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orcamento\EPCs\"/>
    </mc:Choice>
  </mc:AlternateContent>
  <xr:revisionPtr revIDLastSave="0" documentId="13_ncr:1_{013D8F59-C5F9-414E-B059-35E2CFDB4FC8}" xr6:coauthVersionLast="47" xr6:coauthVersionMax="47" xr10:uidLastSave="{00000000-0000-0000-0000-000000000000}"/>
  <bookViews>
    <workbookView xWindow="57480" yWindow="-120" windowWidth="29040" windowHeight="15720" tabRatio="601" xr2:uid="{00000000-000D-0000-FFFF-FFFF00000000}"/>
  </bookViews>
  <sheets>
    <sheet name="CAPA" sheetId="44" r:id="rId1"/>
    <sheet name="EAP" sheetId="107" r:id="rId2"/>
    <sheet name="EPCs" sheetId="79" r:id="rId3"/>
    <sheet name="Ger_Executivo_Manual" sheetId="129" state="hidden" r:id="rId4"/>
    <sheet name="Orçamento" sheetId="126" state="hidden" r:id="rId5"/>
    <sheet name="Composições" sheetId="127" state="hidden" r:id="rId6"/>
    <sheet name="Insumos (2)" sheetId="128" state="hidden" r:id="rId7"/>
    <sheet name="PROJETOS" sheetId="105" state="hidden" r:id="rId8"/>
    <sheet name="Ger_Tec e Adm" sheetId="104" state="hidden" r:id="rId9"/>
    <sheet name="Ger_Executivo_Cartesian" sheetId="8" state="hidden" r:id="rId10"/>
    <sheet name="CPU" sheetId="4" state="hidden" r:id="rId11"/>
    <sheet name="Insumos" sheetId="5" state="hidden" r:id="rId12"/>
  </sheets>
  <externalReferences>
    <externalReference r:id="rId13"/>
  </externalReference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96" i="5" l="1"/>
  <c r="A996" i="5"/>
  <c r="D995" i="5"/>
  <c r="A995" i="5"/>
  <c r="D994" i="5"/>
  <c r="A994" i="5"/>
  <c r="D993" i="5"/>
  <c r="A993" i="5"/>
  <c r="D992" i="5"/>
  <c r="A992" i="5"/>
  <c r="D991" i="5"/>
  <c r="A991" i="5"/>
  <c r="D990" i="5"/>
  <c r="A990" i="5"/>
  <c r="D989" i="5"/>
  <c r="A989" i="5"/>
  <c r="E988" i="5"/>
  <c r="D988" i="5"/>
  <c r="A988" i="5"/>
  <c r="E987" i="5"/>
  <c r="D987" i="5"/>
  <c r="A987" i="5"/>
  <c r="E986" i="5"/>
  <c r="D986" i="5"/>
  <c r="A986" i="5"/>
  <c r="E985" i="5"/>
  <c r="D985" i="5"/>
  <c r="A985" i="5"/>
  <c r="E984" i="5"/>
  <c r="D984" i="5"/>
  <c r="A984" i="5"/>
  <c r="E983" i="5"/>
  <c r="D983" i="5"/>
  <c r="A983" i="5"/>
  <c r="E982" i="5"/>
  <c r="D982" i="5"/>
  <c r="A982" i="5"/>
  <c r="E981" i="5"/>
  <c r="D981" i="5"/>
  <c r="A981" i="5"/>
  <c r="E980" i="5"/>
  <c r="D980" i="5"/>
  <c r="A980" i="5"/>
  <c r="D979" i="5"/>
  <c r="A979" i="5"/>
  <c r="D978" i="5"/>
  <c r="A978" i="5"/>
  <c r="E977" i="5"/>
  <c r="D977" i="5"/>
  <c r="A977" i="5"/>
  <c r="E976" i="5"/>
  <c r="D976" i="5"/>
  <c r="A976" i="5"/>
  <c r="E975" i="5"/>
  <c r="D975" i="5"/>
  <c r="A975" i="5"/>
  <c r="E974" i="5"/>
  <c r="D974" i="5"/>
  <c r="A974" i="5"/>
  <c r="E973" i="5"/>
  <c r="D973" i="5"/>
  <c r="A973" i="5"/>
  <c r="D972" i="5"/>
  <c r="A972" i="5"/>
  <c r="D971" i="5"/>
  <c r="A971" i="5"/>
  <c r="E970" i="5"/>
  <c r="D970" i="5"/>
  <c r="A970" i="5"/>
  <c r="D969" i="5"/>
  <c r="A969" i="5"/>
  <c r="D968" i="5"/>
  <c r="A968" i="5"/>
  <c r="E967" i="5"/>
  <c r="D967" i="5"/>
  <c r="A967" i="5"/>
  <c r="D966" i="5"/>
  <c r="A966" i="5"/>
  <c r="E965" i="5"/>
  <c r="D965" i="5"/>
  <c r="A965" i="5"/>
  <c r="D964" i="5"/>
  <c r="A964" i="5"/>
  <c r="D963" i="5"/>
  <c r="A963" i="5"/>
  <c r="D962" i="5"/>
  <c r="A962" i="5"/>
  <c r="D961" i="5"/>
  <c r="A961" i="5"/>
  <c r="D960" i="5"/>
  <c r="A960" i="5"/>
  <c r="D959" i="5"/>
  <c r="A959" i="5"/>
  <c r="D958" i="5"/>
  <c r="A958" i="5"/>
  <c r="D957" i="5"/>
  <c r="A957" i="5"/>
  <c r="D956" i="5"/>
  <c r="A956" i="5"/>
  <c r="D955" i="5"/>
  <c r="A955" i="5"/>
  <c r="E954" i="5"/>
  <c r="D954" i="5"/>
  <c r="A954" i="5"/>
  <c r="D953" i="5"/>
  <c r="A953" i="5"/>
  <c r="D952" i="5"/>
  <c r="A952" i="5"/>
  <c r="D951" i="5"/>
  <c r="A951" i="5"/>
  <c r="D950" i="5"/>
  <c r="A950" i="5"/>
  <c r="D949" i="5"/>
  <c r="A949" i="5"/>
  <c r="D948" i="5"/>
  <c r="A948" i="5"/>
  <c r="D947" i="5"/>
  <c r="A947" i="5"/>
  <c r="D946" i="5"/>
  <c r="A946" i="5"/>
  <c r="D945" i="5"/>
  <c r="A945" i="5"/>
  <c r="E944" i="5"/>
  <c r="D944" i="5"/>
  <c r="A944" i="5"/>
  <c r="D943" i="5"/>
  <c r="A943" i="5"/>
  <c r="E942" i="5"/>
  <c r="D942" i="5"/>
  <c r="A942" i="5"/>
  <c r="E941" i="5"/>
  <c r="D941" i="5"/>
  <c r="A941" i="5"/>
  <c r="E940" i="5"/>
  <c r="D940" i="5"/>
  <c r="A940" i="5"/>
  <c r="D939" i="5"/>
  <c r="A939" i="5"/>
  <c r="E938" i="5"/>
  <c r="D938" i="5"/>
  <c r="A938" i="5"/>
  <c r="D937" i="5"/>
  <c r="A937" i="5"/>
  <c r="D936" i="5"/>
  <c r="A936" i="5"/>
  <c r="E935" i="5"/>
  <c r="D935" i="5"/>
  <c r="A935" i="5"/>
  <c r="D934" i="5"/>
  <c r="A934" i="5"/>
  <c r="E933" i="5"/>
  <c r="D933" i="5"/>
  <c r="A933" i="5"/>
  <c r="D932" i="5"/>
  <c r="A932" i="5"/>
  <c r="E931" i="5"/>
  <c r="D931" i="5"/>
  <c r="A931" i="5"/>
  <c r="D930" i="5"/>
  <c r="A930" i="5"/>
  <c r="D929" i="5"/>
  <c r="A929" i="5"/>
  <c r="D928" i="5"/>
  <c r="A928" i="5"/>
  <c r="D927" i="5"/>
  <c r="A927" i="5"/>
  <c r="D926" i="5"/>
  <c r="A926" i="5"/>
  <c r="D925" i="5"/>
  <c r="A925" i="5"/>
  <c r="D924" i="5"/>
  <c r="A924" i="5"/>
  <c r="D923" i="5"/>
  <c r="A923" i="5"/>
  <c r="D922" i="5"/>
  <c r="A922" i="5"/>
  <c r="D921" i="5"/>
  <c r="A921" i="5"/>
  <c r="D920" i="5"/>
  <c r="A920" i="5"/>
  <c r="D919" i="5"/>
  <c r="A919" i="5"/>
  <c r="D918" i="5"/>
  <c r="A918" i="5"/>
  <c r="D917" i="5"/>
  <c r="A917" i="5"/>
  <c r="D916" i="5"/>
  <c r="A916" i="5"/>
  <c r="D915" i="5"/>
  <c r="A915" i="5"/>
  <c r="D914" i="5"/>
  <c r="A914" i="5"/>
  <c r="D913" i="5"/>
  <c r="A913" i="5"/>
  <c r="D912" i="5"/>
  <c r="A912" i="5"/>
  <c r="D911" i="5"/>
  <c r="A911" i="5"/>
  <c r="D910" i="5"/>
  <c r="A910" i="5"/>
  <c r="D909" i="5"/>
  <c r="A909" i="5"/>
  <c r="D908" i="5"/>
  <c r="A908" i="5"/>
  <c r="E907" i="5"/>
  <c r="D907" i="5"/>
  <c r="A907" i="5"/>
  <c r="E906" i="5"/>
  <c r="D906" i="5"/>
  <c r="A906" i="5"/>
  <c r="E905" i="5"/>
  <c r="D905" i="5"/>
  <c r="A905" i="5"/>
  <c r="E904" i="5"/>
  <c r="D904" i="5"/>
  <c r="A904" i="5"/>
  <c r="E903" i="5"/>
  <c r="D903" i="5"/>
  <c r="A903" i="5"/>
  <c r="D902" i="5"/>
  <c r="A902" i="5"/>
  <c r="D901" i="5"/>
  <c r="A901" i="5"/>
  <c r="E900" i="5"/>
  <c r="D900" i="5"/>
  <c r="A900" i="5"/>
  <c r="E899" i="5"/>
  <c r="D899" i="5"/>
  <c r="A899" i="5"/>
  <c r="E898" i="5"/>
  <c r="D898" i="5"/>
  <c r="A898" i="5"/>
  <c r="E897" i="5"/>
  <c r="D897" i="5"/>
  <c r="A897" i="5"/>
  <c r="E896" i="5"/>
  <c r="D896" i="5"/>
  <c r="A896" i="5"/>
  <c r="D895" i="5"/>
  <c r="A895" i="5"/>
  <c r="D894" i="5"/>
  <c r="A894" i="5"/>
  <c r="D893" i="5"/>
  <c r="A893" i="5"/>
  <c r="D892" i="5"/>
  <c r="A892" i="5"/>
  <c r="D891" i="5"/>
  <c r="A891" i="5"/>
  <c r="D890" i="5"/>
  <c r="A890" i="5"/>
  <c r="D889" i="5"/>
  <c r="A889" i="5"/>
  <c r="D888" i="5"/>
  <c r="A888" i="5"/>
  <c r="D887" i="5"/>
  <c r="A887" i="5"/>
  <c r="D886" i="5"/>
  <c r="A886" i="5"/>
  <c r="D885" i="5"/>
  <c r="A885" i="5"/>
  <c r="D884" i="5"/>
  <c r="A884" i="5"/>
  <c r="D883" i="5"/>
  <c r="A883" i="5"/>
  <c r="D882" i="5"/>
  <c r="A882" i="5"/>
  <c r="D881" i="5"/>
  <c r="A881" i="5"/>
  <c r="D880" i="5"/>
  <c r="A880" i="5"/>
  <c r="D879" i="5"/>
  <c r="A879" i="5"/>
  <c r="D878" i="5"/>
  <c r="A878" i="5"/>
  <c r="D877" i="5"/>
  <c r="A877" i="5"/>
  <c r="D876" i="5"/>
  <c r="A876" i="5"/>
  <c r="D875" i="5"/>
  <c r="A875" i="5"/>
  <c r="D874" i="5"/>
  <c r="A874" i="5"/>
  <c r="D873" i="5"/>
  <c r="A873" i="5"/>
  <c r="D872" i="5"/>
  <c r="A872" i="5"/>
  <c r="D871" i="5"/>
  <c r="A871" i="5"/>
  <c r="D870" i="5"/>
  <c r="A870" i="5"/>
  <c r="D869" i="5"/>
  <c r="A869" i="5"/>
  <c r="D868" i="5"/>
  <c r="A868" i="5"/>
  <c r="D867" i="5"/>
  <c r="A867" i="5"/>
  <c r="D866" i="5"/>
  <c r="A866" i="5"/>
  <c r="D865" i="5"/>
  <c r="A865" i="5"/>
  <c r="D864" i="5"/>
  <c r="A864" i="5"/>
  <c r="D863" i="5"/>
  <c r="A863" i="5"/>
  <c r="D862" i="5"/>
  <c r="A862" i="5"/>
  <c r="D861" i="5"/>
  <c r="A861" i="5"/>
  <c r="D860" i="5"/>
  <c r="A860" i="5"/>
  <c r="D859" i="5"/>
  <c r="A859" i="5"/>
  <c r="D858" i="5"/>
  <c r="A858" i="5"/>
  <c r="D857" i="5"/>
  <c r="A857" i="5"/>
  <c r="D856" i="5"/>
  <c r="A856" i="5"/>
  <c r="D855" i="5"/>
  <c r="A855" i="5"/>
  <c r="D854" i="5"/>
  <c r="A854" i="5"/>
  <c r="D853" i="5"/>
  <c r="A853" i="5"/>
  <c r="D852" i="5"/>
  <c r="A852" i="5"/>
  <c r="D851" i="5"/>
  <c r="A851" i="5"/>
  <c r="D850" i="5"/>
  <c r="A850" i="5"/>
  <c r="D849" i="5"/>
  <c r="A849" i="5"/>
  <c r="D848" i="5"/>
  <c r="A848" i="5"/>
  <c r="D847" i="5"/>
  <c r="A847" i="5"/>
  <c r="D846" i="5"/>
  <c r="A846" i="5"/>
  <c r="D845" i="5"/>
  <c r="A845" i="5"/>
  <c r="D844" i="5"/>
  <c r="A844" i="5"/>
  <c r="D843" i="5"/>
  <c r="A843" i="5"/>
  <c r="D842" i="5"/>
  <c r="A842" i="5"/>
  <c r="D841" i="5"/>
  <c r="A841" i="5"/>
  <c r="D840" i="5"/>
  <c r="A840" i="5"/>
  <c r="D839" i="5"/>
  <c r="A839" i="5"/>
  <c r="D838" i="5"/>
  <c r="A838" i="5"/>
  <c r="D837" i="5"/>
  <c r="A837" i="5"/>
  <c r="D836" i="5"/>
  <c r="A836" i="5"/>
  <c r="D835" i="5"/>
  <c r="A835" i="5"/>
  <c r="D834" i="5"/>
  <c r="A834" i="5"/>
  <c r="E833" i="5"/>
  <c r="D833" i="5"/>
  <c r="A833" i="5"/>
  <c r="D832" i="5"/>
  <c r="A832" i="5"/>
  <c r="D831" i="5"/>
  <c r="A831" i="5"/>
  <c r="D830" i="5"/>
  <c r="A830" i="5"/>
  <c r="D829" i="5"/>
  <c r="A829" i="5"/>
  <c r="D828" i="5"/>
  <c r="A828" i="5"/>
  <c r="D827" i="5"/>
  <c r="A827" i="5"/>
  <c r="D826" i="5"/>
  <c r="A826" i="5"/>
  <c r="D825" i="5"/>
  <c r="A825" i="5"/>
  <c r="D824" i="5"/>
  <c r="A824" i="5"/>
  <c r="D823" i="5"/>
  <c r="A823" i="5"/>
  <c r="D822" i="5"/>
  <c r="A822" i="5"/>
  <c r="D821" i="5"/>
  <c r="A821" i="5"/>
  <c r="D820" i="5"/>
  <c r="A820" i="5"/>
  <c r="E819" i="5"/>
  <c r="D819" i="5"/>
  <c r="A819" i="5"/>
  <c r="D818" i="5"/>
  <c r="A818" i="5"/>
  <c r="D817" i="5"/>
  <c r="A817" i="5"/>
  <c r="D816" i="5"/>
  <c r="A816" i="5"/>
  <c r="D815" i="5"/>
  <c r="A815" i="5"/>
  <c r="D814" i="5"/>
  <c r="A814" i="5"/>
  <c r="D813" i="5"/>
  <c r="A813" i="5"/>
  <c r="D812" i="5"/>
  <c r="A812" i="5"/>
  <c r="D811" i="5"/>
  <c r="A811" i="5"/>
  <c r="D810" i="5"/>
  <c r="A810" i="5"/>
  <c r="D809" i="5"/>
  <c r="A809" i="5"/>
  <c r="D808" i="5"/>
  <c r="A808" i="5"/>
  <c r="D807" i="5"/>
  <c r="A807" i="5"/>
  <c r="D806" i="5"/>
  <c r="A806" i="5"/>
  <c r="D805" i="5"/>
  <c r="A805" i="5"/>
  <c r="D804" i="5"/>
  <c r="A804" i="5"/>
  <c r="D803" i="5"/>
  <c r="A803" i="5"/>
  <c r="D802" i="5"/>
  <c r="A802" i="5"/>
  <c r="D801" i="5"/>
  <c r="A801" i="5"/>
  <c r="D800" i="5"/>
  <c r="A800" i="5"/>
  <c r="D799" i="5"/>
  <c r="A799" i="5"/>
  <c r="D798" i="5"/>
  <c r="A798" i="5"/>
  <c r="D797" i="5"/>
  <c r="A797" i="5"/>
  <c r="D796" i="5"/>
  <c r="A796" i="5"/>
  <c r="D795" i="5"/>
  <c r="A795" i="5"/>
  <c r="D794" i="5"/>
  <c r="A794" i="5"/>
  <c r="D793" i="5"/>
  <c r="A793" i="5"/>
  <c r="D792" i="5"/>
  <c r="A792" i="5"/>
  <c r="D791" i="5"/>
  <c r="A791" i="5"/>
  <c r="D790" i="5"/>
  <c r="A790" i="5"/>
  <c r="D789" i="5"/>
  <c r="A789" i="5"/>
  <c r="D788" i="5"/>
  <c r="A788" i="5"/>
  <c r="D787" i="5"/>
  <c r="A787" i="5"/>
  <c r="D786" i="5"/>
  <c r="A786" i="5"/>
  <c r="D785" i="5"/>
  <c r="A785" i="5"/>
  <c r="D784" i="5"/>
  <c r="A784" i="5"/>
  <c r="D783" i="5"/>
  <c r="A783" i="5"/>
  <c r="D782" i="5"/>
  <c r="A782" i="5"/>
  <c r="E781" i="5"/>
  <c r="D781" i="5"/>
  <c r="A781" i="5"/>
  <c r="D780" i="5"/>
  <c r="A780" i="5"/>
  <c r="D779" i="5"/>
  <c r="A779" i="5"/>
  <c r="D778" i="5"/>
  <c r="A778" i="5"/>
  <c r="D777" i="5"/>
  <c r="A777" i="5"/>
  <c r="D776" i="5"/>
  <c r="A776" i="5"/>
  <c r="D775" i="5"/>
  <c r="A775" i="5"/>
  <c r="D774" i="5"/>
  <c r="A774" i="5"/>
  <c r="D773" i="5"/>
  <c r="A773" i="5"/>
  <c r="D772" i="5"/>
  <c r="A772" i="5"/>
  <c r="D771" i="5"/>
  <c r="A771" i="5"/>
  <c r="D770" i="5"/>
  <c r="A770" i="5"/>
  <c r="D769" i="5"/>
  <c r="A769" i="5"/>
  <c r="D768" i="5"/>
  <c r="A768" i="5"/>
  <c r="D767" i="5"/>
  <c r="A767" i="5"/>
  <c r="D766" i="5"/>
  <c r="A766" i="5"/>
  <c r="D765" i="5"/>
  <c r="A765" i="5"/>
  <c r="D764" i="5"/>
  <c r="A764" i="5"/>
  <c r="D763" i="5"/>
  <c r="A763" i="5"/>
  <c r="E762" i="5"/>
  <c r="D762" i="5"/>
  <c r="A762" i="5"/>
  <c r="D761" i="5"/>
  <c r="A761" i="5"/>
  <c r="D760" i="5"/>
  <c r="A760" i="5"/>
  <c r="E759" i="5"/>
  <c r="D759" i="5"/>
  <c r="A759" i="5"/>
  <c r="D758" i="5"/>
  <c r="A758" i="5"/>
  <c r="E757" i="5"/>
  <c r="D757" i="5"/>
  <c r="A757" i="5"/>
  <c r="D756" i="5"/>
  <c r="A756" i="5"/>
  <c r="D755" i="5"/>
  <c r="A755" i="5"/>
  <c r="D754" i="5"/>
  <c r="A754" i="5"/>
  <c r="D753" i="5"/>
  <c r="A753" i="5"/>
  <c r="E752" i="5"/>
  <c r="D752" i="5"/>
  <c r="A752" i="5"/>
  <c r="D751" i="5"/>
  <c r="A751" i="5"/>
  <c r="D750" i="5"/>
  <c r="A750" i="5"/>
  <c r="D749" i="5"/>
  <c r="A749" i="5"/>
  <c r="D748" i="5"/>
  <c r="A748" i="5"/>
  <c r="D747" i="5"/>
  <c r="A747" i="5"/>
  <c r="E746" i="5"/>
  <c r="D746" i="5"/>
  <c r="A746" i="5"/>
  <c r="E745" i="5"/>
  <c r="D745" i="5"/>
  <c r="A745" i="5"/>
  <c r="E744" i="5"/>
  <c r="D744" i="5"/>
  <c r="A744" i="5"/>
  <c r="E743" i="5"/>
  <c r="D743" i="5"/>
  <c r="A743" i="5"/>
  <c r="E742" i="5"/>
  <c r="D742" i="5"/>
  <c r="A742" i="5"/>
  <c r="D741" i="5"/>
  <c r="A741" i="5"/>
  <c r="D740" i="5"/>
  <c r="A740" i="5"/>
  <c r="D739" i="5"/>
  <c r="A739" i="5"/>
  <c r="D738" i="5"/>
  <c r="A738" i="5"/>
  <c r="D737" i="5"/>
  <c r="A737" i="5"/>
  <c r="D736" i="5"/>
  <c r="A736" i="5"/>
  <c r="D735" i="5"/>
  <c r="A735" i="5"/>
  <c r="D734" i="5"/>
  <c r="A734" i="5"/>
  <c r="D733" i="5"/>
  <c r="A733" i="5"/>
  <c r="D732" i="5"/>
  <c r="A732" i="5"/>
  <c r="D731" i="5"/>
  <c r="A731" i="5"/>
  <c r="D730" i="5"/>
  <c r="A730" i="5"/>
  <c r="D729" i="5"/>
  <c r="A729" i="5"/>
  <c r="D728" i="5"/>
  <c r="A728" i="5"/>
  <c r="D727" i="5"/>
  <c r="A727" i="5"/>
  <c r="E726" i="5"/>
  <c r="D726" i="5"/>
  <c r="A726" i="5"/>
  <c r="E725" i="5"/>
  <c r="D725" i="5"/>
  <c r="A725" i="5"/>
  <c r="D724" i="5"/>
  <c r="A724" i="5"/>
  <c r="D723" i="5"/>
  <c r="A723" i="5"/>
  <c r="E722" i="5"/>
  <c r="D722" i="5"/>
  <c r="A722" i="5"/>
  <c r="E721" i="5"/>
  <c r="D721" i="5"/>
  <c r="A721" i="5"/>
  <c r="E720" i="5"/>
  <c r="D720" i="5"/>
  <c r="A720" i="5"/>
  <c r="E719" i="5"/>
  <c r="D719" i="5"/>
  <c r="A719" i="5"/>
  <c r="D718" i="5"/>
  <c r="A718" i="5"/>
  <c r="D717" i="5"/>
  <c r="A717" i="5"/>
  <c r="E716" i="5"/>
  <c r="D716" i="5"/>
  <c r="A716" i="5"/>
  <c r="D715" i="5"/>
  <c r="A715" i="5"/>
  <c r="D714" i="5"/>
  <c r="A714" i="5"/>
  <c r="D713" i="5"/>
  <c r="A713" i="5"/>
  <c r="D712" i="5"/>
  <c r="A712" i="5"/>
  <c r="D711" i="5"/>
  <c r="A711" i="5"/>
  <c r="D710" i="5"/>
  <c r="A710" i="5"/>
  <c r="D709" i="5"/>
  <c r="A709" i="5"/>
  <c r="D708" i="5"/>
  <c r="A708" i="5"/>
  <c r="D707" i="5"/>
  <c r="A707" i="5"/>
  <c r="D706" i="5"/>
  <c r="A706" i="5"/>
  <c r="D705" i="5"/>
  <c r="A705" i="5"/>
  <c r="D704" i="5"/>
  <c r="A704" i="5"/>
  <c r="D703" i="5"/>
  <c r="A703" i="5"/>
  <c r="D702" i="5"/>
  <c r="A702" i="5"/>
  <c r="D701" i="5"/>
  <c r="A701" i="5"/>
  <c r="E700" i="5"/>
  <c r="D700" i="5"/>
  <c r="A700" i="5"/>
  <c r="D699" i="5"/>
  <c r="A699" i="5"/>
  <c r="E698" i="5"/>
  <c r="D698" i="5"/>
  <c r="A698" i="5"/>
  <c r="D697" i="5"/>
  <c r="A697" i="5"/>
  <c r="E696" i="5"/>
  <c r="D696" i="5"/>
  <c r="A696" i="5"/>
  <c r="D695" i="5"/>
  <c r="A695" i="5"/>
  <c r="E694" i="5"/>
  <c r="D694" i="5"/>
  <c r="A694" i="5"/>
  <c r="D693" i="5"/>
  <c r="A693" i="5"/>
  <c r="E692" i="5"/>
  <c r="D692" i="5"/>
  <c r="A692" i="5"/>
  <c r="D691" i="5"/>
  <c r="A691" i="5"/>
  <c r="E690" i="5"/>
  <c r="D690" i="5"/>
  <c r="A690" i="5"/>
  <c r="D689" i="5"/>
  <c r="A689" i="5"/>
  <c r="E688" i="5"/>
  <c r="D688" i="5"/>
  <c r="A688" i="5"/>
  <c r="E687" i="5"/>
  <c r="D687" i="5"/>
  <c r="A687" i="5"/>
  <c r="E686" i="5"/>
  <c r="D686" i="5"/>
  <c r="A686" i="5"/>
  <c r="E685" i="5"/>
  <c r="D685" i="5"/>
  <c r="A685" i="5"/>
  <c r="E684" i="5"/>
  <c r="D684" i="5"/>
  <c r="A684" i="5"/>
  <c r="E683" i="5"/>
  <c r="D683" i="5"/>
  <c r="A683" i="5"/>
  <c r="H682" i="5"/>
  <c r="E682" i="5"/>
  <c r="D682" i="5"/>
  <c r="A682" i="5"/>
  <c r="H681" i="5"/>
  <c r="E681" i="5"/>
  <c r="D681" i="5"/>
  <c r="A681" i="5"/>
  <c r="H680" i="5"/>
  <c r="D680" i="5"/>
  <c r="A680" i="5"/>
  <c r="H679" i="5"/>
  <c r="D679" i="5"/>
  <c r="A679" i="5"/>
  <c r="E678" i="5"/>
  <c r="D678" i="5"/>
  <c r="A678" i="5"/>
  <c r="E677" i="5"/>
  <c r="D677" i="5"/>
  <c r="A677" i="5"/>
  <c r="D676" i="5"/>
  <c r="A676" i="5"/>
  <c r="D675" i="5"/>
  <c r="A675" i="5"/>
  <c r="E674" i="5"/>
  <c r="D674" i="5"/>
  <c r="A674" i="5"/>
  <c r="D673" i="5"/>
  <c r="A673" i="5"/>
  <c r="D672" i="5"/>
  <c r="A672" i="5"/>
  <c r="D671" i="5"/>
  <c r="A671" i="5"/>
  <c r="D670" i="5"/>
  <c r="A670" i="5"/>
  <c r="E669" i="5"/>
  <c r="D669" i="5"/>
  <c r="A669" i="5"/>
  <c r="D668" i="5"/>
  <c r="A668" i="5"/>
  <c r="D667" i="5"/>
  <c r="A667" i="5"/>
  <c r="D666" i="5"/>
  <c r="A666" i="5"/>
  <c r="D665" i="5"/>
  <c r="A665" i="5"/>
  <c r="D664" i="5"/>
  <c r="A664" i="5"/>
  <c r="D663" i="5"/>
  <c r="A663" i="5"/>
  <c r="D662" i="5"/>
  <c r="A662" i="5"/>
  <c r="D661" i="5"/>
  <c r="A661" i="5"/>
  <c r="D660" i="5"/>
  <c r="A660" i="5"/>
  <c r="D659" i="5"/>
  <c r="A659" i="5"/>
  <c r="D658" i="5"/>
  <c r="A658" i="5"/>
  <c r="D657" i="5"/>
  <c r="A657" i="5"/>
  <c r="D656" i="5"/>
  <c r="A656" i="5"/>
  <c r="D655" i="5"/>
  <c r="A655" i="5"/>
  <c r="D654" i="5"/>
  <c r="A654" i="5"/>
  <c r="D653" i="5"/>
  <c r="A653" i="5"/>
  <c r="D652" i="5"/>
  <c r="A652" i="5"/>
  <c r="D651" i="5"/>
  <c r="A651" i="5"/>
  <c r="D650" i="5"/>
  <c r="A650" i="5"/>
  <c r="D649" i="5"/>
  <c r="A649" i="5"/>
  <c r="D648" i="5"/>
  <c r="A648" i="5"/>
  <c r="D647" i="5"/>
  <c r="A647" i="5"/>
  <c r="D646" i="5"/>
  <c r="A646" i="5"/>
  <c r="D645" i="5"/>
  <c r="A645" i="5"/>
  <c r="D644" i="5"/>
  <c r="A644" i="5"/>
  <c r="E643" i="5"/>
  <c r="D643" i="5"/>
  <c r="A643" i="5"/>
  <c r="E642" i="5"/>
  <c r="D642" i="5"/>
  <c r="A642" i="5"/>
  <c r="E641" i="5"/>
  <c r="D641" i="5"/>
  <c r="A641" i="5"/>
  <c r="D640" i="5"/>
  <c r="A640" i="5"/>
  <c r="E639" i="5"/>
  <c r="D639" i="5"/>
  <c r="A639" i="5"/>
  <c r="D638" i="5"/>
  <c r="A638" i="5"/>
  <c r="D637" i="5"/>
  <c r="A637" i="5"/>
  <c r="E636" i="5"/>
  <c r="D636" i="5"/>
  <c r="A636" i="5"/>
  <c r="D635" i="5"/>
  <c r="A635" i="5"/>
  <c r="D634" i="5"/>
  <c r="A634" i="5"/>
  <c r="D633" i="5"/>
  <c r="A633" i="5"/>
  <c r="D632" i="5"/>
  <c r="A632" i="5"/>
  <c r="D631" i="5"/>
  <c r="A631" i="5"/>
  <c r="D630" i="5"/>
  <c r="A630" i="5"/>
  <c r="D629" i="5"/>
  <c r="A629" i="5"/>
  <c r="D628" i="5"/>
  <c r="A628" i="5"/>
  <c r="D627" i="5"/>
  <c r="A627" i="5"/>
  <c r="D626" i="5"/>
  <c r="A626" i="5"/>
  <c r="D625" i="5"/>
  <c r="A625" i="5"/>
  <c r="D624" i="5"/>
  <c r="A624" i="5"/>
  <c r="D623" i="5"/>
  <c r="A623" i="5"/>
  <c r="D622" i="5"/>
  <c r="A622" i="5"/>
  <c r="D621" i="5"/>
  <c r="A621" i="5"/>
  <c r="D620" i="5"/>
  <c r="A620" i="5"/>
  <c r="D619" i="5"/>
  <c r="A619" i="5"/>
  <c r="D618" i="5"/>
  <c r="A618" i="5"/>
  <c r="D617" i="5"/>
  <c r="A617" i="5"/>
  <c r="D616" i="5"/>
  <c r="A616" i="5"/>
  <c r="D615" i="5"/>
  <c r="A615" i="5"/>
  <c r="E614" i="5"/>
  <c r="D614" i="5"/>
  <c r="A614" i="5"/>
  <c r="E613" i="5"/>
  <c r="D613" i="5"/>
  <c r="A613" i="5"/>
  <c r="E612" i="5"/>
  <c r="D612" i="5"/>
  <c r="A612" i="5"/>
  <c r="E611" i="5"/>
  <c r="D611" i="5"/>
  <c r="A611" i="5"/>
  <c r="E610" i="5"/>
  <c r="D610" i="5"/>
  <c r="A610" i="5"/>
  <c r="E609" i="5"/>
  <c r="D609" i="5"/>
  <c r="A609" i="5"/>
  <c r="D608" i="5"/>
  <c r="A608" i="5"/>
  <c r="D607" i="5"/>
  <c r="A607" i="5"/>
  <c r="D606" i="5"/>
  <c r="A606" i="5"/>
  <c r="D605" i="5"/>
  <c r="A605" i="5"/>
  <c r="D604" i="5"/>
  <c r="A604" i="5"/>
  <c r="D603" i="5"/>
  <c r="A603" i="5"/>
  <c r="D602" i="5"/>
  <c r="A602" i="5"/>
  <c r="D601" i="5"/>
  <c r="A601" i="5"/>
  <c r="D600" i="5"/>
  <c r="A600" i="5"/>
  <c r="E599" i="5"/>
  <c r="D599" i="5"/>
  <c r="A599" i="5"/>
  <c r="E598" i="5"/>
  <c r="D598" i="5"/>
  <c r="A598" i="5"/>
  <c r="D597" i="5"/>
  <c r="A597" i="5"/>
  <c r="D596" i="5"/>
  <c r="A596" i="5"/>
  <c r="D595" i="5"/>
  <c r="A595" i="5"/>
  <c r="D594" i="5"/>
  <c r="A594" i="5"/>
  <c r="D593" i="5"/>
  <c r="A593" i="5"/>
  <c r="D592" i="5"/>
  <c r="A592" i="5"/>
  <c r="D591" i="5"/>
  <c r="A591" i="5"/>
  <c r="D590" i="5"/>
  <c r="A590" i="5"/>
  <c r="E589" i="5"/>
  <c r="D589" i="5"/>
  <c r="A589" i="5"/>
  <c r="D588" i="5"/>
  <c r="A588" i="5"/>
  <c r="D587" i="5"/>
  <c r="A587" i="5"/>
  <c r="D586" i="5"/>
  <c r="A586" i="5"/>
  <c r="D585" i="5"/>
  <c r="A585" i="5"/>
  <c r="D584" i="5"/>
  <c r="A584" i="5"/>
  <c r="D583" i="5"/>
  <c r="A583" i="5"/>
  <c r="D582" i="5"/>
  <c r="A582" i="5"/>
  <c r="D581" i="5"/>
  <c r="A581" i="5"/>
  <c r="D580" i="5"/>
  <c r="A580" i="5"/>
  <c r="D579" i="5"/>
  <c r="A579" i="5"/>
  <c r="D578" i="5"/>
  <c r="A578" i="5"/>
  <c r="D577" i="5"/>
  <c r="A577" i="5"/>
  <c r="D576" i="5"/>
  <c r="A576" i="5"/>
  <c r="D575" i="5"/>
  <c r="A575" i="5"/>
  <c r="D574" i="5"/>
  <c r="A574" i="5"/>
  <c r="D573" i="5"/>
  <c r="A573" i="5"/>
  <c r="D572" i="5"/>
  <c r="A572" i="5"/>
  <c r="D571" i="5"/>
  <c r="A571" i="5"/>
  <c r="E570" i="5"/>
  <c r="D570" i="5"/>
  <c r="A570" i="5"/>
  <c r="D569" i="5"/>
  <c r="A569" i="5"/>
  <c r="D568" i="5"/>
  <c r="A568" i="5"/>
  <c r="E567" i="5"/>
  <c r="D567" i="5"/>
  <c r="A567" i="5"/>
  <c r="E566" i="5"/>
  <c r="D566" i="5"/>
  <c r="A566" i="5"/>
  <c r="E565" i="5"/>
  <c r="D565" i="5"/>
  <c r="A565" i="5"/>
  <c r="E564" i="5"/>
  <c r="D564" i="5"/>
  <c r="A564" i="5"/>
  <c r="D563" i="5"/>
  <c r="A563" i="5"/>
  <c r="D562" i="5"/>
  <c r="A562" i="5"/>
  <c r="D561" i="5"/>
  <c r="A561" i="5"/>
  <c r="D560" i="5"/>
  <c r="A560" i="5"/>
  <c r="D559" i="5"/>
  <c r="A559" i="5"/>
  <c r="D558" i="5"/>
  <c r="A558" i="5"/>
  <c r="D557" i="5"/>
  <c r="A557" i="5"/>
  <c r="D556" i="5"/>
  <c r="A556" i="5"/>
  <c r="D555" i="5"/>
  <c r="A555" i="5"/>
  <c r="D554" i="5"/>
  <c r="A554" i="5"/>
  <c r="D553" i="5"/>
  <c r="A553" i="5"/>
  <c r="D552" i="5"/>
  <c r="A552" i="5"/>
  <c r="D551" i="5"/>
  <c r="A551" i="5"/>
  <c r="E550" i="5"/>
  <c r="D550" i="5"/>
  <c r="A550" i="5"/>
  <c r="D549" i="5"/>
  <c r="A549" i="5"/>
  <c r="D548" i="5"/>
  <c r="A548" i="5"/>
  <c r="D547" i="5"/>
  <c r="A547" i="5"/>
  <c r="D546" i="5"/>
  <c r="A546" i="5"/>
  <c r="D545" i="5"/>
  <c r="A545" i="5"/>
  <c r="D544" i="5"/>
  <c r="A544" i="5"/>
  <c r="D543" i="5"/>
  <c r="A543" i="5"/>
  <c r="D542" i="5"/>
  <c r="A542" i="5"/>
  <c r="D541" i="5"/>
  <c r="A541" i="5"/>
  <c r="D540" i="5"/>
  <c r="A540" i="5"/>
  <c r="D539" i="5"/>
  <c r="A539" i="5"/>
  <c r="D538" i="5"/>
  <c r="A538" i="5"/>
  <c r="D537" i="5"/>
  <c r="A537" i="5"/>
  <c r="D536" i="5"/>
  <c r="A536" i="5"/>
  <c r="D535" i="5"/>
  <c r="A535" i="5"/>
  <c r="D534" i="5"/>
  <c r="A534" i="5"/>
  <c r="D533" i="5"/>
  <c r="A533" i="5"/>
  <c r="D532" i="5"/>
  <c r="A532" i="5"/>
  <c r="D531" i="5"/>
  <c r="A531" i="5"/>
  <c r="D530" i="5"/>
  <c r="A530" i="5"/>
  <c r="D529" i="5"/>
  <c r="A529" i="5"/>
  <c r="D528" i="5"/>
  <c r="A528" i="5"/>
  <c r="D527" i="5"/>
  <c r="A527" i="5"/>
  <c r="D526" i="5"/>
  <c r="A526" i="5"/>
  <c r="D525" i="5"/>
  <c r="A525" i="5"/>
  <c r="D524" i="5"/>
  <c r="A524" i="5"/>
  <c r="D523" i="5"/>
  <c r="A523" i="5"/>
  <c r="D522" i="5"/>
  <c r="A522" i="5"/>
  <c r="D521" i="5"/>
  <c r="A521" i="5"/>
  <c r="D520" i="5"/>
  <c r="A520" i="5"/>
  <c r="D519" i="5"/>
  <c r="A519" i="5"/>
  <c r="D518" i="5"/>
  <c r="A518" i="5"/>
  <c r="D517" i="5"/>
  <c r="A517" i="5"/>
  <c r="D516" i="5"/>
  <c r="A516" i="5"/>
  <c r="D515" i="5"/>
  <c r="A515" i="5"/>
  <c r="D514" i="5"/>
  <c r="A514" i="5"/>
  <c r="D513" i="5"/>
  <c r="A513" i="5"/>
  <c r="D512" i="5"/>
  <c r="A512" i="5"/>
  <c r="D511" i="5"/>
  <c r="D510" i="5"/>
  <c r="D509" i="5"/>
  <c r="A509" i="5"/>
  <c r="D508" i="5"/>
  <c r="A508" i="5"/>
  <c r="D507" i="5"/>
  <c r="A507" i="5"/>
  <c r="E506" i="5"/>
  <c r="D506" i="5"/>
  <c r="A506" i="5"/>
  <c r="E505" i="5"/>
  <c r="D505" i="5"/>
  <c r="A505" i="5"/>
  <c r="E504" i="5"/>
  <c r="D504" i="5"/>
  <c r="A504" i="5"/>
  <c r="E503" i="5"/>
  <c r="D503" i="5"/>
  <c r="A503" i="5"/>
  <c r="E502" i="5"/>
  <c r="D502" i="5"/>
  <c r="A502" i="5"/>
  <c r="D501" i="5"/>
  <c r="A501" i="5"/>
  <c r="D500" i="5"/>
  <c r="A500" i="5"/>
  <c r="D499" i="5"/>
  <c r="A499" i="5"/>
  <c r="D498" i="5"/>
  <c r="A498" i="5"/>
  <c r="D497" i="5"/>
  <c r="A497" i="5"/>
  <c r="D496" i="5"/>
  <c r="A496" i="5"/>
  <c r="D495" i="5"/>
  <c r="A495" i="5"/>
  <c r="D494" i="5"/>
  <c r="A494" i="5"/>
  <c r="D493" i="5"/>
  <c r="A493" i="5"/>
  <c r="D492" i="5"/>
  <c r="A492" i="5"/>
  <c r="D491" i="5"/>
  <c r="A491" i="5"/>
  <c r="D490" i="5"/>
  <c r="A490" i="5"/>
  <c r="D489" i="5"/>
  <c r="A489" i="5"/>
  <c r="D488" i="5"/>
  <c r="A488" i="5"/>
  <c r="D487" i="5"/>
  <c r="A487" i="5"/>
  <c r="D486" i="5"/>
  <c r="A486" i="5"/>
  <c r="D485" i="5"/>
  <c r="A485" i="5"/>
  <c r="D484" i="5"/>
  <c r="A484" i="5"/>
  <c r="D483" i="5"/>
  <c r="A483" i="5"/>
  <c r="D482" i="5"/>
  <c r="A482" i="5"/>
  <c r="D481" i="5"/>
  <c r="A481" i="5"/>
  <c r="D480" i="5"/>
  <c r="A480" i="5"/>
  <c r="D479" i="5"/>
  <c r="A479" i="5"/>
  <c r="D478" i="5"/>
  <c r="A478" i="5"/>
  <c r="D477" i="5"/>
  <c r="A477" i="5"/>
  <c r="D476" i="5"/>
  <c r="A476" i="5"/>
  <c r="D475" i="5"/>
  <c r="A475" i="5"/>
  <c r="D474" i="5"/>
  <c r="A474" i="5"/>
  <c r="E473" i="5"/>
  <c r="D473" i="5"/>
  <c r="A473" i="5"/>
  <c r="E472" i="5"/>
  <c r="D472" i="5"/>
  <c r="A472" i="5"/>
  <c r="D471" i="5"/>
  <c r="A471" i="5"/>
  <c r="D470" i="5"/>
  <c r="A470" i="5"/>
  <c r="D469" i="5"/>
  <c r="A469" i="5"/>
  <c r="D468" i="5"/>
  <c r="A468" i="5"/>
  <c r="D467" i="5"/>
  <c r="A467" i="5"/>
  <c r="D466" i="5"/>
  <c r="A466" i="5"/>
  <c r="E465" i="5"/>
  <c r="D465" i="5"/>
  <c r="A465" i="5"/>
  <c r="E464" i="5"/>
  <c r="D464" i="5"/>
  <c r="A464" i="5"/>
  <c r="D463" i="5"/>
  <c r="A463" i="5"/>
  <c r="E462" i="5"/>
  <c r="D462" i="5"/>
  <c r="A462" i="5"/>
  <c r="D461" i="5"/>
  <c r="A461" i="5"/>
  <c r="D460" i="5"/>
  <c r="A460" i="5"/>
  <c r="D459" i="5"/>
  <c r="A459" i="5"/>
  <c r="D458" i="5"/>
  <c r="A458" i="5"/>
  <c r="D457" i="5"/>
  <c r="A457" i="5"/>
  <c r="D456" i="5"/>
  <c r="A456" i="5"/>
  <c r="D455" i="5"/>
  <c r="A455" i="5"/>
  <c r="D454" i="5"/>
  <c r="A454" i="5"/>
  <c r="D453" i="5"/>
  <c r="A453" i="5"/>
  <c r="D452" i="5"/>
  <c r="A452" i="5"/>
  <c r="D451" i="5"/>
  <c r="A451" i="5"/>
  <c r="D450" i="5"/>
  <c r="A450" i="5"/>
  <c r="D449" i="5"/>
  <c r="A449" i="5"/>
  <c r="D448" i="5"/>
  <c r="A448" i="5"/>
  <c r="E447" i="5"/>
  <c r="D447" i="5"/>
  <c r="A447" i="5"/>
  <c r="D446" i="5"/>
  <c r="A446" i="5"/>
  <c r="D445" i="5"/>
  <c r="A445" i="5"/>
  <c r="D444" i="5"/>
  <c r="A444" i="5"/>
  <c r="E443" i="5"/>
  <c r="D443" i="5"/>
  <c r="A443" i="5"/>
  <c r="E442" i="5"/>
  <c r="D442" i="5"/>
  <c r="A442" i="5"/>
  <c r="D441" i="5"/>
  <c r="A441" i="5"/>
  <c r="D440" i="5"/>
  <c r="A440" i="5"/>
  <c r="D439" i="5"/>
  <c r="A439" i="5"/>
  <c r="D438" i="5"/>
  <c r="A438" i="5"/>
  <c r="D437" i="5"/>
  <c r="A437" i="5"/>
  <c r="D436" i="5"/>
  <c r="A436" i="5"/>
  <c r="D435" i="5"/>
  <c r="A435" i="5"/>
  <c r="D434" i="5"/>
  <c r="A434" i="5"/>
  <c r="D433" i="5"/>
  <c r="A433" i="5"/>
  <c r="D432" i="5"/>
  <c r="A432" i="5"/>
  <c r="D431" i="5"/>
  <c r="A431" i="5"/>
  <c r="D430" i="5"/>
  <c r="A430" i="5"/>
  <c r="D429" i="5"/>
  <c r="A429" i="5"/>
  <c r="D428" i="5"/>
  <c r="A428" i="5"/>
  <c r="D427" i="5"/>
  <c r="A427" i="5"/>
  <c r="D426" i="5"/>
  <c r="A426" i="5"/>
  <c r="D425" i="5"/>
  <c r="A425" i="5"/>
  <c r="D424" i="5"/>
  <c r="A424" i="5"/>
  <c r="D423" i="5"/>
  <c r="A423" i="5"/>
  <c r="D422" i="5"/>
  <c r="A422" i="5"/>
  <c r="D421" i="5"/>
  <c r="A421" i="5"/>
  <c r="D420" i="5"/>
  <c r="A420" i="5"/>
  <c r="D419" i="5"/>
  <c r="A419" i="5"/>
  <c r="D418" i="5"/>
  <c r="A418" i="5"/>
  <c r="D417" i="5"/>
  <c r="A417" i="5"/>
  <c r="D416" i="5"/>
  <c r="A416" i="5"/>
  <c r="D415" i="5"/>
  <c r="A415" i="5"/>
  <c r="D414" i="5"/>
  <c r="A414" i="5"/>
  <c r="D413" i="5"/>
  <c r="A413" i="5"/>
  <c r="D412" i="5"/>
  <c r="A412" i="5"/>
  <c r="D411" i="5"/>
  <c r="A411" i="5"/>
  <c r="D410" i="5"/>
  <c r="A410" i="5"/>
  <c r="D409" i="5"/>
  <c r="A409" i="5"/>
  <c r="D408" i="5"/>
  <c r="A408" i="5"/>
  <c r="D407" i="5"/>
  <c r="A407" i="5"/>
  <c r="D406" i="5"/>
  <c r="A406" i="5"/>
  <c r="D405" i="5"/>
  <c r="A405" i="5"/>
  <c r="D404" i="5"/>
  <c r="A404" i="5"/>
  <c r="D403" i="5"/>
  <c r="A403" i="5"/>
  <c r="D402" i="5"/>
  <c r="A402" i="5"/>
  <c r="D401" i="5"/>
  <c r="A401" i="5"/>
  <c r="D400" i="5"/>
  <c r="A400" i="5"/>
  <c r="D399" i="5"/>
  <c r="A399" i="5"/>
  <c r="D398" i="5"/>
  <c r="A398" i="5"/>
  <c r="D397" i="5"/>
  <c r="A397" i="5"/>
  <c r="D396" i="5"/>
  <c r="A396" i="5"/>
  <c r="D395" i="5"/>
  <c r="A395" i="5"/>
  <c r="E394" i="5"/>
  <c r="D394" i="5"/>
  <c r="A394" i="5"/>
  <c r="D393" i="5"/>
  <c r="A393" i="5"/>
  <c r="D392" i="5"/>
  <c r="A392" i="5"/>
  <c r="D391" i="5"/>
  <c r="A391" i="5"/>
  <c r="D390" i="5"/>
  <c r="A390" i="5"/>
  <c r="E389" i="5"/>
  <c r="D389" i="5"/>
  <c r="A389" i="5"/>
  <c r="E388" i="5"/>
  <c r="D388" i="5"/>
  <c r="A388" i="5"/>
  <c r="E387" i="5"/>
  <c r="D387" i="5"/>
  <c r="A387" i="5"/>
  <c r="D386" i="5"/>
  <c r="A386" i="5"/>
  <c r="D385" i="5"/>
  <c r="A385" i="5"/>
  <c r="D384" i="5"/>
  <c r="A384" i="5"/>
  <c r="D383" i="5"/>
  <c r="A383" i="5"/>
  <c r="D382" i="5"/>
  <c r="A382" i="5"/>
  <c r="D381" i="5"/>
  <c r="A381" i="5"/>
  <c r="E380" i="5"/>
  <c r="D380" i="5"/>
  <c r="A380" i="5"/>
  <c r="D379" i="5"/>
  <c r="A379" i="5"/>
  <c r="D378" i="5"/>
  <c r="A378" i="5"/>
  <c r="D377" i="5"/>
  <c r="A377" i="5"/>
  <c r="E376" i="5"/>
  <c r="D376" i="5"/>
  <c r="A376" i="5"/>
  <c r="E375" i="5"/>
  <c r="D375" i="5"/>
  <c r="A375" i="5"/>
  <c r="D374" i="5"/>
  <c r="A374" i="5"/>
  <c r="D373" i="5"/>
  <c r="A373" i="5"/>
  <c r="D372" i="5"/>
  <c r="A372" i="5"/>
  <c r="D371" i="5"/>
  <c r="A371" i="5"/>
  <c r="D370" i="5"/>
  <c r="A370" i="5"/>
  <c r="D369" i="5"/>
  <c r="A369" i="5"/>
  <c r="D368" i="5"/>
  <c r="A368" i="5"/>
  <c r="D367" i="5"/>
  <c r="A367" i="5"/>
  <c r="D366" i="5"/>
  <c r="A366" i="5"/>
  <c r="D365" i="5"/>
  <c r="A365" i="5"/>
  <c r="D364" i="5"/>
  <c r="A364" i="5"/>
  <c r="D363" i="5"/>
  <c r="A363" i="5"/>
  <c r="D362" i="5"/>
  <c r="A362" i="5"/>
  <c r="D361" i="5"/>
  <c r="A361" i="5"/>
  <c r="D360" i="5"/>
  <c r="A360" i="5"/>
  <c r="E359" i="5"/>
  <c r="D359" i="5"/>
  <c r="A359" i="5"/>
  <c r="D358" i="5"/>
  <c r="A358" i="5"/>
  <c r="D357" i="5"/>
  <c r="A357" i="5"/>
  <c r="D356" i="5"/>
  <c r="A356" i="5"/>
  <c r="D355" i="5"/>
  <c r="A355" i="5"/>
  <c r="D354" i="5"/>
  <c r="A354" i="5"/>
  <c r="D353" i="5"/>
  <c r="A353" i="5"/>
  <c r="D352" i="5"/>
  <c r="A352" i="5"/>
  <c r="D351" i="5"/>
  <c r="A351" i="5"/>
  <c r="D350" i="5"/>
  <c r="A350" i="5"/>
  <c r="D349" i="5"/>
  <c r="A349" i="5"/>
  <c r="D348" i="5"/>
  <c r="A348" i="5"/>
  <c r="D347" i="5"/>
  <c r="A347" i="5"/>
  <c r="D346" i="5"/>
  <c r="A346" i="5"/>
  <c r="D345" i="5"/>
  <c r="A345" i="5"/>
  <c r="D344" i="5"/>
  <c r="A344" i="5"/>
  <c r="D343" i="5"/>
  <c r="A343" i="5"/>
  <c r="D342" i="5"/>
  <c r="A342" i="5"/>
  <c r="D341" i="5"/>
  <c r="A341" i="5"/>
  <c r="D340" i="5"/>
  <c r="A340" i="5"/>
  <c r="D339" i="5"/>
  <c r="A339" i="5"/>
  <c r="D338" i="5"/>
  <c r="A338" i="5"/>
  <c r="D337" i="5"/>
  <c r="A337" i="5"/>
  <c r="D336" i="5"/>
  <c r="A336" i="5"/>
  <c r="D335" i="5"/>
  <c r="A335" i="5"/>
  <c r="D334" i="5"/>
  <c r="A334" i="5"/>
  <c r="D333" i="5"/>
  <c r="A333" i="5"/>
  <c r="D332" i="5"/>
  <c r="A332" i="5"/>
  <c r="D331" i="5"/>
  <c r="A331" i="5"/>
  <c r="E330" i="5"/>
  <c r="D330" i="5"/>
  <c r="A330" i="5"/>
  <c r="D329" i="5"/>
  <c r="A329" i="5"/>
  <c r="D328" i="5"/>
  <c r="A328" i="5"/>
  <c r="D327" i="5"/>
  <c r="A327" i="5"/>
  <c r="D326" i="5"/>
  <c r="A326" i="5"/>
  <c r="D325" i="5"/>
  <c r="A325" i="5"/>
  <c r="D324" i="5"/>
  <c r="A324" i="5"/>
  <c r="D323" i="5"/>
  <c r="A323" i="5"/>
  <c r="D322" i="5"/>
  <c r="A322" i="5"/>
  <c r="D321" i="5"/>
  <c r="A321" i="5"/>
  <c r="D320" i="5"/>
  <c r="A320" i="5"/>
  <c r="D319" i="5"/>
  <c r="A319" i="5"/>
  <c r="D318" i="5"/>
  <c r="A318" i="5"/>
  <c r="D317" i="5"/>
  <c r="A317" i="5"/>
  <c r="D316" i="5"/>
  <c r="A316" i="5"/>
  <c r="D315" i="5"/>
  <c r="A315" i="5"/>
  <c r="D314" i="5"/>
  <c r="A314" i="5"/>
  <c r="D313" i="5"/>
  <c r="A313" i="5"/>
  <c r="D312" i="5"/>
  <c r="A312" i="5"/>
  <c r="D311" i="5"/>
  <c r="A311" i="5"/>
  <c r="E310" i="5"/>
  <c r="D310" i="5"/>
  <c r="A310" i="5"/>
  <c r="D309" i="5"/>
  <c r="A309" i="5"/>
  <c r="D308" i="5"/>
  <c r="A308" i="5"/>
  <c r="D307" i="5"/>
  <c r="A307" i="5"/>
  <c r="D306" i="5"/>
  <c r="A306" i="5"/>
  <c r="D305" i="5"/>
  <c r="A305" i="5"/>
  <c r="D304" i="5"/>
  <c r="A304" i="5"/>
  <c r="D303" i="5"/>
  <c r="A303" i="5"/>
  <c r="D302" i="5"/>
  <c r="A302" i="5"/>
  <c r="D301" i="5"/>
  <c r="A301" i="5"/>
  <c r="D300" i="5"/>
  <c r="A300" i="5"/>
  <c r="D299" i="5"/>
  <c r="A299" i="5"/>
  <c r="E298" i="5"/>
  <c r="D298" i="5"/>
  <c r="A298" i="5"/>
  <c r="D297" i="5"/>
  <c r="A297" i="5"/>
  <c r="D296" i="5"/>
  <c r="A296" i="5"/>
  <c r="D295" i="5"/>
  <c r="A295" i="5"/>
  <c r="D294" i="5"/>
  <c r="A294" i="5"/>
  <c r="E293" i="5"/>
  <c r="D293" i="5"/>
  <c r="A293" i="5"/>
  <c r="E292" i="5"/>
  <c r="D292" i="5"/>
  <c r="A292" i="5"/>
  <c r="E291" i="5"/>
  <c r="D291" i="5"/>
  <c r="A291" i="5"/>
  <c r="E290" i="5"/>
  <c r="D290" i="5"/>
  <c r="A290" i="5"/>
  <c r="E289" i="5"/>
  <c r="D289" i="5"/>
  <c r="A289" i="5"/>
  <c r="E288" i="5"/>
  <c r="D288" i="5"/>
  <c r="A288" i="5"/>
  <c r="E287" i="5"/>
  <c r="D287" i="5"/>
  <c r="A287" i="5"/>
  <c r="D286" i="5"/>
  <c r="A286" i="5"/>
  <c r="E285" i="5"/>
  <c r="D285" i="5"/>
  <c r="A285" i="5"/>
  <c r="E284" i="5"/>
  <c r="D284" i="5"/>
  <c r="A284" i="5"/>
  <c r="D283" i="5"/>
  <c r="A283" i="5"/>
  <c r="D282" i="5"/>
  <c r="A282" i="5"/>
  <c r="D281" i="5"/>
  <c r="A281" i="5"/>
  <c r="E280" i="5"/>
  <c r="D280" i="5"/>
  <c r="A280" i="5"/>
  <c r="D279" i="5"/>
  <c r="A279" i="5"/>
  <c r="E278" i="5"/>
  <c r="D278" i="5"/>
  <c r="A278" i="5"/>
  <c r="D277" i="5"/>
  <c r="A277" i="5"/>
  <c r="D276" i="5"/>
  <c r="A276" i="5"/>
  <c r="D275" i="5"/>
  <c r="A275" i="5"/>
  <c r="D274" i="5"/>
  <c r="A274" i="5"/>
  <c r="D273" i="5"/>
  <c r="A273" i="5"/>
  <c r="D272" i="5"/>
  <c r="A272" i="5"/>
  <c r="D271" i="5"/>
  <c r="A271" i="5"/>
  <c r="D270" i="5"/>
  <c r="A270" i="5"/>
  <c r="D269" i="5"/>
  <c r="A269" i="5"/>
  <c r="D268" i="5"/>
  <c r="A268" i="5"/>
  <c r="D267" i="5"/>
  <c r="A267" i="5"/>
  <c r="D266" i="5"/>
  <c r="A266" i="5"/>
  <c r="D265" i="5"/>
  <c r="A265" i="5"/>
  <c r="D264" i="5"/>
  <c r="A264" i="5"/>
  <c r="D263" i="5"/>
  <c r="A263" i="5"/>
  <c r="E262" i="5"/>
  <c r="D262" i="5"/>
  <c r="A262" i="5"/>
  <c r="D261" i="5"/>
  <c r="A261" i="5"/>
  <c r="D260" i="5"/>
  <c r="A260" i="5"/>
  <c r="D259" i="5"/>
  <c r="A259" i="5"/>
  <c r="E258" i="5"/>
  <c r="D258" i="5"/>
  <c r="A258" i="5"/>
  <c r="D257" i="5"/>
  <c r="A257" i="5"/>
  <c r="D256" i="5"/>
  <c r="A256" i="5"/>
  <c r="D255" i="5"/>
  <c r="A255" i="5"/>
  <c r="D254" i="5"/>
  <c r="A254" i="5"/>
  <c r="D253" i="5"/>
  <c r="A253" i="5"/>
  <c r="D252" i="5"/>
  <c r="A252" i="5"/>
  <c r="D251" i="5"/>
  <c r="A251" i="5"/>
  <c r="D250" i="5"/>
  <c r="A250" i="5"/>
  <c r="D249" i="5"/>
  <c r="A249" i="5"/>
  <c r="E248" i="5"/>
  <c r="D248" i="5"/>
  <c r="A248" i="5"/>
  <c r="D247" i="5"/>
  <c r="A247" i="5"/>
  <c r="D246" i="5"/>
  <c r="A246" i="5"/>
  <c r="E245" i="5"/>
  <c r="D245" i="5"/>
  <c r="A245" i="5"/>
  <c r="E244" i="5"/>
  <c r="D244" i="5"/>
  <c r="A244" i="5"/>
  <c r="E243" i="5"/>
  <c r="D243" i="5"/>
  <c r="A243" i="5"/>
  <c r="E242" i="5"/>
  <c r="D242" i="5"/>
  <c r="A242" i="5"/>
  <c r="D241" i="5"/>
  <c r="A241" i="5"/>
  <c r="D240" i="5"/>
  <c r="A240" i="5"/>
  <c r="D239" i="5"/>
  <c r="A239" i="5"/>
  <c r="D238" i="5"/>
  <c r="A238" i="5"/>
  <c r="D237" i="5"/>
  <c r="A237" i="5"/>
  <c r="D236" i="5"/>
  <c r="A236" i="5"/>
  <c r="D235" i="5"/>
  <c r="A235" i="5"/>
  <c r="D234" i="5"/>
  <c r="A234" i="5"/>
  <c r="D233" i="5"/>
  <c r="A233" i="5"/>
  <c r="D232" i="5"/>
  <c r="A232" i="5"/>
  <c r="D231" i="5"/>
  <c r="A231" i="5"/>
  <c r="D230" i="5"/>
  <c r="A230" i="5"/>
  <c r="D229" i="5"/>
  <c r="A229" i="5"/>
  <c r="D228" i="5"/>
  <c r="A228" i="5"/>
  <c r="D227" i="5"/>
  <c r="A227" i="5"/>
  <c r="D226" i="5"/>
  <c r="A226" i="5"/>
  <c r="D225" i="5"/>
  <c r="A225" i="5"/>
  <c r="D224" i="5"/>
  <c r="A224" i="5"/>
  <c r="D223" i="5"/>
  <c r="A223" i="5"/>
  <c r="D222" i="5"/>
  <c r="A222" i="5"/>
  <c r="D221" i="5"/>
  <c r="A221" i="5"/>
  <c r="D220" i="5"/>
  <c r="A220" i="5"/>
  <c r="D219" i="5"/>
  <c r="A219" i="5"/>
  <c r="D218" i="5"/>
  <c r="A218" i="5"/>
  <c r="D217" i="5"/>
  <c r="A217" i="5"/>
  <c r="D216" i="5"/>
  <c r="A216" i="5"/>
  <c r="D215" i="5"/>
  <c r="A215" i="5"/>
  <c r="E214" i="5"/>
  <c r="D214" i="5"/>
  <c r="A214" i="5"/>
  <c r="D213" i="5"/>
  <c r="A213" i="5"/>
  <c r="D212" i="5"/>
  <c r="A212" i="5"/>
  <c r="E211" i="5"/>
  <c r="D211" i="5"/>
  <c r="A211" i="5"/>
  <c r="D210" i="5"/>
  <c r="A210" i="5"/>
  <c r="D209" i="5"/>
  <c r="A209" i="5"/>
  <c r="D208" i="5"/>
  <c r="A208" i="5"/>
  <c r="D207" i="5"/>
  <c r="A207" i="5"/>
  <c r="D206" i="5"/>
  <c r="A206" i="5"/>
  <c r="D205" i="5"/>
  <c r="A205" i="5"/>
  <c r="D204" i="5"/>
  <c r="A204" i="5"/>
  <c r="D203" i="5"/>
  <c r="A203" i="5"/>
  <c r="D202" i="5"/>
  <c r="A202" i="5"/>
  <c r="D201" i="5"/>
  <c r="A201" i="5"/>
  <c r="D200" i="5"/>
  <c r="A200" i="5"/>
  <c r="D199" i="5"/>
  <c r="A199" i="5"/>
  <c r="D198" i="5"/>
  <c r="A198" i="5"/>
  <c r="D197" i="5"/>
  <c r="A197" i="5"/>
  <c r="D196" i="5"/>
  <c r="A196" i="5"/>
  <c r="D195" i="5"/>
  <c r="A195" i="5"/>
  <c r="D194" i="5"/>
  <c r="A194" i="5"/>
  <c r="D193" i="5"/>
  <c r="A193" i="5"/>
  <c r="D192" i="5"/>
  <c r="A192" i="5"/>
  <c r="E191" i="5"/>
  <c r="D191" i="5"/>
  <c r="A191" i="5"/>
  <c r="D190" i="5"/>
  <c r="A190" i="5"/>
  <c r="D189" i="5"/>
  <c r="A189" i="5"/>
  <c r="D188" i="5"/>
  <c r="A188" i="5"/>
  <c r="D187" i="5"/>
  <c r="A187" i="5"/>
  <c r="D186" i="5"/>
  <c r="A186" i="5"/>
  <c r="D185" i="5"/>
  <c r="A185" i="5"/>
  <c r="D184" i="5"/>
  <c r="A184" i="5"/>
  <c r="D183" i="5"/>
  <c r="A183" i="5"/>
  <c r="D182" i="5"/>
  <c r="A182" i="5"/>
  <c r="D181" i="5"/>
  <c r="A181" i="5"/>
  <c r="D180" i="5"/>
  <c r="A180" i="5"/>
  <c r="D179" i="5"/>
  <c r="A179" i="5"/>
  <c r="D178" i="5"/>
  <c r="A178" i="5"/>
  <c r="E177" i="5"/>
  <c r="D177" i="5"/>
  <c r="A177" i="5"/>
  <c r="E176" i="5"/>
  <c r="D176" i="5"/>
  <c r="A176" i="5"/>
  <c r="E175" i="5"/>
  <c r="D175" i="5"/>
  <c r="A175" i="5"/>
  <c r="E174" i="5"/>
  <c r="D174" i="5"/>
  <c r="A174" i="5"/>
  <c r="E173" i="5"/>
  <c r="D173" i="5"/>
  <c r="A173" i="5"/>
  <c r="E172" i="5"/>
  <c r="D172" i="5"/>
  <c r="A172" i="5"/>
  <c r="E171" i="5"/>
  <c r="D171" i="5"/>
  <c r="A171" i="5"/>
  <c r="D170" i="5"/>
  <c r="A170" i="5"/>
  <c r="D169" i="5"/>
  <c r="A169" i="5"/>
  <c r="D168" i="5"/>
  <c r="A168" i="5"/>
  <c r="D167" i="5"/>
  <c r="A167" i="5"/>
  <c r="D166" i="5"/>
  <c r="A166" i="5"/>
  <c r="D165" i="5"/>
  <c r="A165" i="5"/>
  <c r="D164" i="5"/>
  <c r="A164" i="5"/>
  <c r="D163" i="5"/>
  <c r="A163" i="5"/>
  <c r="D162" i="5"/>
  <c r="A162" i="5"/>
  <c r="D161" i="5"/>
  <c r="A161" i="5"/>
  <c r="D160" i="5"/>
  <c r="A160" i="5"/>
  <c r="D159" i="5"/>
  <c r="A159" i="5"/>
  <c r="D158" i="5"/>
  <c r="A158" i="5"/>
  <c r="D157" i="5"/>
  <c r="A157" i="5"/>
  <c r="D156" i="5"/>
  <c r="A156" i="5"/>
  <c r="D155" i="5"/>
  <c r="A155" i="5"/>
  <c r="D154" i="5"/>
  <c r="A154" i="5"/>
  <c r="D153" i="5"/>
  <c r="A153" i="5"/>
  <c r="D152" i="5"/>
  <c r="A152" i="5"/>
  <c r="D151" i="5"/>
  <c r="A151" i="5"/>
  <c r="D150" i="5"/>
  <c r="A150" i="5"/>
  <c r="D149" i="5"/>
  <c r="A149" i="5"/>
  <c r="D148" i="5"/>
  <c r="A148" i="5"/>
  <c r="D147" i="5"/>
  <c r="A147" i="5"/>
  <c r="D146" i="5"/>
  <c r="A146" i="5"/>
  <c r="E145" i="5"/>
  <c r="D145" i="5"/>
  <c r="A145" i="5"/>
  <c r="D144" i="5"/>
  <c r="A144" i="5"/>
  <c r="D143" i="5"/>
  <c r="A143" i="5"/>
  <c r="D142" i="5"/>
  <c r="A142" i="5"/>
  <c r="D141" i="5"/>
  <c r="A141" i="5"/>
  <c r="D140" i="5"/>
  <c r="A140" i="5"/>
  <c r="D139" i="5"/>
  <c r="A139" i="5"/>
  <c r="D138" i="5"/>
  <c r="A138" i="5"/>
  <c r="D137" i="5"/>
  <c r="A137" i="5"/>
  <c r="D136" i="5"/>
  <c r="A136" i="5"/>
  <c r="D135" i="5"/>
  <c r="A135" i="5"/>
  <c r="D134" i="5"/>
  <c r="A134" i="5"/>
  <c r="D133" i="5"/>
  <c r="A133" i="5"/>
  <c r="D132" i="5"/>
  <c r="A132" i="5"/>
  <c r="D131" i="5"/>
  <c r="A131" i="5"/>
  <c r="D130" i="5"/>
  <c r="A130" i="5"/>
  <c r="D129" i="5"/>
  <c r="A129" i="5"/>
  <c r="D128" i="5"/>
  <c r="A128" i="5"/>
  <c r="D127" i="5"/>
  <c r="A127" i="5"/>
  <c r="D126" i="5"/>
  <c r="A126" i="5"/>
  <c r="D125" i="5"/>
  <c r="A125" i="5"/>
  <c r="D124" i="5"/>
  <c r="A124" i="5"/>
  <c r="D123" i="5"/>
  <c r="A123" i="5"/>
  <c r="D122" i="5"/>
  <c r="A122" i="5"/>
  <c r="D121" i="5"/>
  <c r="A121" i="5"/>
  <c r="D120" i="5"/>
  <c r="A120" i="5"/>
  <c r="D119" i="5"/>
  <c r="A119" i="5"/>
  <c r="D118" i="5"/>
  <c r="A118" i="5"/>
  <c r="D117" i="5"/>
  <c r="A117" i="5"/>
  <c r="D116" i="5"/>
  <c r="A116" i="5"/>
  <c r="D115" i="5"/>
  <c r="A115" i="5"/>
  <c r="D114" i="5"/>
  <c r="A114" i="5"/>
  <c r="D113" i="5"/>
  <c r="A113" i="5"/>
  <c r="D112" i="5"/>
  <c r="A112" i="5"/>
  <c r="D111" i="5"/>
  <c r="A111" i="5"/>
  <c r="D110" i="5"/>
  <c r="A110" i="5"/>
  <c r="D109" i="5"/>
  <c r="A109" i="5"/>
  <c r="D108" i="5"/>
  <c r="A108" i="5"/>
  <c r="D107" i="5"/>
  <c r="A107" i="5"/>
  <c r="D106" i="5"/>
  <c r="A106" i="5"/>
  <c r="D105" i="5"/>
  <c r="A105" i="5"/>
  <c r="D104" i="5"/>
  <c r="A104" i="5"/>
  <c r="D103" i="5"/>
  <c r="A103" i="5"/>
  <c r="D102" i="5"/>
  <c r="A102" i="5"/>
  <c r="D101" i="5"/>
  <c r="A101" i="5"/>
  <c r="D100" i="5"/>
  <c r="A100" i="5"/>
  <c r="D99" i="5"/>
  <c r="A99" i="5"/>
  <c r="D98" i="5"/>
  <c r="A98" i="5"/>
  <c r="D97" i="5"/>
  <c r="A97" i="5"/>
  <c r="D96" i="5"/>
  <c r="A96" i="5"/>
  <c r="E95" i="5"/>
  <c r="D95" i="5"/>
  <c r="A95" i="5"/>
  <c r="E94" i="5"/>
  <c r="D94" i="5"/>
  <c r="A94" i="5"/>
  <c r="D93" i="5"/>
  <c r="A93" i="5"/>
  <c r="E92" i="5"/>
  <c r="D92" i="5"/>
  <c r="A92" i="5"/>
  <c r="D91" i="5"/>
  <c r="A91" i="5"/>
  <c r="D90" i="5"/>
  <c r="A90" i="5"/>
  <c r="D89" i="5"/>
  <c r="A89" i="5"/>
  <c r="D88" i="5"/>
  <c r="A88" i="5"/>
  <c r="D87" i="5"/>
  <c r="A87" i="5"/>
  <c r="D86" i="5"/>
  <c r="A86" i="5"/>
  <c r="D85" i="5"/>
  <c r="A85" i="5"/>
  <c r="D84" i="5"/>
  <c r="A84" i="5"/>
  <c r="E83" i="5"/>
  <c r="D83" i="5"/>
  <c r="A83" i="5"/>
  <c r="D82" i="5"/>
  <c r="A82" i="5"/>
  <c r="D81" i="5"/>
  <c r="A81" i="5"/>
  <c r="D80" i="5"/>
  <c r="A80" i="5"/>
  <c r="D79" i="5"/>
  <c r="A79" i="5"/>
  <c r="D78" i="5"/>
  <c r="A78" i="5"/>
  <c r="D77" i="5"/>
  <c r="A77" i="5"/>
  <c r="E76" i="5"/>
  <c r="D76" i="5"/>
  <c r="A76" i="5"/>
  <c r="E75" i="5"/>
  <c r="D75" i="5"/>
  <c r="A75" i="5"/>
  <c r="D74" i="5"/>
  <c r="A74" i="5"/>
  <c r="D73" i="5"/>
  <c r="A73" i="5"/>
  <c r="D72" i="5"/>
  <c r="A72" i="5"/>
  <c r="D71" i="5"/>
  <c r="A71" i="5"/>
  <c r="D70" i="5"/>
  <c r="A70" i="5"/>
  <c r="E69" i="5"/>
  <c r="D69" i="5"/>
  <c r="A69" i="5"/>
  <c r="E68" i="5"/>
  <c r="D68" i="5"/>
  <c r="A68" i="5"/>
  <c r="D67" i="5"/>
  <c r="A67" i="5"/>
  <c r="D66" i="5"/>
  <c r="A66" i="5"/>
  <c r="D65" i="5"/>
  <c r="A65" i="5"/>
  <c r="D64" i="5"/>
  <c r="A64" i="5"/>
  <c r="D63" i="5"/>
  <c r="A63" i="5"/>
  <c r="D62" i="5"/>
  <c r="A62" i="5"/>
  <c r="D61" i="5"/>
  <c r="A61" i="5"/>
  <c r="D60" i="5"/>
  <c r="A60" i="5"/>
  <c r="D59" i="5"/>
  <c r="A59" i="5"/>
  <c r="D58" i="5"/>
  <c r="A58" i="5"/>
  <c r="D57" i="5"/>
  <c r="A57" i="5"/>
  <c r="D56" i="5"/>
  <c r="A56" i="5"/>
  <c r="D55" i="5"/>
  <c r="A55" i="5"/>
  <c r="D54" i="5"/>
  <c r="A54" i="5"/>
  <c r="D53" i="5"/>
  <c r="A53" i="5"/>
  <c r="D52" i="5"/>
  <c r="A52" i="5"/>
  <c r="D51" i="5"/>
  <c r="A51" i="5"/>
  <c r="D50" i="5"/>
  <c r="A50" i="5"/>
  <c r="D49" i="5"/>
  <c r="A49" i="5"/>
  <c r="D48" i="5"/>
  <c r="A48" i="5"/>
  <c r="D47" i="5"/>
  <c r="A47" i="5"/>
  <c r="D46" i="5"/>
  <c r="A46" i="5"/>
  <c r="D45" i="5"/>
  <c r="A45" i="5"/>
  <c r="D44" i="5"/>
  <c r="A44" i="5"/>
  <c r="D43" i="5"/>
  <c r="A43" i="5"/>
  <c r="D42" i="5"/>
  <c r="A42" i="5"/>
  <c r="D41" i="5"/>
  <c r="A41" i="5"/>
  <c r="D40" i="5"/>
  <c r="A40" i="5"/>
  <c r="D39" i="5"/>
  <c r="A39" i="5"/>
  <c r="D38" i="5"/>
  <c r="A38" i="5"/>
  <c r="D37" i="5"/>
  <c r="A37" i="5"/>
  <c r="D36" i="5"/>
  <c r="A36" i="5"/>
  <c r="D35" i="5"/>
  <c r="A35" i="5"/>
  <c r="E34" i="5"/>
  <c r="D34" i="5"/>
  <c r="A34" i="5"/>
  <c r="D33" i="5"/>
  <c r="A33" i="5"/>
  <c r="D32" i="5"/>
  <c r="A32" i="5"/>
  <c r="D31" i="5"/>
  <c r="A31" i="5"/>
  <c r="E30" i="5"/>
  <c r="D30" i="5"/>
  <c r="A30" i="5"/>
  <c r="E29" i="5"/>
  <c r="D29" i="5"/>
  <c r="A29" i="5"/>
  <c r="D28" i="5"/>
  <c r="A28" i="5"/>
  <c r="D27" i="5"/>
  <c r="A27" i="5"/>
  <c r="D26" i="5"/>
  <c r="A26" i="5"/>
  <c r="D25" i="5"/>
  <c r="A25" i="5"/>
  <c r="D24" i="5"/>
  <c r="A24" i="5"/>
  <c r="D23" i="5"/>
  <c r="A23" i="5"/>
  <c r="D22" i="5"/>
  <c r="A22" i="5"/>
  <c r="D21" i="5"/>
  <c r="A21" i="5"/>
  <c r="D20" i="5"/>
  <c r="A20" i="5"/>
  <c r="D19" i="5"/>
  <c r="A19" i="5"/>
  <c r="D18" i="5"/>
  <c r="A18" i="5"/>
  <c r="D17" i="5"/>
  <c r="A17" i="5"/>
  <c r="D16" i="5"/>
  <c r="A16" i="5"/>
  <c r="D15" i="5"/>
  <c r="A15" i="5"/>
  <c r="D14" i="5"/>
  <c r="A14" i="5"/>
  <c r="D13" i="5"/>
  <c r="A13" i="5"/>
  <c r="D12" i="5"/>
  <c r="A12" i="5"/>
  <c r="D11" i="5"/>
  <c r="A11" i="5"/>
  <c r="D10" i="5"/>
  <c r="A10" i="5"/>
  <c r="D9" i="5"/>
  <c r="A9" i="5"/>
  <c r="D8" i="5"/>
  <c r="A8" i="5"/>
  <c r="D7" i="5"/>
  <c r="A7" i="5"/>
  <c r="D6" i="5"/>
  <c r="A6" i="5"/>
  <c r="D5" i="5"/>
  <c r="A5" i="5"/>
  <c r="D4" i="5"/>
  <c r="A4" i="5"/>
  <c r="D3" i="5"/>
  <c r="A3" i="5"/>
  <c r="D2" i="5"/>
  <c r="A2" i="5"/>
  <c r="G5027" i="4" a="1"/>
  <c r="G5027" i="4"/>
  <c r="E5027" i="4" a="1"/>
  <c r="E5027" i="4"/>
  <c r="G5026" i="4" a="1"/>
  <c r="G5026" i="4"/>
  <c r="G5025" i="4" a="1"/>
  <c r="G5025" i="4"/>
  <c r="E5025" i="4" a="1"/>
  <c r="E5025" i="4"/>
  <c r="G5024" i="4" a="1"/>
  <c r="G5024" i="4"/>
  <c r="G5023" i="4" a="1"/>
  <c r="G5023" i="4"/>
  <c r="E5023" i="4" a="1"/>
  <c r="E5023" i="4"/>
  <c r="G5022" i="4" a="1"/>
  <c r="G5022" i="4"/>
  <c r="E5022" i="4" a="1"/>
  <c r="E5022" i="4"/>
  <c r="G5021" i="4" a="1"/>
  <c r="G5021" i="4"/>
  <c r="E5021" i="4" a="1"/>
  <c r="E5021" i="4"/>
  <c r="G5020" i="4" a="1"/>
  <c r="G5020" i="4"/>
  <c r="E5020" i="4" a="1"/>
  <c r="E5020" i="4"/>
  <c r="G5019" i="4" a="1"/>
  <c r="G5019" i="4"/>
  <c r="G5018" i="4" a="1"/>
  <c r="G5018" i="4"/>
  <c r="E5018" i="4" a="1"/>
  <c r="E5018" i="4"/>
  <c r="G5017" i="4" a="1"/>
  <c r="G5017" i="4"/>
  <c r="E5017" i="4" a="1"/>
  <c r="E5017" i="4"/>
  <c r="G5016" i="4" a="1"/>
  <c r="G5016" i="4"/>
  <c r="E5016" i="4" a="1"/>
  <c r="E5016" i="4"/>
  <c r="G5015" i="4" a="1"/>
  <c r="G5015" i="4"/>
  <c r="E5015" i="4" a="1"/>
  <c r="E5015" i="4"/>
  <c r="G5014" i="4" a="1"/>
  <c r="G5014" i="4"/>
  <c r="E5014" i="4" a="1"/>
  <c r="E5014" i="4"/>
  <c r="G5013" i="4" a="1"/>
  <c r="G5013" i="4"/>
  <c r="G5012" i="4" a="1"/>
  <c r="G5012" i="4"/>
  <c r="E5012" i="4" a="1"/>
  <c r="E5012" i="4"/>
  <c r="G5011" i="4" a="1"/>
  <c r="G5011" i="4"/>
  <c r="G5010" i="4" a="1"/>
  <c r="G5010" i="4"/>
  <c r="E5010" i="4" a="1"/>
  <c r="E5010" i="4"/>
  <c r="G5009" i="4" a="1"/>
  <c r="G5009" i="4"/>
  <c r="E5009" i="4" a="1"/>
  <c r="E5009" i="4"/>
  <c r="G5008" i="4" a="1"/>
  <c r="G5008" i="4"/>
  <c r="E5008" i="4" a="1"/>
  <c r="E5008" i="4"/>
  <c r="G5007" i="4" a="1"/>
  <c r="G5007" i="4"/>
  <c r="G5006" i="4" a="1"/>
  <c r="G5006" i="4"/>
  <c r="E5006" i="4" a="1"/>
  <c r="E5006" i="4"/>
  <c r="G5005" i="4" a="1"/>
  <c r="G5005" i="4"/>
  <c r="E5005" i="4" a="1"/>
  <c r="E5005" i="4"/>
  <c r="G5004" i="4" a="1"/>
  <c r="G5004" i="4"/>
  <c r="E5004" i="4" a="1"/>
  <c r="E5004" i="4"/>
  <c r="G5003" i="4" a="1"/>
  <c r="G5003" i="4"/>
  <c r="E5003" i="4" a="1"/>
  <c r="E5003" i="4"/>
  <c r="G5002" i="4" a="1"/>
  <c r="G5002" i="4"/>
  <c r="E5002" i="4" a="1"/>
  <c r="E5002" i="4"/>
  <c r="G5001" i="4" a="1"/>
  <c r="G5001" i="4"/>
  <c r="E5001" i="4" a="1"/>
  <c r="E5001" i="4"/>
  <c r="G5000" i="4" a="1"/>
  <c r="G5000" i="4"/>
  <c r="E5000" i="4" a="1"/>
  <c r="E5000" i="4"/>
  <c r="G4999" i="4" a="1"/>
  <c r="G4999" i="4"/>
  <c r="G4998" i="4" a="1"/>
  <c r="G4998" i="4"/>
  <c r="E4998" i="4" a="1"/>
  <c r="E4998" i="4"/>
  <c r="G4997" i="4" a="1"/>
  <c r="G4997" i="4"/>
  <c r="G4996" i="4" a="1"/>
  <c r="G4996" i="4"/>
  <c r="E4996" i="4" a="1"/>
  <c r="E4996" i="4"/>
  <c r="G4995" i="4" a="1"/>
  <c r="G4995" i="4"/>
  <c r="E4995" i="4" a="1"/>
  <c r="E4995" i="4"/>
  <c r="G4994" i="4" a="1"/>
  <c r="G4994" i="4"/>
  <c r="E4994" i="4" a="1"/>
  <c r="E4994" i="4"/>
  <c r="G4993" i="4" a="1"/>
  <c r="G4993" i="4"/>
  <c r="E4993" i="4" a="1"/>
  <c r="E4993" i="4"/>
  <c r="G4992" i="4" a="1"/>
  <c r="G4992" i="4"/>
  <c r="E4992" i="4" a="1"/>
  <c r="E4992" i="4"/>
  <c r="G4991" i="4" a="1"/>
  <c r="G4991" i="4"/>
  <c r="E4991" i="4" a="1"/>
  <c r="E4991" i="4"/>
  <c r="G4990" i="4" a="1"/>
  <c r="G4990" i="4"/>
  <c r="G4989" i="4" a="1"/>
  <c r="G4989" i="4"/>
  <c r="E4989" i="4" a="1"/>
  <c r="E4989" i="4"/>
  <c r="G4988" i="4" a="1"/>
  <c r="G4988" i="4"/>
  <c r="G4987" i="4" a="1"/>
  <c r="G4987" i="4"/>
  <c r="E4987" i="4" a="1"/>
  <c r="E4987" i="4"/>
  <c r="G4986" i="4" a="1"/>
  <c r="G4986" i="4"/>
  <c r="E4986" i="4" a="1"/>
  <c r="E4986" i="4"/>
  <c r="G4985" i="4" a="1"/>
  <c r="G4985" i="4"/>
  <c r="E4985" i="4" a="1"/>
  <c r="E4985" i="4"/>
  <c r="G4984" i="4" a="1"/>
  <c r="G4984" i="4"/>
  <c r="G4983" i="4" a="1"/>
  <c r="G4983" i="4"/>
  <c r="E4983" i="4" a="1"/>
  <c r="E4983" i="4"/>
  <c r="G4982" i="4" a="1"/>
  <c r="G4982" i="4"/>
  <c r="E4982" i="4" a="1"/>
  <c r="E4982" i="4"/>
  <c r="G4981" i="4" a="1"/>
  <c r="G4981" i="4"/>
  <c r="E4981" i="4" a="1"/>
  <c r="E4981" i="4"/>
  <c r="G4980" i="4" a="1"/>
  <c r="G4980" i="4"/>
  <c r="G4979" i="4" a="1"/>
  <c r="G4979" i="4"/>
  <c r="E4979" i="4" a="1"/>
  <c r="E4979" i="4"/>
  <c r="G4978" i="4" a="1"/>
  <c r="G4978" i="4"/>
  <c r="E4978" i="4" a="1"/>
  <c r="E4978" i="4"/>
  <c r="G4977" i="4" a="1"/>
  <c r="G4977" i="4"/>
  <c r="E4977" i="4" a="1"/>
  <c r="E4977" i="4"/>
  <c r="G4976" i="4" a="1"/>
  <c r="G4976" i="4"/>
  <c r="G4975" i="4" a="1"/>
  <c r="G4975" i="4"/>
  <c r="E4975" i="4" a="1"/>
  <c r="E4975" i="4"/>
  <c r="G4974" i="4" a="1"/>
  <c r="G4974" i="4"/>
  <c r="G4973" i="4" a="1"/>
  <c r="G4973" i="4"/>
  <c r="E4973" i="4" a="1"/>
  <c r="E4973" i="4"/>
  <c r="G4972" i="4" a="1"/>
  <c r="G4972" i="4"/>
  <c r="E4972" i="4" a="1"/>
  <c r="E4972" i="4"/>
  <c r="G4971" i="4" a="1"/>
  <c r="G4971" i="4"/>
  <c r="E4971" i="4" a="1"/>
  <c r="E4971" i="4"/>
  <c r="G4970" i="4" a="1"/>
  <c r="G4970" i="4"/>
  <c r="E4970" i="4" a="1"/>
  <c r="E4970" i="4"/>
  <c r="G4969" i="4" a="1"/>
  <c r="G4969" i="4"/>
  <c r="E4969" i="4" a="1"/>
  <c r="E4969" i="4"/>
  <c r="G4968" i="4" a="1"/>
  <c r="G4968" i="4"/>
  <c r="E4968" i="4" a="1"/>
  <c r="E4968" i="4"/>
  <c r="G4967" i="4" a="1"/>
  <c r="G4967" i="4"/>
  <c r="E4967" i="4" a="1"/>
  <c r="E4967" i="4"/>
  <c r="G4966" i="4" a="1"/>
  <c r="G4966" i="4"/>
  <c r="G4965" i="4" a="1"/>
  <c r="G4965" i="4"/>
  <c r="E4965" i="4" a="1"/>
  <c r="E4965" i="4"/>
  <c r="G4964" i="4" a="1"/>
  <c r="G4964" i="4"/>
  <c r="E4964" i="4" a="1"/>
  <c r="E4964" i="4"/>
  <c r="G4963" i="4" a="1"/>
  <c r="G4963" i="4"/>
  <c r="E4963" i="4" a="1"/>
  <c r="E4963" i="4"/>
  <c r="G4962" i="4" a="1"/>
  <c r="G4962" i="4"/>
  <c r="E4962" i="4" a="1"/>
  <c r="E4962" i="4"/>
  <c r="G4961" i="4" a="1"/>
  <c r="G4961" i="4"/>
  <c r="E4961" i="4" a="1"/>
  <c r="E4961" i="4"/>
  <c r="G4960" i="4" a="1"/>
  <c r="G4960" i="4"/>
  <c r="E4960" i="4" a="1"/>
  <c r="E4960" i="4"/>
  <c r="G4959" i="4" a="1"/>
  <c r="G4959" i="4"/>
  <c r="E4959" i="4" a="1"/>
  <c r="E4959" i="4"/>
  <c r="G4958" i="4" a="1"/>
  <c r="G4958" i="4"/>
  <c r="G4957" i="4" a="1"/>
  <c r="G4957" i="4"/>
  <c r="E4957" i="4" a="1"/>
  <c r="E4957" i="4"/>
  <c r="G4956" i="4" a="1"/>
  <c r="G4956" i="4"/>
  <c r="E4956" i="4" a="1"/>
  <c r="E4956" i="4"/>
  <c r="G4955" i="4" a="1"/>
  <c r="G4955" i="4"/>
  <c r="E4955" i="4" a="1"/>
  <c r="E4955" i="4"/>
  <c r="G4954" i="4" a="1"/>
  <c r="G4954" i="4"/>
  <c r="E4954" i="4" a="1"/>
  <c r="E4954" i="4"/>
  <c r="G4953" i="4" a="1"/>
  <c r="G4953" i="4"/>
  <c r="E4953" i="4" a="1"/>
  <c r="E4953" i="4"/>
  <c r="G4952" i="4" a="1"/>
  <c r="G4952" i="4"/>
  <c r="E4952" i="4" a="1"/>
  <c r="E4952" i="4"/>
  <c r="G4951" i="4" a="1"/>
  <c r="G4951" i="4"/>
  <c r="E4951" i="4" a="1"/>
  <c r="E4951" i="4"/>
  <c r="G4950" i="4" a="1"/>
  <c r="G4950" i="4"/>
  <c r="G4949" i="4" a="1"/>
  <c r="G4949" i="4"/>
  <c r="E4949" i="4" a="1"/>
  <c r="E4949" i="4"/>
  <c r="G4948" i="4" a="1"/>
  <c r="G4948" i="4"/>
  <c r="E4948" i="4" a="1"/>
  <c r="E4948" i="4"/>
  <c r="G4947" i="4" a="1"/>
  <c r="G4947" i="4"/>
  <c r="E4947" i="4" a="1"/>
  <c r="E4947" i="4"/>
  <c r="G4946" i="4" a="1"/>
  <c r="G4946" i="4"/>
  <c r="E4946" i="4" a="1"/>
  <c r="E4946" i="4"/>
  <c r="G4945" i="4" a="1"/>
  <c r="G4945" i="4"/>
  <c r="E4945" i="4" a="1"/>
  <c r="E4945" i="4"/>
  <c r="G4944" i="4" a="1"/>
  <c r="G4944" i="4"/>
  <c r="E4944" i="4" a="1"/>
  <c r="E4944" i="4"/>
  <c r="G4943" i="4" a="1"/>
  <c r="G4943" i="4"/>
  <c r="E4943" i="4" a="1"/>
  <c r="E4943" i="4"/>
  <c r="G4942" i="4" a="1"/>
  <c r="G4942" i="4"/>
  <c r="G4941" i="4" a="1"/>
  <c r="G4941" i="4"/>
  <c r="G4940" i="4" a="1"/>
  <c r="G4940" i="4"/>
  <c r="E4940" i="4" a="1"/>
  <c r="E4940" i="4"/>
  <c r="G4939" i="4" a="1"/>
  <c r="G4939" i="4"/>
  <c r="G4938" i="4" a="1"/>
  <c r="G4938" i="4"/>
  <c r="E4938" i="4" a="1"/>
  <c r="E4938" i="4"/>
  <c r="G4937" i="4" a="1"/>
  <c r="G4937" i="4"/>
  <c r="E4937" i="4" a="1"/>
  <c r="E4937" i="4"/>
  <c r="G4935" i="4" a="1"/>
  <c r="G4935" i="4"/>
  <c r="E4935" i="4" a="1"/>
  <c r="E4935" i="4"/>
  <c r="G4934" i="4" a="1"/>
  <c r="G4934" i="4"/>
  <c r="E4934" i="4" a="1"/>
  <c r="E4934" i="4"/>
  <c r="G4933" i="4" a="1"/>
  <c r="G4933" i="4"/>
  <c r="E4933" i="4" a="1"/>
  <c r="E4933" i="4"/>
  <c r="G4931" i="4" a="1"/>
  <c r="G4931" i="4"/>
  <c r="E4931" i="4" a="1"/>
  <c r="E4931" i="4"/>
  <c r="G4930" i="4" a="1"/>
  <c r="G4930" i="4"/>
  <c r="E4930" i="4" a="1"/>
  <c r="E4930" i="4"/>
  <c r="G4929" i="4" a="1"/>
  <c r="G4929" i="4"/>
  <c r="E4929" i="4" a="1"/>
  <c r="E4929" i="4"/>
  <c r="G4927" i="4" a="1"/>
  <c r="G4927" i="4"/>
  <c r="E4927" i="4" a="1"/>
  <c r="E4927" i="4"/>
  <c r="G4926" i="4" a="1"/>
  <c r="G4926" i="4"/>
  <c r="E4926" i="4" a="1"/>
  <c r="E4926" i="4"/>
  <c r="G4925" i="4" a="1"/>
  <c r="G4925" i="4"/>
  <c r="E4925" i="4" a="1"/>
  <c r="E4925" i="4"/>
  <c r="G4924" i="4" a="1"/>
  <c r="G4924" i="4"/>
  <c r="E4924" i="4" a="1"/>
  <c r="E4924" i="4"/>
  <c r="G4923" i="4" a="1"/>
  <c r="G4923" i="4"/>
  <c r="G4922" i="4" a="1"/>
  <c r="G4922" i="4"/>
  <c r="E4922" i="4" a="1"/>
  <c r="E4922" i="4"/>
  <c r="G4921" i="4" a="1"/>
  <c r="G4921" i="4"/>
  <c r="E4921" i="4" a="1"/>
  <c r="E4921" i="4"/>
  <c r="G4920" i="4" a="1"/>
  <c r="G4920" i="4"/>
  <c r="E4920" i="4" a="1"/>
  <c r="E4920" i="4"/>
  <c r="G4919" i="4" a="1"/>
  <c r="G4919" i="4"/>
  <c r="E4919" i="4" a="1"/>
  <c r="E4919" i="4"/>
  <c r="G4918" i="4" a="1"/>
  <c r="G4918" i="4"/>
  <c r="G4917" i="4" a="1"/>
  <c r="G4917" i="4"/>
  <c r="E4917" i="4" a="1"/>
  <c r="E4917" i="4"/>
  <c r="G4916" i="4" a="1"/>
  <c r="G4916" i="4"/>
  <c r="E4916" i="4" a="1"/>
  <c r="E4916" i="4"/>
  <c r="G4915" i="4" a="1"/>
  <c r="G4915" i="4"/>
  <c r="E4915" i="4" a="1"/>
  <c r="E4915" i="4"/>
  <c r="G4914" i="4" a="1"/>
  <c r="G4914" i="4"/>
  <c r="E4914" i="4" a="1"/>
  <c r="E4914" i="4"/>
  <c r="G4913" i="4" a="1"/>
  <c r="G4913" i="4"/>
  <c r="E4913" i="4" a="1"/>
  <c r="E4913" i="4"/>
  <c r="G4912" i="4" a="1"/>
  <c r="G4912" i="4"/>
  <c r="G4911" i="4" a="1"/>
  <c r="G4911" i="4"/>
  <c r="E4911" i="4" a="1"/>
  <c r="E4911" i="4"/>
  <c r="G4910" i="4" a="1"/>
  <c r="G4910" i="4"/>
  <c r="E4910" i="4" a="1"/>
  <c r="E4910" i="4"/>
  <c r="G4909" i="4" a="1"/>
  <c r="G4909" i="4"/>
  <c r="E4909" i="4" a="1"/>
  <c r="E4909" i="4"/>
  <c r="G4908" i="4" a="1"/>
  <c r="G4908" i="4"/>
  <c r="E4908" i="4" a="1"/>
  <c r="E4908" i="4"/>
  <c r="G4907" i="4" a="1"/>
  <c r="G4907" i="4"/>
  <c r="E4907" i="4" a="1"/>
  <c r="E4907" i="4"/>
  <c r="G4906" i="4" a="1"/>
  <c r="G4906" i="4"/>
  <c r="G4905" i="4" a="1"/>
  <c r="G4905" i="4"/>
  <c r="E4905" i="4" a="1"/>
  <c r="E4905" i="4"/>
  <c r="G4904" i="4" a="1"/>
  <c r="G4904" i="4"/>
  <c r="E4904" i="4" a="1"/>
  <c r="E4904" i="4"/>
  <c r="G4903" i="4" a="1"/>
  <c r="G4903" i="4"/>
  <c r="E4903" i="4" a="1"/>
  <c r="E4903" i="4"/>
  <c r="G4902" i="4" a="1"/>
  <c r="G4902" i="4"/>
  <c r="E4902" i="4" a="1"/>
  <c r="E4902" i="4"/>
  <c r="G4901" i="4" a="1"/>
  <c r="G4901" i="4"/>
  <c r="E4901" i="4" a="1"/>
  <c r="E4901" i="4"/>
  <c r="G4900" i="4" a="1"/>
  <c r="G4900" i="4"/>
  <c r="G4899" i="4" a="1"/>
  <c r="G4899" i="4"/>
  <c r="E4899" i="4" a="1"/>
  <c r="E4899" i="4"/>
  <c r="G4898" i="4" a="1"/>
  <c r="G4898" i="4"/>
  <c r="E4898" i="4" a="1"/>
  <c r="E4898" i="4"/>
  <c r="G4897" i="4" a="1"/>
  <c r="G4897" i="4"/>
  <c r="E4897" i="4" a="1"/>
  <c r="E4897" i="4"/>
  <c r="G4896" i="4" a="1"/>
  <c r="G4896" i="4"/>
  <c r="E4896" i="4" a="1"/>
  <c r="E4896" i="4"/>
  <c r="G4895" i="4" a="1"/>
  <c r="G4895" i="4"/>
  <c r="E4895" i="4" a="1"/>
  <c r="E4895" i="4"/>
  <c r="G4894" i="4" a="1"/>
  <c r="G4894" i="4"/>
  <c r="G4893" i="4" a="1"/>
  <c r="G4893" i="4"/>
  <c r="E4893" i="4" a="1"/>
  <c r="E4893" i="4"/>
  <c r="G4892" i="4" a="1"/>
  <c r="G4892" i="4"/>
  <c r="E4892" i="4" a="1"/>
  <c r="E4892" i="4"/>
  <c r="G4891" i="4" a="1"/>
  <c r="G4891" i="4"/>
  <c r="E4891" i="4" a="1"/>
  <c r="E4891" i="4"/>
  <c r="G4890" i="4" a="1"/>
  <c r="G4890" i="4"/>
  <c r="E4890" i="4" a="1"/>
  <c r="E4890" i="4"/>
  <c r="G4889" i="4" a="1"/>
  <c r="G4889" i="4"/>
  <c r="E4889" i="4" a="1"/>
  <c r="E4889" i="4"/>
  <c r="G4888" i="4" a="1"/>
  <c r="G4888" i="4"/>
  <c r="G4887" i="4" a="1"/>
  <c r="G4887" i="4"/>
  <c r="E4887" i="4" a="1"/>
  <c r="E4887" i="4"/>
  <c r="G4886" i="4" a="1"/>
  <c r="G4886" i="4"/>
  <c r="E4886" i="4" a="1"/>
  <c r="E4886" i="4"/>
  <c r="G4885" i="4" a="1"/>
  <c r="G4885" i="4"/>
  <c r="E4885" i="4" a="1"/>
  <c r="E4885" i="4"/>
  <c r="G4884" i="4" a="1"/>
  <c r="G4884" i="4"/>
  <c r="G4883" i="4" a="1"/>
  <c r="G4883" i="4"/>
  <c r="E4883" i="4" a="1"/>
  <c r="E4883" i="4"/>
  <c r="G4882" i="4" a="1"/>
  <c r="G4882" i="4"/>
  <c r="E4882" i="4" a="1"/>
  <c r="E4882" i="4"/>
  <c r="G4881" i="4" a="1"/>
  <c r="G4881" i="4"/>
  <c r="E4881" i="4" a="1"/>
  <c r="E4881" i="4"/>
  <c r="G4880" i="4" a="1"/>
  <c r="G4880" i="4"/>
  <c r="G4879" i="4" a="1"/>
  <c r="G4879" i="4"/>
  <c r="E4879" i="4" a="1"/>
  <c r="E4879" i="4"/>
  <c r="G4878" i="4" a="1"/>
  <c r="G4878" i="4"/>
  <c r="G4877" i="4" a="1"/>
  <c r="G4877" i="4"/>
  <c r="F4877" i="4"/>
  <c r="E4877" i="4" a="1"/>
  <c r="E4877" i="4"/>
  <c r="G4876" i="4" a="1"/>
  <c r="G4876" i="4"/>
  <c r="F4876" i="4"/>
  <c r="E4876" i="4" a="1"/>
  <c r="E4876" i="4"/>
  <c r="G4875" i="4" a="1"/>
  <c r="G4875" i="4"/>
  <c r="G4874" i="4" a="1"/>
  <c r="G4874" i="4"/>
  <c r="E4874" i="4" a="1"/>
  <c r="E4874" i="4"/>
  <c r="G4873" i="4" a="1"/>
  <c r="G4873" i="4"/>
  <c r="G4872" i="4" a="1"/>
  <c r="G4872" i="4"/>
  <c r="F4872" i="4"/>
  <c r="E4872" i="4" a="1"/>
  <c r="E4872" i="4"/>
  <c r="G4871" i="4" a="1"/>
  <c r="G4871" i="4"/>
  <c r="E4871" i="4" a="1"/>
  <c r="E4871" i="4"/>
  <c r="G4870" i="4" a="1"/>
  <c r="G4870" i="4"/>
  <c r="G4869" i="4" a="1"/>
  <c r="G4869" i="4"/>
  <c r="E4869" i="4" a="1"/>
  <c r="E4869" i="4"/>
  <c r="G4868" i="4" a="1"/>
  <c r="G4868" i="4"/>
  <c r="E4868" i="4" a="1"/>
  <c r="E4868" i="4"/>
  <c r="G4867" i="4" a="1"/>
  <c r="G4867" i="4"/>
  <c r="E4867" i="4" a="1"/>
  <c r="E4867" i="4"/>
  <c r="G4866" i="4" a="1"/>
  <c r="G4866" i="4"/>
  <c r="G4865" i="4" a="1"/>
  <c r="G4865" i="4"/>
  <c r="G4864" i="4" a="1"/>
  <c r="G4864" i="4"/>
  <c r="E4864" i="4" a="1"/>
  <c r="E4864" i="4"/>
  <c r="G4863" i="4" a="1"/>
  <c r="G4863" i="4"/>
  <c r="G4862" i="4" a="1"/>
  <c r="G4862" i="4"/>
  <c r="E4862" i="4" a="1"/>
  <c r="E4862" i="4"/>
  <c r="G4861" i="4" a="1"/>
  <c r="G4861" i="4"/>
  <c r="G4860" i="4" a="1"/>
  <c r="G4860" i="4"/>
  <c r="E4860" i="4" a="1"/>
  <c r="E4860" i="4"/>
  <c r="G4859" i="4" a="1"/>
  <c r="G4859" i="4"/>
  <c r="G4858" i="4" a="1"/>
  <c r="G4858" i="4"/>
  <c r="E4858" i="4" a="1"/>
  <c r="E4858" i="4"/>
  <c r="G4857" i="4" a="1"/>
  <c r="G4857" i="4"/>
  <c r="E4857" i="4" a="1"/>
  <c r="E4857" i="4"/>
  <c r="G4856" i="4" a="1"/>
  <c r="G4856" i="4"/>
  <c r="E4856" i="4" a="1"/>
  <c r="E4856" i="4"/>
  <c r="G4855" i="4" a="1"/>
  <c r="G4855" i="4"/>
  <c r="G4854" i="4" a="1"/>
  <c r="G4854" i="4"/>
  <c r="E4854" i="4" a="1"/>
  <c r="E4854" i="4"/>
  <c r="G4853" i="4" a="1"/>
  <c r="G4853" i="4"/>
  <c r="G4852" i="4" a="1"/>
  <c r="G4852" i="4"/>
  <c r="E4852" i="4" a="1"/>
  <c r="E4852" i="4"/>
  <c r="G4851" i="4" a="1"/>
  <c r="G4851" i="4"/>
  <c r="G4850" i="4" a="1"/>
  <c r="G4850" i="4"/>
  <c r="E4850" i="4" a="1"/>
  <c r="E4850" i="4"/>
  <c r="G4849" i="4" a="1"/>
  <c r="G4849" i="4"/>
  <c r="G4848" i="4" a="1"/>
  <c r="G4848" i="4"/>
  <c r="E4848" i="4" a="1"/>
  <c r="E4848" i="4"/>
  <c r="G4847" i="4" a="1"/>
  <c r="G4847" i="4"/>
  <c r="G4846" i="4" a="1"/>
  <c r="G4846" i="4"/>
  <c r="E4846" i="4" a="1"/>
  <c r="E4846" i="4"/>
  <c r="G4845" i="4" a="1"/>
  <c r="G4845" i="4"/>
  <c r="G4844" i="4" a="1"/>
  <c r="G4844" i="4"/>
  <c r="E4844" i="4" a="1"/>
  <c r="E4844" i="4"/>
  <c r="G4843" i="4" a="1"/>
  <c r="G4843" i="4"/>
  <c r="G4842" i="4" a="1"/>
  <c r="G4842" i="4"/>
  <c r="E4842" i="4" a="1"/>
  <c r="E4842" i="4"/>
  <c r="G4841" i="4" a="1"/>
  <c r="G4841" i="4"/>
  <c r="G4840" i="4" a="1"/>
  <c r="G4840" i="4"/>
  <c r="E4840" i="4" a="1"/>
  <c r="E4840" i="4"/>
  <c r="G4839" i="4" a="1"/>
  <c r="G4839" i="4"/>
  <c r="G4838" i="4" a="1"/>
  <c r="G4838" i="4"/>
  <c r="E4838" i="4" a="1"/>
  <c r="E4838" i="4"/>
  <c r="G4837" i="4" a="1"/>
  <c r="G4837" i="4"/>
  <c r="G4836" i="4" a="1"/>
  <c r="G4836" i="4"/>
  <c r="E4836" i="4" a="1"/>
  <c r="E4836" i="4"/>
  <c r="G4835" i="4" a="1"/>
  <c r="G4835" i="4"/>
  <c r="G4834" i="4" a="1"/>
  <c r="G4834" i="4"/>
  <c r="E4834" i="4" a="1"/>
  <c r="E4834" i="4"/>
  <c r="G4833" i="4" a="1"/>
  <c r="G4833" i="4"/>
  <c r="G4832" i="4" a="1"/>
  <c r="G4832" i="4"/>
  <c r="E4832" i="4" a="1"/>
  <c r="E4832" i="4"/>
  <c r="G4831" i="4" a="1"/>
  <c r="G4831" i="4"/>
  <c r="G4830" i="4" a="1"/>
  <c r="G4830" i="4"/>
  <c r="E4830" i="4" a="1"/>
  <c r="E4830" i="4"/>
  <c r="G4829" i="4" a="1"/>
  <c r="G4829" i="4"/>
  <c r="E4829" i="4" a="1"/>
  <c r="E4829" i="4"/>
  <c r="G4828" i="4" a="1"/>
  <c r="G4828" i="4"/>
  <c r="E4828" i="4" a="1"/>
  <c r="E4828" i="4"/>
  <c r="G4827" i="4" a="1"/>
  <c r="G4827" i="4"/>
  <c r="E4827" i="4" a="1"/>
  <c r="E4827" i="4"/>
  <c r="G4826" i="4" a="1"/>
  <c r="G4826" i="4"/>
  <c r="E4826" i="4" a="1"/>
  <c r="E4826" i="4"/>
  <c r="G4825" i="4" a="1"/>
  <c r="G4825" i="4"/>
  <c r="E4825" i="4" a="1"/>
  <c r="E4825" i="4"/>
  <c r="G4824" i="4" a="1"/>
  <c r="G4824" i="4"/>
  <c r="E4824" i="4" a="1"/>
  <c r="E4824" i="4"/>
  <c r="G4823" i="4" a="1"/>
  <c r="G4823" i="4"/>
  <c r="E4823" i="4" a="1"/>
  <c r="E4823" i="4"/>
  <c r="G4822" i="4" a="1"/>
  <c r="G4822" i="4"/>
  <c r="E4822" i="4" a="1"/>
  <c r="E4822" i="4"/>
  <c r="G4821" i="4" a="1"/>
  <c r="G4821" i="4"/>
  <c r="G4820" i="4" a="1"/>
  <c r="G4820" i="4"/>
  <c r="E4820" i="4" a="1"/>
  <c r="E4820" i="4"/>
  <c r="G4819" i="4" a="1"/>
  <c r="G4819" i="4"/>
  <c r="E4819" i="4" a="1"/>
  <c r="E4819" i="4"/>
  <c r="G4818" i="4" a="1"/>
  <c r="G4818" i="4"/>
  <c r="E4818" i="4" a="1"/>
  <c r="E4818" i="4"/>
  <c r="G4817" i="4" a="1"/>
  <c r="G4817" i="4"/>
  <c r="E4817" i="4" a="1"/>
  <c r="E4817" i="4"/>
  <c r="G4816" i="4" a="1"/>
  <c r="G4816" i="4"/>
  <c r="E4816" i="4" a="1"/>
  <c r="E4816" i="4"/>
  <c r="G4815" i="4" a="1"/>
  <c r="G4815" i="4"/>
  <c r="E4815" i="4" a="1"/>
  <c r="E4815" i="4"/>
  <c r="G4814" i="4" a="1"/>
  <c r="G4814" i="4"/>
  <c r="E4814" i="4" a="1"/>
  <c r="E4814" i="4"/>
  <c r="G4813" i="4" a="1"/>
  <c r="G4813" i="4"/>
  <c r="E4813" i="4" a="1"/>
  <c r="E4813" i="4"/>
  <c r="G4812" i="4" a="1"/>
  <c r="G4812" i="4"/>
  <c r="E4812" i="4" a="1"/>
  <c r="E4812" i="4"/>
  <c r="G4811" i="4" a="1"/>
  <c r="G4811" i="4"/>
  <c r="G4810" i="4" a="1"/>
  <c r="G4810" i="4"/>
  <c r="E4810" i="4" a="1"/>
  <c r="E4810" i="4"/>
  <c r="G4809" i="4" a="1"/>
  <c r="G4809" i="4"/>
  <c r="E4809" i="4" a="1"/>
  <c r="E4809" i="4"/>
  <c r="G4808" i="4" a="1"/>
  <c r="G4808" i="4"/>
  <c r="E4808" i="4" a="1"/>
  <c r="E4808" i="4"/>
  <c r="G4807" i="4" a="1"/>
  <c r="G4807" i="4"/>
  <c r="E4807" i="4" a="1"/>
  <c r="E4807" i="4"/>
  <c r="G4806" i="4" a="1"/>
  <c r="G4806" i="4"/>
  <c r="E4806" i="4" a="1"/>
  <c r="E4806" i="4"/>
  <c r="G4805" i="4" a="1"/>
  <c r="G4805" i="4"/>
  <c r="E4805" i="4" a="1"/>
  <c r="E4805" i="4"/>
  <c r="G4804" i="4" a="1"/>
  <c r="G4804" i="4"/>
  <c r="E4804" i="4" a="1"/>
  <c r="E4804" i="4"/>
  <c r="G4803" i="4" a="1"/>
  <c r="G4803" i="4"/>
  <c r="E4803" i="4" a="1"/>
  <c r="E4803" i="4"/>
  <c r="G4802" i="4" a="1"/>
  <c r="G4802" i="4"/>
  <c r="E4802" i="4" a="1"/>
  <c r="E4802" i="4"/>
  <c r="G4801" i="4" a="1"/>
  <c r="G4801" i="4"/>
  <c r="G4800" i="4" a="1"/>
  <c r="G4800" i="4"/>
  <c r="E4800" i="4" a="1"/>
  <c r="E4800" i="4"/>
  <c r="G4799" i="4" a="1"/>
  <c r="G4799" i="4"/>
  <c r="E4799" i="4" a="1"/>
  <c r="E4799" i="4"/>
  <c r="G4798" i="4" a="1"/>
  <c r="G4798" i="4"/>
  <c r="E4798" i="4" a="1"/>
  <c r="E4798" i="4"/>
  <c r="G4797" i="4" a="1"/>
  <c r="G4797" i="4"/>
  <c r="E4797" i="4" a="1"/>
  <c r="E4797" i="4"/>
  <c r="G4796" i="4" a="1"/>
  <c r="G4796" i="4"/>
  <c r="E4796" i="4" a="1"/>
  <c r="E4796" i="4"/>
  <c r="G4795" i="4" a="1"/>
  <c r="G4795" i="4"/>
  <c r="E4795" i="4" a="1"/>
  <c r="E4795" i="4"/>
  <c r="G4794" i="4" a="1"/>
  <c r="G4794" i="4"/>
  <c r="E4794" i="4" a="1"/>
  <c r="E4794" i="4"/>
  <c r="G4793" i="4" a="1"/>
  <c r="G4793" i="4"/>
  <c r="E4793" i="4" a="1"/>
  <c r="E4793" i="4"/>
  <c r="G4792" i="4" a="1"/>
  <c r="G4792" i="4"/>
  <c r="E4792" i="4" a="1"/>
  <c r="E4792" i="4"/>
  <c r="G4791" i="4" a="1"/>
  <c r="G4791" i="4"/>
  <c r="G4790" i="4" a="1"/>
  <c r="G4790" i="4"/>
  <c r="E4790" i="4" a="1"/>
  <c r="E4790" i="4"/>
  <c r="G4789" i="4" a="1"/>
  <c r="G4789" i="4"/>
  <c r="E4789" i="4" a="1"/>
  <c r="E4789" i="4"/>
  <c r="G4788" i="4" a="1"/>
  <c r="G4788" i="4"/>
  <c r="E4788" i="4" a="1"/>
  <c r="E4788" i="4"/>
  <c r="G4787" i="4" a="1"/>
  <c r="G4787" i="4"/>
  <c r="E4787" i="4" a="1"/>
  <c r="E4787" i="4"/>
  <c r="G4786" i="4" a="1"/>
  <c r="G4786" i="4"/>
  <c r="E4786" i="4" a="1"/>
  <c r="E4786" i="4"/>
  <c r="G4785" i="4" a="1"/>
  <c r="G4785" i="4"/>
  <c r="E4785" i="4" a="1"/>
  <c r="E4785" i="4"/>
  <c r="G4784" i="4" a="1"/>
  <c r="G4784" i="4"/>
  <c r="E4784" i="4" a="1"/>
  <c r="E4784" i="4"/>
  <c r="G4783" i="4" a="1"/>
  <c r="G4783" i="4"/>
  <c r="E4783" i="4" a="1"/>
  <c r="E4783" i="4"/>
  <c r="G4782" i="4" a="1"/>
  <c r="G4782" i="4"/>
  <c r="E4782" i="4" a="1"/>
  <c r="E4782" i="4"/>
  <c r="G4781" i="4" a="1"/>
  <c r="G4781" i="4"/>
  <c r="G4780" i="4" a="1"/>
  <c r="G4780" i="4"/>
  <c r="E4780" i="4" a="1"/>
  <c r="E4780" i="4"/>
  <c r="G4779" i="4" a="1"/>
  <c r="G4779" i="4"/>
  <c r="E4779" i="4" a="1"/>
  <c r="E4779" i="4"/>
  <c r="G4778" i="4" a="1"/>
  <c r="G4778" i="4"/>
  <c r="E4778" i="4" a="1"/>
  <c r="E4778" i="4"/>
  <c r="G4777" i="4" a="1"/>
  <c r="G4777" i="4"/>
  <c r="E4777" i="4" a="1"/>
  <c r="E4777" i="4"/>
  <c r="G4776" i="4" a="1"/>
  <c r="G4776" i="4"/>
  <c r="E4776" i="4" a="1"/>
  <c r="E4776" i="4"/>
  <c r="G4775" i="4" a="1"/>
  <c r="G4775" i="4"/>
  <c r="E4775" i="4" a="1"/>
  <c r="E4775" i="4"/>
  <c r="G4774" i="4" a="1"/>
  <c r="G4774" i="4"/>
  <c r="E4774" i="4" a="1"/>
  <c r="E4774" i="4"/>
  <c r="G4773" i="4" a="1"/>
  <c r="G4773" i="4"/>
  <c r="E4773" i="4" a="1"/>
  <c r="E4773" i="4"/>
  <c r="G4772" i="4" a="1"/>
  <c r="G4772" i="4"/>
  <c r="E4772" i="4" a="1"/>
  <c r="E4772" i="4"/>
  <c r="G4771" i="4" a="1"/>
  <c r="G4771" i="4"/>
  <c r="E4771" i="4" a="1"/>
  <c r="E4771" i="4"/>
  <c r="G4770" i="4" a="1"/>
  <c r="G4770" i="4"/>
  <c r="E4770" i="4" a="1"/>
  <c r="E4770" i="4"/>
  <c r="G4769" i="4" a="1"/>
  <c r="G4769" i="4"/>
  <c r="E4769" i="4" a="1"/>
  <c r="E4769" i="4"/>
  <c r="G4768" i="4" a="1"/>
  <c r="G4768" i="4"/>
  <c r="G4767" i="4" a="1"/>
  <c r="G4767" i="4"/>
  <c r="E4767" i="4" a="1"/>
  <c r="E4767" i="4"/>
  <c r="G4766" i="4" a="1"/>
  <c r="G4766" i="4"/>
  <c r="E4766" i="4" a="1"/>
  <c r="E4766" i="4"/>
  <c r="G4765" i="4" a="1"/>
  <c r="G4765" i="4"/>
  <c r="E4765" i="4" a="1"/>
  <c r="E4765" i="4"/>
  <c r="G4764" i="4" a="1"/>
  <c r="G4764" i="4"/>
  <c r="E4764" i="4" a="1"/>
  <c r="E4764" i="4"/>
  <c r="G4763" i="4" a="1"/>
  <c r="G4763" i="4"/>
  <c r="E4763" i="4" a="1"/>
  <c r="E4763" i="4"/>
  <c r="G4762" i="4" a="1"/>
  <c r="G4762" i="4"/>
  <c r="E4762" i="4" a="1"/>
  <c r="E4762" i="4"/>
  <c r="G4761" i="4" a="1"/>
  <c r="G4761" i="4"/>
  <c r="E4761" i="4" a="1"/>
  <c r="E4761" i="4"/>
  <c r="G4760" i="4" a="1"/>
  <c r="G4760" i="4"/>
  <c r="E4760" i="4" a="1"/>
  <c r="E4760" i="4"/>
  <c r="G4759" i="4" a="1"/>
  <c r="G4759" i="4"/>
  <c r="G4758" i="4" a="1"/>
  <c r="G4758" i="4"/>
  <c r="E4758" i="4" a="1"/>
  <c r="E4758" i="4"/>
  <c r="G4757" i="4" a="1"/>
  <c r="G4757" i="4"/>
  <c r="E4757" i="4" a="1"/>
  <c r="E4757" i="4"/>
  <c r="G4756" i="4" a="1"/>
  <c r="G4756" i="4"/>
  <c r="E4756" i="4" a="1"/>
  <c r="E4756" i="4"/>
  <c r="G4755" i="4" a="1"/>
  <c r="G4755" i="4"/>
  <c r="E4755" i="4" a="1"/>
  <c r="E4755" i="4"/>
  <c r="G4754" i="4" a="1"/>
  <c r="G4754" i="4"/>
  <c r="E4754" i="4" a="1"/>
  <c r="E4754" i="4"/>
  <c r="G4753" i="4" a="1"/>
  <c r="G4753" i="4"/>
  <c r="E4753" i="4" a="1"/>
  <c r="E4753" i="4"/>
  <c r="G4752" i="4" a="1"/>
  <c r="G4752" i="4"/>
  <c r="E4752" i="4" a="1"/>
  <c r="E4752" i="4"/>
  <c r="G4751" i="4" a="1"/>
  <c r="G4751" i="4"/>
  <c r="E4751" i="4" a="1"/>
  <c r="E4751" i="4"/>
  <c r="G4750" i="4" a="1"/>
  <c r="G4750" i="4"/>
  <c r="G4749" i="4" a="1"/>
  <c r="G4749" i="4"/>
  <c r="E4749" i="4" a="1"/>
  <c r="E4749" i="4"/>
  <c r="G4748" i="4" a="1"/>
  <c r="G4748" i="4"/>
  <c r="E4748" i="4" a="1"/>
  <c r="E4748" i="4"/>
  <c r="G4747" i="4" a="1"/>
  <c r="G4747" i="4"/>
  <c r="E4747" i="4" a="1"/>
  <c r="E4747" i="4"/>
  <c r="G4746" i="4" a="1"/>
  <c r="G4746" i="4"/>
  <c r="E4746" i="4" a="1"/>
  <c r="E4746" i="4"/>
  <c r="G4745" i="4" a="1"/>
  <c r="G4745" i="4"/>
  <c r="E4745" i="4" a="1"/>
  <c r="E4745" i="4"/>
  <c r="G4744" i="4" a="1"/>
  <c r="G4744" i="4"/>
  <c r="E4744" i="4" a="1"/>
  <c r="E4744" i="4"/>
  <c r="G4743" i="4" a="1"/>
  <c r="G4743" i="4"/>
  <c r="E4743" i="4" a="1"/>
  <c r="E4743" i="4"/>
  <c r="G4742" i="4" a="1"/>
  <c r="G4742" i="4"/>
  <c r="G4741" i="4" a="1"/>
  <c r="G4741" i="4"/>
  <c r="E4741" i="4" a="1"/>
  <c r="E4741" i="4"/>
  <c r="G4740" i="4" a="1"/>
  <c r="G4740" i="4"/>
  <c r="E4740" i="4" a="1"/>
  <c r="E4740" i="4"/>
  <c r="G4739" i="4" a="1"/>
  <c r="G4739" i="4"/>
  <c r="E4739" i="4" a="1"/>
  <c r="E4739" i="4"/>
  <c r="G4738" i="4" a="1"/>
  <c r="G4738" i="4"/>
  <c r="E4738" i="4" a="1"/>
  <c r="E4738" i="4"/>
  <c r="G4737" i="4" a="1"/>
  <c r="G4737" i="4"/>
  <c r="E4737" i="4" a="1"/>
  <c r="E4737" i="4"/>
  <c r="G4736" i="4" a="1"/>
  <c r="G4736" i="4"/>
  <c r="E4736" i="4" a="1"/>
  <c r="E4736" i="4"/>
  <c r="G4735" i="4" a="1"/>
  <c r="G4735" i="4"/>
  <c r="E4735" i="4" a="1"/>
  <c r="E4735" i="4"/>
  <c r="G4734" i="4" a="1"/>
  <c r="G4734" i="4"/>
  <c r="G4733" i="4" a="1"/>
  <c r="G4733" i="4"/>
  <c r="E4733" i="4" a="1"/>
  <c r="E4733" i="4"/>
  <c r="G4732" i="4" a="1"/>
  <c r="G4732" i="4"/>
  <c r="E4732" i="4" a="1"/>
  <c r="E4732" i="4"/>
  <c r="G4731" i="4" a="1"/>
  <c r="G4731" i="4"/>
  <c r="E4731" i="4" a="1"/>
  <c r="E4731" i="4"/>
  <c r="G4730" i="4" a="1"/>
  <c r="G4730" i="4"/>
  <c r="E4730" i="4" a="1"/>
  <c r="E4730" i="4"/>
  <c r="G4729" i="4" a="1"/>
  <c r="G4729" i="4"/>
  <c r="E4729" i="4" a="1"/>
  <c r="E4729" i="4"/>
  <c r="G4728" i="4" a="1"/>
  <c r="G4728" i="4"/>
  <c r="E4728" i="4" a="1"/>
  <c r="E4728" i="4"/>
  <c r="G4727" i="4" a="1"/>
  <c r="G4727" i="4"/>
  <c r="E4727" i="4" a="1"/>
  <c r="E4727" i="4"/>
  <c r="G4726" i="4" a="1"/>
  <c r="G4726" i="4"/>
  <c r="G4725" i="4" a="1"/>
  <c r="G4725" i="4"/>
  <c r="G4724" i="4" a="1"/>
  <c r="G4724" i="4"/>
  <c r="E4724" i="4" a="1"/>
  <c r="E4724" i="4"/>
  <c r="G4723" i="4" a="1"/>
  <c r="G4723" i="4"/>
  <c r="G4722" i="4" a="1"/>
  <c r="G4722" i="4"/>
  <c r="E4722" i="4" a="1"/>
  <c r="E4722" i="4"/>
  <c r="G4721" i="4" a="1"/>
  <c r="G4721" i="4"/>
  <c r="G4720" i="4" a="1"/>
  <c r="G4720" i="4"/>
  <c r="E4720" i="4" a="1"/>
  <c r="E4720" i="4"/>
  <c r="G4719" i="4" a="1"/>
  <c r="G4719" i="4"/>
  <c r="G4718" i="4" a="1"/>
  <c r="G4718" i="4"/>
  <c r="E4718" i="4" a="1"/>
  <c r="E4718" i="4"/>
  <c r="G4717" i="4" a="1"/>
  <c r="G4717" i="4"/>
  <c r="G4716" i="4" a="1"/>
  <c r="G4716" i="4"/>
  <c r="E4716" i="4" a="1"/>
  <c r="E4716" i="4"/>
  <c r="G4715" i="4" a="1"/>
  <c r="G4715" i="4"/>
  <c r="G4714" i="4" a="1"/>
  <c r="G4714" i="4"/>
  <c r="E4714" i="4" a="1"/>
  <c r="E4714" i="4"/>
  <c r="G4713" i="4" a="1"/>
  <c r="G4713" i="4"/>
  <c r="G4712" i="4" a="1"/>
  <c r="G4712" i="4"/>
  <c r="E4712" i="4" a="1"/>
  <c r="E4712" i="4"/>
  <c r="G4711" i="4" a="1"/>
  <c r="G4711" i="4"/>
  <c r="G4710" i="4" a="1"/>
  <c r="G4710" i="4"/>
  <c r="E4710" i="4" a="1"/>
  <c r="E4710" i="4"/>
  <c r="G4709" i="4" a="1"/>
  <c r="G4709" i="4"/>
  <c r="G4708" i="4" a="1"/>
  <c r="G4708" i="4"/>
  <c r="E4708" i="4" a="1"/>
  <c r="E4708" i="4"/>
  <c r="G4707" i="4" a="1"/>
  <c r="G4707" i="4"/>
  <c r="G4706" i="4" a="1"/>
  <c r="G4706" i="4"/>
  <c r="E4706" i="4" a="1"/>
  <c r="E4706" i="4"/>
  <c r="G4705" i="4" a="1"/>
  <c r="G4705" i="4"/>
  <c r="G4704" i="4" a="1"/>
  <c r="G4704" i="4"/>
  <c r="E4704" i="4" a="1"/>
  <c r="E4704" i="4"/>
  <c r="G4703" i="4" a="1"/>
  <c r="G4703" i="4"/>
  <c r="G4702" i="4" a="1"/>
  <c r="G4702" i="4"/>
  <c r="E4702" i="4" a="1"/>
  <c r="E4702" i="4"/>
  <c r="G4701" i="4" a="1"/>
  <c r="G4701" i="4"/>
  <c r="G4699" i="4" a="1"/>
  <c r="G4699" i="4"/>
  <c r="E4699" i="4" a="1"/>
  <c r="E4699" i="4"/>
  <c r="G4698" i="4" a="1"/>
  <c r="G4698" i="4"/>
  <c r="G4697" i="4" a="1"/>
  <c r="G4697" i="4"/>
  <c r="E4697" i="4" a="1"/>
  <c r="E4697" i="4"/>
  <c r="G4696" i="4" a="1"/>
  <c r="G4696" i="4"/>
  <c r="E4696" i="4" a="1"/>
  <c r="E4696" i="4"/>
  <c r="G4695" i="4" a="1"/>
  <c r="G4695" i="4"/>
  <c r="G4694" i="4" a="1"/>
  <c r="G4694" i="4"/>
  <c r="E4694" i="4" a="1"/>
  <c r="E4694" i="4"/>
  <c r="G4693" i="4" a="1"/>
  <c r="G4693" i="4"/>
  <c r="G4692" i="4" a="1"/>
  <c r="G4692" i="4"/>
  <c r="E4692" i="4" a="1"/>
  <c r="E4692" i="4"/>
  <c r="G4691" i="4" a="1"/>
  <c r="G4691" i="4"/>
  <c r="G4690" i="4" a="1"/>
  <c r="G4690" i="4"/>
  <c r="E4690" i="4" a="1"/>
  <c r="E4690" i="4"/>
  <c r="G4689" i="4" a="1"/>
  <c r="G4689" i="4"/>
  <c r="G4688" i="4" a="1"/>
  <c r="G4688" i="4"/>
  <c r="E4688" i="4" a="1"/>
  <c r="E4688" i="4"/>
  <c r="G4687" i="4" a="1"/>
  <c r="G4687" i="4"/>
  <c r="E4687" i="4" a="1"/>
  <c r="E4687" i="4"/>
  <c r="G4686" i="4" a="1"/>
  <c r="G4686" i="4"/>
  <c r="G4685" i="4" a="1"/>
  <c r="G4685" i="4"/>
  <c r="E4685" i="4" a="1"/>
  <c r="E4685" i="4"/>
  <c r="G4684" i="4" a="1"/>
  <c r="G4684" i="4"/>
  <c r="E4684" i="4" a="1"/>
  <c r="E4684" i="4"/>
  <c r="G4683" i="4" a="1"/>
  <c r="G4683" i="4"/>
  <c r="F4683" i="4"/>
  <c r="E4683" i="4" a="1"/>
  <c r="E4683" i="4"/>
  <c r="G4682" i="4" a="1"/>
  <c r="G4682" i="4"/>
  <c r="E4682" i="4" a="1"/>
  <c r="E4682" i="4"/>
  <c r="G4681" i="4" a="1"/>
  <c r="G4681" i="4"/>
  <c r="G4680" i="4" a="1"/>
  <c r="G4680" i="4"/>
  <c r="E4680" i="4" a="1"/>
  <c r="E4680" i="4"/>
  <c r="G4679" i="4" a="1"/>
  <c r="G4679" i="4"/>
  <c r="E4679" i="4" a="1"/>
  <c r="E4679" i="4"/>
  <c r="G4678" i="4" a="1"/>
  <c r="G4678" i="4"/>
  <c r="F4678" i="4"/>
  <c r="E4678" i="4" a="1"/>
  <c r="E4678" i="4"/>
  <c r="G4677" i="4" a="1"/>
  <c r="G4677" i="4"/>
  <c r="E4677" i="4" a="1"/>
  <c r="E4677" i="4"/>
  <c r="G4676" i="4" a="1"/>
  <c r="G4676" i="4"/>
  <c r="G4675" i="4" a="1"/>
  <c r="G4675" i="4"/>
  <c r="E4675" i="4" a="1"/>
  <c r="E4675" i="4"/>
  <c r="G4674" i="4" a="1"/>
  <c r="G4674" i="4"/>
  <c r="E4674" i="4" a="1"/>
  <c r="E4674" i="4"/>
  <c r="G4673" i="4" a="1"/>
  <c r="G4673" i="4"/>
  <c r="F4673" i="4"/>
  <c r="E4673" i="4" a="1"/>
  <c r="E4673" i="4"/>
  <c r="G4672" i="4" a="1"/>
  <c r="G4672" i="4"/>
  <c r="E4672" i="4" a="1"/>
  <c r="E4672" i="4"/>
  <c r="G4671" i="4" a="1"/>
  <c r="G4671" i="4"/>
  <c r="G4670" i="4" a="1"/>
  <c r="G4670" i="4"/>
  <c r="E4670" i="4" a="1"/>
  <c r="E4670" i="4"/>
  <c r="G4669" i="4" a="1"/>
  <c r="G4669" i="4"/>
  <c r="E4669" i="4" a="1"/>
  <c r="E4669" i="4"/>
  <c r="G4668" i="4" a="1"/>
  <c r="G4668" i="4"/>
  <c r="E4668" i="4" a="1"/>
  <c r="E4668" i="4"/>
  <c r="G4667" i="4" a="1"/>
  <c r="G4667" i="4"/>
  <c r="E4667" i="4" a="1"/>
  <c r="E4667" i="4"/>
  <c r="G4666" i="4" a="1"/>
  <c r="G4666" i="4"/>
  <c r="F4666" i="4"/>
  <c r="E4666" i="4" a="1"/>
  <c r="E4666" i="4"/>
  <c r="G4665" i="4" a="1"/>
  <c r="G4665" i="4"/>
  <c r="F4665" i="4"/>
  <c r="E4665" i="4" a="1"/>
  <c r="E4665" i="4"/>
  <c r="G4664" i="4" a="1"/>
  <c r="G4664" i="4"/>
  <c r="G4663" i="4" a="1"/>
  <c r="G4663" i="4"/>
  <c r="E4663" i="4" a="1"/>
  <c r="E4663" i="4"/>
  <c r="G4662" i="4" a="1"/>
  <c r="G4662" i="4"/>
  <c r="E4662" i="4" a="1"/>
  <c r="E4662" i="4"/>
  <c r="G4661" i="4" a="1"/>
  <c r="G4661" i="4"/>
  <c r="E4661" i="4" a="1"/>
  <c r="E4661" i="4"/>
  <c r="G4660" i="4" a="1"/>
  <c r="G4660" i="4"/>
  <c r="E4660" i="4" a="1"/>
  <c r="E4660" i="4"/>
  <c r="G4659" i="4" a="1"/>
  <c r="G4659" i="4"/>
  <c r="G4658" i="4" a="1"/>
  <c r="G4658" i="4"/>
  <c r="E4658" i="4" a="1"/>
  <c r="E4658" i="4"/>
  <c r="G4657" i="4" a="1"/>
  <c r="G4657" i="4"/>
  <c r="E4657" i="4" a="1"/>
  <c r="E4657" i="4"/>
  <c r="G4656" i="4" a="1"/>
  <c r="G4656" i="4"/>
  <c r="E4656" i="4" a="1"/>
  <c r="E4656" i="4"/>
  <c r="G4655" i="4" a="1"/>
  <c r="G4655" i="4"/>
  <c r="E4655" i="4" a="1"/>
  <c r="E4655" i="4"/>
  <c r="G4654" i="4" a="1"/>
  <c r="G4654" i="4"/>
  <c r="G4653" i="4" a="1"/>
  <c r="G4653" i="4"/>
  <c r="E4653" i="4" a="1"/>
  <c r="E4653" i="4"/>
  <c r="G4652" i="4" a="1"/>
  <c r="G4652" i="4"/>
  <c r="E4652" i="4" a="1"/>
  <c r="E4652" i="4"/>
  <c r="G4651" i="4" a="1"/>
  <c r="G4651" i="4"/>
  <c r="E4651" i="4" a="1"/>
  <c r="E4651" i="4"/>
  <c r="G4650" i="4" a="1"/>
  <c r="G4650" i="4"/>
  <c r="E4650" i="4" a="1"/>
  <c r="E4650" i="4"/>
  <c r="G4649" i="4" a="1"/>
  <c r="G4649" i="4"/>
  <c r="E4649" i="4" a="1"/>
  <c r="E4649" i="4"/>
  <c r="G4648" i="4" a="1"/>
  <c r="G4648" i="4"/>
  <c r="F4648" i="4"/>
  <c r="E4648" i="4" a="1"/>
  <c r="E4648" i="4"/>
  <c r="G4647" i="4" a="1"/>
  <c r="G4647" i="4"/>
  <c r="E4647" i="4" a="1"/>
  <c r="E4647" i="4"/>
  <c r="G4646" i="4" a="1"/>
  <c r="G4646" i="4"/>
  <c r="G4645" i="4" a="1"/>
  <c r="G4645" i="4"/>
  <c r="E4645" i="4" a="1"/>
  <c r="E4645" i="4"/>
  <c r="G4644" i="4" a="1"/>
  <c r="G4644" i="4"/>
  <c r="E4644" i="4" a="1"/>
  <c r="E4644" i="4"/>
  <c r="G4643" i="4" a="1"/>
  <c r="G4643" i="4"/>
  <c r="E4643" i="4" a="1"/>
  <c r="E4643" i="4"/>
  <c r="G4642" i="4" a="1"/>
  <c r="G4642" i="4"/>
  <c r="E4642" i="4" a="1"/>
  <c r="E4642" i="4"/>
  <c r="G4641" i="4" a="1"/>
  <c r="G4641" i="4"/>
  <c r="E4641" i="4" a="1"/>
  <c r="E4641" i="4"/>
  <c r="G4640" i="4" a="1"/>
  <c r="G4640" i="4"/>
  <c r="F4640" i="4"/>
  <c r="E4640" i="4" a="1"/>
  <c r="E4640" i="4"/>
  <c r="G4639" i="4" a="1"/>
  <c r="G4639" i="4"/>
  <c r="E4639" i="4" a="1"/>
  <c r="E4639" i="4"/>
  <c r="G4638" i="4" a="1"/>
  <c r="G4638" i="4"/>
  <c r="G4637" i="4" a="1"/>
  <c r="G4637" i="4"/>
  <c r="E4637" i="4" a="1"/>
  <c r="E4637" i="4"/>
  <c r="G4636" i="4" a="1"/>
  <c r="G4636" i="4"/>
  <c r="E4636" i="4" a="1"/>
  <c r="E4636" i="4"/>
  <c r="G4635" i="4" a="1"/>
  <c r="G4635" i="4"/>
  <c r="E4635" i="4" a="1"/>
  <c r="E4635" i="4"/>
  <c r="G4634" i="4" a="1"/>
  <c r="G4634" i="4"/>
  <c r="E4634" i="4" a="1"/>
  <c r="E4634" i="4"/>
  <c r="G4633" i="4" a="1"/>
  <c r="G4633" i="4"/>
  <c r="E4633" i="4" a="1"/>
  <c r="E4633" i="4"/>
  <c r="G4632" i="4" a="1"/>
  <c r="G4632" i="4"/>
  <c r="F4632" i="4"/>
  <c r="E4632" i="4" a="1"/>
  <c r="E4632" i="4"/>
  <c r="G4631" i="4" a="1"/>
  <c r="G4631" i="4"/>
  <c r="E4631" i="4" a="1"/>
  <c r="E4631" i="4"/>
  <c r="G4630" i="4" a="1"/>
  <c r="G4630" i="4"/>
  <c r="G4629" i="4" a="1"/>
  <c r="G4629" i="4"/>
  <c r="E4629" i="4" a="1"/>
  <c r="E4629" i="4"/>
  <c r="G4628" i="4" a="1"/>
  <c r="G4628" i="4"/>
  <c r="E4628" i="4" a="1"/>
  <c r="E4628" i="4"/>
  <c r="G4627" i="4" a="1"/>
  <c r="G4627" i="4"/>
  <c r="E4627" i="4" a="1"/>
  <c r="E4627" i="4"/>
  <c r="G4626" i="4" a="1"/>
  <c r="G4626" i="4"/>
  <c r="E4626" i="4" a="1"/>
  <c r="E4626" i="4"/>
  <c r="G4625" i="4" a="1"/>
  <c r="G4625" i="4"/>
  <c r="G4624" i="4" a="1"/>
  <c r="G4624" i="4"/>
  <c r="E4624" i="4" a="1"/>
  <c r="E4624" i="4"/>
  <c r="G4623" i="4" a="1"/>
  <c r="G4623" i="4"/>
  <c r="E4623" i="4" a="1"/>
  <c r="E4623" i="4"/>
  <c r="G4622" i="4" a="1"/>
  <c r="G4622" i="4"/>
  <c r="E4622" i="4" a="1"/>
  <c r="E4622" i="4"/>
  <c r="G4621" i="4" a="1"/>
  <c r="G4621" i="4"/>
  <c r="E4621" i="4" a="1"/>
  <c r="E4621" i="4"/>
  <c r="G4620" i="4" a="1"/>
  <c r="G4620" i="4"/>
  <c r="G4619" i="4" a="1"/>
  <c r="G4619" i="4"/>
  <c r="E4619" i="4" a="1"/>
  <c r="E4619" i="4"/>
  <c r="G4618" i="4" a="1"/>
  <c r="G4618" i="4"/>
  <c r="E4618" i="4" a="1"/>
  <c r="E4618" i="4"/>
  <c r="G4617" i="4" a="1"/>
  <c r="G4617" i="4"/>
  <c r="E4617" i="4" a="1"/>
  <c r="E4617" i="4"/>
  <c r="G4616" i="4" a="1"/>
  <c r="G4616" i="4"/>
  <c r="E4616" i="4" a="1"/>
  <c r="E4616" i="4"/>
  <c r="G4615" i="4" a="1"/>
  <c r="G4615" i="4"/>
  <c r="G4614" i="4" a="1"/>
  <c r="G4614" i="4"/>
  <c r="E4614" i="4" a="1"/>
  <c r="E4614" i="4"/>
  <c r="G4613" i="4" a="1"/>
  <c r="G4613" i="4"/>
  <c r="E4613" i="4" a="1"/>
  <c r="E4613" i="4"/>
  <c r="G4612" i="4" a="1"/>
  <c r="G4612" i="4"/>
  <c r="E4612" i="4" a="1"/>
  <c r="E4612" i="4"/>
  <c r="G4611" i="4" a="1"/>
  <c r="G4611" i="4"/>
  <c r="E4611" i="4" a="1"/>
  <c r="E4611" i="4"/>
  <c r="G4610" i="4" a="1"/>
  <c r="G4610" i="4"/>
  <c r="G4609" i="4" a="1"/>
  <c r="G4609" i="4"/>
  <c r="E4609" i="4" a="1"/>
  <c r="E4609" i="4"/>
  <c r="G4608" i="4" a="1"/>
  <c r="G4608" i="4"/>
  <c r="E4608" i="4" a="1"/>
  <c r="E4608" i="4"/>
  <c r="G4607" i="4" a="1"/>
  <c r="G4607" i="4"/>
  <c r="E4607" i="4" a="1"/>
  <c r="E4607" i="4"/>
  <c r="G4606" i="4" a="1"/>
  <c r="G4606" i="4"/>
  <c r="E4606" i="4" a="1"/>
  <c r="E4606" i="4"/>
  <c r="G4605" i="4" a="1"/>
  <c r="G4605" i="4"/>
  <c r="G4604" i="4" a="1"/>
  <c r="G4604" i="4"/>
  <c r="E4604" i="4" a="1"/>
  <c r="E4604" i="4"/>
  <c r="G4603" i="4" a="1"/>
  <c r="G4603" i="4"/>
  <c r="G4602" i="4" a="1"/>
  <c r="G4602" i="4"/>
  <c r="E4602" i="4" a="1"/>
  <c r="E4602" i="4"/>
  <c r="G4601" i="4" a="1"/>
  <c r="G4601" i="4"/>
  <c r="E4601" i="4" a="1"/>
  <c r="E4601" i="4"/>
  <c r="G4600" i="4" a="1"/>
  <c r="G4600" i="4"/>
  <c r="E4600" i="4" a="1"/>
  <c r="E4600" i="4"/>
  <c r="G4599" i="4" a="1"/>
  <c r="G4599" i="4"/>
  <c r="E4599" i="4" a="1"/>
  <c r="E4599" i="4"/>
  <c r="G4598" i="4" a="1"/>
  <c r="G4598" i="4"/>
  <c r="G4597" i="4" a="1"/>
  <c r="G4597" i="4"/>
  <c r="E4597" i="4" a="1"/>
  <c r="E4597" i="4"/>
  <c r="G4596" i="4" a="1"/>
  <c r="G4596" i="4"/>
  <c r="E4596" i="4" a="1"/>
  <c r="E4596" i="4"/>
  <c r="G4595" i="4" a="1"/>
  <c r="G4595" i="4"/>
  <c r="E4595" i="4" a="1"/>
  <c r="E4595" i="4"/>
  <c r="G4594" i="4" a="1"/>
  <c r="G4594" i="4"/>
  <c r="F4594" i="4"/>
  <c r="E4594" i="4" a="1"/>
  <c r="E4594" i="4"/>
  <c r="G4593" i="4" a="1"/>
  <c r="G4593" i="4"/>
  <c r="F4593" i="4"/>
  <c r="E4593" i="4" a="1"/>
  <c r="E4593" i="4"/>
  <c r="G4592" i="4" a="1"/>
  <c r="G4592" i="4"/>
  <c r="G4591" i="4" a="1"/>
  <c r="G4591" i="4"/>
  <c r="E4591" i="4" a="1"/>
  <c r="E4591" i="4"/>
  <c r="G4590" i="4" a="1"/>
  <c r="G4590" i="4"/>
  <c r="E4590" i="4" a="1"/>
  <c r="E4590" i="4"/>
  <c r="G4589" i="4" a="1"/>
  <c r="G4589" i="4"/>
  <c r="E4589" i="4" a="1"/>
  <c r="E4589" i="4"/>
  <c r="G4588" i="4" a="1"/>
  <c r="G4588" i="4"/>
  <c r="F4588" i="4"/>
  <c r="E4588" i="4" a="1"/>
  <c r="E4588" i="4"/>
  <c r="G4587" i="4" a="1"/>
  <c r="G4587" i="4"/>
  <c r="F4587" i="4"/>
  <c r="E4587" i="4" a="1"/>
  <c r="E4587" i="4"/>
  <c r="G4586" i="4" a="1"/>
  <c r="G4586" i="4"/>
  <c r="G4585" i="4" a="1"/>
  <c r="G4585" i="4"/>
  <c r="E4585" i="4" a="1"/>
  <c r="E4585" i="4"/>
  <c r="G4584" i="4" a="1"/>
  <c r="G4584" i="4"/>
  <c r="G4583" i="4" a="1"/>
  <c r="G4583" i="4"/>
  <c r="E4583" i="4" a="1"/>
  <c r="E4583" i="4"/>
  <c r="G4582" i="4" a="1"/>
  <c r="G4582" i="4"/>
  <c r="G4581" i="4" a="1"/>
  <c r="G4581" i="4"/>
  <c r="E4581" i="4" a="1"/>
  <c r="E4581" i="4"/>
  <c r="G4580" i="4" a="1"/>
  <c r="G4580" i="4"/>
  <c r="G4579" i="4" a="1"/>
  <c r="G4579" i="4"/>
  <c r="E4579" i="4" a="1"/>
  <c r="E4579" i="4"/>
  <c r="G4578" i="4" a="1"/>
  <c r="G4578" i="4"/>
  <c r="G4577" i="4" a="1"/>
  <c r="G4577" i="4"/>
  <c r="E4577" i="4" a="1"/>
  <c r="E4577" i="4"/>
  <c r="G4576" i="4" a="1"/>
  <c r="G4576" i="4"/>
  <c r="G4575" i="4" a="1"/>
  <c r="G4575" i="4"/>
  <c r="E4575" i="4" a="1"/>
  <c r="E4575" i="4"/>
  <c r="G4574" i="4" a="1"/>
  <c r="G4574" i="4"/>
  <c r="G4572" i="4" a="1"/>
  <c r="G4572" i="4"/>
  <c r="E4572" i="4" a="1"/>
  <c r="E4572" i="4"/>
  <c r="G4571" i="4" a="1"/>
  <c r="G4571" i="4"/>
  <c r="E4571" i="4" a="1"/>
  <c r="E4571" i="4"/>
  <c r="G4570" i="4" a="1"/>
  <c r="G4570" i="4"/>
  <c r="G4569" i="4" a="1"/>
  <c r="G4569" i="4"/>
  <c r="E4569" i="4" a="1"/>
  <c r="E4569" i="4"/>
  <c r="G4568" i="4" a="1"/>
  <c r="G4568" i="4"/>
  <c r="E4568" i="4" a="1"/>
  <c r="E4568" i="4"/>
  <c r="G4567" i="4" a="1"/>
  <c r="G4567" i="4"/>
  <c r="E4567" i="4" a="1"/>
  <c r="E4567" i="4"/>
  <c r="G4566" i="4" a="1"/>
  <c r="G4566" i="4"/>
  <c r="E4566" i="4" a="1"/>
  <c r="E4566" i="4"/>
  <c r="G4565" i="4" a="1"/>
  <c r="G4565" i="4"/>
  <c r="G4564" i="4" a="1"/>
  <c r="G4564" i="4"/>
  <c r="E4564" i="4" a="1"/>
  <c r="E4564" i="4"/>
  <c r="G4563" i="4" a="1"/>
  <c r="G4563" i="4"/>
  <c r="E4563" i="4" a="1"/>
  <c r="E4563" i="4"/>
  <c r="G4562" i="4" a="1"/>
  <c r="G4562" i="4"/>
  <c r="E4562" i="4" a="1"/>
  <c r="E4562" i="4"/>
  <c r="G4561" i="4" a="1"/>
  <c r="G4561" i="4"/>
  <c r="E4561" i="4" a="1"/>
  <c r="E4561" i="4"/>
  <c r="G4560" i="4" a="1"/>
  <c r="G4560" i="4"/>
  <c r="G4559" i="4" a="1"/>
  <c r="G4559" i="4"/>
  <c r="E4559" i="4" a="1"/>
  <c r="E4559" i="4"/>
  <c r="G4558" i="4" a="1"/>
  <c r="G4558" i="4"/>
  <c r="E4558" i="4" a="1"/>
  <c r="E4558" i="4"/>
  <c r="G4557" i="4" a="1"/>
  <c r="G4557" i="4"/>
  <c r="E4557" i="4" a="1"/>
  <c r="E4557" i="4"/>
  <c r="G4556" i="4" a="1"/>
  <c r="G4556" i="4"/>
  <c r="E4556" i="4" a="1"/>
  <c r="E4556" i="4"/>
  <c r="G4555" i="4" a="1"/>
  <c r="G4555" i="4"/>
  <c r="G4554" i="4" a="1"/>
  <c r="G4554" i="4"/>
  <c r="F4554" i="4"/>
  <c r="E4554" i="4" a="1"/>
  <c r="E4554" i="4"/>
  <c r="G4553" i="4" a="1"/>
  <c r="G4553" i="4"/>
  <c r="G4552" i="4" a="1"/>
  <c r="G4552" i="4"/>
  <c r="E4552" i="4" a="1"/>
  <c r="E4552" i="4"/>
  <c r="G4551" i="4" a="1"/>
  <c r="G4551" i="4"/>
  <c r="G4550" i="4" a="1"/>
  <c r="G4550" i="4"/>
  <c r="E4550" i="4" a="1"/>
  <c r="E4550" i="4"/>
  <c r="G4549" i="4" a="1"/>
  <c r="G4549" i="4"/>
  <c r="G4548" i="4" a="1"/>
  <c r="G4548" i="4"/>
  <c r="E4548" i="4" a="1"/>
  <c r="E4548" i="4"/>
  <c r="G4547" i="4" a="1"/>
  <c r="G4547" i="4"/>
  <c r="G4546" i="4" a="1"/>
  <c r="G4546" i="4"/>
  <c r="F4546" i="4"/>
  <c r="E4546" i="4" a="1"/>
  <c r="E4546" i="4"/>
  <c r="G4545" i="4" a="1"/>
  <c r="G4545" i="4"/>
  <c r="G4544" i="4" a="1"/>
  <c r="G4544" i="4"/>
  <c r="F4544" i="4"/>
  <c r="E4544" i="4" a="1"/>
  <c r="E4544" i="4"/>
  <c r="G4543" i="4" a="1"/>
  <c r="G4543" i="4"/>
  <c r="G4542" i="4" a="1"/>
  <c r="G4542" i="4"/>
  <c r="F4542" i="4"/>
  <c r="E4542" i="4" a="1"/>
  <c r="E4542" i="4"/>
  <c r="G4541" i="4" a="1"/>
  <c r="G4541" i="4"/>
  <c r="E4541" i="4" a="1"/>
  <c r="E4541" i="4"/>
  <c r="G4540" i="4" a="1"/>
  <c r="G4540" i="4"/>
  <c r="E4540" i="4" a="1"/>
  <c r="E4540" i="4"/>
  <c r="G4539" i="4" a="1"/>
  <c r="G4539" i="4"/>
  <c r="E4539" i="4" a="1"/>
  <c r="E4539" i="4"/>
  <c r="G4538" i="4" a="1"/>
  <c r="G4538" i="4"/>
  <c r="G4537" i="4" a="1"/>
  <c r="G4537" i="4"/>
  <c r="F4537" i="4"/>
  <c r="E4537" i="4" a="1"/>
  <c r="E4537" i="4"/>
  <c r="G4536" i="4" a="1"/>
  <c r="G4536" i="4"/>
  <c r="E4536" i="4" a="1"/>
  <c r="E4536" i="4"/>
  <c r="G4535" i="4" a="1"/>
  <c r="G4535" i="4"/>
  <c r="E4535" i="4" a="1"/>
  <c r="E4535" i="4"/>
  <c r="G4534" i="4" a="1"/>
  <c r="G4534" i="4"/>
  <c r="E4534" i="4" a="1"/>
  <c r="E4534" i="4"/>
  <c r="G4533" i="4" a="1"/>
  <c r="G4533" i="4"/>
  <c r="G4532" i="4" a="1"/>
  <c r="G4532" i="4"/>
  <c r="F4532" i="4"/>
  <c r="E4532" i="4" a="1"/>
  <c r="E4532" i="4"/>
  <c r="G4531" i="4" a="1"/>
  <c r="G4531" i="4"/>
  <c r="E4531" i="4" a="1"/>
  <c r="E4531" i="4"/>
  <c r="G4530" i="4" a="1"/>
  <c r="G4530" i="4"/>
  <c r="E4530" i="4" a="1"/>
  <c r="E4530" i="4"/>
  <c r="G4529" i="4" a="1"/>
  <c r="G4529" i="4"/>
  <c r="E4529" i="4" a="1"/>
  <c r="E4529" i="4"/>
  <c r="G4528" i="4" a="1"/>
  <c r="G4528" i="4"/>
  <c r="G4527" i="4" a="1"/>
  <c r="G4527" i="4"/>
  <c r="F4527" i="4"/>
  <c r="E4527" i="4" a="1"/>
  <c r="E4527" i="4"/>
  <c r="G4526" i="4" a="1"/>
  <c r="G4526" i="4"/>
  <c r="E4526" i="4" a="1"/>
  <c r="E4526" i="4"/>
  <c r="G4525" i="4" a="1"/>
  <c r="G4525" i="4"/>
  <c r="E4525" i="4" a="1"/>
  <c r="E4525" i="4"/>
  <c r="G4524" i="4" a="1"/>
  <c r="G4524" i="4"/>
  <c r="E4524" i="4" a="1"/>
  <c r="E4524" i="4"/>
  <c r="G4523" i="4" a="1"/>
  <c r="G4523" i="4"/>
  <c r="G4522" i="4" a="1"/>
  <c r="G4522" i="4"/>
  <c r="F4522" i="4"/>
  <c r="E4522" i="4" a="1"/>
  <c r="E4522" i="4"/>
  <c r="G4521" i="4" a="1"/>
  <c r="G4521" i="4"/>
  <c r="E4521" i="4" a="1"/>
  <c r="E4521" i="4"/>
  <c r="G4520" i="4" a="1"/>
  <c r="G4520" i="4"/>
  <c r="E4520" i="4" a="1"/>
  <c r="E4520" i="4"/>
  <c r="G4519" i="4" a="1"/>
  <c r="G4519" i="4"/>
  <c r="E4519" i="4" a="1"/>
  <c r="E4519" i="4"/>
  <c r="G4518" i="4" a="1"/>
  <c r="G4518" i="4"/>
  <c r="G4517" i="4" a="1"/>
  <c r="G4517" i="4"/>
  <c r="F4517" i="4"/>
  <c r="E4517" i="4" a="1"/>
  <c r="E4517" i="4"/>
  <c r="G4516" i="4" a="1"/>
  <c r="G4516" i="4"/>
  <c r="E4516" i="4" a="1"/>
  <c r="E4516" i="4"/>
  <c r="G4515" i="4" a="1"/>
  <c r="G4515" i="4"/>
  <c r="E4515" i="4" a="1"/>
  <c r="E4515" i="4"/>
  <c r="G4514" i="4" a="1"/>
  <c r="G4514" i="4"/>
  <c r="E4514" i="4" a="1"/>
  <c r="E4514" i="4"/>
  <c r="G4513" i="4" a="1"/>
  <c r="G4513" i="4"/>
  <c r="G4512" i="4" a="1"/>
  <c r="G4512" i="4"/>
  <c r="F4512" i="4"/>
  <c r="E4512" i="4" a="1"/>
  <c r="E4512" i="4"/>
  <c r="G4511" i="4" a="1"/>
  <c r="G4511" i="4"/>
  <c r="E4511" i="4" a="1"/>
  <c r="E4511" i="4"/>
  <c r="G4510" i="4" a="1"/>
  <c r="G4510" i="4"/>
  <c r="E4510" i="4" a="1"/>
  <c r="E4510" i="4"/>
  <c r="G4509" i="4" a="1"/>
  <c r="G4509" i="4"/>
  <c r="E4509" i="4" a="1"/>
  <c r="E4509" i="4"/>
  <c r="G4508" i="4" a="1"/>
  <c r="G4508" i="4"/>
  <c r="G4507" i="4" a="1"/>
  <c r="G4507" i="4"/>
  <c r="F4507" i="4"/>
  <c r="E4507" i="4" a="1"/>
  <c r="E4507" i="4"/>
  <c r="G4506" i="4" a="1"/>
  <c r="G4506" i="4"/>
  <c r="E4506" i="4" a="1"/>
  <c r="E4506" i="4"/>
  <c r="G4505" i="4" a="1"/>
  <c r="G4505" i="4"/>
  <c r="E4505" i="4" a="1"/>
  <c r="E4505" i="4"/>
  <c r="G4504" i="4" a="1"/>
  <c r="G4504" i="4"/>
  <c r="E4504" i="4" a="1"/>
  <c r="E4504" i="4"/>
  <c r="G4503" i="4" a="1"/>
  <c r="G4503" i="4"/>
  <c r="G4502" i="4" a="1"/>
  <c r="G4502" i="4"/>
  <c r="E4502" i="4" a="1"/>
  <c r="E4502" i="4"/>
  <c r="G4501" i="4" a="1"/>
  <c r="G4501" i="4"/>
  <c r="E4501" i="4" a="1"/>
  <c r="E4501" i="4"/>
  <c r="G4500" i="4" a="1"/>
  <c r="G4500" i="4"/>
  <c r="E4500" i="4" a="1"/>
  <c r="E4500" i="4"/>
  <c r="G4499" i="4" a="1"/>
  <c r="G4499" i="4"/>
  <c r="E4499" i="4" a="1"/>
  <c r="E4499" i="4"/>
  <c r="G4498" i="4" a="1"/>
  <c r="G4498" i="4"/>
  <c r="G4497" i="4" a="1"/>
  <c r="G4497" i="4"/>
  <c r="E4497" i="4" a="1"/>
  <c r="E4497" i="4"/>
  <c r="G4496" i="4" a="1"/>
  <c r="G4496" i="4"/>
  <c r="E4496" i="4" a="1"/>
  <c r="E4496" i="4"/>
  <c r="G4495" i="4" a="1"/>
  <c r="G4495" i="4"/>
  <c r="G4494" i="4" a="1"/>
  <c r="G4494" i="4"/>
  <c r="E4494" i="4" a="1"/>
  <c r="E4494" i="4"/>
  <c r="G4493" i="4" a="1"/>
  <c r="G4493" i="4"/>
  <c r="E4493" i="4" a="1"/>
  <c r="E4493" i="4"/>
  <c r="G4492" i="4" a="1"/>
  <c r="G4492" i="4"/>
  <c r="G4491" i="4" a="1"/>
  <c r="G4491" i="4"/>
  <c r="E4491" i="4" a="1"/>
  <c r="E4491" i="4"/>
  <c r="G4490" i="4" a="1"/>
  <c r="G4490" i="4"/>
  <c r="E4490" i="4" a="1"/>
  <c r="E4490" i="4"/>
  <c r="G4489" i="4" a="1"/>
  <c r="G4489" i="4"/>
  <c r="G4488" i="4" a="1"/>
  <c r="G4488" i="4"/>
  <c r="E4488" i="4" a="1"/>
  <c r="E4488" i="4"/>
  <c r="G4487" i="4" a="1"/>
  <c r="G4487" i="4"/>
  <c r="E4487" i="4" a="1"/>
  <c r="E4487" i="4"/>
  <c r="G4486" i="4" a="1"/>
  <c r="G4486" i="4"/>
  <c r="G4485" i="4" a="1"/>
  <c r="G4485" i="4"/>
  <c r="E4485" i="4" a="1"/>
  <c r="E4485" i="4"/>
  <c r="G4484" i="4" a="1"/>
  <c r="G4484" i="4"/>
  <c r="E4484" i="4" a="1"/>
  <c r="E4484" i="4"/>
  <c r="G4483" i="4" a="1"/>
  <c r="G4483" i="4"/>
  <c r="G4482" i="4" a="1"/>
  <c r="G4482" i="4"/>
  <c r="E4482" i="4" a="1"/>
  <c r="E4482" i="4"/>
  <c r="G4481" i="4" a="1"/>
  <c r="G4481" i="4"/>
  <c r="G4480" i="4" a="1"/>
  <c r="G4480" i="4"/>
  <c r="E4480" i="4" a="1"/>
  <c r="E4480" i="4"/>
  <c r="G4479" i="4" a="1"/>
  <c r="G4479" i="4"/>
  <c r="G4478" i="4" a="1"/>
  <c r="G4478" i="4"/>
  <c r="E4478" i="4" a="1"/>
  <c r="E4478" i="4"/>
  <c r="G4477" i="4" a="1"/>
  <c r="G4477" i="4"/>
  <c r="E4477" i="4" a="1"/>
  <c r="E4477" i="4"/>
  <c r="G4476" i="4" a="1"/>
  <c r="G4476" i="4"/>
  <c r="E4476" i="4" a="1"/>
  <c r="E4476" i="4"/>
  <c r="G4475" i="4" a="1"/>
  <c r="G4475" i="4"/>
  <c r="G4474" i="4" a="1"/>
  <c r="G4474" i="4"/>
  <c r="E4474" i="4" a="1"/>
  <c r="E4474" i="4"/>
  <c r="G4473" i="4" a="1"/>
  <c r="G4473" i="4"/>
  <c r="E4473" i="4" a="1"/>
  <c r="E4473" i="4"/>
  <c r="G4472" i="4" a="1"/>
  <c r="G4472" i="4"/>
  <c r="E4472" i="4" a="1"/>
  <c r="E4472" i="4"/>
  <c r="G4471" i="4" a="1"/>
  <c r="G4471" i="4"/>
  <c r="G4470" i="4" a="1"/>
  <c r="G4470" i="4"/>
  <c r="E4470" i="4" a="1"/>
  <c r="E4470" i="4"/>
  <c r="G4469" i="4" a="1"/>
  <c r="G4469" i="4"/>
  <c r="E4469" i="4" a="1"/>
  <c r="E4469" i="4"/>
  <c r="G4468" i="4" a="1"/>
  <c r="G4468" i="4"/>
  <c r="E4468" i="4" a="1"/>
  <c r="E4468" i="4"/>
  <c r="G4467" i="4" a="1"/>
  <c r="G4467" i="4"/>
  <c r="G4466" i="4" a="1"/>
  <c r="G4466" i="4"/>
  <c r="E4466" i="4" a="1"/>
  <c r="E4466" i="4"/>
  <c r="G4465" i="4" a="1"/>
  <c r="G4465" i="4"/>
  <c r="E4465" i="4" a="1"/>
  <c r="E4465" i="4"/>
  <c r="G4464" i="4" a="1"/>
  <c r="G4464" i="4"/>
  <c r="G4463" i="4" a="1"/>
  <c r="G4463" i="4"/>
  <c r="E4463" i="4" a="1"/>
  <c r="E4463" i="4"/>
  <c r="G4462" i="4" a="1"/>
  <c r="G4462" i="4"/>
  <c r="E4462" i="4" a="1"/>
  <c r="E4462" i="4"/>
  <c r="G4461" i="4" a="1"/>
  <c r="G4461" i="4"/>
  <c r="G4460" i="4" a="1"/>
  <c r="G4460" i="4"/>
  <c r="E4460" i="4" a="1"/>
  <c r="E4460" i="4"/>
  <c r="G4459" i="4" a="1"/>
  <c r="G4459" i="4"/>
  <c r="E4459" i="4" a="1"/>
  <c r="E4459" i="4"/>
  <c r="G4458" i="4" a="1"/>
  <c r="G4458" i="4"/>
  <c r="G4457" i="4" a="1"/>
  <c r="G4457" i="4"/>
  <c r="E4457" i="4" a="1"/>
  <c r="E4457" i="4"/>
  <c r="G4456" i="4" a="1"/>
  <c r="G4456" i="4"/>
  <c r="E4456" i="4" a="1"/>
  <c r="E4456" i="4"/>
  <c r="G4455" i="4" a="1"/>
  <c r="G4455" i="4"/>
  <c r="G4454" i="4" a="1"/>
  <c r="G4454" i="4"/>
  <c r="E4454" i="4" a="1"/>
  <c r="E4454" i="4"/>
  <c r="G4453" i="4" a="1"/>
  <c r="G4453" i="4"/>
  <c r="E4453" i="4" a="1"/>
  <c r="E4453" i="4"/>
  <c r="G4452" i="4" a="1"/>
  <c r="G4452" i="4"/>
  <c r="G4451" i="4" a="1"/>
  <c r="G4451" i="4"/>
  <c r="E4451" i="4" a="1"/>
  <c r="E4451" i="4"/>
  <c r="G4450" i="4" a="1"/>
  <c r="G4450" i="4"/>
  <c r="E4450" i="4" a="1"/>
  <c r="E4450" i="4"/>
  <c r="G4449" i="4" a="1"/>
  <c r="G4449" i="4"/>
  <c r="E4449" i="4" a="1"/>
  <c r="E4449" i="4"/>
  <c r="G4448" i="4" a="1"/>
  <c r="G4448" i="4"/>
  <c r="E4448" i="4" a="1"/>
  <c r="E4448" i="4"/>
  <c r="G4447" i="4" a="1"/>
  <c r="G4447" i="4"/>
  <c r="G4446" i="4" a="1"/>
  <c r="G4446" i="4"/>
  <c r="E4446" i="4" a="1"/>
  <c r="E4446" i="4"/>
  <c r="G4445" i="4" a="1"/>
  <c r="G4445" i="4"/>
  <c r="E4445" i="4" a="1"/>
  <c r="E4445" i="4"/>
  <c r="G4444" i="4" a="1"/>
  <c r="G4444" i="4"/>
  <c r="E4444" i="4" a="1"/>
  <c r="E4444" i="4"/>
  <c r="G4443" i="4" a="1"/>
  <c r="G4443" i="4"/>
  <c r="G4442" i="4" a="1"/>
  <c r="G4442" i="4"/>
  <c r="E4442" i="4" a="1"/>
  <c r="E4442" i="4"/>
  <c r="G4441" i="4" a="1"/>
  <c r="G4441" i="4"/>
  <c r="E4441" i="4" a="1"/>
  <c r="E4441" i="4"/>
  <c r="G4440" i="4" a="1"/>
  <c r="G4440" i="4"/>
  <c r="G4439" i="4" a="1"/>
  <c r="G4439" i="4"/>
  <c r="E4439" i="4" a="1"/>
  <c r="E4439" i="4"/>
  <c r="G4438" i="4" a="1"/>
  <c r="G4438" i="4"/>
  <c r="G4437" i="4" a="1"/>
  <c r="G4437" i="4"/>
  <c r="E4437" i="4" a="1"/>
  <c r="E4437" i="4"/>
  <c r="G4436" i="4" a="1"/>
  <c r="G4436" i="4"/>
  <c r="E4436" i="4" a="1"/>
  <c r="E4436" i="4"/>
  <c r="G4435" i="4" a="1"/>
  <c r="G4435" i="4"/>
  <c r="E4435" i="4" a="1"/>
  <c r="E4435" i="4"/>
  <c r="G4434" i="4" a="1"/>
  <c r="G4434" i="4"/>
  <c r="E4434" i="4" a="1"/>
  <c r="E4434" i="4"/>
  <c r="G4433" i="4" a="1"/>
  <c r="G4433" i="4"/>
  <c r="G4432" i="4" a="1"/>
  <c r="G4432" i="4"/>
  <c r="E4432" i="4" a="1"/>
  <c r="E4432" i="4"/>
  <c r="G4431" i="4" a="1"/>
  <c r="G4431" i="4"/>
  <c r="E4431" i="4" a="1"/>
  <c r="E4431" i="4"/>
  <c r="G4430" i="4" a="1"/>
  <c r="G4430" i="4"/>
  <c r="E4430" i="4" a="1"/>
  <c r="E4430" i="4"/>
  <c r="G4429" i="4" a="1"/>
  <c r="G4429" i="4"/>
  <c r="E4429" i="4" a="1"/>
  <c r="E4429" i="4"/>
  <c r="G4428" i="4" a="1"/>
  <c r="G4428" i="4"/>
  <c r="G4426" i="4" a="1"/>
  <c r="G4426" i="4"/>
  <c r="E4426" i="4" a="1"/>
  <c r="E4426" i="4"/>
  <c r="G4425" i="4" a="1"/>
  <c r="G4425" i="4"/>
  <c r="E4425" i="4" a="1"/>
  <c r="E4425" i="4"/>
  <c r="G4424" i="4" a="1"/>
  <c r="G4424" i="4"/>
  <c r="E4424" i="4" a="1"/>
  <c r="E4424" i="4"/>
  <c r="G4423" i="4" a="1"/>
  <c r="G4423" i="4"/>
  <c r="E4423" i="4" a="1"/>
  <c r="E4423" i="4"/>
  <c r="G4422" i="4" a="1"/>
  <c r="G4422" i="4"/>
  <c r="G4421" i="4" a="1"/>
  <c r="G4421" i="4"/>
  <c r="E4421" i="4" a="1"/>
  <c r="E4421" i="4"/>
  <c r="G4420" i="4" a="1"/>
  <c r="G4420" i="4"/>
  <c r="E4420" i="4" a="1"/>
  <c r="E4420" i="4"/>
  <c r="G4419" i="4" a="1"/>
  <c r="G4419" i="4"/>
  <c r="E4419" i="4" a="1"/>
  <c r="E4419" i="4"/>
  <c r="G4418" i="4" a="1"/>
  <c r="G4418" i="4"/>
  <c r="E4418" i="4" a="1"/>
  <c r="E4418" i="4"/>
  <c r="G4417" i="4" a="1"/>
  <c r="G4417" i="4"/>
  <c r="G4416" i="4" a="1"/>
  <c r="G4416" i="4"/>
  <c r="E4416" i="4" a="1"/>
  <c r="E4416" i="4"/>
  <c r="G4415" i="4" a="1"/>
  <c r="G4415" i="4"/>
  <c r="E4415" i="4" a="1"/>
  <c r="E4415" i="4"/>
  <c r="G4414" i="4" a="1"/>
  <c r="G4414" i="4"/>
  <c r="E4414" i="4" a="1"/>
  <c r="E4414" i="4"/>
  <c r="G4413" i="4" a="1"/>
  <c r="G4413" i="4"/>
  <c r="E4413" i="4" a="1"/>
  <c r="E4413" i="4"/>
  <c r="G4412" i="4" a="1"/>
  <c r="G4412" i="4"/>
  <c r="G4411" i="4" a="1"/>
  <c r="G4411" i="4"/>
  <c r="E4411" i="4" a="1"/>
  <c r="E4411" i="4"/>
  <c r="G4410" i="4" a="1"/>
  <c r="G4410" i="4"/>
  <c r="E4410" i="4" a="1"/>
  <c r="E4410" i="4"/>
  <c r="G4409" i="4" a="1"/>
  <c r="G4409" i="4"/>
  <c r="E4409" i="4" a="1"/>
  <c r="E4409" i="4"/>
  <c r="G4408" i="4" a="1"/>
  <c r="G4408" i="4"/>
  <c r="G4407" i="4" a="1"/>
  <c r="G4407" i="4"/>
  <c r="E4407" i="4" a="1"/>
  <c r="E4407" i="4"/>
  <c r="G4406" i="4" a="1"/>
  <c r="G4406" i="4"/>
  <c r="E4406" i="4" a="1"/>
  <c r="E4406" i="4"/>
  <c r="G4405" i="4" a="1"/>
  <c r="G4405" i="4"/>
  <c r="E4405" i="4" a="1"/>
  <c r="E4405" i="4"/>
  <c r="G4404" i="4" a="1"/>
  <c r="G4404" i="4"/>
  <c r="G4402" i="4" a="1"/>
  <c r="G4402" i="4"/>
  <c r="E4402" i="4" a="1"/>
  <c r="E4402" i="4"/>
  <c r="G4401" i="4" a="1"/>
  <c r="G4401" i="4"/>
  <c r="E4401" i="4" a="1"/>
  <c r="E4401" i="4"/>
  <c r="G4400" i="4" a="1"/>
  <c r="G4400" i="4"/>
  <c r="E4400" i="4" a="1"/>
  <c r="E4400" i="4"/>
  <c r="G4399" i="4" a="1"/>
  <c r="G4399" i="4"/>
  <c r="E4399" i="4" a="1"/>
  <c r="E4399" i="4"/>
  <c r="G4398" i="4" a="1"/>
  <c r="G4398" i="4"/>
  <c r="G4397" i="4" a="1"/>
  <c r="G4397" i="4"/>
  <c r="E4397" i="4" a="1"/>
  <c r="E4397" i="4"/>
  <c r="G4396" i="4" a="1"/>
  <c r="G4396" i="4"/>
  <c r="E4396" i="4" a="1"/>
  <c r="E4396" i="4"/>
  <c r="G4395" i="4" a="1"/>
  <c r="G4395" i="4"/>
  <c r="E4395" i="4" a="1"/>
  <c r="E4395" i="4"/>
  <c r="G4394" i="4" a="1"/>
  <c r="G4394" i="4"/>
  <c r="E4394" i="4" a="1"/>
  <c r="E4394" i="4"/>
  <c r="G4393" i="4" a="1"/>
  <c r="G4393" i="4"/>
  <c r="G4392" i="4" a="1"/>
  <c r="G4392" i="4"/>
  <c r="E4392" i="4" a="1"/>
  <c r="E4392" i="4"/>
  <c r="G4391" i="4" a="1"/>
  <c r="G4391" i="4"/>
  <c r="E4391" i="4" a="1"/>
  <c r="E4391" i="4"/>
  <c r="G4390" i="4" a="1"/>
  <c r="G4390" i="4"/>
  <c r="E4390" i="4" a="1"/>
  <c r="E4390" i="4"/>
  <c r="G4389" i="4" a="1"/>
  <c r="G4389" i="4"/>
  <c r="E4389" i="4" a="1"/>
  <c r="E4389" i="4"/>
  <c r="G4388" i="4" a="1"/>
  <c r="G4388" i="4"/>
  <c r="G4387" i="4" a="1"/>
  <c r="G4387" i="4"/>
  <c r="E4387" i="4" a="1"/>
  <c r="E4387" i="4"/>
  <c r="G4386" i="4" a="1"/>
  <c r="G4386" i="4"/>
  <c r="E4386" i="4" a="1"/>
  <c r="E4386" i="4"/>
  <c r="G4385" i="4" a="1"/>
  <c r="G4385" i="4"/>
  <c r="E4385" i="4" a="1"/>
  <c r="E4385" i="4"/>
  <c r="G4384" i="4" a="1"/>
  <c r="G4384" i="4"/>
  <c r="E4384" i="4" a="1"/>
  <c r="E4384" i="4"/>
  <c r="G4383" i="4" a="1"/>
  <c r="G4383" i="4"/>
  <c r="G4382" i="4" a="1"/>
  <c r="G4382" i="4"/>
  <c r="E4382" i="4" a="1"/>
  <c r="E4382" i="4"/>
  <c r="G4381" i="4" a="1"/>
  <c r="G4381" i="4"/>
  <c r="E4381" i="4" a="1"/>
  <c r="E4381" i="4"/>
  <c r="G4380" i="4" a="1"/>
  <c r="G4380" i="4"/>
  <c r="E4380" i="4" a="1"/>
  <c r="E4380" i="4"/>
  <c r="G4379" i="4" a="1"/>
  <c r="G4379" i="4"/>
  <c r="E4379" i="4" a="1"/>
  <c r="E4379" i="4"/>
  <c r="G4378" i="4" a="1"/>
  <c r="G4378" i="4"/>
  <c r="G4377" i="4" a="1"/>
  <c r="G4377" i="4"/>
  <c r="E4377" i="4" a="1"/>
  <c r="E4377" i="4"/>
  <c r="G4376" i="4" a="1"/>
  <c r="G4376" i="4"/>
  <c r="E4376" i="4" a="1"/>
  <c r="E4376" i="4"/>
  <c r="G4375" i="4" a="1"/>
  <c r="G4375" i="4"/>
  <c r="E4375" i="4" a="1"/>
  <c r="E4375" i="4"/>
  <c r="G4374" i="4" a="1"/>
  <c r="G4374" i="4"/>
  <c r="E4374" i="4" a="1"/>
  <c r="E4374" i="4"/>
  <c r="G4373" i="4" a="1"/>
  <c r="G4373" i="4"/>
  <c r="G4372" i="4" a="1"/>
  <c r="G4372" i="4"/>
  <c r="E4372" i="4" a="1"/>
  <c r="E4372" i="4"/>
  <c r="G4371" i="4" a="1"/>
  <c r="G4371" i="4"/>
  <c r="G4370" i="4" a="1"/>
  <c r="G4370" i="4"/>
  <c r="E4370" i="4" a="1"/>
  <c r="E4370" i="4"/>
  <c r="G4369" i="4" a="1"/>
  <c r="G4369" i="4"/>
  <c r="E4369" i="4" a="1"/>
  <c r="E4369" i="4"/>
  <c r="G4368" i="4" a="1"/>
  <c r="G4368" i="4"/>
  <c r="E4368" i="4" a="1"/>
  <c r="E4368" i="4"/>
  <c r="G4367" i="4" a="1"/>
  <c r="G4367" i="4"/>
  <c r="E4367" i="4" a="1"/>
  <c r="E4367" i="4"/>
  <c r="G4366" i="4" a="1"/>
  <c r="G4366" i="4"/>
  <c r="G4365" i="4" a="1"/>
  <c r="G4365" i="4"/>
  <c r="E4365" i="4" a="1"/>
  <c r="E4365" i="4"/>
  <c r="G4364" i="4" a="1"/>
  <c r="G4364" i="4"/>
  <c r="E4364" i="4" a="1"/>
  <c r="E4364" i="4"/>
  <c r="G4363" i="4" a="1"/>
  <c r="G4363" i="4"/>
  <c r="E4363" i="4" a="1"/>
  <c r="E4363" i="4"/>
  <c r="G4362" i="4" a="1"/>
  <c r="G4362" i="4"/>
  <c r="E4362" i="4" a="1"/>
  <c r="E4362" i="4"/>
  <c r="G4361" i="4" a="1"/>
  <c r="G4361" i="4"/>
  <c r="G4360" i="4" a="1"/>
  <c r="G4360" i="4"/>
  <c r="E4360" i="4" a="1"/>
  <c r="E4360" i="4"/>
  <c r="G4359" i="4" a="1"/>
  <c r="G4359" i="4"/>
  <c r="E4359" i="4" a="1"/>
  <c r="E4359" i="4"/>
  <c r="G4358" i="4" a="1"/>
  <c r="G4358" i="4"/>
  <c r="G4357" i="4" a="1"/>
  <c r="G4357" i="4"/>
  <c r="E4357" i="4" a="1"/>
  <c r="E4357" i="4"/>
  <c r="G4356" i="4" a="1"/>
  <c r="G4356" i="4"/>
  <c r="E4356" i="4" a="1"/>
  <c r="E4356" i="4"/>
  <c r="G4355" i="4" a="1"/>
  <c r="G4355" i="4"/>
  <c r="E4355" i="4" a="1"/>
  <c r="E4355" i="4"/>
  <c r="G4354" i="4" a="1"/>
  <c r="G4354" i="4"/>
  <c r="E4354" i="4" a="1"/>
  <c r="E4354" i="4"/>
  <c r="G4353" i="4" a="1"/>
  <c r="G4353" i="4"/>
  <c r="G4352" i="4" a="1"/>
  <c r="G4352" i="4"/>
  <c r="E4352" i="4" a="1"/>
  <c r="E4352" i="4"/>
  <c r="G4351" i="4" a="1"/>
  <c r="G4351" i="4"/>
  <c r="E4351" i="4" a="1"/>
  <c r="E4351" i="4"/>
  <c r="G4350" i="4" a="1"/>
  <c r="G4350" i="4"/>
  <c r="E4350" i="4" a="1"/>
  <c r="E4350" i="4"/>
  <c r="G4349" i="4" a="1"/>
  <c r="G4349" i="4"/>
  <c r="E4349" i="4" a="1"/>
  <c r="E4349" i="4"/>
  <c r="G4348" i="4" a="1"/>
  <c r="G4348" i="4"/>
  <c r="G4347" i="4" a="1"/>
  <c r="G4347" i="4"/>
  <c r="E4347" i="4" a="1"/>
  <c r="E4347" i="4"/>
  <c r="G4346" i="4" a="1"/>
  <c r="G4346" i="4"/>
  <c r="E4346" i="4" a="1"/>
  <c r="E4346" i="4"/>
  <c r="G4345" i="4" a="1"/>
  <c r="G4345" i="4"/>
  <c r="E4345" i="4" a="1"/>
  <c r="E4345" i="4"/>
  <c r="G4344" i="4" a="1"/>
  <c r="G4344" i="4"/>
  <c r="E4344" i="4" a="1"/>
  <c r="E4344" i="4"/>
  <c r="G4343" i="4" a="1"/>
  <c r="G4343" i="4"/>
  <c r="G4342" i="4" a="1"/>
  <c r="G4342" i="4"/>
  <c r="E4342" i="4" a="1"/>
  <c r="E4342" i="4"/>
  <c r="G4341" i="4" a="1"/>
  <c r="G4341" i="4"/>
  <c r="E4341" i="4" a="1"/>
  <c r="E4341" i="4"/>
  <c r="G4340" i="4" a="1"/>
  <c r="G4340" i="4"/>
  <c r="E4340" i="4" a="1"/>
  <c r="E4340" i="4"/>
  <c r="G4339" i="4" a="1"/>
  <c r="G4339" i="4"/>
  <c r="E4339" i="4" a="1"/>
  <c r="E4339" i="4"/>
  <c r="G4338" i="4" a="1"/>
  <c r="G4338" i="4"/>
  <c r="G4337" i="4" a="1"/>
  <c r="G4337" i="4"/>
  <c r="E4337" i="4" a="1"/>
  <c r="E4337" i="4"/>
  <c r="G4336" i="4" a="1"/>
  <c r="G4336" i="4"/>
  <c r="E4336" i="4" a="1"/>
  <c r="E4336" i="4"/>
  <c r="G4335" i="4" a="1"/>
  <c r="G4335" i="4"/>
  <c r="E4335" i="4" a="1"/>
  <c r="E4335" i="4"/>
  <c r="G4334" i="4" a="1"/>
  <c r="G4334" i="4"/>
  <c r="E4334" i="4" a="1"/>
  <c r="E4334" i="4"/>
  <c r="G4333" i="4" a="1"/>
  <c r="G4333" i="4"/>
  <c r="G4332" i="4" a="1"/>
  <c r="G4332" i="4"/>
  <c r="E4332" i="4" a="1"/>
  <c r="E4332" i="4"/>
  <c r="G4331" i="4" a="1"/>
  <c r="G4331" i="4"/>
  <c r="E4331" i="4" a="1"/>
  <c r="E4331" i="4"/>
  <c r="G4330" i="4" a="1"/>
  <c r="G4330" i="4"/>
  <c r="E4330" i="4" a="1"/>
  <c r="E4330" i="4"/>
  <c r="G4329" i="4" a="1"/>
  <c r="G4329" i="4"/>
  <c r="E4329" i="4" a="1"/>
  <c r="E4329" i="4"/>
  <c r="G4328" i="4" a="1"/>
  <c r="G4328" i="4"/>
  <c r="G4327" i="4" a="1"/>
  <c r="G4327" i="4"/>
  <c r="E4327" i="4" a="1"/>
  <c r="E4327" i="4"/>
  <c r="G4326" i="4" a="1"/>
  <c r="G4326" i="4"/>
  <c r="E4326" i="4" a="1"/>
  <c r="E4326" i="4"/>
  <c r="G4325" i="4" a="1"/>
  <c r="G4325" i="4"/>
  <c r="E4325" i="4" a="1"/>
  <c r="E4325" i="4"/>
  <c r="G4324" i="4" a="1"/>
  <c r="G4324" i="4"/>
  <c r="E4324" i="4" a="1"/>
  <c r="E4324" i="4"/>
  <c r="G4323" i="4" a="1"/>
  <c r="G4323" i="4"/>
  <c r="G4321" i="4" a="1"/>
  <c r="G4321" i="4"/>
  <c r="E4321" i="4" a="1"/>
  <c r="E4321" i="4"/>
  <c r="G4320" i="4" a="1"/>
  <c r="G4320" i="4"/>
  <c r="E4320" i="4" a="1"/>
  <c r="E4320" i="4"/>
  <c r="G4319" i="4" a="1"/>
  <c r="G4319" i="4"/>
  <c r="E4319" i="4" a="1"/>
  <c r="E4319" i="4"/>
  <c r="G4318" i="4" a="1"/>
  <c r="G4318" i="4"/>
  <c r="E4318" i="4" a="1"/>
  <c r="E4318" i="4"/>
  <c r="G4317" i="4" a="1"/>
  <c r="G4317" i="4"/>
  <c r="E4317" i="4" a="1"/>
  <c r="E4317" i="4"/>
  <c r="G4316" i="4" a="1"/>
  <c r="G4316" i="4"/>
  <c r="F4316" i="4"/>
  <c r="E4316" i="4" a="1"/>
  <c r="E4316" i="4"/>
  <c r="G4315" i="4" a="1"/>
  <c r="G4315" i="4"/>
  <c r="G4314" i="4" a="1"/>
  <c r="G4314" i="4"/>
  <c r="E4314" i="4" a="1"/>
  <c r="E4314" i="4"/>
  <c r="G4313" i="4" a="1"/>
  <c r="G4313" i="4"/>
  <c r="E4313" i="4" a="1"/>
  <c r="E4313" i="4"/>
  <c r="G4312" i="4" a="1"/>
  <c r="G4312" i="4"/>
  <c r="E4312" i="4" a="1"/>
  <c r="E4312" i="4"/>
  <c r="G4311" i="4" a="1"/>
  <c r="G4311" i="4"/>
  <c r="G4310" i="4" a="1"/>
  <c r="G4310" i="4"/>
  <c r="E4310" i="4" a="1"/>
  <c r="E4310" i="4"/>
  <c r="G4309" i="4" a="1"/>
  <c r="G4309" i="4"/>
  <c r="E4309" i="4" a="1"/>
  <c r="E4309" i="4"/>
  <c r="G4308" i="4" a="1"/>
  <c r="G4308" i="4"/>
  <c r="G4307" i="4" a="1"/>
  <c r="G4307" i="4"/>
  <c r="E4307" i="4" a="1"/>
  <c r="E4307" i="4"/>
  <c r="G4306" i="4" a="1"/>
  <c r="G4306" i="4"/>
  <c r="E4306" i="4" a="1"/>
  <c r="E4306" i="4"/>
  <c r="G4305" i="4" a="1"/>
  <c r="G4305" i="4"/>
  <c r="E4305" i="4" a="1"/>
  <c r="E4305" i="4"/>
  <c r="G4304" i="4" a="1"/>
  <c r="G4304" i="4"/>
  <c r="G4303" i="4" a="1"/>
  <c r="G4303" i="4"/>
  <c r="F4303" i="4"/>
  <c r="E4303" i="4" a="1"/>
  <c r="E4303" i="4"/>
  <c r="G4302" i="4" a="1"/>
  <c r="G4302" i="4"/>
  <c r="G4301" i="4" a="1"/>
  <c r="G4301" i="4"/>
  <c r="E4301" i="4" a="1"/>
  <c r="E4301" i="4"/>
  <c r="G4300" i="4" a="1"/>
  <c r="G4300" i="4"/>
  <c r="G4299" i="4" a="1"/>
  <c r="G4299" i="4"/>
  <c r="F4299" i="4"/>
  <c r="E4299" i="4" a="1"/>
  <c r="E4299" i="4"/>
  <c r="G4298" i="4" a="1"/>
  <c r="G4298" i="4"/>
  <c r="G4297" i="4" a="1"/>
  <c r="G4297" i="4"/>
  <c r="E4297" i="4" a="1"/>
  <c r="E4297" i="4"/>
  <c r="G4296" i="4" a="1"/>
  <c r="G4296" i="4"/>
  <c r="G4295" i="4" a="1"/>
  <c r="G4295" i="4"/>
  <c r="E4295" i="4" a="1"/>
  <c r="E4295" i="4"/>
  <c r="G4294" i="4" a="1"/>
  <c r="G4294" i="4"/>
  <c r="G4293" i="4" a="1"/>
  <c r="G4293" i="4"/>
  <c r="E4293" i="4" a="1"/>
  <c r="E4293" i="4"/>
  <c r="G4292" i="4" a="1"/>
  <c r="G4292" i="4"/>
  <c r="G4291" i="4" a="1"/>
  <c r="G4291" i="4"/>
  <c r="E4291" i="4" a="1"/>
  <c r="E4291" i="4"/>
  <c r="G4290" i="4" a="1"/>
  <c r="G4290" i="4"/>
  <c r="G4289" i="4" a="1"/>
  <c r="G4289" i="4"/>
  <c r="E4289" i="4" a="1"/>
  <c r="E4289" i="4"/>
  <c r="G4288" i="4" a="1"/>
  <c r="G4288" i="4"/>
  <c r="G4287" i="4" a="1"/>
  <c r="G4287" i="4"/>
  <c r="E4287" i="4" a="1"/>
  <c r="E4287" i="4"/>
  <c r="G4286" i="4" a="1"/>
  <c r="G4286" i="4"/>
  <c r="G4285" i="4" a="1"/>
  <c r="G4285" i="4"/>
  <c r="E4285" i="4" a="1"/>
  <c r="E4285" i="4"/>
  <c r="G4284" i="4" a="1"/>
  <c r="G4284" i="4"/>
  <c r="E4284" i="4" a="1"/>
  <c r="E4284" i="4"/>
  <c r="G4283" i="4" a="1"/>
  <c r="G4283" i="4"/>
  <c r="G4282" i="4" a="1"/>
  <c r="G4282" i="4"/>
  <c r="E4282" i="4" a="1"/>
  <c r="E4282" i="4"/>
  <c r="G4281" i="4" a="1"/>
  <c r="G4281" i="4"/>
  <c r="E4281" i="4" a="1"/>
  <c r="E4281" i="4"/>
  <c r="G4280" i="4" a="1"/>
  <c r="G4280" i="4"/>
  <c r="E4280" i="4" a="1"/>
  <c r="E4280" i="4"/>
  <c r="G4279" i="4" a="1"/>
  <c r="G4279" i="4"/>
  <c r="G4277" i="4" a="1"/>
  <c r="G4277" i="4"/>
  <c r="G4276" i="4" a="1"/>
  <c r="G4276" i="4"/>
  <c r="E4276" i="4" a="1"/>
  <c r="E4276" i="4"/>
  <c r="G4275" i="4" a="1"/>
  <c r="G4275" i="4"/>
  <c r="G4274" i="4" a="1"/>
  <c r="G4274" i="4"/>
  <c r="E4274" i="4" a="1"/>
  <c r="E4274" i="4"/>
  <c r="G4273" i="4" a="1"/>
  <c r="G4273" i="4"/>
  <c r="G4271" i="4" a="1"/>
  <c r="G4271" i="4"/>
  <c r="E4271" i="4" a="1"/>
  <c r="E4271" i="4"/>
  <c r="G4270" i="4" a="1"/>
  <c r="G4270" i="4"/>
  <c r="G4269" i="4" a="1"/>
  <c r="G4269" i="4"/>
  <c r="E4269" i="4" a="1"/>
  <c r="E4269" i="4"/>
  <c r="G4268" i="4" a="1"/>
  <c r="G4268" i="4"/>
  <c r="G4267" i="4" a="1"/>
  <c r="G4267" i="4"/>
  <c r="E4267" i="4" a="1"/>
  <c r="E4267" i="4"/>
  <c r="G4266" i="4" a="1"/>
  <c r="G4266" i="4"/>
  <c r="G4265" i="4" a="1"/>
  <c r="G4265" i="4"/>
  <c r="E4265" i="4" a="1"/>
  <c r="E4265" i="4"/>
  <c r="G4264" i="4" a="1"/>
  <c r="G4264" i="4"/>
  <c r="G4263" i="4" a="1"/>
  <c r="G4263" i="4"/>
  <c r="E4263" i="4" a="1"/>
  <c r="E4263" i="4"/>
  <c r="G4262" i="4" a="1"/>
  <c r="G4262" i="4"/>
  <c r="G4260" i="4" a="1"/>
  <c r="G4260" i="4"/>
  <c r="E4260" i="4" a="1"/>
  <c r="E4260" i="4"/>
  <c r="G4259" i="4" a="1"/>
  <c r="G4259" i="4"/>
  <c r="G4258" i="4" a="1"/>
  <c r="G4258" i="4"/>
  <c r="E4258" i="4" a="1"/>
  <c r="E4258" i="4"/>
  <c r="G4257" i="4" a="1"/>
  <c r="G4257" i="4"/>
  <c r="G4256" i="4" a="1"/>
  <c r="G4256" i="4"/>
  <c r="E4256" i="4" a="1"/>
  <c r="E4256" i="4"/>
  <c r="G4255" i="4" a="1"/>
  <c r="G4255" i="4"/>
  <c r="G4254" i="4" a="1"/>
  <c r="G4254" i="4"/>
  <c r="E4254" i="4" a="1"/>
  <c r="E4254" i="4"/>
  <c r="G4253" i="4" a="1"/>
  <c r="G4253" i="4"/>
  <c r="G4252" i="4" a="1"/>
  <c r="G4252" i="4"/>
  <c r="E4252" i="4" a="1"/>
  <c r="E4252" i="4"/>
  <c r="G4251" i="4" a="1"/>
  <c r="G4251" i="4"/>
  <c r="G4250" i="4" a="1"/>
  <c r="G4250" i="4"/>
  <c r="E4250" i="4" a="1"/>
  <c r="E4250" i="4"/>
  <c r="G4249" i="4" a="1"/>
  <c r="G4249" i="4"/>
  <c r="G4248" i="4" a="1"/>
  <c r="G4248" i="4"/>
  <c r="E4248" i="4" a="1"/>
  <c r="E4248" i="4"/>
  <c r="G4247" i="4" a="1"/>
  <c r="G4247" i="4"/>
  <c r="G4246" i="4" a="1"/>
  <c r="G4246" i="4"/>
  <c r="E4246" i="4" a="1"/>
  <c r="E4246" i="4"/>
  <c r="G4245" i="4" a="1"/>
  <c r="G4245" i="4"/>
  <c r="G4244" i="4" a="1"/>
  <c r="G4244" i="4"/>
  <c r="E4244" i="4" a="1"/>
  <c r="E4244" i="4"/>
  <c r="G4243" i="4" a="1"/>
  <c r="G4243" i="4"/>
  <c r="G4241" i="4" a="1"/>
  <c r="G4241" i="4"/>
  <c r="E4241" i="4" a="1"/>
  <c r="E4241" i="4"/>
  <c r="G4240" i="4" a="1"/>
  <c r="G4240" i="4"/>
  <c r="G4239" i="4" a="1"/>
  <c r="G4239" i="4"/>
  <c r="E4239" i="4" a="1"/>
  <c r="E4239" i="4"/>
  <c r="G4238" i="4" a="1"/>
  <c r="G4238" i="4"/>
  <c r="G4237" i="4" a="1"/>
  <c r="G4237" i="4"/>
  <c r="E4237" i="4" a="1"/>
  <c r="E4237" i="4"/>
  <c r="G4236" i="4" a="1"/>
  <c r="G4236" i="4"/>
  <c r="G4234" i="4" a="1"/>
  <c r="G4234" i="4"/>
  <c r="E4234" i="4" a="1"/>
  <c r="E4234" i="4"/>
  <c r="G4233" i="4" a="1"/>
  <c r="G4233" i="4"/>
  <c r="E4233" i="4" a="1"/>
  <c r="E4233" i="4"/>
  <c r="G4232" i="4" a="1"/>
  <c r="G4232" i="4"/>
  <c r="G4231" i="4" a="1"/>
  <c r="G4231" i="4"/>
  <c r="E4231" i="4" a="1"/>
  <c r="E4231" i="4"/>
  <c r="G4230" i="4" a="1"/>
  <c r="G4230" i="4"/>
  <c r="E4230" i="4" a="1"/>
  <c r="E4230" i="4"/>
  <c r="G4229" i="4" a="1"/>
  <c r="G4229" i="4"/>
  <c r="G4228" i="4" a="1"/>
  <c r="G4228" i="4"/>
  <c r="E4228" i="4" a="1"/>
  <c r="E4228" i="4"/>
  <c r="G4227" i="4" a="1"/>
  <c r="G4227" i="4"/>
  <c r="E4227" i="4" a="1"/>
  <c r="E4227" i="4"/>
  <c r="G4226" i="4" a="1"/>
  <c r="G4226" i="4"/>
  <c r="G4225" i="4" a="1"/>
  <c r="G4225" i="4"/>
  <c r="E4225" i="4" a="1"/>
  <c r="E4225" i="4"/>
  <c r="G4224" i="4" a="1"/>
  <c r="G4224" i="4"/>
  <c r="E4224" i="4" a="1"/>
  <c r="E4224" i="4"/>
  <c r="G4223" i="4" a="1"/>
  <c r="G4223" i="4"/>
  <c r="G4222" i="4" a="1"/>
  <c r="G4222" i="4"/>
  <c r="E4222" i="4" a="1"/>
  <c r="E4222" i="4"/>
  <c r="G4221" i="4" a="1"/>
  <c r="G4221" i="4"/>
  <c r="E4221" i="4" a="1"/>
  <c r="E4221" i="4"/>
  <c r="G4220" i="4" a="1"/>
  <c r="G4220" i="4"/>
  <c r="G4219" i="4" a="1"/>
  <c r="G4219" i="4"/>
  <c r="E4219" i="4" a="1"/>
  <c r="E4219" i="4"/>
  <c r="G4218" i="4" a="1"/>
  <c r="G4218" i="4"/>
  <c r="E4218" i="4" a="1"/>
  <c r="E4218" i="4"/>
  <c r="G4217" i="4" a="1"/>
  <c r="G4217" i="4"/>
  <c r="G4216" i="4" a="1"/>
  <c r="G4216" i="4"/>
  <c r="E4216" i="4" a="1"/>
  <c r="E4216" i="4"/>
  <c r="G4215" i="4" a="1"/>
  <c r="G4215" i="4"/>
  <c r="E4215" i="4" a="1"/>
  <c r="E4215" i="4"/>
  <c r="G4214" i="4" a="1"/>
  <c r="G4214" i="4"/>
  <c r="G4213" i="4" a="1"/>
  <c r="G4213" i="4"/>
  <c r="E4213" i="4" a="1"/>
  <c r="E4213" i="4"/>
  <c r="G4212" i="4" a="1"/>
  <c r="G4212" i="4"/>
  <c r="E4212" i="4" a="1"/>
  <c r="E4212" i="4"/>
  <c r="G4211" i="4" a="1"/>
  <c r="G4211" i="4"/>
  <c r="G4210" i="4" a="1"/>
  <c r="G4210" i="4"/>
  <c r="E4210" i="4" a="1"/>
  <c r="E4210" i="4"/>
  <c r="G4209" i="4" a="1"/>
  <c r="G4209" i="4"/>
  <c r="E4209" i="4" a="1"/>
  <c r="E4209" i="4"/>
  <c r="G4208" i="4" a="1"/>
  <c r="G4208" i="4"/>
  <c r="G4207" i="4" a="1"/>
  <c r="G4207" i="4"/>
  <c r="E4207" i="4" a="1"/>
  <c r="E4207" i="4"/>
  <c r="G4206" i="4" a="1"/>
  <c r="G4206" i="4"/>
  <c r="E4206" i="4" a="1"/>
  <c r="E4206" i="4"/>
  <c r="G4205" i="4" a="1"/>
  <c r="G4205" i="4"/>
  <c r="G4204" i="4" a="1"/>
  <c r="G4204" i="4"/>
  <c r="E4204" i="4" a="1"/>
  <c r="E4204" i="4"/>
  <c r="G4203" i="4" a="1"/>
  <c r="G4203" i="4"/>
  <c r="E4203" i="4" a="1"/>
  <c r="E4203" i="4"/>
  <c r="G4202" i="4" a="1"/>
  <c r="G4202" i="4"/>
  <c r="G4201" i="4" a="1"/>
  <c r="G4201" i="4"/>
  <c r="E4201" i="4" a="1"/>
  <c r="E4201" i="4"/>
  <c r="G4200" i="4" a="1"/>
  <c r="G4200" i="4"/>
  <c r="E4200" i="4" a="1"/>
  <c r="E4200" i="4"/>
  <c r="G4199" i="4" a="1"/>
  <c r="G4199" i="4"/>
  <c r="G4198" i="4" a="1"/>
  <c r="G4198" i="4"/>
  <c r="E4198" i="4" a="1"/>
  <c r="E4198" i="4"/>
  <c r="G4197" i="4" a="1"/>
  <c r="G4197" i="4"/>
  <c r="E4197" i="4" a="1"/>
  <c r="E4197" i="4"/>
  <c r="G4196" i="4" a="1"/>
  <c r="G4196" i="4"/>
  <c r="G4195" i="4" a="1"/>
  <c r="G4195" i="4"/>
  <c r="E4195" i="4" a="1"/>
  <c r="E4195" i="4"/>
  <c r="G4194" i="4" a="1"/>
  <c r="G4194" i="4"/>
  <c r="E4194" i="4" a="1"/>
  <c r="E4194" i="4"/>
  <c r="G4193" i="4" a="1"/>
  <c r="G4193" i="4"/>
  <c r="G4192" i="4" a="1"/>
  <c r="G4192" i="4"/>
  <c r="E4192" i="4" a="1"/>
  <c r="E4192" i="4"/>
  <c r="G4191" i="4" a="1"/>
  <c r="G4191" i="4"/>
  <c r="E4191" i="4" a="1"/>
  <c r="E4191" i="4"/>
  <c r="G4190" i="4" a="1"/>
  <c r="G4190" i="4"/>
  <c r="G4189" i="4" a="1"/>
  <c r="G4189" i="4"/>
  <c r="E4189" i="4" a="1"/>
  <c r="E4189" i="4"/>
  <c r="G4188" i="4" a="1"/>
  <c r="G4188" i="4"/>
  <c r="E4188" i="4" a="1"/>
  <c r="E4188" i="4"/>
  <c r="G4187" i="4" a="1"/>
  <c r="G4187" i="4"/>
  <c r="G4186" i="4" a="1"/>
  <c r="G4186" i="4"/>
  <c r="E4186" i="4" a="1"/>
  <c r="E4186" i="4"/>
  <c r="G4185" i="4" a="1"/>
  <c r="G4185" i="4"/>
  <c r="E4185" i="4" a="1"/>
  <c r="E4185" i="4"/>
  <c r="G4184" i="4" a="1"/>
  <c r="G4184" i="4"/>
  <c r="G4183" i="4" a="1"/>
  <c r="G4183" i="4"/>
  <c r="E4183" i="4" a="1"/>
  <c r="E4183" i="4"/>
  <c r="G4182" i="4" a="1"/>
  <c r="G4182" i="4"/>
  <c r="E4182" i="4" a="1"/>
  <c r="E4182" i="4"/>
  <c r="G4181" i="4" a="1"/>
  <c r="G4181" i="4"/>
  <c r="G4180" i="4" a="1"/>
  <c r="G4180" i="4"/>
  <c r="E4180" i="4" a="1"/>
  <c r="E4180" i="4"/>
  <c r="G4179" i="4" a="1"/>
  <c r="G4179" i="4"/>
  <c r="E4179" i="4" a="1"/>
  <c r="E4179" i="4"/>
  <c r="G4178" i="4" a="1"/>
  <c r="G4178" i="4"/>
  <c r="G4177" i="4" a="1"/>
  <c r="G4177" i="4"/>
  <c r="E4177" i="4" a="1"/>
  <c r="E4177" i="4"/>
  <c r="G4176" i="4" a="1"/>
  <c r="G4176" i="4"/>
  <c r="E4176" i="4" a="1"/>
  <c r="E4176" i="4"/>
  <c r="G4175" i="4" a="1"/>
  <c r="G4175" i="4"/>
  <c r="G4174" i="4" a="1"/>
  <c r="G4174" i="4"/>
  <c r="E4174" i="4" a="1"/>
  <c r="E4174" i="4"/>
  <c r="G4173" i="4" a="1"/>
  <c r="G4173" i="4"/>
  <c r="E4173" i="4" a="1"/>
  <c r="E4173" i="4"/>
  <c r="G4172" i="4" a="1"/>
  <c r="G4172" i="4"/>
  <c r="G4171" i="4" a="1"/>
  <c r="G4171" i="4"/>
  <c r="E4171" i="4" a="1"/>
  <c r="E4171" i="4"/>
  <c r="G4170" i="4" a="1"/>
  <c r="G4170" i="4"/>
  <c r="E4170" i="4" a="1"/>
  <c r="E4170" i="4"/>
  <c r="G4169" i="4" a="1"/>
  <c r="G4169" i="4"/>
  <c r="G4168" i="4" a="1"/>
  <c r="G4168" i="4"/>
  <c r="E4168" i="4" a="1"/>
  <c r="E4168" i="4"/>
  <c r="G4167" i="4" a="1"/>
  <c r="G4167" i="4"/>
  <c r="E4167" i="4" a="1"/>
  <c r="E4167" i="4"/>
  <c r="G4166" i="4" a="1"/>
  <c r="G4166" i="4"/>
  <c r="G4165" i="4" a="1"/>
  <c r="G4165" i="4"/>
  <c r="E4165" i="4" a="1"/>
  <c r="E4165" i="4"/>
  <c r="G4164" i="4" a="1"/>
  <c r="G4164" i="4"/>
  <c r="E4164" i="4" a="1"/>
  <c r="E4164" i="4"/>
  <c r="G4163" i="4" a="1"/>
  <c r="G4163" i="4"/>
  <c r="G4161" i="4" a="1"/>
  <c r="G4161" i="4"/>
  <c r="E4161" i="4" a="1"/>
  <c r="E4161" i="4"/>
  <c r="G4160" i="4" a="1"/>
  <c r="G4160" i="4"/>
  <c r="G4159" i="4" a="1"/>
  <c r="G4159" i="4"/>
  <c r="E4159" i="4" a="1"/>
  <c r="E4159" i="4"/>
  <c r="G4158" i="4" a="1"/>
  <c r="G4158" i="4"/>
  <c r="G4157" i="4" a="1"/>
  <c r="G4157" i="4"/>
  <c r="E4157" i="4" a="1"/>
  <c r="E4157" i="4"/>
  <c r="G4156" i="4" a="1"/>
  <c r="G4156" i="4"/>
  <c r="G4155" i="4" a="1"/>
  <c r="G4155" i="4"/>
  <c r="E4155" i="4" a="1"/>
  <c r="E4155" i="4"/>
  <c r="G4154" i="4" a="1"/>
  <c r="G4154" i="4"/>
  <c r="G4153" i="4" a="1"/>
  <c r="G4153" i="4"/>
  <c r="E4153" i="4" a="1"/>
  <c r="E4153" i="4"/>
  <c r="G4152" i="4" a="1"/>
  <c r="G4152" i="4"/>
  <c r="G4150" i="4" a="1"/>
  <c r="G4150" i="4"/>
  <c r="E4150" i="4" a="1"/>
  <c r="E4150" i="4"/>
  <c r="G4149" i="4" a="1"/>
  <c r="G4149" i="4"/>
  <c r="G4148" i="4" a="1"/>
  <c r="G4148" i="4"/>
  <c r="E4148" i="4" a="1"/>
  <c r="E4148" i="4"/>
  <c r="G4147" i="4" a="1"/>
  <c r="G4147" i="4"/>
  <c r="G4146" i="4" a="1"/>
  <c r="G4146" i="4"/>
  <c r="E4146" i="4" a="1"/>
  <c r="E4146" i="4"/>
  <c r="G4145" i="4" a="1"/>
  <c r="G4145" i="4"/>
  <c r="G4144" i="4" a="1"/>
  <c r="G4144" i="4"/>
  <c r="E4144" i="4" a="1"/>
  <c r="E4144" i="4"/>
  <c r="G4143" i="4" a="1"/>
  <c r="G4143" i="4"/>
  <c r="G4142" i="4" a="1"/>
  <c r="G4142" i="4"/>
  <c r="E4142" i="4" a="1"/>
  <c r="E4142" i="4"/>
  <c r="G4141" i="4" a="1"/>
  <c r="G4141" i="4"/>
  <c r="G4140" i="4" a="1"/>
  <c r="G4140" i="4"/>
  <c r="E4140" i="4" a="1"/>
  <c r="E4140" i="4"/>
  <c r="G4139" i="4" a="1"/>
  <c r="G4139" i="4"/>
  <c r="G4138" i="4" a="1"/>
  <c r="G4138" i="4"/>
  <c r="E4138" i="4" a="1"/>
  <c r="E4138" i="4"/>
  <c r="G4137" i="4" a="1"/>
  <c r="G4137" i="4"/>
  <c r="G4136" i="4" a="1"/>
  <c r="G4136" i="4"/>
  <c r="E4136" i="4" a="1"/>
  <c r="E4136" i="4"/>
  <c r="G4135" i="4" a="1"/>
  <c r="G4135" i="4"/>
  <c r="G4134" i="4" a="1"/>
  <c r="G4134" i="4"/>
  <c r="E4134" i="4" a="1"/>
  <c r="E4134" i="4"/>
  <c r="G4133" i="4" a="1"/>
  <c r="G4133" i="4"/>
  <c r="G4132" i="4" a="1"/>
  <c r="G4132" i="4"/>
  <c r="E4132" i="4" a="1"/>
  <c r="E4132" i="4"/>
  <c r="G4131" i="4" a="1"/>
  <c r="G4131" i="4"/>
  <c r="G4130" i="4" a="1"/>
  <c r="G4130" i="4"/>
  <c r="E4130" i="4" a="1"/>
  <c r="E4130" i="4"/>
  <c r="G4129" i="4" a="1"/>
  <c r="G4129" i="4"/>
  <c r="G4128" i="4" a="1"/>
  <c r="G4128" i="4"/>
  <c r="E4128" i="4" a="1"/>
  <c r="E4128" i="4"/>
  <c r="G4127" i="4" a="1"/>
  <c r="G4127" i="4"/>
  <c r="G4126" i="4" a="1"/>
  <c r="G4126" i="4"/>
  <c r="E4126" i="4" a="1"/>
  <c r="E4126" i="4"/>
  <c r="G4125" i="4" a="1"/>
  <c r="G4125" i="4"/>
  <c r="G4124" i="4" a="1"/>
  <c r="G4124" i="4"/>
  <c r="E4124" i="4" a="1"/>
  <c r="E4124" i="4"/>
  <c r="G4123" i="4" a="1"/>
  <c r="G4123" i="4"/>
  <c r="E4123" i="4" a="1"/>
  <c r="E4123" i="4"/>
  <c r="G4122" i="4" a="1"/>
  <c r="G4122" i="4"/>
  <c r="G4121" i="4" a="1"/>
  <c r="G4121" i="4"/>
  <c r="E4121" i="4" a="1"/>
  <c r="E4121" i="4"/>
  <c r="G4120" i="4" a="1"/>
  <c r="G4120" i="4"/>
  <c r="G4119" i="4" a="1"/>
  <c r="G4119" i="4"/>
  <c r="E4119" i="4" a="1"/>
  <c r="E4119" i="4"/>
  <c r="G4118" i="4" a="1"/>
  <c r="G4118" i="4"/>
  <c r="G4117" i="4" a="1"/>
  <c r="G4117" i="4"/>
  <c r="E4117" i="4" a="1"/>
  <c r="E4117" i="4"/>
  <c r="G4116" i="4" a="1"/>
  <c r="G4116" i="4"/>
  <c r="G4115" i="4" a="1"/>
  <c r="G4115" i="4"/>
  <c r="E4115" i="4" a="1"/>
  <c r="E4115" i="4"/>
  <c r="G4114" i="4" a="1"/>
  <c r="G4114" i="4"/>
  <c r="G4113" i="4" a="1"/>
  <c r="G4113" i="4"/>
  <c r="E4113" i="4" a="1"/>
  <c r="E4113" i="4"/>
  <c r="G4112" i="4" a="1"/>
  <c r="G4112" i="4"/>
  <c r="G4111" i="4" a="1"/>
  <c r="G4111" i="4"/>
  <c r="E4111" i="4" a="1"/>
  <c r="E4111" i="4"/>
  <c r="G4110" i="4" a="1"/>
  <c r="G4110" i="4"/>
  <c r="G4109" i="4" a="1"/>
  <c r="G4109" i="4"/>
  <c r="F4109" i="4"/>
  <c r="E4109" i="4" a="1"/>
  <c r="E4109" i="4"/>
  <c r="G4108" i="4" a="1"/>
  <c r="G4108" i="4"/>
  <c r="E4108" i="4" a="1"/>
  <c r="E4108" i="4"/>
  <c r="G4107" i="4" a="1"/>
  <c r="G4107" i="4"/>
  <c r="G4106" i="4" a="1"/>
  <c r="G4106" i="4"/>
  <c r="F4106" i="4"/>
  <c r="E4106" i="4" a="1"/>
  <c r="E4106" i="4"/>
  <c r="G4105" i="4" a="1"/>
  <c r="G4105" i="4"/>
  <c r="E4105" i="4" a="1"/>
  <c r="E4105" i="4"/>
  <c r="G4104" i="4" a="1"/>
  <c r="G4104" i="4"/>
  <c r="G4103" i="4" a="1"/>
  <c r="G4103" i="4"/>
  <c r="E4103" i="4" a="1"/>
  <c r="E4103" i="4"/>
  <c r="G4102" i="4" a="1"/>
  <c r="G4102" i="4"/>
  <c r="G4101" i="4" a="1"/>
  <c r="G4101" i="4"/>
  <c r="E4101" i="4" a="1"/>
  <c r="E4101" i="4"/>
  <c r="G4100" i="4" a="1"/>
  <c r="G4100" i="4"/>
  <c r="G4099" i="4" a="1"/>
  <c r="G4099" i="4"/>
  <c r="E4099" i="4" a="1"/>
  <c r="E4099" i="4"/>
  <c r="G4098" i="4" a="1"/>
  <c r="G4098" i="4"/>
  <c r="G4097" i="4" a="1"/>
  <c r="G4097" i="4"/>
  <c r="E4097" i="4" a="1"/>
  <c r="E4097" i="4"/>
  <c r="G4096" i="4" a="1"/>
  <c r="G4096" i="4"/>
  <c r="E4096" i="4" a="1"/>
  <c r="E4096" i="4"/>
  <c r="G4095" i="4" a="1"/>
  <c r="G4095" i="4"/>
  <c r="E4095" i="4" a="1"/>
  <c r="E4095" i="4"/>
  <c r="G4094" i="4" a="1"/>
  <c r="G4094" i="4"/>
  <c r="G4093" i="4" a="1"/>
  <c r="G4093" i="4"/>
  <c r="E4093" i="4" a="1"/>
  <c r="E4093" i="4"/>
  <c r="G4092" i="4" a="1"/>
  <c r="G4092" i="4"/>
  <c r="E4092" i="4" a="1"/>
  <c r="E4092" i="4"/>
  <c r="G4091" i="4" a="1"/>
  <c r="G4091" i="4"/>
  <c r="E4091" i="4" a="1"/>
  <c r="E4091" i="4"/>
  <c r="G4090" i="4" a="1"/>
  <c r="G4090" i="4"/>
  <c r="G4089" i="4" a="1"/>
  <c r="G4089" i="4"/>
  <c r="E4089" i="4" a="1"/>
  <c r="E4089" i="4"/>
  <c r="G4088" i="4" a="1"/>
  <c r="G4088" i="4"/>
  <c r="G4086" i="4" a="1"/>
  <c r="G4086" i="4"/>
  <c r="G4085" i="4" a="1"/>
  <c r="G4085" i="4"/>
  <c r="E4085" i="4" a="1"/>
  <c r="E4085" i="4"/>
  <c r="G4084" i="4" a="1"/>
  <c r="G4084" i="4"/>
  <c r="G4083" i="4" a="1"/>
  <c r="G4083" i="4"/>
  <c r="E4083" i="4" a="1"/>
  <c r="E4083" i="4"/>
  <c r="G4082" i="4" a="1"/>
  <c r="G4082" i="4"/>
  <c r="G4081" i="4" a="1"/>
  <c r="G4081" i="4"/>
  <c r="E4081" i="4" a="1"/>
  <c r="E4081" i="4"/>
  <c r="G4080" i="4" a="1"/>
  <c r="G4080" i="4"/>
  <c r="G4079" i="4" a="1"/>
  <c r="G4079" i="4"/>
  <c r="E4079" i="4" a="1"/>
  <c r="E4079" i="4"/>
  <c r="G4078" i="4" a="1"/>
  <c r="G4078" i="4"/>
  <c r="G4076" i="4" a="1"/>
  <c r="G4076" i="4"/>
  <c r="E4076" i="4" a="1"/>
  <c r="E4076" i="4"/>
  <c r="G4075" i="4" a="1"/>
  <c r="G4075" i="4"/>
  <c r="G4074" i="4" a="1"/>
  <c r="G4074" i="4"/>
  <c r="E4074" i="4" a="1"/>
  <c r="E4074" i="4"/>
  <c r="G4073" i="4" a="1"/>
  <c r="G4073" i="4"/>
  <c r="G4072" i="4" a="1"/>
  <c r="G4072" i="4"/>
  <c r="E4072" i="4" a="1"/>
  <c r="E4072" i="4"/>
  <c r="G4071" i="4" a="1"/>
  <c r="G4071" i="4"/>
  <c r="G4070" i="4" a="1"/>
  <c r="G4070" i="4"/>
  <c r="E4070" i="4" a="1"/>
  <c r="E4070" i="4"/>
  <c r="G4069" i="4" a="1"/>
  <c r="G4069" i="4"/>
  <c r="G4067" i="4" a="1"/>
  <c r="G4067" i="4"/>
  <c r="E4067" i="4" a="1"/>
  <c r="E4067" i="4"/>
  <c r="G4066" i="4" a="1"/>
  <c r="G4066" i="4"/>
  <c r="G4065" i="4" a="1"/>
  <c r="G4065" i="4"/>
  <c r="E4065" i="4" a="1"/>
  <c r="E4065" i="4"/>
  <c r="G4064" i="4" a="1"/>
  <c r="G4064" i="4"/>
  <c r="G4063" i="4" a="1"/>
  <c r="G4063" i="4"/>
  <c r="E4063" i="4" a="1"/>
  <c r="E4063" i="4"/>
  <c r="G4062" i="4" a="1"/>
  <c r="G4062" i="4"/>
  <c r="G4061" i="4" a="1"/>
  <c r="G4061" i="4"/>
  <c r="E4061" i="4" a="1"/>
  <c r="E4061" i="4"/>
  <c r="G4060" i="4" a="1"/>
  <c r="G4060" i="4"/>
  <c r="G4059" i="4" a="1"/>
  <c r="G4059" i="4"/>
  <c r="E4059" i="4" a="1"/>
  <c r="E4059" i="4"/>
  <c r="G4058" i="4" a="1"/>
  <c r="G4058" i="4"/>
  <c r="G4056" i="4" a="1"/>
  <c r="G4056" i="4"/>
  <c r="E4056" i="4" a="1"/>
  <c r="E4056" i="4"/>
  <c r="G4055" i="4" a="1"/>
  <c r="G4055" i="4"/>
  <c r="E4055" i="4" a="1"/>
  <c r="E4055" i="4"/>
  <c r="G4054" i="4" a="1"/>
  <c r="G4054" i="4"/>
  <c r="G4053" i="4" a="1"/>
  <c r="G4053" i="4"/>
  <c r="E4053" i="4" a="1"/>
  <c r="E4053" i="4"/>
  <c r="G4052" i="4" a="1"/>
  <c r="G4052" i="4"/>
  <c r="E4052" i="4" a="1"/>
  <c r="E4052" i="4"/>
  <c r="G4051" i="4" a="1"/>
  <c r="G4051" i="4"/>
  <c r="G4050" i="4" a="1"/>
  <c r="G4050" i="4"/>
  <c r="E4050" i="4" a="1"/>
  <c r="E4050" i="4"/>
  <c r="G4049" i="4" a="1"/>
  <c r="G4049" i="4"/>
  <c r="G4048" i="4" a="1"/>
  <c r="G4048" i="4"/>
  <c r="E4048" i="4" a="1"/>
  <c r="E4048" i="4"/>
  <c r="G4047" i="4" a="1"/>
  <c r="G4047" i="4"/>
  <c r="E4047" i="4" a="1"/>
  <c r="E4047" i="4"/>
  <c r="G4046" i="4" a="1"/>
  <c r="G4046" i="4"/>
  <c r="E4046" i="4" a="1"/>
  <c r="E4046" i="4"/>
  <c r="G4045" i="4" a="1"/>
  <c r="G4045" i="4"/>
  <c r="E4045" i="4" a="1"/>
  <c r="E4045" i="4"/>
  <c r="G4044" i="4" a="1"/>
  <c r="G4044" i="4"/>
  <c r="G4043" i="4" a="1"/>
  <c r="G4043" i="4"/>
  <c r="E4043" i="4" a="1"/>
  <c r="E4043" i="4"/>
  <c r="G4042" i="4" a="1"/>
  <c r="G4042" i="4"/>
  <c r="E4042" i="4" a="1"/>
  <c r="E4042" i="4"/>
  <c r="G4041" i="4" a="1"/>
  <c r="G4041" i="4"/>
  <c r="G4040" i="4" a="1"/>
  <c r="G4040" i="4"/>
  <c r="E4040" i="4" a="1"/>
  <c r="E4040" i="4"/>
  <c r="G4039" i="4" a="1"/>
  <c r="G4039" i="4"/>
  <c r="G4038" i="4" a="1"/>
  <c r="G4038" i="4"/>
  <c r="E4038" i="4" a="1"/>
  <c r="E4038" i="4"/>
  <c r="G4037" i="4" a="1"/>
  <c r="G4037" i="4"/>
  <c r="G4036" i="4" a="1"/>
  <c r="G4036" i="4"/>
  <c r="E4036" i="4" a="1"/>
  <c r="E4036" i="4"/>
  <c r="G4035" i="4" a="1"/>
  <c r="G4035" i="4"/>
  <c r="G4034" i="4" a="1"/>
  <c r="G4034" i="4"/>
  <c r="E4034" i="4" a="1"/>
  <c r="E4034" i="4"/>
  <c r="G4033" i="4" a="1"/>
  <c r="G4033" i="4"/>
  <c r="G4032" i="4" a="1"/>
  <c r="G4032" i="4"/>
  <c r="E4032" i="4" a="1"/>
  <c r="E4032" i="4"/>
  <c r="G4031" i="4" a="1"/>
  <c r="G4031" i="4"/>
  <c r="G4030" i="4" a="1"/>
  <c r="G4030" i="4"/>
  <c r="E4030" i="4" a="1"/>
  <c r="E4030" i="4"/>
  <c r="G4029" i="4" a="1"/>
  <c r="G4029" i="4"/>
  <c r="G4028" i="4" a="1"/>
  <c r="G4028" i="4"/>
  <c r="E4028" i="4" a="1"/>
  <c r="E4028" i="4"/>
  <c r="G4027" i="4" a="1"/>
  <c r="G4027" i="4"/>
  <c r="E4027" i="4" a="1"/>
  <c r="E4027" i="4"/>
  <c r="G4026" i="4" a="1"/>
  <c r="G4026" i="4"/>
  <c r="E4026" i="4" a="1"/>
  <c r="E4026" i="4"/>
  <c r="G4025" i="4" a="1"/>
  <c r="G4025" i="4"/>
  <c r="G4024" i="4" a="1"/>
  <c r="G4024" i="4"/>
  <c r="E4024" i="4" a="1"/>
  <c r="E4024" i="4"/>
  <c r="G4023" i="4" a="1"/>
  <c r="G4023" i="4"/>
  <c r="G4021" i="4" a="1"/>
  <c r="G4021" i="4"/>
  <c r="E4021" i="4" a="1"/>
  <c r="E4021" i="4"/>
  <c r="G4020" i="4" a="1"/>
  <c r="G4020" i="4"/>
  <c r="E4020" i="4" a="1"/>
  <c r="E4020" i="4"/>
  <c r="G4019" i="4" a="1"/>
  <c r="G4019" i="4"/>
  <c r="G4018" i="4" a="1"/>
  <c r="G4018" i="4"/>
  <c r="E4018" i="4" a="1"/>
  <c r="E4018" i="4"/>
  <c r="G4017" i="4" a="1"/>
  <c r="G4017" i="4"/>
  <c r="E4017" i="4" a="1"/>
  <c r="E4017" i="4"/>
  <c r="G4016" i="4" a="1"/>
  <c r="G4016" i="4"/>
  <c r="G4015" i="4" a="1"/>
  <c r="G4015" i="4"/>
  <c r="E4015" i="4" a="1"/>
  <c r="E4015" i="4"/>
  <c r="G4014" i="4" a="1"/>
  <c r="G4014" i="4"/>
  <c r="E4014" i="4" a="1"/>
  <c r="E4014" i="4"/>
  <c r="G4013" i="4" a="1"/>
  <c r="G4013" i="4"/>
  <c r="G4012" i="4" a="1"/>
  <c r="G4012" i="4"/>
  <c r="E4012" i="4" a="1"/>
  <c r="E4012" i="4"/>
  <c r="G4011" i="4" a="1"/>
  <c r="G4011" i="4"/>
  <c r="E4011" i="4" a="1"/>
  <c r="E4011" i="4"/>
  <c r="G4010" i="4" a="1"/>
  <c r="G4010" i="4"/>
  <c r="G4009" i="4" a="1"/>
  <c r="G4009" i="4"/>
  <c r="E4009" i="4" a="1"/>
  <c r="E4009" i="4"/>
  <c r="G4008" i="4" a="1"/>
  <c r="G4008" i="4"/>
  <c r="E4008" i="4" a="1"/>
  <c r="E4008" i="4"/>
  <c r="G4007" i="4" a="1"/>
  <c r="G4007" i="4"/>
  <c r="G4006" i="4" a="1"/>
  <c r="G4006" i="4"/>
  <c r="E4006" i="4" a="1"/>
  <c r="E4006" i="4"/>
  <c r="G4005" i="4" a="1"/>
  <c r="G4005" i="4"/>
  <c r="E4005" i="4" a="1"/>
  <c r="E4005" i="4"/>
  <c r="G4004" i="4" a="1"/>
  <c r="G4004" i="4"/>
  <c r="G4003" i="4" a="1"/>
  <c r="G4003" i="4"/>
  <c r="E4003" i="4" a="1"/>
  <c r="E4003" i="4"/>
  <c r="G4002" i="4" a="1"/>
  <c r="G4002" i="4"/>
  <c r="G4001" i="4" a="1"/>
  <c r="G4001" i="4"/>
  <c r="E4001" i="4" a="1"/>
  <c r="E4001" i="4"/>
  <c r="G4000" i="4" a="1"/>
  <c r="G4000" i="4"/>
  <c r="E4000" i="4" a="1"/>
  <c r="E4000" i="4"/>
  <c r="G3999" i="4" a="1"/>
  <c r="G3999" i="4"/>
  <c r="G3998" i="4" a="1"/>
  <c r="G3998" i="4"/>
  <c r="E3998" i="4" a="1"/>
  <c r="E3998" i="4"/>
  <c r="G3997" i="4" a="1"/>
  <c r="G3997" i="4"/>
  <c r="E3997" i="4" a="1"/>
  <c r="E3997" i="4"/>
  <c r="G3996" i="4" a="1"/>
  <c r="G3996" i="4"/>
  <c r="G3995" i="4" a="1"/>
  <c r="G3995" i="4"/>
  <c r="E3995" i="4" a="1"/>
  <c r="E3995" i="4"/>
  <c r="G3994" i="4" a="1"/>
  <c r="G3994" i="4"/>
  <c r="E3994" i="4" a="1"/>
  <c r="E3994" i="4"/>
  <c r="G3993" i="4" a="1"/>
  <c r="G3993" i="4"/>
  <c r="E3993" i="4" a="1"/>
  <c r="E3993" i="4"/>
  <c r="G3992" i="4" a="1"/>
  <c r="G3992" i="4"/>
  <c r="E3992" i="4" a="1"/>
  <c r="E3992" i="4"/>
  <c r="G3991" i="4" a="1"/>
  <c r="G3991" i="4"/>
  <c r="G3990" i="4" a="1"/>
  <c r="G3990" i="4"/>
  <c r="E3990" i="4" a="1"/>
  <c r="E3990" i="4"/>
  <c r="G3989" i="4" a="1"/>
  <c r="G3989" i="4"/>
  <c r="E3989" i="4" a="1"/>
  <c r="E3989" i="4"/>
  <c r="G3988" i="4" a="1"/>
  <c r="G3988" i="4"/>
  <c r="E3988" i="4" a="1"/>
  <c r="E3988" i="4"/>
  <c r="G3987" i="4" a="1"/>
  <c r="G3987" i="4"/>
  <c r="G3986" i="4" a="1"/>
  <c r="G3986" i="4"/>
  <c r="F3986" i="4"/>
  <c r="E3986" i="4" a="1"/>
  <c r="E3986" i="4"/>
  <c r="G3985" i="4" a="1"/>
  <c r="G3985" i="4"/>
  <c r="F3985" i="4"/>
  <c r="E3985" i="4" a="1"/>
  <c r="E3985" i="4"/>
  <c r="G3984" i="4" a="1"/>
  <c r="G3984" i="4"/>
  <c r="E3984" i="4" a="1"/>
  <c r="E3984" i="4"/>
  <c r="G3983" i="4" a="1"/>
  <c r="G3983" i="4"/>
  <c r="E3983" i="4" a="1"/>
  <c r="E3983" i="4"/>
  <c r="G3982" i="4" a="1"/>
  <c r="G3982" i="4"/>
  <c r="G3981" i="4" a="1"/>
  <c r="G3981" i="4"/>
  <c r="E3981" i="4" a="1"/>
  <c r="E3981" i="4"/>
  <c r="G3980" i="4" a="1"/>
  <c r="G3980" i="4"/>
  <c r="G3979" i="4" a="1"/>
  <c r="G3979" i="4"/>
  <c r="F3979" i="4"/>
  <c r="E3979" i="4" a="1"/>
  <c r="E3979" i="4"/>
  <c r="G3978" i="4" a="1"/>
  <c r="G3978" i="4"/>
  <c r="F3978" i="4"/>
  <c r="E3978" i="4" a="1"/>
  <c r="E3978" i="4"/>
  <c r="G3977" i="4" a="1"/>
  <c r="G3977" i="4"/>
  <c r="F3977" i="4"/>
  <c r="E3977" i="4" a="1"/>
  <c r="E3977" i="4"/>
  <c r="G3976" i="4" a="1"/>
  <c r="G3976" i="4"/>
  <c r="F3976" i="4"/>
  <c r="E3976" i="4" a="1"/>
  <c r="E3976" i="4"/>
  <c r="G3975" i="4" a="1"/>
  <c r="G3975" i="4"/>
  <c r="G3974" i="4" a="1"/>
  <c r="G3974" i="4"/>
  <c r="E3974" i="4" a="1"/>
  <c r="E3974" i="4"/>
  <c r="G3973" i="4" a="1"/>
  <c r="G3973" i="4"/>
  <c r="E3973" i="4" a="1"/>
  <c r="E3973" i="4"/>
  <c r="G3972" i="4" a="1"/>
  <c r="G3972" i="4"/>
  <c r="E3972" i="4" a="1"/>
  <c r="E3972" i="4"/>
  <c r="G3971" i="4" a="1"/>
  <c r="G3971" i="4"/>
  <c r="E3971" i="4" a="1"/>
  <c r="E3971" i="4"/>
  <c r="G3970" i="4" a="1"/>
  <c r="G3970" i="4"/>
  <c r="G3969" i="4" a="1"/>
  <c r="G3969" i="4"/>
  <c r="E3969" i="4" a="1"/>
  <c r="E3969" i="4"/>
  <c r="G3968" i="4" a="1"/>
  <c r="G3968" i="4"/>
  <c r="G3967" i="4" a="1"/>
  <c r="G3967" i="4"/>
  <c r="E3967" i="4" a="1"/>
  <c r="E3967" i="4"/>
  <c r="G3966" i="4" a="1"/>
  <c r="G3966" i="4"/>
  <c r="G3965" i="4" a="1"/>
  <c r="G3965" i="4"/>
  <c r="E3965" i="4" a="1"/>
  <c r="E3965" i="4"/>
  <c r="G3964" i="4" a="1"/>
  <c r="G3964" i="4"/>
  <c r="G3963" i="4" a="1"/>
  <c r="G3963" i="4"/>
  <c r="E3963" i="4" a="1"/>
  <c r="E3963" i="4"/>
  <c r="G3962" i="4" a="1"/>
  <c r="G3962" i="4"/>
  <c r="G3961" i="4" a="1"/>
  <c r="G3961" i="4"/>
  <c r="E3961" i="4" a="1"/>
  <c r="E3961" i="4"/>
  <c r="G3960" i="4" a="1"/>
  <c r="G3960" i="4"/>
  <c r="G3959" i="4" a="1"/>
  <c r="G3959" i="4"/>
  <c r="E3959" i="4" a="1"/>
  <c r="E3959" i="4"/>
  <c r="G3958" i="4" a="1"/>
  <c r="G3958" i="4"/>
  <c r="E3958" i="4" a="1"/>
  <c r="E3958" i="4"/>
  <c r="G3957" i="4" a="1"/>
  <c r="G3957" i="4"/>
  <c r="G3956" i="4" a="1"/>
  <c r="G3956" i="4"/>
  <c r="E3956" i="4" a="1"/>
  <c r="E3956" i="4"/>
  <c r="G3955" i="4" a="1"/>
  <c r="G3955" i="4"/>
  <c r="E3955" i="4" a="1"/>
  <c r="E3955" i="4"/>
  <c r="G3954" i="4" a="1"/>
  <c r="G3954" i="4"/>
  <c r="E3954" i="4" a="1"/>
  <c r="E3954" i="4"/>
  <c r="G3953" i="4" a="1"/>
  <c r="G3953" i="4"/>
  <c r="E3953" i="4" a="1"/>
  <c r="E3953" i="4"/>
  <c r="G3952" i="4" a="1"/>
  <c r="G3952" i="4"/>
  <c r="E3952" i="4" a="1"/>
  <c r="E3952" i="4"/>
  <c r="G3951" i="4" a="1"/>
  <c r="G3951" i="4"/>
  <c r="E3951" i="4" a="1"/>
  <c r="E3951" i="4"/>
  <c r="G3950" i="4" a="1"/>
  <c r="G3950" i="4"/>
  <c r="E3950" i="4" a="1"/>
  <c r="E3950" i="4"/>
  <c r="G3949" i="4" a="1"/>
  <c r="G3949" i="4"/>
  <c r="E3949" i="4" a="1"/>
  <c r="E3949" i="4"/>
  <c r="G3948" i="4" a="1"/>
  <c r="G3948" i="4"/>
  <c r="E3948" i="4" a="1"/>
  <c r="E3948" i="4"/>
  <c r="G3947" i="4" a="1"/>
  <c r="G3947" i="4"/>
  <c r="E3947" i="4" a="1"/>
  <c r="E3947" i="4"/>
  <c r="G3946" i="4" a="1"/>
  <c r="G3946" i="4"/>
  <c r="E3946" i="4" a="1"/>
  <c r="E3946" i="4"/>
  <c r="G3945" i="4" a="1"/>
  <c r="G3945" i="4"/>
  <c r="G3944" i="4" a="1"/>
  <c r="G3944" i="4"/>
  <c r="E3944" i="4" a="1"/>
  <c r="E3944" i="4"/>
  <c r="G3943" i="4" a="1"/>
  <c r="G3943" i="4"/>
  <c r="G3942" i="4" a="1"/>
  <c r="G3942" i="4"/>
  <c r="E3942" i="4" a="1"/>
  <c r="E3942" i="4"/>
  <c r="G3941" i="4" a="1"/>
  <c r="G3941" i="4"/>
  <c r="E3941" i="4" a="1"/>
  <c r="E3941" i="4"/>
  <c r="G3940" i="4" a="1"/>
  <c r="G3940" i="4"/>
  <c r="E3940" i="4" a="1"/>
  <c r="E3940" i="4"/>
  <c r="G3939" i="4" a="1"/>
  <c r="G3939" i="4"/>
  <c r="E3939" i="4" a="1"/>
  <c r="E3939" i="4"/>
  <c r="G3938" i="4" a="1"/>
  <c r="G3938" i="4"/>
  <c r="G3937" i="4" a="1"/>
  <c r="G3937" i="4"/>
  <c r="E3937" i="4" a="1"/>
  <c r="E3937" i="4"/>
  <c r="G3936" i="4" a="1"/>
  <c r="G3936" i="4"/>
  <c r="E3936" i="4" a="1"/>
  <c r="E3936" i="4"/>
  <c r="G3935" i="4" a="1"/>
  <c r="G3935" i="4"/>
  <c r="E3935" i="4" a="1"/>
  <c r="E3935" i="4"/>
  <c r="G3934" i="4" a="1"/>
  <c r="G3934" i="4"/>
  <c r="E3934" i="4" a="1"/>
  <c r="E3934" i="4"/>
  <c r="G3933" i="4" a="1"/>
  <c r="G3933" i="4"/>
  <c r="E3933" i="4" a="1"/>
  <c r="E3933" i="4"/>
  <c r="G3932" i="4" a="1"/>
  <c r="G3932" i="4"/>
  <c r="E3932" i="4" a="1"/>
  <c r="E3932" i="4"/>
  <c r="G3931" i="4" a="1"/>
  <c r="G3931" i="4"/>
  <c r="E3931" i="4" a="1"/>
  <c r="E3931" i="4"/>
  <c r="G3930" i="4" a="1"/>
  <c r="G3930" i="4"/>
  <c r="E3930" i="4" a="1"/>
  <c r="E3930" i="4"/>
  <c r="G3929" i="4" a="1"/>
  <c r="G3929" i="4"/>
  <c r="E3929" i="4" a="1"/>
  <c r="E3929" i="4"/>
  <c r="G3928" i="4" a="1"/>
  <c r="G3928" i="4"/>
  <c r="E3928" i="4" a="1"/>
  <c r="E3928" i="4"/>
  <c r="G3927" i="4" a="1"/>
  <c r="G3927" i="4"/>
  <c r="G3926" i="4" a="1"/>
  <c r="G3926" i="4"/>
  <c r="E3926" i="4" a="1"/>
  <c r="E3926" i="4"/>
  <c r="G3925" i="4" a="1"/>
  <c r="G3925" i="4"/>
  <c r="E3925" i="4" a="1"/>
  <c r="E3925" i="4"/>
  <c r="G3924" i="4" a="1"/>
  <c r="G3924" i="4"/>
  <c r="E3924" i="4" a="1"/>
  <c r="E3924" i="4"/>
  <c r="G3923" i="4" a="1"/>
  <c r="G3923" i="4"/>
  <c r="E3923" i="4" a="1"/>
  <c r="E3923" i="4"/>
  <c r="G3922" i="4" a="1"/>
  <c r="G3922" i="4"/>
  <c r="E3922" i="4" a="1"/>
  <c r="E3922" i="4"/>
  <c r="G3921" i="4" a="1"/>
  <c r="G3921" i="4"/>
  <c r="E3921" i="4" a="1"/>
  <c r="E3921" i="4"/>
  <c r="G3920" i="4" a="1"/>
  <c r="G3920" i="4"/>
  <c r="E3920" i="4" a="1"/>
  <c r="E3920" i="4"/>
  <c r="G3919" i="4" a="1"/>
  <c r="G3919" i="4"/>
  <c r="E3919" i="4" a="1"/>
  <c r="E3919" i="4"/>
  <c r="G3918" i="4" a="1"/>
  <c r="G3918" i="4"/>
  <c r="E3918" i="4" a="1"/>
  <c r="E3918" i="4"/>
  <c r="G3917" i="4" a="1"/>
  <c r="G3917" i="4"/>
  <c r="E3917" i="4" a="1"/>
  <c r="E3917" i="4"/>
  <c r="G3916" i="4" a="1"/>
  <c r="G3916" i="4"/>
  <c r="G3915" i="4" a="1"/>
  <c r="G3915" i="4"/>
  <c r="E3915" i="4" a="1"/>
  <c r="E3915" i="4"/>
  <c r="G3914" i="4" a="1"/>
  <c r="G3914" i="4"/>
  <c r="E3914" i="4" a="1"/>
  <c r="E3914" i="4"/>
  <c r="G3913" i="4" a="1"/>
  <c r="G3913" i="4"/>
  <c r="E3913" i="4" a="1"/>
  <c r="E3913" i="4"/>
  <c r="G3912" i="4" a="1"/>
  <c r="G3912" i="4"/>
  <c r="E3912" i="4" a="1"/>
  <c r="E3912" i="4"/>
  <c r="G3911" i="4" a="1"/>
  <c r="G3911" i="4"/>
  <c r="E3911" i="4" a="1"/>
  <c r="E3911" i="4"/>
  <c r="G3910" i="4" a="1"/>
  <c r="G3910" i="4"/>
  <c r="E3910" i="4" a="1"/>
  <c r="E3910" i="4"/>
  <c r="G3909" i="4" a="1"/>
  <c r="G3909" i="4"/>
  <c r="E3909" i="4" a="1"/>
  <c r="E3909" i="4"/>
  <c r="G3908" i="4" a="1"/>
  <c r="G3908" i="4"/>
  <c r="E3908" i="4" a="1"/>
  <c r="E3908" i="4"/>
  <c r="G3907" i="4" a="1"/>
  <c r="G3907" i="4"/>
  <c r="E3907" i="4" a="1"/>
  <c r="E3907" i="4"/>
  <c r="G3906" i="4" a="1"/>
  <c r="G3906" i="4"/>
  <c r="E3906" i="4" a="1"/>
  <c r="E3906" i="4"/>
  <c r="G3905" i="4" a="1"/>
  <c r="G3905" i="4"/>
  <c r="G3904" i="4" a="1"/>
  <c r="G3904" i="4"/>
  <c r="E3904" i="4" a="1"/>
  <c r="E3904" i="4"/>
  <c r="G3903" i="4" a="1"/>
  <c r="G3903" i="4"/>
  <c r="E3903" i="4" a="1"/>
  <c r="E3903" i="4"/>
  <c r="G3902" i="4" a="1"/>
  <c r="G3902" i="4"/>
  <c r="E3902" i="4" a="1"/>
  <c r="E3902" i="4"/>
  <c r="G3901" i="4" a="1"/>
  <c r="G3901" i="4"/>
  <c r="E3901" i="4" a="1"/>
  <c r="E3901" i="4"/>
  <c r="G3900" i="4" a="1"/>
  <c r="G3900" i="4"/>
  <c r="E3900" i="4" a="1"/>
  <c r="E3900" i="4"/>
  <c r="G3899" i="4" a="1"/>
  <c r="G3899" i="4"/>
  <c r="E3899" i="4" a="1"/>
  <c r="E3899" i="4"/>
  <c r="G3898" i="4" a="1"/>
  <c r="G3898" i="4"/>
  <c r="E3898" i="4" a="1"/>
  <c r="E3898" i="4"/>
  <c r="G3897" i="4" a="1"/>
  <c r="G3897" i="4"/>
  <c r="E3897" i="4" a="1"/>
  <c r="E3897" i="4"/>
  <c r="G3896" i="4" a="1"/>
  <c r="G3896" i="4"/>
  <c r="E3896" i="4" a="1"/>
  <c r="E3896" i="4"/>
  <c r="G3895" i="4" a="1"/>
  <c r="G3895" i="4"/>
  <c r="E3895" i="4" a="1"/>
  <c r="E3895" i="4"/>
  <c r="G3894" i="4" a="1"/>
  <c r="G3894" i="4"/>
  <c r="G3893" i="4" a="1"/>
  <c r="G3893" i="4"/>
  <c r="E3893" i="4" a="1"/>
  <c r="E3893" i="4"/>
  <c r="G3892" i="4" a="1"/>
  <c r="G3892" i="4"/>
  <c r="E3892" i="4" a="1"/>
  <c r="E3892" i="4"/>
  <c r="G3891" i="4" a="1"/>
  <c r="G3891" i="4"/>
  <c r="E3891" i="4" a="1"/>
  <c r="E3891" i="4"/>
  <c r="G3890" i="4" a="1"/>
  <c r="G3890" i="4"/>
  <c r="E3890" i="4" a="1"/>
  <c r="E3890" i="4"/>
  <c r="G3889" i="4" a="1"/>
  <c r="G3889" i="4"/>
  <c r="E3889" i="4" a="1"/>
  <c r="E3889" i="4"/>
  <c r="G3888" i="4" a="1"/>
  <c r="G3888" i="4"/>
  <c r="E3888" i="4" a="1"/>
  <c r="E3888" i="4"/>
  <c r="G3887" i="4" a="1"/>
  <c r="G3887" i="4"/>
  <c r="E3887" i="4" a="1"/>
  <c r="E3887" i="4"/>
  <c r="G3886" i="4" a="1"/>
  <c r="G3886" i="4"/>
  <c r="E3886" i="4" a="1"/>
  <c r="E3886" i="4"/>
  <c r="G3885" i="4" a="1"/>
  <c r="G3885" i="4"/>
  <c r="E3885" i="4" a="1"/>
  <c r="E3885" i="4"/>
  <c r="G3884" i="4" a="1"/>
  <c r="G3884" i="4"/>
  <c r="E3884" i="4" a="1"/>
  <c r="E3884" i="4"/>
  <c r="G3883" i="4" a="1"/>
  <c r="G3883" i="4"/>
  <c r="G3882" i="4" a="1"/>
  <c r="G3882" i="4"/>
  <c r="E3882" i="4" a="1"/>
  <c r="E3882" i="4"/>
  <c r="G3881" i="4" a="1"/>
  <c r="G3881" i="4"/>
  <c r="E3881" i="4" a="1"/>
  <c r="E3881" i="4"/>
  <c r="G3880" i="4" a="1"/>
  <c r="G3880" i="4"/>
  <c r="E3880" i="4" a="1"/>
  <c r="E3880" i="4"/>
  <c r="G3879" i="4" a="1"/>
  <c r="G3879" i="4"/>
  <c r="E3879" i="4" a="1"/>
  <c r="E3879" i="4"/>
  <c r="G3878" i="4" a="1"/>
  <c r="G3878" i="4"/>
  <c r="E3878" i="4" a="1"/>
  <c r="E3878" i="4"/>
  <c r="G3877" i="4" a="1"/>
  <c r="G3877" i="4"/>
  <c r="E3877" i="4" a="1"/>
  <c r="E3877" i="4"/>
  <c r="G3876" i="4" a="1"/>
  <c r="G3876" i="4"/>
  <c r="E3876" i="4" a="1"/>
  <c r="E3876" i="4"/>
  <c r="G3875" i="4" a="1"/>
  <c r="G3875" i="4"/>
  <c r="G3874" i="4" a="1"/>
  <c r="G3874" i="4"/>
  <c r="E3874" i="4" a="1"/>
  <c r="E3874" i="4"/>
  <c r="G3873" i="4" a="1"/>
  <c r="G3873" i="4"/>
  <c r="E3873" i="4" a="1"/>
  <c r="E3873" i="4"/>
  <c r="G3872" i="4" a="1"/>
  <c r="G3872" i="4"/>
  <c r="E3872" i="4" a="1"/>
  <c r="E3872" i="4"/>
  <c r="G3871" i="4" a="1"/>
  <c r="G3871" i="4"/>
  <c r="E3871" i="4" a="1"/>
  <c r="E3871" i="4"/>
  <c r="G3870" i="4" a="1"/>
  <c r="G3870" i="4"/>
  <c r="E3870" i="4" a="1"/>
  <c r="E3870" i="4"/>
  <c r="G3869" i="4" a="1"/>
  <c r="G3869" i="4"/>
  <c r="E3869" i="4" a="1"/>
  <c r="E3869" i="4"/>
  <c r="G3868" i="4" a="1"/>
  <c r="G3868" i="4"/>
  <c r="E3868" i="4" a="1"/>
  <c r="E3868" i="4"/>
  <c r="G3867" i="4" a="1"/>
  <c r="G3867" i="4"/>
  <c r="E3867" i="4" a="1"/>
  <c r="E3867" i="4"/>
  <c r="G3866" i="4" a="1"/>
  <c r="G3866" i="4"/>
  <c r="E3866" i="4" a="1"/>
  <c r="E3866" i="4"/>
  <c r="G3865" i="4" a="1"/>
  <c r="G3865" i="4"/>
  <c r="E3865" i="4" a="1"/>
  <c r="E3865" i="4"/>
  <c r="G3864" i="4" a="1"/>
  <c r="G3864" i="4"/>
  <c r="G3863" i="4" a="1"/>
  <c r="G3863" i="4"/>
  <c r="E3863" i="4" a="1"/>
  <c r="E3863" i="4"/>
  <c r="G3862" i="4" a="1"/>
  <c r="G3862" i="4"/>
  <c r="E3862" i="4" a="1"/>
  <c r="E3862" i="4"/>
  <c r="G3861" i="4" a="1"/>
  <c r="G3861" i="4"/>
  <c r="G3860" i="4" a="1"/>
  <c r="G3860" i="4"/>
  <c r="E3860" i="4" a="1"/>
  <c r="E3860" i="4"/>
  <c r="G3859" i="4" a="1"/>
  <c r="G3859" i="4"/>
  <c r="G3857" i="4" a="1"/>
  <c r="G3857" i="4"/>
  <c r="E3857" i="4" a="1"/>
  <c r="E3857" i="4"/>
  <c r="G3856" i="4" a="1"/>
  <c r="G3856" i="4"/>
  <c r="E3856" i="4" a="1"/>
  <c r="E3856" i="4"/>
  <c r="G3855" i="4" a="1"/>
  <c r="G3855" i="4"/>
  <c r="E3855" i="4" a="1"/>
  <c r="E3855" i="4"/>
  <c r="G3854" i="4" a="1"/>
  <c r="G3854" i="4"/>
  <c r="G3853" i="4" a="1"/>
  <c r="G3853" i="4"/>
  <c r="E3853" i="4" a="1"/>
  <c r="E3853" i="4"/>
  <c r="G3852" i="4" a="1"/>
  <c r="G3852" i="4"/>
  <c r="E3852" i="4" a="1"/>
  <c r="E3852" i="4"/>
  <c r="G3851" i="4" a="1"/>
  <c r="G3851" i="4"/>
  <c r="G3850" i="4" a="1"/>
  <c r="G3850" i="4"/>
  <c r="E3850" i="4" a="1"/>
  <c r="E3850" i="4"/>
  <c r="G3849" i="4" a="1"/>
  <c r="G3849" i="4"/>
  <c r="G3848" i="4" a="1"/>
  <c r="G3848" i="4"/>
  <c r="E3848" i="4" a="1"/>
  <c r="E3848" i="4"/>
  <c r="G3847" i="4" a="1"/>
  <c r="G3847" i="4"/>
  <c r="E3847" i="4" a="1"/>
  <c r="E3847" i="4"/>
  <c r="G3846" i="4" a="1"/>
  <c r="G3846" i="4"/>
  <c r="G3845" i="4" a="1"/>
  <c r="G3845" i="4"/>
  <c r="E3845" i="4" a="1"/>
  <c r="E3845" i="4"/>
  <c r="G3844" i="4" a="1"/>
  <c r="G3844" i="4"/>
  <c r="E3844" i="4" a="1"/>
  <c r="E3844" i="4"/>
  <c r="G3843" i="4" a="1"/>
  <c r="G3843" i="4"/>
  <c r="E3843" i="4" a="1"/>
  <c r="E3843" i="4"/>
  <c r="G3842" i="4" a="1"/>
  <c r="G3842" i="4"/>
  <c r="G3841" i="4" a="1"/>
  <c r="G3841" i="4"/>
  <c r="E3841" i="4" a="1"/>
  <c r="E3841" i="4"/>
  <c r="G3840" i="4" a="1"/>
  <c r="G3840" i="4"/>
  <c r="E3840" i="4" a="1"/>
  <c r="E3840" i="4"/>
  <c r="G3839" i="4" a="1"/>
  <c r="G3839" i="4"/>
  <c r="E3839" i="4" a="1"/>
  <c r="E3839" i="4"/>
  <c r="G3838" i="4" a="1"/>
  <c r="G3838" i="4"/>
  <c r="G3837" i="4" a="1"/>
  <c r="G3837" i="4"/>
  <c r="E3837" i="4" a="1"/>
  <c r="E3837" i="4"/>
  <c r="G3836" i="4" a="1"/>
  <c r="G3836" i="4"/>
  <c r="E3836" i="4" a="1"/>
  <c r="E3836" i="4"/>
  <c r="G3835" i="4" a="1"/>
  <c r="G3835" i="4"/>
  <c r="G3834" i="4" a="1"/>
  <c r="G3834" i="4"/>
  <c r="E3834" i="4" a="1"/>
  <c r="E3834" i="4"/>
  <c r="G3833" i="4" a="1"/>
  <c r="G3833" i="4"/>
  <c r="E3833" i="4" a="1"/>
  <c r="E3833" i="4"/>
  <c r="G3832" i="4" a="1"/>
  <c r="G3832" i="4"/>
  <c r="E3832" i="4" a="1"/>
  <c r="E3832" i="4"/>
  <c r="G3831" i="4" a="1"/>
  <c r="G3831" i="4"/>
  <c r="E3831" i="4" a="1"/>
  <c r="E3831" i="4"/>
  <c r="G3830" i="4" a="1"/>
  <c r="G3830" i="4"/>
  <c r="G3829" i="4" a="1"/>
  <c r="G3829" i="4"/>
  <c r="E3829" i="4" a="1"/>
  <c r="E3829" i="4"/>
  <c r="G3828" i="4" a="1"/>
  <c r="G3828" i="4"/>
  <c r="E3828" i="4" a="1"/>
  <c r="E3828" i="4"/>
  <c r="G3827" i="4" a="1"/>
  <c r="G3827" i="4"/>
  <c r="E3827" i="4" a="1"/>
  <c r="E3827" i="4"/>
  <c r="G3826" i="4" a="1"/>
  <c r="G3826" i="4"/>
  <c r="G3825" i="4" a="1"/>
  <c r="G3825" i="4"/>
  <c r="E3825" i="4" a="1"/>
  <c r="E3825" i="4"/>
  <c r="G3824" i="4" a="1"/>
  <c r="G3824" i="4"/>
  <c r="E3824" i="4" a="1"/>
  <c r="E3824" i="4"/>
  <c r="G3823" i="4" a="1"/>
  <c r="G3823" i="4"/>
  <c r="E3823" i="4" a="1"/>
  <c r="E3823" i="4"/>
  <c r="G3822" i="4" a="1"/>
  <c r="G3822" i="4"/>
  <c r="E3822" i="4" a="1"/>
  <c r="E3822" i="4"/>
  <c r="G3821" i="4" a="1"/>
  <c r="G3821" i="4"/>
  <c r="G3820" i="4" a="1"/>
  <c r="G3820" i="4"/>
  <c r="F3820" i="4"/>
  <c r="E3820" i="4" a="1"/>
  <c r="E3820" i="4"/>
  <c r="G3819" i="4" a="1"/>
  <c r="G3819" i="4"/>
  <c r="F3819" i="4"/>
  <c r="E3819" i="4" a="1"/>
  <c r="E3819" i="4"/>
  <c r="G3818" i="4" a="1"/>
  <c r="G3818" i="4"/>
  <c r="F3818" i="4"/>
  <c r="E3818" i="4" a="1"/>
  <c r="E3818" i="4"/>
  <c r="G3817" i="4" a="1"/>
  <c r="G3817" i="4"/>
  <c r="F3817" i="4"/>
  <c r="E3817" i="4" a="1"/>
  <c r="E3817" i="4"/>
  <c r="G3816" i="4" a="1"/>
  <c r="G3816" i="4"/>
  <c r="G3815" i="4" a="1"/>
  <c r="G3815" i="4"/>
  <c r="F3815" i="4"/>
  <c r="E3815" i="4" a="1"/>
  <c r="E3815" i="4"/>
  <c r="G3814" i="4" a="1"/>
  <c r="G3814" i="4"/>
  <c r="F3814" i="4"/>
  <c r="E3814" i="4" a="1"/>
  <c r="E3814" i="4"/>
  <c r="G3813" i="4" a="1"/>
  <c r="G3813" i="4"/>
  <c r="F3813" i="4"/>
  <c r="E3813" i="4" a="1"/>
  <c r="E3813" i="4"/>
  <c r="G3812" i="4" a="1"/>
  <c r="G3812" i="4"/>
  <c r="F3812" i="4"/>
  <c r="E3812" i="4" a="1"/>
  <c r="E3812" i="4"/>
  <c r="G3811" i="4" a="1"/>
  <c r="G3811" i="4"/>
  <c r="G3810" i="4" a="1"/>
  <c r="G3810" i="4"/>
  <c r="F3810" i="4"/>
  <c r="E3810" i="4" a="1"/>
  <c r="E3810" i="4"/>
  <c r="G3809" i="4" a="1"/>
  <c r="G3809" i="4"/>
  <c r="F3809" i="4"/>
  <c r="E3809" i="4" a="1"/>
  <c r="E3809" i="4"/>
  <c r="G3808" i="4" a="1"/>
  <c r="G3808" i="4"/>
  <c r="G3807" i="4" a="1"/>
  <c r="G3807" i="4"/>
  <c r="E3807" i="4" a="1"/>
  <c r="E3807" i="4"/>
  <c r="G3806" i="4" a="1"/>
  <c r="G3806" i="4"/>
  <c r="E3806" i="4" a="1"/>
  <c r="E3806" i="4"/>
  <c r="G3805" i="4" a="1"/>
  <c r="G3805" i="4"/>
  <c r="E3805" i="4" a="1"/>
  <c r="E3805" i="4"/>
  <c r="G3804" i="4" a="1"/>
  <c r="G3804" i="4"/>
  <c r="E3804" i="4" a="1"/>
  <c r="E3804" i="4"/>
  <c r="G3803" i="4" a="1"/>
  <c r="G3803" i="4"/>
  <c r="G3801" i="4" a="1"/>
  <c r="G3801" i="4"/>
  <c r="G3800" i="4" a="1"/>
  <c r="G3800" i="4"/>
  <c r="E3800" i="4" a="1"/>
  <c r="E3800" i="4"/>
  <c r="G3799" i="4" a="1"/>
  <c r="G3799" i="4"/>
  <c r="G3798" i="4" a="1"/>
  <c r="G3798" i="4"/>
  <c r="E3798" i="4" a="1"/>
  <c r="E3798" i="4"/>
  <c r="G3797" i="4" a="1"/>
  <c r="G3797" i="4"/>
  <c r="G3796" i="4" a="1"/>
  <c r="G3796" i="4"/>
  <c r="E3796" i="4" a="1"/>
  <c r="E3796" i="4"/>
  <c r="G3795" i="4" a="1"/>
  <c r="G3795" i="4"/>
  <c r="G3793" i="4" a="1"/>
  <c r="G3793" i="4"/>
  <c r="E3793" i="4" a="1"/>
  <c r="E3793" i="4"/>
  <c r="G3792" i="4" a="1"/>
  <c r="G3792" i="4"/>
  <c r="G3791" i="4" a="1"/>
  <c r="G3791" i="4"/>
  <c r="E3791" i="4" a="1"/>
  <c r="E3791" i="4"/>
  <c r="G3790" i="4" a="1"/>
  <c r="G3790" i="4"/>
  <c r="G3789" i="4" a="1"/>
  <c r="G3789" i="4"/>
  <c r="E3789" i="4" a="1"/>
  <c r="E3789" i="4"/>
  <c r="G3788" i="4" a="1"/>
  <c r="G3788" i="4"/>
  <c r="G3787" i="4" a="1"/>
  <c r="G3787" i="4"/>
  <c r="E3787" i="4" a="1"/>
  <c r="E3787" i="4"/>
  <c r="G3786" i="4" a="1"/>
  <c r="G3786" i="4"/>
  <c r="G3785" i="4" a="1"/>
  <c r="G3785" i="4"/>
  <c r="E3785" i="4" a="1"/>
  <c r="E3785" i="4"/>
  <c r="G3784" i="4" a="1"/>
  <c r="G3784" i="4"/>
  <c r="G3782" i="4" a="1"/>
  <c r="G3782" i="4"/>
  <c r="E3782" i="4" a="1"/>
  <c r="E3782" i="4"/>
  <c r="G3781" i="4" a="1"/>
  <c r="G3781" i="4"/>
  <c r="G3780" i="4" a="1"/>
  <c r="G3780" i="4"/>
  <c r="E3780" i="4" a="1"/>
  <c r="E3780" i="4"/>
  <c r="G3779" i="4" a="1"/>
  <c r="G3779" i="4"/>
  <c r="G3778" i="4" a="1"/>
  <c r="G3778" i="4"/>
  <c r="E3778" i="4" a="1"/>
  <c r="E3778" i="4"/>
  <c r="G3777" i="4" a="1"/>
  <c r="G3777" i="4"/>
  <c r="G3776" i="4" a="1"/>
  <c r="G3776" i="4"/>
  <c r="E3776" i="4" a="1"/>
  <c r="E3776" i="4"/>
  <c r="G3775" i="4" a="1"/>
  <c r="G3775" i="4"/>
  <c r="G3773" i="4" a="1"/>
  <c r="G3773" i="4"/>
  <c r="E3773" i="4" a="1"/>
  <c r="E3773" i="4"/>
  <c r="G3772" i="4" a="1"/>
  <c r="G3772" i="4"/>
  <c r="G3771" i="4" a="1"/>
  <c r="G3771" i="4"/>
  <c r="E3771" i="4" a="1"/>
  <c r="E3771" i="4"/>
  <c r="G3770" i="4" a="1"/>
  <c r="G3770" i="4"/>
  <c r="G3769" i="4" a="1"/>
  <c r="G3769" i="4"/>
  <c r="E3769" i="4" a="1"/>
  <c r="E3769" i="4"/>
  <c r="G3768" i="4" a="1"/>
  <c r="G3768" i="4"/>
  <c r="G3766" i="4" a="1"/>
  <c r="G3766" i="4"/>
  <c r="E3766" i="4" a="1"/>
  <c r="E3766" i="4"/>
  <c r="G3765" i="4" a="1"/>
  <c r="G3765" i="4"/>
  <c r="G3764" i="4" a="1"/>
  <c r="G3764" i="4"/>
  <c r="E3764" i="4" a="1"/>
  <c r="E3764" i="4"/>
  <c r="G3763" i="4" a="1"/>
  <c r="G3763" i="4"/>
  <c r="G3762" i="4" a="1"/>
  <c r="G3762" i="4"/>
  <c r="E3762" i="4" a="1"/>
  <c r="E3762" i="4"/>
  <c r="G3761" i="4" a="1"/>
  <c r="G3761" i="4"/>
  <c r="G3760" i="4" a="1"/>
  <c r="G3760" i="4"/>
  <c r="E3760" i="4" a="1"/>
  <c r="E3760" i="4"/>
  <c r="G3759" i="4" a="1"/>
  <c r="G3759" i="4"/>
  <c r="G3758" i="4" a="1"/>
  <c r="G3758" i="4"/>
  <c r="E3758" i="4" a="1"/>
  <c r="E3758" i="4"/>
  <c r="G3757" i="4" a="1"/>
  <c r="G3757" i="4"/>
  <c r="G3755" i="4" a="1"/>
  <c r="G3755" i="4"/>
  <c r="E3755" i="4" a="1"/>
  <c r="E3755" i="4"/>
  <c r="G3754" i="4" a="1"/>
  <c r="G3754" i="4"/>
  <c r="E3754" i="4" a="1"/>
  <c r="E3754" i="4"/>
  <c r="G3753" i="4" a="1"/>
  <c r="G3753" i="4"/>
  <c r="E3753" i="4" a="1"/>
  <c r="E3753" i="4"/>
  <c r="G3752" i="4" a="1"/>
  <c r="G3752" i="4"/>
  <c r="G3751" i="4" a="1"/>
  <c r="G3751" i="4"/>
  <c r="E3751" i="4" a="1"/>
  <c r="E3751" i="4"/>
  <c r="G3750" i="4" a="1"/>
  <c r="G3750" i="4"/>
  <c r="E3750" i="4" a="1"/>
  <c r="E3750" i="4"/>
  <c r="G3749" i="4" a="1"/>
  <c r="G3749" i="4"/>
  <c r="E3749" i="4" a="1"/>
  <c r="E3749" i="4"/>
  <c r="G3748" i="4" a="1"/>
  <c r="G3748" i="4"/>
  <c r="G3747" i="4" a="1"/>
  <c r="G3747" i="4"/>
  <c r="E3747" i="4" a="1"/>
  <c r="E3747" i="4"/>
  <c r="G3746" i="4" a="1"/>
  <c r="G3746" i="4"/>
  <c r="E3746" i="4" a="1"/>
  <c r="E3746" i="4"/>
  <c r="G3745" i="4" a="1"/>
  <c r="G3745" i="4"/>
  <c r="E3745" i="4" a="1"/>
  <c r="E3745" i="4"/>
  <c r="G3744" i="4" a="1"/>
  <c r="G3744" i="4"/>
  <c r="G3743" i="4" a="1"/>
  <c r="G3743" i="4"/>
  <c r="E3743" i="4" a="1"/>
  <c r="E3743" i="4"/>
  <c r="G3742" i="4" a="1"/>
  <c r="G3742" i="4"/>
  <c r="E3742" i="4" a="1"/>
  <c r="E3742" i="4"/>
  <c r="G3741" i="4" a="1"/>
  <c r="G3741" i="4"/>
  <c r="E3741" i="4" a="1"/>
  <c r="E3741" i="4"/>
  <c r="G3740" i="4" a="1"/>
  <c r="G3740" i="4"/>
  <c r="G3739" i="4" a="1"/>
  <c r="G3739" i="4"/>
  <c r="E3739" i="4" a="1"/>
  <c r="E3739" i="4"/>
  <c r="G3738" i="4" a="1"/>
  <c r="G3738" i="4"/>
  <c r="E3738" i="4" a="1"/>
  <c r="E3738" i="4"/>
  <c r="G3737" i="4" a="1"/>
  <c r="G3737" i="4"/>
  <c r="E3737" i="4" a="1"/>
  <c r="E3737" i="4"/>
  <c r="G3736" i="4" a="1"/>
  <c r="G3736" i="4"/>
  <c r="G3735" i="4" a="1"/>
  <c r="G3735" i="4"/>
  <c r="E3735" i="4" a="1"/>
  <c r="E3735" i="4"/>
  <c r="G3734" i="4" a="1"/>
  <c r="G3734" i="4"/>
  <c r="E3734" i="4" a="1"/>
  <c r="E3734" i="4"/>
  <c r="G3733" i="4" a="1"/>
  <c r="G3733" i="4"/>
  <c r="E3733" i="4" a="1"/>
  <c r="E3733" i="4"/>
  <c r="G3732" i="4" a="1"/>
  <c r="G3732" i="4"/>
  <c r="G3730" i="4" a="1"/>
  <c r="G3730" i="4"/>
  <c r="E3730" i="4" a="1"/>
  <c r="E3730" i="4"/>
  <c r="G3729" i="4" a="1"/>
  <c r="G3729" i="4"/>
  <c r="F3729" i="4"/>
  <c r="E3729" i="4" a="1"/>
  <c r="E3729" i="4"/>
  <c r="G3728" i="4" a="1"/>
  <c r="G3728" i="4"/>
  <c r="G3727" i="4" a="1"/>
  <c r="G3727" i="4"/>
  <c r="E3727" i="4" a="1"/>
  <c r="E3727" i="4"/>
  <c r="G3726" i="4" a="1"/>
  <c r="G3726" i="4"/>
  <c r="F3726" i="4"/>
  <c r="E3726" i="4" a="1"/>
  <c r="E3726" i="4"/>
  <c r="G3725" i="4" a="1"/>
  <c r="G3725" i="4"/>
  <c r="G3724" i="4" a="1"/>
  <c r="G3724" i="4"/>
  <c r="E3724" i="4" a="1"/>
  <c r="E3724" i="4"/>
  <c r="G3723" i="4" a="1"/>
  <c r="G3723" i="4"/>
  <c r="F3723" i="4"/>
  <c r="E3723" i="4" a="1"/>
  <c r="E3723" i="4"/>
  <c r="G3722" i="4" a="1"/>
  <c r="G3722" i="4"/>
  <c r="G3721" i="4" a="1"/>
  <c r="G3721" i="4"/>
  <c r="E3721" i="4" a="1"/>
  <c r="E3721" i="4"/>
  <c r="G3720" i="4" a="1"/>
  <c r="G3720" i="4"/>
  <c r="F3720" i="4"/>
  <c r="E3720" i="4" a="1"/>
  <c r="E3720" i="4"/>
  <c r="G3719" i="4" a="1"/>
  <c r="G3719" i="4"/>
  <c r="G3718" i="4" a="1"/>
  <c r="G3718" i="4"/>
  <c r="F3718" i="4"/>
  <c r="E3718" i="4" a="1"/>
  <c r="E3718" i="4"/>
  <c r="G3717" i="4" a="1"/>
  <c r="G3717" i="4"/>
  <c r="G3716" i="4" a="1"/>
  <c r="G3716" i="4"/>
  <c r="E3716" i="4" a="1"/>
  <c r="E3716" i="4"/>
  <c r="G3715" i="4" a="1"/>
  <c r="G3715" i="4"/>
  <c r="G3713" i="4" a="1"/>
  <c r="G3713" i="4"/>
  <c r="E3713" i="4" a="1"/>
  <c r="E3713" i="4"/>
  <c r="G3712" i="4" a="1"/>
  <c r="G3712" i="4"/>
  <c r="E3712" i="4" a="1"/>
  <c r="E3712" i="4"/>
  <c r="G3711" i="4" a="1"/>
  <c r="G3711" i="4"/>
  <c r="E3711" i="4" a="1"/>
  <c r="E3711" i="4"/>
  <c r="G3710" i="4" a="1"/>
  <c r="G3710" i="4"/>
  <c r="E3710" i="4" a="1"/>
  <c r="E3710" i="4"/>
  <c r="G3709" i="4" a="1"/>
  <c r="G3709" i="4"/>
  <c r="G3708" i="4" a="1"/>
  <c r="G3708" i="4"/>
  <c r="E3708" i="4" a="1"/>
  <c r="E3708" i="4"/>
  <c r="G3707" i="4" a="1"/>
  <c r="G3707" i="4"/>
  <c r="E3707" i="4" a="1"/>
  <c r="E3707" i="4"/>
  <c r="G3706" i="4" a="1"/>
  <c r="G3706" i="4"/>
  <c r="E3706" i="4" a="1"/>
  <c r="E3706" i="4"/>
  <c r="G3705" i="4" a="1"/>
  <c r="G3705" i="4"/>
  <c r="E3705" i="4" a="1"/>
  <c r="E3705" i="4"/>
  <c r="G3704" i="4" a="1"/>
  <c r="G3704" i="4"/>
  <c r="G3703" i="4" a="1"/>
  <c r="G3703" i="4"/>
  <c r="E3703" i="4" a="1"/>
  <c r="E3703" i="4"/>
  <c r="G3702" i="4" a="1"/>
  <c r="G3702" i="4"/>
  <c r="E3702" i="4" a="1"/>
  <c r="E3702" i="4"/>
  <c r="G3701" i="4" a="1"/>
  <c r="G3701" i="4"/>
  <c r="E3701" i="4" a="1"/>
  <c r="E3701" i="4"/>
  <c r="G3700" i="4" a="1"/>
  <c r="G3700" i="4"/>
  <c r="E3700" i="4" a="1"/>
  <c r="E3700" i="4"/>
  <c r="G3699" i="4" a="1"/>
  <c r="G3699" i="4"/>
  <c r="G3698" i="4" a="1"/>
  <c r="G3698" i="4"/>
  <c r="E3698" i="4" a="1"/>
  <c r="E3698" i="4"/>
  <c r="G3697" i="4" a="1"/>
  <c r="G3697" i="4"/>
  <c r="E3697" i="4" a="1"/>
  <c r="E3697" i="4"/>
  <c r="G3696" i="4" a="1"/>
  <c r="G3696" i="4"/>
  <c r="E3696" i="4" a="1"/>
  <c r="E3696" i="4"/>
  <c r="G3695" i="4" a="1"/>
  <c r="G3695" i="4"/>
  <c r="E3695" i="4" a="1"/>
  <c r="E3695" i="4"/>
  <c r="G3694" i="4" a="1"/>
  <c r="G3694" i="4"/>
  <c r="G3693" i="4" a="1"/>
  <c r="G3693" i="4"/>
  <c r="E3693" i="4" a="1"/>
  <c r="E3693" i="4"/>
  <c r="G3692" i="4" a="1"/>
  <c r="G3692" i="4"/>
  <c r="E3692" i="4" a="1"/>
  <c r="E3692" i="4"/>
  <c r="G3691" i="4" a="1"/>
  <c r="G3691" i="4"/>
  <c r="E3691" i="4" a="1"/>
  <c r="E3691" i="4"/>
  <c r="G3690" i="4" a="1"/>
  <c r="G3690" i="4"/>
  <c r="E3690" i="4" a="1"/>
  <c r="E3690" i="4"/>
  <c r="G3689" i="4" a="1"/>
  <c r="G3689" i="4"/>
  <c r="G3688" i="4" a="1"/>
  <c r="G3688" i="4"/>
  <c r="E3688" i="4" a="1"/>
  <c r="E3688" i="4"/>
  <c r="G3687" i="4" a="1"/>
  <c r="G3687" i="4"/>
  <c r="E3687" i="4" a="1"/>
  <c r="E3687" i="4"/>
  <c r="G3686" i="4" a="1"/>
  <c r="G3686" i="4"/>
  <c r="E3686" i="4" a="1"/>
  <c r="E3686" i="4"/>
  <c r="G3685" i="4" a="1"/>
  <c r="G3685" i="4"/>
  <c r="F3685" i="4"/>
  <c r="E3685" i="4" a="1"/>
  <c r="E3685" i="4"/>
  <c r="G3684" i="4" a="1"/>
  <c r="G3684" i="4"/>
  <c r="G3683" i="4" a="1"/>
  <c r="G3683" i="4"/>
  <c r="E3683" i="4" a="1"/>
  <c r="E3683" i="4"/>
  <c r="G3682" i="4" a="1"/>
  <c r="G3682" i="4"/>
  <c r="E3682" i="4" a="1"/>
  <c r="E3682" i="4"/>
  <c r="G3681" i="4" a="1"/>
  <c r="G3681" i="4"/>
  <c r="E3681" i="4" a="1"/>
  <c r="E3681" i="4"/>
  <c r="G3680" i="4" a="1"/>
  <c r="G3680" i="4"/>
  <c r="E3680" i="4" a="1"/>
  <c r="E3680" i="4"/>
  <c r="G3679" i="4" a="1"/>
  <c r="G3679" i="4"/>
  <c r="G3678" i="4" a="1"/>
  <c r="G3678" i="4"/>
  <c r="E3678" i="4" a="1"/>
  <c r="E3678" i="4"/>
  <c r="G3677" i="4" a="1"/>
  <c r="G3677" i="4"/>
  <c r="E3677" i="4" a="1"/>
  <c r="E3677" i="4"/>
  <c r="G3676" i="4" a="1"/>
  <c r="G3676" i="4"/>
  <c r="E3676" i="4" a="1"/>
  <c r="E3676" i="4"/>
  <c r="G3675" i="4" a="1"/>
  <c r="G3675" i="4"/>
  <c r="E3675" i="4" a="1"/>
  <c r="E3675" i="4"/>
  <c r="G3674" i="4" a="1"/>
  <c r="G3674" i="4"/>
  <c r="G3673" i="4" a="1"/>
  <c r="G3673" i="4"/>
  <c r="E3673" i="4" a="1"/>
  <c r="E3673" i="4"/>
  <c r="G3672" i="4" a="1"/>
  <c r="G3672" i="4"/>
  <c r="E3672" i="4" a="1"/>
  <c r="E3672" i="4"/>
  <c r="G3671" i="4" a="1"/>
  <c r="G3671" i="4"/>
  <c r="G3670" i="4" a="1"/>
  <c r="G3670" i="4"/>
  <c r="E3670" i="4" a="1"/>
  <c r="E3670" i="4"/>
  <c r="G3669" i="4" a="1"/>
  <c r="G3669" i="4"/>
  <c r="E3669" i="4" a="1"/>
  <c r="E3669" i="4"/>
  <c r="G3668" i="4" a="1"/>
  <c r="G3668" i="4"/>
  <c r="G3667" i="4" a="1"/>
  <c r="G3667" i="4"/>
  <c r="E3667" i="4" a="1"/>
  <c r="E3667" i="4"/>
  <c r="G3666" i="4" a="1"/>
  <c r="G3666" i="4"/>
  <c r="E3666" i="4" a="1"/>
  <c r="E3666" i="4"/>
  <c r="G3665" i="4" a="1"/>
  <c r="G3665" i="4"/>
  <c r="G3664" i="4" a="1"/>
  <c r="G3664" i="4"/>
  <c r="E3664" i="4" a="1"/>
  <c r="E3664" i="4"/>
  <c r="G3663" i="4" a="1"/>
  <c r="G3663" i="4"/>
  <c r="E3663" i="4" a="1"/>
  <c r="E3663" i="4"/>
  <c r="G3662" i="4" a="1"/>
  <c r="G3662" i="4"/>
  <c r="G3661" i="4" a="1"/>
  <c r="G3661" i="4"/>
  <c r="E3661" i="4" a="1"/>
  <c r="E3661" i="4"/>
  <c r="G3660" i="4" a="1"/>
  <c r="G3660" i="4"/>
  <c r="E3660" i="4" a="1"/>
  <c r="E3660" i="4"/>
  <c r="G3659" i="4" a="1"/>
  <c r="G3659" i="4"/>
  <c r="E3659" i="4" a="1"/>
  <c r="E3659" i="4"/>
  <c r="G3658" i="4" a="1"/>
  <c r="G3658" i="4"/>
  <c r="G3657" i="4" a="1"/>
  <c r="G3657" i="4"/>
  <c r="E3657" i="4" a="1"/>
  <c r="E3657" i="4"/>
  <c r="G3656" i="4" a="1"/>
  <c r="G3656" i="4"/>
  <c r="F3656" i="4"/>
  <c r="E3656" i="4" a="1"/>
  <c r="E3656" i="4"/>
  <c r="G3655" i="4" a="1"/>
  <c r="G3655" i="4"/>
  <c r="F3655" i="4"/>
  <c r="E3655" i="4" a="1"/>
  <c r="E3655" i="4"/>
  <c r="G3654" i="4" a="1"/>
  <c r="G3654" i="4"/>
  <c r="G3653" i="4" a="1"/>
  <c r="G3653" i="4"/>
  <c r="E3653" i="4" a="1"/>
  <c r="E3653" i="4"/>
  <c r="G3652" i="4" a="1"/>
  <c r="G3652" i="4"/>
  <c r="E3652" i="4" a="1"/>
  <c r="E3652" i="4"/>
  <c r="G3651" i="4" a="1"/>
  <c r="G3651" i="4"/>
  <c r="G3650" i="4" a="1"/>
  <c r="G3650" i="4"/>
  <c r="E3650" i="4" a="1"/>
  <c r="E3650" i="4"/>
  <c r="G3649" i="4" a="1"/>
  <c r="G3649" i="4"/>
  <c r="E3649" i="4" a="1"/>
  <c r="E3649" i="4"/>
  <c r="G3648" i="4" a="1"/>
  <c r="G3648" i="4"/>
  <c r="G3647" i="4" a="1"/>
  <c r="G3647" i="4"/>
  <c r="E3647" i="4" a="1"/>
  <c r="E3647" i="4"/>
  <c r="G3646" i="4" a="1"/>
  <c r="G3646" i="4"/>
  <c r="F3646" i="4"/>
  <c r="E3646" i="4" a="1"/>
  <c r="E3646" i="4"/>
  <c r="G3645" i="4" a="1"/>
  <c r="G3645" i="4"/>
  <c r="F3645" i="4"/>
  <c r="E3645" i="4" a="1"/>
  <c r="E3645" i="4"/>
  <c r="G3644" i="4" a="1"/>
  <c r="G3644" i="4"/>
  <c r="G3643" i="4" a="1"/>
  <c r="G3643" i="4"/>
  <c r="E3643" i="4" a="1"/>
  <c r="E3643" i="4"/>
  <c r="G3642" i="4" a="1"/>
  <c r="G3642" i="4"/>
  <c r="E3642" i="4" a="1"/>
  <c r="E3642" i="4"/>
  <c r="G3641" i="4" a="1"/>
  <c r="G3641" i="4"/>
  <c r="F3641" i="4"/>
  <c r="E3641" i="4" a="1"/>
  <c r="E3641" i="4"/>
  <c r="G3640" i="4" a="1"/>
  <c r="G3640" i="4"/>
  <c r="G3639" i="4" a="1"/>
  <c r="G3639" i="4"/>
  <c r="E3639" i="4" a="1"/>
  <c r="E3639" i="4"/>
  <c r="G3638" i="4" a="1"/>
  <c r="G3638" i="4"/>
  <c r="E3638" i="4" a="1"/>
  <c r="E3638" i="4"/>
  <c r="G3637" i="4" a="1"/>
  <c r="G3637" i="4"/>
  <c r="E3637" i="4" a="1"/>
  <c r="E3637" i="4"/>
  <c r="G3636" i="4" a="1"/>
  <c r="G3636" i="4"/>
  <c r="G3635" i="4" a="1"/>
  <c r="G3635" i="4"/>
  <c r="E3635" i="4" a="1"/>
  <c r="E3635" i="4"/>
  <c r="G3634" i="4" a="1"/>
  <c r="G3634" i="4"/>
  <c r="E3634" i="4" a="1"/>
  <c r="E3634" i="4"/>
  <c r="G3633" i="4" a="1"/>
  <c r="G3633" i="4"/>
  <c r="E3633" i="4" a="1"/>
  <c r="E3633" i="4"/>
  <c r="G3632" i="4" a="1"/>
  <c r="G3632" i="4"/>
  <c r="G3631" i="4" a="1"/>
  <c r="G3631" i="4"/>
  <c r="E3631" i="4" a="1"/>
  <c r="E3631" i="4"/>
  <c r="G3630" i="4" a="1"/>
  <c r="G3630" i="4"/>
  <c r="E3630" i="4" a="1"/>
  <c r="E3630" i="4"/>
  <c r="G3629" i="4" a="1"/>
  <c r="G3629" i="4"/>
  <c r="G3628" i="4" a="1"/>
  <c r="G3628" i="4"/>
  <c r="E3628" i="4" a="1"/>
  <c r="E3628" i="4"/>
  <c r="G3627" i="4" a="1"/>
  <c r="G3627" i="4"/>
  <c r="E3627" i="4" a="1"/>
  <c r="E3627" i="4"/>
  <c r="G3626" i="4" a="1"/>
  <c r="G3626" i="4"/>
  <c r="G3625" i="4" a="1"/>
  <c r="G3625" i="4"/>
  <c r="E3625" i="4" a="1"/>
  <c r="E3625" i="4"/>
  <c r="G3624" i="4" a="1"/>
  <c r="G3624" i="4"/>
  <c r="E3624" i="4" a="1"/>
  <c r="E3624" i="4"/>
  <c r="G3623" i="4" a="1"/>
  <c r="G3623" i="4"/>
  <c r="G3621" i="4" a="1"/>
  <c r="G3621" i="4"/>
  <c r="E3621" i="4" a="1"/>
  <c r="E3621" i="4"/>
  <c r="G3620" i="4" a="1"/>
  <c r="G3620" i="4"/>
  <c r="E3620" i="4" a="1"/>
  <c r="E3620" i="4"/>
  <c r="G3619" i="4" a="1"/>
  <c r="G3619" i="4"/>
  <c r="E3619" i="4" a="1"/>
  <c r="E3619" i="4"/>
  <c r="G3618" i="4" a="1"/>
  <c r="G3618" i="4"/>
  <c r="G3617" i="4" a="1"/>
  <c r="G3617" i="4"/>
  <c r="E3617" i="4" a="1"/>
  <c r="E3617" i="4"/>
  <c r="G3616" i="4" a="1"/>
  <c r="G3616" i="4"/>
  <c r="E3616" i="4" a="1"/>
  <c r="E3616" i="4"/>
  <c r="G3615" i="4" a="1"/>
  <c r="G3615" i="4"/>
  <c r="E3615" i="4" a="1"/>
  <c r="E3615" i="4"/>
  <c r="G3614" i="4" a="1"/>
  <c r="G3614" i="4"/>
  <c r="G3613" i="4" a="1"/>
  <c r="G3613" i="4"/>
  <c r="E3613" i="4" a="1"/>
  <c r="E3613" i="4"/>
  <c r="G3612" i="4" a="1"/>
  <c r="G3612" i="4"/>
  <c r="E3612" i="4" a="1"/>
  <c r="E3612" i="4"/>
  <c r="G3611" i="4" a="1"/>
  <c r="G3611" i="4"/>
  <c r="E3611" i="4" a="1"/>
  <c r="E3611" i="4"/>
  <c r="G3610" i="4" a="1"/>
  <c r="G3610" i="4"/>
  <c r="G3609" i="4" a="1"/>
  <c r="G3609" i="4"/>
  <c r="E3609" i="4" a="1"/>
  <c r="E3609" i="4"/>
  <c r="G3608" i="4" a="1"/>
  <c r="G3608" i="4"/>
  <c r="E3608" i="4" a="1"/>
  <c r="E3608" i="4"/>
  <c r="G3607" i="4" a="1"/>
  <c r="G3607" i="4"/>
  <c r="E3607" i="4" a="1"/>
  <c r="E3607" i="4"/>
  <c r="G3606" i="4" a="1"/>
  <c r="G3606" i="4"/>
  <c r="G3605" i="4" a="1"/>
  <c r="G3605" i="4"/>
  <c r="E3605" i="4" a="1"/>
  <c r="E3605" i="4"/>
  <c r="G3604" i="4" a="1"/>
  <c r="G3604" i="4"/>
  <c r="E3604" i="4" a="1"/>
  <c r="E3604" i="4"/>
  <c r="G3603" i="4" a="1"/>
  <c r="G3603" i="4"/>
  <c r="E3603" i="4" a="1"/>
  <c r="E3603" i="4"/>
  <c r="G3602" i="4" a="1"/>
  <c r="G3602" i="4"/>
  <c r="G3601" i="4" a="1"/>
  <c r="G3601" i="4"/>
  <c r="E3601" i="4" a="1"/>
  <c r="E3601" i="4"/>
  <c r="G3600" i="4" a="1"/>
  <c r="G3600" i="4"/>
  <c r="E3600" i="4" a="1"/>
  <c r="E3600" i="4"/>
  <c r="G3599" i="4" a="1"/>
  <c r="G3599" i="4"/>
  <c r="E3599" i="4" a="1"/>
  <c r="E3599" i="4"/>
  <c r="G3598" i="4" a="1"/>
  <c r="G3598" i="4"/>
  <c r="G3597" i="4" a="1"/>
  <c r="G3597" i="4"/>
  <c r="E3597" i="4" a="1"/>
  <c r="E3597" i="4"/>
  <c r="G3596" i="4" a="1"/>
  <c r="G3596" i="4"/>
  <c r="E3596" i="4" a="1"/>
  <c r="E3596" i="4"/>
  <c r="G3595" i="4" a="1"/>
  <c r="G3595" i="4"/>
  <c r="E3595" i="4" a="1"/>
  <c r="E3595" i="4"/>
  <c r="G3594" i="4" a="1"/>
  <c r="G3594" i="4"/>
  <c r="G3593" i="4" a="1"/>
  <c r="G3593" i="4"/>
  <c r="E3593" i="4" a="1"/>
  <c r="E3593" i="4"/>
  <c r="G3592" i="4" a="1"/>
  <c r="G3592" i="4"/>
  <c r="E3592" i="4" a="1"/>
  <c r="E3592" i="4"/>
  <c r="G3591" i="4" a="1"/>
  <c r="G3591" i="4"/>
  <c r="E3591" i="4" a="1"/>
  <c r="E3591" i="4"/>
  <c r="G3590" i="4" a="1"/>
  <c r="G3590" i="4"/>
  <c r="E3590" i="4" a="1"/>
  <c r="E3590" i="4"/>
  <c r="G3589" i="4" a="1"/>
  <c r="G3589" i="4"/>
  <c r="G3588" i="4" a="1"/>
  <c r="G3588" i="4"/>
  <c r="E3588" i="4" a="1"/>
  <c r="E3588" i="4"/>
  <c r="G3587" i="4" a="1"/>
  <c r="G3587" i="4"/>
  <c r="E3587" i="4" a="1"/>
  <c r="E3587" i="4"/>
  <c r="G3586" i="4" a="1"/>
  <c r="G3586" i="4"/>
  <c r="E3586" i="4" a="1"/>
  <c r="E3586" i="4"/>
  <c r="G3585" i="4" a="1"/>
  <c r="G3585" i="4"/>
  <c r="G3584" i="4" a="1"/>
  <c r="G3584" i="4"/>
  <c r="E3584" i="4" a="1"/>
  <c r="E3584" i="4"/>
  <c r="G3583" i="4" a="1"/>
  <c r="G3583" i="4"/>
  <c r="E3583" i="4" a="1"/>
  <c r="E3583" i="4"/>
  <c r="G3582" i="4" a="1"/>
  <c r="G3582" i="4"/>
  <c r="E3582" i="4" a="1"/>
  <c r="E3582" i="4"/>
  <c r="G3581" i="4" a="1"/>
  <c r="G3581" i="4"/>
  <c r="G3580" i="4" a="1"/>
  <c r="G3580" i="4"/>
  <c r="E3580" i="4" a="1"/>
  <c r="E3580" i="4"/>
  <c r="G3579" i="4" a="1"/>
  <c r="G3579" i="4"/>
  <c r="E3579" i="4" a="1"/>
  <c r="E3579" i="4"/>
  <c r="G3578" i="4" a="1"/>
  <c r="G3578" i="4"/>
  <c r="E3578" i="4" a="1"/>
  <c r="E3578" i="4"/>
  <c r="G3577" i="4" a="1"/>
  <c r="G3577" i="4"/>
  <c r="G3575" i="4" a="1"/>
  <c r="G3575" i="4"/>
  <c r="E3575" i="4" a="1"/>
  <c r="E3575" i="4"/>
  <c r="G3574" i="4" a="1"/>
  <c r="G3574" i="4"/>
  <c r="E3574" i="4" a="1"/>
  <c r="E3574" i="4"/>
  <c r="G3573" i="4" a="1"/>
  <c r="G3573" i="4"/>
  <c r="E3573" i="4" a="1"/>
  <c r="E3573" i="4"/>
  <c r="G3572" i="4" a="1"/>
  <c r="G3572" i="4"/>
  <c r="E3572" i="4" a="1"/>
  <c r="E3572" i="4"/>
  <c r="G3571" i="4" a="1"/>
  <c r="G3571" i="4"/>
  <c r="G3570" i="4" a="1"/>
  <c r="G3570" i="4"/>
  <c r="E3570" i="4" a="1"/>
  <c r="E3570" i="4"/>
  <c r="G3569" i="4" a="1"/>
  <c r="G3569" i="4"/>
  <c r="E3569" i="4" a="1"/>
  <c r="E3569" i="4"/>
  <c r="G3568" i="4" a="1"/>
  <c r="G3568" i="4"/>
  <c r="E3568" i="4" a="1"/>
  <c r="E3568" i="4"/>
  <c r="G3567" i="4" a="1"/>
  <c r="G3567" i="4"/>
  <c r="E3567" i="4" a="1"/>
  <c r="E3567" i="4"/>
  <c r="G3566" i="4" a="1"/>
  <c r="G3566" i="4"/>
  <c r="G3565" i="4" a="1"/>
  <c r="G3565" i="4"/>
  <c r="E3565" i="4" a="1"/>
  <c r="E3565" i="4"/>
  <c r="G3564" i="4" a="1"/>
  <c r="G3564" i="4"/>
  <c r="E3564" i="4" a="1"/>
  <c r="E3564" i="4"/>
  <c r="G3563" i="4" a="1"/>
  <c r="G3563" i="4"/>
  <c r="E3563" i="4" a="1"/>
  <c r="E3563" i="4"/>
  <c r="G3562" i="4" a="1"/>
  <c r="G3562" i="4"/>
  <c r="E3562" i="4" a="1"/>
  <c r="E3562" i="4"/>
  <c r="G3561" i="4" a="1"/>
  <c r="G3561" i="4"/>
  <c r="G3560" i="4" a="1"/>
  <c r="G3560" i="4"/>
  <c r="E3560" i="4" a="1"/>
  <c r="E3560" i="4"/>
  <c r="G3559" i="4" a="1"/>
  <c r="G3559" i="4"/>
  <c r="E3559" i="4" a="1"/>
  <c r="E3559" i="4"/>
  <c r="G3558" i="4" a="1"/>
  <c r="G3558" i="4"/>
  <c r="E3558" i="4" a="1"/>
  <c r="E3558" i="4"/>
  <c r="G3557" i="4" a="1"/>
  <c r="G3557" i="4"/>
  <c r="E3557" i="4" a="1"/>
  <c r="E3557" i="4"/>
  <c r="G3556" i="4" a="1"/>
  <c r="G3556" i="4"/>
  <c r="G3555" i="4" a="1"/>
  <c r="G3555" i="4"/>
  <c r="E3555" i="4" a="1"/>
  <c r="E3555" i="4"/>
  <c r="G3554" i="4" a="1"/>
  <c r="G3554" i="4"/>
  <c r="E3554" i="4" a="1"/>
  <c r="E3554" i="4"/>
  <c r="G3553" i="4" a="1"/>
  <c r="G3553" i="4"/>
  <c r="E3553" i="4" a="1"/>
  <c r="E3553" i="4"/>
  <c r="G3552" i="4" a="1"/>
  <c r="G3552" i="4"/>
  <c r="E3552" i="4" a="1"/>
  <c r="E3552" i="4"/>
  <c r="G3551" i="4" a="1"/>
  <c r="G3551" i="4"/>
  <c r="G3549" i="4" a="1"/>
  <c r="G3549" i="4"/>
  <c r="E3549" i="4" a="1"/>
  <c r="E3549" i="4"/>
  <c r="G3548" i="4" a="1"/>
  <c r="G3548" i="4"/>
  <c r="E3548" i="4" a="1"/>
  <c r="E3548" i="4"/>
  <c r="G3547" i="4" a="1"/>
  <c r="G3547" i="4"/>
  <c r="E3547" i="4" a="1"/>
  <c r="E3547" i="4"/>
  <c r="G3546" i="4" a="1"/>
  <c r="G3546" i="4"/>
  <c r="E3546" i="4" a="1"/>
  <c r="E3546" i="4"/>
  <c r="G3545" i="4" a="1"/>
  <c r="G3545" i="4"/>
  <c r="G3544" i="4" a="1"/>
  <c r="G3544" i="4"/>
  <c r="E3544" i="4" a="1"/>
  <c r="E3544" i="4"/>
  <c r="G3543" i="4" a="1"/>
  <c r="G3543" i="4"/>
  <c r="E3543" i="4" a="1"/>
  <c r="E3543" i="4"/>
  <c r="G3542" i="4" a="1"/>
  <c r="G3542" i="4"/>
  <c r="E3542" i="4" a="1"/>
  <c r="E3542" i="4"/>
  <c r="G3541" i="4" a="1"/>
  <c r="G3541" i="4"/>
  <c r="E3541" i="4" a="1"/>
  <c r="E3541" i="4"/>
  <c r="G3540" i="4" a="1"/>
  <c r="G3540" i="4"/>
  <c r="G3539" i="4" a="1"/>
  <c r="G3539" i="4"/>
  <c r="E3539" i="4" a="1"/>
  <c r="E3539" i="4"/>
  <c r="G3538" i="4" a="1"/>
  <c r="G3538" i="4"/>
  <c r="E3538" i="4" a="1"/>
  <c r="E3538" i="4"/>
  <c r="G3537" i="4" a="1"/>
  <c r="G3537" i="4"/>
  <c r="E3537" i="4" a="1"/>
  <c r="E3537" i="4"/>
  <c r="G3536" i="4" a="1"/>
  <c r="G3536" i="4"/>
  <c r="E3536" i="4" a="1"/>
  <c r="E3536" i="4"/>
  <c r="G3535" i="4" a="1"/>
  <c r="G3535" i="4"/>
  <c r="G3534" i="4" a="1"/>
  <c r="G3534" i="4"/>
  <c r="E3534" i="4" a="1"/>
  <c r="E3534" i="4"/>
  <c r="G3533" i="4" a="1"/>
  <c r="G3533" i="4"/>
  <c r="E3533" i="4" a="1"/>
  <c r="E3533" i="4"/>
  <c r="G3532" i="4" a="1"/>
  <c r="G3532" i="4"/>
  <c r="E3532" i="4" a="1"/>
  <c r="E3532" i="4"/>
  <c r="G3531" i="4" a="1"/>
  <c r="G3531" i="4"/>
  <c r="E3531" i="4" a="1"/>
  <c r="E3531" i="4"/>
  <c r="G3530" i="4" a="1"/>
  <c r="G3530" i="4"/>
  <c r="G3529" i="4" a="1"/>
  <c r="G3529" i="4"/>
  <c r="E3529" i="4" a="1"/>
  <c r="E3529" i="4"/>
  <c r="G3528" i="4" a="1"/>
  <c r="G3528" i="4"/>
  <c r="E3528" i="4" a="1"/>
  <c r="E3528" i="4"/>
  <c r="G3527" i="4" a="1"/>
  <c r="G3527" i="4"/>
  <c r="E3527" i="4" a="1"/>
  <c r="E3527" i="4"/>
  <c r="G3526" i="4" a="1"/>
  <c r="G3526" i="4"/>
  <c r="E3526" i="4" a="1"/>
  <c r="E3526" i="4"/>
  <c r="G3525" i="4" a="1"/>
  <c r="G3525" i="4"/>
  <c r="G3524" i="4" a="1"/>
  <c r="G3524" i="4"/>
  <c r="E3524" i="4" a="1"/>
  <c r="E3524" i="4"/>
  <c r="G3523" i="4" a="1"/>
  <c r="G3523" i="4"/>
  <c r="E3523" i="4" a="1"/>
  <c r="E3523" i="4"/>
  <c r="G3522" i="4" a="1"/>
  <c r="G3522" i="4"/>
  <c r="E3522" i="4" a="1"/>
  <c r="E3522" i="4"/>
  <c r="G3521" i="4" a="1"/>
  <c r="G3521" i="4"/>
  <c r="E3521" i="4" a="1"/>
  <c r="E3521" i="4"/>
  <c r="G3520" i="4" a="1"/>
  <c r="G3520" i="4"/>
  <c r="G3519" i="4" a="1"/>
  <c r="G3519" i="4"/>
  <c r="E3519" i="4" a="1"/>
  <c r="E3519" i="4"/>
  <c r="G3518" i="4" a="1"/>
  <c r="G3518" i="4"/>
  <c r="E3518" i="4" a="1"/>
  <c r="E3518" i="4"/>
  <c r="G3517" i="4" a="1"/>
  <c r="G3517" i="4"/>
  <c r="E3517" i="4" a="1"/>
  <c r="E3517" i="4"/>
  <c r="G3516" i="4" a="1"/>
  <c r="G3516" i="4"/>
  <c r="E3516" i="4" a="1"/>
  <c r="E3516" i="4"/>
  <c r="G3515" i="4" a="1"/>
  <c r="G3515" i="4"/>
  <c r="G3514" i="4" a="1"/>
  <c r="G3514" i="4"/>
  <c r="E3514" i="4" a="1"/>
  <c r="E3514" i="4"/>
  <c r="G3513" i="4" a="1"/>
  <c r="G3513" i="4"/>
  <c r="E3513" i="4" a="1"/>
  <c r="E3513" i="4"/>
  <c r="G3512" i="4" a="1"/>
  <c r="G3512" i="4"/>
  <c r="E3512" i="4" a="1"/>
  <c r="E3512" i="4"/>
  <c r="G3511" i="4" a="1"/>
  <c r="G3511" i="4"/>
  <c r="E3511" i="4" a="1"/>
  <c r="E3511" i="4"/>
  <c r="G3510" i="4" a="1"/>
  <c r="G3510" i="4"/>
  <c r="G3509" i="4" a="1"/>
  <c r="G3509" i="4"/>
  <c r="E3509" i="4" a="1"/>
  <c r="E3509" i="4"/>
  <c r="G3508" i="4" a="1"/>
  <c r="G3508" i="4"/>
  <c r="E3508" i="4" a="1"/>
  <c r="E3508" i="4"/>
  <c r="G3507" i="4" a="1"/>
  <c r="G3507" i="4"/>
  <c r="E3507" i="4" a="1"/>
  <c r="E3507" i="4"/>
  <c r="G3506" i="4" a="1"/>
  <c r="G3506" i="4"/>
  <c r="E3506" i="4" a="1"/>
  <c r="E3506" i="4"/>
  <c r="G3505" i="4" a="1"/>
  <c r="G3505" i="4"/>
  <c r="G3504" i="4" a="1"/>
  <c r="G3504" i="4"/>
  <c r="E3504" i="4" a="1"/>
  <c r="E3504" i="4"/>
  <c r="G3503" i="4" a="1"/>
  <c r="G3503" i="4"/>
  <c r="E3503" i="4" a="1"/>
  <c r="E3503" i="4"/>
  <c r="G3502" i="4" a="1"/>
  <c r="G3502" i="4"/>
  <c r="E3502" i="4" a="1"/>
  <c r="E3502" i="4"/>
  <c r="G3501" i="4" a="1"/>
  <c r="G3501" i="4"/>
  <c r="E3501" i="4" a="1"/>
  <c r="E3501" i="4"/>
  <c r="G3500" i="4" a="1"/>
  <c r="G3500" i="4"/>
  <c r="G3499" i="4" a="1"/>
  <c r="G3499" i="4"/>
  <c r="E3499" i="4" a="1"/>
  <c r="E3499" i="4"/>
  <c r="G3498" i="4" a="1"/>
  <c r="G3498" i="4"/>
  <c r="E3498" i="4" a="1"/>
  <c r="E3498" i="4"/>
  <c r="G3497" i="4" a="1"/>
  <c r="G3497" i="4"/>
  <c r="E3497" i="4" a="1"/>
  <c r="E3497" i="4"/>
  <c r="G3496" i="4" a="1"/>
  <c r="G3496" i="4"/>
  <c r="E3496" i="4" a="1"/>
  <c r="E3496" i="4"/>
  <c r="G3495" i="4" a="1"/>
  <c r="G3495" i="4"/>
  <c r="G3494" i="4" a="1"/>
  <c r="G3494" i="4"/>
  <c r="E3494" i="4" a="1"/>
  <c r="E3494" i="4"/>
  <c r="G3493" i="4" a="1"/>
  <c r="G3493" i="4"/>
  <c r="E3493" i="4" a="1"/>
  <c r="E3493" i="4"/>
  <c r="G3492" i="4" a="1"/>
  <c r="G3492" i="4"/>
  <c r="E3492" i="4" a="1"/>
  <c r="E3492" i="4"/>
  <c r="G3491" i="4" a="1"/>
  <c r="G3491" i="4"/>
  <c r="E3491" i="4" a="1"/>
  <c r="E3491" i="4"/>
  <c r="G3490" i="4" a="1"/>
  <c r="G3490" i="4"/>
  <c r="G3489" i="4" a="1"/>
  <c r="G3489" i="4"/>
  <c r="E3489" i="4" a="1"/>
  <c r="E3489" i="4"/>
  <c r="G3488" i="4" a="1"/>
  <c r="G3488" i="4"/>
  <c r="E3488" i="4" a="1"/>
  <c r="E3488" i="4"/>
  <c r="G3487" i="4" a="1"/>
  <c r="G3487" i="4"/>
  <c r="E3487" i="4" a="1"/>
  <c r="E3487" i="4"/>
  <c r="G3486" i="4" a="1"/>
  <c r="G3486" i="4"/>
  <c r="E3486" i="4" a="1"/>
  <c r="E3486" i="4"/>
  <c r="G3485" i="4" a="1"/>
  <c r="G3485" i="4"/>
  <c r="G3484" i="4" a="1"/>
  <c r="G3484" i="4"/>
  <c r="E3484" i="4" a="1"/>
  <c r="E3484" i="4"/>
  <c r="G3483" i="4" a="1"/>
  <c r="G3483" i="4"/>
  <c r="E3483" i="4" a="1"/>
  <c r="E3483" i="4"/>
  <c r="G3482" i="4" a="1"/>
  <c r="G3482" i="4"/>
  <c r="E3482" i="4" a="1"/>
  <c r="E3482" i="4"/>
  <c r="G3481" i="4" a="1"/>
  <c r="G3481" i="4"/>
  <c r="E3481" i="4" a="1"/>
  <c r="E3481" i="4"/>
  <c r="G3480" i="4" a="1"/>
  <c r="G3480" i="4"/>
  <c r="G3479" i="4" a="1"/>
  <c r="G3479" i="4"/>
  <c r="E3479" i="4" a="1"/>
  <c r="E3479" i="4"/>
  <c r="G3478" i="4" a="1"/>
  <c r="G3478" i="4"/>
  <c r="E3478" i="4" a="1"/>
  <c r="E3478" i="4"/>
  <c r="G3477" i="4" a="1"/>
  <c r="G3477" i="4"/>
  <c r="E3477" i="4" a="1"/>
  <c r="E3477" i="4"/>
  <c r="G3476" i="4" a="1"/>
  <c r="G3476" i="4"/>
  <c r="E3476" i="4" a="1"/>
  <c r="E3476" i="4"/>
  <c r="G3475" i="4" a="1"/>
  <c r="G3475" i="4"/>
  <c r="G3474" i="4" a="1"/>
  <c r="G3474" i="4"/>
  <c r="E3474" i="4" a="1"/>
  <c r="E3474" i="4"/>
  <c r="G3473" i="4" a="1"/>
  <c r="G3473" i="4"/>
  <c r="E3473" i="4" a="1"/>
  <c r="E3473" i="4"/>
  <c r="G3472" i="4" a="1"/>
  <c r="G3472" i="4"/>
  <c r="E3472" i="4" a="1"/>
  <c r="E3472" i="4"/>
  <c r="G3471" i="4" a="1"/>
  <c r="G3471" i="4"/>
  <c r="E3471" i="4" a="1"/>
  <c r="E3471" i="4"/>
  <c r="G3470" i="4" a="1"/>
  <c r="G3470" i="4"/>
  <c r="G3469" i="4" a="1"/>
  <c r="G3469" i="4"/>
  <c r="E3469" i="4" a="1"/>
  <c r="E3469" i="4"/>
  <c r="G3468" i="4" a="1"/>
  <c r="G3468" i="4"/>
  <c r="E3468" i="4" a="1"/>
  <c r="E3468" i="4"/>
  <c r="G3467" i="4" a="1"/>
  <c r="G3467" i="4"/>
  <c r="E3467" i="4" a="1"/>
  <c r="E3467" i="4"/>
  <c r="G3466" i="4" a="1"/>
  <c r="G3466" i="4"/>
  <c r="E3466" i="4" a="1"/>
  <c r="E3466" i="4"/>
  <c r="G3465" i="4" a="1"/>
  <c r="G3465" i="4"/>
  <c r="G3464" i="4" a="1"/>
  <c r="G3464" i="4"/>
  <c r="E3464" i="4" a="1"/>
  <c r="E3464" i="4"/>
  <c r="G3463" i="4" a="1"/>
  <c r="G3463" i="4"/>
  <c r="E3463" i="4" a="1"/>
  <c r="E3463" i="4"/>
  <c r="G3462" i="4" a="1"/>
  <c r="G3462" i="4"/>
  <c r="E3462" i="4" a="1"/>
  <c r="E3462" i="4"/>
  <c r="G3461" i="4" a="1"/>
  <c r="G3461" i="4"/>
  <c r="E3461" i="4" a="1"/>
  <c r="E3461" i="4"/>
  <c r="G3460" i="4" a="1"/>
  <c r="G3460" i="4"/>
  <c r="G3459" i="4" a="1"/>
  <c r="G3459" i="4"/>
  <c r="E3459" i="4" a="1"/>
  <c r="E3459" i="4"/>
  <c r="G3458" i="4" a="1"/>
  <c r="G3458" i="4"/>
  <c r="E3458" i="4" a="1"/>
  <c r="E3458" i="4"/>
  <c r="G3457" i="4" a="1"/>
  <c r="G3457" i="4"/>
  <c r="E3457" i="4" a="1"/>
  <c r="E3457" i="4"/>
  <c r="G3456" i="4" a="1"/>
  <c r="G3456" i="4"/>
  <c r="E3456" i="4" a="1"/>
  <c r="E3456" i="4"/>
  <c r="G3455" i="4" a="1"/>
  <c r="G3455" i="4"/>
  <c r="G3454" i="4" a="1"/>
  <c r="G3454" i="4"/>
  <c r="E3454" i="4" a="1"/>
  <c r="E3454" i="4"/>
  <c r="G3453" i="4" a="1"/>
  <c r="G3453" i="4"/>
  <c r="E3453" i="4" a="1"/>
  <c r="E3453" i="4"/>
  <c r="G3452" i="4" a="1"/>
  <c r="G3452" i="4"/>
  <c r="E3452" i="4" a="1"/>
  <c r="E3452" i="4"/>
  <c r="G3451" i="4" a="1"/>
  <c r="G3451" i="4"/>
  <c r="E3451" i="4" a="1"/>
  <c r="E3451" i="4"/>
  <c r="G3450" i="4" a="1"/>
  <c r="G3450" i="4"/>
  <c r="G3449" i="4" a="1"/>
  <c r="G3449" i="4"/>
  <c r="E3449" i="4" a="1"/>
  <c r="E3449" i="4"/>
  <c r="G3448" i="4" a="1"/>
  <c r="G3448" i="4"/>
  <c r="E3448" i="4" a="1"/>
  <c r="E3448" i="4"/>
  <c r="G3447" i="4" a="1"/>
  <c r="G3447" i="4"/>
  <c r="E3447" i="4" a="1"/>
  <c r="E3447" i="4"/>
  <c r="G3446" i="4" a="1"/>
  <c r="G3446" i="4"/>
  <c r="E3446" i="4" a="1"/>
  <c r="E3446" i="4"/>
  <c r="G3445" i="4" a="1"/>
  <c r="G3445" i="4"/>
  <c r="G3444" i="4" a="1"/>
  <c r="G3444" i="4"/>
  <c r="E3444" i="4" a="1"/>
  <c r="E3444" i="4"/>
  <c r="G3443" i="4" a="1"/>
  <c r="G3443" i="4"/>
  <c r="E3443" i="4" a="1"/>
  <c r="E3443" i="4"/>
  <c r="G3442" i="4" a="1"/>
  <c r="G3442" i="4"/>
  <c r="E3442" i="4" a="1"/>
  <c r="E3442" i="4"/>
  <c r="G3441" i="4" a="1"/>
  <c r="G3441" i="4"/>
  <c r="E3441" i="4" a="1"/>
  <c r="E3441" i="4"/>
  <c r="G3440" i="4" a="1"/>
  <c r="G3440" i="4"/>
  <c r="G3439" i="4" a="1"/>
  <c r="G3439" i="4"/>
  <c r="E3439" i="4" a="1"/>
  <c r="E3439" i="4"/>
  <c r="G3438" i="4" a="1"/>
  <c r="G3438" i="4"/>
  <c r="E3438" i="4" a="1"/>
  <c r="E3438" i="4"/>
  <c r="G3437" i="4" a="1"/>
  <c r="G3437" i="4"/>
  <c r="E3437" i="4" a="1"/>
  <c r="E3437" i="4"/>
  <c r="G3436" i="4" a="1"/>
  <c r="G3436" i="4"/>
  <c r="E3436" i="4" a="1"/>
  <c r="E3436" i="4"/>
  <c r="G3435" i="4" a="1"/>
  <c r="G3435" i="4"/>
  <c r="G3434" i="4" a="1"/>
  <c r="G3434" i="4"/>
  <c r="E3434" i="4" a="1"/>
  <c r="E3434" i="4"/>
  <c r="G3433" i="4" a="1"/>
  <c r="G3433" i="4"/>
  <c r="E3433" i="4" a="1"/>
  <c r="E3433" i="4"/>
  <c r="G3432" i="4" a="1"/>
  <c r="G3432" i="4"/>
  <c r="E3432" i="4" a="1"/>
  <c r="E3432" i="4"/>
  <c r="G3431" i="4" a="1"/>
  <c r="G3431" i="4"/>
  <c r="E3431" i="4" a="1"/>
  <c r="E3431" i="4"/>
  <c r="G3430" i="4" a="1"/>
  <c r="G3430" i="4"/>
  <c r="G3429" i="4" a="1"/>
  <c r="G3429" i="4"/>
  <c r="E3429" i="4" a="1"/>
  <c r="E3429" i="4"/>
  <c r="G3428" i="4" a="1"/>
  <c r="G3428" i="4"/>
  <c r="E3428" i="4" a="1"/>
  <c r="E3428" i="4"/>
  <c r="G3427" i="4" a="1"/>
  <c r="G3427" i="4"/>
  <c r="E3427" i="4" a="1"/>
  <c r="E3427" i="4"/>
  <c r="G3426" i="4" a="1"/>
  <c r="G3426" i="4"/>
  <c r="E3426" i="4" a="1"/>
  <c r="E3426" i="4"/>
  <c r="G3425" i="4" a="1"/>
  <c r="G3425" i="4"/>
  <c r="G3424" i="4" a="1"/>
  <c r="G3424" i="4"/>
  <c r="E3424" i="4" a="1"/>
  <c r="E3424" i="4"/>
  <c r="G3423" i="4" a="1"/>
  <c r="G3423" i="4"/>
  <c r="E3423" i="4" a="1"/>
  <c r="E3423" i="4"/>
  <c r="G3422" i="4" a="1"/>
  <c r="G3422" i="4"/>
  <c r="E3422" i="4" a="1"/>
  <c r="E3422" i="4"/>
  <c r="G3421" i="4" a="1"/>
  <c r="G3421" i="4"/>
  <c r="E3421" i="4" a="1"/>
  <c r="E3421" i="4"/>
  <c r="G3420" i="4" a="1"/>
  <c r="G3420" i="4"/>
  <c r="G3419" i="4" a="1"/>
  <c r="G3419" i="4"/>
  <c r="E3419" i="4" a="1"/>
  <c r="E3419" i="4"/>
  <c r="G3418" i="4" a="1"/>
  <c r="G3418" i="4"/>
  <c r="E3418" i="4" a="1"/>
  <c r="E3418" i="4"/>
  <c r="G3417" i="4" a="1"/>
  <c r="G3417" i="4"/>
  <c r="E3417" i="4" a="1"/>
  <c r="E3417" i="4"/>
  <c r="G3416" i="4" a="1"/>
  <c r="G3416" i="4"/>
  <c r="E3416" i="4" a="1"/>
  <c r="E3416" i="4"/>
  <c r="G3415" i="4" a="1"/>
  <c r="G3415" i="4"/>
  <c r="G3414" i="4" a="1"/>
  <c r="G3414" i="4"/>
  <c r="E3414" i="4" a="1"/>
  <c r="E3414" i="4"/>
  <c r="G3413" i="4" a="1"/>
  <c r="G3413" i="4"/>
  <c r="E3413" i="4" a="1"/>
  <c r="E3413" i="4"/>
  <c r="G3412" i="4" a="1"/>
  <c r="G3412" i="4"/>
  <c r="E3412" i="4" a="1"/>
  <c r="E3412" i="4"/>
  <c r="G3411" i="4" a="1"/>
  <c r="G3411" i="4"/>
  <c r="E3411" i="4" a="1"/>
  <c r="E3411" i="4"/>
  <c r="G3410" i="4" a="1"/>
  <c r="G3410" i="4"/>
  <c r="G3409" i="4" a="1"/>
  <c r="G3409" i="4"/>
  <c r="E3409" i="4" a="1"/>
  <c r="E3409" i="4"/>
  <c r="G3408" i="4" a="1"/>
  <c r="G3408" i="4"/>
  <c r="E3408" i="4" a="1"/>
  <c r="E3408" i="4"/>
  <c r="G3407" i="4" a="1"/>
  <c r="G3407" i="4"/>
  <c r="E3407" i="4" a="1"/>
  <c r="E3407" i="4"/>
  <c r="G3406" i="4" a="1"/>
  <c r="G3406" i="4"/>
  <c r="E3406" i="4" a="1"/>
  <c r="E3406" i="4"/>
  <c r="G3405" i="4" a="1"/>
  <c r="G3405" i="4"/>
  <c r="G3404" i="4" a="1"/>
  <c r="G3404" i="4"/>
  <c r="E3404" i="4" a="1"/>
  <c r="E3404" i="4"/>
  <c r="G3403" i="4" a="1"/>
  <c r="G3403" i="4"/>
  <c r="E3403" i="4" a="1"/>
  <c r="E3403" i="4"/>
  <c r="G3402" i="4" a="1"/>
  <c r="G3402" i="4"/>
  <c r="E3402" i="4" a="1"/>
  <c r="E3402" i="4"/>
  <c r="G3401" i="4" a="1"/>
  <c r="G3401" i="4"/>
  <c r="E3401" i="4" a="1"/>
  <c r="E3401" i="4"/>
  <c r="G3400" i="4" a="1"/>
  <c r="G3400" i="4"/>
  <c r="G3399" i="4" a="1"/>
  <c r="G3399" i="4"/>
  <c r="E3399" i="4" a="1"/>
  <c r="E3399" i="4"/>
  <c r="G3398" i="4" a="1"/>
  <c r="G3398" i="4"/>
  <c r="E3398" i="4" a="1"/>
  <c r="E3398" i="4"/>
  <c r="G3397" i="4" a="1"/>
  <c r="G3397" i="4"/>
  <c r="E3397" i="4" a="1"/>
  <c r="E3397" i="4"/>
  <c r="G3396" i="4" a="1"/>
  <c r="G3396" i="4"/>
  <c r="E3396" i="4" a="1"/>
  <c r="E3396" i="4"/>
  <c r="G3395" i="4" a="1"/>
  <c r="G3395" i="4"/>
  <c r="G3394" i="4" a="1"/>
  <c r="G3394" i="4"/>
  <c r="E3394" i="4" a="1"/>
  <c r="E3394" i="4"/>
  <c r="G3393" i="4" a="1"/>
  <c r="G3393" i="4"/>
  <c r="E3393" i="4" a="1"/>
  <c r="E3393" i="4"/>
  <c r="G3392" i="4" a="1"/>
  <c r="G3392" i="4"/>
  <c r="E3392" i="4" a="1"/>
  <c r="E3392" i="4"/>
  <c r="G3391" i="4" a="1"/>
  <c r="G3391" i="4"/>
  <c r="E3391" i="4" a="1"/>
  <c r="E3391" i="4"/>
  <c r="G3390" i="4" a="1"/>
  <c r="G3390" i="4"/>
  <c r="G3389" i="4" a="1"/>
  <c r="G3389" i="4"/>
  <c r="E3389" i="4" a="1"/>
  <c r="E3389" i="4"/>
  <c r="G3388" i="4" a="1"/>
  <c r="G3388" i="4"/>
  <c r="E3388" i="4" a="1"/>
  <c r="E3388" i="4"/>
  <c r="G3387" i="4" a="1"/>
  <c r="G3387" i="4"/>
  <c r="E3387" i="4" a="1"/>
  <c r="E3387" i="4"/>
  <c r="G3386" i="4" a="1"/>
  <c r="G3386" i="4"/>
  <c r="E3386" i="4" a="1"/>
  <c r="E3386" i="4"/>
  <c r="G3385" i="4" a="1"/>
  <c r="G3385" i="4"/>
  <c r="G3384" i="4" a="1"/>
  <c r="G3384" i="4"/>
  <c r="E3384" i="4" a="1"/>
  <c r="E3384" i="4"/>
  <c r="G3383" i="4" a="1"/>
  <c r="G3383" i="4"/>
  <c r="E3383" i="4" a="1"/>
  <c r="E3383" i="4"/>
  <c r="G3382" i="4" a="1"/>
  <c r="G3382" i="4"/>
  <c r="E3382" i="4" a="1"/>
  <c r="E3382" i="4"/>
  <c r="G3381" i="4" a="1"/>
  <c r="G3381" i="4"/>
  <c r="E3381" i="4" a="1"/>
  <c r="E3381" i="4"/>
  <c r="G3380" i="4" a="1"/>
  <c r="G3380" i="4"/>
  <c r="G3379" i="4" a="1"/>
  <c r="G3379" i="4"/>
  <c r="E3379" i="4" a="1"/>
  <c r="E3379" i="4"/>
  <c r="G3378" i="4" a="1"/>
  <c r="G3378" i="4"/>
  <c r="E3378" i="4" a="1"/>
  <c r="E3378" i="4"/>
  <c r="G3377" i="4" a="1"/>
  <c r="G3377" i="4"/>
  <c r="E3377" i="4" a="1"/>
  <c r="E3377" i="4"/>
  <c r="G3376" i="4" a="1"/>
  <c r="G3376" i="4"/>
  <c r="E3376" i="4" a="1"/>
  <c r="E3376" i="4"/>
  <c r="G3375" i="4" a="1"/>
  <c r="G3375" i="4"/>
  <c r="G3374" i="4" a="1"/>
  <c r="G3374" i="4"/>
  <c r="E3374" i="4" a="1"/>
  <c r="E3374" i="4"/>
  <c r="G3373" i="4" a="1"/>
  <c r="G3373" i="4"/>
  <c r="E3373" i="4" a="1"/>
  <c r="E3373" i="4"/>
  <c r="G3372" i="4" a="1"/>
  <c r="G3372" i="4"/>
  <c r="E3372" i="4" a="1"/>
  <c r="E3372" i="4"/>
  <c r="G3371" i="4" a="1"/>
  <c r="G3371" i="4"/>
  <c r="E3371" i="4" a="1"/>
  <c r="E3371" i="4"/>
  <c r="G3370" i="4" a="1"/>
  <c r="G3370" i="4"/>
  <c r="G3369" i="4" a="1"/>
  <c r="G3369" i="4"/>
  <c r="E3369" i="4" a="1"/>
  <c r="E3369" i="4"/>
  <c r="G3368" i="4" a="1"/>
  <c r="G3368" i="4"/>
  <c r="E3368" i="4" a="1"/>
  <c r="E3368" i="4"/>
  <c r="G3367" i="4" a="1"/>
  <c r="G3367" i="4"/>
  <c r="E3367" i="4" a="1"/>
  <c r="E3367" i="4"/>
  <c r="G3366" i="4" a="1"/>
  <c r="G3366" i="4"/>
  <c r="E3366" i="4" a="1"/>
  <c r="E3366" i="4"/>
  <c r="G3365" i="4" a="1"/>
  <c r="G3365" i="4"/>
  <c r="G3364" i="4" a="1"/>
  <c r="G3364" i="4"/>
  <c r="E3364" i="4" a="1"/>
  <c r="E3364" i="4"/>
  <c r="G3363" i="4" a="1"/>
  <c r="G3363" i="4"/>
  <c r="E3363" i="4" a="1"/>
  <c r="E3363" i="4"/>
  <c r="G3362" i="4" a="1"/>
  <c r="G3362" i="4"/>
  <c r="E3362" i="4" a="1"/>
  <c r="E3362" i="4"/>
  <c r="G3361" i="4" a="1"/>
  <c r="G3361" i="4"/>
  <c r="E3361" i="4" a="1"/>
  <c r="E3361" i="4"/>
  <c r="G3360" i="4" a="1"/>
  <c r="G3360" i="4"/>
  <c r="G3359" i="4" a="1"/>
  <c r="G3359" i="4"/>
  <c r="E3359" i="4" a="1"/>
  <c r="E3359" i="4"/>
  <c r="G3358" i="4" a="1"/>
  <c r="G3358" i="4"/>
  <c r="E3358" i="4" a="1"/>
  <c r="E3358" i="4"/>
  <c r="G3357" i="4" a="1"/>
  <c r="G3357" i="4"/>
  <c r="E3357" i="4" a="1"/>
  <c r="E3357" i="4"/>
  <c r="G3356" i="4" a="1"/>
  <c r="G3356" i="4"/>
  <c r="E3356" i="4" a="1"/>
  <c r="E3356" i="4"/>
  <c r="G3355" i="4" a="1"/>
  <c r="G3355" i="4"/>
  <c r="G3354" i="4" a="1"/>
  <c r="G3354" i="4"/>
  <c r="E3354" i="4" a="1"/>
  <c r="E3354" i="4"/>
  <c r="G3353" i="4" a="1"/>
  <c r="G3353" i="4"/>
  <c r="E3353" i="4" a="1"/>
  <c r="E3353" i="4"/>
  <c r="G3352" i="4" a="1"/>
  <c r="G3352" i="4"/>
  <c r="E3352" i="4" a="1"/>
  <c r="E3352" i="4"/>
  <c r="G3351" i="4" a="1"/>
  <c r="G3351" i="4"/>
  <c r="E3351" i="4" a="1"/>
  <c r="E3351" i="4"/>
  <c r="G3350" i="4" a="1"/>
  <c r="G3350" i="4"/>
  <c r="G3349" i="4" a="1"/>
  <c r="G3349" i="4"/>
  <c r="E3349" i="4" a="1"/>
  <c r="E3349" i="4"/>
  <c r="G3348" i="4" a="1"/>
  <c r="G3348" i="4"/>
  <c r="E3348" i="4" a="1"/>
  <c r="E3348" i="4"/>
  <c r="G3347" i="4" a="1"/>
  <c r="G3347" i="4"/>
  <c r="E3347" i="4" a="1"/>
  <c r="E3347" i="4"/>
  <c r="G3346" i="4" a="1"/>
  <c r="G3346" i="4"/>
  <c r="E3346" i="4" a="1"/>
  <c r="E3346" i="4"/>
  <c r="G3345" i="4" a="1"/>
  <c r="G3345" i="4"/>
  <c r="G3344" i="4" a="1"/>
  <c r="G3344" i="4"/>
  <c r="E3344" i="4" a="1"/>
  <c r="E3344" i="4"/>
  <c r="G3343" i="4" a="1"/>
  <c r="G3343" i="4"/>
  <c r="E3343" i="4" a="1"/>
  <c r="E3343" i="4"/>
  <c r="G3342" i="4" a="1"/>
  <c r="G3342" i="4"/>
  <c r="E3342" i="4" a="1"/>
  <c r="E3342" i="4"/>
  <c r="G3341" i="4" a="1"/>
  <c r="G3341" i="4"/>
  <c r="E3341" i="4" a="1"/>
  <c r="E3341" i="4"/>
  <c r="G3340" i="4" a="1"/>
  <c r="G3340" i="4"/>
  <c r="G3339" i="4" a="1"/>
  <c r="G3339" i="4"/>
  <c r="E3339" i="4" a="1"/>
  <c r="E3339" i="4"/>
  <c r="G3338" i="4" a="1"/>
  <c r="G3338" i="4"/>
  <c r="E3338" i="4" a="1"/>
  <c r="E3338" i="4"/>
  <c r="G3337" i="4" a="1"/>
  <c r="G3337" i="4"/>
  <c r="E3337" i="4" a="1"/>
  <c r="E3337" i="4"/>
  <c r="G3336" i="4" a="1"/>
  <c r="G3336" i="4"/>
  <c r="E3336" i="4" a="1"/>
  <c r="E3336" i="4"/>
  <c r="G3335" i="4" a="1"/>
  <c r="G3335" i="4"/>
  <c r="G3334" i="4" a="1"/>
  <c r="G3334" i="4"/>
  <c r="E3334" i="4" a="1"/>
  <c r="E3334" i="4"/>
  <c r="G3333" i="4" a="1"/>
  <c r="G3333" i="4"/>
  <c r="E3333" i="4" a="1"/>
  <c r="E3333" i="4"/>
  <c r="G3332" i="4" a="1"/>
  <c r="G3332" i="4"/>
  <c r="E3332" i="4" a="1"/>
  <c r="E3332" i="4"/>
  <c r="G3331" i="4" a="1"/>
  <c r="G3331" i="4"/>
  <c r="E3331" i="4" a="1"/>
  <c r="E3331" i="4"/>
  <c r="G3330" i="4" a="1"/>
  <c r="G3330" i="4"/>
  <c r="G3329" i="4" a="1"/>
  <c r="G3329" i="4"/>
  <c r="E3329" i="4" a="1"/>
  <c r="E3329" i="4"/>
  <c r="G3328" i="4" a="1"/>
  <c r="G3328" i="4"/>
  <c r="E3328" i="4" a="1"/>
  <c r="E3328" i="4"/>
  <c r="G3327" i="4" a="1"/>
  <c r="G3327" i="4"/>
  <c r="E3327" i="4" a="1"/>
  <c r="E3327" i="4"/>
  <c r="G3326" i="4" a="1"/>
  <c r="G3326" i="4"/>
  <c r="E3326" i="4" a="1"/>
  <c r="E3326" i="4"/>
  <c r="G3325" i="4" a="1"/>
  <c r="G3325" i="4"/>
  <c r="G3324" i="4" a="1"/>
  <c r="G3324" i="4"/>
  <c r="E3324" i="4" a="1"/>
  <c r="E3324" i="4"/>
  <c r="G3323" i="4" a="1"/>
  <c r="G3323" i="4"/>
  <c r="E3323" i="4" a="1"/>
  <c r="E3323" i="4"/>
  <c r="G3322" i="4" a="1"/>
  <c r="G3322" i="4"/>
  <c r="E3322" i="4" a="1"/>
  <c r="E3322" i="4"/>
  <c r="G3321" i="4" a="1"/>
  <c r="G3321" i="4"/>
  <c r="E3321" i="4" a="1"/>
  <c r="E3321" i="4"/>
  <c r="G3320" i="4" a="1"/>
  <c r="G3320" i="4"/>
  <c r="G3319" i="4" a="1"/>
  <c r="G3319" i="4"/>
  <c r="E3319" i="4" a="1"/>
  <c r="E3319" i="4"/>
  <c r="G3318" i="4" a="1"/>
  <c r="G3318" i="4"/>
  <c r="E3318" i="4" a="1"/>
  <c r="E3318" i="4"/>
  <c r="G3317" i="4" a="1"/>
  <c r="G3317" i="4"/>
  <c r="E3317" i="4" a="1"/>
  <c r="E3317" i="4"/>
  <c r="G3316" i="4" a="1"/>
  <c r="G3316" i="4"/>
  <c r="G3315" i="4" a="1"/>
  <c r="G3315" i="4"/>
  <c r="E3315" i="4" a="1"/>
  <c r="E3315" i="4"/>
  <c r="G3314" i="4" a="1"/>
  <c r="G3314" i="4"/>
  <c r="E3314" i="4" a="1"/>
  <c r="E3314" i="4"/>
  <c r="G3313" i="4" a="1"/>
  <c r="G3313" i="4"/>
  <c r="E3313" i="4" a="1"/>
  <c r="E3313" i="4"/>
  <c r="G3312" i="4" a="1"/>
  <c r="G3312" i="4"/>
  <c r="E3312" i="4" a="1"/>
  <c r="E3312" i="4"/>
  <c r="G3311" i="4" a="1"/>
  <c r="G3311" i="4"/>
  <c r="G3309" i="4" a="1"/>
  <c r="G3309" i="4"/>
  <c r="E3309" i="4" a="1"/>
  <c r="E3309" i="4"/>
  <c r="G3308" i="4" a="1"/>
  <c r="G3308" i="4"/>
  <c r="E3308" i="4" a="1"/>
  <c r="E3308" i="4"/>
  <c r="G3307" i="4" a="1"/>
  <c r="G3307" i="4"/>
  <c r="E3307" i="4" a="1"/>
  <c r="E3307" i="4"/>
  <c r="G3306" i="4" a="1"/>
  <c r="G3306" i="4"/>
  <c r="E3306" i="4" a="1"/>
  <c r="E3306" i="4"/>
  <c r="G3305" i="4" a="1"/>
  <c r="G3305" i="4"/>
  <c r="G3304" i="4" a="1"/>
  <c r="G3304" i="4"/>
  <c r="E3304" i="4" a="1"/>
  <c r="E3304" i="4"/>
  <c r="G3303" i="4" a="1"/>
  <c r="G3303" i="4"/>
  <c r="E3303" i="4" a="1"/>
  <c r="E3303" i="4"/>
  <c r="G3302" i="4" a="1"/>
  <c r="G3302" i="4"/>
  <c r="E3302" i="4" a="1"/>
  <c r="E3302" i="4"/>
  <c r="G3301" i="4" a="1"/>
  <c r="G3301" i="4"/>
  <c r="E3301" i="4" a="1"/>
  <c r="E3301" i="4"/>
  <c r="G3300" i="4" a="1"/>
  <c r="G3300" i="4"/>
  <c r="G3299" i="4" a="1"/>
  <c r="G3299" i="4"/>
  <c r="E3299" i="4" a="1"/>
  <c r="E3299" i="4"/>
  <c r="G3298" i="4" a="1"/>
  <c r="G3298" i="4"/>
  <c r="E3298" i="4" a="1"/>
  <c r="E3298" i="4"/>
  <c r="G3297" i="4" a="1"/>
  <c r="G3297" i="4"/>
  <c r="E3297" i="4" a="1"/>
  <c r="E3297" i="4"/>
  <c r="G3296" i="4" a="1"/>
  <c r="G3296" i="4"/>
  <c r="E3296" i="4" a="1"/>
  <c r="E3296" i="4"/>
  <c r="G3295" i="4" a="1"/>
  <c r="G3295" i="4"/>
  <c r="G3294" i="4" a="1"/>
  <c r="G3294" i="4"/>
  <c r="E3294" i="4" a="1"/>
  <c r="E3294" i="4"/>
  <c r="G3293" i="4" a="1"/>
  <c r="G3293" i="4"/>
  <c r="E3293" i="4" a="1"/>
  <c r="E3293" i="4"/>
  <c r="G3292" i="4" a="1"/>
  <c r="G3292" i="4"/>
  <c r="E3292" i="4" a="1"/>
  <c r="E3292" i="4"/>
  <c r="G3291" i="4" a="1"/>
  <c r="G3291" i="4"/>
  <c r="E3291" i="4" a="1"/>
  <c r="E3291" i="4"/>
  <c r="G3290" i="4" a="1"/>
  <c r="G3290" i="4"/>
  <c r="G3289" i="4" a="1"/>
  <c r="G3289" i="4"/>
  <c r="E3289" i="4" a="1"/>
  <c r="E3289" i="4"/>
  <c r="G3288" i="4" a="1"/>
  <c r="G3288" i="4"/>
  <c r="E3288" i="4" a="1"/>
  <c r="E3288" i="4"/>
  <c r="G3287" i="4" a="1"/>
  <c r="G3287" i="4"/>
  <c r="E3287" i="4" a="1"/>
  <c r="E3287" i="4"/>
  <c r="G3286" i="4" a="1"/>
  <c r="G3286" i="4"/>
  <c r="E3286" i="4" a="1"/>
  <c r="E3286" i="4"/>
  <c r="G3285" i="4" a="1"/>
  <c r="G3285" i="4"/>
  <c r="G3284" i="4" a="1"/>
  <c r="G3284" i="4"/>
  <c r="E3284" i="4" a="1"/>
  <c r="E3284" i="4"/>
  <c r="G3283" i="4" a="1"/>
  <c r="G3283" i="4"/>
  <c r="E3283" i="4" a="1"/>
  <c r="E3283" i="4"/>
  <c r="G3282" i="4" a="1"/>
  <c r="G3282" i="4"/>
  <c r="E3282" i="4" a="1"/>
  <c r="E3282" i="4"/>
  <c r="G3281" i="4" a="1"/>
  <c r="G3281" i="4"/>
  <c r="E3281" i="4" a="1"/>
  <c r="E3281" i="4"/>
  <c r="G3280" i="4" a="1"/>
  <c r="G3280" i="4"/>
  <c r="G3279" i="4" a="1"/>
  <c r="G3279" i="4"/>
  <c r="E3279" i="4" a="1"/>
  <c r="E3279" i="4"/>
  <c r="G3278" i="4" a="1"/>
  <c r="G3278" i="4"/>
  <c r="E3278" i="4" a="1"/>
  <c r="E3278" i="4"/>
  <c r="G3277" i="4" a="1"/>
  <c r="G3277" i="4"/>
  <c r="E3277" i="4" a="1"/>
  <c r="E3277" i="4"/>
  <c r="G3276" i="4" a="1"/>
  <c r="G3276" i="4"/>
  <c r="E3276" i="4" a="1"/>
  <c r="E3276" i="4"/>
  <c r="G3275" i="4" a="1"/>
  <c r="G3275" i="4"/>
  <c r="G3274" i="4" a="1"/>
  <c r="G3274" i="4"/>
  <c r="E3274" i="4" a="1"/>
  <c r="E3274" i="4"/>
  <c r="G3273" i="4" a="1"/>
  <c r="G3273" i="4"/>
  <c r="E3273" i="4" a="1"/>
  <c r="E3273" i="4"/>
  <c r="G3272" i="4" a="1"/>
  <c r="G3272" i="4"/>
  <c r="E3272" i="4" a="1"/>
  <c r="E3272" i="4"/>
  <c r="G3271" i="4" a="1"/>
  <c r="G3271" i="4"/>
  <c r="E3271" i="4" a="1"/>
  <c r="E3271" i="4"/>
  <c r="G3270" i="4" a="1"/>
  <c r="G3270" i="4"/>
  <c r="G3269" i="4" a="1"/>
  <c r="G3269" i="4"/>
  <c r="E3269" i="4" a="1"/>
  <c r="E3269" i="4"/>
  <c r="G3268" i="4" a="1"/>
  <c r="G3268" i="4"/>
  <c r="E3268" i="4" a="1"/>
  <c r="E3268" i="4"/>
  <c r="G3267" i="4" a="1"/>
  <c r="G3267" i="4"/>
  <c r="E3267" i="4" a="1"/>
  <c r="E3267" i="4"/>
  <c r="G3266" i="4" a="1"/>
  <c r="G3266" i="4"/>
  <c r="E3266" i="4" a="1"/>
  <c r="E3266" i="4"/>
  <c r="G3265" i="4" a="1"/>
  <c r="G3265" i="4"/>
  <c r="G3264" i="4" a="1"/>
  <c r="G3264" i="4"/>
  <c r="E3264" i="4" a="1"/>
  <c r="E3264" i="4"/>
  <c r="G3263" i="4" a="1"/>
  <c r="G3263" i="4"/>
  <c r="E3263" i="4" a="1"/>
  <c r="E3263" i="4"/>
  <c r="G3262" i="4" a="1"/>
  <c r="G3262" i="4"/>
  <c r="E3262" i="4" a="1"/>
  <c r="E3262" i="4"/>
  <c r="G3261" i="4" a="1"/>
  <c r="G3261" i="4"/>
  <c r="E3261" i="4" a="1"/>
  <c r="E3261" i="4"/>
  <c r="G3260" i="4" a="1"/>
  <c r="G3260" i="4"/>
  <c r="G3258" i="4" a="1"/>
  <c r="G3258" i="4"/>
  <c r="E3258" i="4" a="1"/>
  <c r="E3258" i="4"/>
  <c r="G3257" i="4" a="1"/>
  <c r="G3257" i="4"/>
  <c r="E3257" i="4" a="1"/>
  <c r="E3257" i="4"/>
  <c r="G3256" i="4" a="1"/>
  <c r="G3256" i="4"/>
  <c r="E3256" i="4" a="1"/>
  <c r="E3256" i="4"/>
  <c r="G3255" i="4" a="1"/>
  <c r="G3255" i="4"/>
  <c r="G3254" i="4" a="1"/>
  <c r="G3254" i="4"/>
  <c r="E3254" i="4" a="1"/>
  <c r="E3254" i="4"/>
  <c r="G3253" i="4" a="1"/>
  <c r="G3253" i="4"/>
  <c r="E3253" i="4" a="1"/>
  <c r="E3253" i="4"/>
  <c r="G3252" i="4" a="1"/>
  <c r="G3252" i="4"/>
  <c r="E3252" i="4" a="1"/>
  <c r="E3252" i="4"/>
  <c r="G3251" i="4" a="1"/>
  <c r="G3251" i="4"/>
  <c r="G3250" i="4" a="1"/>
  <c r="G3250" i="4"/>
  <c r="E3250" i="4" a="1"/>
  <c r="E3250" i="4"/>
  <c r="G3249" i="4" a="1"/>
  <c r="G3249" i="4"/>
  <c r="E3249" i="4" a="1"/>
  <c r="E3249" i="4"/>
  <c r="G3248" i="4" a="1"/>
  <c r="G3248" i="4"/>
  <c r="E3248" i="4" a="1"/>
  <c r="E3248" i="4"/>
  <c r="G3247" i="4" a="1"/>
  <c r="G3247" i="4"/>
  <c r="G3246" i="4" a="1"/>
  <c r="G3246" i="4"/>
  <c r="E3246" i="4" a="1"/>
  <c r="E3246" i="4"/>
  <c r="G3245" i="4" a="1"/>
  <c r="G3245" i="4"/>
  <c r="E3245" i="4" a="1"/>
  <c r="E3245" i="4"/>
  <c r="G3244" i="4" a="1"/>
  <c r="G3244" i="4"/>
  <c r="E3244" i="4" a="1"/>
  <c r="E3244" i="4"/>
  <c r="G3243" i="4" a="1"/>
  <c r="G3243" i="4"/>
  <c r="G3242" i="4" a="1"/>
  <c r="G3242" i="4"/>
  <c r="E3242" i="4" a="1"/>
  <c r="E3242" i="4"/>
  <c r="G3241" i="4" a="1"/>
  <c r="G3241" i="4"/>
  <c r="E3241" i="4" a="1"/>
  <c r="E3241" i="4"/>
  <c r="G3240" i="4" a="1"/>
  <c r="G3240" i="4"/>
  <c r="E3240" i="4" a="1"/>
  <c r="E3240" i="4"/>
  <c r="G3239" i="4" a="1"/>
  <c r="G3239" i="4"/>
  <c r="G3237" i="4" a="1"/>
  <c r="G3237" i="4"/>
  <c r="E3237" i="4" a="1"/>
  <c r="E3237" i="4"/>
  <c r="G3236" i="4" a="1"/>
  <c r="G3236" i="4"/>
  <c r="E3236" i="4" a="1"/>
  <c r="E3236" i="4"/>
  <c r="G3235" i="4" a="1"/>
  <c r="G3235" i="4"/>
  <c r="G3234" i="4" a="1"/>
  <c r="G3234" i="4"/>
  <c r="E3234" i="4" a="1"/>
  <c r="E3234" i="4"/>
  <c r="G3233" i="4" a="1"/>
  <c r="G3233" i="4"/>
  <c r="E3233" i="4" a="1"/>
  <c r="E3233" i="4"/>
  <c r="G3232" i="4" a="1"/>
  <c r="G3232" i="4"/>
  <c r="E3232" i="4" a="1"/>
  <c r="E3232" i="4"/>
  <c r="G3231" i="4" a="1"/>
  <c r="G3231" i="4"/>
  <c r="G3230" i="4" a="1"/>
  <c r="G3230" i="4"/>
  <c r="E3230" i="4" a="1"/>
  <c r="E3230" i="4"/>
  <c r="G3229" i="4" a="1"/>
  <c r="G3229" i="4"/>
  <c r="G3228" i="4" a="1"/>
  <c r="G3228" i="4"/>
  <c r="E3228" i="4" a="1"/>
  <c r="E3228" i="4"/>
  <c r="G3227" i="4" a="1"/>
  <c r="G3227" i="4"/>
  <c r="G3226" i="4" a="1"/>
  <c r="G3226" i="4"/>
  <c r="E3226" i="4" a="1"/>
  <c r="E3226" i="4"/>
  <c r="G3225" i="4" a="1"/>
  <c r="G3225" i="4"/>
  <c r="G3224" i="4" a="1"/>
  <c r="G3224" i="4"/>
  <c r="E3224" i="4" a="1"/>
  <c r="E3224" i="4"/>
  <c r="G3223" i="4" a="1"/>
  <c r="G3223" i="4"/>
  <c r="G3222" i="4" a="1"/>
  <c r="G3222" i="4"/>
  <c r="E3222" i="4" a="1"/>
  <c r="E3222" i="4"/>
  <c r="G3221" i="4" a="1"/>
  <c r="G3221" i="4"/>
  <c r="G3220" i="4" a="1"/>
  <c r="G3220" i="4"/>
  <c r="E3220" i="4" a="1"/>
  <c r="E3220" i="4"/>
  <c r="G3219" i="4" a="1"/>
  <c r="G3219" i="4"/>
  <c r="G3218" i="4" a="1"/>
  <c r="G3218" i="4"/>
  <c r="E3218" i="4" a="1"/>
  <c r="E3218" i="4"/>
  <c r="G3217" i="4" a="1"/>
  <c r="G3217" i="4"/>
  <c r="G3216" i="4" a="1"/>
  <c r="G3216" i="4"/>
  <c r="E3216" i="4" a="1"/>
  <c r="E3216" i="4"/>
  <c r="G3215" i="4" a="1"/>
  <c r="G3215" i="4"/>
  <c r="G3214" i="4" a="1"/>
  <c r="G3214" i="4"/>
  <c r="E3214" i="4" a="1"/>
  <c r="E3214" i="4"/>
  <c r="G3213" i="4" a="1"/>
  <c r="G3213" i="4"/>
  <c r="G3212" i="4" a="1"/>
  <c r="G3212" i="4"/>
  <c r="E3212" i="4" a="1"/>
  <c r="E3212" i="4"/>
  <c r="G3211" i="4" a="1"/>
  <c r="G3211" i="4"/>
  <c r="G3210" i="4" a="1"/>
  <c r="G3210" i="4"/>
  <c r="E3210" i="4" a="1"/>
  <c r="E3210" i="4"/>
  <c r="G3209" i="4" a="1"/>
  <c r="G3209" i="4"/>
  <c r="G3208" i="4" a="1"/>
  <c r="G3208" i="4"/>
  <c r="E3208" i="4" a="1"/>
  <c r="E3208" i="4"/>
  <c r="G3207" i="4" a="1"/>
  <c r="G3207" i="4"/>
  <c r="G3206" i="4" a="1"/>
  <c r="G3206" i="4"/>
  <c r="E3206" i="4" a="1"/>
  <c r="E3206" i="4"/>
  <c r="G3205" i="4" a="1"/>
  <c r="G3205" i="4"/>
  <c r="E3205" i="4" a="1"/>
  <c r="E3205" i="4"/>
  <c r="G3204" i="4" a="1"/>
  <c r="G3204" i="4"/>
  <c r="E3204" i="4" a="1"/>
  <c r="E3204" i="4"/>
  <c r="G3203" i="4" a="1"/>
  <c r="G3203" i="4"/>
  <c r="E3203" i="4" a="1"/>
  <c r="E3203" i="4"/>
  <c r="G3202" i="4" a="1"/>
  <c r="G3202" i="4"/>
  <c r="E3202" i="4" a="1"/>
  <c r="E3202" i="4"/>
  <c r="G3201" i="4" a="1"/>
  <c r="G3201" i="4"/>
  <c r="E3201" i="4" a="1"/>
  <c r="E3201" i="4"/>
  <c r="G3200" i="4" a="1"/>
  <c r="G3200" i="4"/>
  <c r="E3200" i="4" a="1"/>
  <c r="E3200" i="4"/>
  <c r="G3199" i="4" a="1"/>
  <c r="G3199" i="4"/>
  <c r="E3199" i="4" a="1"/>
  <c r="E3199" i="4"/>
  <c r="G3198" i="4" a="1"/>
  <c r="G3198" i="4"/>
  <c r="G3197" i="4" a="1"/>
  <c r="G3197" i="4"/>
  <c r="E3197" i="4" a="1"/>
  <c r="E3197" i="4"/>
  <c r="G3196" i="4" a="1"/>
  <c r="G3196" i="4"/>
  <c r="E3196" i="4" a="1"/>
  <c r="E3196" i="4"/>
  <c r="G3195" i="4" a="1"/>
  <c r="G3195" i="4"/>
  <c r="G3194" i="4" a="1"/>
  <c r="G3194" i="4"/>
  <c r="E3194" i="4" a="1"/>
  <c r="E3194" i="4"/>
  <c r="G3193" i="4" a="1"/>
  <c r="G3193" i="4"/>
  <c r="G3192" i="4" a="1"/>
  <c r="G3192" i="4"/>
  <c r="E3192" i="4" a="1"/>
  <c r="E3192" i="4"/>
  <c r="G3191" i="4" a="1"/>
  <c r="G3191" i="4"/>
  <c r="G3190" i="4" a="1"/>
  <c r="G3190" i="4"/>
  <c r="E3190" i="4" a="1"/>
  <c r="E3190" i="4"/>
  <c r="G3189" i="4" a="1"/>
  <c r="G3189" i="4"/>
  <c r="G3188" i="4" a="1"/>
  <c r="G3188" i="4"/>
  <c r="E3188" i="4" a="1"/>
  <c r="E3188" i="4"/>
  <c r="G3187" i="4" a="1"/>
  <c r="G3187" i="4"/>
  <c r="G3186" i="4" a="1"/>
  <c r="G3186" i="4"/>
  <c r="E3186" i="4" a="1"/>
  <c r="E3186" i="4"/>
  <c r="G3185" i="4" a="1"/>
  <c r="G3185" i="4"/>
  <c r="G3184" i="4" a="1"/>
  <c r="G3184" i="4"/>
  <c r="E3184" i="4" a="1"/>
  <c r="E3184" i="4"/>
  <c r="G3183" i="4" a="1"/>
  <c r="G3183" i="4"/>
  <c r="G3182" i="4" a="1"/>
  <c r="G3182" i="4"/>
  <c r="E3182" i="4" a="1"/>
  <c r="E3182" i="4"/>
  <c r="G3181" i="4" a="1"/>
  <c r="G3181" i="4"/>
  <c r="G3180" i="4" a="1"/>
  <c r="G3180" i="4"/>
  <c r="E3180" i="4" a="1"/>
  <c r="E3180" i="4"/>
  <c r="G3179" i="4" a="1"/>
  <c r="G3179" i="4"/>
  <c r="G3178" i="4" a="1"/>
  <c r="G3178" i="4"/>
  <c r="E3178" i="4" a="1"/>
  <c r="E3178" i="4"/>
  <c r="G3177" i="4" a="1"/>
  <c r="G3177" i="4"/>
  <c r="G3176" i="4" a="1"/>
  <c r="G3176" i="4"/>
  <c r="E3176" i="4" a="1"/>
  <c r="E3176" i="4"/>
  <c r="G3175" i="4" a="1"/>
  <c r="G3175" i="4"/>
  <c r="G3174" i="4" a="1"/>
  <c r="G3174" i="4"/>
  <c r="E3174" i="4" a="1"/>
  <c r="E3174" i="4"/>
  <c r="G3173" i="4" a="1"/>
  <c r="G3173" i="4"/>
  <c r="E3173" i="4" a="1"/>
  <c r="E3173" i="4"/>
  <c r="G3172" i="4" a="1"/>
  <c r="G3172" i="4"/>
  <c r="G3171" i="4" a="1"/>
  <c r="G3171" i="4"/>
  <c r="E3171" i="4" a="1"/>
  <c r="E3171" i="4"/>
  <c r="G3170" i="4" a="1"/>
  <c r="G3170" i="4"/>
  <c r="E3170" i="4" a="1"/>
  <c r="E3170" i="4"/>
  <c r="G3169" i="4" a="1"/>
  <c r="G3169" i="4"/>
  <c r="G3168" i="4" a="1"/>
  <c r="G3168" i="4"/>
  <c r="E3168" i="4" a="1"/>
  <c r="E3168" i="4"/>
  <c r="G3167" i="4" a="1"/>
  <c r="G3167" i="4"/>
  <c r="E3167" i="4" a="1"/>
  <c r="E3167" i="4"/>
  <c r="G3166" i="4" a="1"/>
  <c r="G3166" i="4"/>
  <c r="G3165" i="4" a="1"/>
  <c r="G3165" i="4"/>
  <c r="E3165" i="4" a="1"/>
  <c r="E3165" i="4"/>
  <c r="G3164" i="4" a="1"/>
  <c r="G3164" i="4"/>
  <c r="E3164" i="4" a="1"/>
  <c r="E3164" i="4"/>
  <c r="G3163" i="4" a="1"/>
  <c r="G3163" i="4"/>
  <c r="G3162" i="4" a="1"/>
  <c r="G3162" i="4"/>
  <c r="E3162" i="4" a="1"/>
  <c r="E3162" i="4"/>
  <c r="G3161" i="4" a="1"/>
  <c r="G3161" i="4"/>
  <c r="E3161" i="4" a="1"/>
  <c r="E3161" i="4"/>
  <c r="G3160" i="4" a="1"/>
  <c r="G3160" i="4"/>
  <c r="G3159" i="4" a="1"/>
  <c r="G3159" i="4"/>
  <c r="E3159" i="4" a="1"/>
  <c r="E3159" i="4"/>
  <c r="G3158" i="4" a="1"/>
  <c r="G3158" i="4"/>
  <c r="E3158" i="4" a="1"/>
  <c r="E3158" i="4"/>
  <c r="G3157" i="4" a="1"/>
  <c r="G3157" i="4"/>
  <c r="G3156" i="4" a="1"/>
  <c r="G3156" i="4"/>
  <c r="E3156" i="4" a="1"/>
  <c r="E3156" i="4"/>
  <c r="G3155" i="4" a="1"/>
  <c r="G3155" i="4"/>
  <c r="G3154" i="4" a="1"/>
  <c r="G3154" i="4"/>
  <c r="E3154" i="4" a="1"/>
  <c r="E3154" i="4"/>
  <c r="G3153" i="4" a="1"/>
  <c r="G3153" i="4"/>
  <c r="G3152" i="4" a="1"/>
  <c r="G3152" i="4"/>
  <c r="E3152" i="4" a="1"/>
  <c r="E3152" i="4"/>
  <c r="G3151" i="4" a="1"/>
  <c r="G3151" i="4"/>
  <c r="G3150" i="4" a="1"/>
  <c r="G3150" i="4"/>
  <c r="E3150" i="4" a="1"/>
  <c r="E3150" i="4"/>
  <c r="G3149" i="4" a="1"/>
  <c r="G3149" i="4"/>
  <c r="G3148" i="4" a="1"/>
  <c r="G3148" i="4"/>
  <c r="E3148" i="4" a="1"/>
  <c r="E3148" i="4"/>
  <c r="G3147" i="4" a="1"/>
  <c r="G3147" i="4"/>
  <c r="G3146" i="4" a="1"/>
  <c r="G3146" i="4"/>
  <c r="E3146" i="4" a="1"/>
  <c r="E3146" i="4"/>
  <c r="G3145" i="4" a="1"/>
  <c r="G3145" i="4"/>
  <c r="E3145" i="4" a="1"/>
  <c r="E3145" i="4"/>
  <c r="G3144" i="4" a="1"/>
  <c r="G3144" i="4"/>
  <c r="G3142" i="4" a="1"/>
  <c r="G3142" i="4"/>
  <c r="E3142" i="4" a="1"/>
  <c r="E3142" i="4"/>
  <c r="G3141" i="4" a="1"/>
  <c r="G3141" i="4"/>
  <c r="E3141" i="4" a="1"/>
  <c r="E3141" i="4"/>
  <c r="G3140" i="4" a="1"/>
  <c r="G3140" i="4"/>
  <c r="E3140" i="4" a="1"/>
  <c r="E3140" i="4"/>
  <c r="G3139" i="4" a="1"/>
  <c r="G3139" i="4"/>
  <c r="G3138" i="4" a="1"/>
  <c r="G3138" i="4"/>
  <c r="E3138" i="4" a="1"/>
  <c r="E3138" i="4"/>
  <c r="G3137" i="4" a="1"/>
  <c r="G3137" i="4"/>
  <c r="G3136" i="4" a="1"/>
  <c r="G3136" i="4"/>
  <c r="E3136" i="4" a="1"/>
  <c r="E3136" i="4"/>
  <c r="G3135" i="4" a="1"/>
  <c r="G3135" i="4"/>
  <c r="E3135" i="4" a="1"/>
  <c r="E3135" i="4"/>
  <c r="G3134" i="4" a="1"/>
  <c r="G3134" i="4"/>
  <c r="E3134" i="4" a="1"/>
  <c r="E3134" i="4"/>
  <c r="G3133" i="4" a="1"/>
  <c r="G3133" i="4"/>
  <c r="E3133" i="4" a="1"/>
  <c r="E3133" i="4"/>
  <c r="G3132" i="4" a="1"/>
  <c r="G3132" i="4"/>
  <c r="E3132" i="4" a="1"/>
  <c r="E3132" i="4"/>
  <c r="G3131" i="4" a="1"/>
  <c r="G3131" i="4"/>
  <c r="E3131" i="4" a="1"/>
  <c r="E3131" i="4"/>
  <c r="G3130" i="4" a="1"/>
  <c r="G3130" i="4"/>
  <c r="E3130" i="4" a="1"/>
  <c r="E3130" i="4"/>
  <c r="G3129" i="4" a="1"/>
  <c r="G3129" i="4"/>
  <c r="G3128" i="4" a="1"/>
  <c r="G3128" i="4"/>
  <c r="E3128" i="4" a="1"/>
  <c r="E3128" i="4"/>
  <c r="G3127" i="4" a="1"/>
  <c r="G3127" i="4"/>
  <c r="E3127" i="4" a="1"/>
  <c r="E3127" i="4"/>
  <c r="G3126" i="4" a="1"/>
  <c r="G3126" i="4"/>
  <c r="E3126" i="4" a="1"/>
  <c r="E3126" i="4"/>
  <c r="G3125" i="4" a="1"/>
  <c r="G3125" i="4"/>
  <c r="E3125" i="4" a="1"/>
  <c r="E3125" i="4"/>
  <c r="G3124" i="4" a="1"/>
  <c r="G3124" i="4"/>
  <c r="G3123" i="4" a="1"/>
  <c r="G3123" i="4"/>
  <c r="E3123" i="4" a="1"/>
  <c r="E3123" i="4"/>
  <c r="G3122" i="4" a="1"/>
  <c r="G3122" i="4"/>
  <c r="G3121" i="4" a="1"/>
  <c r="G3121" i="4"/>
  <c r="E3121" i="4" a="1"/>
  <c r="E3121" i="4"/>
  <c r="G3120" i="4" a="1"/>
  <c r="G3120" i="4"/>
  <c r="E3120" i="4" a="1"/>
  <c r="E3120" i="4"/>
  <c r="G3119" i="4" a="1"/>
  <c r="G3119" i="4"/>
  <c r="E3119" i="4" a="1"/>
  <c r="E3119" i="4"/>
  <c r="G3118" i="4" a="1"/>
  <c r="G3118" i="4"/>
  <c r="G3117" i="4" a="1"/>
  <c r="G3117" i="4"/>
  <c r="E3117" i="4" a="1"/>
  <c r="E3117" i="4"/>
  <c r="G3116" i="4" a="1"/>
  <c r="G3116" i="4"/>
  <c r="F3116" i="4"/>
  <c r="E3116" i="4" a="1"/>
  <c r="E3116" i="4"/>
  <c r="G3115" i="4" a="1"/>
  <c r="G3115" i="4"/>
  <c r="G3114" i="4" a="1"/>
  <c r="G3114" i="4"/>
  <c r="E3114" i="4" a="1"/>
  <c r="E3114" i="4"/>
  <c r="G3113" i="4" a="1"/>
  <c r="G3113" i="4"/>
  <c r="E3113" i="4" a="1"/>
  <c r="E3113" i="4"/>
  <c r="G3112" i="4" a="1"/>
  <c r="G3112" i="4"/>
  <c r="G3111" i="4" a="1"/>
  <c r="G3111" i="4"/>
  <c r="E3111" i="4" a="1"/>
  <c r="E3111" i="4"/>
  <c r="G3110" i="4" a="1"/>
  <c r="G3110" i="4"/>
  <c r="E3110" i="4" a="1"/>
  <c r="E3110" i="4"/>
  <c r="G3109" i="4" a="1"/>
  <c r="G3109" i="4"/>
  <c r="F3109" i="4"/>
  <c r="E3109" i="4" a="1"/>
  <c r="E3109" i="4"/>
  <c r="G3108" i="4" a="1"/>
  <c r="G3108" i="4"/>
  <c r="G3106" i="4" a="1"/>
  <c r="G3106" i="4"/>
  <c r="E3106" i="4" a="1"/>
  <c r="E3106" i="4"/>
  <c r="G3105" i="4" a="1"/>
  <c r="G3105" i="4"/>
  <c r="E3105" i="4" a="1"/>
  <c r="E3105" i="4"/>
  <c r="G3104" i="4" a="1"/>
  <c r="G3104" i="4"/>
  <c r="E3104" i="4" a="1"/>
  <c r="E3104" i="4"/>
  <c r="G3103" i="4" a="1"/>
  <c r="G3103" i="4"/>
  <c r="G3102" i="4" a="1"/>
  <c r="G3102" i="4"/>
  <c r="F3102" i="4"/>
  <c r="E3102" i="4" a="1"/>
  <c r="E3102" i="4"/>
  <c r="G3101" i="4" a="1"/>
  <c r="G3101" i="4"/>
  <c r="F3101" i="4"/>
  <c r="E3101" i="4" a="1"/>
  <c r="E3101" i="4"/>
  <c r="G3100" i="4" a="1"/>
  <c r="G3100" i="4"/>
  <c r="F3100" i="4"/>
  <c r="E3100" i="4" a="1"/>
  <c r="E3100" i="4"/>
  <c r="G3099" i="4" a="1"/>
  <c r="G3099" i="4"/>
  <c r="G3098" i="4" a="1"/>
  <c r="G3098" i="4"/>
  <c r="E3098" i="4" a="1"/>
  <c r="E3098" i="4"/>
  <c r="G3097" i="4" a="1"/>
  <c r="G3097" i="4"/>
  <c r="G3096" i="4" a="1"/>
  <c r="G3096" i="4"/>
  <c r="F3096" i="4"/>
  <c r="E3096" i="4" a="1"/>
  <c r="E3096" i="4"/>
  <c r="G3095" i="4" a="1"/>
  <c r="G3095" i="4"/>
  <c r="F3095" i="4"/>
  <c r="E3095" i="4" a="1"/>
  <c r="E3095" i="4"/>
  <c r="G3094" i="4" a="1"/>
  <c r="G3094" i="4"/>
  <c r="F3094" i="4"/>
  <c r="E3094" i="4" a="1"/>
  <c r="E3094" i="4"/>
  <c r="G3093" i="4" a="1"/>
  <c r="G3093" i="4"/>
  <c r="G3092" i="4" a="1"/>
  <c r="G3092" i="4"/>
  <c r="F3092" i="4"/>
  <c r="E3092" i="4" a="1"/>
  <c r="E3092" i="4"/>
  <c r="G3091" i="4" a="1"/>
  <c r="G3091" i="4"/>
  <c r="F3091" i="4"/>
  <c r="E3091" i="4" a="1"/>
  <c r="E3091" i="4"/>
  <c r="G3090" i="4" a="1"/>
  <c r="G3090" i="4"/>
  <c r="F3090" i="4"/>
  <c r="E3090" i="4" a="1"/>
  <c r="E3090" i="4"/>
  <c r="G3089" i="4" a="1"/>
  <c r="G3089" i="4"/>
  <c r="G3088" i="4" a="1"/>
  <c r="G3088" i="4"/>
  <c r="F3088" i="4"/>
  <c r="E3088" i="4" a="1"/>
  <c r="E3088" i="4"/>
  <c r="G3087" i="4" a="1"/>
  <c r="G3087" i="4"/>
  <c r="F3087" i="4"/>
  <c r="E3087" i="4" a="1"/>
  <c r="E3087" i="4"/>
  <c r="G3086" i="4" a="1"/>
  <c r="G3086" i="4"/>
  <c r="E3086" i="4" a="1"/>
  <c r="E3086" i="4"/>
  <c r="G3085" i="4" a="1"/>
  <c r="G3085" i="4"/>
  <c r="G3084" i="4" a="1"/>
  <c r="G3084" i="4"/>
  <c r="E3084" i="4" a="1"/>
  <c r="E3084" i="4"/>
  <c r="G3083" i="4" a="1"/>
  <c r="G3083" i="4"/>
  <c r="E3083" i="4" a="1"/>
  <c r="E3083" i="4"/>
  <c r="G3082" i="4" a="1"/>
  <c r="G3082" i="4"/>
  <c r="E3082" i="4" a="1"/>
  <c r="E3082" i="4"/>
  <c r="G3081" i="4" a="1"/>
  <c r="G3081" i="4"/>
  <c r="G3080" i="4" a="1"/>
  <c r="G3080" i="4"/>
  <c r="E3080" i="4" a="1"/>
  <c r="E3080" i="4"/>
  <c r="G3079" i="4" a="1"/>
  <c r="G3079" i="4"/>
  <c r="E3079" i="4" a="1"/>
  <c r="E3079" i="4"/>
  <c r="G3078" i="4" a="1"/>
  <c r="G3078" i="4"/>
  <c r="E3078" i="4" a="1"/>
  <c r="E3078" i="4"/>
  <c r="G3077" i="4" a="1"/>
  <c r="G3077" i="4"/>
  <c r="G3076" i="4" a="1"/>
  <c r="G3076" i="4"/>
  <c r="E3076" i="4" a="1"/>
  <c r="E3076" i="4"/>
  <c r="G3075" i="4" a="1"/>
  <c r="G3075" i="4"/>
  <c r="E3075" i="4" a="1"/>
  <c r="E3075" i="4"/>
  <c r="G3074" i="4" a="1"/>
  <c r="G3074" i="4"/>
  <c r="E3074" i="4" a="1"/>
  <c r="E3074" i="4"/>
  <c r="G3073" i="4" a="1"/>
  <c r="G3073" i="4"/>
  <c r="G3072" i="4" a="1"/>
  <c r="G3072" i="4"/>
  <c r="E3072" i="4" a="1"/>
  <c r="E3072" i="4"/>
  <c r="G3071" i="4" a="1"/>
  <c r="G3071" i="4"/>
  <c r="E3071" i="4" a="1"/>
  <c r="E3071" i="4"/>
  <c r="G3070" i="4" a="1"/>
  <c r="G3070" i="4"/>
  <c r="E3070" i="4" a="1"/>
  <c r="E3070" i="4"/>
  <c r="G3069" i="4" a="1"/>
  <c r="G3069" i="4"/>
  <c r="G3068" i="4" a="1"/>
  <c r="G3068" i="4"/>
  <c r="E3068" i="4" a="1"/>
  <c r="E3068" i="4"/>
  <c r="G3067" i="4" a="1"/>
  <c r="G3067" i="4"/>
  <c r="E3067" i="4" a="1"/>
  <c r="E3067" i="4"/>
  <c r="G3066" i="4" a="1"/>
  <c r="G3066" i="4"/>
  <c r="E3066" i="4" a="1"/>
  <c r="E3066" i="4"/>
  <c r="G3065" i="4" a="1"/>
  <c r="G3065" i="4"/>
  <c r="G3063" i="4" a="1"/>
  <c r="G3063" i="4"/>
  <c r="E3063" i="4" a="1"/>
  <c r="E3063" i="4"/>
  <c r="G3062" i="4" a="1"/>
  <c r="G3062" i="4"/>
  <c r="G3061" i="4" a="1"/>
  <c r="G3061" i="4"/>
  <c r="E3061" i="4" a="1"/>
  <c r="E3061" i="4"/>
  <c r="G3060" i="4" a="1"/>
  <c r="G3060" i="4"/>
  <c r="G3059" i="4" a="1"/>
  <c r="G3059" i="4"/>
  <c r="E3059" i="4" a="1"/>
  <c r="E3059" i="4"/>
  <c r="G3058" i="4" a="1"/>
  <c r="G3058" i="4"/>
  <c r="G3057" i="4" a="1"/>
  <c r="G3057" i="4"/>
  <c r="E3057" i="4" a="1"/>
  <c r="E3057" i="4"/>
  <c r="G3056" i="4" a="1"/>
  <c r="G3056" i="4"/>
  <c r="G3055" i="4" a="1"/>
  <c r="G3055" i="4"/>
  <c r="E3055" i="4" a="1"/>
  <c r="E3055" i="4"/>
  <c r="G3054" i="4" a="1"/>
  <c r="G3054" i="4"/>
  <c r="G3053" i="4" a="1"/>
  <c r="G3053" i="4"/>
  <c r="E3053" i="4" a="1"/>
  <c r="E3053" i="4"/>
  <c r="G3052" i="4" a="1"/>
  <c r="G3052" i="4"/>
  <c r="E3052" i="4" a="1"/>
  <c r="E3052" i="4"/>
  <c r="G3051" i="4" a="1"/>
  <c r="G3051" i="4"/>
  <c r="G3050" i="4" a="1"/>
  <c r="G3050" i="4"/>
  <c r="E3050" i="4" a="1"/>
  <c r="E3050" i="4"/>
  <c r="G3049" i="4" a="1"/>
  <c r="G3049" i="4"/>
  <c r="E3049" i="4" a="1"/>
  <c r="E3049" i="4"/>
  <c r="G3048" i="4" a="1"/>
  <c r="G3048" i="4"/>
  <c r="G3046" i="4" a="1"/>
  <c r="G3046" i="4"/>
  <c r="F3046" i="4"/>
  <c r="E3046" i="4" a="1"/>
  <c r="E3046" i="4"/>
  <c r="G3045" i="4" a="1"/>
  <c r="G3045" i="4"/>
  <c r="F3045" i="4"/>
  <c r="E3045" i="4" a="1"/>
  <c r="E3045" i="4"/>
  <c r="G3044" i="4" a="1"/>
  <c r="G3044" i="4"/>
  <c r="F3044" i="4"/>
  <c r="E3044" i="4" a="1"/>
  <c r="E3044" i="4"/>
  <c r="G3043" i="4" a="1"/>
  <c r="G3043" i="4"/>
  <c r="G3042" i="4" a="1"/>
  <c r="G3042" i="4"/>
  <c r="F3042" i="4"/>
  <c r="E3042" i="4" a="1"/>
  <c r="E3042" i="4"/>
  <c r="G3041" i="4" a="1"/>
  <c r="G3041" i="4"/>
  <c r="F3041" i="4"/>
  <c r="E3041" i="4" a="1"/>
  <c r="E3041" i="4"/>
  <c r="G3040" i="4" a="1"/>
  <c r="G3040" i="4"/>
  <c r="F3040" i="4"/>
  <c r="E3040" i="4" a="1"/>
  <c r="E3040" i="4"/>
  <c r="G3039" i="4" a="1"/>
  <c r="G3039" i="4"/>
  <c r="G3038" i="4" a="1"/>
  <c r="G3038" i="4"/>
  <c r="F3038" i="4"/>
  <c r="E3038" i="4" a="1"/>
  <c r="E3038" i="4"/>
  <c r="G3037" i="4" a="1"/>
  <c r="G3037" i="4"/>
  <c r="F3037" i="4"/>
  <c r="E3037" i="4" a="1"/>
  <c r="E3037" i="4"/>
  <c r="G3036" i="4" a="1"/>
  <c r="G3036" i="4"/>
  <c r="F3036" i="4"/>
  <c r="E3036" i="4" a="1"/>
  <c r="E3036" i="4"/>
  <c r="G3035" i="4" a="1"/>
  <c r="G3035" i="4"/>
  <c r="G3034" i="4" a="1"/>
  <c r="G3034" i="4"/>
  <c r="F3034" i="4"/>
  <c r="E3034" i="4" a="1"/>
  <c r="E3034" i="4"/>
  <c r="G3033" i="4" a="1"/>
  <c r="G3033" i="4"/>
  <c r="F3033" i="4"/>
  <c r="E3033" i="4" a="1"/>
  <c r="E3033" i="4"/>
  <c r="G3032" i="4" a="1"/>
  <c r="G3032" i="4"/>
  <c r="F3032" i="4"/>
  <c r="E3032" i="4" a="1"/>
  <c r="E3032" i="4"/>
  <c r="G3031" i="4" a="1"/>
  <c r="G3031" i="4"/>
  <c r="G3030" i="4" a="1"/>
  <c r="G3030" i="4"/>
  <c r="E3030" i="4" a="1"/>
  <c r="E3030" i="4"/>
  <c r="G3029" i="4" a="1"/>
  <c r="G3029" i="4"/>
  <c r="E3029" i="4" a="1"/>
  <c r="E3029" i="4"/>
  <c r="G3028" i="4" a="1"/>
  <c r="G3028" i="4"/>
  <c r="F3028" i="4"/>
  <c r="E3028" i="4" a="1"/>
  <c r="E3028" i="4"/>
  <c r="G3027" i="4" a="1"/>
  <c r="G3027" i="4"/>
  <c r="G3026" i="4" a="1"/>
  <c r="G3026" i="4"/>
  <c r="E3026" i="4" a="1"/>
  <c r="E3026" i="4"/>
  <c r="G3025" i="4" a="1"/>
  <c r="G3025" i="4"/>
  <c r="E3025" i="4" a="1"/>
  <c r="E3025" i="4"/>
  <c r="G3024" i="4" a="1"/>
  <c r="G3024" i="4"/>
  <c r="F3024" i="4"/>
  <c r="E3024" i="4" a="1"/>
  <c r="E3024" i="4"/>
  <c r="G3023" i="4" a="1"/>
  <c r="G3023" i="4"/>
  <c r="G3021" i="4" a="1"/>
  <c r="G3021" i="4"/>
  <c r="F3021" i="4"/>
  <c r="E3021" i="4" a="1"/>
  <c r="E3021" i="4"/>
  <c r="G3020" i="4" a="1"/>
  <c r="G3020" i="4"/>
  <c r="F3020" i="4"/>
  <c r="E3020" i="4" a="1"/>
  <c r="E3020" i="4"/>
  <c r="G3019" i="4" a="1"/>
  <c r="G3019" i="4"/>
  <c r="F3019" i="4"/>
  <c r="E3019" i="4" a="1"/>
  <c r="E3019" i="4"/>
  <c r="G3018" i="4" a="1"/>
  <c r="G3018" i="4"/>
  <c r="G3017" i="4" a="1"/>
  <c r="G3017" i="4"/>
  <c r="F3017" i="4"/>
  <c r="E3017" i="4" a="1"/>
  <c r="E3017" i="4"/>
  <c r="G3016" i="4" a="1"/>
  <c r="G3016" i="4"/>
  <c r="F3016" i="4"/>
  <c r="E3016" i="4" a="1"/>
  <c r="E3016" i="4"/>
  <c r="G3015" i="4" a="1"/>
  <c r="G3015" i="4"/>
  <c r="F3015" i="4"/>
  <c r="E3015" i="4" a="1"/>
  <c r="E3015" i="4"/>
  <c r="G3014" i="4" a="1"/>
  <c r="G3014" i="4"/>
  <c r="G3013" i="4" a="1"/>
  <c r="G3013" i="4"/>
  <c r="F3013" i="4"/>
  <c r="E3013" i="4" a="1"/>
  <c r="E3013" i="4"/>
  <c r="G3012" i="4" a="1"/>
  <c r="G3012" i="4"/>
  <c r="F3012" i="4"/>
  <c r="E3012" i="4" a="1"/>
  <c r="E3012" i="4"/>
  <c r="G3011" i="4" a="1"/>
  <c r="G3011" i="4"/>
  <c r="F3011" i="4"/>
  <c r="E3011" i="4" a="1"/>
  <c r="E3011" i="4"/>
  <c r="G3010" i="4" a="1"/>
  <c r="G3010" i="4"/>
  <c r="G3009" i="4" a="1"/>
  <c r="G3009" i="4"/>
  <c r="F3009" i="4"/>
  <c r="E3009" i="4" a="1"/>
  <c r="E3009" i="4"/>
  <c r="G3008" i="4" a="1"/>
  <c r="G3008" i="4"/>
  <c r="F3008" i="4"/>
  <c r="E3008" i="4" a="1"/>
  <c r="E3008" i="4"/>
  <c r="G3007" i="4" a="1"/>
  <c r="G3007" i="4"/>
  <c r="F3007" i="4"/>
  <c r="E3007" i="4" a="1"/>
  <c r="E3007" i="4"/>
  <c r="G3006" i="4" a="1"/>
  <c r="G3006" i="4"/>
  <c r="G3005" i="4" a="1"/>
  <c r="G3005" i="4"/>
  <c r="F3005" i="4"/>
  <c r="E3005" i="4" a="1"/>
  <c r="E3005" i="4"/>
  <c r="G3004" i="4" a="1"/>
  <c r="G3004" i="4"/>
  <c r="F3004" i="4"/>
  <c r="E3004" i="4" a="1"/>
  <c r="E3004" i="4"/>
  <c r="G3003" i="4" a="1"/>
  <c r="G3003" i="4"/>
  <c r="F3003" i="4"/>
  <c r="E3003" i="4" a="1"/>
  <c r="E3003" i="4"/>
  <c r="G3002" i="4" a="1"/>
  <c r="G3002" i="4"/>
  <c r="G3001" i="4" a="1"/>
  <c r="G3001" i="4"/>
  <c r="F3001" i="4"/>
  <c r="E3001" i="4" a="1"/>
  <c r="E3001" i="4"/>
  <c r="G3000" i="4" a="1"/>
  <c r="G3000" i="4"/>
  <c r="F3000" i="4"/>
  <c r="E3000" i="4" a="1"/>
  <c r="E3000" i="4"/>
  <c r="G2999" i="4" a="1"/>
  <c r="G2999" i="4"/>
  <c r="F2999" i="4"/>
  <c r="E2999" i="4" a="1"/>
  <c r="E2999" i="4"/>
  <c r="G2998" i="4" a="1"/>
  <c r="G2998" i="4"/>
  <c r="G2997" i="4" a="1"/>
  <c r="G2997" i="4"/>
  <c r="E2997" i="4" a="1"/>
  <c r="E2997" i="4"/>
  <c r="G2996" i="4" a="1"/>
  <c r="G2996" i="4"/>
  <c r="E2996" i="4" a="1"/>
  <c r="E2996" i="4"/>
  <c r="G2995" i="4" a="1"/>
  <c r="G2995" i="4"/>
  <c r="E2995" i="4" a="1"/>
  <c r="E2995" i="4"/>
  <c r="G2994" i="4" a="1"/>
  <c r="G2994" i="4"/>
  <c r="G2993" i="4" a="1"/>
  <c r="G2993" i="4"/>
  <c r="E2993" i="4" a="1"/>
  <c r="E2993" i="4"/>
  <c r="G2992" i="4" a="1"/>
  <c r="G2992" i="4"/>
  <c r="E2992" i="4" a="1"/>
  <c r="E2992" i="4"/>
  <c r="G2991" i="4" a="1"/>
  <c r="G2991" i="4"/>
  <c r="E2991" i="4" a="1"/>
  <c r="E2991" i="4"/>
  <c r="G2990" i="4" a="1"/>
  <c r="G2990" i="4"/>
  <c r="G2989" i="4" a="1"/>
  <c r="G2989" i="4"/>
  <c r="E2989" i="4" a="1"/>
  <c r="E2989" i="4"/>
  <c r="G2988" i="4" a="1"/>
  <c r="G2988" i="4"/>
  <c r="E2988" i="4" a="1"/>
  <c r="E2988" i="4"/>
  <c r="G2987" i="4" a="1"/>
  <c r="G2987" i="4"/>
  <c r="E2987" i="4" a="1"/>
  <c r="E2987" i="4"/>
  <c r="G2986" i="4" a="1"/>
  <c r="G2986" i="4"/>
  <c r="G2985" i="4" a="1"/>
  <c r="G2985" i="4"/>
  <c r="E2985" i="4" a="1"/>
  <c r="E2985" i="4"/>
  <c r="G2984" i="4" a="1"/>
  <c r="G2984" i="4"/>
  <c r="E2984" i="4" a="1"/>
  <c r="E2984" i="4"/>
  <c r="G2983" i="4" a="1"/>
  <c r="G2983" i="4"/>
  <c r="F2983" i="4"/>
  <c r="E2983" i="4" a="1"/>
  <c r="E2983" i="4"/>
  <c r="G2982" i="4" a="1"/>
  <c r="G2982" i="4"/>
  <c r="G2981" i="4" a="1"/>
  <c r="G2981" i="4"/>
  <c r="E2981" i="4" a="1"/>
  <c r="E2981" i="4"/>
  <c r="G2980" i="4" a="1"/>
  <c r="G2980" i="4"/>
  <c r="E2980" i="4" a="1"/>
  <c r="E2980" i="4"/>
  <c r="G2979" i="4" a="1"/>
  <c r="G2979" i="4"/>
  <c r="F2979" i="4"/>
  <c r="E2979" i="4" a="1"/>
  <c r="E2979" i="4"/>
  <c r="G2978" i="4" a="1"/>
  <c r="G2978" i="4"/>
  <c r="G2977" i="4" a="1"/>
  <c r="G2977" i="4"/>
  <c r="E2977" i="4" a="1"/>
  <c r="E2977" i="4"/>
  <c r="G2976" i="4" a="1"/>
  <c r="G2976" i="4"/>
  <c r="E2976" i="4" a="1"/>
  <c r="E2976" i="4"/>
  <c r="G2975" i="4" a="1"/>
  <c r="G2975" i="4"/>
  <c r="E2975" i="4" a="1"/>
  <c r="E2975" i="4"/>
  <c r="G2974" i="4" a="1"/>
  <c r="G2974" i="4"/>
  <c r="G2973" i="4" a="1"/>
  <c r="G2973" i="4"/>
  <c r="E2973" i="4" a="1"/>
  <c r="E2973" i="4"/>
  <c r="G2972" i="4" a="1"/>
  <c r="G2972" i="4"/>
  <c r="E2972" i="4" a="1"/>
  <c r="E2972" i="4"/>
  <c r="G2971" i="4" a="1"/>
  <c r="G2971" i="4"/>
  <c r="E2971" i="4" a="1"/>
  <c r="E2971" i="4"/>
  <c r="G2970" i="4" a="1"/>
  <c r="G2970" i="4"/>
  <c r="G2969" i="4" a="1"/>
  <c r="G2969" i="4"/>
  <c r="E2969" i="4" a="1"/>
  <c r="E2969" i="4"/>
  <c r="G2968" i="4" a="1"/>
  <c r="G2968" i="4"/>
  <c r="E2968" i="4" a="1"/>
  <c r="E2968" i="4"/>
  <c r="G2967" i="4" a="1"/>
  <c r="G2967" i="4"/>
  <c r="E2967" i="4" a="1"/>
  <c r="E2967" i="4"/>
  <c r="G2966" i="4" a="1"/>
  <c r="G2966" i="4"/>
  <c r="G2965" i="4" a="1"/>
  <c r="G2965" i="4"/>
  <c r="E2965" i="4" a="1"/>
  <c r="E2965" i="4"/>
  <c r="G2964" i="4" a="1"/>
  <c r="G2964" i="4"/>
  <c r="E2964" i="4" a="1"/>
  <c r="E2964" i="4"/>
  <c r="G2963" i="4" a="1"/>
  <c r="G2963" i="4"/>
  <c r="E2963" i="4" a="1"/>
  <c r="E2963" i="4"/>
  <c r="G2962" i="4" a="1"/>
  <c r="G2962" i="4"/>
  <c r="G2960" i="4" a="1"/>
  <c r="G2960" i="4"/>
  <c r="F2960" i="4"/>
  <c r="E2960" i="4" a="1"/>
  <c r="E2960" i="4"/>
  <c r="G2959" i="4" a="1"/>
  <c r="G2959" i="4"/>
  <c r="F2959" i="4"/>
  <c r="E2959" i="4" a="1"/>
  <c r="E2959" i="4"/>
  <c r="G2958" i="4" a="1"/>
  <c r="G2958" i="4"/>
  <c r="F2958" i="4"/>
  <c r="E2958" i="4" a="1"/>
  <c r="E2958" i="4"/>
  <c r="G2957" i="4" a="1"/>
  <c r="G2957" i="4"/>
  <c r="G2956" i="4" a="1"/>
  <c r="G2956" i="4"/>
  <c r="F2956" i="4"/>
  <c r="E2956" i="4" a="1"/>
  <c r="E2956" i="4"/>
  <c r="G2955" i="4" a="1"/>
  <c r="G2955" i="4"/>
  <c r="F2955" i="4"/>
  <c r="E2955" i="4" a="1"/>
  <c r="E2955" i="4"/>
  <c r="G2954" i="4" a="1"/>
  <c r="G2954" i="4"/>
  <c r="E2954" i="4" a="1"/>
  <c r="E2954" i="4"/>
  <c r="G2953" i="4" a="1"/>
  <c r="G2953" i="4"/>
  <c r="G2952" i="4" a="1"/>
  <c r="G2952" i="4"/>
  <c r="E2952" i="4" a="1"/>
  <c r="E2952" i="4"/>
  <c r="G2951" i="4" a="1"/>
  <c r="G2951" i="4"/>
  <c r="E2951" i="4" a="1"/>
  <c r="E2951" i="4"/>
  <c r="G2950" i="4" a="1"/>
  <c r="G2950" i="4"/>
  <c r="E2950" i="4" a="1"/>
  <c r="E2950" i="4"/>
  <c r="G2949" i="4" a="1"/>
  <c r="G2949" i="4"/>
  <c r="G2948" i="4" a="1"/>
  <c r="G2948" i="4"/>
  <c r="F2948" i="4"/>
  <c r="E2948" i="4" a="1"/>
  <c r="E2948" i="4"/>
  <c r="G2947" i="4" a="1"/>
  <c r="G2947" i="4"/>
  <c r="F2947" i="4"/>
  <c r="E2947" i="4" a="1"/>
  <c r="E2947" i="4"/>
  <c r="G2946" i="4" a="1"/>
  <c r="G2946" i="4"/>
  <c r="F2946" i="4"/>
  <c r="E2946" i="4" a="1"/>
  <c r="E2946" i="4"/>
  <c r="G2945" i="4" a="1"/>
  <c r="G2945" i="4"/>
  <c r="G2944" i="4" a="1"/>
  <c r="G2944" i="4"/>
  <c r="E2944" i="4" a="1"/>
  <c r="E2944" i="4"/>
  <c r="G2943" i="4" a="1"/>
  <c r="G2943" i="4"/>
  <c r="E2943" i="4" a="1"/>
  <c r="E2943" i="4"/>
  <c r="G2942" i="4" a="1"/>
  <c r="G2942" i="4"/>
  <c r="E2942" i="4" a="1"/>
  <c r="E2942" i="4"/>
  <c r="G2941" i="4" a="1"/>
  <c r="G2941" i="4"/>
  <c r="G2940" i="4" a="1"/>
  <c r="G2940" i="4"/>
  <c r="E2940" i="4" a="1"/>
  <c r="E2940" i="4"/>
  <c r="G2939" i="4" a="1"/>
  <c r="G2939" i="4"/>
  <c r="E2939" i="4" a="1"/>
  <c r="E2939" i="4"/>
  <c r="G2938" i="4" a="1"/>
  <c r="G2938" i="4"/>
  <c r="E2938" i="4" a="1"/>
  <c r="E2938" i="4"/>
  <c r="G2937" i="4" a="1"/>
  <c r="G2937" i="4"/>
  <c r="G2935" i="4" a="1"/>
  <c r="G2935" i="4"/>
  <c r="E2935" i="4" a="1"/>
  <c r="E2935" i="4"/>
  <c r="G2934" i="4" a="1"/>
  <c r="G2934" i="4"/>
  <c r="E2934" i="4" a="1"/>
  <c r="E2934" i="4"/>
  <c r="G2933" i="4" a="1"/>
  <c r="G2933" i="4"/>
  <c r="F2933" i="4"/>
  <c r="E2933" i="4" a="1"/>
  <c r="E2933" i="4"/>
  <c r="G2932" i="4" a="1"/>
  <c r="G2932" i="4"/>
  <c r="G2931" i="4" a="1"/>
  <c r="G2931" i="4"/>
  <c r="E2931" i="4" a="1"/>
  <c r="E2931" i="4"/>
  <c r="G2930" i="4" a="1"/>
  <c r="G2930" i="4"/>
  <c r="E2930" i="4" a="1"/>
  <c r="E2930" i="4"/>
  <c r="G2929" i="4" a="1"/>
  <c r="G2929" i="4"/>
  <c r="G2928" i="4" a="1"/>
  <c r="G2928" i="4"/>
  <c r="E2928" i="4" a="1"/>
  <c r="E2928" i="4"/>
  <c r="G2927" i="4" a="1"/>
  <c r="G2927" i="4"/>
  <c r="E2927" i="4" a="1"/>
  <c r="E2927" i="4"/>
  <c r="G2926" i="4" a="1"/>
  <c r="G2926" i="4"/>
  <c r="G2925" i="4" a="1"/>
  <c r="G2925" i="4"/>
  <c r="E2925" i="4" a="1"/>
  <c r="E2925" i="4"/>
  <c r="G2924" i="4" a="1"/>
  <c r="G2924" i="4"/>
  <c r="E2924" i="4" a="1"/>
  <c r="E2924" i="4"/>
  <c r="G2923" i="4" a="1"/>
  <c r="G2923" i="4"/>
  <c r="E2923" i="4" a="1"/>
  <c r="E2923" i="4"/>
  <c r="G2922" i="4" a="1"/>
  <c r="G2922" i="4"/>
  <c r="G2921" i="4" a="1"/>
  <c r="G2921" i="4"/>
  <c r="E2921" i="4" a="1"/>
  <c r="E2921" i="4"/>
  <c r="G2920" i="4" a="1"/>
  <c r="G2920" i="4"/>
  <c r="G2918" i="4" a="1"/>
  <c r="G2918" i="4"/>
  <c r="G2917" i="4" a="1"/>
  <c r="G2917" i="4"/>
  <c r="E2917" i="4" a="1"/>
  <c r="E2917" i="4"/>
  <c r="G2916" i="4" a="1"/>
  <c r="G2916" i="4"/>
  <c r="G2915" i="4" a="1"/>
  <c r="G2915" i="4"/>
  <c r="E2915" i="4" a="1"/>
  <c r="E2915" i="4"/>
  <c r="G2914" i="4" a="1"/>
  <c r="G2914" i="4"/>
  <c r="G2913" i="4" a="1"/>
  <c r="G2913" i="4"/>
  <c r="E2913" i="4" a="1"/>
  <c r="E2913" i="4"/>
  <c r="G2912" i="4" a="1"/>
  <c r="G2912" i="4"/>
  <c r="G2910" i="4" a="1"/>
  <c r="G2910" i="4"/>
  <c r="E2910" i="4" a="1"/>
  <c r="E2910" i="4"/>
  <c r="G2909" i="4" a="1"/>
  <c r="G2909" i="4"/>
  <c r="G2908" i="4" a="1"/>
  <c r="G2908" i="4"/>
  <c r="E2908" i="4" a="1"/>
  <c r="E2908" i="4"/>
  <c r="G2907" i="4" a="1"/>
  <c r="G2907" i="4"/>
  <c r="G2906" i="4" a="1"/>
  <c r="G2906" i="4"/>
  <c r="E2906" i="4" a="1"/>
  <c r="E2906" i="4"/>
  <c r="G2905" i="4" a="1"/>
  <c r="G2905" i="4"/>
  <c r="G2904" i="4" a="1"/>
  <c r="G2904" i="4"/>
  <c r="E2904" i="4" a="1"/>
  <c r="E2904" i="4"/>
  <c r="G2903" i="4" a="1"/>
  <c r="G2903" i="4"/>
  <c r="E2903" i="4" a="1"/>
  <c r="E2903" i="4"/>
  <c r="G2902" i="4" a="1"/>
  <c r="G2902" i="4"/>
  <c r="E2902" i="4" a="1"/>
  <c r="E2902" i="4"/>
  <c r="G2901" i="4" a="1"/>
  <c r="G2901" i="4"/>
  <c r="E2901" i="4" a="1"/>
  <c r="E2901" i="4"/>
  <c r="G2900" i="4" a="1"/>
  <c r="G2900" i="4"/>
  <c r="G2899" i="4" a="1"/>
  <c r="G2899" i="4"/>
  <c r="E2899" i="4" a="1"/>
  <c r="E2899" i="4"/>
  <c r="G2898" i="4" a="1"/>
  <c r="G2898" i="4"/>
  <c r="E2898" i="4" a="1"/>
  <c r="E2898" i="4"/>
  <c r="G2897" i="4" a="1"/>
  <c r="G2897" i="4"/>
  <c r="E2897" i="4" a="1"/>
  <c r="E2897" i="4"/>
  <c r="G2896" i="4" a="1"/>
  <c r="G2896" i="4"/>
  <c r="E2896" i="4" a="1"/>
  <c r="E2896" i="4"/>
  <c r="G2895" i="4" a="1"/>
  <c r="G2895" i="4"/>
  <c r="G2894" i="4" a="1"/>
  <c r="G2894" i="4"/>
  <c r="E2894" i="4" a="1"/>
  <c r="E2894" i="4"/>
  <c r="G2893" i="4" a="1"/>
  <c r="G2893" i="4"/>
  <c r="E2893" i="4" a="1"/>
  <c r="E2893" i="4"/>
  <c r="G2892" i="4" a="1"/>
  <c r="G2892" i="4"/>
  <c r="E2892" i="4" a="1"/>
  <c r="E2892" i="4"/>
  <c r="G2891" i="4" a="1"/>
  <c r="G2891" i="4"/>
  <c r="E2891" i="4" a="1"/>
  <c r="E2891" i="4"/>
  <c r="G2890" i="4" a="1"/>
  <c r="G2890" i="4"/>
  <c r="G2889" i="4" a="1"/>
  <c r="G2889" i="4"/>
  <c r="E2889" i="4" a="1"/>
  <c r="E2889" i="4"/>
  <c r="G2888" i="4" a="1"/>
  <c r="G2888" i="4"/>
  <c r="E2888" i="4" a="1"/>
  <c r="E2888" i="4"/>
  <c r="G2887" i="4" a="1"/>
  <c r="G2887" i="4"/>
  <c r="E2887" i="4" a="1"/>
  <c r="E2887" i="4"/>
  <c r="G2886" i="4" a="1"/>
  <c r="G2886" i="4"/>
  <c r="E2886" i="4" a="1"/>
  <c r="E2886" i="4"/>
  <c r="G2885" i="4" a="1"/>
  <c r="G2885" i="4"/>
  <c r="G2884" i="4" a="1"/>
  <c r="G2884" i="4"/>
  <c r="E2884" i="4" a="1"/>
  <c r="E2884" i="4"/>
  <c r="G2883" i="4" a="1"/>
  <c r="G2883" i="4"/>
  <c r="G2882" i="4" a="1"/>
  <c r="G2882" i="4"/>
  <c r="F2882" i="4"/>
  <c r="E2882" i="4" a="1"/>
  <c r="E2882" i="4"/>
  <c r="G2881" i="4" a="1"/>
  <c r="G2881" i="4"/>
  <c r="E2881" i="4" a="1"/>
  <c r="E2881" i="4"/>
  <c r="G2880" i="4" a="1"/>
  <c r="G2880" i="4"/>
  <c r="E2880" i="4" a="1"/>
  <c r="E2880" i="4"/>
  <c r="G2879" i="4" a="1"/>
  <c r="G2879" i="4"/>
  <c r="E2879" i="4" a="1"/>
  <c r="E2879" i="4"/>
  <c r="G2878" i="4" a="1"/>
  <c r="G2878" i="4"/>
  <c r="E2878" i="4" a="1"/>
  <c r="E2878" i="4"/>
  <c r="G2877" i="4" a="1"/>
  <c r="G2877" i="4"/>
  <c r="E2877" i="4" a="1"/>
  <c r="E2877" i="4"/>
  <c r="G2876" i="4" a="1"/>
  <c r="G2876" i="4"/>
  <c r="G2875" i="4" a="1"/>
  <c r="G2875" i="4"/>
  <c r="E2875" i="4" a="1"/>
  <c r="E2875" i="4"/>
  <c r="G2874" i="4" a="1"/>
  <c r="G2874" i="4"/>
  <c r="G2873" i="4" a="1"/>
  <c r="G2873" i="4"/>
  <c r="E2873" i="4" a="1"/>
  <c r="E2873" i="4"/>
  <c r="G2872" i="4" a="1"/>
  <c r="G2872" i="4"/>
  <c r="F2872" i="4"/>
  <c r="E2872" i="4" a="1"/>
  <c r="E2872" i="4"/>
  <c r="G2871" i="4" a="1"/>
  <c r="G2871" i="4"/>
  <c r="F2871" i="4"/>
  <c r="E2871" i="4" a="1"/>
  <c r="E2871" i="4"/>
  <c r="G2870" i="4" a="1"/>
  <c r="G2870" i="4"/>
  <c r="F2870" i="4"/>
  <c r="E2870" i="4" a="1"/>
  <c r="E2870" i="4"/>
  <c r="G2869" i="4" a="1"/>
  <c r="G2869" i="4"/>
  <c r="F2869" i="4"/>
  <c r="E2869" i="4" a="1"/>
  <c r="E2869" i="4"/>
  <c r="G2868" i="4" a="1"/>
  <c r="G2868" i="4"/>
  <c r="E2868" i="4" a="1"/>
  <c r="E2868" i="4"/>
  <c r="G2867" i="4" a="1"/>
  <c r="G2867" i="4"/>
  <c r="E2867" i="4" a="1"/>
  <c r="E2867" i="4"/>
  <c r="G2866" i="4" a="1"/>
  <c r="G2866" i="4"/>
  <c r="E2866" i="4" a="1"/>
  <c r="E2866" i="4"/>
  <c r="G2865" i="4" a="1"/>
  <c r="G2865" i="4"/>
  <c r="E2865" i="4" a="1"/>
  <c r="E2865" i="4"/>
  <c r="G2864" i="4" a="1"/>
  <c r="G2864" i="4"/>
  <c r="E2864" i="4" a="1"/>
  <c r="E2864" i="4"/>
  <c r="G2863" i="4" a="1"/>
  <c r="G2863" i="4"/>
  <c r="G2862" i="4" a="1"/>
  <c r="G2862" i="4"/>
  <c r="E2862" i="4" a="1"/>
  <c r="E2862" i="4"/>
  <c r="G2861" i="4" a="1"/>
  <c r="G2861" i="4"/>
  <c r="E2861" i="4" a="1"/>
  <c r="E2861" i="4"/>
  <c r="G2860" i="4" a="1"/>
  <c r="G2860" i="4"/>
  <c r="G2859" i="4" a="1"/>
  <c r="G2859" i="4"/>
  <c r="E2859" i="4" a="1"/>
  <c r="E2859" i="4"/>
  <c r="G2858" i="4" a="1"/>
  <c r="G2858" i="4"/>
  <c r="E2858" i="4" a="1"/>
  <c r="E2858" i="4"/>
  <c r="G2857" i="4" a="1"/>
  <c r="G2857" i="4"/>
  <c r="G2856" i="4" a="1"/>
  <c r="G2856" i="4"/>
  <c r="E2856" i="4" a="1"/>
  <c r="E2856" i="4"/>
  <c r="G2855" i="4" a="1"/>
  <c r="G2855" i="4"/>
  <c r="E2855" i="4" a="1"/>
  <c r="E2855" i="4"/>
  <c r="G2854" i="4" a="1"/>
  <c r="G2854" i="4"/>
  <c r="G2853" i="4" a="1"/>
  <c r="G2853" i="4"/>
  <c r="E2853" i="4" a="1"/>
  <c r="E2853" i="4"/>
  <c r="G2852" i="4" a="1"/>
  <c r="G2852" i="4"/>
  <c r="E2852" i="4" a="1"/>
  <c r="E2852" i="4"/>
  <c r="G2851" i="4" a="1"/>
  <c r="G2851" i="4"/>
  <c r="G2850" i="4" a="1"/>
  <c r="G2850" i="4"/>
  <c r="E2850" i="4" a="1"/>
  <c r="E2850" i="4"/>
  <c r="G2849" i="4" a="1"/>
  <c r="G2849" i="4"/>
  <c r="E2849" i="4" a="1"/>
  <c r="E2849" i="4"/>
  <c r="G2848" i="4" a="1"/>
  <c r="G2848" i="4"/>
  <c r="G2847" i="4" a="1"/>
  <c r="G2847" i="4"/>
  <c r="E2847" i="4" a="1"/>
  <c r="E2847" i="4"/>
  <c r="G2846" i="4" a="1"/>
  <c r="G2846" i="4"/>
  <c r="E2846" i="4" a="1"/>
  <c r="E2846" i="4"/>
  <c r="G2845" i="4" a="1"/>
  <c r="G2845" i="4"/>
  <c r="G2844" i="4" a="1"/>
  <c r="G2844" i="4"/>
  <c r="E2844" i="4" a="1"/>
  <c r="E2844" i="4"/>
  <c r="G2843" i="4" a="1"/>
  <c r="G2843" i="4"/>
  <c r="G2842" i="4" a="1"/>
  <c r="G2842" i="4"/>
  <c r="E2842" i="4" a="1"/>
  <c r="E2842" i="4"/>
  <c r="G2841" i="4" a="1"/>
  <c r="G2841" i="4"/>
  <c r="G2840" i="4" a="1"/>
  <c r="G2840" i="4"/>
  <c r="G2839" i="4" a="1"/>
  <c r="G2839" i="4"/>
  <c r="G2838" i="4" a="1"/>
  <c r="G2838" i="4"/>
  <c r="G2837" i="4" a="1"/>
  <c r="G2837" i="4"/>
  <c r="G2836" i="4" a="1"/>
  <c r="G2836" i="4"/>
  <c r="G2835" i="4" a="1"/>
  <c r="G2835" i="4"/>
  <c r="G2834" i="4" a="1"/>
  <c r="G2834" i="4"/>
  <c r="E2834" i="4" a="1"/>
  <c r="E2834" i="4"/>
  <c r="G2833" i="4" a="1"/>
  <c r="G2833" i="4"/>
  <c r="E2833" i="4" a="1"/>
  <c r="E2833" i="4"/>
  <c r="G2832" i="4" a="1"/>
  <c r="G2832" i="4"/>
  <c r="G2831" i="4" a="1"/>
  <c r="G2831" i="4"/>
  <c r="G2830" i="4" a="1"/>
  <c r="G2830" i="4"/>
  <c r="G2829" i="4" a="1"/>
  <c r="G2829" i="4"/>
  <c r="G2828" i="4" a="1"/>
  <c r="G2828" i="4"/>
  <c r="G2827" i="4" a="1"/>
  <c r="G2827" i="4"/>
  <c r="G2826" i="4" a="1"/>
  <c r="G2826" i="4"/>
  <c r="G2825" i="4" a="1"/>
  <c r="G2825" i="4"/>
  <c r="G2824" i="4" a="1"/>
  <c r="G2824" i="4"/>
  <c r="G2823" i="4" a="1"/>
  <c r="G2823" i="4"/>
  <c r="G2822" i="4" a="1"/>
  <c r="G2822" i="4"/>
  <c r="G2821" i="4" a="1"/>
  <c r="G2821" i="4"/>
  <c r="E2821" i="4" a="1"/>
  <c r="E2821" i="4"/>
  <c r="G2820" i="4" a="1"/>
  <c r="G2820" i="4"/>
  <c r="G2819" i="4" a="1"/>
  <c r="G2819" i="4"/>
  <c r="E2819" i="4" a="1"/>
  <c r="E2819" i="4"/>
  <c r="G2818" i="4" a="1"/>
  <c r="G2818" i="4"/>
  <c r="G2816" i="4" a="1"/>
  <c r="G2816" i="4"/>
  <c r="E2816" i="4" a="1"/>
  <c r="E2816" i="4"/>
  <c r="G2815" i="4" a="1"/>
  <c r="G2815" i="4"/>
  <c r="E2815" i="4" a="1"/>
  <c r="E2815" i="4"/>
  <c r="G2814" i="4" a="1"/>
  <c r="G2814" i="4"/>
  <c r="E2814" i="4" a="1"/>
  <c r="E2814" i="4"/>
  <c r="G2813" i="4" a="1"/>
  <c r="G2813" i="4"/>
  <c r="E2813" i="4" a="1"/>
  <c r="E2813" i="4"/>
  <c r="G2812" i="4" a="1"/>
  <c r="G2812" i="4"/>
  <c r="E2812" i="4" a="1"/>
  <c r="E2812" i="4"/>
  <c r="G2811" i="4" a="1"/>
  <c r="G2811" i="4"/>
  <c r="E2811" i="4" a="1"/>
  <c r="E2811" i="4"/>
  <c r="G2810" i="4" a="1"/>
  <c r="G2810" i="4"/>
  <c r="E2810" i="4" a="1"/>
  <c r="E2810" i="4"/>
  <c r="G2809" i="4" a="1"/>
  <c r="G2809" i="4"/>
  <c r="E2809" i="4" a="1"/>
  <c r="E2809" i="4"/>
  <c r="G2808" i="4" a="1"/>
  <c r="G2808" i="4"/>
  <c r="E2808" i="4" a="1"/>
  <c r="E2808" i="4"/>
  <c r="G2807" i="4" a="1"/>
  <c r="G2807" i="4"/>
  <c r="E2807" i="4" a="1"/>
  <c r="E2807" i="4"/>
  <c r="G2806" i="4" a="1"/>
  <c r="G2806" i="4"/>
  <c r="G2805" i="4" a="1"/>
  <c r="G2805" i="4"/>
  <c r="E2805" i="4" a="1"/>
  <c r="E2805" i="4"/>
  <c r="G2804" i="4" a="1"/>
  <c r="G2804" i="4"/>
  <c r="G2803" i="4" a="1"/>
  <c r="G2803" i="4"/>
  <c r="E2803" i="4" a="1"/>
  <c r="E2803" i="4"/>
  <c r="G2802" i="4" a="1"/>
  <c r="G2802" i="4"/>
  <c r="G2801" i="4" a="1"/>
  <c r="G2801" i="4"/>
  <c r="E2801" i="4" a="1"/>
  <c r="E2801" i="4"/>
  <c r="G2800" i="4" a="1"/>
  <c r="G2800" i="4"/>
  <c r="G2799" i="4" a="1"/>
  <c r="G2799" i="4"/>
  <c r="E2799" i="4" a="1"/>
  <c r="E2799" i="4"/>
  <c r="G2798" i="4" a="1"/>
  <c r="G2798" i="4"/>
  <c r="G2797" i="4" a="1"/>
  <c r="G2797" i="4"/>
  <c r="E2797" i="4" a="1"/>
  <c r="E2797" i="4"/>
  <c r="G2796" i="4" a="1"/>
  <c r="G2796" i="4"/>
  <c r="G2795" i="4" a="1"/>
  <c r="G2795" i="4"/>
  <c r="E2795" i="4" a="1"/>
  <c r="E2795" i="4"/>
  <c r="G2794" i="4" a="1"/>
  <c r="G2794" i="4"/>
  <c r="G2793" i="4" a="1"/>
  <c r="G2793" i="4"/>
  <c r="E2793" i="4" a="1"/>
  <c r="E2793" i="4"/>
  <c r="G2791" i="4" a="1"/>
  <c r="G2791" i="4"/>
  <c r="E2791" i="4" a="1"/>
  <c r="E2791" i="4"/>
  <c r="G2790" i="4" a="1"/>
  <c r="G2790" i="4"/>
  <c r="G2789" i="4" a="1"/>
  <c r="G2789" i="4"/>
  <c r="E2789" i="4" a="1"/>
  <c r="E2789" i="4"/>
  <c r="G2787" i="4" a="1"/>
  <c r="G2787" i="4"/>
  <c r="E2787" i="4" a="1"/>
  <c r="E2787" i="4"/>
  <c r="G2786" i="4" a="1"/>
  <c r="G2786" i="4"/>
  <c r="E2786" i="4" a="1"/>
  <c r="E2786" i="4"/>
  <c r="G2785" i="4" a="1"/>
  <c r="G2785" i="4"/>
  <c r="G2784" i="4" a="1"/>
  <c r="G2784" i="4"/>
  <c r="E2784" i="4" a="1"/>
  <c r="E2784" i="4"/>
  <c r="G2783" i="4" a="1"/>
  <c r="G2783" i="4"/>
  <c r="G2782" i="4" a="1"/>
  <c r="G2782" i="4"/>
  <c r="E2782" i="4" a="1"/>
  <c r="E2782" i="4"/>
  <c r="G2781" i="4" a="1"/>
  <c r="G2781" i="4"/>
  <c r="G2780" i="4" a="1"/>
  <c r="G2780" i="4"/>
  <c r="E2780" i="4" a="1"/>
  <c r="E2780" i="4"/>
  <c r="G2779" i="4" a="1"/>
  <c r="G2779" i="4"/>
  <c r="G2778" i="4" a="1"/>
  <c r="G2778" i="4"/>
  <c r="E2778" i="4" a="1"/>
  <c r="E2778" i="4"/>
  <c r="G2777" i="4" a="1"/>
  <c r="G2777" i="4"/>
  <c r="G2776" i="4" a="1"/>
  <c r="G2776" i="4"/>
  <c r="E2776" i="4" a="1"/>
  <c r="E2776" i="4"/>
  <c r="G2775" i="4" a="1"/>
  <c r="G2775" i="4"/>
  <c r="G2774" i="4" a="1"/>
  <c r="G2774" i="4"/>
  <c r="E2774" i="4" a="1"/>
  <c r="E2774" i="4"/>
  <c r="G2773" i="4" a="1"/>
  <c r="G2773" i="4"/>
  <c r="G2771" i="4" a="1"/>
  <c r="G2771" i="4"/>
  <c r="E2771" i="4" a="1"/>
  <c r="E2771" i="4"/>
  <c r="G2770" i="4" a="1"/>
  <c r="G2770" i="4"/>
  <c r="G2769" i="4" a="1"/>
  <c r="G2769" i="4"/>
  <c r="E2769" i="4" a="1"/>
  <c r="E2769" i="4"/>
  <c r="G2768" i="4" a="1"/>
  <c r="G2768" i="4"/>
  <c r="G2767" i="4" a="1"/>
  <c r="G2767" i="4"/>
  <c r="E2767" i="4" a="1"/>
  <c r="E2767" i="4"/>
  <c r="G2766" i="4" a="1"/>
  <c r="G2766" i="4"/>
  <c r="E2766" i="4" a="1"/>
  <c r="E2766" i="4"/>
  <c r="G2765" i="4" a="1"/>
  <c r="G2765" i="4"/>
  <c r="G2764" i="4" a="1"/>
  <c r="G2764" i="4"/>
  <c r="E2764" i="4" a="1"/>
  <c r="E2764" i="4"/>
  <c r="G2763" i="4" a="1"/>
  <c r="G2763" i="4"/>
  <c r="E2763" i="4" a="1"/>
  <c r="E2763" i="4"/>
  <c r="G2762" i="4" a="1"/>
  <c r="G2762" i="4"/>
  <c r="E2762" i="4" a="1"/>
  <c r="E2762" i="4"/>
  <c r="G2761" i="4" a="1"/>
  <c r="G2761" i="4"/>
  <c r="E2761" i="4" a="1"/>
  <c r="E2761" i="4"/>
  <c r="G2760" i="4" a="1"/>
  <c r="G2760" i="4"/>
  <c r="G2759" i="4" a="1"/>
  <c r="G2759" i="4"/>
  <c r="E2759" i="4" a="1"/>
  <c r="E2759" i="4"/>
  <c r="G2758" i="4" a="1"/>
  <c r="G2758" i="4"/>
  <c r="E2758" i="4" a="1"/>
  <c r="E2758" i="4"/>
  <c r="G2757" i="4" a="1"/>
  <c r="G2757" i="4"/>
  <c r="E2757" i="4" a="1"/>
  <c r="E2757" i="4"/>
  <c r="G2756" i="4" a="1"/>
  <c r="G2756" i="4"/>
  <c r="G2754" i="4" a="1"/>
  <c r="G2754" i="4"/>
  <c r="G2753" i="4" a="1"/>
  <c r="G2753" i="4"/>
  <c r="E2753" i="4" a="1"/>
  <c r="E2753" i="4"/>
  <c r="G2752" i="4" a="1"/>
  <c r="G2752" i="4"/>
  <c r="G2751" i="4" a="1"/>
  <c r="G2751" i="4"/>
  <c r="E2751" i="4" a="1"/>
  <c r="E2751" i="4"/>
  <c r="G2750" i="4" a="1"/>
  <c r="G2750" i="4"/>
  <c r="G2749" i="4" a="1"/>
  <c r="G2749" i="4"/>
  <c r="E2749" i="4" a="1"/>
  <c r="E2749" i="4"/>
  <c r="G2748" i="4" a="1"/>
  <c r="G2748" i="4"/>
  <c r="G2747" i="4" a="1"/>
  <c r="G2747" i="4"/>
  <c r="E2747" i="4" a="1"/>
  <c r="E2747" i="4"/>
  <c r="G2746" i="4" a="1"/>
  <c r="G2746" i="4"/>
  <c r="G2745" i="4" a="1"/>
  <c r="G2745" i="4"/>
  <c r="E2745" i="4" a="1"/>
  <c r="E2745" i="4"/>
  <c r="G2744" i="4" a="1"/>
  <c r="G2744" i="4"/>
  <c r="G2743" i="4" a="1"/>
  <c r="G2743" i="4"/>
  <c r="E2743" i="4" a="1"/>
  <c r="E2743" i="4"/>
  <c r="G2742" i="4" a="1"/>
  <c r="G2742" i="4"/>
  <c r="G2740" i="4" a="1"/>
  <c r="G2740" i="4"/>
  <c r="E2740" i="4" a="1"/>
  <c r="E2740" i="4"/>
  <c r="G2739" i="4" a="1"/>
  <c r="G2739" i="4"/>
  <c r="G2738" i="4" a="1"/>
  <c r="G2738" i="4"/>
  <c r="E2738" i="4" a="1"/>
  <c r="E2738" i="4"/>
  <c r="G2737" i="4" a="1"/>
  <c r="G2737" i="4"/>
  <c r="G2735" i="4" a="1"/>
  <c r="G2735" i="4"/>
  <c r="E2735" i="4" a="1"/>
  <c r="E2735" i="4"/>
  <c r="G2734" i="4" a="1"/>
  <c r="G2734" i="4"/>
  <c r="G2733" i="4" a="1"/>
  <c r="G2733" i="4"/>
  <c r="E2733" i="4" a="1"/>
  <c r="E2733" i="4"/>
  <c r="G2732" i="4" a="1"/>
  <c r="G2732" i="4"/>
  <c r="G2730" i="4" a="1"/>
  <c r="G2730" i="4"/>
  <c r="E2730" i="4" a="1"/>
  <c r="E2730" i="4"/>
  <c r="G2729" i="4" a="1"/>
  <c r="G2729" i="4"/>
  <c r="E2729" i="4" a="1"/>
  <c r="E2729" i="4"/>
  <c r="G2728" i="4" a="1"/>
  <c r="G2728" i="4"/>
  <c r="G2727" i="4" a="1"/>
  <c r="G2727" i="4"/>
  <c r="E2727" i="4" a="1"/>
  <c r="E2727" i="4"/>
  <c r="G2726" i="4" a="1"/>
  <c r="G2726" i="4"/>
  <c r="E2726" i="4" a="1"/>
  <c r="E2726" i="4"/>
  <c r="G2725" i="4" a="1"/>
  <c r="G2725" i="4"/>
  <c r="G2724" i="4" a="1"/>
  <c r="G2724" i="4"/>
  <c r="E2724" i="4" a="1"/>
  <c r="E2724" i="4"/>
  <c r="G2723" i="4" a="1"/>
  <c r="G2723" i="4"/>
  <c r="E2723" i="4" a="1"/>
  <c r="E2723" i="4"/>
  <c r="G2722" i="4" a="1"/>
  <c r="G2722" i="4"/>
  <c r="G2721" i="4" a="1"/>
  <c r="G2721" i="4"/>
  <c r="E2721" i="4" a="1"/>
  <c r="E2721" i="4"/>
  <c r="G2720" i="4" a="1"/>
  <c r="G2720" i="4"/>
  <c r="E2720" i="4" a="1"/>
  <c r="E2720" i="4"/>
  <c r="G2719" i="4" a="1"/>
  <c r="G2719" i="4"/>
  <c r="G2718" i="4" a="1"/>
  <c r="G2718" i="4"/>
  <c r="E2718" i="4" a="1"/>
  <c r="E2718" i="4"/>
  <c r="G2717" i="4" a="1"/>
  <c r="G2717" i="4"/>
  <c r="E2717" i="4" a="1"/>
  <c r="E2717" i="4"/>
  <c r="G2716" i="4" a="1"/>
  <c r="G2716" i="4"/>
  <c r="E2716" i="4" a="1"/>
  <c r="E2716" i="4"/>
  <c r="G2715" i="4" a="1"/>
  <c r="G2715" i="4"/>
  <c r="G2714" i="4" a="1"/>
  <c r="G2714" i="4"/>
  <c r="E2714" i="4" a="1"/>
  <c r="E2714" i="4"/>
  <c r="G2713" i="4" a="1"/>
  <c r="G2713" i="4"/>
  <c r="E2713" i="4" a="1"/>
  <c r="E2713" i="4"/>
  <c r="G2712" i="4" a="1"/>
  <c r="G2712" i="4"/>
  <c r="E2712" i="4" a="1"/>
  <c r="E2712" i="4"/>
  <c r="G2711" i="4" a="1"/>
  <c r="G2711" i="4"/>
  <c r="E2711" i="4" a="1"/>
  <c r="E2711" i="4"/>
  <c r="G2710" i="4" a="1"/>
  <c r="G2710" i="4"/>
  <c r="G2709" i="4" a="1"/>
  <c r="G2709" i="4"/>
  <c r="F2709" i="4"/>
  <c r="E2709" i="4" a="1"/>
  <c r="E2709" i="4"/>
  <c r="G2708" i="4" a="1"/>
  <c r="G2708" i="4"/>
  <c r="F2708" i="4"/>
  <c r="E2708" i="4" a="1"/>
  <c r="E2708" i="4"/>
  <c r="G2707" i="4" a="1"/>
  <c r="G2707" i="4"/>
  <c r="G2706" i="4" a="1"/>
  <c r="G2706" i="4"/>
  <c r="E2706" i="4" a="1"/>
  <c r="E2706" i="4"/>
  <c r="G2705" i="4" a="1"/>
  <c r="G2705" i="4"/>
  <c r="E2705" i="4" a="1"/>
  <c r="E2705" i="4"/>
  <c r="G2704" i="4" a="1"/>
  <c r="G2704" i="4"/>
  <c r="G2703" i="4" a="1"/>
  <c r="G2703" i="4"/>
  <c r="E2703" i="4" a="1"/>
  <c r="E2703" i="4"/>
  <c r="G2702" i="4" a="1"/>
  <c r="G2702" i="4"/>
  <c r="E2702" i="4" a="1"/>
  <c r="E2702" i="4"/>
  <c r="G2701" i="4" a="1"/>
  <c r="G2701" i="4"/>
  <c r="G2700" i="4" a="1"/>
  <c r="G2700" i="4"/>
  <c r="F2700" i="4"/>
  <c r="E2700" i="4" a="1"/>
  <c r="E2700" i="4"/>
  <c r="G2699" i="4" a="1"/>
  <c r="G2699" i="4"/>
  <c r="F2699" i="4"/>
  <c r="E2699" i="4" a="1"/>
  <c r="E2699" i="4"/>
  <c r="G2698" i="4" a="1"/>
  <c r="G2698" i="4"/>
  <c r="G2697" i="4" a="1"/>
  <c r="G2697" i="4"/>
  <c r="F2697" i="4"/>
  <c r="E2697" i="4" a="1"/>
  <c r="E2697" i="4"/>
  <c r="G2696" i="4" a="1"/>
  <c r="G2696" i="4"/>
  <c r="E2696" i="4" a="1"/>
  <c r="E2696" i="4"/>
  <c r="G2695" i="4" a="1"/>
  <c r="G2695" i="4"/>
  <c r="G2694" i="4" a="1"/>
  <c r="G2694" i="4"/>
  <c r="E2694" i="4" a="1"/>
  <c r="E2694" i="4"/>
  <c r="G2693" i="4" a="1"/>
  <c r="G2693" i="4"/>
  <c r="E2693" i="4" a="1"/>
  <c r="E2693" i="4"/>
  <c r="G2692" i="4" a="1"/>
  <c r="G2692" i="4"/>
  <c r="G2690" i="4" a="1"/>
  <c r="G2690" i="4"/>
  <c r="E2690" i="4" a="1"/>
  <c r="E2690" i="4"/>
  <c r="G2689" i="4" a="1"/>
  <c r="G2689" i="4"/>
  <c r="E2689" i="4" a="1"/>
  <c r="E2689" i="4"/>
  <c r="G2688" i="4" a="1"/>
  <c r="G2688" i="4"/>
  <c r="G2687" i="4" a="1"/>
  <c r="G2687" i="4"/>
  <c r="E2687" i="4" a="1"/>
  <c r="E2687" i="4"/>
  <c r="G2686" i="4" a="1"/>
  <c r="G2686" i="4"/>
  <c r="E2686" i="4" a="1"/>
  <c r="E2686" i="4"/>
  <c r="G2685" i="4" a="1"/>
  <c r="G2685" i="4"/>
  <c r="G2684" i="4" a="1"/>
  <c r="G2684" i="4"/>
  <c r="E2684" i="4" a="1"/>
  <c r="E2684" i="4"/>
  <c r="G2683" i="4" a="1"/>
  <c r="G2683" i="4"/>
  <c r="E2683" i="4" a="1"/>
  <c r="E2683" i="4"/>
  <c r="G2682" i="4" a="1"/>
  <c r="G2682" i="4"/>
  <c r="G2681" i="4" a="1"/>
  <c r="G2681" i="4"/>
  <c r="E2681" i="4" a="1"/>
  <c r="E2681" i="4"/>
  <c r="G2680" i="4" a="1"/>
  <c r="G2680" i="4"/>
  <c r="E2680" i="4" a="1"/>
  <c r="E2680" i="4"/>
  <c r="G2679" i="4" a="1"/>
  <c r="G2679" i="4"/>
  <c r="G2678" i="4" a="1"/>
  <c r="G2678" i="4"/>
  <c r="E2678" i="4" a="1"/>
  <c r="E2678" i="4"/>
  <c r="G2677" i="4" a="1"/>
  <c r="G2677" i="4"/>
  <c r="E2677" i="4" a="1"/>
  <c r="E2677" i="4"/>
  <c r="G2676" i="4" a="1"/>
  <c r="G2676" i="4"/>
  <c r="G2674" i="4" a="1"/>
  <c r="G2674" i="4"/>
  <c r="E2674" i="4" a="1"/>
  <c r="E2674" i="4"/>
  <c r="G2673" i="4" a="1"/>
  <c r="G2673" i="4"/>
  <c r="G2672" i="4" a="1"/>
  <c r="G2672" i="4"/>
  <c r="E2672" i="4" a="1"/>
  <c r="E2672" i="4"/>
  <c r="G2671" i="4" a="1"/>
  <c r="G2671" i="4"/>
  <c r="G2669" i="4" a="1"/>
  <c r="G2669" i="4"/>
  <c r="E2669" i="4" a="1"/>
  <c r="E2669" i="4"/>
  <c r="G2668" i="4" a="1"/>
  <c r="G2668" i="4"/>
  <c r="E2668" i="4" a="1"/>
  <c r="E2668" i="4"/>
  <c r="G2667" i="4" a="1"/>
  <c r="G2667" i="4"/>
  <c r="E2667" i="4" a="1"/>
  <c r="E2667" i="4"/>
  <c r="G2666" i="4" a="1"/>
  <c r="G2666" i="4"/>
  <c r="G2665" i="4" a="1"/>
  <c r="G2665" i="4"/>
  <c r="E2665" i="4" a="1"/>
  <c r="E2665" i="4"/>
  <c r="G2664" i="4" a="1"/>
  <c r="G2664" i="4"/>
  <c r="E2664" i="4" a="1"/>
  <c r="E2664" i="4"/>
  <c r="G2663" i="4" a="1"/>
  <c r="G2663" i="4"/>
  <c r="E2663" i="4" a="1"/>
  <c r="E2663" i="4"/>
  <c r="G2662" i="4" a="1"/>
  <c r="G2662" i="4"/>
  <c r="G2661" i="4" a="1"/>
  <c r="G2661" i="4"/>
  <c r="E2661" i="4" a="1"/>
  <c r="E2661" i="4"/>
  <c r="G2660" i="4" a="1"/>
  <c r="G2660" i="4"/>
  <c r="E2660" i="4" a="1"/>
  <c r="E2660" i="4"/>
  <c r="G2659" i="4" a="1"/>
  <c r="G2659" i="4"/>
  <c r="E2659" i="4" a="1"/>
  <c r="E2659" i="4"/>
  <c r="G2658" i="4" a="1"/>
  <c r="G2658" i="4"/>
  <c r="G2657" i="4" a="1"/>
  <c r="G2657" i="4"/>
  <c r="E2657" i="4" a="1"/>
  <c r="E2657" i="4"/>
  <c r="G2656" i="4" a="1"/>
  <c r="G2656" i="4"/>
  <c r="E2656" i="4" a="1"/>
  <c r="E2656" i="4"/>
  <c r="G2655" i="4" a="1"/>
  <c r="G2655" i="4"/>
  <c r="E2655" i="4" a="1"/>
  <c r="E2655" i="4"/>
  <c r="G2654" i="4" a="1"/>
  <c r="G2654" i="4"/>
  <c r="G2653" i="4" a="1"/>
  <c r="G2653" i="4"/>
  <c r="E2653" i="4" a="1"/>
  <c r="E2653" i="4"/>
  <c r="G2652" i="4" a="1"/>
  <c r="G2652" i="4"/>
  <c r="E2652" i="4" a="1"/>
  <c r="E2652" i="4"/>
  <c r="G2651" i="4" a="1"/>
  <c r="G2651" i="4"/>
  <c r="E2651" i="4" a="1"/>
  <c r="E2651" i="4"/>
  <c r="G2650" i="4" a="1"/>
  <c r="G2650" i="4"/>
  <c r="G2649" i="4" a="1"/>
  <c r="G2649" i="4"/>
  <c r="E2649" i="4" a="1"/>
  <c r="E2649" i="4"/>
  <c r="G2648" i="4" a="1"/>
  <c r="G2648" i="4"/>
  <c r="E2648" i="4" a="1"/>
  <c r="E2648" i="4"/>
  <c r="G2647" i="4" a="1"/>
  <c r="G2647" i="4"/>
  <c r="E2647" i="4" a="1"/>
  <c r="E2647" i="4"/>
  <c r="G2646" i="4" a="1"/>
  <c r="G2646" i="4"/>
  <c r="G2645" i="4" a="1"/>
  <c r="G2645" i="4"/>
  <c r="E2645" i="4" a="1"/>
  <c r="E2645" i="4"/>
  <c r="G2644" i="4" a="1"/>
  <c r="G2644" i="4"/>
  <c r="E2644" i="4" a="1"/>
  <c r="E2644" i="4"/>
  <c r="G2643" i="4" a="1"/>
  <c r="G2643" i="4"/>
  <c r="E2643" i="4" a="1"/>
  <c r="E2643" i="4"/>
  <c r="G2642" i="4" a="1"/>
  <c r="G2642" i="4"/>
  <c r="G2641" i="4" a="1"/>
  <c r="G2641" i="4"/>
  <c r="E2641" i="4" a="1"/>
  <c r="E2641" i="4"/>
  <c r="G2640" i="4" a="1"/>
  <c r="G2640" i="4"/>
  <c r="E2640" i="4" a="1"/>
  <c r="E2640" i="4"/>
  <c r="G2639" i="4" a="1"/>
  <c r="G2639" i="4"/>
  <c r="E2639" i="4" a="1"/>
  <c r="E2639" i="4"/>
  <c r="G2638" i="4" a="1"/>
  <c r="G2638" i="4"/>
  <c r="G2636" i="4" a="1"/>
  <c r="G2636" i="4"/>
  <c r="E2636" i="4" a="1"/>
  <c r="E2636" i="4"/>
  <c r="G2635" i="4" a="1"/>
  <c r="G2635" i="4"/>
  <c r="E2635" i="4" a="1"/>
  <c r="E2635" i="4"/>
  <c r="G2634" i="4" a="1"/>
  <c r="G2634" i="4"/>
  <c r="E2634" i="4" a="1"/>
  <c r="E2634" i="4"/>
  <c r="G2633" i="4" a="1"/>
  <c r="G2633" i="4"/>
  <c r="E2633" i="4" a="1"/>
  <c r="E2633" i="4"/>
  <c r="G2632" i="4" a="1"/>
  <c r="G2632" i="4"/>
  <c r="G2631" i="4" a="1"/>
  <c r="G2631" i="4"/>
  <c r="E2631" i="4" a="1"/>
  <c r="E2631" i="4"/>
  <c r="G2630" i="4" a="1"/>
  <c r="G2630" i="4"/>
  <c r="E2630" i="4" a="1"/>
  <c r="E2630" i="4"/>
  <c r="G2629" i="4" a="1"/>
  <c r="G2629" i="4"/>
  <c r="E2629" i="4" a="1"/>
  <c r="E2629" i="4"/>
  <c r="G2628" i="4" a="1"/>
  <c r="G2628" i="4"/>
  <c r="E2628" i="4" a="1"/>
  <c r="E2628" i="4"/>
  <c r="G2627" i="4" a="1"/>
  <c r="G2627" i="4"/>
  <c r="G2626" i="4" a="1"/>
  <c r="G2626" i="4"/>
  <c r="E2626" i="4" a="1"/>
  <c r="E2626" i="4"/>
  <c r="G2625" i="4" a="1"/>
  <c r="G2625" i="4"/>
  <c r="E2625" i="4" a="1"/>
  <c r="E2625" i="4"/>
  <c r="G2624" i="4" a="1"/>
  <c r="G2624" i="4"/>
  <c r="E2624" i="4" a="1"/>
  <c r="E2624" i="4"/>
  <c r="G2623" i="4" a="1"/>
  <c r="G2623" i="4"/>
  <c r="E2623" i="4" a="1"/>
  <c r="E2623" i="4"/>
  <c r="G2622" i="4" a="1"/>
  <c r="G2622" i="4"/>
  <c r="G2621" i="4" a="1"/>
  <c r="G2621" i="4"/>
  <c r="E2621" i="4" a="1"/>
  <c r="E2621" i="4"/>
  <c r="G2620" i="4" a="1"/>
  <c r="G2620" i="4"/>
  <c r="E2620" i="4" a="1"/>
  <c r="E2620" i="4"/>
  <c r="G2619" i="4" a="1"/>
  <c r="G2619" i="4"/>
  <c r="E2619" i="4" a="1"/>
  <c r="E2619" i="4"/>
  <c r="G2618" i="4" a="1"/>
  <c r="G2618" i="4"/>
  <c r="E2618" i="4" a="1"/>
  <c r="E2618" i="4"/>
  <c r="G2617" i="4" a="1"/>
  <c r="G2617" i="4"/>
  <c r="G2616" i="4" a="1"/>
  <c r="G2616" i="4"/>
  <c r="E2616" i="4" a="1"/>
  <c r="E2616" i="4"/>
  <c r="G2615" i="4" a="1"/>
  <c r="G2615" i="4"/>
  <c r="E2615" i="4" a="1"/>
  <c r="E2615" i="4"/>
  <c r="G2614" i="4" a="1"/>
  <c r="G2614" i="4"/>
  <c r="E2614" i="4" a="1"/>
  <c r="E2614" i="4"/>
  <c r="G2613" i="4" a="1"/>
  <c r="G2613" i="4"/>
  <c r="E2613" i="4" a="1"/>
  <c r="E2613" i="4"/>
  <c r="G2612" i="4" a="1"/>
  <c r="G2612" i="4"/>
  <c r="G2611" i="4" a="1"/>
  <c r="G2611" i="4"/>
  <c r="E2611" i="4" a="1"/>
  <c r="E2611" i="4"/>
  <c r="G2610" i="4" a="1"/>
  <c r="G2610" i="4"/>
  <c r="E2610" i="4" a="1"/>
  <c r="E2610" i="4"/>
  <c r="G2609" i="4" a="1"/>
  <c r="G2609" i="4"/>
  <c r="E2609" i="4" a="1"/>
  <c r="E2609" i="4"/>
  <c r="G2608" i="4" a="1"/>
  <c r="G2608" i="4"/>
  <c r="E2608" i="4" a="1"/>
  <c r="E2608" i="4"/>
  <c r="G2607" i="4" a="1"/>
  <c r="G2607" i="4"/>
  <c r="G2606" i="4" a="1"/>
  <c r="G2606" i="4"/>
  <c r="E2606" i="4" a="1"/>
  <c r="E2606" i="4"/>
  <c r="G2605" i="4" a="1"/>
  <c r="G2605" i="4"/>
  <c r="E2605" i="4" a="1"/>
  <c r="E2605" i="4"/>
  <c r="G2604" i="4" a="1"/>
  <c r="G2604" i="4"/>
  <c r="E2604" i="4" a="1"/>
  <c r="E2604" i="4"/>
  <c r="G2603" i="4" a="1"/>
  <c r="G2603" i="4"/>
  <c r="F2603" i="4"/>
  <c r="E2603" i="4" a="1"/>
  <c r="E2603" i="4"/>
  <c r="G2602" i="4" a="1"/>
  <c r="G2602" i="4"/>
  <c r="F2602" i="4"/>
  <c r="E2602" i="4" a="1"/>
  <c r="E2602" i="4"/>
  <c r="G2601" i="4" a="1"/>
  <c r="G2601" i="4"/>
  <c r="G2600" i="4" a="1"/>
  <c r="G2600" i="4"/>
  <c r="E2600" i="4" a="1"/>
  <c r="E2600" i="4"/>
  <c r="G2599" i="4" a="1"/>
  <c r="G2599" i="4"/>
  <c r="E2599" i="4" a="1"/>
  <c r="E2599" i="4"/>
  <c r="G2598" i="4" a="1"/>
  <c r="G2598" i="4"/>
  <c r="E2598" i="4" a="1"/>
  <c r="E2598" i="4"/>
  <c r="G2597" i="4" a="1"/>
  <c r="G2597" i="4"/>
  <c r="F2597" i="4"/>
  <c r="E2597" i="4" a="1"/>
  <c r="E2597" i="4"/>
  <c r="G2596" i="4" a="1"/>
  <c r="G2596" i="4"/>
  <c r="F2596" i="4"/>
  <c r="E2596" i="4" a="1"/>
  <c r="E2596" i="4"/>
  <c r="G2595" i="4" a="1"/>
  <c r="G2595" i="4"/>
  <c r="G2594" i="4" a="1"/>
  <c r="G2594" i="4"/>
  <c r="E2594" i="4" a="1"/>
  <c r="E2594" i="4"/>
  <c r="G2593" i="4" a="1"/>
  <c r="G2593" i="4"/>
  <c r="E2593" i="4" a="1"/>
  <c r="E2593" i="4"/>
  <c r="G2592" i="4" a="1"/>
  <c r="G2592" i="4"/>
  <c r="E2592" i="4" a="1"/>
  <c r="E2592" i="4"/>
  <c r="G2591" i="4" a="1"/>
  <c r="G2591" i="4"/>
  <c r="F2591" i="4"/>
  <c r="E2591" i="4" a="1"/>
  <c r="E2591" i="4"/>
  <c r="G2590" i="4" a="1"/>
  <c r="G2590" i="4"/>
  <c r="F2590" i="4"/>
  <c r="E2590" i="4" a="1"/>
  <c r="E2590" i="4"/>
  <c r="G2589" i="4" a="1"/>
  <c r="G2589" i="4"/>
  <c r="G2588" i="4" a="1"/>
  <c r="G2588" i="4"/>
  <c r="E2588" i="4" a="1"/>
  <c r="E2588" i="4"/>
  <c r="G2587" i="4" a="1"/>
  <c r="G2587" i="4"/>
  <c r="E2587" i="4" a="1"/>
  <c r="E2587" i="4"/>
  <c r="G2586" i="4" a="1"/>
  <c r="G2586" i="4"/>
  <c r="E2586" i="4" a="1"/>
  <c r="E2586" i="4"/>
  <c r="G2585" i="4" a="1"/>
  <c r="G2585" i="4"/>
  <c r="F2585" i="4"/>
  <c r="E2585" i="4" a="1"/>
  <c r="E2585" i="4"/>
  <c r="G2584" i="4" a="1"/>
  <c r="G2584" i="4"/>
  <c r="F2584" i="4"/>
  <c r="E2584" i="4" a="1"/>
  <c r="E2584" i="4"/>
  <c r="G2582" i="4" a="1"/>
  <c r="G2582" i="4"/>
  <c r="E2582" i="4" a="1"/>
  <c r="E2582" i="4"/>
  <c r="G2581" i="4" a="1"/>
  <c r="G2581" i="4"/>
  <c r="E2581" i="4" a="1"/>
  <c r="E2581" i="4"/>
  <c r="G2580" i="4" a="1"/>
  <c r="G2580" i="4"/>
  <c r="E2580" i="4" a="1"/>
  <c r="E2580" i="4"/>
  <c r="G2579" i="4" a="1"/>
  <c r="G2579" i="4"/>
  <c r="F2579" i="4"/>
  <c r="E2579" i="4" a="1"/>
  <c r="E2579" i="4"/>
  <c r="G2578" i="4" a="1"/>
  <c r="G2578" i="4"/>
  <c r="F2578" i="4"/>
  <c r="E2578" i="4" a="1"/>
  <c r="E2578" i="4"/>
  <c r="G2577" i="4" a="1"/>
  <c r="G2577" i="4"/>
  <c r="G2576" i="4" a="1"/>
  <c r="G2576" i="4"/>
  <c r="E2576" i="4" a="1"/>
  <c r="E2576" i="4"/>
  <c r="G2575" i="4" a="1"/>
  <c r="G2575" i="4"/>
  <c r="E2575" i="4" a="1"/>
  <c r="E2575" i="4"/>
  <c r="G2574" i="4" a="1"/>
  <c r="G2574" i="4"/>
  <c r="E2574" i="4" a="1"/>
  <c r="E2574" i="4"/>
  <c r="G2573" i="4" a="1"/>
  <c r="G2573" i="4"/>
  <c r="F2573" i="4"/>
  <c r="E2573" i="4" a="1"/>
  <c r="E2573" i="4"/>
  <c r="G2572" i="4" a="1"/>
  <c r="G2572" i="4"/>
  <c r="F2572" i="4"/>
  <c r="E2572" i="4" a="1"/>
  <c r="E2572" i="4"/>
  <c r="G2571" i="4" a="1"/>
  <c r="G2571" i="4"/>
  <c r="G2570" i="4" a="1"/>
  <c r="G2570" i="4"/>
  <c r="E2570" i="4" a="1"/>
  <c r="E2570" i="4"/>
  <c r="G2569" i="4" a="1"/>
  <c r="G2569" i="4"/>
  <c r="E2569" i="4" a="1"/>
  <c r="E2569" i="4"/>
  <c r="G2568" i="4" a="1"/>
  <c r="G2568" i="4"/>
  <c r="E2568" i="4" a="1"/>
  <c r="E2568" i="4"/>
  <c r="G2567" i="4" a="1"/>
  <c r="G2567" i="4"/>
  <c r="F2567" i="4"/>
  <c r="E2567" i="4" a="1"/>
  <c r="E2567" i="4"/>
  <c r="G2566" i="4" a="1"/>
  <c r="G2566" i="4"/>
  <c r="G2565" i="4" a="1"/>
  <c r="G2565" i="4"/>
  <c r="E2565" i="4" a="1"/>
  <c r="E2565" i="4"/>
  <c r="G2564" i="4" a="1"/>
  <c r="G2564" i="4"/>
  <c r="E2564" i="4" a="1"/>
  <c r="E2564" i="4"/>
  <c r="G2563" i="4" a="1"/>
  <c r="G2563" i="4"/>
  <c r="E2563" i="4" a="1"/>
  <c r="E2563" i="4"/>
  <c r="G2562" i="4" a="1"/>
  <c r="G2562" i="4"/>
  <c r="F2562" i="4"/>
  <c r="E2562" i="4" a="1"/>
  <c r="E2562" i="4"/>
  <c r="G2561" i="4" a="1"/>
  <c r="G2561" i="4"/>
  <c r="G2560" i="4" a="1"/>
  <c r="G2560" i="4"/>
  <c r="E2560" i="4" a="1"/>
  <c r="E2560" i="4"/>
  <c r="G2559" i="4" a="1"/>
  <c r="G2559" i="4"/>
  <c r="E2559" i="4" a="1"/>
  <c r="E2559" i="4"/>
  <c r="G2558" i="4" a="1"/>
  <c r="G2558" i="4"/>
  <c r="E2558" i="4" a="1"/>
  <c r="E2558" i="4"/>
  <c r="G2557" i="4" a="1"/>
  <c r="G2557" i="4"/>
  <c r="F2557" i="4"/>
  <c r="E2557" i="4" a="1"/>
  <c r="E2557" i="4"/>
  <c r="G2556" i="4" a="1"/>
  <c r="G2556" i="4"/>
  <c r="G2555" i="4" a="1"/>
  <c r="G2555" i="4"/>
  <c r="E2555" i="4" a="1"/>
  <c r="E2555" i="4"/>
  <c r="G2554" i="4" a="1"/>
  <c r="G2554" i="4"/>
  <c r="E2554" i="4" a="1"/>
  <c r="E2554" i="4"/>
  <c r="G2553" i="4" a="1"/>
  <c r="G2553" i="4"/>
  <c r="E2553" i="4" a="1"/>
  <c r="E2553" i="4"/>
  <c r="G2552" i="4" a="1"/>
  <c r="G2552" i="4"/>
  <c r="F2552" i="4"/>
  <c r="E2552" i="4" a="1"/>
  <c r="E2552" i="4"/>
  <c r="G2551" i="4" a="1"/>
  <c r="G2551" i="4"/>
  <c r="G2550" i="4" a="1"/>
  <c r="G2550" i="4"/>
  <c r="E2550" i="4" a="1"/>
  <c r="E2550" i="4"/>
  <c r="G2549" i="4" a="1"/>
  <c r="G2549" i="4"/>
  <c r="E2549" i="4" a="1"/>
  <c r="E2549" i="4"/>
  <c r="G2548" i="4" a="1"/>
  <c r="G2548" i="4"/>
  <c r="E2548" i="4" a="1"/>
  <c r="E2548" i="4"/>
  <c r="G2547" i="4" a="1"/>
  <c r="G2547" i="4"/>
  <c r="F2547" i="4"/>
  <c r="E2547" i="4" a="1"/>
  <c r="E2547" i="4"/>
  <c r="G2546" i="4" a="1"/>
  <c r="G2546" i="4"/>
  <c r="G2545" i="4" a="1"/>
  <c r="G2545" i="4"/>
  <c r="E2545" i="4" a="1"/>
  <c r="E2545" i="4"/>
  <c r="G2544" i="4" a="1"/>
  <c r="G2544" i="4"/>
  <c r="E2544" i="4" a="1"/>
  <c r="E2544" i="4"/>
  <c r="G2543" i="4" a="1"/>
  <c r="G2543" i="4"/>
  <c r="E2543" i="4" a="1"/>
  <c r="E2543" i="4"/>
  <c r="G2542" i="4" a="1"/>
  <c r="G2542" i="4"/>
  <c r="F2542" i="4"/>
  <c r="E2542" i="4" a="1"/>
  <c r="E2542" i="4"/>
  <c r="G2541" i="4" a="1"/>
  <c r="G2541" i="4"/>
  <c r="G2540" i="4" a="1"/>
  <c r="G2540" i="4"/>
  <c r="E2540" i="4" a="1"/>
  <c r="E2540" i="4"/>
  <c r="G2539" i="4" a="1"/>
  <c r="G2539" i="4"/>
  <c r="E2539" i="4" a="1"/>
  <c r="E2539" i="4"/>
  <c r="G2538" i="4" a="1"/>
  <c r="G2538" i="4"/>
  <c r="E2538" i="4" a="1"/>
  <c r="E2538" i="4"/>
  <c r="G2537" i="4" a="1"/>
  <c r="G2537" i="4"/>
  <c r="F2537" i="4"/>
  <c r="E2537" i="4" a="1"/>
  <c r="E2537" i="4"/>
  <c r="G2536" i="4" a="1"/>
  <c r="G2536" i="4"/>
  <c r="G2535" i="4" a="1"/>
  <c r="G2535" i="4"/>
  <c r="E2535" i="4" a="1"/>
  <c r="E2535" i="4"/>
  <c r="G2534" i="4" a="1"/>
  <c r="G2534" i="4"/>
  <c r="E2534" i="4" a="1"/>
  <c r="E2534" i="4"/>
  <c r="G2533" i="4" a="1"/>
  <c r="G2533" i="4"/>
  <c r="E2533" i="4" a="1"/>
  <c r="E2533" i="4"/>
  <c r="G2532" i="4" a="1"/>
  <c r="G2532" i="4"/>
  <c r="F2532" i="4"/>
  <c r="E2532" i="4" a="1"/>
  <c r="E2532" i="4"/>
  <c r="G2531" i="4" a="1"/>
  <c r="G2531" i="4"/>
  <c r="G2530" i="4" a="1"/>
  <c r="G2530" i="4"/>
  <c r="E2530" i="4" a="1"/>
  <c r="E2530" i="4"/>
  <c r="G2529" i="4" a="1"/>
  <c r="G2529" i="4"/>
  <c r="E2529" i="4" a="1"/>
  <c r="E2529" i="4"/>
  <c r="G2528" i="4" a="1"/>
  <c r="G2528" i="4"/>
  <c r="E2528" i="4" a="1"/>
  <c r="E2528" i="4"/>
  <c r="G2527" i="4" a="1"/>
  <c r="G2527" i="4"/>
  <c r="E2527" i="4" a="1"/>
  <c r="E2527" i="4"/>
  <c r="G2526" i="4" a="1"/>
  <c r="G2526" i="4"/>
  <c r="G2524" i="4" a="1"/>
  <c r="G2524" i="4"/>
  <c r="E2524" i="4" a="1"/>
  <c r="E2524" i="4"/>
  <c r="G2523" i="4" a="1"/>
  <c r="G2523" i="4"/>
  <c r="E2523" i="4" a="1"/>
  <c r="E2523" i="4"/>
  <c r="G2522" i="4" a="1"/>
  <c r="G2522" i="4"/>
  <c r="E2522" i="4" a="1"/>
  <c r="E2522" i="4"/>
  <c r="G2521" i="4" a="1"/>
  <c r="G2521" i="4"/>
  <c r="E2521" i="4" a="1"/>
  <c r="E2521" i="4"/>
  <c r="G2520" i="4" a="1"/>
  <c r="G2520" i="4"/>
  <c r="G2519" i="4" a="1"/>
  <c r="G2519" i="4"/>
  <c r="E2519" i="4" a="1"/>
  <c r="E2519" i="4"/>
  <c r="G2518" i="4" a="1"/>
  <c r="G2518" i="4"/>
  <c r="E2518" i="4" a="1"/>
  <c r="E2518" i="4"/>
  <c r="G2517" i="4" a="1"/>
  <c r="G2517" i="4"/>
  <c r="E2517" i="4" a="1"/>
  <c r="E2517" i="4"/>
  <c r="G2516" i="4" a="1"/>
  <c r="G2516" i="4"/>
  <c r="E2516" i="4" a="1"/>
  <c r="E2516" i="4"/>
  <c r="G2515" i="4" a="1"/>
  <c r="G2515" i="4"/>
  <c r="G2514" i="4" a="1"/>
  <c r="G2514" i="4"/>
  <c r="E2514" i="4" a="1"/>
  <c r="E2514" i="4"/>
  <c r="G2513" i="4" a="1"/>
  <c r="G2513" i="4"/>
  <c r="E2513" i="4" a="1"/>
  <c r="E2513" i="4"/>
  <c r="G2512" i="4" a="1"/>
  <c r="G2512" i="4"/>
  <c r="E2512" i="4" a="1"/>
  <c r="E2512" i="4"/>
  <c r="G2511" i="4" a="1"/>
  <c r="G2511" i="4"/>
  <c r="E2511" i="4" a="1"/>
  <c r="E2511" i="4"/>
  <c r="G2510" i="4" a="1"/>
  <c r="G2510" i="4"/>
  <c r="G2509" i="4" a="1"/>
  <c r="G2509" i="4"/>
  <c r="E2509" i="4" a="1"/>
  <c r="E2509" i="4"/>
  <c r="G2508" i="4" a="1"/>
  <c r="G2508" i="4"/>
  <c r="E2508" i="4" a="1"/>
  <c r="E2508" i="4"/>
  <c r="G2507" i="4" a="1"/>
  <c r="G2507" i="4"/>
  <c r="E2507" i="4" a="1"/>
  <c r="E2507" i="4"/>
  <c r="G2506" i="4" a="1"/>
  <c r="G2506" i="4"/>
  <c r="E2506" i="4" a="1"/>
  <c r="E2506" i="4"/>
  <c r="G2505" i="4" a="1"/>
  <c r="G2505" i="4"/>
  <c r="G2504" i="4" a="1"/>
  <c r="G2504" i="4"/>
  <c r="E2504" i="4" a="1"/>
  <c r="E2504" i="4"/>
  <c r="G2503" i="4" a="1"/>
  <c r="G2503" i="4"/>
  <c r="E2503" i="4" a="1"/>
  <c r="E2503" i="4"/>
  <c r="G2502" i="4" a="1"/>
  <c r="G2502" i="4"/>
  <c r="E2502" i="4" a="1"/>
  <c r="E2502" i="4"/>
  <c r="G2501" i="4" a="1"/>
  <c r="G2501" i="4"/>
  <c r="E2501" i="4" a="1"/>
  <c r="E2501" i="4"/>
  <c r="G2500" i="4" a="1"/>
  <c r="G2500" i="4"/>
  <c r="G2499" i="4" a="1"/>
  <c r="G2499" i="4"/>
  <c r="E2499" i="4" a="1"/>
  <c r="E2499" i="4"/>
  <c r="G2498" i="4" a="1"/>
  <c r="G2498" i="4"/>
  <c r="E2498" i="4" a="1"/>
  <c r="E2498" i="4"/>
  <c r="G2497" i="4" a="1"/>
  <c r="G2497" i="4"/>
  <c r="E2497" i="4" a="1"/>
  <c r="E2497" i="4"/>
  <c r="G2496" i="4" a="1"/>
  <c r="G2496" i="4"/>
  <c r="E2496" i="4" a="1"/>
  <c r="E2496" i="4"/>
  <c r="G2495" i="4" a="1"/>
  <c r="G2495" i="4"/>
  <c r="G2494" i="4" a="1"/>
  <c r="G2494" i="4"/>
  <c r="E2494" i="4" a="1"/>
  <c r="E2494" i="4"/>
  <c r="G2493" i="4" a="1"/>
  <c r="G2493" i="4"/>
  <c r="E2493" i="4" a="1"/>
  <c r="E2493" i="4"/>
  <c r="G2492" i="4" a="1"/>
  <c r="G2492" i="4"/>
  <c r="E2492" i="4" a="1"/>
  <c r="E2492" i="4"/>
  <c r="G2491" i="4" a="1"/>
  <c r="G2491" i="4"/>
  <c r="E2491" i="4" a="1"/>
  <c r="E2491" i="4"/>
  <c r="G2490" i="4" a="1"/>
  <c r="G2490" i="4"/>
  <c r="G2489" i="4" a="1"/>
  <c r="G2489" i="4"/>
  <c r="E2489" i="4" a="1"/>
  <c r="E2489" i="4"/>
  <c r="G2488" i="4" a="1"/>
  <c r="G2488" i="4"/>
  <c r="E2488" i="4" a="1"/>
  <c r="E2488" i="4"/>
  <c r="G2487" i="4" a="1"/>
  <c r="G2487" i="4"/>
  <c r="E2487" i="4" a="1"/>
  <c r="E2487" i="4"/>
  <c r="G2486" i="4" a="1"/>
  <c r="G2486" i="4"/>
  <c r="E2486" i="4" a="1"/>
  <c r="E2486" i="4"/>
  <c r="G2485" i="4" a="1"/>
  <c r="G2485" i="4"/>
  <c r="G2484" i="4" a="1"/>
  <c r="G2484" i="4"/>
  <c r="E2484" i="4" a="1"/>
  <c r="E2484" i="4"/>
  <c r="G2483" i="4" a="1"/>
  <c r="G2483" i="4"/>
  <c r="E2483" i="4" a="1"/>
  <c r="E2483" i="4"/>
  <c r="G2482" i="4" a="1"/>
  <c r="G2482" i="4"/>
  <c r="E2482" i="4" a="1"/>
  <c r="E2482" i="4"/>
  <c r="G2481" i="4" a="1"/>
  <c r="G2481" i="4"/>
  <c r="E2481" i="4" a="1"/>
  <c r="E2481" i="4"/>
  <c r="G2480" i="4" a="1"/>
  <c r="G2480" i="4"/>
  <c r="G2479" i="4" a="1"/>
  <c r="G2479" i="4"/>
  <c r="E2479" i="4" a="1"/>
  <c r="E2479" i="4"/>
  <c r="G2478" i="4" a="1"/>
  <c r="G2478" i="4"/>
  <c r="E2478" i="4" a="1"/>
  <c r="E2478" i="4"/>
  <c r="G2477" i="4" a="1"/>
  <c r="G2477" i="4"/>
  <c r="E2477" i="4" a="1"/>
  <c r="E2477" i="4"/>
  <c r="G2476" i="4" a="1"/>
  <c r="G2476" i="4"/>
  <c r="E2476" i="4" a="1"/>
  <c r="E2476" i="4"/>
  <c r="G2475" i="4" a="1"/>
  <c r="G2475" i="4"/>
  <c r="G2474" i="4" a="1"/>
  <c r="G2474" i="4"/>
  <c r="E2474" i="4" a="1"/>
  <c r="E2474" i="4"/>
  <c r="G2473" i="4" a="1"/>
  <c r="G2473" i="4"/>
  <c r="E2473" i="4" a="1"/>
  <c r="E2473" i="4"/>
  <c r="G2472" i="4" a="1"/>
  <c r="G2472" i="4"/>
  <c r="E2472" i="4" a="1"/>
  <c r="E2472" i="4"/>
  <c r="G2471" i="4" a="1"/>
  <c r="G2471" i="4"/>
  <c r="E2471" i="4" a="1"/>
  <c r="E2471" i="4"/>
  <c r="G2470" i="4" a="1"/>
  <c r="G2470" i="4"/>
  <c r="G2469" i="4" a="1"/>
  <c r="G2469" i="4"/>
  <c r="E2469" i="4" a="1"/>
  <c r="E2469" i="4"/>
  <c r="G2468" i="4" a="1"/>
  <c r="G2468" i="4"/>
  <c r="E2468" i="4" a="1"/>
  <c r="E2468" i="4"/>
  <c r="G2467" i="4" a="1"/>
  <c r="G2467" i="4"/>
  <c r="E2467" i="4" a="1"/>
  <c r="E2467" i="4"/>
  <c r="G2466" i="4" a="1"/>
  <c r="G2466" i="4"/>
  <c r="E2466" i="4" a="1"/>
  <c r="E2466" i="4"/>
  <c r="G2465" i="4" a="1"/>
  <c r="G2465" i="4"/>
  <c r="G2464" i="4" a="1"/>
  <c r="G2464" i="4"/>
  <c r="E2464" i="4" a="1"/>
  <c r="E2464" i="4"/>
  <c r="G2463" i="4" a="1"/>
  <c r="G2463" i="4"/>
  <c r="E2463" i="4" a="1"/>
  <c r="E2463" i="4"/>
  <c r="G2462" i="4" a="1"/>
  <c r="G2462" i="4"/>
  <c r="E2462" i="4" a="1"/>
  <c r="E2462" i="4"/>
  <c r="G2461" i="4" a="1"/>
  <c r="G2461" i="4"/>
  <c r="E2461" i="4" a="1"/>
  <c r="E2461" i="4"/>
  <c r="G2460" i="4" a="1"/>
  <c r="G2460" i="4"/>
  <c r="G2459" i="4" a="1"/>
  <c r="G2459" i="4"/>
  <c r="E2459" i="4" a="1"/>
  <c r="E2459" i="4"/>
  <c r="G2458" i="4" a="1"/>
  <c r="G2458" i="4"/>
  <c r="E2458" i="4" a="1"/>
  <c r="E2458" i="4"/>
  <c r="G2457" i="4" a="1"/>
  <c r="G2457" i="4"/>
  <c r="E2457" i="4" a="1"/>
  <c r="E2457" i="4"/>
  <c r="G2456" i="4" a="1"/>
  <c r="G2456" i="4"/>
  <c r="E2456" i="4" a="1"/>
  <c r="E2456" i="4"/>
  <c r="G2455" i="4" a="1"/>
  <c r="G2455" i="4"/>
  <c r="G2454" i="4" a="1"/>
  <c r="G2454" i="4"/>
  <c r="E2454" i="4" a="1"/>
  <c r="E2454" i="4"/>
  <c r="G2453" i="4" a="1"/>
  <c r="G2453" i="4"/>
  <c r="E2453" i="4" a="1"/>
  <c r="E2453" i="4"/>
  <c r="G2452" i="4" a="1"/>
  <c r="G2452" i="4"/>
  <c r="E2452" i="4" a="1"/>
  <c r="E2452" i="4"/>
  <c r="G2451" i="4" a="1"/>
  <c r="G2451" i="4"/>
  <c r="E2451" i="4" a="1"/>
  <c r="E2451" i="4"/>
  <c r="G2450" i="4" a="1"/>
  <c r="G2450" i="4"/>
  <c r="G2449" i="4" a="1"/>
  <c r="G2449" i="4"/>
  <c r="E2449" i="4" a="1"/>
  <c r="E2449" i="4"/>
  <c r="G2448" i="4" a="1"/>
  <c r="G2448" i="4"/>
  <c r="E2448" i="4" a="1"/>
  <c r="E2448" i="4"/>
  <c r="G2447" i="4" a="1"/>
  <c r="G2447" i="4"/>
  <c r="E2447" i="4" a="1"/>
  <c r="E2447" i="4"/>
  <c r="G2446" i="4" a="1"/>
  <c r="G2446" i="4"/>
  <c r="E2446" i="4" a="1"/>
  <c r="E2446" i="4"/>
  <c r="G2445" i="4" a="1"/>
  <c r="G2445" i="4"/>
  <c r="G2444" i="4" a="1"/>
  <c r="G2444" i="4"/>
  <c r="E2444" i="4" a="1"/>
  <c r="E2444" i="4"/>
  <c r="G2443" i="4" a="1"/>
  <c r="G2443" i="4"/>
  <c r="E2443" i="4" a="1"/>
  <c r="E2443" i="4"/>
  <c r="G2442" i="4" a="1"/>
  <c r="G2442" i="4"/>
  <c r="E2442" i="4" a="1"/>
  <c r="E2442" i="4"/>
  <c r="G2441" i="4" a="1"/>
  <c r="G2441" i="4"/>
  <c r="E2441" i="4" a="1"/>
  <c r="E2441" i="4"/>
  <c r="G2440" i="4" a="1"/>
  <c r="G2440" i="4"/>
  <c r="G2439" i="4" a="1"/>
  <c r="G2439" i="4"/>
  <c r="E2439" i="4" a="1"/>
  <c r="E2439" i="4"/>
  <c r="G2438" i="4" a="1"/>
  <c r="G2438" i="4"/>
  <c r="E2438" i="4" a="1"/>
  <c r="E2438" i="4"/>
  <c r="G2437" i="4" a="1"/>
  <c r="G2437" i="4"/>
  <c r="E2437" i="4" a="1"/>
  <c r="E2437" i="4"/>
  <c r="G2436" i="4" a="1"/>
  <c r="G2436" i="4"/>
  <c r="E2436" i="4" a="1"/>
  <c r="E2436" i="4"/>
  <c r="G2435" i="4" a="1"/>
  <c r="G2435" i="4"/>
  <c r="G2434" i="4" a="1"/>
  <c r="G2434" i="4"/>
  <c r="E2434" i="4" a="1"/>
  <c r="E2434" i="4"/>
  <c r="G2433" i="4" a="1"/>
  <c r="G2433" i="4"/>
  <c r="E2433" i="4" a="1"/>
  <c r="E2433" i="4"/>
  <c r="G2432" i="4" a="1"/>
  <c r="G2432" i="4"/>
  <c r="E2432" i="4" a="1"/>
  <c r="E2432" i="4"/>
  <c r="G2431" i="4" a="1"/>
  <c r="G2431" i="4"/>
  <c r="E2431" i="4" a="1"/>
  <c r="E2431" i="4"/>
  <c r="G2430" i="4" a="1"/>
  <c r="G2430" i="4"/>
  <c r="G2429" i="4" a="1"/>
  <c r="G2429" i="4"/>
  <c r="E2429" i="4" a="1"/>
  <c r="E2429" i="4"/>
  <c r="G2428" i="4" a="1"/>
  <c r="G2428" i="4"/>
  <c r="E2428" i="4" a="1"/>
  <c r="E2428" i="4"/>
  <c r="G2427" i="4" a="1"/>
  <c r="G2427" i="4"/>
  <c r="E2427" i="4" a="1"/>
  <c r="E2427" i="4"/>
  <c r="G2426" i="4" a="1"/>
  <c r="G2426" i="4"/>
  <c r="E2426" i="4" a="1"/>
  <c r="E2426" i="4"/>
  <c r="G2425" i="4" a="1"/>
  <c r="G2425" i="4"/>
  <c r="G2424" i="4" a="1"/>
  <c r="G2424" i="4"/>
  <c r="E2424" i="4" a="1"/>
  <c r="E2424" i="4"/>
  <c r="G2423" i="4" a="1"/>
  <c r="G2423" i="4"/>
  <c r="E2423" i="4" a="1"/>
  <c r="E2423" i="4"/>
  <c r="G2422" i="4" a="1"/>
  <c r="G2422" i="4"/>
  <c r="E2422" i="4" a="1"/>
  <c r="E2422" i="4"/>
  <c r="G2421" i="4" a="1"/>
  <c r="G2421" i="4"/>
  <c r="E2421" i="4" a="1"/>
  <c r="E2421" i="4"/>
  <c r="G2420" i="4" a="1"/>
  <c r="G2420" i="4"/>
  <c r="G2419" i="4" a="1"/>
  <c r="G2419" i="4"/>
  <c r="E2419" i="4" a="1"/>
  <c r="E2419" i="4"/>
  <c r="G2418" i="4" a="1"/>
  <c r="G2418" i="4"/>
  <c r="E2418" i="4" a="1"/>
  <c r="E2418" i="4"/>
  <c r="G2417" i="4" a="1"/>
  <c r="G2417" i="4"/>
  <c r="E2417" i="4" a="1"/>
  <c r="E2417" i="4"/>
  <c r="G2416" i="4" a="1"/>
  <c r="G2416" i="4"/>
  <c r="E2416" i="4" a="1"/>
  <c r="E2416" i="4"/>
  <c r="G2415" i="4" a="1"/>
  <c r="G2415" i="4"/>
  <c r="G2414" i="4" a="1"/>
  <c r="G2414" i="4"/>
  <c r="E2414" i="4" a="1"/>
  <c r="E2414" i="4"/>
  <c r="G2413" i="4" a="1"/>
  <c r="G2413" i="4"/>
  <c r="E2413" i="4" a="1"/>
  <c r="E2413" i="4"/>
  <c r="K2412" i="4"/>
  <c r="G2412" i="4" a="1"/>
  <c r="G2412" i="4"/>
  <c r="E2412" i="4" a="1"/>
  <c r="E2412" i="4"/>
  <c r="G2411" i="4" a="1"/>
  <c r="G2411" i="4"/>
  <c r="E2411" i="4" a="1"/>
  <c r="E2411" i="4"/>
  <c r="G2410" i="4" a="1"/>
  <c r="G2410" i="4"/>
  <c r="G2409" i="4" a="1"/>
  <c r="G2409" i="4"/>
  <c r="E2409" i="4" a="1"/>
  <c r="E2409" i="4"/>
  <c r="G2408" i="4" a="1"/>
  <c r="G2408" i="4"/>
  <c r="E2408" i="4" a="1"/>
  <c r="E2408" i="4"/>
  <c r="G2407" i="4" a="1"/>
  <c r="G2407" i="4"/>
  <c r="E2407" i="4" a="1"/>
  <c r="E2407" i="4"/>
  <c r="G2406" i="4" a="1"/>
  <c r="G2406" i="4"/>
  <c r="E2406" i="4" a="1"/>
  <c r="E2406" i="4"/>
  <c r="G2405" i="4" a="1"/>
  <c r="G2405" i="4"/>
  <c r="G2404" i="4" a="1"/>
  <c r="G2404" i="4"/>
  <c r="E2404" i="4" a="1"/>
  <c r="E2404" i="4"/>
  <c r="G2403" i="4" a="1"/>
  <c r="G2403" i="4"/>
  <c r="E2403" i="4" a="1"/>
  <c r="E2403" i="4"/>
  <c r="G2402" i="4" a="1"/>
  <c r="G2402" i="4"/>
  <c r="E2402" i="4" a="1"/>
  <c r="E2402" i="4"/>
  <c r="G2401" i="4" a="1"/>
  <c r="G2401" i="4"/>
  <c r="E2401" i="4" a="1"/>
  <c r="E2401" i="4"/>
  <c r="G2400" i="4" a="1"/>
  <c r="G2400" i="4"/>
  <c r="G2399" i="4" a="1"/>
  <c r="G2399" i="4"/>
  <c r="E2399" i="4" a="1"/>
  <c r="E2399" i="4"/>
  <c r="G2398" i="4" a="1"/>
  <c r="G2398" i="4"/>
  <c r="E2398" i="4" a="1"/>
  <c r="E2398" i="4"/>
  <c r="G2397" i="4" a="1"/>
  <c r="G2397" i="4"/>
  <c r="E2397" i="4" a="1"/>
  <c r="E2397" i="4"/>
  <c r="G2396" i="4" a="1"/>
  <c r="G2396" i="4"/>
  <c r="E2396" i="4" a="1"/>
  <c r="E2396" i="4"/>
  <c r="G2395" i="4" a="1"/>
  <c r="G2395" i="4"/>
  <c r="G2394" i="4" a="1"/>
  <c r="G2394" i="4"/>
  <c r="E2394" i="4" a="1"/>
  <c r="E2394" i="4"/>
  <c r="G2393" i="4" a="1"/>
  <c r="G2393" i="4"/>
  <c r="E2393" i="4" a="1"/>
  <c r="E2393" i="4"/>
  <c r="G2392" i="4" a="1"/>
  <c r="G2392" i="4"/>
  <c r="E2392" i="4" a="1"/>
  <c r="E2392" i="4"/>
  <c r="G2391" i="4" a="1"/>
  <c r="G2391" i="4"/>
  <c r="E2391" i="4" a="1"/>
  <c r="E2391" i="4"/>
  <c r="G2390" i="4" a="1"/>
  <c r="G2390" i="4"/>
  <c r="G2388" i="4" a="1"/>
  <c r="G2388" i="4"/>
  <c r="E2388" i="4" a="1"/>
  <c r="E2388" i="4"/>
  <c r="G2387" i="4" a="1"/>
  <c r="G2387" i="4"/>
  <c r="E2387" i="4" a="1"/>
  <c r="E2387" i="4"/>
  <c r="G2386" i="4" a="1"/>
  <c r="G2386" i="4"/>
  <c r="E2386" i="4" a="1"/>
  <c r="E2386" i="4"/>
  <c r="G2385" i="4" a="1"/>
  <c r="G2385" i="4"/>
  <c r="E2385" i="4" a="1"/>
  <c r="E2385" i="4"/>
  <c r="G2384" i="4" a="1"/>
  <c r="G2384" i="4"/>
  <c r="G2383" i="4" a="1"/>
  <c r="G2383" i="4"/>
  <c r="E2383" i="4" a="1"/>
  <c r="E2383" i="4"/>
  <c r="G2382" i="4" a="1"/>
  <c r="G2382" i="4"/>
  <c r="E2382" i="4" a="1"/>
  <c r="E2382" i="4"/>
  <c r="G2381" i="4" a="1"/>
  <c r="G2381" i="4"/>
  <c r="E2381" i="4" a="1"/>
  <c r="E2381" i="4"/>
  <c r="G2380" i="4" a="1"/>
  <c r="G2380" i="4"/>
  <c r="E2380" i="4" a="1"/>
  <c r="E2380" i="4"/>
  <c r="G2379" i="4" a="1"/>
  <c r="G2379" i="4"/>
  <c r="G2378" i="4" a="1"/>
  <c r="G2378" i="4"/>
  <c r="E2378" i="4" a="1"/>
  <c r="E2378" i="4"/>
  <c r="G2377" i="4" a="1"/>
  <c r="G2377" i="4"/>
  <c r="E2377" i="4" a="1"/>
  <c r="E2377" i="4"/>
  <c r="G2376" i="4" a="1"/>
  <c r="G2376" i="4"/>
  <c r="E2376" i="4" a="1"/>
  <c r="E2376" i="4"/>
  <c r="G2375" i="4" a="1"/>
  <c r="G2375" i="4"/>
  <c r="E2375" i="4" a="1"/>
  <c r="E2375" i="4"/>
  <c r="G2374" i="4" a="1"/>
  <c r="G2374" i="4"/>
  <c r="G2373" i="4" a="1"/>
  <c r="G2373" i="4"/>
  <c r="E2373" i="4" a="1"/>
  <c r="E2373" i="4"/>
  <c r="G2372" i="4" a="1"/>
  <c r="G2372" i="4"/>
  <c r="E2372" i="4" a="1"/>
  <c r="E2372" i="4"/>
  <c r="G2371" i="4" a="1"/>
  <c r="G2371" i="4"/>
  <c r="E2371" i="4" a="1"/>
  <c r="E2371" i="4"/>
  <c r="G2370" i="4" a="1"/>
  <c r="G2370" i="4"/>
  <c r="E2370" i="4" a="1"/>
  <c r="E2370" i="4"/>
  <c r="G2369" i="4" a="1"/>
  <c r="G2369" i="4"/>
  <c r="G2367" i="4" a="1"/>
  <c r="G2367" i="4"/>
  <c r="E2367" i="4" a="1"/>
  <c r="E2367" i="4"/>
  <c r="G2366" i="4" a="1"/>
  <c r="G2366" i="4"/>
  <c r="E2366" i="4" a="1"/>
  <c r="E2366" i="4"/>
  <c r="G2365" i="4" a="1"/>
  <c r="G2365" i="4"/>
  <c r="E2365" i="4" a="1"/>
  <c r="E2365" i="4"/>
  <c r="G2364" i="4" a="1"/>
  <c r="G2364" i="4"/>
  <c r="G2363" i="4" a="1"/>
  <c r="G2363" i="4"/>
  <c r="E2363" i="4" a="1"/>
  <c r="E2363" i="4"/>
  <c r="G2362" i="4" a="1"/>
  <c r="G2362" i="4"/>
  <c r="E2362" i="4" a="1"/>
  <c r="E2362" i="4"/>
  <c r="G2361" i="4" a="1"/>
  <c r="G2361" i="4"/>
  <c r="E2361" i="4" a="1"/>
  <c r="E2361" i="4"/>
  <c r="G2360" i="4" a="1"/>
  <c r="G2360" i="4"/>
  <c r="E2360" i="4" a="1"/>
  <c r="E2360" i="4"/>
  <c r="G2359" i="4" a="1"/>
  <c r="G2359" i="4"/>
  <c r="G2357" i="4" a="1"/>
  <c r="G2357" i="4"/>
  <c r="E2357" i="4" a="1"/>
  <c r="E2357" i="4"/>
  <c r="G2356" i="4" a="1"/>
  <c r="G2356" i="4"/>
  <c r="G2355" i="4" a="1"/>
  <c r="G2355" i="4"/>
  <c r="E2355" i="4" a="1"/>
  <c r="E2355" i="4"/>
  <c r="G2354" i="4" a="1"/>
  <c r="G2354" i="4"/>
  <c r="E2354" i="4" a="1"/>
  <c r="E2354" i="4"/>
  <c r="G2353" i="4" a="1"/>
  <c r="G2353" i="4"/>
  <c r="G2352" i="4" a="1"/>
  <c r="G2352" i="4"/>
  <c r="E2352" i="4" a="1"/>
  <c r="E2352" i="4"/>
  <c r="G2351" i="4" a="1"/>
  <c r="G2351" i="4"/>
  <c r="G2350" i="4" a="1"/>
  <c r="G2350" i="4"/>
  <c r="F2350" i="4"/>
  <c r="E2350" i="4" a="1"/>
  <c r="E2350" i="4"/>
  <c r="G2349" i="4" a="1"/>
  <c r="G2349" i="4"/>
  <c r="G2348" i="4" a="1"/>
  <c r="G2348" i="4"/>
  <c r="E2348" i="4" a="1"/>
  <c r="E2348" i="4"/>
  <c r="G2347" i="4" a="1"/>
  <c r="G2347" i="4"/>
  <c r="G2345" i="4" a="1"/>
  <c r="G2345" i="4"/>
  <c r="E2345" i="4" a="1"/>
  <c r="E2345" i="4"/>
  <c r="G2344" i="4" a="1"/>
  <c r="G2344" i="4"/>
  <c r="G2343" i="4" a="1"/>
  <c r="G2343" i="4"/>
  <c r="F2343" i="4"/>
  <c r="E2343" i="4" a="1"/>
  <c r="E2343" i="4"/>
  <c r="G2342" i="4" a="1"/>
  <c r="G2342" i="4"/>
  <c r="G2341" i="4" a="1"/>
  <c r="G2341" i="4"/>
  <c r="F2341" i="4"/>
  <c r="E2341" i="4" a="1"/>
  <c r="E2341" i="4"/>
  <c r="G2340" i="4" a="1"/>
  <c r="G2340" i="4"/>
  <c r="G2339" i="4" a="1"/>
  <c r="G2339" i="4"/>
  <c r="F2339" i="4"/>
  <c r="E2339" i="4" a="1"/>
  <c r="E2339" i="4"/>
  <c r="G2338" i="4" a="1"/>
  <c r="G2338" i="4"/>
  <c r="G2336" i="4" a="1"/>
  <c r="G2336" i="4"/>
  <c r="E2336" i="4" a="1"/>
  <c r="E2336" i="4"/>
  <c r="G2335" i="4" a="1"/>
  <c r="G2335" i="4"/>
  <c r="G2334" i="4" a="1"/>
  <c r="G2334" i="4"/>
  <c r="E2334" i="4" a="1"/>
  <c r="E2334" i="4"/>
  <c r="G2333" i="4" a="1"/>
  <c r="G2333" i="4"/>
  <c r="G2332" i="4" a="1"/>
  <c r="G2332" i="4"/>
  <c r="E2332" i="4" a="1"/>
  <c r="E2332" i="4"/>
  <c r="G2331" i="4" a="1"/>
  <c r="G2331" i="4"/>
  <c r="G2330" i="4" a="1"/>
  <c r="G2330" i="4"/>
  <c r="E2330" i="4" a="1"/>
  <c r="E2330" i="4"/>
  <c r="G2329" i="4" a="1"/>
  <c r="G2329" i="4"/>
  <c r="E2329" i="4" a="1"/>
  <c r="E2329" i="4"/>
  <c r="G2328" i="4" a="1"/>
  <c r="G2328" i="4"/>
  <c r="G2327" i="4" a="1"/>
  <c r="G2327" i="4"/>
  <c r="E2327" i="4" a="1"/>
  <c r="E2327" i="4"/>
  <c r="G2326" i="4" a="1"/>
  <c r="G2326" i="4"/>
  <c r="G2325" i="4" a="1"/>
  <c r="G2325" i="4"/>
  <c r="E2325" i="4" a="1"/>
  <c r="E2325" i="4"/>
  <c r="G2324" i="4" a="1"/>
  <c r="G2324" i="4"/>
  <c r="G2323" i="4" a="1"/>
  <c r="G2323" i="4"/>
  <c r="E2323" i="4" a="1"/>
  <c r="E2323" i="4"/>
  <c r="G2322" i="4" a="1"/>
  <c r="G2322" i="4"/>
  <c r="G2321" i="4" a="1"/>
  <c r="G2321" i="4"/>
  <c r="E2321" i="4" a="1"/>
  <c r="E2321" i="4"/>
  <c r="G2320" i="4" a="1"/>
  <c r="G2320" i="4"/>
  <c r="E2320" i="4" a="1"/>
  <c r="E2320" i="4"/>
  <c r="G2319" i="4" a="1"/>
  <c r="G2319" i="4"/>
  <c r="G2318" i="4" a="1"/>
  <c r="G2318" i="4"/>
  <c r="E2318" i="4" a="1"/>
  <c r="E2318" i="4"/>
  <c r="G2317" i="4" a="1"/>
  <c r="G2317" i="4"/>
  <c r="G2315" i="4" a="1"/>
  <c r="G2315" i="4"/>
  <c r="G2314" i="4" a="1"/>
  <c r="G2314" i="4"/>
  <c r="E2314" i="4" a="1"/>
  <c r="E2314" i="4"/>
  <c r="G2313" i="4" a="1"/>
  <c r="G2313" i="4"/>
  <c r="G2312" i="4" a="1"/>
  <c r="G2312" i="4"/>
  <c r="E2312" i="4" a="1"/>
  <c r="E2312" i="4"/>
  <c r="G2311" i="4" a="1"/>
  <c r="G2311" i="4"/>
  <c r="G2310" i="4" a="1"/>
  <c r="G2310" i="4"/>
  <c r="E2310" i="4" a="1"/>
  <c r="E2310" i="4"/>
  <c r="G2309" i="4" a="1"/>
  <c r="G2309" i="4"/>
  <c r="G2308" i="4" a="1"/>
  <c r="G2308" i="4"/>
  <c r="E2308" i="4" a="1"/>
  <c r="E2308" i="4"/>
  <c r="G2307" i="4" a="1"/>
  <c r="G2307" i="4"/>
  <c r="G2306" i="4" a="1"/>
  <c r="G2306" i="4"/>
  <c r="E2306" i="4" a="1"/>
  <c r="E2306" i="4"/>
  <c r="G2305" i="4" a="1"/>
  <c r="G2305" i="4"/>
  <c r="G2304" i="4" a="1"/>
  <c r="G2304" i="4"/>
  <c r="E2304" i="4" a="1"/>
  <c r="E2304" i="4"/>
  <c r="G2303" i="4" a="1"/>
  <c r="G2303" i="4"/>
  <c r="G2302" i="4" a="1"/>
  <c r="G2302" i="4"/>
  <c r="E2302" i="4" a="1"/>
  <c r="E2302" i="4"/>
  <c r="G2301" i="4" a="1"/>
  <c r="G2301" i="4"/>
  <c r="G2300" i="4" a="1"/>
  <c r="G2300" i="4"/>
  <c r="E2300" i="4" a="1"/>
  <c r="E2300" i="4"/>
  <c r="G2299" i="4" a="1"/>
  <c r="G2299" i="4"/>
  <c r="G2298" i="4" a="1"/>
  <c r="G2298" i="4"/>
  <c r="E2298" i="4" a="1"/>
  <c r="E2298" i="4"/>
  <c r="G2297" i="4" a="1"/>
  <c r="G2297" i="4"/>
  <c r="G2296" i="4" a="1"/>
  <c r="G2296" i="4"/>
  <c r="E2296" i="4" a="1"/>
  <c r="E2296" i="4"/>
  <c r="G2295" i="4" a="1"/>
  <c r="G2295" i="4"/>
  <c r="G2294" i="4" a="1"/>
  <c r="G2294" i="4"/>
  <c r="E2294" i="4" a="1"/>
  <c r="E2294" i="4"/>
  <c r="G2293" i="4" a="1"/>
  <c r="G2293" i="4"/>
  <c r="G2292" i="4" a="1"/>
  <c r="G2292" i="4"/>
  <c r="E2292" i="4" a="1"/>
  <c r="E2292" i="4"/>
  <c r="G2291" i="4" a="1"/>
  <c r="G2291" i="4"/>
  <c r="G2290" i="4" a="1"/>
  <c r="G2290" i="4"/>
  <c r="E2290" i="4" a="1"/>
  <c r="E2290" i="4"/>
  <c r="G2289" i="4" a="1"/>
  <c r="G2289" i="4"/>
  <c r="G2288" i="4" a="1"/>
  <c r="G2288" i="4"/>
  <c r="E2288" i="4" a="1"/>
  <c r="E2288" i="4"/>
  <c r="G2287" i="4" a="1"/>
  <c r="G2287" i="4"/>
  <c r="G2286" i="4" a="1"/>
  <c r="G2286" i="4"/>
  <c r="E2286" i="4" a="1"/>
  <c r="E2286" i="4"/>
  <c r="G2285" i="4" a="1"/>
  <c r="G2285" i="4"/>
  <c r="G2284" i="4" a="1"/>
  <c r="G2284" i="4"/>
  <c r="E2284" i="4" a="1"/>
  <c r="E2284" i="4"/>
  <c r="G2283" i="4" a="1"/>
  <c r="G2283" i="4"/>
  <c r="G2282" i="4" a="1"/>
  <c r="G2282" i="4"/>
  <c r="E2282" i="4" a="1"/>
  <c r="E2282" i="4"/>
  <c r="G2281" i="4" a="1"/>
  <c r="G2281" i="4"/>
  <c r="G2280" i="4" a="1"/>
  <c r="G2280" i="4"/>
  <c r="E2280" i="4" a="1"/>
  <c r="E2280" i="4"/>
  <c r="G2279" i="4" a="1"/>
  <c r="G2279" i="4"/>
  <c r="G2278" i="4" a="1"/>
  <c r="G2278" i="4"/>
  <c r="E2278" i="4" a="1"/>
  <c r="E2278" i="4"/>
  <c r="G2277" i="4" a="1"/>
  <c r="G2277" i="4"/>
  <c r="G2275" i="4" a="1"/>
  <c r="G2275" i="4"/>
  <c r="E2275" i="4" a="1"/>
  <c r="E2275" i="4"/>
  <c r="G2274" i="4" a="1"/>
  <c r="G2274" i="4"/>
  <c r="E2274" i="4" a="1"/>
  <c r="E2274" i="4"/>
  <c r="G2273" i="4" a="1"/>
  <c r="G2273" i="4"/>
  <c r="E2273" i="4" a="1"/>
  <c r="E2273" i="4"/>
  <c r="G2272" i="4" a="1"/>
  <c r="G2272" i="4"/>
  <c r="E2272" i="4" a="1"/>
  <c r="E2272" i="4"/>
  <c r="G2271" i="4" a="1"/>
  <c r="G2271" i="4"/>
  <c r="E2271" i="4" a="1"/>
  <c r="E2271" i="4"/>
  <c r="G2270" i="4" a="1"/>
  <c r="G2270" i="4"/>
  <c r="E2270" i="4" a="1"/>
  <c r="E2270" i="4"/>
  <c r="G2269" i="4" a="1"/>
  <c r="G2269" i="4"/>
  <c r="G2268" i="4" a="1"/>
  <c r="G2268" i="4"/>
  <c r="E2268" i="4" a="1"/>
  <c r="E2268" i="4"/>
  <c r="G2267" i="4" a="1"/>
  <c r="G2267" i="4"/>
  <c r="E2267" i="4" a="1"/>
  <c r="E2267" i="4"/>
  <c r="G2266" i="4" a="1"/>
  <c r="G2266" i="4"/>
  <c r="E2266" i="4" a="1"/>
  <c r="E2266" i="4"/>
  <c r="G2265" i="4" a="1"/>
  <c r="G2265" i="4"/>
  <c r="E2265" i="4" a="1"/>
  <c r="E2265" i="4"/>
  <c r="G2264" i="4" a="1"/>
  <c r="G2264" i="4"/>
  <c r="G2263" i="4" a="1"/>
  <c r="G2263" i="4"/>
  <c r="E2263" i="4" a="1"/>
  <c r="E2263" i="4"/>
  <c r="G2262" i="4" a="1"/>
  <c r="G2262" i="4"/>
  <c r="E2262" i="4" a="1"/>
  <c r="E2262" i="4"/>
  <c r="G2261" i="4" a="1"/>
  <c r="G2261" i="4"/>
  <c r="E2261" i="4" a="1"/>
  <c r="E2261" i="4"/>
  <c r="G2260" i="4" a="1"/>
  <c r="G2260" i="4"/>
  <c r="G2259" i="4" a="1"/>
  <c r="G2259" i="4"/>
  <c r="E2259" i="4" a="1"/>
  <c r="E2259" i="4"/>
  <c r="G2258" i="4" a="1"/>
  <c r="G2258" i="4"/>
  <c r="E2258" i="4" a="1"/>
  <c r="E2258" i="4"/>
  <c r="G2257" i="4" a="1"/>
  <c r="G2257" i="4"/>
  <c r="E2257" i="4" a="1"/>
  <c r="E2257" i="4"/>
  <c r="G2256" i="4" a="1"/>
  <c r="G2256" i="4"/>
  <c r="G2255" i="4" a="1"/>
  <c r="G2255" i="4"/>
  <c r="E2255" i="4" a="1"/>
  <c r="E2255" i="4"/>
  <c r="G2254" i="4" a="1"/>
  <c r="G2254" i="4"/>
  <c r="E2254" i="4" a="1"/>
  <c r="E2254" i="4"/>
  <c r="G2253" i="4" a="1"/>
  <c r="G2253" i="4"/>
  <c r="G2252" i="4" a="1"/>
  <c r="G2252" i="4"/>
  <c r="E2252" i="4" a="1"/>
  <c r="E2252" i="4"/>
  <c r="G2251" i="4" a="1"/>
  <c r="G2251" i="4"/>
  <c r="E2251" i="4" a="1"/>
  <c r="E2251" i="4"/>
  <c r="G2250" i="4" a="1"/>
  <c r="G2250" i="4"/>
  <c r="G2249" i="4" a="1"/>
  <c r="G2249" i="4"/>
  <c r="E2249" i="4" a="1"/>
  <c r="E2249" i="4"/>
  <c r="G2248" i="4" a="1"/>
  <c r="G2248" i="4"/>
  <c r="E2248" i="4" a="1"/>
  <c r="E2248" i="4"/>
  <c r="G2247" i="4" a="1"/>
  <c r="G2247" i="4"/>
  <c r="G2246" i="4" a="1"/>
  <c r="G2246" i="4"/>
  <c r="E2246" i="4" a="1"/>
  <c r="E2246" i="4"/>
  <c r="G2245" i="4" a="1"/>
  <c r="G2245" i="4"/>
  <c r="E2245" i="4" a="1"/>
  <c r="E2245" i="4"/>
  <c r="G2244" i="4" a="1"/>
  <c r="G2244" i="4"/>
  <c r="G2243" i="4" a="1"/>
  <c r="G2243" i="4"/>
  <c r="E2243" i="4" a="1"/>
  <c r="E2243" i="4"/>
  <c r="G2242" i="4" a="1"/>
  <c r="G2242" i="4"/>
  <c r="E2242" i="4" a="1"/>
  <c r="E2242" i="4"/>
  <c r="G2241" i="4" a="1"/>
  <c r="G2241" i="4"/>
  <c r="E2241" i="4" a="1"/>
  <c r="E2241" i="4"/>
  <c r="G2240" i="4" a="1"/>
  <c r="G2240" i="4"/>
  <c r="G2239" i="4" a="1"/>
  <c r="G2239" i="4"/>
  <c r="E2239" i="4" a="1"/>
  <c r="E2239" i="4"/>
  <c r="G2238" i="4" a="1"/>
  <c r="G2238" i="4"/>
  <c r="E2238" i="4" a="1"/>
  <c r="E2238" i="4"/>
  <c r="G2237" i="4" a="1"/>
  <c r="G2237" i="4"/>
  <c r="E2237" i="4" a="1"/>
  <c r="E2237" i="4"/>
  <c r="G2236" i="4" a="1"/>
  <c r="G2236" i="4"/>
  <c r="G2235" i="4" a="1"/>
  <c r="G2235" i="4"/>
  <c r="E2235" i="4" a="1"/>
  <c r="E2235" i="4"/>
  <c r="G2234" i="4" a="1"/>
  <c r="G2234" i="4"/>
  <c r="G2233" i="4" a="1"/>
  <c r="G2233" i="4"/>
  <c r="E2233" i="4" a="1"/>
  <c r="E2233" i="4"/>
  <c r="G2232" i="4" a="1"/>
  <c r="G2232" i="4"/>
  <c r="E2232" i="4" a="1"/>
  <c r="E2232" i="4"/>
  <c r="G2231" i="4" a="1"/>
  <c r="G2231" i="4"/>
  <c r="E2231" i="4" a="1"/>
  <c r="E2231" i="4"/>
  <c r="G2230" i="4" a="1"/>
  <c r="G2230" i="4"/>
  <c r="G2229" i="4" a="1"/>
  <c r="G2229" i="4"/>
  <c r="E2229" i="4" a="1"/>
  <c r="E2229" i="4"/>
  <c r="G2228" i="4" a="1"/>
  <c r="G2228" i="4"/>
  <c r="G2227" i="4" a="1"/>
  <c r="G2227" i="4"/>
  <c r="E2227" i="4" a="1"/>
  <c r="E2227" i="4"/>
  <c r="G2226" i="4" a="1"/>
  <c r="G2226" i="4"/>
  <c r="G2225" i="4" a="1"/>
  <c r="G2225" i="4"/>
  <c r="E2225" i="4" a="1"/>
  <c r="E2225" i="4"/>
  <c r="G2224" i="4" a="1"/>
  <c r="G2224" i="4"/>
  <c r="G2223" i="4" a="1"/>
  <c r="G2223" i="4"/>
  <c r="E2223" i="4" a="1"/>
  <c r="E2223" i="4"/>
  <c r="G2222" i="4" a="1"/>
  <c r="G2222" i="4"/>
  <c r="E2222" i="4" a="1"/>
  <c r="E2222" i="4"/>
  <c r="G2221" i="4" a="1"/>
  <c r="G2221" i="4"/>
  <c r="G2220" i="4" a="1"/>
  <c r="G2220" i="4"/>
  <c r="E2220" i="4" a="1"/>
  <c r="E2220" i="4"/>
  <c r="G2219" i="4" a="1"/>
  <c r="G2219" i="4"/>
  <c r="G2218" i="4" a="1"/>
  <c r="G2218" i="4"/>
  <c r="E2218" i="4" a="1"/>
  <c r="E2218" i="4"/>
  <c r="G2217" i="4" a="1"/>
  <c r="G2217" i="4"/>
  <c r="E2217" i="4" a="1"/>
  <c r="E2217" i="4"/>
  <c r="G2216" i="4" a="1"/>
  <c r="G2216" i="4"/>
  <c r="G2215" i="4" a="1"/>
  <c r="G2215" i="4"/>
  <c r="E2215" i="4" a="1"/>
  <c r="E2215" i="4"/>
  <c r="G2214" i="4" a="1"/>
  <c r="G2214" i="4"/>
  <c r="G2213" i="4" a="1"/>
  <c r="G2213" i="4"/>
  <c r="E2213" i="4" a="1"/>
  <c r="E2213" i="4"/>
  <c r="G2212" i="4" a="1"/>
  <c r="G2212" i="4"/>
  <c r="G2211" i="4" a="1"/>
  <c r="G2211" i="4"/>
  <c r="E2211" i="4" a="1"/>
  <c r="E2211" i="4"/>
  <c r="G2210" i="4" a="1"/>
  <c r="G2210" i="4"/>
  <c r="G2209" i="4" a="1"/>
  <c r="G2209" i="4"/>
  <c r="E2209" i="4" a="1"/>
  <c r="E2209" i="4"/>
  <c r="G2208" i="4" a="1"/>
  <c r="G2208" i="4"/>
  <c r="G2207" i="4" a="1"/>
  <c r="G2207" i="4"/>
  <c r="E2207" i="4" a="1"/>
  <c r="E2207" i="4"/>
  <c r="G2206" i="4" a="1"/>
  <c r="G2206" i="4"/>
  <c r="E2206" i="4" a="1"/>
  <c r="E2206" i="4"/>
  <c r="G2205" i="4" a="1"/>
  <c r="G2205" i="4"/>
  <c r="G2204" i="4" a="1"/>
  <c r="G2204" i="4"/>
  <c r="E2204" i="4" a="1"/>
  <c r="E2204" i="4"/>
  <c r="G2203" i="4" a="1"/>
  <c r="G2203" i="4"/>
  <c r="G2202" i="4" a="1"/>
  <c r="G2202" i="4"/>
  <c r="E2202" i="4" a="1"/>
  <c r="E2202" i="4"/>
  <c r="G2201" i="4" a="1"/>
  <c r="G2201" i="4"/>
  <c r="G2200" i="4" a="1"/>
  <c r="G2200" i="4"/>
  <c r="E2200" i="4" a="1"/>
  <c r="E2200" i="4"/>
  <c r="G2199" i="4" a="1"/>
  <c r="G2199" i="4"/>
  <c r="E2199" i="4" a="1"/>
  <c r="E2199" i="4"/>
  <c r="G2198" i="4" a="1"/>
  <c r="G2198" i="4"/>
  <c r="G2197" i="4" a="1"/>
  <c r="G2197" i="4"/>
  <c r="E2197" i="4" a="1"/>
  <c r="E2197" i="4"/>
  <c r="G2196" i="4" a="1"/>
  <c r="G2196" i="4"/>
  <c r="G2195" i="4" a="1"/>
  <c r="G2195" i="4"/>
  <c r="F2195" i="4"/>
  <c r="E2195" i="4" a="1"/>
  <c r="E2195" i="4"/>
  <c r="G2194" i="4" a="1"/>
  <c r="G2194" i="4"/>
  <c r="G2193" i="4" a="1"/>
  <c r="G2193" i="4"/>
  <c r="E2193" i="4" a="1"/>
  <c r="E2193" i="4"/>
  <c r="G2192" i="4" a="1"/>
  <c r="G2192" i="4"/>
  <c r="E2192" i="4" a="1"/>
  <c r="E2192" i="4"/>
  <c r="G2191" i="4" a="1"/>
  <c r="G2191" i="4"/>
  <c r="G2190" i="4" a="1"/>
  <c r="G2190" i="4"/>
  <c r="E2190" i="4" a="1"/>
  <c r="E2190" i="4"/>
  <c r="G2189" i="4" a="1"/>
  <c r="G2189" i="4"/>
  <c r="E2189" i="4" a="1"/>
  <c r="E2189" i="4"/>
  <c r="G2188" i="4" a="1"/>
  <c r="G2188" i="4"/>
  <c r="E2188" i="4" a="1"/>
  <c r="E2188" i="4"/>
  <c r="G2187" i="4" a="1"/>
  <c r="G2187" i="4"/>
  <c r="G2186" i="4" a="1"/>
  <c r="G2186" i="4"/>
  <c r="E2186" i="4" a="1"/>
  <c r="E2186" i="4"/>
  <c r="G2185" i="4" a="1"/>
  <c r="G2185" i="4"/>
  <c r="E2185" i="4" a="1"/>
  <c r="E2185" i="4"/>
  <c r="G2184" i="4" a="1"/>
  <c r="G2184" i="4"/>
  <c r="G2183" i="4" a="1"/>
  <c r="G2183" i="4"/>
  <c r="E2183" i="4" a="1"/>
  <c r="E2183" i="4"/>
  <c r="G2182" i="4" a="1"/>
  <c r="G2182" i="4"/>
  <c r="E2182" i="4" a="1"/>
  <c r="E2182" i="4"/>
  <c r="G2181" i="4" a="1"/>
  <c r="G2181" i="4"/>
  <c r="G2180" i="4" a="1"/>
  <c r="G2180" i="4"/>
  <c r="E2180" i="4" a="1"/>
  <c r="E2180" i="4"/>
  <c r="G2179" i="4" a="1"/>
  <c r="G2179" i="4"/>
  <c r="E2179" i="4" a="1"/>
  <c r="E2179" i="4"/>
  <c r="G2178" i="4" a="1"/>
  <c r="G2178" i="4"/>
  <c r="G2177" i="4" a="1"/>
  <c r="G2177" i="4"/>
  <c r="E2177" i="4" a="1"/>
  <c r="E2177" i="4"/>
  <c r="G2176" i="4" a="1"/>
  <c r="G2176" i="4"/>
  <c r="G2175" i="4" a="1"/>
  <c r="G2175" i="4"/>
  <c r="E2175" i="4" a="1"/>
  <c r="E2175" i="4"/>
  <c r="G2174" i="4" a="1"/>
  <c r="G2174" i="4"/>
  <c r="E2174" i="4" a="1"/>
  <c r="E2174" i="4"/>
  <c r="G2173" i="4" a="1"/>
  <c r="G2173" i="4"/>
  <c r="G2172" i="4" a="1"/>
  <c r="G2172" i="4"/>
  <c r="E2172" i="4" a="1"/>
  <c r="E2172" i="4"/>
  <c r="G2171" i="4" a="1"/>
  <c r="G2171" i="4"/>
  <c r="E2171" i="4" a="1"/>
  <c r="E2171" i="4"/>
  <c r="G2170" i="4" a="1"/>
  <c r="G2170" i="4"/>
  <c r="G2168" i="4" a="1"/>
  <c r="G2168" i="4"/>
  <c r="G2167" i="4" a="1"/>
  <c r="G2167" i="4"/>
  <c r="E2167" i="4" a="1"/>
  <c r="E2167" i="4"/>
  <c r="G2166" i="4" a="1"/>
  <c r="G2166" i="4"/>
  <c r="E2166" i="4" a="1"/>
  <c r="E2166" i="4"/>
  <c r="G2165" i="4" a="1"/>
  <c r="G2165" i="4"/>
  <c r="G2164" i="4" a="1"/>
  <c r="G2164" i="4"/>
  <c r="E2164" i="4" a="1"/>
  <c r="E2164" i="4"/>
  <c r="G2163" i="4" a="1"/>
  <c r="G2163" i="4"/>
  <c r="E2163" i="4" a="1"/>
  <c r="E2163" i="4"/>
  <c r="G2162" i="4" a="1"/>
  <c r="G2162" i="4"/>
  <c r="G2160" i="4" a="1"/>
  <c r="G2160" i="4"/>
  <c r="G2159" i="4" a="1"/>
  <c r="G2159" i="4"/>
  <c r="G2158" i="4" a="1"/>
  <c r="G2158" i="4"/>
  <c r="G2157" i="4" a="1"/>
  <c r="G2157" i="4"/>
  <c r="G2156" i="4" a="1"/>
  <c r="G2156" i="4"/>
  <c r="E2156" i="4" a="1"/>
  <c r="E2156" i="4"/>
  <c r="G2155" i="4" a="1"/>
  <c r="G2155" i="4"/>
  <c r="G2154" i="4" a="1"/>
  <c r="G2154" i="4"/>
  <c r="E2154" i="4" a="1"/>
  <c r="E2154" i="4"/>
  <c r="G2153" i="4" a="1"/>
  <c r="G2153" i="4"/>
  <c r="G2152" i="4" a="1"/>
  <c r="G2152" i="4"/>
  <c r="E2152" i="4" a="1"/>
  <c r="E2152" i="4"/>
  <c r="G2151" i="4" a="1"/>
  <c r="G2151" i="4"/>
  <c r="G2150" i="4" a="1"/>
  <c r="G2150" i="4"/>
  <c r="E2150" i="4" a="1"/>
  <c r="E2150" i="4"/>
  <c r="G2149" i="4" a="1"/>
  <c r="G2149" i="4"/>
  <c r="G2148" i="4" a="1"/>
  <c r="G2148" i="4"/>
  <c r="E2148" i="4" a="1"/>
  <c r="E2148" i="4"/>
  <c r="G2147" i="4" a="1"/>
  <c r="G2147" i="4"/>
  <c r="G2146" i="4" a="1"/>
  <c r="G2146" i="4"/>
  <c r="E2146" i="4" a="1"/>
  <c r="E2146" i="4"/>
  <c r="G2145" i="4" a="1"/>
  <c r="G2145" i="4"/>
  <c r="G2143" i="4" a="1"/>
  <c r="G2143" i="4"/>
  <c r="E2143" i="4" a="1"/>
  <c r="E2143" i="4"/>
  <c r="G2142" i="4" a="1"/>
  <c r="G2142" i="4"/>
  <c r="G2141" i="4" a="1"/>
  <c r="G2141" i="4"/>
  <c r="E2141" i="4" a="1"/>
  <c r="E2141" i="4"/>
  <c r="G2140" i="4" a="1"/>
  <c r="G2140" i="4"/>
  <c r="G2139" i="4" a="1"/>
  <c r="G2139" i="4"/>
  <c r="F2139" i="4"/>
  <c r="E2139" i="4" a="1"/>
  <c r="E2139" i="4"/>
  <c r="G2138" i="4" a="1"/>
  <c r="G2138" i="4"/>
  <c r="F2138" i="4"/>
  <c r="E2138" i="4" a="1"/>
  <c r="E2138" i="4"/>
  <c r="G2137" i="4" a="1"/>
  <c r="G2137" i="4"/>
  <c r="F2137" i="4"/>
  <c r="E2137" i="4" a="1"/>
  <c r="E2137" i="4"/>
  <c r="G2136" i="4" a="1"/>
  <c r="G2136" i="4"/>
  <c r="F2136" i="4"/>
  <c r="E2136" i="4" a="1"/>
  <c r="E2136" i="4"/>
  <c r="G2135" i="4" a="1"/>
  <c r="G2135" i="4"/>
  <c r="E2135" i="4" a="1"/>
  <c r="E2135" i="4"/>
  <c r="G2134" i="4" a="1"/>
  <c r="G2134" i="4"/>
  <c r="E2134" i="4" a="1"/>
  <c r="E2134" i="4"/>
  <c r="G2133" i="4" a="1"/>
  <c r="G2133" i="4"/>
  <c r="G2132" i="4" a="1"/>
  <c r="G2132" i="4"/>
  <c r="F2132" i="4"/>
  <c r="E2132" i="4" a="1"/>
  <c r="E2132" i="4"/>
  <c r="G2131" i="4" a="1"/>
  <c r="G2131" i="4"/>
  <c r="F2131" i="4"/>
  <c r="E2131" i="4" a="1"/>
  <c r="E2131" i="4"/>
  <c r="G2130" i="4" a="1"/>
  <c r="G2130" i="4"/>
  <c r="F2130" i="4"/>
  <c r="E2130" i="4" a="1"/>
  <c r="E2130" i="4"/>
  <c r="G2129" i="4" a="1"/>
  <c r="G2129" i="4"/>
  <c r="F2129" i="4"/>
  <c r="E2129" i="4" a="1"/>
  <c r="E2129" i="4"/>
  <c r="G2128" i="4" a="1"/>
  <c r="G2128" i="4"/>
  <c r="E2128" i="4" a="1"/>
  <c r="E2128" i="4"/>
  <c r="G2127" i="4" a="1"/>
  <c r="G2127" i="4"/>
  <c r="E2127" i="4" a="1"/>
  <c r="E2127" i="4"/>
  <c r="G2126" i="4" a="1"/>
  <c r="G2126" i="4"/>
  <c r="G2125" i="4" a="1"/>
  <c r="G2125" i="4"/>
  <c r="F2125" i="4"/>
  <c r="E2125" i="4" a="1"/>
  <c r="E2125" i="4"/>
  <c r="G2124" i="4" a="1"/>
  <c r="G2124" i="4"/>
  <c r="F2124" i="4"/>
  <c r="E2124" i="4" a="1"/>
  <c r="E2124" i="4"/>
  <c r="G2123" i="4" a="1"/>
  <c r="G2123" i="4"/>
  <c r="F2123" i="4"/>
  <c r="E2123" i="4" a="1"/>
  <c r="E2123" i="4"/>
  <c r="G2122" i="4" a="1"/>
  <c r="G2122" i="4"/>
  <c r="F2122" i="4"/>
  <c r="E2122" i="4" a="1"/>
  <c r="E2122" i="4"/>
  <c r="G2121" i="4" a="1"/>
  <c r="G2121" i="4"/>
  <c r="E2121" i="4" a="1"/>
  <c r="E2121" i="4"/>
  <c r="G2120" i="4" a="1"/>
  <c r="G2120" i="4"/>
  <c r="E2120" i="4" a="1"/>
  <c r="E2120" i="4"/>
  <c r="G2119" i="4" a="1"/>
  <c r="G2119" i="4"/>
  <c r="G2118" i="4" a="1"/>
  <c r="G2118" i="4"/>
  <c r="F2118" i="4"/>
  <c r="E2118" i="4" a="1"/>
  <c r="E2118" i="4"/>
  <c r="G2117" i="4" a="1"/>
  <c r="G2117" i="4"/>
  <c r="F2117" i="4"/>
  <c r="E2117" i="4" a="1"/>
  <c r="E2117" i="4"/>
  <c r="G2116" i="4" a="1"/>
  <c r="G2116" i="4"/>
  <c r="F2116" i="4"/>
  <c r="E2116" i="4" a="1"/>
  <c r="E2116" i="4"/>
  <c r="G2115" i="4" a="1"/>
  <c r="G2115" i="4"/>
  <c r="F2115" i="4"/>
  <c r="E2115" i="4" a="1"/>
  <c r="E2115" i="4"/>
  <c r="G2114" i="4" a="1"/>
  <c r="G2114" i="4"/>
  <c r="E2114" i="4" a="1"/>
  <c r="E2114" i="4"/>
  <c r="G2113" i="4" a="1"/>
  <c r="G2113" i="4"/>
  <c r="E2113" i="4" a="1"/>
  <c r="E2113" i="4"/>
  <c r="G2112" i="4" a="1"/>
  <c r="G2112" i="4"/>
  <c r="G2111" i="4" a="1"/>
  <c r="G2111" i="4"/>
  <c r="F2111" i="4"/>
  <c r="E2111" i="4" a="1"/>
  <c r="E2111" i="4"/>
  <c r="G2110" i="4" a="1"/>
  <c r="G2110" i="4"/>
  <c r="F2110" i="4"/>
  <c r="E2110" i="4" a="1"/>
  <c r="E2110" i="4"/>
  <c r="G2109" i="4" a="1"/>
  <c r="G2109" i="4"/>
  <c r="F2109" i="4"/>
  <c r="E2109" i="4" a="1"/>
  <c r="E2109" i="4"/>
  <c r="G2108" i="4" a="1"/>
  <c r="G2108" i="4"/>
  <c r="F2108" i="4"/>
  <c r="E2108" i="4" a="1"/>
  <c r="E2108" i="4"/>
  <c r="G2107" i="4" a="1"/>
  <c r="G2107" i="4"/>
  <c r="E2107" i="4" a="1"/>
  <c r="E2107" i="4"/>
  <c r="G2106" i="4" a="1"/>
  <c r="G2106" i="4"/>
  <c r="E2106" i="4" a="1"/>
  <c r="E2106" i="4"/>
  <c r="G2105" i="4" a="1"/>
  <c r="G2105" i="4"/>
  <c r="G2104" i="4" a="1"/>
  <c r="G2104" i="4"/>
  <c r="E2104" i="4" a="1"/>
  <c r="E2104" i="4"/>
  <c r="G2103" i="4" a="1"/>
  <c r="G2103" i="4"/>
  <c r="E2103" i="4" a="1"/>
  <c r="E2103" i="4"/>
  <c r="G2102" i="4" a="1"/>
  <c r="G2102" i="4"/>
  <c r="E2102" i="4" a="1"/>
  <c r="E2102" i="4"/>
  <c r="G2101" i="4" a="1"/>
  <c r="G2101" i="4"/>
  <c r="E2101" i="4" a="1"/>
  <c r="E2101" i="4"/>
  <c r="G2100" i="4" a="1"/>
  <c r="G2100" i="4"/>
  <c r="E2100" i="4" a="1"/>
  <c r="E2100" i="4"/>
  <c r="G2099" i="4" a="1"/>
  <c r="G2099" i="4"/>
  <c r="E2099" i="4" a="1"/>
  <c r="E2099" i="4"/>
  <c r="G2098" i="4" a="1"/>
  <c r="G2098" i="4"/>
  <c r="F2098" i="4"/>
  <c r="E2098" i="4" a="1"/>
  <c r="E2098" i="4"/>
  <c r="G2097" i="4" a="1"/>
  <c r="G2097" i="4"/>
  <c r="F2097" i="4"/>
  <c r="E2097" i="4" a="1"/>
  <c r="E2097" i="4"/>
  <c r="G2096" i="4" a="1"/>
  <c r="G2096" i="4"/>
  <c r="E2096" i="4" a="1"/>
  <c r="E2096" i="4"/>
  <c r="G2095" i="4" a="1"/>
  <c r="G2095" i="4"/>
  <c r="E2095" i="4" a="1"/>
  <c r="E2095" i="4"/>
  <c r="G2094" i="4" a="1"/>
  <c r="G2094" i="4"/>
  <c r="E2094" i="4" a="1"/>
  <c r="E2094" i="4"/>
  <c r="G2093" i="4" a="1"/>
  <c r="G2093" i="4"/>
  <c r="E2093" i="4" a="1"/>
  <c r="E2093" i="4"/>
  <c r="G2092" i="4" a="1"/>
  <c r="G2092" i="4"/>
  <c r="G2091" i="4" a="1"/>
  <c r="G2091" i="4"/>
  <c r="E2091" i="4" a="1"/>
  <c r="E2091" i="4"/>
  <c r="G2090" i="4" a="1"/>
  <c r="G2090" i="4"/>
  <c r="E2090" i="4" a="1"/>
  <c r="E2090" i="4"/>
  <c r="G2089" i="4" a="1"/>
  <c r="G2089" i="4"/>
  <c r="E2089" i="4" a="1"/>
  <c r="E2089" i="4"/>
  <c r="G2088" i="4" a="1"/>
  <c r="G2088" i="4"/>
  <c r="E2088" i="4" a="1"/>
  <c r="E2088" i="4"/>
  <c r="G2087" i="4" a="1"/>
  <c r="G2087" i="4"/>
  <c r="E2087" i="4" a="1"/>
  <c r="E2087" i="4"/>
  <c r="G2086" i="4" a="1"/>
  <c r="G2086" i="4"/>
  <c r="E2086" i="4" a="1"/>
  <c r="E2086" i="4"/>
  <c r="G2085" i="4" a="1"/>
  <c r="G2085" i="4"/>
  <c r="F2085" i="4"/>
  <c r="E2085" i="4" a="1"/>
  <c r="E2085" i="4"/>
  <c r="G2084" i="4" a="1"/>
  <c r="G2084" i="4"/>
  <c r="F2084" i="4"/>
  <c r="E2084" i="4" a="1"/>
  <c r="E2084" i="4"/>
  <c r="G2083" i="4" a="1"/>
  <c r="G2083" i="4"/>
  <c r="E2083" i="4" a="1"/>
  <c r="E2083" i="4"/>
  <c r="G2082" i="4" a="1"/>
  <c r="G2082" i="4"/>
  <c r="E2082" i="4" a="1"/>
  <c r="E2082" i="4"/>
  <c r="G2081" i="4" a="1"/>
  <c r="G2081" i="4"/>
  <c r="E2081" i="4" a="1"/>
  <c r="E2081" i="4"/>
  <c r="G2080" i="4" a="1"/>
  <c r="G2080" i="4"/>
  <c r="E2080" i="4" a="1"/>
  <c r="E2080" i="4"/>
  <c r="G2079" i="4" a="1"/>
  <c r="G2079" i="4"/>
  <c r="G2078" i="4" a="1"/>
  <c r="G2078" i="4"/>
  <c r="E2078" i="4" a="1"/>
  <c r="E2078" i="4"/>
  <c r="G2077" i="4" a="1"/>
  <c r="G2077" i="4"/>
  <c r="E2077" i="4" a="1"/>
  <c r="E2077" i="4"/>
  <c r="G2076" i="4" a="1"/>
  <c r="G2076" i="4"/>
  <c r="E2076" i="4" a="1"/>
  <c r="E2076" i="4"/>
  <c r="G2075" i="4" a="1"/>
  <c r="G2075" i="4"/>
  <c r="E2075" i="4" a="1"/>
  <c r="E2075" i="4"/>
  <c r="G2074" i="4" a="1"/>
  <c r="G2074" i="4"/>
  <c r="E2074" i="4" a="1"/>
  <c r="E2074" i="4"/>
  <c r="G2073" i="4" a="1"/>
  <c r="G2073" i="4"/>
  <c r="E2073" i="4" a="1"/>
  <c r="E2073" i="4"/>
  <c r="G2072" i="4" a="1"/>
  <c r="G2072" i="4"/>
  <c r="F2072" i="4"/>
  <c r="E2072" i="4" a="1"/>
  <c r="E2072" i="4"/>
  <c r="G2071" i="4" a="1"/>
  <c r="G2071" i="4"/>
  <c r="F2071" i="4"/>
  <c r="E2071" i="4" a="1"/>
  <c r="E2071" i="4"/>
  <c r="G2070" i="4" a="1"/>
  <c r="G2070" i="4"/>
  <c r="E2070" i="4" a="1"/>
  <c r="E2070" i="4"/>
  <c r="G2069" i="4" a="1"/>
  <c r="G2069" i="4"/>
  <c r="E2069" i="4" a="1"/>
  <c r="E2069" i="4"/>
  <c r="G2068" i="4" a="1"/>
  <c r="G2068" i="4"/>
  <c r="E2068" i="4" a="1"/>
  <c r="E2068" i="4"/>
  <c r="G2067" i="4" a="1"/>
  <c r="G2067" i="4"/>
  <c r="E2067" i="4" a="1"/>
  <c r="E2067" i="4"/>
  <c r="G2066" i="4" a="1"/>
  <c r="G2066" i="4"/>
  <c r="G2065" i="4" a="1"/>
  <c r="G2065" i="4"/>
  <c r="E2065" i="4" a="1"/>
  <c r="E2065" i="4"/>
  <c r="G2064" i="4" a="1"/>
  <c r="G2064" i="4"/>
  <c r="E2064" i="4" a="1"/>
  <c r="E2064" i="4"/>
  <c r="G2063" i="4" a="1"/>
  <c r="G2063" i="4"/>
  <c r="E2063" i="4" a="1"/>
  <c r="E2063" i="4"/>
  <c r="G2062" i="4" a="1"/>
  <c r="G2062" i="4"/>
  <c r="E2062" i="4" a="1"/>
  <c r="E2062" i="4"/>
  <c r="G2061" i="4" a="1"/>
  <c r="G2061" i="4"/>
  <c r="E2061" i="4" a="1"/>
  <c r="E2061" i="4"/>
  <c r="G2060" i="4" a="1"/>
  <c r="G2060" i="4"/>
  <c r="E2060" i="4" a="1"/>
  <c r="E2060" i="4"/>
  <c r="G2059" i="4" a="1"/>
  <c r="G2059" i="4"/>
  <c r="F2059" i="4"/>
  <c r="E2059" i="4" a="1"/>
  <c r="E2059" i="4"/>
  <c r="G2058" i="4" a="1"/>
  <c r="G2058" i="4"/>
  <c r="F2058" i="4"/>
  <c r="E2058" i="4" a="1"/>
  <c r="E2058" i="4"/>
  <c r="G2057" i="4" a="1"/>
  <c r="G2057" i="4"/>
  <c r="E2057" i="4" a="1"/>
  <c r="E2057" i="4"/>
  <c r="G2056" i="4" a="1"/>
  <c r="G2056" i="4"/>
  <c r="E2056" i="4" a="1"/>
  <c r="E2056" i="4"/>
  <c r="G2055" i="4" a="1"/>
  <c r="G2055" i="4"/>
  <c r="E2055" i="4" a="1"/>
  <c r="E2055" i="4"/>
  <c r="G2054" i="4" a="1"/>
  <c r="G2054" i="4"/>
  <c r="E2054" i="4" a="1"/>
  <c r="E2054" i="4"/>
  <c r="G2053" i="4" a="1"/>
  <c r="G2053" i="4"/>
  <c r="G2052" i="4" a="1"/>
  <c r="G2052" i="4"/>
  <c r="E2052" i="4" a="1"/>
  <c r="E2052" i="4"/>
  <c r="G2051" i="4" a="1"/>
  <c r="G2051" i="4"/>
  <c r="E2051" i="4" a="1"/>
  <c r="E2051" i="4"/>
  <c r="G2050" i="4" a="1"/>
  <c r="G2050" i="4"/>
  <c r="E2050" i="4" a="1"/>
  <c r="E2050" i="4"/>
  <c r="G2049" i="4" a="1"/>
  <c r="G2049" i="4"/>
  <c r="E2049" i="4" a="1"/>
  <c r="E2049" i="4"/>
  <c r="G2048" i="4" a="1"/>
  <c r="G2048" i="4"/>
  <c r="E2048" i="4" a="1"/>
  <c r="E2048" i="4"/>
  <c r="G2047" i="4" a="1"/>
  <c r="G2047" i="4"/>
  <c r="E2047" i="4" a="1"/>
  <c r="E2047" i="4"/>
  <c r="G2046" i="4" a="1"/>
  <c r="G2046" i="4"/>
  <c r="F2046" i="4"/>
  <c r="E2046" i="4" a="1"/>
  <c r="E2046" i="4"/>
  <c r="G2045" i="4" a="1"/>
  <c r="G2045" i="4"/>
  <c r="F2045" i="4"/>
  <c r="E2045" i="4" a="1"/>
  <c r="E2045" i="4"/>
  <c r="G2044" i="4" a="1"/>
  <c r="G2044" i="4"/>
  <c r="E2044" i="4" a="1"/>
  <c r="E2044" i="4"/>
  <c r="G2043" i="4" a="1"/>
  <c r="G2043" i="4"/>
  <c r="E2043" i="4" a="1"/>
  <c r="E2043" i="4"/>
  <c r="G2042" i="4" a="1"/>
  <c r="G2042" i="4"/>
  <c r="E2042" i="4" a="1"/>
  <c r="E2042" i="4"/>
  <c r="G2041" i="4" a="1"/>
  <c r="G2041" i="4"/>
  <c r="G2040" i="4" a="1"/>
  <c r="G2040" i="4"/>
  <c r="E2040" i="4" a="1"/>
  <c r="E2040" i="4"/>
  <c r="G2039" i="4" a="1"/>
  <c r="G2039" i="4"/>
  <c r="E2039" i="4" a="1"/>
  <c r="E2039" i="4"/>
  <c r="G2038" i="4" a="1"/>
  <c r="G2038" i="4"/>
  <c r="E2038" i="4" a="1"/>
  <c r="E2038" i="4"/>
  <c r="G2037" i="4" a="1"/>
  <c r="G2037" i="4"/>
  <c r="E2037" i="4" a="1"/>
  <c r="E2037" i="4"/>
  <c r="G2036" i="4" a="1"/>
  <c r="G2036" i="4"/>
  <c r="E2036" i="4" a="1"/>
  <c r="E2036" i="4"/>
  <c r="G2035" i="4" a="1"/>
  <c r="G2035" i="4"/>
  <c r="E2035" i="4" a="1"/>
  <c r="E2035" i="4"/>
  <c r="G2034" i="4" a="1"/>
  <c r="G2034" i="4"/>
  <c r="F2034" i="4"/>
  <c r="E2034" i="4" a="1"/>
  <c r="E2034" i="4"/>
  <c r="G2033" i="4" a="1"/>
  <c r="G2033" i="4"/>
  <c r="F2033" i="4"/>
  <c r="E2033" i="4" a="1"/>
  <c r="E2033" i="4"/>
  <c r="G2032" i="4" a="1"/>
  <c r="G2032" i="4"/>
  <c r="E2032" i="4" a="1"/>
  <c r="E2032" i="4"/>
  <c r="G2031" i="4" a="1"/>
  <c r="G2031" i="4"/>
  <c r="E2031" i="4" a="1"/>
  <c r="E2031" i="4"/>
  <c r="G2030" i="4" a="1"/>
  <c r="G2030" i="4"/>
  <c r="E2030" i="4" a="1"/>
  <c r="E2030" i="4"/>
  <c r="G2029" i="4" a="1"/>
  <c r="G2029" i="4"/>
  <c r="G2028" i="4" a="1"/>
  <c r="G2028" i="4"/>
  <c r="E2028" i="4" a="1"/>
  <c r="E2028" i="4"/>
  <c r="G2027" i="4" a="1"/>
  <c r="G2027" i="4"/>
  <c r="E2027" i="4" a="1"/>
  <c r="E2027" i="4"/>
  <c r="G2026" i="4" a="1"/>
  <c r="G2026" i="4"/>
  <c r="F2026" i="4"/>
  <c r="E2026" i="4" a="1"/>
  <c r="E2026" i="4"/>
  <c r="G2025" i="4" a="1"/>
  <c r="G2025" i="4"/>
  <c r="F2025" i="4"/>
  <c r="E2025" i="4" a="1"/>
  <c r="E2025" i="4"/>
  <c r="G2024" i="4" a="1"/>
  <c r="G2024" i="4"/>
  <c r="F2024" i="4"/>
  <c r="E2024" i="4" a="1"/>
  <c r="E2024" i="4"/>
  <c r="G2023" i="4" a="1"/>
  <c r="G2023" i="4"/>
  <c r="F2023" i="4"/>
  <c r="E2023" i="4" a="1"/>
  <c r="E2023" i="4"/>
  <c r="G2022" i="4" a="1"/>
  <c r="G2022" i="4"/>
  <c r="E2022" i="4" a="1"/>
  <c r="E2022" i="4"/>
  <c r="G2021" i="4" a="1"/>
  <c r="G2021" i="4"/>
  <c r="E2021" i="4" a="1"/>
  <c r="E2021" i="4"/>
  <c r="G2020" i="4" a="1"/>
  <c r="G2020" i="4"/>
  <c r="E2020" i="4" a="1"/>
  <c r="E2020" i="4"/>
  <c r="G2019" i="4" a="1"/>
  <c r="G2019" i="4"/>
  <c r="E2019" i="4" a="1"/>
  <c r="E2019" i="4"/>
  <c r="G2018" i="4" a="1"/>
  <c r="G2018" i="4"/>
  <c r="E2018" i="4" a="1"/>
  <c r="E2018" i="4"/>
  <c r="G2017" i="4" a="1"/>
  <c r="G2017" i="4"/>
  <c r="G2016" i="4" a="1"/>
  <c r="G2016" i="4"/>
  <c r="E2016" i="4" a="1"/>
  <c r="E2016" i="4"/>
  <c r="G2015" i="4" a="1"/>
  <c r="G2015" i="4"/>
  <c r="E2015" i="4" a="1"/>
  <c r="E2015" i="4"/>
  <c r="G2014" i="4" a="1"/>
  <c r="G2014" i="4"/>
  <c r="E2014" i="4" a="1"/>
  <c r="E2014" i="4"/>
  <c r="G2013" i="4" a="1"/>
  <c r="G2013" i="4"/>
  <c r="E2013" i="4" a="1"/>
  <c r="E2013" i="4"/>
  <c r="G2012" i="4" a="1"/>
  <c r="G2012" i="4"/>
  <c r="E2012" i="4" a="1"/>
  <c r="E2012" i="4"/>
  <c r="G2011" i="4" a="1"/>
  <c r="G2011" i="4"/>
  <c r="E2011" i="4" a="1"/>
  <c r="E2011" i="4"/>
  <c r="G2010" i="4" a="1"/>
  <c r="G2010" i="4"/>
  <c r="E2010" i="4" a="1"/>
  <c r="E2010" i="4"/>
  <c r="G2009" i="4" a="1"/>
  <c r="G2009" i="4"/>
  <c r="E2009" i="4" a="1"/>
  <c r="E2009" i="4"/>
  <c r="G2008" i="4" a="1"/>
  <c r="G2008" i="4"/>
  <c r="E2008" i="4" a="1"/>
  <c r="E2008" i="4"/>
  <c r="G2007" i="4" a="1"/>
  <c r="G2007" i="4"/>
  <c r="F2007" i="4"/>
  <c r="E2007" i="4" a="1"/>
  <c r="E2007" i="4"/>
  <c r="G2006" i="4" a="1"/>
  <c r="G2006" i="4"/>
  <c r="E2006" i="4" a="1"/>
  <c r="E2006" i="4"/>
  <c r="G2005" i="4" a="1"/>
  <c r="G2005" i="4"/>
  <c r="G2004" i="4" a="1"/>
  <c r="G2004" i="4"/>
  <c r="E2004" i="4" a="1"/>
  <c r="E2004" i="4"/>
  <c r="G2003" i="4" a="1"/>
  <c r="G2003" i="4"/>
  <c r="E2003" i="4" a="1"/>
  <c r="E2003" i="4"/>
  <c r="G2002" i="4" a="1"/>
  <c r="G2002" i="4"/>
  <c r="F2002" i="4"/>
  <c r="E2002" i="4" a="1"/>
  <c r="E2002" i="4"/>
  <c r="G2001" i="4" a="1"/>
  <c r="G2001" i="4"/>
  <c r="F2001" i="4"/>
  <c r="E2001" i="4" a="1"/>
  <c r="E2001" i="4"/>
  <c r="G2000" i="4" a="1"/>
  <c r="G2000" i="4"/>
  <c r="F2000" i="4"/>
  <c r="E2000" i="4" a="1"/>
  <c r="E2000" i="4"/>
  <c r="G1999" i="4" a="1"/>
  <c r="G1999" i="4"/>
  <c r="F1999" i="4"/>
  <c r="E1999" i="4" a="1"/>
  <c r="E1999" i="4"/>
  <c r="G1998" i="4" a="1"/>
  <c r="G1998" i="4"/>
  <c r="E1998" i="4" a="1"/>
  <c r="E1998" i="4"/>
  <c r="G1997" i="4" a="1"/>
  <c r="G1997" i="4"/>
  <c r="E1997" i="4" a="1"/>
  <c r="E1997" i="4"/>
  <c r="G1996" i="4" a="1"/>
  <c r="G1996" i="4"/>
  <c r="E1996" i="4" a="1"/>
  <c r="E1996" i="4"/>
  <c r="G1995" i="4" a="1"/>
  <c r="G1995" i="4"/>
  <c r="E1995" i="4" a="1"/>
  <c r="E1995" i="4"/>
  <c r="G1994" i="4" a="1"/>
  <c r="G1994" i="4"/>
  <c r="E1994" i="4" a="1"/>
  <c r="E1994" i="4"/>
  <c r="G1993" i="4" a="1"/>
  <c r="G1993" i="4"/>
  <c r="G1992" i="4" a="1"/>
  <c r="G1992" i="4"/>
  <c r="E1992" i="4" a="1"/>
  <c r="E1992" i="4"/>
  <c r="G1991" i="4" a="1"/>
  <c r="G1991" i="4"/>
  <c r="E1991" i="4" a="1"/>
  <c r="E1991" i="4"/>
  <c r="G1990" i="4" a="1"/>
  <c r="G1990" i="4"/>
  <c r="F1990" i="4"/>
  <c r="E1990" i="4" a="1"/>
  <c r="E1990" i="4"/>
  <c r="G1989" i="4" a="1"/>
  <c r="G1989" i="4"/>
  <c r="F1989" i="4"/>
  <c r="E1989" i="4" a="1"/>
  <c r="E1989" i="4"/>
  <c r="G1988" i="4" a="1"/>
  <c r="G1988" i="4"/>
  <c r="F1988" i="4"/>
  <c r="E1988" i="4" a="1"/>
  <c r="E1988" i="4"/>
  <c r="G1987" i="4" a="1"/>
  <c r="G1987" i="4"/>
  <c r="F1987" i="4"/>
  <c r="E1987" i="4" a="1"/>
  <c r="E1987" i="4"/>
  <c r="G1986" i="4" a="1"/>
  <c r="G1986" i="4"/>
  <c r="E1986" i="4" a="1"/>
  <c r="E1986" i="4"/>
  <c r="G1985" i="4" a="1"/>
  <c r="G1985" i="4"/>
  <c r="E1985" i="4" a="1"/>
  <c r="E1985" i="4"/>
  <c r="G1984" i="4" a="1"/>
  <c r="G1984" i="4"/>
  <c r="E1984" i="4" a="1"/>
  <c r="E1984" i="4"/>
  <c r="G1983" i="4" a="1"/>
  <c r="G1983" i="4"/>
  <c r="E1983" i="4" a="1"/>
  <c r="E1983" i="4"/>
  <c r="G1982" i="4" a="1"/>
  <c r="G1982" i="4"/>
  <c r="E1982" i="4" a="1"/>
  <c r="E1982" i="4"/>
  <c r="G1981" i="4" a="1"/>
  <c r="G1981" i="4"/>
  <c r="G1980" i="4" a="1"/>
  <c r="G1980" i="4"/>
  <c r="E1980" i="4" a="1"/>
  <c r="E1980" i="4"/>
  <c r="G1979" i="4" a="1"/>
  <c r="G1979" i="4"/>
  <c r="E1979" i="4" a="1"/>
  <c r="E1979" i="4"/>
  <c r="G1978" i="4" a="1"/>
  <c r="G1978" i="4"/>
  <c r="E1978" i="4" a="1"/>
  <c r="E1978" i="4"/>
  <c r="G1977" i="4" a="1"/>
  <c r="G1977" i="4"/>
  <c r="E1977" i="4" a="1"/>
  <c r="E1977" i="4"/>
  <c r="G1976" i="4" a="1"/>
  <c r="G1976" i="4"/>
  <c r="E1976" i="4" a="1"/>
  <c r="E1976" i="4"/>
  <c r="G1975" i="4" a="1"/>
  <c r="G1975" i="4"/>
  <c r="E1975" i="4" a="1"/>
  <c r="E1975" i="4"/>
  <c r="G1974" i="4" a="1"/>
  <c r="G1974" i="4"/>
  <c r="E1974" i="4" a="1"/>
  <c r="E1974" i="4"/>
  <c r="G1973" i="4" a="1"/>
  <c r="G1973" i="4"/>
  <c r="E1973" i="4" a="1"/>
  <c r="E1973" i="4"/>
  <c r="G1972" i="4" a="1"/>
  <c r="G1972" i="4"/>
  <c r="E1972" i="4" a="1"/>
  <c r="E1972" i="4"/>
  <c r="G1971" i="4" a="1"/>
  <c r="G1971" i="4"/>
  <c r="F1971" i="4"/>
  <c r="E1971" i="4" a="1"/>
  <c r="E1971" i="4"/>
  <c r="G1970" i="4" a="1"/>
  <c r="G1970" i="4"/>
  <c r="F1970" i="4"/>
  <c r="E1970" i="4" a="1"/>
  <c r="E1970" i="4"/>
  <c r="G1969" i="4" a="1"/>
  <c r="G1969" i="4"/>
  <c r="E1969" i="4" a="1"/>
  <c r="E1969" i="4"/>
  <c r="G1968" i="4" a="1"/>
  <c r="G1968" i="4"/>
  <c r="G1967" i="4" a="1"/>
  <c r="G1967" i="4"/>
  <c r="E1967" i="4" a="1"/>
  <c r="E1967" i="4"/>
  <c r="G1966" i="4" a="1"/>
  <c r="G1966" i="4"/>
  <c r="E1966" i="4" a="1"/>
  <c r="E1966" i="4"/>
  <c r="G1965" i="4" a="1"/>
  <c r="G1965" i="4"/>
  <c r="E1965" i="4" a="1"/>
  <c r="E1965" i="4"/>
  <c r="G1964" i="4" a="1"/>
  <c r="G1964" i="4"/>
  <c r="E1964" i="4" a="1"/>
  <c r="E1964" i="4"/>
  <c r="G1963" i="4" a="1"/>
  <c r="G1963" i="4"/>
  <c r="E1963" i="4" a="1"/>
  <c r="E1963" i="4"/>
  <c r="G1962" i="4" a="1"/>
  <c r="G1962" i="4"/>
  <c r="E1962" i="4" a="1"/>
  <c r="E1962" i="4"/>
  <c r="G1961" i="4" a="1"/>
  <c r="G1961" i="4"/>
  <c r="E1961" i="4" a="1"/>
  <c r="E1961" i="4"/>
  <c r="G1960" i="4" a="1"/>
  <c r="G1960" i="4"/>
  <c r="E1960" i="4" a="1"/>
  <c r="E1960" i="4"/>
  <c r="G1959" i="4" a="1"/>
  <c r="G1959" i="4"/>
  <c r="E1959" i="4" a="1"/>
  <c r="E1959" i="4"/>
  <c r="G1958" i="4" a="1"/>
  <c r="G1958" i="4"/>
  <c r="E1958" i="4" a="1"/>
  <c r="E1958" i="4"/>
  <c r="G1957" i="4" a="1"/>
  <c r="G1957" i="4"/>
  <c r="F1957" i="4"/>
  <c r="E1957" i="4" a="1"/>
  <c r="E1957" i="4"/>
  <c r="G1956" i="4" a="1"/>
  <c r="G1956" i="4"/>
  <c r="E1956" i="4" a="1"/>
  <c r="E1956" i="4"/>
  <c r="G1955" i="4" a="1"/>
  <c r="G1955" i="4"/>
  <c r="G1954" i="4" a="1"/>
  <c r="G1954" i="4"/>
  <c r="E1954" i="4" a="1"/>
  <c r="E1954" i="4"/>
  <c r="G1953" i="4" a="1"/>
  <c r="G1953" i="4"/>
  <c r="E1953" i="4" a="1"/>
  <c r="E1953" i="4"/>
  <c r="G1952" i="4" a="1"/>
  <c r="G1952" i="4"/>
  <c r="E1952" i="4" a="1"/>
  <c r="E1952" i="4"/>
  <c r="G1951" i="4" a="1"/>
  <c r="G1951" i="4"/>
  <c r="E1951" i="4" a="1"/>
  <c r="E1951" i="4"/>
  <c r="G1950" i="4" a="1"/>
  <c r="G1950" i="4"/>
  <c r="E1950" i="4" a="1"/>
  <c r="E1950" i="4"/>
  <c r="G1949" i="4" a="1"/>
  <c r="G1949" i="4"/>
  <c r="E1949" i="4" a="1"/>
  <c r="E1949" i="4"/>
  <c r="G1948" i="4" a="1"/>
  <c r="G1948" i="4"/>
  <c r="E1948" i="4" a="1"/>
  <c r="E1948" i="4"/>
  <c r="G1947" i="4" a="1"/>
  <c r="G1947" i="4"/>
  <c r="E1947" i="4" a="1"/>
  <c r="E1947" i="4"/>
  <c r="G1946" i="4" a="1"/>
  <c r="G1946" i="4"/>
  <c r="E1946" i="4" a="1"/>
  <c r="E1946" i="4"/>
  <c r="G1945" i="4" a="1"/>
  <c r="G1945" i="4"/>
  <c r="E1945" i="4" a="1"/>
  <c r="E1945" i="4"/>
  <c r="G1944" i="4" a="1"/>
  <c r="G1944" i="4"/>
  <c r="F1944" i="4"/>
  <c r="E1944" i="4" a="1"/>
  <c r="E1944" i="4"/>
  <c r="G1943" i="4" a="1"/>
  <c r="G1943" i="4"/>
  <c r="E1943" i="4" a="1"/>
  <c r="E1943" i="4"/>
  <c r="G1942" i="4" a="1"/>
  <c r="G1942" i="4"/>
  <c r="G1941" i="4" a="1"/>
  <c r="G1941" i="4"/>
  <c r="E1941" i="4" a="1"/>
  <c r="E1941" i="4"/>
  <c r="G1940" i="4" a="1"/>
  <c r="G1940" i="4"/>
  <c r="E1940" i="4" a="1"/>
  <c r="E1940" i="4"/>
  <c r="G1939" i="4" a="1"/>
  <c r="G1939" i="4"/>
  <c r="E1939" i="4" a="1"/>
  <c r="E1939" i="4"/>
  <c r="G1938" i="4" a="1"/>
  <c r="G1938" i="4"/>
  <c r="E1938" i="4" a="1"/>
  <c r="E1938" i="4"/>
  <c r="G1937" i="4" a="1"/>
  <c r="G1937" i="4"/>
  <c r="E1937" i="4" a="1"/>
  <c r="E1937" i="4"/>
  <c r="G1936" i="4" a="1"/>
  <c r="G1936" i="4"/>
  <c r="E1936" i="4" a="1"/>
  <c r="E1936" i="4"/>
  <c r="G1935" i="4" a="1"/>
  <c r="G1935" i="4"/>
  <c r="E1935" i="4" a="1"/>
  <c r="E1935" i="4"/>
  <c r="G1934" i="4" a="1"/>
  <c r="G1934" i="4"/>
  <c r="E1934" i="4" a="1"/>
  <c r="E1934" i="4"/>
  <c r="G1933" i="4" a="1"/>
  <c r="G1933" i="4"/>
  <c r="E1933" i="4" a="1"/>
  <c r="E1933" i="4"/>
  <c r="G1932" i="4" a="1"/>
  <c r="G1932" i="4"/>
  <c r="E1932" i="4" a="1"/>
  <c r="E1932" i="4"/>
  <c r="G1931" i="4" a="1"/>
  <c r="G1931" i="4"/>
  <c r="F1931" i="4"/>
  <c r="E1931" i="4" a="1"/>
  <c r="E1931" i="4"/>
  <c r="G1930" i="4" a="1"/>
  <c r="G1930" i="4"/>
  <c r="E1930" i="4" a="1"/>
  <c r="E1930" i="4"/>
  <c r="G1929" i="4" a="1"/>
  <c r="G1929" i="4"/>
  <c r="G1928" i="4" a="1"/>
  <c r="G1928" i="4"/>
  <c r="E1928" i="4" a="1"/>
  <c r="E1928" i="4"/>
  <c r="G1927" i="4" a="1"/>
  <c r="G1927" i="4"/>
  <c r="E1927" i="4" a="1"/>
  <c r="E1927" i="4"/>
  <c r="G1926" i="4" a="1"/>
  <c r="G1926" i="4"/>
  <c r="F1926" i="4"/>
  <c r="E1926" i="4" a="1"/>
  <c r="E1926" i="4"/>
  <c r="G1925" i="4" a="1"/>
  <c r="G1925" i="4"/>
  <c r="F1925" i="4"/>
  <c r="E1925" i="4" a="1"/>
  <c r="E1925" i="4"/>
  <c r="G1924" i="4" a="1"/>
  <c r="G1924" i="4"/>
  <c r="F1924" i="4"/>
  <c r="E1924" i="4" a="1"/>
  <c r="E1924" i="4"/>
  <c r="G1923" i="4" a="1"/>
  <c r="G1923" i="4"/>
  <c r="F1923" i="4"/>
  <c r="E1923" i="4" a="1"/>
  <c r="E1923" i="4"/>
  <c r="G1922" i="4" a="1"/>
  <c r="G1922" i="4"/>
  <c r="E1922" i="4" a="1"/>
  <c r="E1922" i="4"/>
  <c r="G1921" i="4" a="1"/>
  <c r="G1921" i="4"/>
  <c r="E1921" i="4" a="1"/>
  <c r="E1921" i="4"/>
  <c r="G1920" i="4" a="1"/>
  <c r="G1920" i="4"/>
  <c r="E1920" i="4" a="1"/>
  <c r="E1920" i="4"/>
  <c r="G1919" i="4" a="1"/>
  <c r="G1919" i="4"/>
  <c r="E1919" i="4" a="1"/>
  <c r="E1919" i="4"/>
  <c r="G1918" i="4" a="1"/>
  <c r="G1918" i="4"/>
  <c r="E1918" i="4" a="1"/>
  <c r="E1918" i="4"/>
  <c r="G1917" i="4" a="1"/>
  <c r="G1917" i="4"/>
  <c r="G1916" i="4" a="1"/>
  <c r="G1916" i="4"/>
  <c r="E1916" i="4" a="1"/>
  <c r="E1916" i="4"/>
  <c r="G1915" i="4" a="1"/>
  <c r="G1915" i="4"/>
  <c r="E1915" i="4" a="1"/>
  <c r="E1915" i="4"/>
  <c r="G1914" i="4" a="1"/>
  <c r="G1914" i="4"/>
  <c r="E1914" i="4" a="1"/>
  <c r="E1914" i="4"/>
  <c r="G1913" i="4" a="1"/>
  <c r="G1913" i="4"/>
  <c r="E1913" i="4" a="1"/>
  <c r="E1913" i="4"/>
  <c r="G1912" i="4" a="1"/>
  <c r="G1912" i="4"/>
  <c r="E1912" i="4" a="1"/>
  <c r="E1912" i="4"/>
  <c r="G1911" i="4" a="1"/>
  <c r="G1911" i="4"/>
  <c r="E1911" i="4" a="1"/>
  <c r="E1911" i="4"/>
  <c r="G1910" i="4" a="1"/>
  <c r="G1910" i="4"/>
  <c r="E1910" i="4" a="1"/>
  <c r="E1910" i="4"/>
  <c r="G1909" i="4" a="1"/>
  <c r="G1909" i="4"/>
  <c r="E1909" i="4" a="1"/>
  <c r="E1909" i="4"/>
  <c r="G1908" i="4" a="1"/>
  <c r="G1908" i="4"/>
  <c r="E1908" i="4" a="1"/>
  <c r="E1908" i="4"/>
  <c r="G1907" i="4" a="1"/>
  <c r="G1907" i="4"/>
  <c r="E1907" i="4" a="1"/>
  <c r="E1907" i="4"/>
  <c r="G1906" i="4" a="1"/>
  <c r="G1906" i="4"/>
  <c r="E1906" i="4" a="1"/>
  <c r="E1906" i="4"/>
  <c r="G1905" i="4" a="1"/>
  <c r="G1905" i="4"/>
  <c r="G1904" i="4" a="1"/>
  <c r="G1904" i="4"/>
  <c r="E1904" i="4" a="1"/>
  <c r="E1904" i="4"/>
  <c r="G1903" i="4" a="1"/>
  <c r="G1903" i="4"/>
  <c r="E1903" i="4" a="1"/>
  <c r="E1903" i="4"/>
  <c r="G1902" i="4" a="1"/>
  <c r="G1902" i="4"/>
  <c r="E1902" i="4" a="1"/>
  <c r="E1902" i="4"/>
  <c r="G1901" i="4" a="1"/>
  <c r="G1901" i="4"/>
  <c r="E1901" i="4" a="1"/>
  <c r="E1901" i="4"/>
  <c r="G1900" i="4" a="1"/>
  <c r="G1900" i="4"/>
  <c r="E1900" i="4" a="1"/>
  <c r="E1900" i="4"/>
  <c r="G1899" i="4" a="1"/>
  <c r="G1899" i="4"/>
  <c r="E1899" i="4" a="1"/>
  <c r="E1899" i="4"/>
  <c r="G1898" i="4" a="1"/>
  <c r="G1898" i="4"/>
  <c r="E1898" i="4" a="1"/>
  <c r="E1898" i="4"/>
  <c r="G1897" i="4" a="1"/>
  <c r="G1897" i="4"/>
  <c r="E1897" i="4" a="1"/>
  <c r="E1897" i="4"/>
  <c r="G1896" i="4" a="1"/>
  <c r="G1896" i="4"/>
  <c r="E1896" i="4" a="1"/>
  <c r="E1896" i="4"/>
  <c r="G1895" i="4" a="1"/>
  <c r="G1895" i="4"/>
  <c r="E1895" i="4" a="1"/>
  <c r="E1895" i="4"/>
  <c r="G1894" i="4" a="1"/>
  <c r="G1894" i="4"/>
  <c r="F1894" i="4"/>
  <c r="E1894" i="4" a="1"/>
  <c r="E1894" i="4"/>
  <c r="G1893" i="4" a="1"/>
  <c r="G1893" i="4"/>
  <c r="E1893" i="4" a="1"/>
  <c r="E1893" i="4"/>
  <c r="G1892" i="4" a="1"/>
  <c r="G1892" i="4"/>
  <c r="G1891" i="4" a="1"/>
  <c r="G1891" i="4"/>
  <c r="E1891" i="4" a="1"/>
  <c r="E1891" i="4"/>
  <c r="G1890" i="4" a="1"/>
  <c r="G1890" i="4"/>
  <c r="E1890" i="4" a="1"/>
  <c r="E1890" i="4"/>
  <c r="G1889" i="4" a="1"/>
  <c r="G1889" i="4"/>
  <c r="E1889" i="4" a="1"/>
  <c r="E1889" i="4"/>
  <c r="G1888" i="4" a="1"/>
  <c r="G1888" i="4"/>
  <c r="E1888" i="4" a="1"/>
  <c r="E1888" i="4"/>
  <c r="G1887" i="4" a="1"/>
  <c r="G1887" i="4"/>
  <c r="E1887" i="4" a="1"/>
  <c r="E1887" i="4"/>
  <c r="G1886" i="4" a="1"/>
  <c r="G1886" i="4"/>
  <c r="E1886" i="4" a="1"/>
  <c r="E1886" i="4"/>
  <c r="G1885" i="4" a="1"/>
  <c r="G1885" i="4"/>
  <c r="E1885" i="4" a="1"/>
  <c r="E1885" i="4"/>
  <c r="G1884" i="4" a="1"/>
  <c r="G1884" i="4"/>
  <c r="E1884" i="4" a="1"/>
  <c r="E1884" i="4"/>
  <c r="G1883" i="4" a="1"/>
  <c r="G1883" i="4"/>
  <c r="E1883" i="4" a="1"/>
  <c r="E1883" i="4"/>
  <c r="G1882" i="4" a="1"/>
  <c r="G1882" i="4"/>
  <c r="E1882" i="4" a="1"/>
  <c r="E1882" i="4"/>
  <c r="G1881" i="4" a="1"/>
  <c r="G1881" i="4"/>
  <c r="E1881" i="4" a="1"/>
  <c r="E1881" i="4"/>
  <c r="G1880" i="4" a="1"/>
  <c r="G1880" i="4"/>
  <c r="G1879" i="4" a="1"/>
  <c r="G1879" i="4"/>
  <c r="E1879" i="4" a="1"/>
  <c r="E1879" i="4"/>
  <c r="G1878" i="4" a="1"/>
  <c r="G1878" i="4"/>
  <c r="E1878" i="4" a="1"/>
  <c r="E1878" i="4"/>
  <c r="G1877" i="4" a="1"/>
  <c r="G1877" i="4"/>
  <c r="E1877" i="4" a="1"/>
  <c r="E1877" i="4"/>
  <c r="G1876" i="4" a="1"/>
  <c r="G1876" i="4"/>
  <c r="E1876" i="4" a="1"/>
  <c r="E1876" i="4"/>
  <c r="G1875" i="4" a="1"/>
  <c r="G1875" i="4"/>
  <c r="E1875" i="4" a="1"/>
  <c r="E1875" i="4"/>
  <c r="G1874" i="4" a="1"/>
  <c r="G1874" i="4"/>
  <c r="E1874" i="4" a="1"/>
  <c r="E1874" i="4"/>
  <c r="G1873" i="4" a="1"/>
  <c r="G1873" i="4"/>
  <c r="E1873" i="4" a="1"/>
  <c r="E1873" i="4"/>
  <c r="G1872" i="4" a="1"/>
  <c r="G1872" i="4"/>
  <c r="E1872" i="4" a="1"/>
  <c r="E1872" i="4"/>
  <c r="G1871" i="4" a="1"/>
  <c r="G1871" i="4"/>
  <c r="E1871" i="4" a="1"/>
  <c r="E1871" i="4"/>
  <c r="G1870" i="4" a="1"/>
  <c r="G1870" i="4"/>
  <c r="E1870" i="4" a="1"/>
  <c r="E1870" i="4"/>
  <c r="G1869" i="4" a="1"/>
  <c r="G1869" i="4"/>
  <c r="F1869" i="4"/>
  <c r="E1869" i="4" a="1"/>
  <c r="E1869" i="4"/>
  <c r="G1868" i="4" a="1"/>
  <c r="G1868" i="4"/>
  <c r="E1868" i="4" a="1"/>
  <c r="E1868" i="4"/>
  <c r="G1867" i="4" a="1"/>
  <c r="G1867" i="4"/>
  <c r="G1866" i="4" a="1"/>
  <c r="G1866" i="4"/>
  <c r="E1866" i="4" a="1"/>
  <c r="E1866" i="4"/>
  <c r="G1865" i="4" a="1"/>
  <c r="G1865" i="4"/>
  <c r="E1865" i="4" a="1"/>
  <c r="E1865" i="4"/>
  <c r="G1864" i="4" a="1"/>
  <c r="G1864" i="4"/>
  <c r="E1864" i="4" a="1"/>
  <c r="E1864" i="4"/>
  <c r="G1863" i="4" a="1"/>
  <c r="G1863" i="4"/>
  <c r="E1863" i="4" a="1"/>
  <c r="E1863" i="4"/>
  <c r="G1862" i="4" a="1"/>
  <c r="G1862" i="4"/>
  <c r="E1862" i="4" a="1"/>
  <c r="E1862" i="4"/>
  <c r="G1861" i="4" a="1"/>
  <c r="G1861" i="4"/>
  <c r="E1861" i="4" a="1"/>
  <c r="E1861" i="4"/>
  <c r="G1860" i="4" a="1"/>
  <c r="G1860" i="4"/>
  <c r="E1860" i="4" a="1"/>
  <c r="E1860" i="4"/>
  <c r="G1859" i="4" a="1"/>
  <c r="G1859" i="4"/>
  <c r="E1859" i="4" a="1"/>
  <c r="E1859" i="4"/>
  <c r="G1858" i="4" a="1"/>
  <c r="G1858" i="4"/>
  <c r="E1858" i="4" a="1"/>
  <c r="E1858" i="4"/>
  <c r="G1857" i="4" a="1"/>
  <c r="G1857" i="4"/>
  <c r="E1857" i="4" a="1"/>
  <c r="E1857" i="4"/>
  <c r="G1856" i="4" a="1"/>
  <c r="G1856" i="4"/>
  <c r="E1856" i="4" a="1"/>
  <c r="E1856" i="4"/>
  <c r="G1855" i="4" a="1"/>
  <c r="G1855" i="4"/>
  <c r="G1854" i="4" a="1"/>
  <c r="G1854" i="4"/>
  <c r="E1854" i="4" a="1"/>
  <c r="E1854" i="4"/>
  <c r="G1853" i="4" a="1"/>
  <c r="G1853" i="4"/>
  <c r="E1853" i="4" a="1"/>
  <c r="E1853" i="4"/>
  <c r="G1852" i="4" a="1"/>
  <c r="G1852" i="4"/>
  <c r="E1852" i="4" a="1"/>
  <c r="E1852" i="4"/>
  <c r="G1851" i="4" a="1"/>
  <c r="G1851" i="4"/>
  <c r="E1851" i="4" a="1"/>
  <c r="E1851" i="4"/>
  <c r="G1850" i="4" a="1"/>
  <c r="G1850" i="4"/>
  <c r="E1850" i="4" a="1"/>
  <c r="E1850" i="4"/>
  <c r="G1849" i="4" a="1"/>
  <c r="G1849" i="4"/>
  <c r="E1849" i="4" a="1"/>
  <c r="E1849" i="4"/>
  <c r="G1848" i="4" a="1"/>
  <c r="G1848" i="4"/>
  <c r="E1848" i="4" a="1"/>
  <c r="E1848" i="4"/>
  <c r="G1847" i="4" a="1"/>
  <c r="G1847" i="4"/>
  <c r="E1847" i="4" a="1"/>
  <c r="E1847" i="4"/>
  <c r="G1846" i="4" a="1"/>
  <c r="G1846" i="4"/>
  <c r="E1846" i="4" a="1"/>
  <c r="E1846" i="4"/>
  <c r="G1845" i="4" a="1"/>
  <c r="G1845" i="4"/>
  <c r="E1845" i="4" a="1"/>
  <c r="E1845" i="4"/>
  <c r="G1844" i="4" a="1"/>
  <c r="G1844" i="4"/>
  <c r="E1844" i="4" a="1"/>
  <c r="E1844" i="4"/>
  <c r="G1843" i="4" a="1"/>
  <c r="G1843" i="4"/>
  <c r="G1842" i="4" a="1"/>
  <c r="G1842" i="4"/>
  <c r="E1842" i="4" a="1"/>
  <c r="E1842" i="4"/>
  <c r="G1841" i="4" a="1"/>
  <c r="G1841" i="4"/>
  <c r="E1841" i="4" a="1"/>
  <c r="E1841" i="4"/>
  <c r="G1840" i="4" a="1"/>
  <c r="G1840" i="4"/>
  <c r="E1840" i="4" a="1"/>
  <c r="E1840" i="4"/>
  <c r="G1839" i="4" a="1"/>
  <c r="G1839" i="4"/>
  <c r="E1839" i="4" a="1"/>
  <c r="E1839" i="4"/>
  <c r="G1838" i="4" a="1"/>
  <c r="G1838" i="4"/>
  <c r="E1838" i="4" a="1"/>
  <c r="E1838" i="4"/>
  <c r="G1837" i="4" a="1"/>
  <c r="G1837" i="4"/>
  <c r="E1837" i="4" a="1"/>
  <c r="E1837" i="4"/>
  <c r="G1836" i="4" a="1"/>
  <c r="G1836" i="4"/>
  <c r="G1835" i="4" a="1"/>
  <c r="G1835" i="4"/>
  <c r="E1835" i="4" a="1"/>
  <c r="E1835" i="4"/>
  <c r="G1834" i="4" a="1"/>
  <c r="G1834" i="4"/>
  <c r="E1834" i="4" a="1"/>
  <c r="E1834" i="4"/>
  <c r="G1833" i="4" a="1"/>
  <c r="G1833" i="4"/>
  <c r="E1833" i="4" a="1"/>
  <c r="E1833" i="4"/>
  <c r="G1832" i="4" a="1"/>
  <c r="G1832" i="4"/>
  <c r="E1832" i="4" a="1"/>
  <c r="E1832" i="4"/>
  <c r="G1831" i="4" a="1"/>
  <c r="G1831" i="4"/>
  <c r="E1831" i="4" a="1"/>
  <c r="E1831" i="4"/>
  <c r="G1830" i="4" a="1"/>
  <c r="G1830" i="4"/>
  <c r="E1830" i="4" a="1"/>
  <c r="E1830" i="4"/>
  <c r="G1829" i="4" a="1"/>
  <c r="G1829" i="4"/>
  <c r="E1829" i="4" a="1"/>
  <c r="E1829" i="4"/>
  <c r="G1828" i="4" a="1"/>
  <c r="G1828" i="4"/>
  <c r="E1828" i="4" a="1"/>
  <c r="E1828" i="4"/>
  <c r="G1827" i="4" a="1"/>
  <c r="G1827" i="4"/>
  <c r="E1827" i="4" a="1"/>
  <c r="E1827" i="4"/>
  <c r="G1826" i="4" a="1"/>
  <c r="G1826" i="4"/>
  <c r="E1826" i="4" a="1"/>
  <c r="E1826" i="4"/>
  <c r="G1825" i="4" a="1"/>
  <c r="G1825" i="4"/>
  <c r="E1825" i="4" a="1"/>
  <c r="E1825" i="4"/>
  <c r="G1824" i="4" a="1"/>
  <c r="G1824" i="4"/>
  <c r="G1823" i="4" a="1"/>
  <c r="G1823" i="4"/>
  <c r="E1823" i="4" a="1"/>
  <c r="E1823" i="4"/>
  <c r="G1822" i="4" a="1"/>
  <c r="G1822" i="4"/>
  <c r="E1822" i="4" a="1"/>
  <c r="E1822" i="4"/>
  <c r="G1821" i="4" a="1"/>
  <c r="G1821" i="4"/>
  <c r="E1821" i="4" a="1"/>
  <c r="E1821" i="4"/>
  <c r="G1820" i="4" a="1"/>
  <c r="G1820" i="4"/>
  <c r="E1820" i="4" a="1"/>
  <c r="E1820" i="4"/>
  <c r="G1819" i="4" a="1"/>
  <c r="G1819" i="4"/>
  <c r="E1819" i="4" a="1"/>
  <c r="E1819" i="4"/>
  <c r="G1818" i="4" a="1"/>
  <c r="G1818" i="4"/>
  <c r="E1818" i="4" a="1"/>
  <c r="E1818" i="4"/>
  <c r="G1817" i="4" a="1"/>
  <c r="G1817" i="4"/>
  <c r="E1817" i="4" a="1"/>
  <c r="E1817" i="4"/>
  <c r="G1816" i="4" a="1"/>
  <c r="G1816" i="4"/>
  <c r="E1816" i="4" a="1"/>
  <c r="E1816" i="4"/>
  <c r="G1815" i="4" a="1"/>
  <c r="G1815" i="4"/>
  <c r="E1815" i="4" a="1"/>
  <c r="E1815" i="4"/>
  <c r="G1814" i="4" a="1"/>
  <c r="G1814" i="4"/>
  <c r="E1814" i="4" a="1"/>
  <c r="E1814" i="4"/>
  <c r="G1813" i="4" a="1"/>
  <c r="G1813" i="4"/>
  <c r="E1813" i="4" a="1"/>
  <c r="E1813" i="4"/>
  <c r="G1812" i="4" a="1"/>
  <c r="G1812" i="4"/>
  <c r="G1811" i="4" a="1"/>
  <c r="G1811" i="4"/>
  <c r="E1811" i="4" a="1"/>
  <c r="E1811" i="4"/>
  <c r="G1810" i="4" a="1"/>
  <c r="G1810" i="4"/>
  <c r="E1810" i="4" a="1"/>
  <c r="E1810" i="4"/>
  <c r="G1809" i="4" a="1"/>
  <c r="G1809" i="4"/>
  <c r="E1809" i="4" a="1"/>
  <c r="E1809" i="4"/>
  <c r="G1808" i="4" a="1"/>
  <c r="G1808" i="4"/>
  <c r="E1808" i="4" a="1"/>
  <c r="E1808" i="4"/>
  <c r="G1807" i="4" a="1"/>
  <c r="G1807" i="4"/>
  <c r="E1807" i="4" a="1"/>
  <c r="E1807" i="4"/>
  <c r="G1806" i="4" a="1"/>
  <c r="G1806" i="4"/>
  <c r="E1806" i="4" a="1"/>
  <c r="E1806" i="4"/>
  <c r="G1805" i="4" a="1"/>
  <c r="G1805" i="4"/>
  <c r="E1805" i="4" a="1"/>
  <c r="E1805" i="4"/>
  <c r="G1804" i="4" a="1"/>
  <c r="G1804" i="4"/>
  <c r="E1804" i="4" a="1"/>
  <c r="E1804" i="4"/>
  <c r="G1803" i="4" a="1"/>
  <c r="G1803" i="4"/>
  <c r="E1803" i="4" a="1"/>
  <c r="E1803" i="4"/>
  <c r="G1802" i="4" a="1"/>
  <c r="G1802" i="4"/>
  <c r="E1802" i="4" a="1"/>
  <c r="E1802" i="4"/>
  <c r="G1801" i="4" a="1"/>
  <c r="G1801" i="4"/>
  <c r="G1800" i="4" a="1"/>
  <c r="G1800" i="4"/>
  <c r="E1800" i="4" a="1"/>
  <c r="E1800" i="4"/>
  <c r="G1799" i="4" a="1"/>
  <c r="G1799" i="4"/>
  <c r="E1799" i="4" a="1"/>
  <c r="E1799" i="4"/>
  <c r="G1798" i="4" a="1"/>
  <c r="G1798" i="4"/>
  <c r="E1798" i="4" a="1"/>
  <c r="E1798" i="4"/>
  <c r="G1797" i="4" a="1"/>
  <c r="G1797" i="4"/>
  <c r="E1797" i="4" a="1"/>
  <c r="E1797" i="4"/>
  <c r="G1796" i="4" a="1"/>
  <c r="G1796" i="4"/>
  <c r="E1796" i="4" a="1"/>
  <c r="E1796" i="4"/>
  <c r="G1795" i="4" a="1"/>
  <c r="G1795" i="4"/>
  <c r="E1795" i="4" a="1"/>
  <c r="E1795" i="4"/>
  <c r="G1794" i="4" a="1"/>
  <c r="G1794" i="4"/>
  <c r="E1794" i="4" a="1"/>
  <c r="E1794" i="4"/>
  <c r="G1793" i="4" a="1"/>
  <c r="G1793" i="4"/>
  <c r="E1793" i="4" a="1"/>
  <c r="E1793" i="4"/>
  <c r="G1792" i="4" a="1"/>
  <c r="G1792" i="4"/>
  <c r="E1792" i="4" a="1"/>
  <c r="E1792" i="4"/>
  <c r="G1791" i="4" a="1"/>
  <c r="G1791" i="4"/>
  <c r="E1791" i="4" a="1"/>
  <c r="E1791" i="4"/>
  <c r="G1790" i="4" a="1"/>
  <c r="G1790" i="4"/>
  <c r="E1790" i="4" a="1"/>
  <c r="E1790" i="4"/>
  <c r="G1789" i="4" a="1"/>
  <c r="G1789" i="4"/>
  <c r="G1788" i="4" a="1"/>
  <c r="G1788" i="4"/>
  <c r="E1788" i="4" a="1"/>
  <c r="E1788" i="4"/>
  <c r="G1787" i="4" a="1"/>
  <c r="G1787" i="4"/>
  <c r="E1787" i="4" a="1"/>
  <c r="E1787" i="4"/>
  <c r="G1786" i="4" a="1"/>
  <c r="G1786" i="4"/>
  <c r="E1786" i="4" a="1"/>
  <c r="E1786" i="4"/>
  <c r="G1785" i="4" a="1"/>
  <c r="G1785" i="4"/>
  <c r="E1785" i="4" a="1"/>
  <c r="E1785" i="4"/>
  <c r="G1784" i="4" a="1"/>
  <c r="G1784" i="4"/>
  <c r="E1784" i="4" a="1"/>
  <c r="E1784" i="4"/>
  <c r="G1783" i="4" a="1"/>
  <c r="G1783" i="4"/>
  <c r="E1783" i="4" a="1"/>
  <c r="E1783" i="4"/>
  <c r="G1782" i="4" a="1"/>
  <c r="G1782" i="4"/>
  <c r="E1782" i="4" a="1"/>
  <c r="E1782" i="4"/>
  <c r="G1781" i="4" a="1"/>
  <c r="G1781" i="4"/>
  <c r="E1781" i="4" a="1"/>
  <c r="E1781" i="4"/>
  <c r="G1780" i="4" a="1"/>
  <c r="G1780" i="4"/>
  <c r="E1780" i="4" a="1"/>
  <c r="E1780" i="4"/>
  <c r="G1779" i="4" a="1"/>
  <c r="G1779" i="4"/>
  <c r="E1779" i="4" a="1"/>
  <c r="E1779" i="4"/>
  <c r="G1778" i="4" a="1"/>
  <c r="G1778" i="4"/>
  <c r="G1777" i="4" a="1"/>
  <c r="G1777" i="4"/>
  <c r="E1777" i="4" a="1"/>
  <c r="E1777" i="4"/>
  <c r="G1776" i="4" a="1"/>
  <c r="G1776" i="4"/>
  <c r="E1776" i="4" a="1"/>
  <c r="E1776" i="4"/>
  <c r="G1775" i="4" a="1"/>
  <c r="G1775" i="4"/>
  <c r="E1775" i="4" a="1"/>
  <c r="E1775" i="4"/>
  <c r="G1774" i="4" a="1"/>
  <c r="G1774" i="4"/>
  <c r="E1774" i="4" a="1"/>
  <c r="E1774" i="4"/>
  <c r="G1773" i="4" a="1"/>
  <c r="G1773" i="4"/>
  <c r="E1773" i="4" a="1"/>
  <c r="E1773" i="4"/>
  <c r="G1772" i="4" a="1"/>
  <c r="G1772" i="4"/>
  <c r="E1772" i="4" a="1"/>
  <c r="E1772" i="4"/>
  <c r="G1771" i="4" a="1"/>
  <c r="G1771" i="4"/>
  <c r="E1771" i="4" a="1"/>
  <c r="E1771" i="4"/>
  <c r="G1770" i="4" a="1"/>
  <c r="G1770" i="4"/>
  <c r="E1770" i="4" a="1"/>
  <c r="E1770" i="4"/>
  <c r="G1769" i="4" a="1"/>
  <c r="G1769" i="4"/>
  <c r="E1769" i="4" a="1"/>
  <c r="E1769" i="4"/>
  <c r="G1768" i="4" a="1"/>
  <c r="G1768" i="4"/>
  <c r="E1768" i="4" a="1"/>
  <c r="E1768" i="4"/>
  <c r="G1767" i="4" a="1"/>
  <c r="G1767" i="4"/>
  <c r="E1767" i="4" a="1"/>
  <c r="E1767" i="4"/>
  <c r="G1766" i="4" a="1"/>
  <c r="G1766" i="4"/>
  <c r="G1765" i="4" a="1"/>
  <c r="G1765" i="4"/>
  <c r="E1765" i="4" a="1"/>
  <c r="E1765" i="4"/>
  <c r="G1764" i="4" a="1"/>
  <c r="G1764" i="4"/>
  <c r="E1764" i="4" a="1"/>
  <c r="E1764" i="4"/>
  <c r="G1763" i="4" a="1"/>
  <c r="G1763" i="4"/>
  <c r="E1763" i="4" a="1"/>
  <c r="E1763" i="4"/>
  <c r="G1762" i="4" a="1"/>
  <c r="G1762" i="4"/>
  <c r="E1762" i="4" a="1"/>
  <c r="E1762" i="4"/>
  <c r="G1761" i="4" a="1"/>
  <c r="G1761" i="4"/>
  <c r="E1761" i="4" a="1"/>
  <c r="E1761" i="4"/>
  <c r="G1760" i="4" a="1"/>
  <c r="G1760" i="4"/>
  <c r="E1760" i="4" a="1"/>
  <c r="E1760" i="4"/>
  <c r="G1759" i="4" a="1"/>
  <c r="G1759" i="4"/>
  <c r="E1759" i="4" a="1"/>
  <c r="E1759" i="4"/>
  <c r="G1758" i="4" a="1"/>
  <c r="G1758" i="4"/>
  <c r="E1758" i="4" a="1"/>
  <c r="E1758" i="4"/>
  <c r="G1757" i="4" a="1"/>
  <c r="G1757" i="4"/>
  <c r="E1757" i="4" a="1"/>
  <c r="E1757" i="4"/>
  <c r="G1756" i="4" a="1"/>
  <c r="G1756" i="4"/>
  <c r="E1756" i="4" a="1"/>
  <c r="E1756" i="4"/>
  <c r="G1755" i="4" a="1"/>
  <c r="G1755" i="4"/>
  <c r="E1755" i="4" a="1"/>
  <c r="E1755" i="4"/>
  <c r="G1754" i="4" a="1"/>
  <c r="G1754" i="4"/>
  <c r="G1753" i="4" a="1"/>
  <c r="G1753" i="4"/>
  <c r="E1753" i="4" a="1"/>
  <c r="E1753" i="4"/>
  <c r="G1752" i="4" a="1"/>
  <c r="G1752" i="4"/>
  <c r="E1752" i="4" a="1"/>
  <c r="E1752" i="4"/>
  <c r="G1751" i="4" a="1"/>
  <c r="G1751" i="4"/>
  <c r="E1751" i="4" a="1"/>
  <c r="E1751" i="4"/>
  <c r="G1750" i="4" a="1"/>
  <c r="G1750" i="4"/>
  <c r="E1750" i="4" a="1"/>
  <c r="E1750" i="4"/>
  <c r="G1749" i="4" a="1"/>
  <c r="G1749" i="4"/>
  <c r="E1749" i="4" a="1"/>
  <c r="E1749" i="4"/>
  <c r="G1748" i="4" a="1"/>
  <c r="G1748" i="4"/>
  <c r="E1748" i="4" a="1"/>
  <c r="E1748" i="4"/>
  <c r="G1747" i="4" a="1"/>
  <c r="G1747" i="4"/>
  <c r="E1747" i="4" a="1"/>
  <c r="E1747" i="4"/>
  <c r="G1746" i="4" a="1"/>
  <c r="G1746" i="4"/>
  <c r="E1746" i="4" a="1"/>
  <c r="E1746" i="4"/>
  <c r="G1745" i="4" a="1"/>
  <c r="G1745" i="4"/>
  <c r="E1745" i="4" a="1"/>
  <c r="E1745" i="4"/>
  <c r="G1744" i="4" a="1"/>
  <c r="G1744" i="4"/>
  <c r="E1744" i="4" a="1"/>
  <c r="E1744" i="4"/>
  <c r="G1743" i="4" a="1"/>
  <c r="G1743" i="4"/>
  <c r="E1743" i="4" a="1"/>
  <c r="E1743" i="4"/>
  <c r="G1742" i="4" a="1"/>
  <c r="G1742" i="4"/>
  <c r="G1741" i="4" a="1"/>
  <c r="G1741" i="4"/>
  <c r="E1741" i="4" a="1"/>
  <c r="E1741" i="4"/>
  <c r="G1740" i="4" a="1"/>
  <c r="G1740" i="4"/>
  <c r="E1740" i="4" a="1"/>
  <c r="E1740" i="4"/>
  <c r="G1739" i="4" a="1"/>
  <c r="G1739" i="4"/>
  <c r="E1739" i="4" a="1"/>
  <c r="E1739" i="4"/>
  <c r="G1738" i="4" a="1"/>
  <c r="G1738" i="4"/>
  <c r="E1738" i="4" a="1"/>
  <c r="E1738" i="4"/>
  <c r="G1737" i="4" a="1"/>
  <c r="G1737" i="4"/>
  <c r="E1737" i="4" a="1"/>
  <c r="E1737" i="4"/>
  <c r="G1736" i="4" a="1"/>
  <c r="G1736" i="4"/>
  <c r="E1736" i="4" a="1"/>
  <c r="E1736" i="4"/>
  <c r="G1735" i="4" a="1"/>
  <c r="G1735" i="4"/>
  <c r="E1735" i="4" a="1"/>
  <c r="E1735" i="4"/>
  <c r="G1734" i="4" a="1"/>
  <c r="G1734" i="4"/>
  <c r="E1734" i="4" a="1"/>
  <c r="E1734" i="4"/>
  <c r="G1733" i="4" a="1"/>
  <c r="G1733" i="4"/>
  <c r="E1733" i="4" a="1"/>
  <c r="E1733" i="4"/>
  <c r="G1732" i="4" a="1"/>
  <c r="G1732" i="4"/>
  <c r="E1732" i="4" a="1"/>
  <c r="E1732" i="4"/>
  <c r="G1731" i="4" a="1"/>
  <c r="G1731" i="4"/>
  <c r="G1730" i="4" a="1"/>
  <c r="G1730" i="4"/>
  <c r="E1730" i="4" a="1"/>
  <c r="E1730" i="4"/>
  <c r="G1729" i="4" a="1"/>
  <c r="G1729" i="4"/>
  <c r="E1729" i="4" a="1"/>
  <c r="E1729" i="4"/>
  <c r="G1728" i="4" a="1"/>
  <c r="G1728" i="4"/>
  <c r="E1728" i="4" a="1"/>
  <c r="E1728" i="4"/>
  <c r="G1727" i="4" a="1"/>
  <c r="G1727" i="4"/>
  <c r="E1727" i="4" a="1"/>
  <c r="E1727" i="4"/>
  <c r="G1726" i="4" a="1"/>
  <c r="G1726" i="4"/>
  <c r="E1726" i="4" a="1"/>
  <c r="E1726" i="4"/>
  <c r="G1725" i="4" a="1"/>
  <c r="G1725" i="4"/>
  <c r="E1725" i="4" a="1"/>
  <c r="E1725" i="4"/>
  <c r="G1724" i="4" a="1"/>
  <c r="G1724" i="4"/>
  <c r="E1724" i="4" a="1"/>
  <c r="E1724" i="4"/>
  <c r="G1723" i="4" a="1"/>
  <c r="G1723" i="4"/>
  <c r="E1723" i="4" a="1"/>
  <c r="E1723" i="4"/>
  <c r="G1722" i="4" a="1"/>
  <c r="G1722" i="4"/>
  <c r="E1722" i="4" a="1"/>
  <c r="E1722" i="4"/>
  <c r="G1721" i="4" a="1"/>
  <c r="G1721" i="4"/>
  <c r="E1721" i="4" a="1"/>
  <c r="E1721" i="4"/>
  <c r="G1720" i="4" a="1"/>
  <c r="G1720" i="4"/>
  <c r="G1719" i="4" a="1"/>
  <c r="G1719" i="4"/>
  <c r="E1719" i="4" a="1"/>
  <c r="E1719" i="4"/>
  <c r="G1718" i="4" a="1"/>
  <c r="G1718" i="4"/>
  <c r="E1718" i="4" a="1"/>
  <c r="E1718" i="4"/>
  <c r="G1717" i="4" a="1"/>
  <c r="G1717" i="4"/>
  <c r="E1717" i="4" a="1"/>
  <c r="E1717" i="4"/>
  <c r="G1716" i="4" a="1"/>
  <c r="G1716" i="4"/>
  <c r="E1716" i="4" a="1"/>
  <c r="E1716" i="4"/>
  <c r="G1715" i="4" a="1"/>
  <c r="G1715" i="4"/>
  <c r="E1715" i="4" a="1"/>
  <c r="E1715" i="4"/>
  <c r="G1714" i="4" a="1"/>
  <c r="G1714" i="4"/>
  <c r="E1714" i="4" a="1"/>
  <c r="E1714" i="4"/>
  <c r="G1713" i="4" a="1"/>
  <c r="G1713" i="4"/>
  <c r="E1713" i="4" a="1"/>
  <c r="E1713" i="4"/>
  <c r="G1712" i="4" a="1"/>
  <c r="G1712" i="4"/>
  <c r="E1712" i="4" a="1"/>
  <c r="E1712" i="4"/>
  <c r="G1711" i="4" a="1"/>
  <c r="G1711" i="4"/>
  <c r="E1711" i="4" a="1"/>
  <c r="E1711" i="4"/>
  <c r="G1710" i="4" a="1"/>
  <c r="G1710" i="4"/>
  <c r="E1710" i="4" a="1"/>
  <c r="E1710" i="4"/>
  <c r="G1709" i="4" a="1"/>
  <c r="G1709" i="4"/>
  <c r="G1708" i="4" a="1"/>
  <c r="G1708" i="4"/>
  <c r="E1708" i="4" a="1"/>
  <c r="E1708" i="4"/>
  <c r="G1707" i="4" a="1"/>
  <c r="G1707" i="4"/>
  <c r="E1707" i="4" a="1"/>
  <c r="E1707" i="4"/>
  <c r="G1706" i="4" a="1"/>
  <c r="G1706" i="4"/>
  <c r="E1706" i="4" a="1"/>
  <c r="E1706" i="4"/>
  <c r="G1705" i="4" a="1"/>
  <c r="G1705" i="4"/>
  <c r="E1705" i="4" a="1"/>
  <c r="E1705" i="4"/>
  <c r="G1704" i="4" a="1"/>
  <c r="G1704" i="4"/>
  <c r="E1704" i="4" a="1"/>
  <c r="E1704" i="4"/>
  <c r="G1703" i="4" a="1"/>
  <c r="G1703" i="4"/>
  <c r="E1703" i="4" a="1"/>
  <c r="E1703" i="4"/>
  <c r="G1702" i="4" a="1"/>
  <c r="G1702" i="4"/>
  <c r="E1702" i="4" a="1"/>
  <c r="E1702" i="4"/>
  <c r="G1701" i="4" a="1"/>
  <c r="G1701" i="4"/>
  <c r="E1701" i="4" a="1"/>
  <c r="E1701" i="4"/>
  <c r="G1700" i="4" a="1"/>
  <c r="G1700" i="4"/>
  <c r="E1700" i="4" a="1"/>
  <c r="E1700" i="4"/>
  <c r="G1699" i="4" a="1"/>
  <c r="G1699" i="4"/>
  <c r="E1699" i="4" a="1"/>
  <c r="E1699" i="4"/>
  <c r="G1698" i="4" a="1"/>
  <c r="G1698" i="4"/>
  <c r="G1697" i="4" a="1"/>
  <c r="G1697" i="4"/>
  <c r="E1697" i="4" a="1"/>
  <c r="E1697" i="4"/>
  <c r="G1696" i="4" a="1"/>
  <c r="G1696" i="4"/>
  <c r="E1696" i="4" a="1"/>
  <c r="E1696" i="4"/>
  <c r="G1695" i="4" a="1"/>
  <c r="G1695" i="4"/>
  <c r="E1695" i="4" a="1"/>
  <c r="E1695" i="4"/>
  <c r="G1694" i="4" a="1"/>
  <c r="G1694" i="4"/>
  <c r="E1694" i="4" a="1"/>
  <c r="E1694" i="4"/>
  <c r="G1693" i="4" a="1"/>
  <c r="G1693" i="4"/>
  <c r="E1693" i="4" a="1"/>
  <c r="E1693" i="4"/>
  <c r="G1692" i="4" a="1"/>
  <c r="G1692" i="4"/>
  <c r="E1692" i="4" a="1"/>
  <c r="E1692" i="4"/>
  <c r="G1691" i="4" a="1"/>
  <c r="G1691" i="4"/>
  <c r="E1691" i="4" a="1"/>
  <c r="E1691" i="4"/>
  <c r="G1690" i="4" a="1"/>
  <c r="G1690" i="4"/>
  <c r="E1690" i="4" a="1"/>
  <c r="E1690" i="4"/>
  <c r="G1689" i="4" a="1"/>
  <c r="G1689" i="4"/>
  <c r="E1689" i="4" a="1"/>
  <c r="E1689" i="4"/>
  <c r="G1688" i="4" a="1"/>
  <c r="G1688" i="4"/>
  <c r="E1688" i="4" a="1"/>
  <c r="E1688" i="4"/>
  <c r="G1687" i="4" a="1"/>
  <c r="G1687" i="4"/>
  <c r="E1687" i="4" a="1"/>
  <c r="E1687" i="4"/>
  <c r="G1686" i="4" a="1"/>
  <c r="G1686" i="4"/>
  <c r="G1685" i="4" a="1"/>
  <c r="G1685" i="4"/>
  <c r="E1685" i="4" a="1"/>
  <c r="E1685" i="4"/>
  <c r="G1684" i="4" a="1"/>
  <c r="G1684" i="4"/>
  <c r="E1684" i="4" a="1"/>
  <c r="E1684" i="4"/>
  <c r="G1683" i="4" a="1"/>
  <c r="G1683" i="4"/>
  <c r="E1683" i="4" a="1"/>
  <c r="E1683" i="4"/>
  <c r="G1682" i="4" a="1"/>
  <c r="G1682" i="4"/>
  <c r="E1682" i="4" a="1"/>
  <c r="E1682" i="4"/>
  <c r="G1681" i="4" a="1"/>
  <c r="G1681" i="4"/>
  <c r="E1681" i="4" a="1"/>
  <c r="E1681" i="4"/>
  <c r="G1680" i="4" a="1"/>
  <c r="G1680" i="4"/>
  <c r="E1680" i="4" a="1"/>
  <c r="E1680" i="4"/>
  <c r="G1679" i="4" a="1"/>
  <c r="G1679" i="4"/>
  <c r="E1679" i="4" a="1"/>
  <c r="E1679" i="4"/>
  <c r="G1678" i="4" a="1"/>
  <c r="G1678" i="4"/>
  <c r="E1678" i="4" a="1"/>
  <c r="E1678" i="4"/>
  <c r="G1677" i="4" a="1"/>
  <c r="G1677" i="4"/>
  <c r="E1677" i="4" a="1"/>
  <c r="E1677" i="4"/>
  <c r="G1676" i="4" a="1"/>
  <c r="G1676" i="4"/>
  <c r="E1676" i="4" a="1"/>
  <c r="E1676" i="4"/>
  <c r="G1675" i="4" a="1"/>
  <c r="G1675" i="4"/>
  <c r="E1675" i="4" a="1"/>
  <c r="E1675" i="4"/>
  <c r="G1674" i="4" a="1"/>
  <c r="G1674" i="4"/>
  <c r="G1673" i="4" a="1"/>
  <c r="G1673" i="4"/>
  <c r="E1673" i="4" a="1"/>
  <c r="E1673" i="4"/>
  <c r="G1672" i="4" a="1"/>
  <c r="G1672" i="4"/>
  <c r="E1672" i="4" a="1"/>
  <c r="E1672" i="4"/>
  <c r="G1671" i="4" a="1"/>
  <c r="G1671" i="4"/>
  <c r="E1671" i="4" a="1"/>
  <c r="E1671" i="4"/>
  <c r="G1670" i="4" a="1"/>
  <c r="G1670" i="4"/>
  <c r="E1670" i="4" a="1"/>
  <c r="E1670" i="4"/>
  <c r="G1669" i="4" a="1"/>
  <c r="G1669" i="4"/>
  <c r="E1669" i="4" a="1"/>
  <c r="E1669" i="4"/>
  <c r="G1668" i="4" a="1"/>
  <c r="G1668" i="4"/>
  <c r="E1668" i="4" a="1"/>
  <c r="E1668" i="4"/>
  <c r="G1667" i="4" a="1"/>
  <c r="G1667" i="4"/>
  <c r="E1667" i="4" a="1"/>
  <c r="E1667" i="4"/>
  <c r="G1666" i="4" a="1"/>
  <c r="G1666" i="4"/>
  <c r="E1666" i="4" a="1"/>
  <c r="E1666" i="4"/>
  <c r="G1665" i="4" a="1"/>
  <c r="G1665" i="4"/>
  <c r="E1665" i="4" a="1"/>
  <c r="E1665" i="4"/>
  <c r="G1664" i="4" a="1"/>
  <c r="G1664" i="4"/>
  <c r="E1664" i="4" a="1"/>
  <c r="E1664" i="4"/>
  <c r="G1663" i="4" a="1"/>
  <c r="G1663" i="4"/>
  <c r="E1663" i="4" a="1"/>
  <c r="E1663" i="4"/>
  <c r="G1662" i="4" a="1"/>
  <c r="G1662" i="4"/>
  <c r="G1661" i="4" a="1"/>
  <c r="G1661" i="4"/>
  <c r="E1661" i="4" a="1"/>
  <c r="E1661" i="4"/>
  <c r="G1660" i="4" a="1"/>
  <c r="G1660" i="4"/>
  <c r="E1660" i="4" a="1"/>
  <c r="E1660" i="4"/>
  <c r="G1659" i="4" a="1"/>
  <c r="G1659" i="4"/>
  <c r="E1659" i="4" a="1"/>
  <c r="E1659" i="4"/>
  <c r="G1658" i="4" a="1"/>
  <c r="G1658" i="4"/>
  <c r="E1658" i="4" a="1"/>
  <c r="E1658" i="4"/>
  <c r="G1657" i="4" a="1"/>
  <c r="G1657" i="4"/>
  <c r="E1657" i="4" a="1"/>
  <c r="E1657" i="4"/>
  <c r="G1656" i="4" a="1"/>
  <c r="G1656" i="4"/>
  <c r="E1656" i="4" a="1"/>
  <c r="E1656" i="4"/>
  <c r="G1655" i="4" a="1"/>
  <c r="G1655" i="4"/>
  <c r="E1655" i="4" a="1"/>
  <c r="E1655" i="4"/>
  <c r="G1654" i="4" a="1"/>
  <c r="G1654" i="4"/>
  <c r="E1654" i="4" a="1"/>
  <c r="E1654" i="4"/>
  <c r="G1653" i="4" a="1"/>
  <c r="G1653" i="4"/>
  <c r="E1653" i="4" a="1"/>
  <c r="E1653" i="4"/>
  <c r="G1652" i="4" a="1"/>
  <c r="G1652" i="4"/>
  <c r="E1652" i="4" a="1"/>
  <c r="E1652" i="4"/>
  <c r="G1651" i="4" a="1"/>
  <c r="G1651" i="4"/>
  <c r="E1651" i="4" a="1"/>
  <c r="E1651" i="4"/>
  <c r="G1650" i="4" a="1"/>
  <c r="G1650" i="4"/>
  <c r="G1649" i="4" a="1"/>
  <c r="G1649" i="4"/>
  <c r="E1649" i="4" a="1"/>
  <c r="E1649" i="4"/>
  <c r="G1648" i="4" a="1"/>
  <c r="G1648" i="4"/>
  <c r="E1648" i="4" a="1"/>
  <c r="E1648" i="4"/>
  <c r="G1647" i="4" a="1"/>
  <c r="G1647" i="4"/>
  <c r="F1647" i="4"/>
  <c r="E1647" i="4" a="1"/>
  <c r="E1647" i="4"/>
  <c r="G1646" i="4" a="1"/>
  <c r="G1646" i="4"/>
  <c r="F1646" i="4"/>
  <c r="E1646" i="4" a="1"/>
  <c r="E1646" i="4"/>
  <c r="G1645" i="4" a="1"/>
  <c r="G1645" i="4"/>
  <c r="F1645" i="4"/>
  <c r="E1645" i="4" a="1"/>
  <c r="E1645" i="4"/>
  <c r="G1644" i="4" a="1"/>
  <c r="G1644" i="4"/>
  <c r="F1644" i="4"/>
  <c r="E1644" i="4" a="1"/>
  <c r="E1644" i="4"/>
  <c r="G1643" i="4" a="1"/>
  <c r="G1643" i="4"/>
  <c r="E1643" i="4" a="1"/>
  <c r="E1643" i="4"/>
  <c r="G1642" i="4" a="1"/>
  <c r="G1642" i="4"/>
  <c r="E1642" i="4" a="1"/>
  <c r="E1642" i="4"/>
  <c r="G1641" i="4" a="1"/>
  <c r="G1641" i="4"/>
  <c r="E1641" i="4" a="1"/>
  <c r="E1641" i="4"/>
  <c r="G1640" i="4" a="1"/>
  <c r="G1640" i="4"/>
  <c r="E1640" i="4" a="1"/>
  <c r="E1640" i="4"/>
  <c r="G1639" i="4" a="1"/>
  <c r="G1639" i="4"/>
  <c r="E1639" i="4" a="1"/>
  <c r="E1639" i="4"/>
  <c r="G1638" i="4" a="1"/>
  <c r="G1638" i="4"/>
  <c r="G1637" i="4" a="1"/>
  <c r="G1637" i="4"/>
  <c r="E1637" i="4" a="1"/>
  <c r="E1637" i="4"/>
  <c r="G1636" i="4" a="1"/>
  <c r="G1636" i="4"/>
  <c r="E1636" i="4" a="1"/>
  <c r="E1636" i="4"/>
  <c r="G1635" i="4" a="1"/>
  <c r="G1635" i="4"/>
  <c r="F1635" i="4"/>
  <c r="E1635" i="4" a="1"/>
  <c r="E1635" i="4"/>
  <c r="G1634" i="4" a="1"/>
  <c r="G1634" i="4"/>
  <c r="F1634" i="4"/>
  <c r="E1634" i="4" a="1"/>
  <c r="E1634" i="4"/>
  <c r="G1633" i="4" a="1"/>
  <c r="G1633" i="4"/>
  <c r="F1633" i="4"/>
  <c r="E1633" i="4" a="1"/>
  <c r="E1633" i="4"/>
  <c r="G1632" i="4" a="1"/>
  <c r="G1632" i="4"/>
  <c r="F1632" i="4"/>
  <c r="E1632" i="4" a="1"/>
  <c r="E1632" i="4"/>
  <c r="G1631" i="4" a="1"/>
  <c r="G1631" i="4"/>
  <c r="E1631" i="4" a="1"/>
  <c r="E1631" i="4"/>
  <c r="G1630" i="4" a="1"/>
  <c r="G1630" i="4"/>
  <c r="E1630" i="4" a="1"/>
  <c r="E1630" i="4"/>
  <c r="G1629" i="4" a="1"/>
  <c r="G1629" i="4"/>
  <c r="E1629" i="4" a="1"/>
  <c r="E1629" i="4"/>
  <c r="G1628" i="4" a="1"/>
  <c r="G1628" i="4"/>
  <c r="E1628" i="4" a="1"/>
  <c r="E1628" i="4"/>
  <c r="G1627" i="4" a="1"/>
  <c r="G1627" i="4"/>
  <c r="E1627" i="4" a="1"/>
  <c r="E1627" i="4"/>
  <c r="G1626" i="4" a="1"/>
  <c r="G1626" i="4"/>
  <c r="G1625" i="4" a="1"/>
  <c r="G1625" i="4"/>
  <c r="E1625" i="4" a="1"/>
  <c r="E1625" i="4"/>
  <c r="G1624" i="4" a="1"/>
  <c r="G1624" i="4"/>
  <c r="E1624" i="4" a="1"/>
  <c r="E1624" i="4"/>
  <c r="G1623" i="4" a="1"/>
  <c r="G1623" i="4"/>
  <c r="F1623" i="4"/>
  <c r="E1623" i="4" a="1"/>
  <c r="E1623" i="4"/>
  <c r="G1622" i="4" a="1"/>
  <c r="G1622" i="4"/>
  <c r="F1622" i="4"/>
  <c r="E1622" i="4" a="1"/>
  <c r="E1622" i="4"/>
  <c r="G1621" i="4" a="1"/>
  <c r="G1621" i="4"/>
  <c r="F1621" i="4"/>
  <c r="E1621" i="4" a="1"/>
  <c r="E1621" i="4"/>
  <c r="G1620" i="4" a="1"/>
  <c r="G1620" i="4"/>
  <c r="F1620" i="4"/>
  <c r="E1620" i="4" a="1"/>
  <c r="E1620" i="4"/>
  <c r="G1619" i="4" a="1"/>
  <c r="G1619" i="4"/>
  <c r="E1619" i="4" a="1"/>
  <c r="E1619" i="4"/>
  <c r="G1618" i="4" a="1"/>
  <c r="G1618" i="4"/>
  <c r="E1618" i="4" a="1"/>
  <c r="E1618" i="4"/>
  <c r="G1617" i="4" a="1"/>
  <c r="G1617" i="4"/>
  <c r="E1617" i="4" a="1"/>
  <c r="E1617" i="4"/>
  <c r="G1616" i="4" a="1"/>
  <c r="G1616" i="4"/>
  <c r="E1616" i="4" a="1"/>
  <c r="E1616" i="4"/>
  <c r="G1615" i="4" a="1"/>
  <c r="G1615" i="4"/>
  <c r="E1615" i="4" a="1"/>
  <c r="E1615" i="4"/>
  <c r="G1614" i="4" a="1"/>
  <c r="G1614" i="4"/>
  <c r="G1613" i="4" a="1"/>
  <c r="G1613" i="4"/>
  <c r="E1613" i="4" a="1"/>
  <c r="E1613" i="4"/>
  <c r="G1612" i="4" a="1"/>
  <c r="G1612" i="4"/>
  <c r="F1612" i="4"/>
  <c r="E1612" i="4" a="1"/>
  <c r="E1612" i="4"/>
  <c r="G1611" i="4" a="1"/>
  <c r="G1611" i="4"/>
  <c r="F1611" i="4"/>
  <c r="E1611" i="4" a="1"/>
  <c r="E1611" i="4"/>
  <c r="G1610" i="4" a="1"/>
  <c r="G1610" i="4"/>
  <c r="F1610" i="4"/>
  <c r="E1610" i="4" a="1"/>
  <c r="E1610" i="4"/>
  <c r="G1609" i="4" a="1"/>
  <c r="G1609" i="4"/>
  <c r="F1609" i="4"/>
  <c r="E1609" i="4" a="1"/>
  <c r="E1609" i="4"/>
  <c r="G1608" i="4" a="1"/>
  <c r="G1608" i="4"/>
  <c r="E1608" i="4" a="1"/>
  <c r="E1608" i="4"/>
  <c r="G1607" i="4" a="1"/>
  <c r="G1607" i="4"/>
  <c r="E1607" i="4" a="1"/>
  <c r="E1607" i="4"/>
  <c r="G1606" i="4" a="1"/>
  <c r="G1606" i="4"/>
  <c r="E1606" i="4" a="1"/>
  <c r="E1606" i="4"/>
  <c r="G1605" i="4" a="1"/>
  <c r="G1605" i="4"/>
  <c r="E1605" i="4" a="1"/>
  <c r="E1605" i="4"/>
  <c r="G1604" i="4" a="1"/>
  <c r="G1604" i="4"/>
  <c r="E1604" i="4" a="1"/>
  <c r="E1604" i="4"/>
  <c r="G1603" i="4" a="1"/>
  <c r="G1603" i="4"/>
  <c r="G1602" i="4" a="1"/>
  <c r="G1602" i="4"/>
  <c r="E1602" i="4" a="1"/>
  <c r="E1602" i="4"/>
  <c r="G1601" i="4" a="1"/>
  <c r="G1601" i="4"/>
  <c r="F1601" i="4"/>
  <c r="E1601" i="4" a="1"/>
  <c r="E1601" i="4"/>
  <c r="G1600" i="4" a="1"/>
  <c r="G1600" i="4"/>
  <c r="F1600" i="4"/>
  <c r="E1600" i="4" a="1"/>
  <c r="E1600" i="4"/>
  <c r="G1599" i="4" a="1"/>
  <c r="G1599" i="4"/>
  <c r="F1599" i="4"/>
  <c r="E1599" i="4" a="1"/>
  <c r="E1599" i="4"/>
  <c r="G1598" i="4" a="1"/>
  <c r="G1598" i="4"/>
  <c r="F1598" i="4"/>
  <c r="E1598" i="4" a="1"/>
  <c r="E1598" i="4"/>
  <c r="G1597" i="4" a="1"/>
  <c r="G1597" i="4"/>
  <c r="E1597" i="4" a="1"/>
  <c r="E1597" i="4"/>
  <c r="G1596" i="4" a="1"/>
  <c r="G1596" i="4"/>
  <c r="E1596" i="4" a="1"/>
  <c r="E1596" i="4"/>
  <c r="G1595" i="4" a="1"/>
  <c r="G1595" i="4"/>
  <c r="E1595" i="4" a="1"/>
  <c r="E1595" i="4"/>
  <c r="G1594" i="4" a="1"/>
  <c r="G1594" i="4"/>
  <c r="E1594" i="4" a="1"/>
  <c r="E1594" i="4"/>
  <c r="G1593" i="4" a="1"/>
  <c r="G1593" i="4"/>
  <c r="E1593" i="4" a="1"/>
  <c r="E1593" i="4"/>
  <c r="G1592" i="4" a="1"/>
  <c r="G1592" i="4"/>
  <c r="G1591" i="4" a="1"/>
  <c r="G1591" i="4"/>
  <c r="E1591" i="4" a="1"/>
  <c r="E1591" i="4"/>
  <c r="G1590" i="4" a="1"/>
  <c r="G1590" i="4"/>
  <c r="F1590" i="4"/>
  <c r="E1590" i="4" a="1"/>
  <c r="E1590" i="4"/>
  <c r="G1589" i="4" a="1"/>
  <c r="G1589" i="4"/>
  <c r="F1589" i="4"/>
  <c r="E1589" i="4" a="1"/>
  <c r="E1589" i="4"/>
  <c r="G1588" i="4" a="1"/>
  <c r="G1588" i="4"/>
  <c r="F1588" i="4"/>
  <c r="E1588" i="4" a="1"/>
  <c r="E1588" i="4"/>
  <c r="G1587" i="4" a="1"/>
  <c r="G1587" i="4"/>
  <c r="F1587" i="4"/>
  <c r="E1587" i="4" a="1"/>
  <c r="E1587" i="4"/>
  <c r="G1586" i="4" a="1"/>
  <c r="G1586" i="4"/>
  <c r="E1586" i="4" a="1"/>
  <c r="E1586" i="4"/>
  <c r="G1585" i="4" a="1"/>
  <c r="G1585" i="4"/>
  <c r="E1585" i="4" a="1"/>
  <c r="E1585" i="4"/>
  <c r="G1584" i="4" a="1"/>
  <c r="G1584" i="4"/>
  <c r="E1584" i="4" a="1"/>
  <c r="E1584" i="4"/>
  <c r="G1583" i="4" a="1"/>
  <c r="G1583" i="4"/>
  <c r="E1583" i="4" a="1"/>
  <c r="E1583" i="4"/>
  <c r="G1582" i="4" a="1"/>
  <c r="G1582" i="4"/>
  <c r="E1582" i="4" a="1"/>
  <c r="E1582" i="4"/>
  <c r="G1581" i="4" a="1"/>
  <c r="G1581" i="4"/>
  <c r="G1580" i="4" a="1"/>
  <c r="G1580" i="4"/>
  <c r="E1580" i="4" a="1"/>
  <c r="E1580" i="4"/>
  <c r="G1579" i="4" a="1"/>
  <c r="G1579" i="4"/>
  <c r="F1579" i="4"/>
  <c r="E1579" i="4" a="1"/>
  <c r="E1579" i="4"/>
  <c r="G1578" i="4" a="1"/>
  <c r="G1578" i="4"/>
  <c r="F1578" i="4"/>
  <c r="E1578" i="4" a="1"/>
  <c r="E1578" i="4"/>
  <c r="G1577" i="4" a="1"/>
  <c r="G1577" i="4"/>
  <c r="F1577" i="4"/>
  <c r="E1577" i="4" a="1"/>
  <c r="E1577" i="4"/>
  <c r="G1576" i="4" a="1"/>
  <c r="G1576" i="4"/>
  <c r="F1576" i="4"/>
  <c r="E1576" i="4" a="1"/>
  <c r="E1576" i="4"/>
  <c r="G1575" i="4" a="1"/>
  <c r="G1575" i="4"/>
  <c r="E1575" i="4" a="1"/>
  <c r="E1575" i="4"/>
  <c r="G1574" i="4" a="1"/>
  <c r="G1574" i="4"/>
  <c r="E1574" i="4" a="1"/>
  <c r="E1574" i="4"/>
  <c r="G1573" i="4" a="1"/>
  <c r="G1573" i="4"/>
  <c r="E1573" i="4" a="1"/>
  <c r="E1573" i="4"/>
  <c r="G1572" i="4" a="1"/>
  <c r="G1572" i="4"/>
  <c r="E1572" i="4" a="1"/>
  <c r="E1572" i="4"/>
  <c r="G1571" i="4" a="1"/>
  <c r="G1571" i="4"/>
  <c r="E1571" i="4" a="1"/>
  <c r="E1571" i="4"/>
  <c r="G1570" i="4" a="1"/>
  <c r="G1570" i="4"/>
  <c r="G1569" i="4" a="1"/>
  <c r="G1569" i="4"/>
  <c r="E1569" i="4" a="1"/>
  <c r="E1569" i="4"/>
  <c r="G1568" i="4" a="1"/>
  <c r="G1568" i="4"/>
  <c r="F1568" i="4"/>
  <c r="E1568" i="4" a="1"/>
  <c r="E1568" i="4"/>
  <c r="G1567" i="4" a="1"/>
  <c r="G1567" i="4"/>
  <c r="F1567" i="4"/>
  <c r="E1567" i="4" a="1"/>
  <c r="E1567" i="4"/>
  <c r="G1566" i="4" a="1"/>
  <c r="G1566" i="4"/>
  <c r="F1566" i="4"/>
  <c r="E1566" i="4" a="1"/>
  <c r="E1566" i="4"/>
  <c r="G1565" i="4" a="1"/>
  <c r="G1565" i="4"/>
  <c r="F1565" i="4"/>
  <c r="E1565" i="4" a="1"/>
  <c r="E1565" i="4"/>
  <c r="G1564" i="4" a="1"/>
  <c r="G1564" i="4"/>
  <c r="E1564" i="4" a="1"/>
  <c r="E1564" i="4"/>
  <c r="G1563" i="4" a="1"/>
  <c r="G1563" i="4"/>
  <c r="E1563" i="4" a="1"/>
  <c r="E1563" i="4"/>
  <c r="G1562" i="4" a="1"/>
  <c r="G1562" i="4"/>
  <c r="E1562" i="4" a="1"/>
  <c r="E1562" i="4"/>
  <c r="G1561" i="4" a="1"/>
  <c r="G1561" i="4"/>
  <c r="E1561" i="4" a="1"/>
  <c r="E1561" i="4"/>
  <c r="G1560" i="4" a="1"/>
  <c r="G1560" i="4"/>
  <c r="E1560" i="4" a="1"/>
  <c r="E1560" i="4"/>
  <c r="G1559" i="4" a="1"/>
  <c r="G1559" i="4"/>
  <c r="G1558" i="4" a="1"/>
  <c r="G1558" i="4"/>
  <c r="E1558" i="4" a="1"/>
  <c r="E1558" i="4"/>
  <c r="G1557" i="4" a="1"/>
  <c r="G1557" i="4"/>
  <c r="F1557" i="4"/>
  <c r="E1557" i="4" a="1"/>
  <c r="E1557" i="4"/>
  <c r="G1556" i="4" a="1"/>
  <c r="G1556" i="4"/>
  <c r="F1556" i="4"/>
  <c r="E1556" i="4" a="1"/>
  <c r="E1556" i="4"/>
  <c r="G1555" i="4" a="1"/>
  <c r="G1555" i="4"/>
  <c r="F1555" i="4"/>
  <c r="E1555" i="4" a="1"/>
  <c r="E1555" i="4"/>
  <c r="G1554" i="4" a="1"/>
  <c r="G1554" i="4"/>
  <c r="F1554" i="4"/>
  <c r="E1554" i="4" a="1"/>
  <c r="E1554" i="4"/>
  <c r="G1553" i="4" a="1"/>
  <c r="G1553" i="4"/>
  <c r="E1553" i="4" a="1"/>
  <c r="E1553" i="4"/>
  <c r="G1552" i="4" a="1"/>
  <c r="G1552" i="4"/>
  <c r="E1552" i="4" a="1"/>
  <c r="E1552" i="4"/>
  <c r="G1551" i="4" a="1"/>
  <c r="G1551" i="4"/>
  <c r="E1551" i="4" a="1"/>
  <c r="E1551" i="4"/>
  <c r="G1550" i="4" a="1"/>
  <c r="G1550" i="4"/>
  <c r="E1550" i="4" a="1"/>
  <c r="E1550" i="4"/>
  <c r="G1549" i="4" a="1"/>
  <c r="G1549" i="4"/>
  <c r="E1549" i="4" a="1"/>
  <c r="E1549" i="4"/>
  <c r="G1548" i="4" a="1"/>
  <c r="G1548" i="4"/>
  <c r="G1547" i="4" a="1"/>
  <c r="G1547" i="4"/>
  <c r="E1547" i="4" a="1"/>
  <c r="E1547" i="4"/>
  <c r="G1546" i="4" a="1"/>
  <c r="G1546" i="4"/>
  <c r="E1546" i="4" a="1"/>
  <c r="E1546" i="4"/>
  <c r="G1545" i="4" a="1"/>
  <c r="G1545" i="4"/>
  <c r="E1545" i="4" a="1"/>
  <c r="E1545" i="4"/>
  <c r="G1544" i="4" a="1"/>
  <c r="G1544" i="4"/>
  <c r="E1544" i="4" a="1"/>
  <c r="E1544" i="4"/>
  <c r="G1543" i="4" a="1"/>
  <c r="G1543" i="4"/>
  <c r="E1543" i="4" a="1"/>
  <c r="E1543" i="4"/>
  <c r="G1542" i="4" a="1"/>
  <c r="G1542" i="4"/>
  <c r="E1542" i="4" a="1"/>
  <c r="E1542" i="4"/>
  <c r="G1541" i="4" a="1"/>
  <c r="G1541" i="4"/>
  <c r="G1540" i="4" a="1"/>
  <c r="G1540" i="4"/>
  <c r="E1540" i="4" a="1"/>
  <c r="E1540" i="4"/>
  <c r="G1539" i="4" a="1"/>
  <c r="G1539" i="4"/>
  <c r="E1539" i="4" a="1"/>
  <c r="E1539" i="4"/>
  <c r="G1538" i="4" a="1"/>
  <c r="G1538" i="4"/>
  <c r="E1538" i="4" a="1"/>
  <c r="E1538" i="4"/>
  <c r="G1537" i="4" a="1"/>
  <c r="G1537" i="4"/>
  <c r="E1537" i="4" a="1"/>
  <c r="E1537" i="4"/>
  <c r="G1536" i="4" a="1"/>
  <c r="G1536" i="4"/>
  <c r="E1536" i="4" a="1"/>
  <c r="E1536" i="4"/>
  <c r="G1535" i="4" a="1"/>
  <c r="G1535" i="4"/>
  <c r="G1534" i="4" a="1"/>
  <c r="G1534" i="4"/>
  <c r="E1534" i="4" a="1"/>
  <c r="E1534" i="4"/>
  <c r="G1533" i="4" a="1"/>
  <c r="G1533" i="4"/>
  <c r="E1533" i="4" a="1"/>
  <c r="E1533" i="4"/>
  <c r="G1532" i="4" a="1"/>
  <c r="G1532" i="4"/>
  <c r="E1532" i="4" a="1"/>
  <c r="E1532" i="4"/>
  <c r="G1531" i="4" a="1"/>
  <c r="G1531" i="4"/>
  <c r="E1531" i="4" a="1"/>
  <c r="E1531" i="4"/>
  <c r="G1530" i="4" a="1"/>
  <c r="G1530" i="4"/>
  <c r="E1530" i="4" a="1"/>
  <c r="E1530" i="4"/>
  <c r="G1529" i="4" a="1"/>
  <c r="G1529" i="4"/>
  <c r="E1529" i="4" a="1"/>
  <c r="E1529" i="4"/>
  <c r="G1528" i="4" a="1"/>
  <c r="G1528" i="4"/>
  <c r="E1528" i="4" a="1"/>
  <c r="E1528" i="4"/>
  <c r="G1527" i="4" a="1"/>
  <c r="G1527" i="4"/>
  <c r="E1527" i="4" a="1"/>
  <c r="E1527" i="4"/>
  <c r="G1526" i="4" a="1"/>
  <c r="G1526" i="4"/>
  <c r="F1526" i="4"/>
  <c r="E1526" i="4" a="1"/>
  <c r="E1526" i="4"/>
  <c r="G1525" i="4" a="1"/>
  <c r="G1525" i="4"/>
  <c r="E1525" i="4" a="1"/>
  <c r="E1525" i="4"/>
  <c r="G1524" i="4" a="1"/>
  <c r="G1524" i="4"/>
  <c r="G1523" i="4" a="1"/>
  <c r="G1523" i="4"/>
  <c r="E1523" i="4" a="1"/>
  <c r="E1523" i="4"/>
  <c r="G1522" i="4" a="1"/>
  <c r="G1522" i="4"/>
  <c r="E1522" i="4" a="1"/>
  <c r="E1522" i="4"/>
  <c r="G1521" i="4" a="1"/>
  <c r="G1521" i="4"/>
  <c r="E1521" i="4" a="1"/>
  <c r="E1521" i="4"/>
  <c r="G1520" i="4" a="1"/>
  <c r="G1520" i="4"/>
  <c r="E1520" i="4" a="1"/>
  <c r="E1520" i="4"/>
  <c r="G1519" i="4" a="1"/>
  <c r="G1519" i="4"/>
  <c r="E1519" i="4" a="1"/>
  <c r="E1519" i="4"/>
  <c r="G1518" i="4" a="1"/>
  <c r="G1518" i="4"/>
  <c r="F1518" i="4"/>
  <c r="E1518" i="4" a="1"/>
  <c r="E1518" i="4"/>
  <c r="G1517" i="4" a="1"/>
  <c r="G1517" i="4"/>
  <c r="F1517" i="4"/>
  <c r="E1517" i="4" a="1"/>
  <c r="E1517" i="4"/>
  <c r="G1516" i="4" a="1"/>
  <c r="G1516" i="4"/>
  <c r="E1516" i="4" a="1"/>
  <c r="E1516" i="4"/>
  <c r="G1515" i="4" a="1"/>
  <c r="G1515" i="4"/>
  <c r="E1515" i="4" a="1"/>
  <c r="E1515" i="4"/>
  <c r="G1514" i="4" a="1"/>
  <c r="G1514" i="4"/>
  <c r="F1514" i="4"/>
  <c r="E1514" i="4" a="1"/>
  <c r="E1514" i="4"/>
  <c r="G1513" i="4" a="1"/>
  <c r="G1513" i="4"/>
  <c r="F1513" i="4"/>
  <c r="E1513" i="4" a="1"/>
  <c r="E1513" i="4"/>
  <c r="G1512" i="4" a="1"/>
  <c r="G1512" i="4"/>
  <c r="E1512" i="4" a="1"/>
  <c r="E1512" i="4"/>
  <c r="G1511" i="4" a="1"/>
  <c r="G1511" i="4"/>
  <c r="G1510" i="4" a="1"/>
  <c r="G1510" i="4"/>
  <c r="E1510" i="4" a="1"/>
  <c r="E1510" i="4"/>
  <c r="G1509" i="4" a="1"/>
  <c r="G1509" i="4"/>
  <c r="E1509" i="4" a="1"/>
  <c r="E1509" i="4"/>
  <c r="G1508" i="4" a="1"/>
  <c r="G1508" i="4"/>
  <c r="E1508" i="4" a="1"/>
  <c r="E1508" i="4"/>
  <c r="G1507" i="4" a="1"/>
  <c r="G1507" i="4"/>
  <c r="E1507" i="4" a="1"/>
  <c r="E1507" i="4"/>
  <c r="G1506" i="4" a="1"/>
  <c r="G1506" i="4"/>
  <c r="E1506" i="4" a="1"/>
  <c r="E1506" i="4"/>
  <c r="G1505" i="4" a="1"/>
  <c r="G1505" i="4"/>
  <c r="F1505" i="4"/>
  <c r="E1505" i="4" a="1"/>
  <c r="E1505" i="4"/>
  <c r="G1504" i="4" a="1"/>
  <c r="G1504" i="4"/>
  <c r="F1504" i="4"/>
  <c r="E1504" i="4" a="1"/>
  <c r="E1504" i="4"/>
  <c r="G1503" i="4" a="1"/>
  <c r="G1503" i="4"/>
  <c r="E1503" i="4" a="1"/>
  <c r="E1503" i="4"/>
  <c r="G1502" i="4" a="1"/>
  <c r="G1502" i="4"/>
  <c r="E1502" i="4" a="1"/>
  <c r="E1502" i="4"/>
  <c r="G1501" i="4" a="1"/>
  <c r="G1501" i="4"/>
  <c r="F1501" i="4"/>
  <c r="E1501" i="4" a="1"/>
  <c r="E1501" i="4"/>
  <c r="G1500" i="4" a="1"/>
  <c r="G1500" i="4"/>
  <c r="F1500" i="4"/>
  <c r="E1500" i="4" a="1"/>
  <c r="E1500" i="4"/>
  <c r="G1499" i="4" a="1"/>
  <c r="G1499" i="4"/>
  <c r="E1499" i="4" a="1"/>
  <c r="E1499" i="4"/>
  <c r="G1498" i="4" a="1"/>
  <c r="G1498" i="4"/>
  <c r="G1497" i="4" a="1"/>
  <c r="G1497" i="4"/>
  <c r="E1497" i="4" a="1"/>
  <c r="E1497" i="4"/>
  <c r="G1496" i="4" a="1"/>
  <c r="G1496" i="4"/>
  <c r="E1496" i="4" a="1"/>
  <c r="E1496" i="4"/>
  <c r="G1495" i="4" a="1"/>
  <c r="G1495" i="4"/>
  <c r="E1495" i="4" a="1"/>
  <c r="E1495" i="4"/>
  <c r="G1494" i="4" a="1"/>
  <c r="G1494" i="4"/>
  <c r="E1494" i="4" a="1"/>
  <c r="E1494" i="4"/>
  <c r="G1493" i="4" a="1"/>
  <c r="G1493" i="4"/>
  <c r="E1493" i="4" a="1"/>
  <c r="E1493" i="4"/>
  <c r="G1492" i="4" a="1"/>
  <c r="G1492" i="4"/>
  <c r="F1492" i="4"/>
  <c r="E1492" i="4" a="1"/>
  <c r="E1492" i="4"/>
  <c r="G1491" i="4" a="1"/>
  <c r="G1491" i="4"/>
  <c r="F1491" i="4"/>
  <c r="E1491" i="4" a="1"/>
  <c r="E1491" i="4"/>
  <c r="G1490" i="4" a="1"/>
  <c r="G1490" i="4"/>
  <c r="E1490" i="4" a="1"/>
  <c r="E1490" i="4"/>
  <c r="G1489" i="4" a="1"/>
  <c r="G1489" i="4"/>
  <c r="E1489" i="4" a="1"/>
  <c r="E1489" i="4"/>
  <c r="G1488" i="4" a="1"/>
  <c r="G1488" i="4"/>
  <c r="F1488" i="4"/>
  <c r="E1488" i="4" a="1"/>
  <c r="E1488" i="4"/>
  <c r="G1487" i="4" a="1"/>
  <c r="G1487" i="4"/>
  <c r="E1487" i="4" a="1"/>
  <c r="E1487" i="4"/>
  <c r="G1486" i="4" a="1"/>
  <c r="G1486" i="4"/>
  <c r="G1485" i="4" a="1"/>
  <c r="G1485" i="4"/>
  <c r="E1485" i="4" a="1"/>
  <c r="E1485" i="4"/>
  <c r="G1484" i="4" a="1"/>
  <c r="G1484" i="4"/>
  <c r="E1484" i="4" a="1"/>
  <c r="E1484" i="4"/>
  <c r="G1483" i="4" a="1"/>
  <c r="G1483" i="4"/>
  <c r="E1483" i="4" a="1"/>
  <c r="E1483" i="4"/>
  <c r="G1482" i="4" a="1"/>
  <c r="G1482" i="4"/>
  <c r="E1482" i="4" a="1"/>
  <c r="E1482" i="4"/>
  <c r="G1481" i="4" a="1"/>
  <c r="G1481" i="4"/>
  <c r="E1481" i="4" a="1"/>
  <c r="E1481" i="4"/>
  <c r="G1480" i="4" a="1"/>
  <c r="G1480" i="4"/>
  <c r="F1480" i="4"/>
  <c r="E1480" i="4" a="1"/>
  <c r="E1480" i="4"/>
  <c r="G1479" i="4" a="1"/>
  <c r="G1479" i="4"/>
  <c r="F1479" i="4"/>
  <c r="E1479" i="4" a="1"/>
  <c r="E1479" i="4"/>
  <c r="G1478" i="4" a="1"/>
  <c r="G1478" i="4"/>
  <c r="E1478" i="4" a="1"/>
  <c r="E1478" i="4"/>
  <c r="G1477" i="4" a="1"/>
  <c r="G1477" i="4"/>
  <c r="E1477" i="4" a="1"/>
  <c r="E1477" i="4"/>
  <c r="G1476" i="4" a="1"/>
  <c r="G1476" i="4"/>
  <c r="F1476" i="4"/>
  <c r="E1476" i="4" a="1"/>
  <c r="E1476" i="4"/>
  <c r="G1475" i="4" a="1"/>
  <c r="G1475" i="4"/>
  <c r="E1475" i="4" a="1"/>
  <c r="E1475" i="4"/>
  <c r="G1474" i="4" a="1"/>
  <c r="G1474" i="4"/>
  <c r="G1473" i="4" a="1"/>
  <c r="G1473" i="4"/>
  <c r="E1473" i="4" a="1"/>
  <c r="E1473" i="4"/>
  <c r="G1472" i="4" a="1"/>
  <c r="G1472" i="4"/>
  <c r="E1472" i="4" a="1"/>
  <c r="E1472" i="4"/>
  <c r="G1471" i="4" a="1"/>
  <c r="G1471" i="4"/>
  <c r="E1471" i="4" a="1"/>
  <c r="E1471" i="4"/>
  <c r="G1470" i="4" a="1"/>
  <c r="G1470" i="4"/>
  <c r="E1470" i="4" a="1"/>
  <c r="E1470" i="4"/>
  <c r="G1469" i="4" a="1"/>
  <c r="G1469" i="4"/>
  <c r="E1469" i="4" a="1"/>
  <c r="E1469" i="4"/>
  <c r="G1468" i="4" a="1"/>
  <c r="G1468" i="4"/>
  <c r="E1468" i="4" a="1"/>
  <c r="E1468" i="4"/>
  <c r="G1467" i="4" a="1"/>
  <c r="G1467" i="4"/>
  <c r="E1467" i="4" a="1"/>
  <c r="E1467" i="4"/>
  <c r="G1466" i="4" a="1"/>
  <c r="G1466" i="4"/>
  <c r="E1466" i="4" a="1"/>
  <c r="E1466" i="4"/>
  <c r="G1465" i="4" a="1"/>
  <c r="G1465" i="4"/>
  <c r="F1465" i="4"/>
  <c r="E1465" i="4" a="1"/>
  <c r="E1465" i="4"/>
  <c r="G1464" i="4" a="1"/>
  <c r="G1464" i="4"/>
  <c r="E1464" i="4" a="1"/>
  <c r="E1464" i="4"/>
  <c r="G1463" i="4" a="1"/>
  <c r="G1463" i="4"/>
  <c r="G1462" i="4" a="1"/>
  <c r="G1462" i="4"/>
  <c r="E1462" i="4" a="1"/>
  <c r="E1462" i="4"/>
  <c r="G1461" i="4" a="1"/>
  <c r="G1461" i="4"/>
  <c r="E1461" i="4" a="1"/>
  <c r="E1461" i="4"/>
  <c r="G1460" i="4" a="1"/>
  <c r="G1460" i="4"/>
  <c r="E1460" i="4" a="1"/>
  <c r="E1460" i="4"/>
  <c r="G1459" i="4" a="1"/>
  <c r="G1459" i="4"/>
  <c r="E1459" i="4" a="1"/>
  <c r="E1459" i="4"/>
  <c r="G1458" i="4" a="1"/>
  <c r="G1458" i="4"/>
  <c r="E1458" i="4" a="1"/>
  <c r="E1458" i="4"/>
  <c r="G1457" i="4" a="1"/>
  <c r="G1457" i="4"/>
  <c r="E1457" i="4" a="1"/>
  <c r="E1457" i="4"/>
  <c r="G1456" i="4" a="1"/>
  <c r="G1456" i="4"/>
  <c r="E1456" i="4" a="1"/>
  <c r="E1456" i="4"/>
  <c r="G1455" i="4" a="1"/>
  <c r="G1455" i="4"/>
  <c r="E1455" i="4" a="1"/>
  <c r="E1455" i="4"/>
  <c r="G1454" i="4" a="1"/>
  <c r="G1454" i="4"/>
  <c r="F1454" i="4"/>
  <c r="E1454" i="4" a="1"/>
  <c r="E1454" i="4"/>
  <c r="G1453" i="4" a="1"/>
  <c r="G1453" i="4"/>
  <c r="E1453" i="4" a="1"/>
  <c r="E1453" i="4"/>
  <c r="G1452" i="4" a="1"/>
  <c r="G1452" i="4"/>
  <c r="G1451" i="4" a="1"/>
  <c r="G1451" i="4"/>
  <c r="E1451" i="4" a="1"/>
  <c r="E1451" i="4"/>
  <c r="G1450" i="4" a="1"/>
  <c r="G1450" i="4"/>
  <c r="E1450" i="4" a="1"/>
  <c r="E1450" i="4"/>
  <c r="G1449" i="4" a="1"/>
  <c r="G1449" i="4"/>
  <c r="E1449" i="4" a="1"/>
  <c r="E1449" i="4"/>
  <c r="G1448" i="4" a="1"/>
  <c r="G1448" i="4"/>
  <c r="E1448" i="4" a="1"/>
  <c r="E1448" i="4"/>
  <c r="G1447" i="4" a="1"/>
  <c r="G1447" i="4"/>
  <c r="E1447" i="4" a="1"/>
  <c r="E1447" i="4"/>
  <c r="G1446" i="4" a="1"/>
  <c r="G1446" i="4"/>
  <c r="E1446" i="4" a="1"/>
  <c r="E1446" i="4"/>
  <c r="G1445" i="4" a="1"/>
  <c r="G1445" i="4"/>
  <c r="E1445" i="4" a="1"/>
  <c r="E1445" i="4"/>
  <c r="G1444" i="4" a="1"/>
  <c r="G1444" i="4"/>
  <c r="E1444" i="4" a="1"/>
  <c r="E1444" i="4"/>
  <c r="G1443" i="4" a="1"/>
  <c r="G1443" i="4"/>
  <c r="F1443" i="4"/>
  <c r="E1443" i="4" a="1"/>
  <c r="E1443" i="4"/>
  <c r="G1442" i="4" a="1"/>
  <c r="G1442" i="4"/>
  <c r="E1442" i="4" a="1"/>
  <c r="E1442" i="4"/>
  <c r="G1441" i="4" a="1"/>
  <c r="G1441" i="4"/>
  <c r="G1440" i="4" a="1"/>
  <c r="G1440" i="4"/>
  <c r="E1440" i="4" a="1"/>
  <c r="E1440" i="4"/>
  <c r="G1439" i="4" a="1"/>
  <c r="G1439" i="4"/>
  <c r="E1439" i="4" a="1"/>
  <c r="E1439" i="4"/>
  <c r="G1438" i="4" a="1"/>
  <c r="G1438" i="4"/>
  <c r="E1438" i="4" a="1"/>
  <c r="E1438" i="4"/>
  <c r="G1437" i="4" a="1"/>
  <c r="G1437" i="4"/>
  <c r="E1437" i="4" a="1"/>
  <c r="E1437" i="4"/>
  <c r="G1436" i="4" a="1"/>
  <c r="G1436" i="4"/>
  <c r="E1436" i="4" a="1"/>
  <c r="E1436" i="4"/>
  <c r="G1435" i="4" a="1"/>
  <c r="G1435" i="4"/>
  <c r="E1435" i="4" a="1"/>
  <c r="E1435" i="4"/>
  <c r="G1434" i="4" a="1"/>
  <c r="G1434" i="4"/>
  <c r="E1434" i="4" a="1"/>
  <c r="E1434" i="4"/>
  <c r="G1433" i="4" a="1"/>
  <c r="G1433" i="4"/>
  <c r="E1433" i="4" a="1"/>
  <c r="E1433" i="4"/>
  <c r="G1432" i="4" a="1"/>
  <c r="G1432" i="4"/>
  <c r="E1432" i="4" a="1"/>
  <c r="E1432" i="4"/>
  <c r="G1431" i="4" a="1"/>
  <c r="G1431" i="4"/>
  <c r="E1431" i="4" a="1"/>
  <c r="E1431" i="4"/>
  <c r="G1430" i="4" a="1"/>
  <c r="G1430" i="4"/>
  <c r="G1429" i="4" a="1"/>
  <c r="G1429" i="4"/>
  <c r="E1429" i="4" a="1"/>
  <c r="E1429" i="4"/>
  <c r="G1428" i="4" a="1"/>
  <c r="G1428" i="4"/>
  <c r="E1428" i="4" a="1"/>
  <c r="E1428" i="4"/>
  <c r="G1427" i="4" a="1"/>
  <c r="G1427" i="4"/>
  <c r="E1427" i="4" a="1"/>
  <c r="E1427" i="4"/>
  <c r="G1426" i="4" a="1"/>
  <c r="G1426" i="4"/>
  <c r="E1426" i="4" a="1"/>
  <c r="E1426" i="4"/>
  <c r="G1425" i="4" a="1"/>
  <c r="G1425" i="4"/>
  <c r="E1425" i="4" a="1"/>
  <c r="E1425" i="4"/>
  <c r="G1424" i="4" a="1"/>
  <c r="G1424" i="4"/>
  <c r="E1424" i="4" a="1"/>
  <c r="E1424" i="4"/>
  <c r="G1423" i="4" a="1"/>
  <c r="G1423" i="4"/>
  <c r="E1423" i="4" a="1"/>
  <c r="E1423" i="4"/>
  <c r="G1422" i="4" a="1"/>
  <c r="G1422" i="4"/>
  <c r="E1422" i="4" a="1"/>
  <c r="E1422" i="4"/>
  <c r="G1421" i="4" a="1"/>
  <c r="G1421" i="4"/>
  <c r="E1421" i="4" a="1"/>
  <c r="E1421" i="4"/>
  <c r="G1420" i="4" a="1"/>
  <c r="G1420" i="4"/>
  <c r="E1420" i="4" a="1"/>
  <c r="E1420" i="4"/>
  <c r="G1419" i="4" a="1"/>
  <c r="G1419" i="4"/>
  <c r="G1418" i="4" a="1"/>
  <c r="G1418" i="4"/>
  <c r="E1418" i="4" a="1"/>
  <c r="E1418" i="4"/>
  <c r="G1417" i="4" a="1"/>
  <c r="G1417" i="4"/>
  <c r="F1417" i="4"/>
  <c r="E1417" i="4" a="1"/>
  <c r="E1417" i="4"/>
  <c r="G1416" i="4" a="1"/>
  <c r="G1416" i="4"/>
  <c r="F1416" i="4"/>
  <c r="E1416" i="4" a="1"/>
  <c r="E1416" i="4"/>
  <c r="G1415" i="4" a="1"/>
  <c r="G1415" i="4"/>
  <c r="F1415" i="4"/>
  <c r="E1415" i="4" a="1"/>
  <c r="E1415" i="4"/>
  <c r="G1414" i="4" a="1"/>
  <c r="G1414" i="4"/>
  <c r="F1414" i="4"/>
  <c r="E1414" i="4" a="1"/>
  <c r="E1414" i="4"/>
  <c r="G1413" i="4" a="1"/>
  <c r="G1413" i="4"/>
  <c r="E1413" i="4" a="1"/>
  <c r="E1413" i="4"/>
  <c r="G1412" i="4" a="1"/>
  <c r="G1412" i="4"/>
  <c r="E1412" i="4" a="1"/>
  <c r="E1412" i="4"/>
  <c r="G1411" i="4" a="1"/>
  <c r="G1411" i="4"/>
  <c r="E1411" i="4" a="1"/>
  <c r="E1411" i="4"/>
  <c r="G1410" i="4" a="1"/>
  <c r="G1410" i="4"/>
  <c r="E1410" i="4" a="1"/>
  <c r="E1410" i="4"/>
  <c r="G1409" i="4" a="1"/>
  <c r="G1409" i="4"/>
  <c r="E1409" i="4" a="1"/>
  <c r="E1409" i="4"/>
  <c r="G1408" i="4" a="1"/>
  <c r="G1408" i="4"/>
  <c r="G1407" i="4" a="1"/>
  <c r="G1407" i="4"/>
  <c r="E1407" i="4" a="1"/>
  <c r="E1407" i="4"/>
  <c r="G1406" i="4" a="1"/>
  <c r="G1406" i="4"/>
  <c r="F1406" i="4"/>
  <c r="E1406" i="4" a="1"/>
  <c r="E1406" i="4"/>
  <c r="G1405" i="4" a="1"/>
  <c r="G1405" i="4"/>
  <c r="F1405" i="4"/>
  <c r="E1405" i="4" a="1"/>
  <c r="E1405" i="4"/>
  <c r="G1404" i="4" a="1"/>
  <c r="G1404" i="4"/>
  <c r="F1404" i="4"/>
  <c r="E1404" i="4" a="1"/>
  <c r="E1404" i="4"/>
  <c r="G1403" i="4" a="1"/>
  <c r="G1403" i="4"/>
  <c r="F1403" i="4"/>
  <c r="E1403" i="4" a="1"/>
  <c r="E1403" i="4"/>
  <c r="G1402" i="4" a="1"/>
  <c r="G1402" i="4"/>
  <c r="E1402" i="4" a="1"/>
  <c r="E1402" i="4"/>
  <c r="G1401" i="4" a="1"/>
  <c r="G1401" i="4"/>
  <c r="E1401" i="4" a="1"/>
  <c r="E1401" i="4"/>
  <c r="G1400" i="4" a="1"/>
  <c r="G1400" i="4"/>
  <c r="E1400" i="4" a="1"/>
  <c r="E1400" i="4"/>
  <c r="G1399" i="4" a="1"/>
  <c r="G1399" i="4"/>
  <c r="E1399" i="4" a="1"/>
  <c r="E1399" i="4"/>
  <c r="G1398" i="4" a="1"/>
  <c r="G1398" i="4"/>
  <c r="E1398" i="4" a="1"/>
  <c r="E1398" i="4"/>
  <c r="G1397" i="4" a="1"/>
  <c r="G1397" i="4"/>
  <c r="G1396" i="4" a="1"/>
  <c r="G1396" i="4"/>
  <c r="E1396" i="4" a="1"/>
  <c r="E1396" i="4"/>
  <c r="G1395" i="4" a="1"/>
  <c r="G1395" i="4"/>
  <c r="E1395" i="4" a="1"/>
  <c r="E1395" i="4"/>
  <c r="G1394" i="4" a="1"/>
  <c r="G1394" i="4"/>
  <c r="E1394" i="4" a="1"/>
  <c r="E1394" i="4"/>
  <c r="G1393" i="4" a="1"/>
  <c r="G1393" i="4"/>
  <c r="E1393" i="4" a="1"/>
  <c r="E1393" i="4"/>
  <c r="G1392" i="4" a="1"/>
  <c r="G1392" i="4"/>
  <c r="E1392" i="4" a="1"/>
  <c r="E1392" i="4"/>
  <c r="G1391" i="4" a="1"/>
  <c r="G1391" i="4"/>
  <c r="E1391" i="4" a="1"/>
  <c r="E1391" i="4"/>
  <c r="G1390" i="4" a="1"/>
  <c r="G1390" i="4"/>
  <c r="E1390" i="4" a="1"/>
  <c r="E1390" i="4"/>
  <c r="G1389" i="4" a="1"/>
  <c r="G1389" i="4"/>
  <c r="E1389" i="4" a="1"/>
  <c r="E1389" i="4"/>
  <c r="G1388" i="4" a="1"/>
  <c r="G1388" i="4"/>
  <c r="E1388" i="4" a="1"/>
  <c r="E1388" i="4"/>
  <c r="G1387" i="4" a="1"/>
  <c r="G1387" i="4"/>
  <c r="E1387" i="4" a="1"/>
  <c r="E1387" i="4"/>
  <c r="G1386" i="4" a="1"/>
  <c r="G1386" i="4"/>
  <c r="G1385" i="4" a="1"/>
  <c r="G1385" i="4"/>
  <c r="E1385" i="4" a="1"/>
  <c r="E1385" i="4"/>
  <c r="G1384" i="4" a="1"/>
  <c r="G1384" i="4"/>
  <c r="E1384" i="4" a="1"/>
  <c r="E1384" i="4"/>
  <c r="G1383" i="4" a="1"/>
  <c r="G1383" i="4"/>
  <c r="E1383" i="4" a="1"/>
  <c r="E1383" i="4"/>
  <c r="G1382" i="4" a="1"/>
  <c r="G1382" i="4"/>
  <c r="E1382" i="4" a="1"/>
  <c r="E1382" i="4"/>
  <c r="G1381" i="4" a="1"/>
  <c r="G1381" i="4"/>
  <c r="E1381" i="4" a="1"/>
  <c r="E1381" i="4"/>
  <c r="G1380" i="4" a="1"/>
  <c r="G1380" i="4"/>
  <c r="E1380" i="4" a="1"/>
  <c r="E1380" i="4"/>
  <c r="G1379" i="4" a="1"/>
  <c r="G1379" i="4"/>
  <c r="E1379" i="4" a="1"/>
  <c r="E1379" i="4"/>
  <c r="G1378" i="4" a="1"/>
  <c r="G1378" i="4"/>
  <c r="E1378" i="4" a="1"/>
  <c r="E1378" i="4"/>
  <c r="G1377" i="4" a="1"/>
  <c r="G1377" i="4"/>
  <c r="E1377" i="4" a="1"/>
  <c r="E1377" i="4"/>
  <c r="G1376" i="4" a="1"/>
  <c r="G1376" i="4"/>
  <c r="E1376" i="4" a="1"/>
  <c r="E1376" i="4"/>
  <c r="G1375" i="4" a="1"/>
  <c r="G1375" i="4"/>
  <c r="E1375" i="4" a="1"/>
  <c r="E1375" i="4"/>
  <c r="G1374" i="4" a="1"/>
  <c r="G1374" i="4"/>
  <c r="G1373" i="4" a="1"/>
  <c r="G1373" i="4"/>
  <c r="E1373" i="4" a="1"/>
  <c r="E1373" i="4"/>
  <c r="G1372" i="4" a="1"/>
  <c r="G1372" i="4"/>
  <c r="E1372" i="4" a="1"/>
  <c r="E1372" i="4"/>
  <c r="G1371" i="4" a="1"/>
  <c r="G1371" i="4"/>
  <c r="E1371" i="4" a="1"/>
  <c r="E1371" i="4"/>
  <c r="G1370" i="4" a="1"/>
  <c r="G1370" i="4"/>
  <c r="E1370" i="4" a="1"/>
  <c r="E1370" i="4"/>
  <c r="G1369" i="4" a="1"/>
  <c r="G1369" i="4"/>
  <c r="E1369" i="4" a="1"/>
  <c r="E1369" i="4"/>
  <c r="G1368" i="4" a="1"/>
  <c r="G1368" i="4"/>
  <c r="G1367" i="4" a="1"/>
  <c r="G1367" i="4"/>
  <c r="E1367" i="4" a="1"/>
  <c r="E1367" i="4"/>
  <c r="G1366" i="4" a="1"/>
  <c r="G1366" i="4"/>
  <c r="E1366" i="4" a="1"/>
  <c r="E1366" i="4"/>
  <c r="G1365" i="4" a="1"/>
  <c r="G1365" i="4"/>
  <c r="E1365" i="4" a="1"/>
  <c r="E1365" i="4"/>
  <c r="G1364" i="4" a="1"/>
  <c r="G1364" i="4"/>
  <c r="E1364" i="4" a="1"/>
  <c r="E1364" i="4"/>
  <c r="G1363" i="4" a="1"/>
  <c r="G1363" i="4"/>
  <c r="E1363" i="4" a="1"/>
  <c r="E1363" i="4"/>
  <c r="G1362" i="4" a="1"/>
  <c r="G1362" i="4"/>
  <c r="G1361" i="4" a="1"/>
  <c r="G1361" i="4"/>
  <c r="E1361" i="4" a="1"/>
  <c r="E1361" i="4"/>
  <c r="G1360" i="4" a="1"/>
  <c r="G1360" i="4"/>
  <c r="E1360" i="4" a="1"/>
  <c r="E1360" i="4"/>
  <c r="G1359" i="4" a="1"/>
  <c r="G1359" i="4"/>
  <c r="E1359" i="4" a="1"/>
  <c r="E1359" i="4"/>
  <c r="G1358" i="4" a="1"/>
  <c r="G1358" i="4"/>
  <c r="E1358" i="4" a="1"/>
  <c r="E1358" i="4"/>
  <c r="G1357" i="4" a="1"/>
  <c r="G1357" i="4"/>
  <c r="E1357" i="4" a="1"/>
  <c r="E1357" i="4"/>
  <c r="G1356" i="4" a="1"/>
  <c r="G1356" i="4"/>
  <c r="G1355" i="4" a="1"/>
  <c r="G1355" i="4"/>
  <c r="E1355" i="4" a="1"/>
  <c r="E1355" i="4"/>
  <c r="G1354" i="4" a="1"/>
  <c r="G1354" i="4"/>
  <c r="E1354" i="4" a="1"/>
  <c r="E1354" i="4"/>
  <c r="G1353" i="4" a="1"/>
  <c r="G1353" i="4"/>
  <c r="E1353" i="4" a="1"/>
  <c r="E1353" i="4"/>
  <c r="G1352" i="4" a="1"/>
  <c r="G1352" i="4"/>
  <c r="E1352" i="4" a="1"/>
  <c r="E1352" i="4"/>
  <c r="G1351" i="4" a="1"/>
  <c r="G1351" i="4"/>
  <c r="E1351" i="4" a="1"/>
  <c r="E1351" i="4"/>
  <c r="G1350" i="4" a="1"/>
  <c r="G1350" i="4"/>
  <c r="E1350" i="4" a="1"/>
  <c r="E1350" i="4"/>
  <c r="G1349" i="4" a="1"/>
  <c r="G1349" i="4"/>
  <c r="E1349" i="4" a="1"/>
  <c r="E1349" i="4"/>
  <c r="G1348" i="4" a="1"/>
  <c r="G1348" i="4"/>
  <c r="E1348" i="4" a="1"/>
  <c r="E1348" i="4"/>
  <c r="G1347" i="4" a="1"/>
  <c r="G1347" i="4"/>
  <c r="E1347" i="4" a="1"/>
  <c r="E1347" i="4"/>
  <c r="G1346" i="4" a="1"/>
  <c r="G1346" i="4"/>
  <c r="E1346" i="4" a="1"/>
  <c r="E1346" i="4"/>
  <c r="G1345" i="4" a="1"/>
  <c r="G1345" i="4"/>
  <c r="E1345" i="4" a="1"/>
  <c r="E1345" i="4"/>
  <c r="G1344" i="4" a="1"/>
  <c r="G1344" i="4"/>
  <c r="G1343" i="4" a="1"/>
  <c r="G1343" i="4"/>
  <c r="E1343" i="4" a="1"/>
  <c r="E1343" i="4"/>
  <c r="G1342" i="4" a="1"/>
  <c r="G1342" i="4"/>
  <c r="E1342" i="4" a="1"/>
  <c r="E1342" i="4"/>
  <c r="G1341" i="4" a="1"/>
  <c r="G1341" i="4"/>
  <c r="E1341" i="4" a="1"/>
  <c r="E1341" i="4"/>
  <c r="G1340" i="4" a="1"/>
  <c r="G1340" i="4"/>
  <c r="E1340" i="4" a="1"/>
  <c r="E1340" i="4"/>
  <c r="G1339" i="4" a="1"/>
  <c r="G1339" i="4"/>
  <c r="E1339" i="4" a="1"/>
  <c r="E1339" i="4"/>
  <c r="G1338" i="4" a="1"/>
  <c r="G1338" i="4"/>
  <c r="E1338" i="4" a="1"/>
  <c r="E1338" i="4"/>
  <c r="G1337" i="4" a="1"/>
  <c r="G1337" i="4"/>
  <c r="E1337" i="4" a="1"/>
  <c r="E1337" i="4"/>
  <c r="G1336" i="4" a="1"/>
  <c r="G1336" i="4"/>
  <c r="E1336" i="4" a="1"/>
  <c r="E1336" i="4"/>
  <c r="G1335" i="4" a="1"/>
  <c r="G1335" i="4"/>
  <c r="E1335" i="4" a="1"/>
  <c r="E1335" i="4"/>
  <c r="G1334" i="4" a="1"/>
  <c r="G1334" i="4"/>
  <c r="E1334" i="4" a="1"/>
  <c r="E1334" i="4"/>
  <c r="G1333" i="4" a="1"/>
  <c r="G1333" i="4"/>
  <c r="G1332" i="4" a="1"/>
  <c r="G1332" i="4"/>
  <c r="E1332" i="4" a="1"/>
  <c r="E1332" i="4"/>
  <c r="G1331" i="4" a="1"/>
  <c r="G1331" i="4"/>
  <c r="E1331" i="4" a="1"/>
  <c r="E1331" i="4"/>
  <c r="G1330" i="4" a="1"/>
  <c r="G1330" i="4"/>
  <c r="E1330" i="4" a="1"/>
  <c r="E1330" i="4"/>
  <c r="G1329" i="4" a="1"/>
  <c r="G1329" i="4"/>
  <c r="E1329" i="4" a="1"/>
  <c r="E1329" i="4"/>
  <c r="G1328" i="4" a="1"/>
  <c r="G1328" i="4"/>
  <c r="E1328" i="4" a="1"/>
  <c r="E1328" i="4"/>
  <c r="G1327" i="4" a="1"/>
  <c r="G1327" i="4"/>
  <c r="E1327" i="4" a="1"/>
  <c r="E1327" i="4"/>
  <c r="G1326" i="4" a="1"/>
  <c r="G1326" i="4"/>
  <c r="E1326" i="4" a="1"/>
  <c r="E1326" i="4"/>
  <c r="G1325" i="4" a="1"/>
  <c r="G1325" i="4"/>
  <c r="E1325" i="4" a="1"/>
  <c r="E1325" i="4"/>
  <c r="G1324" i="4" a="1"/>
  <c r="G1324" i="4"/>
  <c r="E1324" i="4" a="1"/>
  <c r="E1324" i="4"/>
  <c r="G1323" i="4" a="1"/>
  <c r="G1323" i="4"/>
  <c r="E1323" i="4" a="1"/>
  <c r="E1323" i="4"/>
  <c r="G1322" i="4" a="1"/>
  <c r="G1322" i="4"/>
  <c r="G1321" i="4" a="1"/>
  <c r="G1321" i="4"/>
  <c r="E1321" i="4" a="1"/>
  <c r="E1321" i="4"/>
  <c r="G1320" i="4" a="1"/>
  <c r="G1320" i="4"/>
  <c r="E1320" i="4" a="1"/>
  <c r="E1320" i="4"/>
  <c r="G1319" i="4" a="1"/>
  <c r="G1319" i="4"/>
  <c r="E1319" i="4" a="1"/>
  <c r="E1319" i="4"/>
  <c r="G1318" i="4" a="1"/>
  <c r="G1318" i="4"/>
  <c r="E1318" i="4" a="1"/>
  <c r="E1318" i="4"/>
  <c r="G1317" i="4" a="1"/>
  <c r="G1317" i="4"/>
  <c r="E1317" i="4" a="1"/>
  <c r="E1317" i="4"/>
  <c r="G1316" i="4" a="1"/>
  <c r="G1316" i="4"/>
  <c r="E1316" i="4" a="1"/>
  <c r="E1316" i="4"/>
  <c r="G1315" i="4" a="1"/>
  <c r="G1315" i="4"/>
  <c r="E1315" i="4" a="1"/>
  <c r="E1315" i="4"/>
  <c r="G1314" i="4" a="1"/>
  <c r="G1314" i="4"/>
  <c r="E1314" i="4" a="1"/>
  <c r="E1314" i="4"/>
  <c r="G1313" i="4" a="1"/>
  <c r="G1313" i="4"/>
  <c r="E1313" i="4" a="1"/>
  <c r="E1313" i="4"/>
  <c r="G1312" i="4" a="1"/>
  <c r="G1312" i="4"/>
  <c r="E1312" i="4" a="1"/>
  <c r="E1312" i="4"/>
  <c r="G1311" i="4" a="1"/>
  <c r="G1311" i="4"/>
  <c r="G1310" i="4" a="1"/>
  <c r="G1310" i="4"/>
  <c r="E1310" i="4" a="1"/>
  <c r="E1310" i="4"/>
  <c r="G1309" i="4" a="1"/>
  <c r="G1309" i="4"/>
  <c r="E1309" i="4" a="1"/>
  <c r="E1309" i="4"/>
  <c r="G1308" i="4" a="1"/>
  <c r="G1308" i="4"/>
  <c r="E1308" i="4" a="1"/>
  <c r="E1308" i="4"/>
  <c r="G1307" i="4" a="1"/>
  <c r="G1307" i="4"/>
  <c r="E1307" i="4" a="1"/>
  <c r="E1307" i="4"/>
  <c r="G1306" i="4" a="1"/>
  <c r="G1306" i="4"/>
  <c r="E1306" i="4" a="1"/>
  <c r="E1306" i="4"/>
  <c r="G1305" i="4" a="1"/>
  <c r="G1305" i="4"/>
  <c r="E1305" i="4" a="1"/>
  <c r="E1305" i="4"/>
  <c r="G1304" i="4" a="1"/>
  <c r="G1304" i="4"/>
  <c r="E1304" i="4" a="1"/>
  <c r="E1304" i="4"/>
  <c r="G1303" i="4" a="1"/>
  <c r="G1303" i="4"/>
  <c r="E1303" i="4" a="1"/>
  <c r="E1303" i="4"/>
  <c r="G1302" i="4" a="1"/>
  <c r="G1302" i="4"/>
  <c r="E1302" i="4" a="1"/>
  <c r="E1302" i="4"/>
  <c r="G1301" i="4" a="1"/>
  <c r="G1301" i="4"/>
  <c r="E1301" i="4" a="1"/>
  <c r="E1301" i="4"/>
  <c r="G1300" i="4" a="1"/>
  <c r="G1300" i="4"/>
  <c r="G1299" i="4" a="1"/>
  <c r="G1299" i="4"/>
  <c r="E1299" i="4" a="1"/>
  <c r="E1299" i="4"/>
  <c r="G1298" i="4" a="1"/>
  <c r="G1298" i="4"/>
  <c r="E1298" i="4" a="1"/>
  <c r="E1298" i="4"/>
  <c r="G1297" i="4" a="1"/>
  <c r="G1297" i="4"/>
  <c r="E1297" i="4" a="1"/>
  <c r="E1297" i="4"/>
  <c r="G1296" i="4" a="1"/>
  <c r="G1296" i="4"/>
  <c r="E1296" i="4" a="1"/>
  <c r="E1296" i="4"/>
  <c r="G1295" i="4" a="1"/>
  <c r="G1295" i="4"/>
  <c r="E1295" i="4" a="1"/>
  <c r="E1295" i="4"/>
  <c r="G1294" i="4" a="1"/>
  <c r="G1294" i="4"/>
  <c r="E1294" i="4" a="1"/>
  <c r="E1294" i="4"/>
  <c r="G1293" i="4" a="1"/>
  <c r="G1293" i="4"/>
  <c r="E1293" i="4" a="1"/>
  <c r="E1293" i="4"/>
  <c r="G1292" i="4" a="1"/>
  <c r="G1292" i="4"/>
  <c r="E1292" i="4" a="1"/>
  <c r="E1292" i="4"/>
  <c r="G1291" i="4" a="1"/>
  <c r="G1291" i="4"/>
  <c r="E1291" i="4" a="1"/>
  <c r="E1291" i="4"/>
  <c r="G1290" i="4" a="1"/>
  <c r="G1290" i="4"/>
  <c r="E1290" i="4" a="1"/>
  <c r="E1290" i="4"/>
  <c r="G1289" i="4" a="1"/>
  <c r="G1289" i="4"/>
  <c r="E1289" i="4" a="1"/>
  <c r="E1289" i="4"/>
  <c r="G1288" i="4" a="1"/>
  <c r="G1288" i="4"/>
  <c r="G1287" i="4" a="1"/>
  <c r="G1287" i="4"/>
  <c r="E1287" i="4" a="1"/>
  <c r="E1287" i="4"/>
  <c r="G1286" i="4" a="1"/>
  <c r="G1286" i="4"/>
  <c r="E1286" i="4" a="1"/>
  <c r="E1286" i="4"/>
  <c r="G1285" i="4" a="1"/>
  <c r="G1285" i="4"/>
  <c r="E1285" i="4" a="1"/>
  <c r="E1285" i="4"/>
  <c r="G1284" i="4" a="1"/>
  <c r="G1284" i="4"/>
  <c r="E1284" i="4" a="1"/>
  <c r="E1284" i="4"/>
  <c r="G1283" i="4" a="1"/>
  <c r="G1283" i="4"/>
  <c r="E1283" i="4" a="1"/>
  <c r="E1283" i="4"/>
  <c r="G1282" i="4" a="1"/>
  <c r="G1282" i="4"/>
  <c r="E1282" i="4" a="1"/>
  <c r="E1282" i="4"/>
  <c r="G1281" i="4" a="1"/>
  <c r="G1281" i="4"/>
  <c r="E1281" i="4" a="1"/>
  <c r="E1281" i="4"/>
  <c r="G1280" i="4" a="1"/>
  <c r="G1280" i="4"/>
  <c r="E1280" i="4" a="1"/>
  <c r="E1280" i="4"/>
  <c r="G1279" i="4" a="1"/>
  <c r="G1279" i="4"/>
  <c r="E1279" i="4" a="1"/>
  <c r="E1279" i="4"/>
  <c r="G1278" i="4" a="1"/>
  <c r="G1278" i="4"/>
  <c r="E1278" i="4" a="1"/>
  <c r="E1278" i="4"/>
  <c r="G1277" i="4" a="1"/>
  <c r="G1277" i="4"/>
  <c r="G1276" i="4" a="1"/>
  <c r="G1276" i="4"/>
  <c r="E1276" i="4" a="1"/>
  <c r="E1276" i="4"/>
  <c r="G1275" i="4" a="1"/>
  <c r="G1275" i="4"/>
  <c r="E1275" i="4" a="1"/>
  <c r="E1275" i="4"/>
  <c r="G1274" i="4" a="1"/>
  <c r="G1274" i="4"/>
  <c r="E1274" i="4" a="1"/>
  <c r="E1274" i="4"/>
  <c r="G1273" i="4" a="1"/>
  <c r="G1273" i="4"/>
  <c r="E1273" i="4" a="1"/>
  <c r="E1273" i="4"/>
  <c r="G1272" i="4" a="1"/>
  <c r="G1272" i="4"/>
  <c r="E1272" i="4" a="1"/>
  <c r="E1272" i="4"/>
  <c r="G1271" i="4" a="1"/>
  <c r="G1271" i="4"/>
  <c r="E1271" i="4" a="1"/>
  <c r="E1271" i="4"/>
  <c r="G1270" i="4" a="1"/>
  <c r="G1270" i="4"/>
  <c r="E1270" i="4" a="1"/>
  <c r="E1270" i="4"/>
  <c r="G1269" i="4" a="1"/>
  <c r="G1269" i="4"/>
  <c r="E1269" i="4" a="1"/>
  <c r="E1269" i="4"/>
  <c r="G1268" i="4" a="1"/>
  <c r="G1268" i="4"/>
  <c r="E1268" i="4" a="1"/>
  <c r="E1268" i="4"/>
  <c r="G1267" i="4" a="1"/>
  <c r="G1267" i="4"/>
  <c r="E1267" i="4" a="1"/>
  <c r="E1267" i="4"/>
  <c r="G1266" i="4" a="1"/>
  <c r="G1266" i="4"/>
  <c r="G1265" i="4" a="1"/>
  <c r="G1265" i="4"/>
  <c r="E1265" i="4" a="1"/>
  <c r="E1265" i="4"/>
  <c r="G1264" i="4" a="1"/>
  <c r="G1264" i="4"/>
  <c r="E1264" i="4" a="1"/>
  <c r="E1264" i="4"/>
  <c r="G1263" i="4" a="1"/>
  <c r="G1263" i="4"/>
  <c r="E1263" i="4" a="1"/>
  <c r="E1263" i="4"/>
  <c r="G1262" i="4" a="1"/>
  <c r="G1262" i="4"/>
  <c r="E1262" i="4" a="1"/>
  <c r="E1262" i="4"/>
  <c r="G1261" i="4" a="1"/>
  <c r="G1261" i="4"/>
  <c r="E1261" i="4" a="1"/>
  <c r="E1261" i="4"/>
  <c r="G1260" i="4" a="1"/>
  <c r="G1260" i="4"/>
  <c r="E1260" i="4" a="1"/>
  <c r="E1260" i="4"/>
  <c r="G1259" i="4" a="1"/>
  <c r="G1259" i="4"/>
  <c r="E1259" i="4" a="1"/>
  <c r="E1259" i="4"/>
  <c r="G1258" i="4" a="1"/>
  <c r="G1258" i="4"/>
  <c r="E1258" i="4" a="1"/>
  <c r="E1258" i="4"/>
  <c r="G1257" i="4" a="1"/>
  <c r="G1257" i="4"/>
  <c r="E1257" i="4" a="1"/>
  <c r="E1257" i="4"/>
  <c r="G1256" i="4" a="1"/>
  <c r="G1256" i="4"/>
  <c r="E1256" i="4" a="1"/>
  <c r="E1256" i="4"/>
  <c r="G1255" i="4" a="1"/>
  <c r="G1255" i="4"/>
  <c r="G1254" i="4" a="1"/>
  <c r="G1254" i="4"/>
  <c r="E1254" i="4" a="1"/>
  <c r="E1254" i="4"/>
  <c r="G1253" i="4" a="1"/>
  <c r="G1253" i="4"/>
  <c r="E1253" i="4" a="1"/>
  <c r="E1253" i="4"/>
  <c r="G1252" i="4" a="1"/>
  <c r="G1252" i="4"/>
  <c r="E1252" i="4" a="1"/>
  <c r="E1252" i="4"/>
  <c r="G1251" i="4" a="1"/>
  <c r="G1251" i="4"/>
  <c r="E1251" i="4" a="1"/>
  <c r="E1251" i="4"/>
  <c r="G1250" i="4" a="1"/>
  <c r="G1250" i="4"/>
  <c r="E1250" i="4" a="1"/>
  <c r="E1250" i="4"/>
  <c r="G1249" i="4" a="1"/>
  <c r="G1249" i="4"/>
  <c r="E1249" i="4" a="1"/>
  <c r="E1249" i="4"/>
  <c r="G1248" i="4" a="1"/>
  <c r="G1248" i="4"/>
  <c r="E1248" i="4" a="1"/>
  <c r="E1248" i="4"/>
  <c r="G1247" i="4" a="1"/>
  <c r="G1247" i="4"/>
  <c r="E1247" i="4" a="1"/>
  <c r="E1247" i="4"/>
  <c r="G1246" i="4" a="1"/>
  <c r="G1246" i="4"/>
  <c r="E1246" i="4" a="1"/>
  <c r="E1246" i="4"/>
  <c r="G1245" i="4" a="1"/>
  <c r="G1245" i="4"/>
  <c r="E1245" i="4" a="1"/>
  <c r="E1245" i="4"/>
  <c r="G1244" i="4" a="1"/>
  <c r="G1244" i="4"/>
  <c r="E1244" i="4" a="1"/>
  <c r="E1244" i="4"/>
  <c r="G1243" i="4" a="1"/>
  <c r="G1243" i="4"/>
  <c r="E1243" i="4" a="1"/>
  <c r="E1243" i="4"/>
  <c r="G1242" i="4" a="1"/>
  <c r="G1242" i="4"/>
  <c r="G1241" i="4" a="1"/>
  <c r="G1241" i="4"/>
  <c r="E1241" i="4" a="1"/>
  <c r="E1241" i="4"/>
  <c r="G1240" i="4" a="1"/>
  <c r="G1240" i="4"/>
  <c r="E1240" i="4" a="1"/>
  <c r="E1240" i="4"/>
  <c r="G1239" i="4" a="1"/>
  <c r="G1239" i="4"/>
  <c r="E1239" i="4" a="1"/>
  <c r="E1239" i="4"/>
  <c r="G1238" i="4" a="1"/>
  <c r="G1238" i="4"/>
  <c r="E1238" i="4" a="1"/>
  <c r="E1238" i="4"/>
  <c r="G1237" i="4" a="1"/>
  <c r="G1237" i="4"/>
  <c r="E1237" i="4" a="1"/>
  <c r="E1237" i="4"/>
  <c r="G1236" i="4" a="1"/>
  <c r="G1236" i="4"/>
  <c r="E1236" i="4" a="1"/>
  <c r="E1236" i="4"/>
  <c r="G1235" i="4" a="1"/>
  <c r="G1235" i="4"/>
  <c r="E1235" i="4" a="1"/>
  <c r="E1235" i="4"/>
  <c r="G1234" i="4" a="1"/>
  <c r="G1234" i="4"/>
  <c r="E1234" i="4" a="1"/>
  <c r="E1234" i="4"/>
  <c r="G1233" i="4" a="1"/>
  <c r="G1233" i="4"/>
  <c r="E1233" i="4" a="1"/>
  <c r="E1233" i="4"/>
  <c r="G1232" i="4" a="1"/>
  <c r="G1232" i="4"/>
  <c r="E1232" i="4" a="1"/>
  <c r="E1232" i="4"/>
  <c r="G1231" i="4" a="1"/>
  <c r="G1231" i="4"/>
  <c r="G1230" i="4" a="1"/>
  <c r="G1230" i="4"/>
  <c r="E1230" i="4" a="1"/>
  <c r="E1230" i="4"/>
  <c r="G1229" i="4" a="1"/>
  <c r="G1229" i="4"/>
  <c r="E1229" i="4" a="1"/>
  <c r="E1229" i="4"/>
  <c r="G1228" i="4" a="1"/>
  <c r="G1228" i="4"/>
  <c r="E1228" i="4" a="1"/>
  <c r="E1228" i="4"/>
  <c r="G1227" i="4" a="1"/>
  <c r="G1227" i="4"/>
  <c r="E1227" i="4" a="1"/>
  <c r="E1227" i="4"/>
  <c r="G1226" i="4" a="1"/>
  <c r="G1226" i="4"/>
  <c r="E1226" i="4" a="1"/>
  <c r="E1226" i="4"/>
  <c r="G1225" i="4" a="1"/>
  <c r="G1225" i="4"/>
  <c r="E1225" i="4" a="1"/>
  <c r="E1225" i="4"/>
  <c r="G1224" i="4" a="1"/>
  <c r="G1224" i="4"/>
  <c r="E1224" i="4" a="1"/>
  <c r="E1224" i="4"/>
  <c r="G1223" i="4" a="1"/>
  <c r="G1223" i="4"/>
  <c r="E1223" i="4" a="1"/>
  <c r="E1223" i="4"/>
  <c r="G1222" i="4" a="1"/>
  <c r="G1222" i="4"/>
  <c r="E1222" i="4" a="1"/>
  <c r="E1222" i="4"/>
  <c r="G1221" i="4" a="1"/>
  <c r="G1221" i="4"/>
  <c r="E1221" i="4" a="1"/>
  <c r="E1221" i="4"/>
  <c r="G1220" i="4" a="1"/>
  <c r="G1220" i="4"/>
  <c r="G1219" i="4" a="1"/>
  <c r="G1219" i="4"/>
  <c r="E1219" i="4" a="1"/>
  <c r="E1219" i="4"/>
  <c r="G1218" i="4" a="1"/>
  <c r="G1218" i="4"/>
  <c r="E1218" i="4" a="1"/>
  <c r="E1218" i="4"/>
  <c r="G1217" i="4" a="1"/>
  <c r="G1217" i="4"/>
  <c r="E1217" i="4" a="1"/>
  <c r="E1217" i="4"/>
  <c r="G1216" i="4" a="1"/>
  <c r="G1216" i="4"/>
  <c r="E1216" i="4" a="1"/>
  <c r="E1216" i="4"/>
  <c r="G1215" i="4" a="1"/>
  <c r="G1215" i="4"/>
  <c r="E1215" i="4" a="1"/>
  <c r="E1215" i="4"/>
  <c r="G1214" i="4" a="1"/>
  <c r="G1214" i="4"/>
  <c r="E1214" i="4" a="1"/>
  <c r="E1214" i="4"/>
  <c r="G1213" i="4" a="1"/>
  <c r="G1213" i="4"/>
  <c r="E1213" i="4" a="1"/>
  <c r="E1213" i="4"/>
  <c r="G1212" i="4" a="1"/>
  <c r="G1212" i="4"/>
  <c r="E1212" i="4" a="1"/>
  <c r="E1212" i="4"/>
  <c r="G1211" i="4" a="1"/>
  <c r="G1211" i="4"/>
  <c r="E1211" i="4" a="1"/>
  <c r="E1211" i="4"/>
  <c r="G1210" i="4" a="1"/>
  <c r="G1210" i="4"/>
  <c r="E1210" i="4" a="1"/>
  <c r="E1210" i="4"/>
  <c r="G1209" i="4" a="1"/>
  <c r="G1209" i="4"/>
  <c r="G1208" i="4" a="1"/>
  <c r="G1208" i="4"/>
  <c r="E1208" i="4" a="1"/>
  <c r="E1208" i="4"/>
  <c r="G1207" i="4" a="1"/>
  <c r="G1207" i="4"/>
  <c r="E1207" i="4" a="1"/>
  <c r="E1207" i="4"/>
  <c r="G1206" i="4" a="1"/>
  <c r="G1206" i="4"/>
  <c r="E1206" i="4" a="1"/>
  <c r="E1206" i="4"/>
  <c r="G1205" i="4" a="1"/>
  <c r="G1205" i="4"/>
  <c r="E1205" i="4" a="1"/>
  <c r="E1205" i="4"/>
  <c r="G1204" i="4" a="1"/>
  <c r="G1204" i="4"/>
  <c r="E1204" i="4" a="1"/>
  <c r="E1204" i="4"/>
  <c r="G1203" i="4" a="1"/>
  <c r="G1203" i="4"/>
  <c r="E1203" i="4" a="1"/>
  <c r="E1203" i="4"/>
  <c r="G1202" i="4" a="1"/>
  <c r="G1202" i="4"/>
  <c r="E1202" i="4" a="1"/>
  <c r="E1202" i="4"/>
  <c r="G1201" i="4" a="1"/>
  <c r="G1201" i="4"/>
  <c r="E1201" i="4" a="1"/>
  <c r="E1201" i="4"/>
  <c r="G1200" i="4" a="1"/>
  <c r="G1200" i="4"/>
  <c r="E1200" i="4" a="1"/>
  <c r="E1200" i="4"/>
  <c r="G1199" i="4" a="1"/>
  <c r="G1199" i="4"/>
  <c r="E1199" i="4" a="1"/>
  <c r="E1199" i="4"/>
  <c r="G1198" i="4" a="1"/>
  <c r="G1198" i="4"/>
  <c r="G1197" i="4" a="1"/>
  <c r="G1197" i="4"/>
  <c r="E1197" i="4" a="1"/>
  <c r="E1197" i="4"/>
  <c r="G1196" i="4" a="1"/>
  <c r="G1196" i="4"/>
  <c r="E1196" i="4" a="1"/>
  <c r="E1196" i="4"/>
  <c r="G1195" i="4" a="1"/>
  <c r="G1195" i="4"/>
  <c r="E1195" i="4" a="1"/>
  <c r="E1195" i="4"/>
  <c r="G1194" i="4" a="1"/>
  <c r="G1194" i="4"/>
  <c r="E1194" i="4" a="1"/>
  <c r="E1194" i="4"/>
  <c r="G1193" i="4" a="1"/>
  <c r="G1193" i="4"/>
  <c r="E1193" i="4" a="1"/>
  <c r="E1193" i="4"/>
  <c r="G1192" i="4" a="1"/>
  <c r="G1192" i="4"/>
  <c r="E1192" i="4" a="1"/>
  <c r="E1192" i="4"/>
  <c r="G1191" i="4" a="1"/>
  <c r="G1191" i="4"/>
  <c r="E1191" i="4" a="1"/>
  <c r="E1191" i="4"/>
  <c r="G1190" i="4" a="1"/>
  <c r="G1190" i="4"/>
  <c r="E1190" i="4" a="1"/>
  <c r="E1190" i="4"/>
  <c r="G1189" i="4" a="1"/>
  <c r="G1189" i="4"/>
  <c r="E1189" i="4" a="1"/>
  <c r="E1189" i="4"/>
  <c r="G1188" i="4" a="1"/>
  <c r="G1188" i="4"/>
  <c r="E1188" i="4" a="1"/>
  <c r="E1188" i="4"/>
  <c r="G1187" i="4" a="1"/>
  <c r="G1187" i="4"/>
  <c r="E1187" i="4" a="1"/>
  <c r="E1187" i="4"/>
  <c r="G1186" i="4" a="1"/>
  <c r="G1186" i="4"/>
  <c r="G1185" i="4" a="1"/>
  <c r="G1185" i="4"/>
  <c r="E1185" i="4" a="1"/>
  <c r="E1185" i="4"/>
  <c r="G1184" i="4" a="1"/>
  <c r="G1184" i="4"/>
  <c r="E1184" i="4" a="1"/>
  <c r="E1184" i="4"/>
  <c r="G1183" i="4" a="1"/>
  <c r="G1183" i="4"/>
  <c r="E1183" i="4" a="1"/>
  <c r="E1183" i="4"/>
  <c r="G1182" i="4" a="1"/>
  <c r="G1182" i="4"/>
  <c r="E1182" i="4" a="1"/>
  <c r="E1182" i="4"/>
  <c r="G1181" i="4" a="1"/>
  <c r="G1181" i="4"/>
  <c r="E1181" i="4" a="1"/>
  <c r="E1181" i="4"/>
  <c r="G1180" i="4" a="1"/>
  <c r="G1180" i="4"/>
  <c r="E1180" i="4" a="1"/>
  <c r="E1180" i="4"/>
  <c r="G1179" i="4" a="1"/>
  <c r="G1179" i="4"/>
  <c r="E1179" i="4" a="1"/>
  <c r="E1179" i="4"/>
  <c r="G1178" i="4" a="1"/>
  <c r="G1178" i="4"/>
  <c r="E1178" i="4" a="1"/>
  <c r="E1178" i="4"/>
  <c r="G1177" i="4" a="1"/>
  <c r="G1177" i="4"/>
  <c r="E1177" i="4" a="1"/>
  <c r="E1177" i="4"/>
  <c r="G1176" i="4" a="1"/>
  <c r="G1176" i="4"/>
  <c r="E1176" i="4" a="1"/>
  <c r="E1176" i="4"/>
  <c r="G1175" i="4" a="1"/>
  <c r="G1175" i="4"/>
  <c r="G1174" i="4" a="1"/>
  <c r="G1174" i="4"/>
  <c r="E1174" i="4" a="1"/>
  <c r="E1174" i="4"/>
  <c r="G1173" i="4" a="1"/>
  <c r="G1173" i="4"/>
  <c r="G1172" i="4" a="1"/>
  <c r="G1172" i="4"/>
  <c r="E1172" i="4" a="1"/>
  <c r="E1172" i="4"/>
  <c r="G1171" i="4" a="1"/>
  <c r="G1171" i="4"/>
  <c r="G1170" i="4" a="1"/>
  <c r="G1170" i="4"/>
  <c r="E1170" i="4" a="1"/>
  <c r="E1170" i="4"/>
  <c r="G1169" i="4" a="1"/>
  <c r="G1169" i="4"/>
  <c r="G1167" i="4" a="1"/>
  <c r="G1167" i="4"/>
  <c r="F1167" i="4"/>
  <c r="E1167" i="4" a="1"/>
  <c r="E1167" i="4"/>
  <c r="G1166" i="4" a="1"/>
  <c r="G1166" i="4"/>
  <c r="F1166" i="4"/>
  <c r="E1166" i="4" a="1"/>
  <c r="E1166" i="4"/>
  <c r="G1165" i="4" a="1"/>
  <c r="G1165" i="4"/>
  <c r="F1165" i="4"/>
  <c r="E1165" i="4" a="1"/>
  <c r="E1165" i="4"/>
  <c r="G1164" i="4" a="1"/>
  <c r="G1164" i="4"/>
  <c r="F1164" i="4"/>
  <c r="E1164" i="4" a="1"/>
  <c r="E1164" i="4"/>
  <c r="G1163" i="4" a="1"/>
  <c r="G1163" i="4"/>
  <c r="E1163" i="4" a="1"/>
  <c r="E1163" i="4"/>
  <c r="G1162" i="4" a="1"/>
  <c r="G1162" i="4"/>
  <c r="E1162" i="4" a="1"/>
  <c r="E1162" i="4"/>
  <c r="G1161" i="4" a="1"/>
  <c r="G1161" i="4"/>
  <c r="E1161" i="4" a="1"/>
  <c r="E1161" i="4"/>
  <c r="G1160" i="4" a="1"/>
  <c r="G1160" i="4"/>
  <c r="F1160" i="4"/>
  <c r="E1160" i="4" a="1"/>
  <c r="E1160" i="4"/>
  <c r="G1159" i="4" a="1"/>
  <c r="G1159" i="4"/>
  <c r="F1159" i="4"/>
  <c r="E1159" i="4" a="1"/>
  <c r="E1159" i="4"/>
  <c r="G1158" i="4" a="1"/>
  <c r="G1158" i="4"/>
  <c r="F1158" i="4"/>
  <c r="E1158" i="4" a="1"/>
  <c r="E1158" i="4"/>
  <c r="G1157" i="4" a="1"/>
  <c r="G1157" i="4"/>
  <c r="F1157" i="4"/>
  <c r="E1157" i="4" a="1"/>
  <c r="E1157" i="4"/>
  <c r="G1156" i="4" a="1"/>
  <c r="G1156" i="4"/>
  <c r="F1156" i="4"/>
  <c r="E1156" i="4" a="1"/>
  <c r="E1156" i="4"/>
  <c r="G1155" i="4" a="1"/>
  <c r="G1155" i="4"/>
  <c r="F1155" i="4"/>
  <c r="E1155" i="4" a="1"/>
  <c r="E1155" i="4"/>
  <c r="G1154" i="4" a="1"/>
  <c r="G1154" i="4"/>
  <c r="F1154" i="4"/>
  <c r="E1154" i="4" a="1"/>
  <c r="E1154" i="4"/>
  <c r="G1153" i="4" a="1"/>
  <c r="G1153" i="4"/>
  <c r="G1152" i="4" a="1"/>
  <c r="G1152" i="4"/>
  <c r="F1152" i="4"/>
  <c r="E1152" i="4" a="1"/>
  <c r="E1152" i="4"/>
  <c r="G1151" i="4" a="1"/>
  <c r="G1151" i="4"/>
  <c r="F1151" i="4"/>
  <c r="E1151" i="4" a="1"/>
  <c r="E1151" i="4"/>
  <c r="G1150" i="4" a="1"/>
  <c r="G1150" i="4"/>
  <c r="F1150" i="4"/>
  <c r="E1150" i="4" a="1"/>
  <c r="E1150" i="4"/>
  <c r="G1149" i="4" a="1"/>
  <c r="G1149" i="4"/>
  <c r="F1149" i="4"/>
  <c r="E1149" i="4" a="1"/>
  <c r="E1149" i="4"/>
  <c r="G1148" i="4" a="1"/>
  <c r="G1148" i="4"/>
  <c r="E1148" i="4" a="1"/>
  <c r="E1148" i="4"/>
  <c r="G1147" i="4" a="1"/>
  <c r="G1147" i="4"/>
  <c r="E1147" i="4" a="1"/>
  <c r="E1147" i="4"/>
  <c r="G1146" i="4" a="1"/>
  <c r="G1146" i="4"/>
  <c r="E1146" i="4" a="1"/>
  <c r="E1146" i="4"/>
  <c r="G1145" i="4" a="1"/>
  <c r="G1145" i="4"/>
  <c r="F1145" i="4"/>
  <c r="E1145" i="4" a="1"/>
  <c r="E1145" i="4"/>
  <c r="G1144" i="4" a="1"/>
  <c r="G1144" i="4"/>
  <c r="F1144" i="4"/>
  <c r="E1144" i="4" a="1"/>
  <c r="E1144" i="4"/>
  <c r="G1143" i="4" a="1"/>
  <c r="G1143" i="4"/>
  <c r="F1143" i="4"/>
  <c r="E1143" i="4" a="1"/>
  <c r="E1143" i="4"/>
  <c r="G1142" i="4" a="1"/>
  <c r="G1142" i="4"/>
  <c r="F1142" i="4"/>
  <c r="E1142" i="4" a="1"/>
  <c r="E1142" i="4"/>
  <c r="G1141" i="4" a="1"/>
  <c r="G1141" i="4"/>
  <c r="F1141" i="4"/>
  <c r="E1141" i="4" a="1"/>
  <c r="E1141" i="4"/>
  <c r="G1140" i="4" a="1"/>
  <c r="G1140" i="4"/>
  <c r="F1140" i="4"/>
  <c r="E1140" i="4" a="1"/>
  <c r="E1140" i="4"/>
  <c r="G1139" i="4" a="1"/>
  <c r="G1139" i="4"/>
  <c r="G1138" i="4" a="1"/>
  <c r="G1138" i="4"/>
  <c r="F1138" i="4"/>
  <c r="E1138" i="4" a="1"/>
  <c r="E1138" i="4"/>
  <c r="G1137" i="4" a="1"/>
  <c r="G1137" i="4"/>
  <c r="F1137" i="4"/>
  <c r="E1137" i="4" a="1"/>
  <c r="E1137" i="4"/>
  <c r="G1136" i="4" a="1"/>
  <c r="G1136" i="4"/>
  <c r="F1136" i="4"/>
  <c r="E1136" i="4" a="1"/>
  <c r="E1136" i="4"/>
  <c r="G1135" i="4" a="1"/>
  <c r="G1135" i="4"/>
  <c r="F1135" i="4"/>
  <c r="E1135" i="4" a="1"/>
  <c r="E1135" i="4"/>
  <c r="G1134" i="4" a="1"/>
  <c r="G1134" i="4"/>
  <c r="E1134" i="4" a="1"/>
  <c r="E1134" i="4"/>
  <c r="G1133" i="4" a="1"/>
  <c r="G1133" i="4"/>
  <c r="E1133" i="4" a="1"/>
  <c r="E1133" i="4"/>
  <c r="G1132" i="4" a="1"/>
  <c r="G1132" i="4"/>
  <c r="E1132" i="4" a="1"/>
  <c r="E1132" i="4"/>
  <c r="G1131" i="4" a="1"/>
  <c r="G1131" i="4"/>
  <c r="F1131" i="4"/>
  <c r="E1131" i="4" a="1"/>
  <c r="E1131" i="4"/>
  <c r="G1130" i="4" a="1"/>
  <c r="G1130" i="4"/>
  <c r="F1130" i="4"/>
  <c r="E1130" i="4" a="1"/>
  <c r="E1130" i="4"/>
  <c r="G1129" i="4" a="1"/>
  <c r="G1129" i="4"/>
  <c r="F1129" i="4"/>
  <c r="E1129" i="4" a="1"/>
  <c r="E1129" i="4"/>
  <c r="G1128" i="4" a="1"/>
  <c r="G1128" i="4"/>
  <c r="F1128" i="4"/>
  <c r="E1128" i="4" a="1"/>
  <c r="E1128" i="4"/>
  <c r="G1127" i="4" a="1"/>
  <c r="G1127" i="4"/>
  <c r="F1127" i="4"/>
  <c r="E1127" i="4" a="1"/>
  <c r="E1127" i="4"/>
  <c r="G1126" i="4" a="1"/>
  <c r="G1126" i="4"/>
  <c r="F1126" i="4"/>
  <c r="E1126" i="4" a="1"/>
  <c r="E1126" i="4"/>
  <c r="G1125" i="4" a="1"/>
  <c r="G1125" i="4"/>
  <c r="F1125" i="4"/>
  <c r="E1125" i="4" a="1"/>
  <c r="E1125" i="4"/>
  <c r="G1124" i="4" a="1"/>
  <c r="G1124" i="4"/>
  <c r="G1123" i="4" a="1"/>
  <c r="G1123" i="4"/>
  <c r="F1123" i="4"/>
  <c r="E1123" i="4" a="1"/>
  <c r="E1123" i="4"/>
  <c r="G1122" i="4" a="1"/>
  <c r="G1122" i="4"/>
  <c r="F1122" i="4"/>
  <c r="E1122" i="4" a="1"/>
  <c r="E1122" i="4"/>
  <c r="G1121" i="4" a="1"/>
  <c r="G1121" i="4"/>
  <c r="F1121" i="4"/>
  <c r="E1121" i="4" a="1"/>
  <c r="E1121" i="4"/>
  <c r="G1120" i="4" a="1"/>
  <c r="G1120" i="4"/>
  <c r="F1120" i="4"/>
  <c r="E1120" i="4" a="1"/>
  <c r="E1120" i="4"/>
  <c r="G1119" i="4" a="1"/>
  <c r="G1119" i="4"/>
  <c r="E1119" i="4" a="1"/>
  <c r="E1119" i="4"/>
  <c r="G1118" i="4" a="1"/>
  <c r="G1118" i="4"/>
  <c r="E1118" i="4" a="1"/>
  <c r="E1118" i="4"/>
  <c r="G1117" i="4" a="1"/>
  <c r="G1117" i="4"/>
  <c r="E1117" i="4" a="1"/>
  <c r="E1117" i="4"/>
  <c r="G1116" i="4" a="1"/>
  <c r="G1116" i="4"/>
  <c r="F1116" i="4"/>
  <c r="E1116" i="4" a="1"/>
  <c r="E1116" i="4"/>
  <c r="G1115" i="4" a="1"/>
  <c r="G1115" i="4"/>
  <c r="F1115" i="4"/>
  <c r="E1115" i="4" a="1"/>
  <c r="E1115" i="4"/>
  <c r="G1114" i="4" a="1"/>
  <c r="G1114" i="4"/>
  <c r="F1114" i="4"/>
  <c r="E1114" i="4" a="1"/>
  <c r="E1114" i="4"/>
  <c r="G1113" i="4" a="1"/>
  <c r="G1113" i="4"/>
  <c r="F1113" i="4"/>
  <c r="E1113" i="4" a="1"/>
  <c r="E1113" i="4"/>
  <c r="G1112" i="4" a="1"/>
  <c r="G1112" i="4"/>
  <c r="G1111" i="4" a="1"/>
  <c r="G1111" i="4"/>
  <c r="E1111" i="4" a="1"/>
  <c r="E1111" i="4"/>
  <c r="G1110" i="4" a="1"/>
  <c r="G1110" i="4"/>
  <c r="E1110" i="4" a="1"/>
  <c r="E1110" i="4"/>
  <c r="G1109" i="4" a="1"/>
  <c r="G1109" i="4"/>
  <c r="E1109" i="4" a="1"/>
  <c r="E1109" i="4"/>
  <c r="G1108" i="4" a="1"/>
  <c r="G1108" i="4"/>
  <c r="E1108" i="4" a="1"/>
  <c r="E1108" i="4"/>
  <c r="G1107" i="4" a="1"/>
  <c r="G1107" i="4"/>
  <c r="E1107" i="4" a="1"/>
  <c r="E1107" i="4"/>
  <c r="G1106" i="4" a="1"/>
  <c r="G1106" i="4"/>
  <c r="E1106" i="4" a="1"/>
  <c r="E1106" i="4"/>
  <c r="G1105" i="4" a="1"/>
  <c r="G1105" i="4"/>
  <c r="E1105" i="4" a="1"/>
  <c r="E1105" i="4"/>
  <c r="G1104" i="4" a="1"/>
  <c r="G1104" i="4"/>
  <c r="E1104" i="4" a="1"/>
  <c r="E1104" i="4"/>
  <c r="G1103" i="4" a="1"/>
  <c r="G1103" i="4"/>
  <c r="E1103" i="4" a="1"/>
  <c r="E1103" i="4"/>
  <c r="G1102" i="4" a="1"/>
  <c r="G1102" i="4"/>
  <c r="E1102" i="4" a="1"/>
  <c r="E1102" i="4"/>
  <c r="G1101" i="4" a="1"/>
  <c r="G1101" i="4"/>
  <c r="F1101" i="4"/>
  <c r="E1101" i="4" a="1"/>
  <c r="E1101" i="4"/>
  <c r="G1100" i="4" a="1"/>
  <c r="G1100" i="4"/>
  <c r="F1100" i="4"/>
  <c r="E1100" i="4" a="1"/>
  <c r="E1100" i="4"/>
  <c r="G1099" i="4" a="1"/>
  <c r="G1099" i="4"/>
  <c r="F1099" i="4"/>
  <c r="E1099" i="4" a="1"/>
  <c r="E1099" i="4"/>
  <c r="G1098" i="4" a="1"/>
  <c r="G1098" i="4"/>
  <c r="G1097" i="4" a="1"/>
  <c r="G1097" i="4"/>
  <c r="E1097" i="4" a="1"/>
  <c r="E1097" i="4"/>
  <c r="G1096" i="4" a="1"/>
  <c r="G1096" i="4"/>
  <c r="E1096" i="4" a="1"/>
  <c r="E1096" i="4"/>
  <c r="G1095" i="4" a="1"/>
  <c r="G1095" i="4"/>
  <c r="E1095" i="4" a="1"/>
  <c r="E1095" i="4"/>
  <c r="G1094" i="4" a="1"/>
  <c r="G1094" i="4"/>
  <c r="E1094" i="4" a="1"/>
  <c r="E1094" i="4"/>
  <c r="G1093" i="4" a="1"/>
  <c r="G1093" i="4"/>
  <c r="E1093" i="4" a="1"/>
  <c r="E1093" i="4"/>
  <c r="G1092" i="4" a="1"/>
  <c r="G1092" i="4"/>
  <c r="E1092" i="4" a="1"/>
  <c r="E1092" i="4"/>
  <c r="G1091" i="4" a="1"/>
  <c r="G1091" i="4"/>
  <c r="E1091" i="4" a="1"/>
  <c r="E1091" i="4"/>
  <c r="G1090" i="4" a="1"/>
  <c r="G1090" i="4"/>
  <c r="E1090" i="4" a="1"/>
  <c r="E1090" i="4"/>
  <c r="G1089" i="4" a="1"/>
  <c r="G1089" i="4"/>
  <c r="E1089" i="4" a="1"/>
  <c r="E1089" i="4"/>
  <c r="G1088" i="4" a="1"/>
  <c r="G1088" i="4"/>
  <c r="E1088" i="4" a="1"/>
  <c r="E1088" i="4"/>
  <c r="G1087" i="4" a="1"/>
  <c r="G1087" i="4"/>
  <c r="F1087" i="4"/>
  <c r="E1087" i="4" a="1"/>
  <c r="E1087" i="4"/>
  <c r="G1086" i="4" a="1"/>
  <c r="G1086" i="4"/>
  <c r="F1086" i="4"/>
  <c r="E1086" i="4" a="1"/>
  <c r="E1086" i="4"/>
  <c r="G1085" i="4" a="1"/>
  <c r="G1085" i="4"/>
  <c r="G1084" i="4" a="1"/>
  <c r="G1084" i="4"/>
  <c r="E1084" i="4" a="1"/>
  <c r="E1084" i="4"/>
  <c r="G1083" i="4" a="1"/>
  <c r="G1083" i="4"/>
  <c r="E1083" i="4" a="1"/>
  <c r="E1083" i="4"/>
  <c r="G1082" i="4" a="1"/>
  <c r="G1082" i="4"/>
  <c r="E1082" i="4" a="1"/>
  <c r="E1082" i="4"/>
  <c r="G1081" i="4" a="1"/>
  <c r="G1081" i="4"/>
  <c r="E1081" i="4" a="1"/>
  <c r="E1081" i="4"/>
  <c r="G1080" i="4" a="1"/>
  <c r="G1080" i="4"/>
  <c r="E1080" i="4" a="1"/>
  <c r="E1080" i="4"/>
  <c r="G1079" i="4" a="1"/>
  <c r="G1079" i="4"/>
  <c r="E1079" i="4" a="1"/>
  <c r="E1079" i="4"/>
  <c r="G1078" i="4" a="1"/>
  <c r="G1078" i="4"/>
  <c r="E1078" i="4" a="1"/>
  <c r="E1078" i="4"/>
  <c r="G1077" i="4" a="1"/>
  <c r="G1077" i="4"/>
  <c r="E1077" i="4" a="1"/>
  <c r="E1077" i="4"/>
  <c r="G1076" i="4" a="1"/>
  <c r="G1076" i="4"/>
  <c r="E1076" i="4" a="1"/>
  <c r="E1076" i="4"/>
  <c r="G1075" i="4" a="1"/>
  <c r="G1075" i="4"/>
  <c r="E1075" i="4" a="1"/>
  <c r="E1075" i="4"/>
  <c r="G1074" i="4" a="1"/>
  <c r="G1074" i="4"/>
  <c r="F1074" i="4"/>
  <c r="E1074" i="4" a="1"/>
  <c r="E1074" i="4"/>
  <c r="G1073" i="4" a="1"/>
  <c r="G1073" i="4"/>
  <c r="F1073" i="4"/>
  <c r="E1073" i="4" a="1"/>
  <c r="E1073" i="4"/>
  <c r="G1072" i="4" a="1"/>
  <c r="G1072" i="4"/>
  <c r="G1071" i="4" a="1"/>
  <c r="G1071" i="4"/>
  <c r="E1071" i="4" a="1"/>
  <c r="E1071" i="4"/>
  <c r="G1070" i="4" a="1"/>
  <c r="G1070" i="4"/>
  <c r="E1070" i="4" a="1"/>
  <c r="E1070" i="4"/>
  <c r="G1069" i="4" a="1"/>
  <c r="G1069" i="4"/>
  <c r="E1069" i="4" a="1"/>
  <c r="E1069" i="4"/>
  <c r="G1068" i="4" a="1"/>
  <c r="G1068" i="4"/>
  <c r="E1068" i="4" a="1"/>
  <c r="E1068" i="4"/>
  <c r="G1067" i="4" a="1"/>
  <c r="G1067" i="4"/>
  <c r="E1067" i="4" a="1"/>
  <c r="E1067" i="4"/>
  <c r="G1066" i="4" a="1"/>
  <c r="G1066" i="4"/>
  <c r="E1066" i="4" a="1"/>
  <c r="E1066" i="4"/>
  <c r="G1065" i="4" a="1"/>
  <c r="G1065" i="4"/>
  <c r="E1065" i="4" a="1"/>
  <c r="E1065" i="4"/>
  <c r="G1064" i="4" a="1"/>
  <c r="G1064" i="4"/>
  <c r="E1064" i="4" a="1"/>
  <c r="E1064" i="4"/>
  <c r="G1063" i="4" a="1"/>
  <c r="G1063" i="4"/>
  <c r="E1063" i="4" a="1"/>
  <c r="E1063" i="4"/>
  <c r="G1062" i="4" a="1"/>
  <c r="G1062" i="4"/>
  <c r="E1062" i="4" a="1"/>
  <c r="E1062" i="4"/>
  <c r="G1061" i="4" a="1"/>
  <c r="G1061" i="4"/>
  <c r="F1061" i="4"/>
  <c r="E1061" i="4" a="1"/>
  <c r="E1061" i="4"/>
  <c r="G1060" i="4" a="1"/>
  <c r="G1060" i="4"/>
  <c r="F1060" i="4"/>
  <c r="E1060" i="4" a="1"/>
  <c r="E1060" i="4"/>
  <c r="G1059" i="4" a="1"/>
  <c r="G1059" i="4"/>
  <c r="G1058" i="4" a="1"/>
  <c r="G1058" i="4"/>
  <c r="E1058" i="4" a="1"/>
  <c r="E1058" i="4"/>
  <c r="G1057" i="4" a="1"/>
  <c r="G1057" i="4"/>
  <c r="E1057" i="4" a="1"/>
  <c r="E1057" i="4"/>
  <c r="G1056" i="4" a="1"/>
  <c r="G1056" i="4"/>
  <c r="E1056" i="4" a="1"/>
  <c r="E1056" i="4"/>
  <c r="G1055" i="4" a="1"/>
  <c r="G1055" i="4"/>
  <c r="E1055" i="4" a="1"/>
  <c r="E1055" i="4"/>
  <c r="G1054" i="4" a="1"/>
  <c r="G1054" i="4"/>
  <c r="E1054" i="4" a="1"/>
  <c r="E1054" i="4"/>
  <c r="G1053" i="4" a="1"/>
  <c r="G1053" i="4"/>
  <c r="E1053" i="4" a="1"/>
  <c r="E1053" i="4"/>
  <c r="G1052" i="4" a="1"/>
  <c r="G1052" i="4"/>
  <c r="E1052" i="4" a="1"/>
  <c r="E1052" i="4"/>
  <c r="G1051" i="4" a="1"/>
  <c r="G1051" i="4"/>
  <c r="E1051" i="4" a="1"/>
  <c r="E1051" i="4"/>
  <c r="G1050" i="4" a="1"/>
  <c r="G1050" i="4"/>
  <c r="E1050" i="4" a="1"/>
  <c r="E1050" i="4"/>
  <c r="G1049" i="4" a="1"/>
  <c r="G1049" i="4"/>
  <c r="E1049" i="4" a="1"/>
  <c r="E1049" i="4"/>
  <c r="G1048" i="4" a="1"/>
  <c r="G1048" i="4"/>
  <c r="F1048" i="4"/>
  <c r="E1048" i="4" a="1"/>
  <c r="E1048" i="4"/>
  <c r="G1047" i="4" a="1"/>
  <c r="G1047" i="4"/>
  <c r="F1047" i="4"/>
  <c r="E1047" i="4" a="1"/>
  <c r="E1047" i="4"/>
  <c r="G1046" i="4" a="1"/>
  <c r="G1046" i="4"/>
  <c r="G1045" i="4" a="1"/>
  <c r="G1045" i="4"/>
  <c r="E1045" i="4" a="1"/>
  <c r="E1045" i="4"/>
  <c r="G1044" i="4" a="1"/>
  <c r="G1044" i="4"/>
  <c r="E1044" i="4" a="1"/>
  <c r="E1044" i="4"/>
  <c r="G1043" i="4" a="1"/>
  <c r="G1043" i="4"/>
  <c r="E1043" i="4" a="1"/>
  <c r="E1043" i="4"/>
  <c r="G1042" i="4" a="1"/>
  <c r="G1042" i="4"/>
  <c r="E1042" i="4" a="1"/>
  <c r="E1042" i="4"/>
  <c r="G1041" i="4" a="1"/>
  <c r="G1041" i="4"/>
  <c r="E1041" i="4" a="1"/>
  <c r="E1041" i="4"/>
  <c r="G1040" i="4" a="1"/>
  <c r="G1040" i="4"/>
  <c r="E1040" i="4" a="1"/>
  <c r="E1040" i="4"/>
  <c r="G1039" i="4" a="1"/>
  <c r="G1039" i="4"/>
  <c r="E1039" i="4" a="1"/>
  <c r="E1039" i="4"/>
  <c r="G1038" i="4" a="1"/>
  <c r="G1038" i="4"/>
  <c r="E1038" i="4" a="1"/>
  <c r="E1038" i="4"/>
  <c r="G1037" i="4" a="1"/>
  <c r="G1037" i="4"/>
  <c r="E1037" i="4" a="1"/>
  <c r="E1037" i="4"/>
  <c r="G1036" i="4" a="1"/>
  <c r="G1036" i="4"/>
  <c r="E1036" i="4" a="1"/>
  <c r="E1036" i="4"/>
  <c r="G1035" i="4" a="1"/>
  <c r="G1035" i="4"/>
  <c r="F1035" i="4"/>
  <c r="E1035" i="4" a="1"/>
  <c r="E1035" i="4"/>
  <c r="G1034" i="4" a="1"/>
  <c r="G1034" i="4"/>
  <c r="F1034" i="4"/>
  <c r="E1034" i="4" a="1"/>
  <c r="E1034" i="4"/>
  <c r="G1033" i="4" a="1"/>
  <c r="G1033" i="4"/>
  <c r="G1032" i="4" a="1"/>
  <c r="G1032" i="4"/>
  <c r="E1032" i="4" a="1"/>
  <c r="E1032" i="4"/>
  <c r="G1031" i="4" a="1"/>
  <c r="G1031" i="4"/>
  <c r="E1031" i="4" a="1"/>
  <c r="E1031" i="4"/>
  <c r="G1030" i="4" a="1"/>
  <c r="G1030" i="4"/>
  <c r="E1030" i="4" a="1"/>
  <c r="E1030" i="4"/>
  <c r="G1029" i="4" a="1"/>
  <c r="G1029" i="4"/>
  <c r="E1029" i="4" a="1"/>
  <c r="E1029" i="4"/>
  <c r="G1028" i="4" a="1"/>
  <c r="G1028" i="4"/>
  <c r="E1028" i="4" a="1"/>
  <c r="E1028" i="4"/>
  <c r="G1027" i="4" a="1"/>
  <c r="G1027" i="4"/>
  <c r="E1027" i="4" a="1"/>
  <c r="E1027" i="4"/>
  <c r="G1026" i="4" a="1"/>
  <c r="G1026" i="4"/>
  <c r="E1026" i="4" a="1"/>
  <c r="E1026" i="4"/>
  <c r="G1025" i="4" a="1"/>
  <c r="G1025" i="4"/>
  <c r="E1025" i="4" a="1"/>
  <c r="E1025" i="4"/>
  <c r="G1024" i="4" a="1"/>
  <c r="G1024" i="4"/>
  <c r="E1024" i="4" a="1"/>
  <c r="E1024" i="4"/>
  <c r="G1023" i="4" a="1"/>
  <c r="G1023" i="4"/>
  <c r="E1023" i="4" a="1"/>
  <c r="E1023" i="4"/>
  <c r="G1022" i="4" a="1"/>
  <c r="G1022" i="4"/>
  <c r="F1022" i="4"/>
  <c r="E1022" i="4" a="1"/>
  <c r="E1022" i="4"/>
  <c r="G1021" i="4" a="1"/>
  <c r="G1021" i="4"/>
  <c r="F1021" i="4"/>
  <c r="E1021" i="4" a="1"/>
  <c r="E1021" i="4"/>
  <c r="G1020" i="4" a="1"/>
  <c r="G1020" i="4"/>
  <c r="G1018" i="4" a="1"/>
  <c r="G1018" i="4"/>
  <c r="E1018" i="4" a="1"/>
  <c r="E1018" i="4"/>
  <c r="G1017" i="4" a="1"/>
  <c r="G1017" i="4"/>
  <c r="G1016" i="4" a="1"/>
  <c r="G1016" i="4"/>
  <c r="E1016" i="4" a="1"/>
  <c r="E1016" i="4"/>
  <c r="G1015" i="4" a="1"/>
  <c r="G1015" i="4"/>
  <c r="G1013" i="4" a="1"/>
  <c r="G1013" i="4"/>
  <c r="E1013" i="4" a="1"/>
  <c r="E1013" i="4"/>
  <c r="G1012" i="4" a="1"/>
  <c r="G1012" i="4"/>
  <c r="E1012" i="4" a="1"/>
  <c r="E1012" i="4"/>
  <c r="G1011" i="4" a="1"/>
  <c r="G1011" i="4"/>
  <c r="E1011" i="4" a="1"/>
  <c r="E1011" i="4"/>
  <c r="G1010" i="4" a="1"/>
  <c r="G1010" i="4"/>
  <c r="G1009" i="4" a="1"/>
  <c r="G1009" i="4"/>
  <c r="E1009" i="4" a="1"/>
  <c r="E1009" i="4"/>
  <c r="G1008" i="4" a="1"/>
  <c r="G1008" i="4"/>
  <c r="E1008" i="4" a="1"/>
  <c r="E1008" i="4"/>
  <c r="G1007" i="4" a="1"/>
  <c r="G1007" i="4"/>
  <c r="E1007" i="4" a="1"/>
  <c r="E1007" i="4"/>
  <c r="G1006" i="4" a="1"/>
  <c r="G1006" i="4"/>
  <c r="E1006" i="4" a="1"/>
  <c r="E1006" i="4"/>
  <c r="G1005" i="4" a="1"/>
  <c r="G1005" i="4"/>
  <c r="E1005" i="4" a="1"/>
  <c r="E1005" i="4"/>
  <c r="G1004" i="4" a="1"/>
  <c r="G1004" i="4"/>
  <c r="E1004" i="4" a="1"/>
  <c r="E1004" i="4"/>
  <c r="G1003" i="4" a="1"/>
  <c r="G1003" i="4"/>
  <c r="E1003" i="4" a="1"/>
  <c r="E1003" i="4"/>
  <c r="G1002" i="4" a="1"/>
  <c r="G1002" i="4"/>
  <c r="G1001" i="4" a="1"/>
  <c r="G1001" i="4"/>
  <c r="E1001" i="4" a="1"/>
  <c r="E1001" i="4"/>
  <c r="G1000" i="4" a="1"/>
  <c r="G1000" i="4"/>
  <c r="E1000" i="4" a="1"/>
  <c r="E1000" i="4"/>
  <c r="G999" i="4" a="1"/>
  <c r="G999" i="4"/>
  <c r="E999" i="4" a="1"/>
  <c r="E999" i="4"/>
  <c r="G998" i="4" a="1"/>
  <c r="G998" i="4"/>
  <c r="E998" i="4" a="1"/>
  <c r="E998" i="4"/>
  <c r="G997" i="4" a="1"/>
  <c r="G997" i="4"/>
  <c r="E997" i="4" a="1"/>
  <c r="E997" i="4"/>
  <c r="G996" i="4" a="1"/>
  <c r="G996" i="4"/>
  <c r="E996" i="4" a="1"/>
  <c r="E996" i="4"/>
  <c r="G995" i="4" a="1"/>
  <c r="G995" i="4"/>
  <c r="G993" i="4" a="1"/>
  <c r="G993" i="4"/>
  <c r="E993" i="4" a="1"/>
  <c r="E993" i="4"/>
  <c r="G992" i="4" a="1"/>
  <c r="G992" i="4"/>
  <c r="F992" i="4"/>
  <c r="E992" i="4" a="1"/>
  <c r="E992" i="4"/>
  <c r="G991" i="4" a="1"/>
  <c r="G991" i="4"/>
  <c r="G989" i="4" a="1"/>
  <c r="G989" i="4"/>
  <c r="E989" i="4" a="1"/>
  <c r="E989" i="4"/>
  <c r="G988" i="4" a="1"/>
  <c r="G988" i="4"/>
  <c r="E988" i="4" a="1"/>
  <c r="E988" i="4"/>
  <c r="G987" i="4" a="1"/>
  <c r="G987" i="4"/>
  <c r="E987" i="4" a="1"/>
  <c r="E987" i="4"/>
  <c r="G986" i="4" a="1"/>
  <c r="G986" i="4"/>
  <c r="E986" i="4" a="1"/>
  <c r="E986" i="4"/>
  <c r="G985" i="4" a="1"/>
  <c r="G985" i="4"/>
  <c r="E985" i="4" a="1"/>
  <c r="E985" i="4"/>
  <c r="G984" i="4" a="1"/>
  <c r="G984" i="4"/>
  <c r="E984" i="4" a="1"/>
  <c r="E984" i="4"/>
  <c r="G983" i="4" a="1"/>
  <c r="G983" i="4"/>
  <c r="E983" i="4" a="1"/>
  <c r="E983" i="4"/>
  <c r="G982" i="4" a="1"/>
  <c r="G982" i="4"/>
  <c r="E982" i="4" a="1"/>
  <c r="E982" i="4"/>
  <c r="G981" i="4" a="1"/>
  <c r="G981" i="4"/>
  <c r="G980" i="4" a="1"/>
  <c r="G980" i="4"/>
  <c r="E980" i="4" a="1"/>
  <c r="E980" i="4"/>
  <c r="G979" i="4" a="1"/>
  <c r="G979" i="4"/>
  <c r="E979" i="4" a="1"/>
  <c r="E979" i="4"/>
  <c r="G978" i="4" a="1"/>
  <c r="G978" i="4"/>
  <c r="E978" i="4" a="1"/>
  <c r="E978" i="4"/>
  <c r="G977" i="4" a="1"/>
  <c r="G977" i="4"/>
  <c r="G976" i="4" a="1"/>
  <c r="G976" i="4"/>
  <c r="E976" i="4" a="1"/>
  <c r="E976" i="4"/>
  <c r="G975" i="4" a="1"/>
  <c r="G975" i="4"/>
  <c r="E975" i="4" a="1"/>
  <c r="E975" i="4"/>
  <c r="G974" i="4" a="1"/>
  <c r="G974" i="4"/>
  <c r="G973" i="4" a="1"/>
  <c r="G973" i="4"/>
  <c r="E973" i="4" a="1"/>
  <c r="E973" i="4"/>
  <c r="G972" i="4" a="1"/>
  <c r="G972" i="4"/>
  <c r="E972" i="4" a="1"/>
  <c r="E972" i="4"/>
  <c r="G971" i="4" a="1"/>
  <c r="G971" i="4"/>
  <c r="G969" i="4" a="1"/>
  <c r="G969" i="4"/>
  <c r="E969" i="4" a="1"/>
  <c r="E969" i="4"/>
  <c r="G968" i="4" a="1"/>
  <c r="G968" i="4"/>
  <c r="E968" i="4" a="1"/>
  <c r="E968" i="4"/>
  <c r="G967" i="4" a="1"/>
  <c r="G967" i="4"/>
  <c r="G966" i="4" a="1"/>
  <c r="G966" i="4"/>
  <c r="E966" i="4" a="1"/>
  <c r="E966" i="4"/>
  <c r="G965" i="4" a="1"/>
  <c r="G965" i="4"/>
  <c r="E965" i="4" a="1"/>
  <c r="E965" i="4"/>
  <c r="G964" i="4" a="1"/>
  <c r="G964" i="4"/>
  <c r="G962" i="4" a="1"/>
  <c r="G962" i="4"/>
  <c r="E962" i="4" a="1"/>
  <c r="E962" i="4"/>
  <c r="G961" i="4" a="1"/>
  <c r="G961" i="4"/>
  <c r="E961" i="4" a="1"/>
  <c r="E961" i="4"/>
  <c r="G960" i="4" a="1"/>
  <c r="G960" i="4"/>
  <c r="G959" i="4" a="1"/>
  <c r="G959" i="4"/>
  <c r="E959" i="4" a="1"/>
  <c r="E959" i="4"/>
  <c r="G958" i="4" a="1"/>
  <c r="G958" i="4"/>
  <c r="E958" i="4" a="1"/>
  <c r="E958" i="4"/>
  <c r="G957" i="4" a="1"/>
  <c r="G957" i="4"/>
  <c r="G955" i="4" a="1"/>
  <c r="G955" i="4"/>
  <c r="E955" i="4" a="1"/>
  <c r="E955" i="4"/>
  <c r="G954" i="4" a="1"/>
  <c r="G954" i="4"/>
  <c r="F954" i="4"/>
  <c r="E954" i="4" a="1"/>
  <c r="E954" i="4"/>
  <c r="G953" i="4" a="1"/>
  <c r="G953" i="4"/>
  <c r="G952" i="4" a="1"/>
  <c r="G952" i="4"/>
  <c r="E952" i="4" a="1"/>
  <c r="E952" i="4"/>
  <c r="G951" i="4" a="1"/>
  <c r="G951" i="4"/>
  <c r="F951" i="4"/>
  <c r="E951" i="4" a="1"/>
  <c r="E951" i="4"/>
  <c r="G950" i="4" a="1"/>
  <c r="G950" i="4"/>
  <c r="G949" i="4" a="1"/>
  <c r="G949" i="4"/>
  <c r="E949" i="4" a="1"/>
  <c r="E949" i="4"/>
  <c r="G948" i="4" a="1"/>
  <c r="G948" i="4"/>
  <c r="F948" i="4"/>
  <c r="E948" i="4" a="1"/>
  <c r="E948" i="4"/>
  <c r="G947" i="4" a="1"/>
  <c r="G947" i="4"/>
  <c r="G946" i="4" a="1"/>
  <c r="G946" i="4"/>
  <c r="E946" i="4" a="1"/>
  <c r="E946" i="4"/>
  <c r="G945" i="4" a="1"/>
  <c r="G945" i="4"/>
  <c r="F945" i="4"/>
  <c r="E945" i="4" a="1"/>
  <c r="E945" i="4"/>
  <c r="G944" i="4" a="1"/>
  <c r="G944" i="4"/>
  <c r="G942" i="4" a="1"/>
  <c r="G942" i="4"/>
  <c r="E942" i="4" a="1"/>
  <c r="E942" i="4"/>
  <c r="G941" i="4" a="1"/>
  <c r="G941" i="4"/>
  <c r="F941" i="4"/>
  <c r="E941" i="4" a="1"/>
  <c r="E941" i="4"/>
  <c r="G940" i="4" a="1"/>
  <c r="G940" i="4"/>
  <c r="G939" i="4" a="1"/>
  <c r="G939" i="4"/>
  <c r="E939" i="4" a="1"/>
  <c r="E939" i="4"/>
  <c r="G938" i="4" a="1"/>
  <c r="G938" i="4"/>
  <c r="F938" i="4"/>
  <c r="E938" i="4" a="1"/>
  <c r="E938" i="4"/>
  <c r="G937" i="4" a="1"/>
  <c r="G937" i="4"/>
  <c r="G936" i="4" a="1"/>
  <c r="G936" i="4"/>
  <c r="E936" i="4" a="1"/>
  <c r="E936" i="4"/>
  <c r="G935" i="4" a="1"/>
  <c r="G935" i="4"/>
  <c r="F935" i="4"/>
  <c r="E935" i="4" a="1"/>
  <c r="E935" i="4"/>
  <c r="G934" i="4" a="1"/>
  <c r="G934" i="4"/>
  <c r="G933" i="4" a="1"/>
  <c r="G933" i="4"/>
  <c r="E933" i="4" a="1"/>
  <c r="E933" i="4"/>
  <c r="G932" i="4" a="1"/>
  <c r="G932" i="4"/>
  <c r="F932" i="4"/>
  <c r="E932" i="4" a="1"/>
  <c r="E932" i="4"/>
  <c r="G931" i="4" a="1"/>
  <c r="G931" i="4"/>
  <c r="G929" i="4" a="1"/>
  <c r="G929" i="4"/>
  <c r="E929" i="4" a="1"/>
  <c r="E929" i="4"/>
  <c r="G928" i="4" a="1"/>
  <c r="G928" i="4"/>
  <c r="F928" i="4"/>
  <c r="E928" i="4" a="1"/>
  <c r="E928" i="4"/>
  <c r="G927" i="4" a="1"/>
  <c r="G927" i="4"/>
  <c r="G926" i="4" a="1"/>
  <c r="G926" i="4"/>
  <c r="E926" i="4" a="1"/>
  <c r="E926" i="4"/>
  <c r="G925" i="4" a="1"/>
  <c r="G925" i="4"/>
  <c r="F925" i="4"/>
  <c r="E925" i="4" a="1"/>
  <c r="E925" i="4"/>
  <c r="G924" i="4" a="1"/>
  <c r="G924" i="4"/>
  <c r="G923" i="4" a="1"/>
  <c r="G923" i="4"/>
  <c r="E923" i="4" a="1"/>
  <c r="E923" i="4"/>
  <c r="G922" i="4" a="1"/>
  <c r="G922" i="4"/>
  <c r="F922" i="4"/>
  <c r="E922" i="4" a="1"/>
  <c r="E922" i="4"/>
  <c r="G921" i="4" a="1"/>
  <c r="G921" i="4"/>
  <c r="G920" i="4" a="1"/>
  <c r="G920" i="4"/>
  <c r="E920" i="4" a="1"/>
  <c r="E920" i="4"/>
  <c r="G919" i="4" a="1"/>
  <c r="G919" i="4"/>
  <c r="F919" i="4"/>
  <c r="E919" i="4" a="1"/>
  <c r="E919" i="4"/>
  <c r="G918" i="4" a="1"/>
  <c r="G918" i="4"/>
  <c r="G916" i="4" a="1"/>
  <c r="G916" i="4"/>
  <c r="E916" i="4" a="1"/>
  <c r="E916" i="4"/>
  <c r="G915" i="4" a="1"/>
  <c r="G915" i="4"/>
  <c r="F915" i="4"/>
  <c r="E915" i="4" a="1"/>
  <c r="E915" i="4"/>
  <c r="G914" i="4" a="1"/>
  <c r="G914" i="4"/>
  <c r="G913" i="4" a="1"/>
  <c r="G913" i="4"/>
  <c r="E913" i="4" a="1"/>
  <c r="E913" i="4"/>
  <c r="G912" i="4" a="1"/>
  <c r="G912" i="4"/>
  <c r="F912" i="4"/>
  <c r="E912" i="4" a="1"/>
  <c r="E912" i="4"/>
  <c r="G911" i="4" a="1"/>
  <c r="G911" i="4"/>
  <c r="G910" i="4" a="1"/>
  <c r="G910" i="4"/>
  <c r="E910" i="4" a="1"/>
  <c r="E910" i="4"/>
  <c r="G909" i="4" a="1"/>
  <c r="G909" i="4"/>
  <c r="F909" i="4"/>
  <c r="E909" i="4" a="1"/>
  <c r="E909" i="4"/>
  <c r="G908" i="4" a="1"/>
  <c r="G908" i="4"/>
  <c r="G906" i="4" a="1"/>
  <c r="G906" i="4"/>
  <c r="E906" i="4" a="1"/>
  <c r="E906" i="4"/>
  <c r="G905" i="4" a="1"/>
  <c r="G905" i="4"/>
  <c r="E905" i="4" a="1"/>
  <c r="E905" i="4"/>
  <c r="G904" i="4" a="1"/>
  <c r="G904" i="4"/>
  <c r="F904" i="4"/>
  <c r="E904" i="4" a="1"/>
  <c r="E904" i="4"/>
  <c r="G903" i="4" a="1"/>
  <c r="G903" i="4"/>
  <c r="G902" i="4" a="1"/>
  <c r="G902" i="4"/>
  <c r="E902" i="4" a="1"/>
  <c r="E902" i="4"/>
  <c r="G901" i="4" a="1"/>
  <c r="G901" i="4"/>
  <c r="F901" i="4"/>
  <c r="E901" i="4" a="1"/>
  <c r="E901" i="4"/>
  <c r="G900" i="4" a="1"/>
  <c r="G900" i="4"/>
  <c r="G899" i="4" a="1"/>
  <c r="G899" i="4"/>
  <c r="E899" i="4" a="1"/>
  <c r="E899" i="4"/>
  <c r="G898" i="4" a="1"/>
  <c r="G898" i="4"/>
  <c r="F898" i="4"/>
  <c r="E898" i="4" a="1"/>
  <c r="E898" i="4"/>
  <c r="G897" i="4" a="1"/>
  <c r="G897" i="4"/>
  <c r="G896" i="4" a="1"/>
  <c r="G896" i="4"/>
  <c r="E896" i="4" a="1"/>
  <c r="E896" i="4"/>
  <c r="G895" i="4" a="1"/>
  <c r="G895" i="4"/>
  <c r="F895" i="4"/>
  <c r="E895" i="4" a="1"/>
  <c r="E895" i="4"/>
  <c r="G894" i="4" a="1"/>
  <c r="G894" i="4"/>
  <c r="G893" i="4" a="1"/>
  <c r="G893" i="4"/>
  <c r="E893" i="4" a="1"/>
  <c r="E893" i="4"/>
  <c r="G892" i="4" a="1"/>
  <c r="G892" i="4"/>
  <c r="F892" i="4"/>
  <c r="E892" i="4" a="1"/>
  <c r="E892" i="4"/>
  <c r="G891" i="4" a="1"/>
  <c r="G891" i="4"/>
  <c r="G890" i="4" a="1"/>
  <c r="G890" i="4"/>
  <c r="E890" i="4" a="1"/>
  <c r="E890" i="4"/>
  <c r="G889" i="4" a="1"/>
  <c r="G889" i="4"/>
  <c r="F889" i="4"/>
  <c r="E889" i="4" a="1"/>
  <c r="E889" i="4"/>
  <c r="G888" i="4" a="1"/>
  <c r="G888" i="4"/>
  <c r="G887" i="4" a="1"/>
  <c r="G887" i="4"/>
  <c r="E887" i="4" a="1"/>
  <c r="E887" i="4"/>
  <c r="G886" i="4" a="1"/>
  <c r="G886" i="4"/>
  <c r="F886" i="4"/>
  <c r="E886" i="4" a="1"/>
  <c r="E886" i="4"/>
  <c r="G885" i="4" a="1"/>
  <c r="G885" i="4"/>
  <c r="G884" i="4" a="1"/>
  <c r="G884" i="4"/>
  <c r="E884" i="4" a="1"/>
  <c r="E884" i="4"/>
  <c r="G883" i="4" a="1"/>
  <c r="G883" i="4"/>
  <c r="F883" i="4"/>
  <c r="E883" i="4" a="1"/>
  <c r="E883" i="4"/>
  <c r="G882" i="4" a="1"/>
  <c r="G882" i="4"/>
  <c r="G881" i="4" a="1"/>
  <c r="G881" i="4"/>
  <c r="E881" i="4" a="1"/>
  <c r="E881" i="4"/>
  <c r="G880" i="4" a="1"/>
  <c r="G880" i="4"/>
  <c r="F880" i="4"/>
  <c r="E880" i="4" a="1"/>
  <c r="E880" i="4"/>
  <c r="G879" i="4" a="1"/>
  <c r="G879" i="4"/>
  <c r="G878" i="4" a="1"/>
  <c r="G878" i="4"/>
  <c r="E878" i="4" a="1"/>
  <c r="E878" i="4"/>
  <c r="G877" i="4" a="1"/>
  <c r="G877" i="4"/>
  <c r="F877" i="4"/>
  <c r="E877" i="4" a="1"/>
  <c r="E877" i="4"/>
  <c r="G876" i="4" a="1"/>
  <c r="G876" i="4"/>
  <c r="G875" i="4" a="1"/>
  <c r="G875" i="4"/>
  <c r="E875" i="4" a="1"/>
  <c r="E875" i="4"/>
  <c r="G874" i="4" a="1"/>
  <c r="G874" i="4"/>
  <c r="F874" i="4"/>
  <c r="E874" i="4" a="1"/>
  <c r="E874" i="4"/>
  <c r="G873" i="4" a="1"/>
  <c r="G873" i="4"/>
  <c r="G872" i="4" a="1"/>
  <c r="G872" i="4"/>
  <c r="E872" i="4" a="1"/>
  <c r="E872" i="4"/>
  <c r="G871" i="4" a="1"/>
  <c r="G871" i="4"/>
  <c r="F871" i="4"/>
  <c r="E871" i="4" a="1"/>
  <c r="E871" i="4"/>
  <c r="G870" i="4" a="1"/>
  <c r="G870" i="4"/>
  <c r="G869" i="4" a="1"/>
  <c r="G869" i="4"/>
  <c r="E869" i="4" a="1"/>
  <c r="E869" i="4"/>
  <c r="G868" i="4" a="1"/>
  <c r="G868" i="4"/>
  <c r="F868" i="4"/>
  <c r="E868" i="4" a="1"/>
  <c r="E868" i="4"/>
  <c r="G867" i="4" a="1"/>
  <c r="G867" i="4"/>
  <c r="G866" i="4" a="1"/>
  <c r="G866" i="4"/>
  <c r="E866" i="4" a="1"/>
  <c r="E866" i="4"/>
  <c r="G865" i="4" a="1"/>
  <c r="G865" i="4"/>
  <c r="F865" i="4"/>
  <c r="E865" i="4" a="1"/>
  <c r="E865" i="4"/>
  <c r="G864" i="4" a="1"/>
  <c r="G864" i="4"/>
  <c r="G863" i="4" a="1"/>
  <c r="G863" i="4"/>
  <c r="E863" i="4" a="1"/>
  <c r="E863" i="4"/>
  <c r="G862" i="4" a="1"/>
  <c r="G862" i="4"/>
  <c r="F862" i="4"/>
  <c r="E862" i="4" a="1"/>
  <c r="E862" i="4"/>
  <c r="G861" i="4" a="1"/>
  <c r="G861" i="4"/>
  <c r="G860" i="4" a="1"/>
  <c r="G860" i="4"/>
  <c r="E860" i="4" a="1"/>
  <c r="E860" i="4"/>
  <c r="G859" i="4" a="1"/>
  <c r="G859" i="4"/>
  <c r="F859" i="4"/>
  <c r="E859" i="4" a="1"/>
  <c r="E859" i="4"/>
  <c r="G858" i="4" a="1"/>
  <c r="G858" i="4"/>
  <c r="G856" i="4" a="1"/>
  <c r="G856" i="4"/>
  <c r="G855" i="4" a="1"/>
  <c r="G855" i="4"/>
  <c r="E855" i="4" a="1"/>
  <c r="E855" i="4"/>
  <c r="G854" i="4" a="1"/>
  <c r="G854" i="4"/>
  <c r="G853" i="4" a="1"/>
  <c r="G853" i="4"/>
  <c r="E853" i="4" a="1"/>
  <c r="E853" i="4"/>
  <c r="G852" i="4" a="1"/>
  <c r="G852" i="4"/>
  <c r="G850" i="4" a="1"/>
  <c r="G850" i="4"/>
  <c r="E850" i="4" a="1"/>
  <c r="E850" i="4"/>
  <c r="G849" i="4" a="1"/>
  <c r="G849" i="4"/>
  <c r="E849" i="4" a="1"/>
  <c r="E849" i="4"/>
  <c r="G848" i="4" a="1"/>
  <c r="G848" i="4"/>
  <c r="E848" i="4" a="1"/>
  <c r="E848" i="4"/>
  <c r="G847" i="4" a="1"/>
  <c r="G847" i="4"/>
  <c r="G846" i="4" a="1"/>
  <c r="G846" i="4"/>
  <c r="E846" i="4" a="1"/>
  <c r="E846" i="4"/>
  <c r="G845" i="4" a="1"/>
  <c r="G845" i="4"/>
  <c r="G844" i="4" a="1"/>
  <c r="G844" i="4"/>
  <c r="E844" i="4" a="1"/>
  <c r="E844" i="4"/>
  <c r="G843" i="4" a="1"/>
  <c r="G843" i="4"/>
  <c r="G842" i="4" a="1"/>
  <c r="G842" i="4"/>
  <c r="E842" i="4" a="1"/>
  <c r="E842" i="4"/>
  <c r="G841" i="4" a="1"/>
  <c r="G841" i="4"/>
  <c r="G840" i="4" a="1"/>
  <c r="G840" i="4"/>
  <c r="E840" i="4" a="1"/>
  <c r="E840" i="4"/>
  <c r="G839" i="4" a="1"/>
  <c r="G839" i="4"/>
  <c r="G838" i="4" a="1"/>
  <c r="G838" i="4"/>
  <c r="E838" i="4" a="1"/>
  <c r="E838" i="4"/>
  <c r="D838" i="4"/>
  <c r="G837" i="4" a="1"/>
  <c r="G837" i="4"/>
  <c r="G836" i="4" a="1"/>
  <c r="G836" i="4"/>
  <c r="F836" i="4"/>
  <c r="E836" i="4" a="1"/>
  <c r="E836" i="4"/>
  <c r="G835" i="4" a="1"/>
  <c r="G835" i="4"/>
  <c r="G834" i="4" a="1"/>
  <c r="G834" i="4"/>
  <c r="E834" i="4" a="1"/>
  <c r="E834" i="4"/>
  <c r="G833" i="4" a="1"/>
  <c r="G833" i="4"/>
  <c r="E833" i="4" a="1"/>
  <c r="E833" i="4"/>
  <c r="G832" i="4" a="1"/>
  <c r="G832" i="4"/>
  <c r="E832" i="4" a="1"/>
  <c r="E832" i="4"/>
  <c r="G831" i="4" a="1"/>
  <c r="G831" i="4"/>
  <c r="E831" i="4" a="1"/>
  <c r="E831" i="4"/>
  <c r="G830" i="4" a="1"/>
  <c r="G830" i="4"/>
  <c r="E830" i="4" a="1"/>
  <c r="E830" i="4"/>
  <c r="G829" i="4" a="1"/>
  <c r="G829" i="4"/>
  <c r="E829" i="4" a="1"/>
  <c r="E829" i="4"/>
  <c r="G828" i="4" a="1"/>
  <c r="G828" i="4"/>
  <c r="E828" i="4" a="1"/>
  <c r="E828" i="4"/>
  <c r="G827" i="4" a="1"/>
  <c r="G827" i="4"/>
  <c r="E827" i="4" a="1"/>
  <c r="E827" i="4"/>
  <c r="G826" i="4" a="1"/>
  <c r="G826" i="4"/>
  <c r="G825" i="4" a="1"/>
  <c r="G825" i="4"/>
  <c r="E825" i="4" a="1"/>
  <c r="E825" i="4"/>
  <c r="G824" i="4" a="1"/>
  <c r="G824" i="4"/>
  <c r="G823" i="4" a="1"/>
  <c r="G823" i="4"/>
  <c r="E823" i="4" a="1"/>
  <c r="E823" i="4"/>
  <c r="G822" i="4" a="1"/>
  <c r="G822" i="4"/>
  <c r="E822" i="4" a="1"/>
  <c r="E822" i="4"/>
  <c r="G821" i="4" a="1"/>
  <c r="G821" i="4"/>
  <c r="E821" i="4" a="1"/>
  <c r="E821" i="4"/>
  <c r="G820" i="4" a="1"/>
  <c r="G820" i="4"/>
  <c r="E820" i="4" a="1"/>
  <c r="E820" i="4"/>
  <c r="G819" i="4" a="1"/>
  <c r="G819" i="4"/>
  <c r="E819" i="4" a="1"/>
  <c r="E819" i="4"/>
  <c r="G818" i="4" a="1"/>
  <c r="G818" i="4"/>
  <c r="E818" i="4" a="1"/>
  <c r="E818" i="4"/>
  <c r="G817" i="4" a="1"/>
  <c r="G817" i="4"/>
  <c r="E817" i="4" a="1"/>
  <c r="E817" i="4"/>
  <c r="G816" i="4" a="1"/>
  <c r="G816" i="4"/>
  <c r="E816" i="4" a="1"/>
  <c r="E816" i="4"/>
  <c r="G815" i="4" a="1"/>
  <c r="G815" i="4"/>
  <c r="E815" i="4" a="1"/>
  <c r="E815" i="4"/>
  <c r="G814" i="4" a="1"/>
  <c r="G814" i="4"/>
  <c r="G813" i="4" a="1"/>
  <c r="G813" i="4"/>
  <c r="E813" i="4" a="1"/>
  <c r="E813" i="4"/>
  <c r="D813" i="4"/>
  <c r="G812" i="4" a="1"/>
  <c r="G812" i="4"/>
  <c r="G811" i="4" a="1"/>
  <c r="G811" i="4"/>
  <c r="F811" i="4"/>
  <c r="E811" i="4" a="1"/>
  <c r="E811" i="4"/>
  <c r="G810" i="4" a="1"/>
  <c r="G810" i="4"/>
  <c r="G809" i="4" a="1"/>
  <c r="G809" i="4"/>
  <c r="E809" i="4" a="1"/>
  <c r="E809" i="4"/>
  <c r="G808" i="4" a="1"/>
  <c r="G808" i="4"/>
  <c r="E808" i="4" a="1"/>
  <c r="E808" i="4"/>
  <c r="G807" i="4" a="1"/>
  <c r="G807" i="4"/>
  <c r="E807" i="4" a="1"/>
  <c r="E807" i="4"/>
  <c r="G806" i="4" a="1"/>
  <c r="G806" i="4"/>
  <c r="E806" i="4" a="1"/>
  <c r="E806" i="4"/>
  <c r="G805" i="4" a="1"/>
  <c r="G805" i="4"/>
  <c r="E805" i="4" a="1"/>
  <c r="E805" i="4"/>
  <c r="G804" i="4" a="1"/>
  <c r="G804" i="4"/>
  <c r="E804" i="4" a="1"/>
  <c r="E804" i="4"/>
  <c r="G803" i="4" a="1"/>
  <c r="G803" i="4"/>
  <c r="E803" i="4" a="1"/>
  <c r="E803" i="4"/>
  <c r="G802" i="4" a="1"/>
  <c r="G802" i="4"/>
  <c r="E802" i="4" a="1"/>
  <c r="E802" i="4"/>
  <c r="G801" i="4" a="1"/>
  <c r="G801" i="4"/>
  <c r="G800" i="4" a="1"/>
  <c r="G800" i="4"/>
  <c r="E800" i="4" a="1"/>
  <c r="E800" i="4"/>
  <c r="G799" i="4" a="1"/>
  <c r="G799" i="4"/>
  <c r="E799" i="4" a="1"/>
  <c r="E799" i="4"/>
  <c r="G798" i="4" a="1"/>
  <c r="G798" i="4"/>
  <c r="E798" i="4" a="1"/>
  <c r="E798" i="4"/>
  <c r="G797" i="4" a="1"/>
  <c r="G797" i="4"/>
  <c r="E797" i="4" a="1"/>
  <c r="E797" i="4"/>
  <c r="G796" i="4" a="1"/>
  <c r="G796" i="4"/>
  <c r="E796" i="4" a="1"/>
  <c r="E796" i="4"/>
  <c r="G795" i="4" a="1"/>
  <c r="G795" i="4"/>
  <c r="G794" i="4" a="1"/>
  <c r="G794" i="4"/>
  <c r="E794" i="4" a="1"/>
  <c r="E794" i="4"/>
  <c r="G793" i="4" a="1"/>
  <c r="G793" i="4"/>
  <c r="G791" i="4" a="1"/>
  <c r="G791" i="4"/>
  <c r="E791" i="4" a="1"/>
  <c r="E791" i="4"/>
  <c r="G790" i="4" a="1"/>
  <c r="G790" i="4"/>
  <c r="E790" i="4" a="1"/>
  <c r="E790" i="4"/>
  <c r="G789" i="4" a="1"/>
  <c r="G789" i="4"/>
  <c r="E789" i="4" a="1"/>
  <c r="E789" i="4"/>
  <c r="G788" i="4" a="1"/>
  <c r="G788" i="4"/>
  <c r="E788" i="4" a="1"/>
  <c r="E788" i="4"/>
  <c r="G787" i="4" a="1"/>
  <c r="G787" i="4"/>
  <c r="G786" i="4" a="1"/>
  <c r="G786" i="4"/>
  <c r="E786" i="4" a="1"/>
  <c r="E786" i="4"/>
  <c r="G785" i="4" a="1"/>
  <c r="G785" i="4"/>
  <c r="E785" i="4" a="1"/>
  <c r="E785" i="4"/>
  <c r="G784" i="4" a="1"/>
  <c r="G784" i="4"/>
  <c r="E784" i="4" a="1"/>
  <c r="E784" i="4"/>
  <c r="G783" i="4" a="1"/>
  <c r="G783" i="4"/>
  <c r="E783" i="4" a="1"/>
  <c r="E783" i="4"/>
  <c r="G782" i="4" a="1"/>
  <c r="G782" i="4"/>
  <c r="F782" i="4"/>
  <c r="E782" i="4" a="1"/>
  <c r="E782" i="4"/>
  <c r="G781" i="4" a="1"/>
  <c r="G781" i="4"/>
  <c r="E781" i="4" a="1"/>
  <c r="E781" i="4"/>
  <c r="G780" i="4" a="1"/>
  <c r="G780" i="4"/>
  <c r="E780" i="4" a="1"/>
  <c r="E780" i="4"/>
  <c r="G779" i="4" a="1"/>
  <c r="G779" i="4"/>
  <c r="G778" i="4" a="1"/>
  <c r="G778" i="4"/>
  <c r="E778" i="4" a="1"/>
  <c r="E778" i="4"/>
  <c r="G777" i="4" a="1"/>
  <c r="G777" i="4"/>
  <c r="E777" i="4" a="1"/>
  <c r="E777" i="4"/>
  <c r="G776" i="4" a="1"/>
  <c r="G776" i="4"/>
  <c r="E776" i="4" a="1"/>
  <c r="E776" i="4"/>
  <c r="G775" i="4" a="1"/>
  <c r="G775" i="4"/>
  <c r="G774" i="4" a="1"/>
  <c r="G774" i="4"/>
  <c r="E774" i="4" a="1"/>
  <c r="E774" i="4"/>
  <c r="G773" i="4" a="1"/>
  <c r="G773" i="4"/>
  <c r="E773" i="4" a="1"/>
  <c r="E773" i="4"/>
  <c r="G772" i="4" a="1"/>
  <c r="G772" i="4"/>
  <c r="E772" i="4" a="1"/>
  <c r="E772" i="4"/>
  <c r="G771" i="4" a="1"/>
  <c r="G771" i="4"/>
  <c r="G770" i="4" a="1"/>
  <c r="G770" i="4"/>
  <c r="E770" i="4" a="1"/>
  <c r="E770" i="4"/>
  <c r="G769" i="4" a="1"/>
  <c r="G769" i="4"/>
  <c r="E769" i="4" a="1"/>
  <c r="E769" i="4"/>
  <c r="G768" i="4" a="1"/>
  <c r="G768" i="4"/>
  <c r="E768" i="4" a="1"/>
  <c r="E768" i="4"/>
  <c r="G767" i="4" a="1"/>
  <c r="G767" i="4"/>
  <c r="G766" i="4" a="1"/>
  <c r="G766" i="4"/>
  <c r="E766" i="4" a="1"/>
  <c r="E766" i="4"/>
  <c r="G765" i="4" a="1"/>
  <c r="G765" i="4"/>
  <c r="E765" i="4" a="1"/>
  <c r="E765" i="4"/>
  <c r="G764" i="4" a="1"/>
  <c r="G764" i="4"/>
  <c r="E764" i="4" a="1"/>
  <c r="E764" i="4"/>
  <c r="G763" i="4" a="1"/>
  <c r="G763" i="4"/>
  <c r="G762" i="4" a="1"/>
  <c r="G762" i="4"/>
  <c r="E762" i="4" a="1"/>
  <c r="E762" i="4"/>
  <c r="G761" i="4" a="1"/>
  <c r="G761" i="4"/>
  <c r="E761" i="4" a="1"/>
  <c r="E761" i="4"/>
  <c r="G760" i="4" a="1"/>
  <c r="G760" i="4"/>
  <c r="E760" i="4" a="1"/>
  <c r="E760" i="4"/>
  <c r="G759" i="4" a="1"/>
  <c r="G759" i="4"/>
  <c r="G758" i="4" a="1"/>
  <c r="G758" i="4"/>
  <c r="E758" i="4" a="1"/>
  <c r="E758" i="4"/>
  <c r="G757" i="4" a="1"/>
  <c r="G757" i="4"/>
  <c r="E757" i="4" a="1"/>
  <c r="E757" i="4"/>
  <c r="G756" i="4" a="1"/>
  <c r="G756" i="4"/>
  <c r="E756" i="4" a="1"/>
  <c r="E756" i="4"/>
  <c r="G755" i="4" a="1"/>
  <c r="G755" i="4"/>
  <c r="G754" i="4" a="1"/>
  <c r="G754" i="4"/>
  <c r="E754" i="4" a="1"/>
  <c r="E754" i="4"/>
  <c r="G753" i="4" a="1"/>
  <c r="G753" i="4"/>
  <c r="E753" i="4" a="1"/>
  <c r="E753" i="4"/>
  <c r="G752" i="4" a="1"/>
  <c r="G752" i="4"/>
  <c r="E752" i="4" a="1"/>
  <c r="E752" i="4"/>
  <c r="G751" i="4" a="1"/>
  <c r="G751" i="4"/>
  <c r="G749" i="4" a="1"/>
  <c r="G749" i="4"/>
  <c r="E749" i="4" a="1"/>
  <c r="E749" i="4"/>
  <c r="G748" i="4" a="1"/>
  <c r="G748" i="4"/>
  <c r="E748" i="4" a="1"/>
  <c r="E748" i="4"/>
  <c r="G747" i="4" a="1"/>
  <c r="G747" i="4"/>
  <c r="E747" i="4" a="1"/>
  <c r="E747" i="4"/>
  <c r="G746" i="4" a="1"/>
  <c r="G746" i="4"/>
  <c r="G745" i="4" a="1"/>
  <c r="G745" i="4"/>
  <c r="E745" i="4" a="1"/>
  <c r="E745" i="4"/>
  <c r="G744" i="4" a="1"/>
  <c r="G744" i="4"/>
  <c r="E744" i="4" a="1"/>
  <c r="E744" i="4"/>
  <c r="G743" i="4" a="1"/>
  <c r="G743" i="4"/>
  <c r="E743" i="4" a="1"/>
  <c r="E743" i="4"/>
  <c r="G742" i="4" a="1"/>
  <c r="G742" i="4"/>
  <c r="G741" i="4" a="1"/>
  <c r="G741" i="4"/>
  <c r="E741" i="4" a="1"/>
  <c r="E741" i="4"/>
  <c r="G740" i="4" a="1"/>
  <c r="G740" i="4"/>
  <c r="E740" i="4" a="1"/>
  <c r="E740" i="4"/>
  <c r="G739" i="4" a="1"/>
  <c r="G739" i="4"/>
  <c r="E739" i="4" a="1"/>
  <c r="E739" i="4"/>
  <c r="G738" i="4" a="1"/>
  <c r="G738" i="4"/>
  <c r="G737" i="4" a="1"/>
  <c r="G737" i="4"/>
  <c r="E737" i="4" a="1"/>
  <c r="E737" i="4"/>
  <c r="G736" i="4" a="1"/>
  <c r="G736" i="4"/>
  <c r="E736" i="4" a="1"/>
  <c r="E736" i="4"/>
  <c r="G735" i="4" a="1"/>
  <c r="G735" i="4"/>
  <c r="E735" i="4" a="1"/>
  <c r="E735" i="4"/>
  <c r="G734" i="4" a="1"/>
  <c r="G734" i="4"/>
  <c r="G733" i="4" a="1"/>
  <c r="G733" i="4"/>
  <c r="E733" i="4" a="1"/>
  <c r="E733" i="4"/>
  <c r="G732" i="4" a="1"/>
  <c r="G732" i="4"/>
  <c r="E732" i="4" a="1"/>
  <c r="E732" i="4"/>
  <c r="G731" i="4" a="1"/>
  <c r="G731" i="4"/>
  <c r="E731" i="4" a="1"/>
  <c r="E731" i="4"/>
  <c r="G730" i="4" a="1"/>
  <c r="G730" i="4"/>
  <c r="G729" i="4" a="1"/>
  <c r="G729" i="4"/>
  <c r="E729" i="4" a="1"/>
  <c r="E729" i="4"/>
  <c r="G728" i="4" a="1"/>
  <c r="G728" i="4"/>
  <c r="E728" i="4" a="1"/>
  <c r="E728" i="4"/>
  <c r="G727" i="4" a="1"/>
  <c r="G727" i="4"/>
  <c r="E727" i="4" a="1"/>
  <c r="E727" i="4"/>
  <c r="G726" i="4" a="1"/>
  <c r="G726" i="4"/>
  <c r="G725" i="4" a="1"/>
  <c r="G725" i="4"/>
  <c r="E725" i="4" a="1"/>
  <c r="E725" i="4"/>
  <c r="G724" i="4" a="1"/>
  <c r="G724" i="4"/>
  <c r="E724" i="4" a="1"/>
  <c r="E724" i="4"/>
  <c r="G723" i="4" a="1"/>
  <c r="G723" i="4"/>
  <c r="E723" i="4" a="1"/>
  <c r="E723" i="4"/>
  <c r="G722" i="4" a="1"/>
  <c r="G722" i="4"/>
  <c r="G721" i="4" a="1"/>
  <c r="G721" i="4"/>
  <c r="E721" i="4" a="1"/>
  <c r="E721" i="4"/>
  <c r="G720" i="4" a="1"/>
  <c r="G720" i="4"/>
  <c r="E720" i="4" a="1"/>
  <c r="E720" i="4"/>
  <c r="G719" i="4" a="1"/>
  <c r="G719" i="4"/>
  <c r="E719" i="4" a="1"/>
  <c r="E719" i="4"/>
  <c r="G718" i="4" a="1"/>
  <c r="G718" i="4"/>
  <c r="G717" i="4" a="1"/>
  <c r="G717" i="4"/>
  <c r="E717" i="4" a="1"/>
  <c r="E717" i="4"/>
  <c r="G716" i="4" a="1"/>
  <c r="G716" i="4"/>
  <c r="E716" i="4" a="1"/>
  <c r="E716" i="4"/>
  <c r="G715" i="4" a="1"/>
  <c r="G715" i="4"/>
  <c r="E715" i="4" a="1"/>
  <c r="E715" i="4"/>
  <c r="G714" i="4" a="1"/>
  <c r="G714" i="4"/>
  <c r="G713" i="4" a="1"/>
  <c r="G713" i="4"/>
  <c r="E713" i="4" a="1"/>
  <c r="E713" i="4"/>
  <c r="G712" i="4" a="1"/>
  <c r="G712" i="4"/>
  <c r="E712" i="4" a="1"/>
  <c r="E712" i="4"/>
  <c r="G711" i="4" a="1"/>
  <c r="G711" i="4"/>
  <c r="E711" i="4" a="1"/>
  <c r="E711" i="4"/>
  <c r="G710" i="4" a="1"/>
  <c r="G710" i="4"/>
  <c r="G709" i="4" a="1"/>
  <c r="G709" i="4"/>
  <c r="E709" i="4" a="1"/>
  <c r="E709" i="4"/>
  <c r="G708" i="4" a="1"/>
  <c r="G708" i="4"/>
  <c r="E708" i="4" a="1"/>
  <c r="E708" i="4"/>
  <c r="G707" i="4" a="1"/>
  <c r="G707" i="4"/>
  <c r="E707" i="4" a="1"/>
  <c r="E707" i="4"/>
  <c r="G706" i="4" a="1"/>
  <c r="G706" i="4"/>
  <c r="G705" i="4" a="1"/>
  <c r="G705" i="4"/>
  <c r="E705" i="4" a="1"/>
  <c r="E705" i="4"/>
  <c r="G704" i="4" a="1"/>
  <c r="G704" i="4"/>
  <c r="E704" i="4" a="1"/>
  <c r="E704" i="4"/>
  <c r="G703" i="4" a="1"/>
  <c r="G703" i="4"/>
  <c r="E703" i="4" a="1"/>
  <c r="E703" i="4"/>
  <c r="G702" i="4" a="1"/>
  <c r="G702" i="4"/>
  <c r="G701" i="4" a="1"/>
  <c r="G701" i="4"/>
  <c r="E701" i="4" a="1"/>
  <c r="E701" i="4"/>
  <c r="G700" i="4" a="1"/>
  <c r="G700" i="4"/>
  <c r="E700" i="4" a="1"/>
  <c r="E700" i="4"/>
  <c r="G699" i="4" a="1"/>
  <c r="G699" i="4"/>
  <c r="E699" i="4" a="1"/>
  <c r="E699" i="4"/>
  <c r="G698" i="4" a="1"/>
  <c r="G698" i="4"/>
  <c r="G697" i="4" a="1"/>
  <c r="G697" i="4"/>
  <c r="E697" i="4" a="1"/>
  <c r="E697" i="4"/>
  <c r="G696" i="4" a="1"/>
  <c r="G696" i="4"/>
  <c r="E696" i="4" a="1"/>
  <c r="E696" i="4"/>
  <c r="G695" i="4" a="1"/>
  <c r="G695" i="4"/>
  <c r="E695" i="4" a="1"/>
  <c r="E695" i="4"/>
  <c r="G694" i="4" a="1"/>
  <c r="G694" i="4"/>
  <c r="G693" i="4" a="1"/>
  <c r="G693" i="4"/>
  <c r="E693" i="4" a="1"/>
  <c r="E693" i="4"/>
  <c r="G692" i="4" a="1"/>
  <c r="G692" i="4"/>
  <c r="E692" i="4" a="1"/>
  <c r="E692" i="4"/>
  <c r="G691" i="4" a="1"/>
  <c r="G691" i="4"/>
  <c r="E691" i="4" a="1"/>
  <c r="E691" i="4"/>
  <c r="G690" i="4" a="1"/>
  <c r="G690" i="4"/>
  <c r="G689" i="4" a="1"/>
  <c r="G689" i="4"/>
  <c r="E689" i="4" a="1"/>
  <c r="E689" i="4"/>
  <c r="G688" i="4" a="1"/>
  <c r="G688" i="4"/>
  <c r="E688" i="4" a="1"/>
  <c r="E688" i="4"/>
  <c r="G687" i="4" a="1"/>
  <c r="G687" i="4"/>
  <c r="E687" i="4" a="1"/>
  <c r="E687" i="4"/>
  <c r="G686" i="4" a="1"/>
  <c r="G686" i="4"/>
  <c r="G685" i="4" a="1"/>
  <c r="G685" i="4"/>
  <c r="E685" i="4" a="1"/>
  <c r="E685" i="4"/>
  <c r="G684" i="4" a="1"/>
  <c r="G684" i="4"/>
  <c r="E684" i="4" a="1"/>
  <c r="E684" i="4"/>
  <c r="G683" i="4" a="1"/>
  <c r="G683" i="4"/>
  <c r="E683" i="4" a="1"/>
  <c r="E683" i="4"/>
  <c r="G682" i="4" a="1"/>
  <c r="G682" i="4"/>
  <c r="G681" i="4" a="1"/>
  <c r="G681" i="4"/>
  <c r="E681" i="4" a="1"/>
  <c r="E681" i="4"/>
  <c r="G680" i="4" a="1"/>
  <c r="G680" i="4"/>
  <c r="E680" i="4" a="1"/>
  <c r="E680" i="4"/>
  <c r="G679" i="4" a="1"/>
  <c r="G679" i="4"/>
  <c r="E679" i="4" a="1"/>
  <c r="E679" i="4"/>
  <c r="G678" i="4" a="1"/>
  <c r="G678" i="4"/>
  <c r="G677" i="4" a="1"/>
  <c r="G677" i="4"/>
  <c r="E677" i="4" a="1"/>
  <c r="E677" i="4"/>
  <c r="G676" i="4" a="1"/>
  <c r="G676" i="4"/>
  <c r="E676" i="4" a="1"/>
  <c r="E676" i="4"/>
  <c r="G675" i="4" a="1"/>
  <c r="G675" i="4"/>
  <c r="E675" i="4" a="1"/>
  <c r="E675" i="4"/>
  <c r="G674" i="4" a="1"/>
  <c r="G674" i="4"/>
  <c r="G673" i="4" a="1"/>
  <c r="G673" i="4"/>
  <c r="E673" i="4" a="1"/>
  <c r="E673" i="4"/>
  <c r="G672" i="4" a="1"/>
  <c r="G672" i="4"/>
  <c r="E672" i="4" a="1"/>
  <c r="E672" i="4"/>
  <c r="G671" i="4" a="1"/>
  <c r="G671" i="4"/>
  <c r="E671" i="4" a="1"/>
  <c r="E671" i="4"/>
  <c r="G670" i="4" a="1"/>
  <c r="G670" i="4"/>
  <c r="G669" i="4" a="1"/>
  <c r="G669" i="4"/>
  <c r="E669" i="4" a="1"/>
  <c r="E669" i="4"/>
  <c r="G668" i="4" a="1"/>
  <c r="G668" i="4"/>
  <c r="E668" i="4" a="1"/>
  <c r="E668" i="4"/>
  <c r="G667" i="4" a="1"/>
  <c r="G667" i="4"/>
  <c r="E667" i="4" a="1"/>
  <c r="E667" i="4"/>
  <c r="G666" i="4" a="1"/>
  <c r="G666" i="4"/>
  <c r="G664" i="4" a="1"/>
  <c r="G664" i="4"/>
  <c r="E664" i="4" a="1"/>
  <c r="E664" i="4"/>
  <c r="G663" i="4" a="1"/>
  <c r="G663" i="4"/>
  <c r="E663" i="4" a="1"/>
  <c r="E663" i="4"/>
  <c r="G662" i="4" a="1"/>
  <c r="G662" i="4"/>
  <c r="E662" i="4" a="1"/>
  <c r="E662" i="4"/>
  <c r="G661" i="4" a="1"/>
  <c r="G661" i="4"/>
  <c r="G660" i="4" a="1"/>
  <c r="G660" i="4"/>
  <c r="E660" i="4" a="1"/>
  <c r="E660" i="4"/>
  <c r="G659" i="4" a="1"/>
  <c r="G659" i="4"/>
  <c r="E659" i="4" a="1"/>
  <c r="E659" i="4"/>
  <c r="G658" i="4" a="1"/>
  <c r="G658" i="4"/>
  <c r="G657" i="4" a="1"/>
  <c r="G657" i="4"/>
  <c r="E657" i="4" a="1"/>
  <c r="E657" i="4"/>
  <c r="G656" i="4" a="1"/>
  <c r="G656" i="4"/>
  <c r="E656" i="4" a="1"/>
  <c r="E656" i="4"/>
  <c r="G655" i="4" a="1"/>
  <c r="G655" i="4"/>
  <c r="E655" i="4" a="1"/>
  <c r="E655" i="4"/>
  <c r="G654" i="4" a="1"/>
  <c r="G654" i="4"/>
  <c r="E654" i="4" a="1"/>
  <c r="E654" i="4"/>
  <c r="G653" i="4" a="1"/>
  <c r="G653" i="4"/>
  <c r="G652" i="4" a="1"/>
  <c r="G652" i="4"/>
  <c r="E652" i="4" a="1"/>
  <c r="E652" i="4"/>
  <c r="G651" i="4" a="1"/>
  <c r="G651" i="4"/>
  <c r="E651" i="4" a="1"/>
  <c r="E651" i="4"/>
  <c r="G650" i="4" a="1"/>
  <c r="G650" i="4"/>
  <c r="G649" i="4" a="1"/>
  <c r="G649" i="4"/>
  <c r="E649" i="4" a="1"/>
  <c r="E649" i="4"/>
  <c r="G648" i="4" a="1"/>
  <c r="G648" i="4"/>
  <c r="E648" i="4" a="1"/>
  <c r="E648" i="4"/>
  <c r="G647" i="4" a="1"/>
  <c r="G647" i="4"/>
  <c r="E647" i="4" a="1"/>
  <c r="E647" i="4"/>
  <c r="G646" i="4" a="1"/>
  <c r="G646" i="4"/>
  <c r="E646" i="4" a="1"/>
  <c r="E646" i="4"/>
  <c r="G645" i="4" a="1"/>
  <c r="G645" i="4"/>
  <c r="G644" i="4" a="1"/>
  <c r="G644" i="4"/>
  <c r="E644" i="4" a="1"/>
  <c r="E644" i="4"/>
  <c r="G643" i="4" a="1"/>
  <c r="G643" i="4"/>
  <c r="E643" i="4" a="1"/>
  <c r="E643" i="4"/>
  <c r="G642" i="4" a="1"/>
  <c r="G642" i="4"/>
  <c r="E642" i="4" a="1"/>
  <c r="E642" i="4"/>
  <c r="G641" i="4" a="1"/>
  <c r="G641" i="4"/>
  <c r="E641" i="4" a="1"/>
  <c r="E641" i="4"/>
  <c r="G640" i="4" a="1"/>
  <c r="G640" i="4"/>
  <c r="G639" i="4" a="1"/>
  <c r="G639" i="4"/>
  <c r="E639" i="4" a="1"/>
  <c r="E639" i="4"/>
  <c r="G638" i="4" a="1"/>
  <c r="G638" i="4"/>
  <c r="E638" i="4" a="1"/>
  <c r="E638" i="4"/>
  <c r="G637" i="4" a="1"/>
  <c r="G637" i="4"/>
  <c r="G636" i="4" a="1"/>
  <c r="G636" i="4"/>
  <c r="E636" i="4" a="1"/>
  <c r="E636" i="4"/>
  <c r="G635" i="4" a="1"/>
  <c r="G635" i="4"/>
  <c r="E635" i="4" a="1"/>
  <c r="E635" i="4"/>
  <c r="G634" i="4" a="1"/>
  <c r="G634" i="4"/>
  <c r="E634" i="4" a="1"/>
  <c r="E634" i="4"/>
  <c r="G633" i="4" a="1"/>
  <c r="G633" i="4"/>
  <c r="E633" i="4" a="1"/>
  <c r="E633" i="4"/>
  <c r="G632" i="4" a="1"/>
  <c r="G632" i="4"/>
  <c r="G631" i="4" a="1"/>
  <c r="G631" i="4"/>
  <c r="E631" i="4" a="1"/>
  <c r="E631" i="4"/>
  <c r="G630" i="4" a="1"/>
  <c r="G630" i="4"/>
  <c r="E630" i="4" a="1"/>
  <c r="E630" i="4"/>
  <c r="G629" i="4" a="1"/>
  <c r="G629" i="4"/>
  <c r="E629" i="4" a="1"/>
  <c r="E629" i="4"/>
  <c r="G628" i="4" a="1"/>
  <c r="G628" i="4"/>
  <c r="E628" i="4" a="1"/>
  <c r="E628" i="4"/>
  <c r="G627" i="4" a="1"/>
  <c r="G627" i="4"/>
  <c r="G626" i="4" a="1"/>
  <c r="G626" i="4"/>
  <c r="E626" i="4" a="1"/>
  <c r="E626" i="4"/>
  <c r="G625" i="4" a="1"/>
  <c r="G625" i="4"/>
  <c r="E625" i="4" a="1"/>
  <c r="E625" i="4"/>
  <c r="G624" i="4" a="1"/>
  <c r="G624" i="4"/>
  <c r="E624" i="4" a="1"/>
  <c r="E624" i="4"/>
  <c r="G623" i="4" a="1"/>
  <c r="G623" i="4"/>
  <c r="E623" i="4" a="1"/>
  <c r="E623" i="4"/>
  <c r="G622" i="4" a="1"/>
  <c r="G622" i="4"/>
  <c r="E622" i="4" a="1"/>
  <c r="E622" i="4"/>
  <c r="G621" i="4" a="1"/>
  <c r="G621" i="4"/>
  <c r="G620" i="4" a="1"/>
  <c r="G620" i="4"/>
  <c r="E620" i="4" a="1"/>
  <c r="E620" i="4"/>
  <c r="G619" i="4" a="1"/>
  <c r="G619" i="4"/>
  <c r="E619" i="4" a="1"/>
  <c r="E619" i="4"/>
  <c r="G618" i="4" a="1"/>
  <c r="G618" i="4"/>
  <c r="G617" i="4" a="1"/>
  <c r="G617" i="4"/>
  <c r="E617" i="4" a="1"/>
  <c r="E617" i="4"/>
  <c r="G616" i="4" a="1"/>
  <c r="G616" i="4"/>
  <c r="E616" i="4" a="1"/>
  <c r="E616" i="4"/>
  <c r="G615" i="4" a="1"/>
  <c r="G615" i="4"/>
  <c r="E615" i="4" a="1"/>
  <c r="E615" i="4"/>
  <c r="G614" i="4" a="1"/>
  <c r="G614" i="4"/>
  <c r="E614" i="4" a="1"/>
  <c r="E614" i="4"/>
  <c r="G613" i="4" a="1"/>
  <c r="G613" i="4"/>
  <c r="G612" i="4" a="1"/>
  <c r="G612" i="4"/>
  <c r="E612" i="4" a="1"/>
  <c r="E612" i="4"/>
  <c r="G611" i="4" a="1"/>
  <c r="G611" i="4"/>
  <c r="E611" i="4" a="1"/>
  <c r="E611" i="4"/>
  <c r="G610" i="4" a="1"/>
  <c r="G610" i="4"/>
  <c r="E610" i="4" a="1"/>
  <c r="E610" i="4"/>
  <c r="G609" i="4" a="1"/>
  <c r="G609" i="4"/>
  <c r="E609" i="4" a="1"/>
  <c r="E609" i="4"/>
  <c r="G608" i="4" a="1"/>
  <c r="G608" i="4"/>
  <c r="G607" i="4" a="1"/>
  <c r="G607" i="4"/>
  <c r="E607" i="4" a="1"/>
  <c r="E607" i="4"/>
  <c r="G606" i="4" a="1"/>
  <c r="G606" i="4"/>
  <c r="E606" i="4" a="1"/>
  <c r="E606" i="4"/>
  <c r="G605" i="4" a="1"/>
  <c r="G605" i="4"/>
  <c r="G604" i="4" a="1"/>
  <c r="G604" i="4"/>
  <c r="E604" i="4" a="1"/>
  <c r="E604" i="4"/>
  <c r="G603" i="4" a="1"/>
  <c r="G603" i="4"/>
  <c r="E603" i="4" a="1"/>
  <c r="E603" i="4"/>
  <c r="G602" i="4" a="1"/>
  <c r="G602" i="4"/>
  <c r="E602" i="4" a="1"/>
  <c r="E602" i="4"/>
  <c r="G601" i="4" a="1"/>
  <c r="G601" i="4"/>
  <c r="E601" i="4" a="1"/>
  <c r="E601" i="4"/>
  <c r="G600" i="4" a="1"/>
  <c r="G600" i="4"/>
  <c r="G599" i="4" a="1"/>
  <c r="G599" i="4"/>
  <c r="E599" i="4" a="1"/>
  <c r="E599" i="4"/>
  <c r="G598" i="4" a="1"/>
  <c r="G598" i="4"/>
  <c r="E598" i="4" a="1"/>
  <c r="E598" i="4"/>
  <c r="G597" i="4" a="1"/>
  <c r="G597" i="4"/>
  <c r="E597" i="4" a="1"/>
  <c r="E597" i="4"/>
  <c r="G596" i="4" a="1"/>
  <c r="G596" i="4"/>
  <c r="E596" i="4" a="1"/>
  <c r="E596" i="4"/>
  <c r="G595" i="4" a="1"/>
  <c r="G595" i="4"/>
  <c r="G594" i="4" a="1"/>
  <c r="G594" i="4"/>
  <c r="E594" i="4" a="1"/>
  <c r="E594" i="4"/>
  <c r="G593" i="4" a="1"/>
  <c r="G593" i="4"/>
  <c r="E593" i="4" a="1"/>
  <c r="E593" i="4"/>
  <c r="G592" i="4" a="1"/>
  <c r="G592" i="4"/>
  <c r="E592" i="4" a="1"/>
  <c r="E592" i="4"/>
  <c r="G591" i="4" a="1"/>
  <c r="G591" i="4"/>
  <c r="E591" i="4" a="1"/>
  <c r="E591" i="4"/>
  <c r="G590" i="4" a="1"/>
  <c r="G590" i="4"/>
  <c r="E590" i="4" a="1"/>
  <c r="E590" i="4"/>
  <c r="G589" i="4" a="1"/>
  <c r="G589" i="4"/>
  <c r="G587" i="4" a="1"/>
  <c r="G587" i="4"/>
  <c r="G586" i="4" a="1"/>
  <c r="G586" i="4"/>
  <c r="E586" i="4" a="1"/>
  <c r="E586" i="4"/>
  <c r="G585" i="4" a="1"/>
  <c r="G585" i="4"/>
  <c r="E585" i="4" a="1"/>
  <c r="E585" i="4"/>
  <c r="G583" i="4" a="1"/>
  <c r="G583" i="4"/>
  <c r="E583" i="4" a="1"/>
  <c r="E583" i="4"/>
  <c r="G582" i="4" a="1"/>
  <c r="G582" i="4"/>
  <c r="E582" i="4" a="1"/>
  <c r="E582" i="4"/>
  <c r="G581" i="4" a="1"/>
  <c r="G581" i="4"/>
  <c r="E581" i="4" a="1"/>
  <c r="E581" i="4"/>
  <c r="G580" i="4" a="1"/>
  <c r="G580" i="4"/>
  <c r="G579" i="4" a="1"/>
  <c r="G579" i="4"/>
  <c r="E579" i="4" a="1"/>
  <c r="E579" i="4"/>
  <c r="G578" i="4" a="1"/>
  <c r="G578" i="4"/>
  <c r="E578" i="4" a="1"/>
  <c r="E578" i="4"/>
  <c r="G577" i="4" a="1"/>
  <c r="G577" i="4"/>
  <c r="E577" i="4" a="1"/>
  <c r="E577" i="4"/>
  <c r="G576" i="4" a="1"/>
  <c r="G576" i="4"/>
  <c r="G575" i="4" a="1"/>
  <c r="G575" i="4"/>
  <c r="E575" i="4" a="1"/>
  <c r="E575" i="4"/>
  <c r="G574" i="4" a="1"/>
  <c r="G574" i="4"/>
  <c r="E574" i="4" a="1"/>
  <c r="E574" i="4"/>
  <c r="G573" i="4" a="1"/>
  <c r="G573" i="4"/>
  <c r="E573" i="4" a="1"/>
  <c r="E573" i="4"/>
  <c r="G572" i="4" a="1"/>
  <c r="G572" i="4"/>
  <c r="G570" i="4" a="1"/>
  <c r="G570" i="4"/>
  <c r="E570" i="4" a="1"/>
  <c r="E570" i="4"/>
  <c r="G569" i="4" a="1"/>
  <c r="G569" i="4"/>
  <c r="E569" i="4" a="1"/>
  <c r="E569" i="4"/>
  <c r="G568" i="4" a="1"/>
  <c r="G568" i="4"/>
  <c r="E568" i="4" a="1"/>
  <c r="E568" i="4"/>
  <c r="G567" i="4" a="1"/>
  <c r="G567" i="4"/>
  <c r="G566" i="4" a="1"/>
  <c r="G566" i="4"/>
  <c r="E566" i="4" a="1"/>
  <c r="E566" i="4"/>
  <c r="G565" i="4" a="1"/>
  <c r="G565" i="4"/>
  <c r="E565" i="4" a="1"/>
  <c r="E565" i="4"/>
  <c r="G564" i="4" a="1"/>
  <c r="G564" i="4"/>
  <c r="E564" i="4" a="1"/>
  <c r="E564" i="4"/>
  <c r="G563" i="4" a="1"/>
  <c r="G563" i="4"/>
  <c r="G562" i="4" a="1"/>
  <c r="G562" i="4"/>
  <c r="E562" i="4" a="1"/>
  <c r="E562" i="4"/>
  <c r="G561" i="4" a="1"/>
  <c r="G561" i="4"/>
  <c r="E561" i="4" a="1"/>
  <c r="E561" i="4"/>
  <c r="G560" i="4" a="1"/>
  <c r="G560" i="4"/>
  <c r="E560" i="4" a="1"/>
  <c r="E560" i="4"/>
  <c r="G559" i="4" a="1"/>
  <c r="G559" i="4"/>
  <c r="G558" i="4" a="1"/>
  <c r="G558" i="4"/>
  <c r="E558" i="4" a="1"/>
  <c r="E558" i="4"/>
  <c r="G557" i="4" a="1"/>
  <c r="G557" i="4"/>
  <c r="E557" i="4" a="1"/>
  <c r="E557" i="4"/>
  <c r="G556" i="4" a="1"/>
  <c r="G556" i="4"/>
  <c r="E556" i="4" a="1"/>
  <c r="E556" i="4"/>
  <c r="G555" i="4" a="1"/>
  <c r="G555" i="4"/>
  <c r="G554" i="4" a="1"/>
  <c r="G554" i="4"/>
  <c r="E554" i="4" a="1"/>
  <c r="E554" i="4"/>
  <c r="G553" i="4" a="1"/>
  <c r="G553" i="4"/>
  <c r="E553" i="4" a="1"/>
  <c r="E553" i="4"/>
  <c r="G552" i="4" a="1"/>
  <c r="G552" i="4"/>
  <c r="E552" i="4" a="1"/>
  <c r="E552" i="4"/>
  <c r="G551" i="4" a="1"/>
  <c r="G551" i="4"/>
  <c r="G550" i="4" a="1"/>
  <c r="G550" i="4"/>
  <c r="E550" i="4" a="1"/>
  <c r="E550" i="4"/>
  <c r="G549" i="4" a="1"/>
  <c r="G549" i="4"/>
  <c r="E549" i="4" a="1"/>
  <c r="E549" i="4"/>
  <c r="G548" i="4" a="1"/>
  <c r="G548" i="4"/>
  <c r="E548" i="4" a="1"/>
  <c r="E548" i="4"/>
  <c r="G547" i="4" a="1"/>
  <c r="G547" i="4"/>
  <c r="G546" i="4" a="1"/>
  <c r="G546" i="4"/>
  <c r="E546" i="4" a="1"/>
  <c r="E546" i="4"/>
  <c r="G545" i="4" a="1"/>
  <c r="G545" i="4"/>
  <c r="E545" i="4" a="1"/>
  <c r="E545" i="4"/>
  <c r="G544" i="4" a="1"/>
  <c r="G544" i="4"/>
  <c r="E544" i="4" a="1"/>
  <c r="E544" i="4"/>
  <c r="G543" i="4" a="1"/>
  <c r="G543" i="4"/>
  <c r="G542" i="4" a="1"/>
  <c r="G542" i="4"/>
  <c r="E542" i="4" a="1"/>
  <c r="E542" i="4"/>
  <c r="G541" i="4" a="1"/>
  <c r="G541" i="4"/>
  <c r="E541" i="4" a="1"/>
  <c r="E541" i="4"/>
  <c r="G540" i="4" a="1"/>
  <c r="G540" i="4"/>
  <c r="E540" i="4" a="1"/>
  <c r="E540" i="4"/>
  <c r="G539" i="4" a="1"/>
  <c r="G539" i="4"/>
  <c r="G538" i="4" a="1"/>
  <c r="G538" i="4"/>
  <c r="E538" i="4" a="1"/>
  <c r="E538" i="4"/>
  <c r="G537" i="4" a="1"/>
  <c r="G537" i="4"/>
  <c r="E537" i="4" a="1"/>
  <c r="E537" i="4"/>
  <c r="G536" i="4" a="1"/>
  <c r="G536" i="4"/>
  <c r="E536" i="4" a="1"/>
  <c r="E536" i="4"/>
  <c r="G535" i="4" a="1"/>
  <c r="G535" i="4"/>
  <c r="G534" i="4" a="1"/>
  <c r="G534" i="4"/>
  <c r="E534" i="4" a="1"/>
  <c r="E534" i="4"/>
  <c r="G533" i="4" a="1"/>
  <c r="G533" i="4"/>
  <c r="E533" i="4" a="1"/>
  <c r="E533" i="4"/>
  <c r="G532" i="4" a="1"/>
  <c r="G532" i="4"/>
  <c r="E532" i="4" a="1"/>
  <c r="E532" i="4"/>
  <c r="G531" i="4" a="1"/>
  <c r="G531" i="4"/>
  <c r="G530" i="4" a="1"/>
  <c r="G530" i="4"/>
  <c r="E530" i="4" a="1"/>
  <c r="E530" i="4"/>
  <c r="G529" i="4" a="1"/>
  <c r="G529" i="4"/>
  <c r="E529" i="4" a="1"/>
  <c r="E529" i="4"/>
  <c r="G528" i="4" a="1"/>
  <c r="G528" i="4"/>
  <c r="E528" i="4" a="1"/>
  <c r="E528" i="4"/>
  <c r="G527" i="4" a="1"/>
  <c r="G527" i="4"/>
  <c r="G526" i="4" a="1"/>
  <c r="G526" i="4"/>
  <c r="E526" i="4" a="1"/>
  <c r="E526" i="4"/>
  <c r="G525" i="4" a="1"/>
  <c r="G525" i="4"/>
  <c r="E525" i="4" a="1"/>
  <c r="E525" i="4"/>
  <c r="G524" i="4" a="1"/>
  <c r="G524" i="4"/>
  <c r="E524" i="4" a="1"/>
  <c r="E524" i="4"/>
  <c r="G523" i="4" a="1"/>
  <c r="G523" i="4"/>
  <c r="G522" i="4" a="1"/>
  <c r="G522" i="4"/>
  <c r="E522" i="4" a="1"/>
  <c r="E522" i="4"/>
  <c r="G521" i="4" a="1"/>
  <c r="G521" i="4"/>
  <c r="E521" i="4" a="1"/>
  <c r="E521" i="4"/>
  <c r="G520" i="4" a="1"/>
  <c r="G520" i="4"/>
  <c r="E520" i="4" a="1"/>
  <c r="E520" i="4"/>
  <c r="G519" i="4" a="1"/>
  <c r="G519" i="4"/>
  <c r="G518" i="4" a="1"/>
  <c r="G518" i="4"/>
  <c r="E518" i="4" a="1"/>
  <c r="E518" i="4"/>
  <c r="G517" i="4" a="1"/>
  <c r="G517" i="4"/>
  <c r="E517" i="4" a="1"/>
  <c r="E517" i="4"/>
  <c r="G516" i="4" a="1"/>
  <c r="G516" i="4"/>
  <c r="E516" i="4" a="1"/>
  <c r="E516" i="4"/>
  <c r="G515" i="4" a="1"/>
  <c r="G515" i="4"/>
  <c r="G514" i="4"/>
  <c r="G513" i="4" a="1"/>
  <c r="G513" i="4"/>
  <c r="G512" i="4" a="1"/>
  <c r="G512" i="4"/>
  <c r="G511" i="4" a="1"/>
  <c r="G511" i="4"/>
  <c r="G509" i="4" a="1"/>
  <c r="G509" i="4"/>
  <c r="E509" i="4" a="1"/>
  <c r="E509" i="4"/>
  <c r="G508" i="4" a="1"/>
  <c r="G508" i="4"/>
  <c r="E508" i="4" a="1"/>
  <c r="E508" i="4"/>
  <c r="G507" i="4" a="1"/>
  <c r="G507" i="4"/>
  <c r="E507" i="4" a="1"/>
  <c r="E507" i="4"/>
  <c r="G506" i="4" a="1"/>
  <c r="G506" i="4"/>
  <c r="E506" i="4" a="1"/>
  <c r="E506" i="4"/>
  <c r="G505" i="4" a="1"/>
  <c r="G505" i="4"/>
  <c r="E505" i="4" a="1"/>
  <c r="E505" i="4"/>
  <c r="G504" i="4" a="1"/>
  <c r="G504" i="4"/>
  <c r="E504" i="4" a="1"/>
  <c r="E504" i="4"/>
  <c r="G503" i="4" a="1"/>
  <c r="G503" i="4"/>
  <c r="G501" i="4" a="1"/>
  <c r="G501" i="4"/>
  <c r="E501" i="4" a="1"/>
  <c r="E501" i="4"/>
  <c r="G500" i="4" a="1"/>
  <c r="G500" i="4"/>
  <c r="G499" i="4" a="1"/>
  <c r="G499" i="4"/>
  <c r="E499" i="4" a="1"/>
  <c r="E499" i="4"/>
  <c r="G498" i="4" a="1"/>
  <c r="G498" i="4"/>
  <c r="G496" i="4" a="1"/>
  <c r="G496" i="4"/>
  <c r="G495" i="4" a="1"/>
  <c r="G495" i="4"/>
  <c r="E495" i="4" a="1"/>
  <c r="E495" i="4"/>
  <c r="G494" i="4" a="1"/>
  <c r="G494" i="4"/>
  <c r="G492" i="4" a="1"/>
  <c r="G492" i="4"/>
  <c r="E492" i="4" a="1"/>
  <c r="E492" i="4"/>
  <c r="G491" i="4" a="1"/>
  <c r="G491" i="4"/>
  <c r="E491" i="4" a="1"/>
  <c r="E491" i="4"/>
  <c r="G490" i="4" a="1"/>
  <c r="G490" i="4"/>
  <c r="E490" i="4" a="1"/>
  <c r="E490" i="4"/>
  <c r="G489" i="4" a="1"/>
  <c r="G489" i="4"/>
  <c r="G488" i="4" a="1"/>
  <c r="G488" i="4"/>
  <c r="E488" i="4" a="1"/>
  <c r="E488" i="4"/>
  <c r="G487" i="4" a="1"/>
  <c r="G487" i="4"/>
  <c r="E487" i="4" a="1"/>
  <c r="E487" i="4"/>
  <c r="G486" i="4" a="1"/>
  <c r="G486" i="4"/>
  <c r="E486" i="4" a="1"/>
  <c r="E486" i="4"/>
  <c r="G485" i="4" a="1"/>
  <c r="G485" i="4"/>
  <c r="G484" i="4" a="1"/>
  <c r="G484" i="4"/>
  <c r="E484" i="4" a="1"/>
  <c r="E484" i="4"/>
  <c r="G483" i="4" a="1"/>
  <c r="G483" i="4"/>
  <c r="E483" i="4" a="1"/>
  <c r="E483" i="4"/>
  <c r="G482" i="4" a="1"/>
  <c r="G482" i="4"/>
  <c r="E482" i="4" a="1"/>
  <c r="E482" i="4"/>
  <c r="G481" i="4" a="1"/>
  <c r="G481" i="4"/>
  <c r="G480" i="4" a="1"/>
  <c r="G480" i="4"/>
  <c r="E480" i="4" a="1"/>
  <c r="E480" i="4"/>
  <c r="G479" i="4" a="1"/>
  <c r="G479" i="4"/>
  <c r="E479" i="4" a="1"/>
  <c r="E479" i="4"/>
  <c r="G478" i="4" a="1"/>
  <c r="G478" i="4"/>
  <c r="E478" i="4" a="1"/>
  <c r="E478" i="4"/>
  <c r="G477" i="4" a="1"/>
  <c r="G477" i="4"/>
  <c r="G476" i="4" a="1"/>
  <c r="G476" i="4"/>
  <c r="E476" i="4" a="1"/>
  <c r="E476" i="4"/>
  <c r="G475" i="4" a="1"/>
  <c r="G475" i="4"/>
  <c r="E475" i="4" a="1"/>
  <c r="E475" i="4"/>
  <c r="G474" i="4" a="1"/>
  <c r="G474" i="4"/>
  <c r="E474" i="4" a="1"/>
  <c r="E474" i="4"/>
  <c r="G473" i="4" a="1"/>
  <c r="G473" i="4"/>
  <c r="G472" i="4" a="1"/>
  <c r="G472" i="4"/>
  <c r="E472" i="4" a="1"/>
  <c r="E472" i="4"/>
  <c r="G471" i="4" a="1"/>
  <c r="G471" i="4"/>
  <c r="E471" i="4" a="1"/>
  <c r="E471" i="4"/>
  <c r="G470" i="4" a="1"/>
  <c r="G470" i="4"/>
  <c r="E470" i="4" a="1"/>
  <c r="E470" i="4"/>
  <c r="G469" i="4" a="1"/>
  <c r="G469" i="4"/>
  <c r="G468" i="4" a="1"/>
  <c r="G468" i="4"/>
  <c r="E468" i="4" a="1"/>
  <c r="E468" i="4"/>
  <c r="G467" i="4" a="1"/>
  <c r="G467" i="4"/>
  <c r="E467" i="4" a="1"/>
  <c r="E467" i="4"/>
  <c r="G466" i="4" a="1"/>
  <c r="G466" i="4"/>
  <c r="E466" i="4" a="1"/>
  <c r="E466" i="4"/>
  <c r="G465" i="4" a="1"/>
  <c r="G465" i="4"/>
  <c r="G463" i="4" a="1"/>
  <c r="G463" i="4"/>
  <c r="F463" i="4"/>
  <c r="E463" i="4" a="1"/>
  <c r="E463" i="4"/>
  <c r="G462" i="4" a="1"/>
  <c r="G462" i="4"/>
  <c r="E462" i="4" a="1"/>
  <c r="E462" i="4"/>
  <c r="G461" i="4" a="1"/>
  <c r="G461" i="4"/>
  <c r="G460" i="4" a="1"/>
  <c r="G460" i="4"/>
  <c r="E460" i="4" a="1"/>
  <c r="E460" i="4"/>
  <c r="G459" i="4" a="1"/>
  <c r="G459" i="4"/>
  <c r="E459" i="4" a="1"/>
  <c r="E459" i="4"/>
  <c r="G458" i="4" a="1"/>
  <c r="G458" i="4"/>
  <c r="E458" i="4" a="1"/>
  <c r="E458" i="4"/>
  <c r="G457" i="4" a="1"/>
  <c r="G457" i="4"/>
  <c r="G456" i="4" a="1"/>
  <c r="G456" i="4"/>
  <c r="E456" i="4" a="1"/>
  <c r="E456" i="4"/>
  <c r="G455" i="4" a="1"/>
  <c r="G455" i="4"/>
  <c r="E455" i="4" a="1"/>
  <c r="E455" i="4"/>
  <c r="G454" i="4" a="1"/>
  <c r="G454" i="4"/>
  <c r="E454" i="4" a="1"/>
  <c r="E454" i="4"/>
  <c r="G453" i="4" a="1"/>
  <c r="G453" i="4"/>
  <c r="G452" i="4" a="1"/>
  <c r="G452" i="4"/>
  <c r="E452" i="4" a="1"/>
  <c r="E452" i="4"/>
  <c r="G451" i="4" a="1"/>
  <c r="G451" i="4"/>
  <c r="E451" i="4" a="1"/>
  <c r="E451" i="4"/>
  <c r="G450" i="4" a="1"/>
  <c r="G450" i="4"/>
  <c r="E450" i="4" a="1"/>
  <c r="E450" i="4"/>
  <c r="G449" i="4" a="1"/>
  <c r="G449" i="4"/>
  <c r="G448" i="4" a="1"/>
  <c r="G448" i="4"/>
  <c r="E448" i="4" a="1"/>
  <c r="E448" i="4"/>
  <c r="G447" i="4" a="1"/>
  <c r="G447" i="4"/>
  <c r="E447" i="4" a="1"/>
  <c r="E447" i="4"/>
  <c r="G446" i="4" a="1"/>
  <c r="G446" i="4"/>
  <c r="E446" i="4" a="1"/>
  <c r="E446" i="4"/>
  <c r="G445" i="4" a="1"/>
  <c r="G445" i="4"/>
  <c r="G444" i="4" a="1"/>
  <c r="G444" i="4"/>
  <c r="E444" i="4" a="1"/>
  <c r="E444" i="4"/>
  <c r="G443" i="4" a="1"/>
  <c r="G443" i="4"/>
  <c r="E443" i="4" a="1"/>
  <c r="E443" i="4"/>
  <c r="G442" i="4" a="1"/>
  <c r="G442" i="4"/>
  <c r="E442" i="4" a="1"/>
  <c r="E442" i="4"/>
  <c r="G441" i="4" a="1"/>
  <c r="G441" i="4"/>
  <c r="G440" i="4" a="1"/>
  <c r="G440" i="4"/>
  <c r="E440" i="4" a="1"/>
  <c r="E440" i="4"/>
  <c r="G439" i="4" a="1"/>
  <c r="G439" i="4"/>
  <c r="E439" i="4" a="1"/>
  <c r="E439" i="4"/>
  <c r="G438" i="4" a="1"/>
  <c r="G438" i="4"/>
  <c r="E438" i="4" a="1"/>
  <c r="E438" i="4"/>
  <c r="G437" i="4" a="1"/>
  <c r="G437" i="4"/>
  <c r="G436" i="4" a="1"/>
  <c r="G436" i="4"/>
  <c r="E436" i="4" a="1"/>
  <c r="E436" i="4"/>
  <c r="G435" i="4" a="1"/>
  <c r="G435" i="4"/>
  <c r="E435" i="4" a="1"/>
  <c r="E435" i="4"/>
  <c r="G434" i="4" a="1"/>
  <c r="G434" i="4"/>
  <c r="E434" i="4" a="1"/>
  <c r="E434" i="4"/>
  <c r="G433" i="4" a="1"/>
  <c r="G433" i="4"/>
  <c r="G432" i="4" a="1"/>
  <c r="G432" i="4"/>
  <c r="E432" i="4" a="1"/>
  <c r="E432" i="4"/>
  <c r="G431" i="4" a="1"/>
  <c r="G431" i="4"/>
  <c r="E431" i="4" a="1"/>
  <c r="E431" i="4"/>
  <c r="G430" i="4" a="1"/>
  <c r="G430" i="4"/>
  <c r="E430" i="4" a="1"/>
  <c r="E430" i="4"/>
  <c r="G429" i="4" a="1"/>
  <c r="G429" i="4"/>
  <c r="G428" i="4" a="1"/>
  <c r="G428" i="4"/>
  <c r="E428" i="4" a="1"/>
  <c r="E428" i="4"/>
  <c r="G427" i="4" a="1"/>
  <c r="G427" i="4"/>
  <c r="E427" i="4" a="1"/>
  <c r="E427" i="4"/>
  <c r="G426" i="4" a="1"/>
  <c r="G426" i="4"/>
  <c r="E426" i="4" a="1"/>
  <c r="E426" i="4"/>
  <c r="G425" i="4" a="1"/>
  <c r="G425" i="4"/>
  <c r="G424" i="4" a="1"/>
  <c r="G424" i="4"/>
  <c r="E424" i="4" a="1"/>
  <c r="E424" i="4"/>
  <c r="G423" i="4" a="1"/>
  <c r="G423" i="4"/>
  <c r="E423" i="4" a="1"/>
  <c r="E423" i="4"/>
  <c r="G422" i="4" a="1"/>
  <c r="G422" i="4"/>
  <c r="E422" i="4" a="1"/>
  <c r="E422" i="4"/>
  <c r="G421" i="4" a="1"/>
  <c r="G421" i="4"/>
  <c r="G420" i="4" a="1"/>
  <c r="G420" i="4"/>
  <c r="E420" i="4" a="1"/>
  <c r="E420" i="4"/>
  <c r="G419" i="4" a="1"/>
  <c r="G419" i="4"/>
  <c r="E419" i="4" a="1"/>
  <c r="E419" i="4"/>
  <c r="G418" i="4" a="1"/>
  <c r="G418" i="4"/>
  <c r="E418" i="4" a="1"/>
  <c r="E418" i="4"/>
  <c r="G417" i="4" a="1"/>
  <c r="G417" i="4"/>
  <c r="G416" i="4" a="1"/>
  <c r="G416" i="4"/>
  <c r="E416" i="4" a="1"/>
  <c r="E416" i="4"/>
  <c r="G415" i="4" a="1"/>
  <c r="G415" i="4"/>
  <c r="E415" i="4" a="1"/>
  <c r="E415" i="4"/>
  <c r="G414" i="4" a="1"/>
  <c r="G414" i="4"/>
  <c r="E414" i="4" a="1"/>
  <c r="E414" i="4"/>
  <c r="G413" i="4" a="1"/>
  <c r="G413" i="4"/>
  <c r="G412" i="4" a="1"/>
  <c r="G412" i="4"/>
  <c r="E412" i="4" a="1"/>
  <c r="E412" i="4"/>
  <c r="G411" i="4" a="1"/>
  <c r="G411" i="4"/>
  <c r="E411" i="4" a="1"/>
  <c r="E411" i="4"/>
  <c r="G410" i="4" a="1"/>
  <c r="G410" i="4"/>
  <c r="E410" i="4" a="1"/>
  <c r="E410" i="4"/>
  <c r="G409" i="4" a="1"/>
  <c r="G409" i="4"/>
  <c r="G408" i="4" a="1"/>
  <c r="G408" i="4"/>
  <c r="E408" i="4" a="1"/>
  <c r="E408" i="4"/>
  <c r="G407" i="4" a="1"/>
  <c r="G407" i="4"/>
  <c r="E407" i="4" a="1"/>
  <c r="E407" i="4"/>
  <c r="G406" i="4" a="1"/>
  <c r="G406" i="4"/>
  <c r="E406" i="4" a="1"/>
  <c r="E406" i="4"/>
  <c r="G405" i="4" a="1"/>
  <c r="G405" i="4"/>
  <c r="G404" i="4" a="1"/>
  <c r="G404" i="4"/>
  <c r="E404" i="4" a="1"/>
  <c r="E404" i="4"/>
  <c r="G403" i="4" a="1"/>
  <c r="G403" i="4"/>
  <c r="E403" i="4" a="1"/>
  <c r="E403" i="4"/>
  <c r="G402" i="4" a="1"/>
  <c r="G402" i="4"/>
  <c r="E402" i="4" a="1"/>
  <c r="E402" i="4"/>
  <c r="G401" i="4" a="1"/>
  <c r="G401" i="4"/>
  <c r="G400" i="4" a="1"/>
  <c r="G400" i="4"/>
  <c r="E400" i="4" a="1"/>
  <c r="E400" i="4"/>
  <c r="G399" i="4" a="1"/>
  <c r="G399" i="4"/>
  <c r="E399" i="4" a="1"/>
  <c r="E399" i="4"/>
  <c r="G398" i="4" a="1"/>
  <c r="G398" i="4"/>
  <c r="E398" i="4" a="1"/>
  <c r="E398" i="4"/>
  <c r="G397" i="4" a="1"/>
  <c r="G397" i="4"/>
  <c r="G396" i="4" a="1"/>
  <c r="G396" i="4"/>
  <c r="E396" i="4" a="1"/>
  <c r="E396" i="4"/>
  <c r="G395" i="4" a="1"/>
  <c r="G395" i="4"/>
  <c r="E395" i="4" a="1"/>
  <c r="E395" i="4"/>
  <c r="G394" i="4" a="1"/>
  <c r="G394" i="4"/>
  <c r="E394" i="4" a="1"/>
  <c r="E394" i="4"/>
  <c r="G393" i="4" a="1"/>
  <c r="G393" i="4"/>
  <c r="G392" i="4" a="1"/>
  <c r="G392" i="4"/>
  <c r="E392" i="4" a="1"/>
  <c r="E392" i="4"/>
  <c r="G391" i="4" a="1"/>
  <c r="G391" i="4"/>
  <c r="E391" i="4" a="1"/>
  <c r="E391" i="4"/>
  <c r="G390" i="4" a="1"/>
  <c r="G390" i="4"/>
  <c r="E390" i="4" a="1"/>
  <c r="E390" i="4"/>
  <c r="G389" i="4" a="1"/>
  <c r="G389" i="4"/>
  <c r="G388" i="4" a="1"/>
  <c r="G388" i="4"/>
  <c r="E388" i="4" a="1"/>
  <c r="E388" i="4"/>
  <c r="G387" i="4" a="1"/>
  <c r="G387" i="4"/>
  <c r="E387" i="4" a="1"/>
  <c r="E387" i="4"/>
  <c r="G386" i="4" a="1"/>
  <c r="G386" i="4"/>
  <c r="E386" i="4" a="1"/>
  <c r="E386" i="4"/>
  <c r="G385" i="4" a="1"/>
  <c r="G385" i="4"/>
  <c r="G383" i="4" a="1"/>
  <c r="G383" i="4"/>
  <c r="E383" i="4" a="1"/>
  <c r="E383" i="4"/>
  <c r="G382" i="4" a="1"/>
  <c r="G382" i="4"/>
  <c r="E382" i="4" a="1"/>
  <c r="E382" i="4"/>
  <c r="G381" i="4" a="1"/>
  <c r="G381" i="4"/>
  <c r="E381" i="4" a="1"/>
  <c r="E381" i="4"/>
  <c r="G380" i="4" a="1"/>
  <c r="G380" i="4"/>
  <c r="E380" i="4" a="1"/>
  <c r="E380" i="4"/>
  <c r="G379" i="4" a="1"/>
  <c r="G379" i="4"/>
  <c r="E379" i="4" a="1"/>
  <c r="E379" i="4"/>
  <c r="G378" i="4" a="1"/>
  <c r="G378" i="4"/>
  <c r="E378" i="4" a="1"/>
  <c r="E378" i="4"/>
  <c r="G377" i="4" a="1"/>
  <c r="G377" i="4"/>
  <c r="G376" i="4" a="1"/>
  <c r="G376" i="4"/>
  <c r="E376" i="4" a="1"/>
  <c r="E376" i="4"/>
  <c r="G375" i="4" a="1"/>
  <c r="G375" i="4"/>
  <c r="E375" i="4" a="1"/>
  <c r="E375" i="4"/>
  <c r="G374" i="4" a="1"/>
  <c r="G374" i="4"/>
  <c r="E374" i="4" a="1"/>
  <c r="E374" i="4"/>
  <c r="G373" i="4" a="1"/>
  <c r="G373" i="4"/>
  <c r="E373" i="4" a="1"/>
  <c r="E373" i="4"/>
  <c r="G372" i="4" a="1"/>
  <c r="G372" i="4"/>
  <c r="E372" i="4" a="1"/>
  <c r="E372" i="4"/>
  <c r="G371" i="4" a="1"/>
  <c r="G371" i="4"/>
  <c r="E371" i="4" a="1"/>
  <c r="E371" i="4"/>
  <c r="G370" i="4" a="1"/>
  <c r="G370" i="4"/>
  <c r="G368" i="4" a="1"/>
  <c r="G368" i="4"/>
  <c r="G367" i="4" a="1"/>
  <c r="G367" i="4"/>
  <c r="E367" i="4" a="1"/>
  <c r="E367" i="4"/>
  <c r="G366" i="4" a="1"/>
  <c r="G366" i="4"/>
  <c r="G364" i="4" a="1"/>
  <c r="G364" i="4"/>
  <c r="E364" i="4" a="1"/>
  <c r="E364" i="4"/>
  <c r="G363" i="4" a="1"/>
  <c r="G363" i="4"/>
  <c r="E363" i="4" a="1"/>
  <c r="E363" i="4"/>
  <c r="G362" i="4"/>
  <c r="E362" i="4" a="1"/>
  <c r="E362" i="4"/>
  <c r="G361" i="4" a="1"/>
  <c r="G361" i="4"/>
  <c r="G360" i="4" a="1"/>
  <c r="G360" i="4"/>
  <c r="E360" i="4" a="1"/>
  <c r="E360" i="4"/>
  <c r="G359" i="4" a="1"/>
  <c r="G359" i="4"/>
  <c r="E359" i="4" a="1"/>
  <c r="E359" i="4"/>
  <c r="G358" i="4" a="1"/>
  <c r="G358" i="4"/>
  <c r="E358" i="4" a="1"/>
  <c r="E358" i="4"/>
  <c r="G357" i="4" a="1"/>
  <c r="G357" i="4"/>
  <c r="G356" i="4" a="1"/>
  <c r="G356" i="4"/>
  <c r="E356" i="4" a="1"/>
  <c r="E356" i="4"/>
  <c r="G355" i="4" a="1"/>
  <c r="G355" i="4"/>
  <c r="E355" i="4" a="1"/>
  <c r="E355" i="4"/>
  <c r="G354" i="4" a="1"/>
  <c r="G354" i="4"/>
  <c r="E354" i="4" a="1"/>
  <c r="E354" i="4"/>
  <c r="G353" i="4" a="1"/>
  <c r="G353" i="4"/>
  <c r="G352" i="4" a="1"/>
  <c r="G352" i="4"/>
  <c r="E352" i="4" a="1"/>
  <c r="E352" i="4"/>
  <c r="G351" i="4" a="1"/>
  <c r="G351" i="4"/>
  <c r="E351" i="4" a="1"/>
  <c r="E351" i="4"/>
  <c r="G350" i="4" a="1"/>
  <c r="G350" i="4"/>
  <c r="E350" i="4" a="1"/>
  <c r="E350" i="4"/>
  <c r="G349" i="4" a="1"/>
  <c r="G349" i="4"/>
  <c r="G348" i="4" a="1"/>
  <c r="G348" i="4"/>
  <c r="E348" i="4" a="1"/>
  <c r="E348" i="4"/>
  <c r="G347" i="4" a="1"/>
  <c r="G347" i="4"/>
  <c r="E347" i="4" a="1"/>
  <c r="E347" i="4"/>
  <c r="G346" i="4" a="1"/>
  <c r="G346" i="4"/>
  <c r="E346" i="4" a="1"/>
  <c r="E346" i="4"/>
  <c r="G345" i="4" a="1"/>
  <c r="G345" i="4"/>
  <c r="G343" i="4" a="1"/>
  <c r="G343" i="4"/>
  <c r="E343" i="4" a="1"/>
  <c r="E343" i="4"/>
  <c r="G342" i="4" a="1"/>
  <c r="G342" i="4"/>
  <c r="E342" i="4" a="1"/>
  <c r="E342" i="4"/>
  <c r="G341" i="4" a="1"/>
  <c r="G341" i="4"/>
  <c r="E341" i="4" a="1"/>
  <c r="E341" i="4"/>
  <c r="G340" i="4" a="1"/>
  <c r="G340" i="4"/>
  <c r="G339" i="4" a="1"/>
  <c r="G339" i="4"/>
  <c r="E339" i="4" a="1"/>
  <c r="E339" i="4"/>
  <c r="G338" i="4" a="1"/>
  <c r="G338" i="4"/>
  <c r="E338" i="4" a="1"/>
  <c r="E338" i="4"/>
  <c r="G337" i="4" a="1"/>
  <c r="G337" i="4"/>
  <c r="E337" i="4" a="1"/>
  <c r="E337" i="4"/>
  <c r="G336" i="4" a="1"/>
  <c r="G336" i="4"/>
  <c r="G335" i="4" a="1"/>
  <c r="G335" i="4"/>
  <c r="E335" i="4" a="1"/>
  <c r="E335" i="4"/>
  <c r="G334" i="4" a="1"/>
  <c r="G334" i="4"/>
  <c r="E334" i="4" a="1"/>
  <c r="E334" i="4"/>
  <c r="G333" i="4" a="1"/>
  <c r="G333" i="4"/>
  <c r="E333" i="4" a="1"/>
  <c r="E333" i="4"/>
  <c r="G332" i="4" a="1"/>
  <c r="G332" i="4"/>
  <c r="G331" i="4" a="1"/>
  <c r="G331" i="4"/>
  <c r="E331" i="4" a="1"/>
  <c r="E331" i="4"/>
  <c r="G330" i="4" a="1"/>
  <c r="G330" i="4"/>
  <c r="E330" i="4" a="1"/>
  <c r="E330" i="4"/>
  <c r="G329" i="4" a="1"/>
  <c r="G329" i="4"/>
  <c r="E329" i="4" a="1"/>
  <c r="E329" i="4"/>
  <c r="G328" i="4" a="1"/>
  <c r="G328" i="4"/>
  <c r="G327" i="4" a="1"/>
  <c r="G327" i="4"/>
  <c r="E327" i="4" a="1"/>
  <c r="E327" i="4"/>
  <c r="G326" i="4" a="1"/>
  <c r="G326" i="4"/>
  <c r="E326" i="4" a="1"/>
  <c r="E326" i="4"/>
  <c r="G325" i="4" a="1"/>
  <c r="G325" i="4"/>
  <c r="E325" i="4" a="1"/>
  <c r="E325" i="4"/>
  <c r="G324" i="4" a="1"/>
  <c r="G324" i="4"/>
  <c r="G323" i="4" a="1"/>
  <c r="G323" i="4"/>
  <c r="E323" i="4" a="1"/>
  <c r="E323" i="4"/>
  <c r="G322" i="4" a="1"/>
  <c r="G322" i="4"/>
  <c r="E322" i="4" a="1"/>
  <c r="E322" i="4"/>
  <c r="G321" i="4" a="1"/>
  <c r="G321" i="4"/>
  <c r="E321" i="4" a="1"/>
  <c r="E321" i="4"/>
  <c r="G320" i="4" a="1"/>
  <c r="G320" i="4"/>
  <c r="G319" i="4" a="1"/>
  <c r="G319" i="4"/>
  <c r="E319" i="4" a="1"/>
  <c r="E319" i="4"/>
  <c r="G318" i="4" a="1"/>
  <c r="G318" i="4"/>
  <c r="E318" i="4" a="1"/>
  <c r="E318" i="4"/>
  <c r="G317" i="4" a="1"/>
  <c r="G317" i="4"/>
  <c r="E317" i="4" a="1"/>
  <c r="E317" i="4"/>
  <c r="G316" i="4" a="1"/>
  <c r="G316" i="4"/>
  <c r="G315" i="4" a="1"/>
  <c r="G315" i="4"/>
  <c r="E315" i="4" a="1"/>
  <c r="E315" i="4"/>
  <c r="G314" i="4" a="1"/>
  <c r="G314" i="4"/>
  <c r="E314" i="4" a="1"/>
  <c r="E314" i="4"/>
  <c r="G313" i="4" a="1"/>
  <c r="G313" i="4"/>
  <c r="E313" i="4" a="1"/>
  <c r="E313" i="4"/>
  <c r="G312" i="4" a="1"/>
  <c r="G312" i="4"/>
  <c r="G311" i="4" a="1"/>
  <c r="G311" i="4"/>
  <c r="E311" i="4" a="1"/>
  <c r="E311" i="4"/>
  <c r="G310" i="4" a="1"/>
  <c r="G310" i="4"/>
  <c r="G309" i="4" a="1"/>
  <c r="G309" i="4"/>
  <c r="E309" i="4" a="1"/>
  <c r="E309" i="4"/>
  <c r="G308" i="4" a="1"/>
  <c r="G308" i="4"/>
  <c r="G307" i="4" a="1"/>
  <c r="G307" i="4"/>
  <c r="E307" i="4" a="1"/>
  <c r="E307" i="4"/>
  <c r="G306" i="4" a="1"/>
  <c r="G306" i="4"/>
  <c r="G305" i="4" a="1"/>
  <c r="G305" i="4"/>
  <c r="E305" i="4" a="1"/>
  <c r="E305" i="4"/>
  <c r="G304" i="4" a="1"/>
  <c r="G304" i="4"/>
  <c r="G302" i="4" a="1"/>
  <c r="G302" i="4"/>
  <c r="E302" i="4" a="1"/>
  <c r="E302" i="4"/>
  <c r="G301" i="4" a="1"/>
  <c r="G301" i="4"/>
  <c r="G300" i="4" a="1"/>
  <c r="G300" i="4"/>
  <c r="E300" i="4" a="1"/>
  <c r="E300" i="4"/>
  <c r="G299" i="4" a="1"/>
  <c r="G299" i="4"/>
  <c r="G298" i="4" a="1"/>
  <c r="G298" i="4"/>
  <c r="E298" i="4" a="1"/>
  <c r="E298" i="4"/>
  <c r="G297" i="4" a="1"/>
  <c r="G297" i="4"/>
  <c r="G296" i="4" a="1"/>
  <c r="G296" i="4"/>
  <c r="E296" i="4" a="1"/>
  <c r="E296" i="4"/>
  <c r="G295" i="4" a="1"/>
  <c r="G295" i="4"/>
  <c r="G294" i="4" a="1"/>
  <c r="G294" i="4"/>
  <c r="E294" i="4" a="1"/>
  <c r="E294" i="4"/>
  <c r="G293" i="4" a="1"/>
  <c r="G293" i="4"/>
  <c r="G292" i="4" a="1"/>
  <c r="G292" i="4"/>
  <c r="E292" i="4" a="1"/>
  <c r="E292" i="4"/>
  <c r="G291" i="4" a="1"/>
  <c r="G291" i="4"/>
  <c r="G290" i="4" a="1"/>
  <c r="G290" i="4"/>
  <c r="E290" i="4" a="1"/>
  <c r="E290" i="4"/>
  <c r="G289" i="4" a="1"/>
  <c r="G289" i="4"/>
  <c r="G288" i="4" a="1"/>
  <c r="G288" i="4"/>
  <c r="E288" i="4" a="1"/>
  <c r="E288" i="4"/>
  <c r="G287" i="4" a="1"/>
  <c r="G287" i="4"/>
  <c r="G286" i="4" a="1"/>
  <c r="G286" i="4"/>
  <c r="E286" i="4" a="1"/>
  <c r="E286" i="4"/>
  <c r="G285" i="4" a="1"/>
  <c r="G285" i="4"/>
  <c r="G284" i="4" a="1"/>
  <c r="G284" i="4"/>
  <c r="E284" i="4" a="1"/>
  <c r="E284" i="4"/>
  <c r="G283" i="4" a="1"/>
  <c r="G283" i="4"/>
  <c r="G282" i="4" a="1"/>
  <c r="G282" i="4"/>
  <c r="E282" i="4" a="1"/>
  <c r="E282" i="4"/>
  <c r="G281" i="4" a="1"/>
  <c r="G281" i="4"/>
  <c r="G280" i="4" a="1"/>
  <c r="G280" i="4"/>
  <c r="E280" i="4" a="1"/>
  <c r="E280" i="4"/>
  <c r="G279" i="4" a="1"/>
  <c r="G279" i="4"/>
  <c r="G278" i="4" a="1"/>
  <c r="G278" i="4"/>
  <c r="E278" i="4" a="1"/>
  <c r="E278" i="4"/>
  <c r="G277" i="4" a="1"/>
  <c r="G277" i="4"/>
  <c r="G276" i="4" a="1"/>
  <c r="G276" i="4"/>
  <c r="E276" i="4" a="1"/>
  <c r="E276" i="4"/>
  <c r="G275" i="4" a="1"/>
  <c r="G275" i="4"/>
  <c r="G274" i="4" a="1"/>
  <c r="G274" i="4"/>
  <c r="E274" i="4" a="1"/>
  <c r="E274" i="4"/>
  <c r="G273" i="4" a="1"/>
  <c r="G273" i="4"/>
  <c r="G272" i="4" a="1"/>
  <c r="G272" i="4"/>
  <c r="E272" i="4" a="1"/>
  <c r="E272" i="4"/>
  <c r="G271" i="4" a="1"/>
  <c r="G271" i="4"/>
  <c r="G270" i="4" a="1"/>
  <c r="G270" i="4"/>
  <c r="E270" i="4" a="1"/>
  <c r="E270" i="4"/>
  <c r="G269" i="4" a="1"/>
  <c r="G269" i="4"/>
  <c r="G268" i="4" a="1"/>
  <c r="G268" i="4"/>
  <c r="E268" i="4" a="1"/>
  <c r="E268" i="4"/>
  <c r="G267" i="4" a="1"/>
  <c r="G267" i="4"/>
  <c r="G266" i="4" a="1"/>
  <c r="G266" i="4"/>
  <c r="E266" i="4" a="1"/>
  <c r="E266" i="4"/>
  <c r="G265" i="4" a="1"/>
  <c r="G265" i="4"/>
  <c r="G264" i="4" a="1"/>
  <c r="G264" i="4"/>
  <c r="E264" i="4" a="1"/>
  <c r="E264" i="4"/>
  <c r="G263" i="4" a="1"/>
  <c r="G263" i="4"/>
  <c r="G261" i="4" a="1"/>
  <c r="G261" i="4"/>
  <c r="G260" i="4" a="1"/>
  <c r="G260" i="4"/>
  <c r="E260" i="4" a="1"/>
  <c r="E260" i="4"/>
  <c r="G259" i="4" a="1"/>
  <c r="G259" i="4"/>
  <c r="G258" i="4" a="1"/>
  <c r="G258" i="4"/>
  <c r="E258" i="4" a="1"/>
  <c r="E258" i="4"/>
  <c r="G257" i="4" a="1"/>
  <c r="G257" i="4"/>
  <c r="G256" i="4" a="1"/>
  <c r="G256" i="4"/>
  <c r="E256" i="4" a="1"/>
  <c r="E256" i="4"/>
  <c r="G255" i="4" a="1"/>
  <c r="G255" i="4"/>
  <c r="G254" i="4" a="1"/>
  <c r="G254" i="4"/>
  <c r="E254" i="4" a="1"/>
  <c r="E254" i="4"/>
  <c r="G253" i="4" a="1"/>
  <c r="G253" i="4"/>
  <c r="G252" i="4" a="1"/>
  <c r="G252" i="4"/>
  <c r="E252" i="4" a="1"/>
  <c r="E252" i="4"/>
  <c r="G251" i="4" a="1"/>
  <c r="G251" i="4"/>
  <c r="E251" i="4" a="1"/>
  <c r="E251" i="4"/>
  <c r="G250" i="4" a="1"/>
  <c r="G250" i="4"/>
  <c r="E250" i="4" a="1"/>
  <c r="E250" i="4"/>
  <c r="G249" i="4" a="1"/>
  <c r="G249" i="4"/>
  <c r="G248" i="4" a="1"/>
  <c r="G248" i="4"/>
  <c r="E248" i="4" a="1"/>
  <c r="E248" i="4"/>
  <c r="G247" i="4" a="1"/>
  <c r="G247" i="4"/>
  <c r="E247" i="4" a="1"/>
  <c r="E247" i="4"/>
  <c r="G246" i="4" a="1"/>
  <c r="G246" i="4"/>
  <c r="E246" i="4" a="1"/>
  <c r="E246" i="4"/>
  <c r="G245" i="4" a="1"/>
  <c r="G245" i="4"/>
  <c r="G244" i="4" a="1"/>
  <c r="G244" i="4"/>
  <c r="E244" i="4" a="1"/>
  <c r="E244" i="4"/>
  <c r="G243" i="4" a="1"/>
  <c r="G243" i="4"/>
  <c r="G242" i="4" a="1"/>
  <c r="G242" i="4"/>
  <c r="E242" i="4" a="1"/>
  <c r="E242" i="4"/>
  <c r="G241" i="4" a="1"/>
  <c r="G241" i="4"/>
  <c r="G240" i="4" a="1"/>
  <c r="G240" i="4"/>
  <c r="E240" i="4" a="1"/>
  <c r="E240" i="4"/>
  <c r="G239" i="4" a="1"/>
  <c r="G239" i="4"/>
  <c r="G237" i="4" a="1"/>
  <c r="G237" i="4"/>
  <c r="E237" i="4" a="1"/>
  <c r="E237" i="4"/>
  <c r="G236" i="4" a="1"/>
  <c r="G236" i="4"/>
  <c r="G235" i="4" a="1"/>
  <c r="G235" i="4"/>
  <c r="E235" i="4" a="1"/>
  <c r="E235" i="4"/>
  <c r="G234" i="4" a="1"/>
  <c r="G234" i="4"/>
  <c r="E234" i="4" a="1"/>
  <c r="E234" i="4"/>
  <c r="G233" i="4" a="1"/>
  <c r="G233" i="4"/>
  <c r="E233" i="4" a="1"/>
  <c r="E233" i="4"/>
  <c r="G232" i="4" a="1"/>
  <c r="G232" i="4"/>
  <c r="E232" i="4" a="1"/>
  <c r="E232" i="4"/>
  <c r="G231" i="4" a="1"/>
  <c r="G231" i="4"/>
  <c r="E231" i="4" a="1"/>
  <c r="E231" i="4"/>
  <c r="G230" i="4" a="1"/>
  <c r="G230" i="4"/>
  <c r="G229" i="4" a="1"/>
  <c r="G229" i="4"/>
  <c r="E229" i="4" a="1"/>
  <c r="E229" i="4"/>
  <c r="G228" i="4" a="1"/>
  <c r="G228" i="4"/>
  <c r="G227" i="4" a="1"/>
  <c r="G227" i="4"/>
  <c r="E227" i="4" a="1"/>
  <c r="E227" i="4"/>
  <c r="G226" i="4" a="1"/>
  <c r="G226" i="4"/>
  <c r="G225" i="4" a="1"/>
  <c r="G225" i="4"/>
  <c r="E225" i="4" a="1"/>
  <c r="E225" i="4"/>
  <c r="G224" i="4" a="1"/>
  <c r="G224" i="4"/>
  <c r="G223" i="4" a="1"/>
  <c r="G223" i="4"/>
  <c r="E223" i="4" a="1"/>
  <c r="E223" i="4"/>
  <c r="G222" i="4" a="1"/>
  <c r="G222" i="4"/>
  <c r="G221" i="4" a="1"/>
  <c r="G221" i="4"/>
  <c r="E221" i="4" a="1"/>
  <c r="E221" i="4"/>
  <c r="G220" i="4" a="1"/>
  <c r="G220" i="4"/>
  <c r="G219" i="4" a="1"/>
  <c r="G219" i="4"/>
  <c r="F219" i="4"/>
  <c r="E219" i="4" a="1"/>
  <c r="E219" i="4"/>
  <c r="G218" i="4" a="1"/>
  <c r="G218" i="4"/>
  <c r="F218" i="4"/>
  <c r="E218" i="4" a="1"/>
  <c r="E218" i="4"/>
  <c r="G217" i="4" a="1"/>
  <c r="G217" i="4"/>
  <c r="G216" i="4" a="1"/>
  <c r="G216" i="4"/>
  <c r="E216" i="4" a="1"/>
  <c r="E216" i="4"/>
  <c r="G215" i="4" a="1"/>
  <c r="G215" i="4"/>
  <c r="G213" i="4" a="1"/>
  <c r="G213" i="4"/>
  <c r="G212" i="4" a="1"/>
  <c r="G212" i="4"/>
  <c r="E212" i="4" a="1"/>
  <c r="E212" i="4"/>
  <c r="G211" i="4" a="1"/>
  <c r="G211" i="4"/>
  <c r="G210" i="4" a="1"/>
  <c r="G210" i="4"/>
  <c r="E210" i="4" a="1"/>
  <c r="E210" i="4"/>
  <c r="G209" i="4" a="1"/>
  <c r="G209" i="4"/>
  <c r="E209" i="4" a="1"/>
  <c r="E209" i="4"/>
  <c r="G208" i="4" a="1"/>
  <c r="G208" i="4"/>
  <c r="E208" i="4" a="1"/>
  <c r="E208" i="4"/>
  <c r="G207" i="4" a="1"/>
  <c r="G207" i="4"/>
  <c r="G206" i="4" a="1"/>
  <c r="G206" i="4"/>
  <c r="E206" i="4" a="1"/>
  <c r="E206" i="4"/>
  <c r="G205" i="4" a="1"/>
  <c r="G205" i="4"/>
  <c r="E205" i="4" a="1"/>
  <c r="E205" i="4"/>
  <c r="G204" i="4" a="1"/>
  <c r="G204" i="4"/>
  <c r="E204" i="4" a="1"/>
  <c r="E204" i="4"/>
  <c r="G203" i="4" a="1"/>
  <c r="G203" i="4"/>
  <c r="E203" i="4" a="1"/>
  <c r="E203" i="4"/>
  <c r="G202" i="4" a="1"/>
  <c r="G202" i="4"/>
  <c r="E202" i="4" a="1"/>
  <c r="E202" i="4"/>
  <c r="G201" i="4" a="1"/>
  <c r="G201" i="4"/>
  <c r="G200" i="4" a="1"/>
  <c r="G200" i="4"/>
  <c r="E200" i="4" a="1"/>
  <c r="E200" i="4"/>
  <c r="G199" i="4" a="1"/>
  <c r="G199" i="4"/>
  <c r="G198" i="4" a="1"/>
  <c r="G198" i="4"/>
  <c r="E198" i="4" a="1"/>
  <c r="E198" i="4"/>
  <c r="G197" i="4" a="1"/>
  <c r="G197" i="4"/>
  <c r="E197" i="4" a="1"/>
  <c r="E197" i="4"/>
  <c r="G196" i="4" a="1"/>
  <c r="G196" i="4"/>
  <c r="E196" i="4" a="1"/>
  <c r="E196" i="4"/>
  <c r="G195" i="4" a="1"/>
  <c r="G195" i="4"/>
  <c r="G194" i="4" a="1"/>
  <c r="G194" i="4"/>
  <c r="E194" i="4" a="1"/>
  <c r="E194" i="4"/>
  <c r="G193" i="4" a="1"/>
  <c r="G193" i="4"/>
  <c r="E193" i="4" a="1"/>
  <c r="E193" i="4"/>
  <c r="G192" i="4" a="1"/>
  <c r="G192" i="4"/>
  <c r="E192" i="4" a="1"/>
  <c r="E192" i="4"/>
  <c r="G191" i="4" a="1"/>
  <c r="G191" i="4"/>
  <c r="G190" i="4" a="1"/>
  <c r="G190" i="4"/>
  <c r="E190" i="4" a="1"/>
  <c r="E190" i="4"/>
  <c r="G189" i="4" a="1"/>
  <c r="G189" i="4"/>
  <c r="E189" i="4" a="1"/>
  <c r="E189" i="4"/>
  <c r="G188" i="4" a="1"/>
  <c r="G188" i="4"/>
  <c r="E188" i="4" a="1"/>
  <c r="E188" i="4"/>
  <c r="G187" i="4" a="1"/>
  <c r="G187" i="4"/>
  <c r="G186" i="4" a="1"/>
  <c r="G186" i="4"/>
  <c r="E186" i="4" a="1"/>
  <c r="E186" i="4"/>
  <c r="G185" i="4" a="1"/>
  <c r="G185" i="4"/>
  <c r="E185" i="4" a="1"/>
  <c r="E185" i="4"/>
  <c r="G184" i="4" a="1"/>
  <c r="G184" i="4"/>
  <c r="E184" i="4" a="1"/>
  <c r="E184" i="4"/>
  <c r="G183" i="4" a="1"/>
  <c r="G183" i="4"/>
  <c r="E183" i="4" a="1"/>
  <c r="E183" i="4"/>
  <c r="G182" i="4" a="1"/>
  <c r="G182" i="4"/>
  <c r="G181" i="4" a="1"/>
  <c r="G181" i="4"/>
  <c r="E181" i="4" a="1"/>
  <c r="E181" i="4"/>
  <c r="G180" i="4" a="1"/>
  <c r="G180" i="4"/>
  <c r="E180" i="4" a="1"/>
  <c r="E180" i="4"/>
  <c r="G179" i="4" a="1"/>
  <c r="G179" i="4"/>
  <c r="E179" i="4" a="1"/>
  <c r="E179" i="4"/>
  <c r="G178" i="4" a="1"/>
  <c r="G178" i="4"/>
  <c r="E178" i="4" a="1"/>
  <c r="E178" i="4"/>
  <c r="G177" i="4" a="1"/>
  <c r="G177" i="4"/>
  <c r="E177" i="4" a="1"/>
  <c r="E177" i="4"/>
  <c r="G176" i="4" a="1"/>
  <c r="G176" i="4"/>
  <c r="G175" i="4" a="1"/>
  <c r="G175" i="4"/>
  <c r="E175" i="4" a="1"/>
  <c r="E175" i="4"/>
  <c r="G174" i="4" a="1"/>
  <c r="G174" i="4"/>
  <c r="E174" i="4" a="1"/>
  <c r="E174" i="4"/>
  <c r="G173" i="4" a="1"/>
  <c r="G173" i="4"/>
  <c r="E173" i="4" a="1"/>
  <c r="E173" i="4"/>
  <c r="G172" i="4" a="1"/>
  <c r="G172" i="4"/>
  <c r="E172" i="4" a="1"/>
  <c r="E172" i="4"/>
  <c r="G171" i="4" a="1"/>
  <c r="G171" i="4"/>
  <c r="E171" i="4" a="1"/>
  <c r="E171" i="4"/>
  <c r="G170" i="4" a="1"/>
  <c r="G170" i="4"/>
  <c r="G169" i="4" a="1"/>
  <c r="G169" i="4"/>
  <c r="E169" i="4" a="1"/>
  <c r="E169" i="4"/>
  <c r="G168" i="4" a="1"/>
  <c r="G168" i="4"/>
  <c r="E168" i="4" a="1"/>
  <c r="E168" i="4"/>
  <c r="G167" i="4" a="1"/>
  <c r="G167" i="4"/>
  <c r="E167" i="4" a="1"/>
  <c r="E167" i="4"/>
  <c r="G166" i="4" a="1"/>
  <c r="G166" i="4"/>
  <c r="E166" i="4" a="1"/>
  <c r="E166" i="4"/>
  <c r="G165" i="4" a="1"/>
  <c r="G165" i="4"/>
  <c r="G164" i="4" a="1"/>
  <c r="G164" i="4"/>
  <c r="E164" i="4" a="1"/>
  <c r="E164" i="4"/>
  <c r="G163" i="4" a="1"/>
  <c r="G163" i="4"/>
  <c r="E163" i="4" a="1"/>
  <c r="E163" i="4"/>
  <c r="G162" i="4" a="1"/>
  <c r="G162" i="4"/>
  <c r="E162" i="4" a="1"/>
  <c r="E162" i="4"/>
  <c r="G161" i="4" a="1"/>
  <c r="G161" i="4"/>
  <c r="E161" i="4" a="1"/>
  <c r="E161" i="4"/>
  <c r="G160" i="4" a="1"/>
  <c r="G160" i="4"/>
  <c r="E160" i="4" a="1"/>
  <c r="E160" i="4"/>
  <c r="G159" i="4" a="1"/>
  <c r="G159" i="4"/>
  <c r="G158" i="4" a="1"/>
  <c r="G158" i="4"/>
  <c r="E158" i="4" a="1"/>
  <c r="E158" i="4"/>
  <c r="G157" i="4" a="1"/>
  <c r="G157" i="4"/>
  <c r="E157" i="4" a="1"/>
  <c r="E157" i="4"/>
  <c r="G156" i="4" a="1"/>
  <c r="G156" i="4"/>
  <c r="E156" i="4" a="1"/>
  <c r="E156" i="4"/>
  <c r="G155" i="4" a="1"/>
  <c r="G155" i="4"/>
  <c r="E155" i="4" a="1"/>
  <c r="E155" i="4"/>
  <c r="G154" i="4" a="1"/>
  <c r="G154" i="4"/>
  <c r="E154" i="4" a="1"/>
  <c r="E154" i="4"/>
  <c r="G153" i="4" a="1"/>
  <c r="G153" i="4"/>
  <c r="G151" i="4" a="1"/>
  <c r="G151" i="4"/>
  <c r="E151" i="4" a="1"/>
  <c r="E151" i="4"/>
  <c r="G150" i="4" a="1"/>
  <c r="G150" i="4"/>
  <c r="E150" i="4" a="1"/>
  <c r="E150" i="4"/>
  <c r="G149" i="4" a="1"/>
  <c r="G149" i="4"/>
  <c r="E149" i="4" a="1"/>
  <c r="E149" i="4"/>
  <c r="G148" i="4" a="1"/>
  <c r="G148" i="4"/>
  <c r="E148" i="4" a="1"/>
  <c r="E148" i="4"/>
  <c r="G147" i="4" a="1"/>
  <c r="G147" i="4"/>
  <c r="E147" i="4" a="1"/>
  <c r="E147" i="4"/>
  <c r="G146" i="4" a="1"/>
  <c r="G146" i="4"/>
  <c r="G145" i="4" a="1"/>
  <c r="G145" i="4"/>
  <c r="E145" i="4" a="1"/>
  <c r="E145" i="4"/>
  <c r="G144" i="4" a="1"/>
  <c r="G144" i="4"/>
  <c r="E144" i="4" a="1"/>
  <c r="E144" i="4"/>
  <c r="G143" i="4" a="1"/>
  <c r="G143" i="4"/>
  <c r="E143" i="4" a="1"/>
  <c r="E143" i="4"/>
  <c r="G142" i="4" a="1"/>
  <c r="G142" i="4"/>
  <c r="G141" i="4" a="1"/>
  <c r="G141" i="4"/>
  <c r="E141" i="4" a="1"/>
  <c r="E141" i="4"/>
  <c r="G140" i="4" a="1"/>
  <c r="G140" i="4"/>
  <c r="E140" i="4" a="1"/>
  <c r="E140" i="4"/>
  <c r="G139" i="4" a="1"/>
  <c r="G139" i="4"/>
  <c r="E139" i="4" a="1"/>
  <c r="E139" i="4"/>
  <c r="G138" i="4" a="1"/>
  <c r="G138" i="4"/>
  <c r="E138" i="4" a="1"/>
  <c r="E138" i="4"/>
  <c r="G137" i="4" a="1"/>
  <c r="G137" i="4"/>
  <c r="E137" i="4" a="1"/>
  <c r="E137" i="4"/>
  <c r="G136" i="4" a="1"/>
  <c r="G136" i="4"/>
  <c r="E136" i="4" a="1"/>
  <c r="E136" i="4"/>
  <c r="G135" i="4" a="1"/>
  <c r="G135" i="4"/>
  <c r="E135" i="4" a="1"/>
  <c r="E135" i="4"/>
  <c r="G134" i="4" a="1"/>
  <c r="G134" i="4"/>
  <c r="E134" i="4" a="1"/>
  <c r="E134" i="4"/>
  <c r="G133" i="4" a="1"/>
  <c r="G133" i="4"/>
  <c r="E133" i="4" a="1"/>
  <c r="E133" i="4"/>
  <c r="G132" i="4" a="1"/>
  <c r="G132" i="4"/>
  <c r="E132" i="4" a="1"/>
  <c r="E132" i="4"/>
  <c r="G131" i="4" a="1"/>
  <c r="G131" i="4"/>
  <c r="E131" i="4" a="1"/>
  <c r="E131" i="4"/>
  <c r="G130" i="4" a="1"/>
  <c r="G130" i="4"/>
  <c r="E130" i="4" a="1"/>
  <c r="E130" i="4"/>
  <c r="G129" i="4" a="1"/>
  <c r="G129" i="4"/>
  <c r="E129" i="4" a="1"/>
  <c r="E129" i="4"/>
  <c r="G128" i="4" a="1"/>
  <c r="G128" i="4"/>
  <c r="E128" i="4" a="1"/>
  <c r="E128" i="4"/>
  <c r="G127" i="4" a="1"/>
  <c r="G127" i="4"/>
  <c r="E127" i="4" a="1"/>
  <c r="E127" i="4"/>
  <c r="G126" i="4" a="1"/>
  <c r="G126" i="4"/>
  <c r="E126" i="4" a="1"/>
  <c r="E126" i="4"/>
  <c r="G125" i="4" a="1"/>
  <c r="G125" i="4"/>
  <c r="G124" i="4" a="1"/>
  <c r="G124" i="4"/>
  <c r="E124" i="4" a="1"/>
  <c r="E124" i="4"/>
  <c r="G123" i="4" a="1"/>
  <c r="G123" i="4"/>
  <c r="E123" i="4" a="1"/>
  <c r="E123" i="4"/>
  <c r="G122" i="4" a="1"/>
  <c r="G122" i="4"/>
  <c r="E122" i="4" a="1"/>
  <c r="E122" i="4"/>
  <c r="G121" i="4" a="1"/>
  <c r="G121" i="4"/>
  <c r="E121" i="4" a="1"/>
  <c r="E121" i="4"/>
  <c r="G120" i="4" a="1"/>
  <c r="G120" i="4"/>
  <c r="E120" i="4" a="1"/>
  <c r="E120" i="4"/>
  <c r="G119" i="4" a="1"/>
  <c r="G119" i="4"/>
  <c r="E119" i="4" a="1"/>
  <c r="E119" i="4"/>
  <c r="G118" i="4" a="1"/>
  <c r="G118" i="4"/>
  <c r="E118" i="4" a="1"/>
  <c r="E118" i="4"/>
  <c r="G117" i="4" a="1"/>
  <c r="G117" i="4"/>
  <c r="E117" i="4" a="1"/>
  <c r="E117" i="4"/>
  <c r="G116" i="4" a="1"/>
  <c r="G116" i="4"/>
  <c r="E116" i="4" a="1"/>
  <c r="E116" i="4"/>
  <c r="G115" i="4" a="1"/>
  <c r="G115" i="4"/>
  <c r="E115" i="4" a="1"/>
  <c r="E115" i="4"/>
  <c r="G114" i="4" a="1"/>
  <c r="G114" i="4"/>
  <c r="E114" i="4" a="1"/>
  <c r="E114" i="4"/>
  <c r="G113" i="4" a="1"/>
  <c r="G113" i="4"/>
  <c r="E113" i="4" a="1"/>
  <c r="E113" i="4"/>
  <c r="G112" i="4" a="1"/>
  <c r="G112" i="4"/>
  <c r="E112" i="4" a="1"/>
  <c r="E112" i="4"/>
  <c r="G111" i="4" a="1"/>
  <c r="G111" i="4"/>
  <c r="E111" i="4" a="1"/>
  <c r="E111" i="4"/>
  <c r="G110" i="4" a="1"/>
  <c r="G110" i="4"/>
  <c r="E110" i="4" a="1"/>
  <c r="E110" i="4"/>
  <c r="G109" i="4" a="1"/>
  <c r="G109" i="4"/>
  <c r="E109" i="4" a="1"/>
  <c r="E109" i="4"/>
  <c r="G108" i="4" a="1"/>
  <c r="G108" i="4"/>
  <c r="G107" i="4" a="1"/>
  <c r="G107" i="4"/>
  <c r="E107" i="4" a="1"/>
  <c r="E107" i="4"/>
  <c r="G106" i="4" a="1"/>
  <c r="G106" i="4"/>
  <c r="E106" i="4" a="1"/>
  <c r="E106" i="4"/>
  <c r="G105" i="4" a="1"/>
  <c r="G105" i="4"/>
  <c r="E105" i="4" a="1"/>
  <c r="E105" i="4"/>
  <c r="G104" i="4" a="1"/>
  <c r="G104" i="4"/>
  <c r="E104" i="4" a="1"/>
  <c r="E104" i="4"/>
  <c r="G103" i="4" a="1"/>
  <c r="G103" i="4"/>
  <c r="E103" i="4" a="1"/>
  <c r="E103" i="4"/>
  <c r="G102" i="4" a="1"/>
  <c r="G102" i="4"/>
  <c r="E102" i="4" a="1"/>
  <c r="E102" i="4"/>
  <c r="G101" i="4" a="1"/>
  <c r="G101" i="4"/>
  <c r="E101" i="4" a="1"/>
  <c r="E101" i="4"/>
  <c r="G100" i="4" a="1"/>
  <c r="G100" i="4"/>
  <c r="E100" i="4" a="1"/>
  <c r="E100" i="4"/>
  <c r="G99" i="4" a="1"/>
  <c r="G99" i="4"/>
  <c r="E99" i="4" a="1"/>
  <c r="E99" i="4"/>
  <c r="G98" i="4" a="1"/>
  <c r="G98" i="4"/>
  <c r="G97" i="4" a="1"/>
  <c r="G97" i="4"/>
  <c r="E97" i="4" a="1"/>
  <c r="E97" i="4"/>
  <c r="G96" i="4" a="1"/>
  <c r="G96" i="4"/>
  <c r="E96" i="4" a="1"/>
  <c r="E96" i="4"/>
  <c r="G95" i="4" a="1"/>
  <c r="G95" i="4"/>
  <c r="E95" i="4" a="1"/>
  <c r="E95" i="4"/>
  <c r="G94" i="4" a="1"/>
  <c r="G94" i="4"/>
  <c r="E94" i="4" a="1"/>
  <c r="E94" i="4"/>
  <c r="G93" i="4" a="1"/>
  <c r="G93" i="4"/>
  <c r="E93" i="4" a="1"/>
  <c r="E93" i="4"/>
  <c r="G92" i="4" a="1"/>
  <c r="G92" i="4"/>
  <c r="E92" i="4" a="1"/>
  <c r="E92" i="4"/>
  <c r="G91" i="4" a="1"/>
  <c r="G91" i="4"/>
  <c r="E91" i="4" a="1"/>
  <c r="E91" i="4"/>
  <c r="G90" i="4" a="1"/>
  <c r="G90" i="4"/>
  <c r="E90" i="4" a="1"/>
  <c r="E90" i="4"/>
  <c r="G89" i="4" a="1"/>
  <c r="G89" i="4"/>
  <c r="E89" i="4" a="1"/>
  <c r="E89" i="4"/>
  <c r="G88" i="4" a="1"/>
  <c r="G88" i="4"/>
  <c r="G87" i="4" a="1"/>
  <c r="G87" i="4"/>
  <c r="E87" i="4" a="1"/>
  <c r="E87" i="4"/>
  <c r="G86" i="4" a="1"/>
  <c r="G86" i="4"/>
  <c r="E86" i="4" a="1"/>
  <c r="E86" i="4"/>
  <c r="G85" i="4" a="1"/>
  <c r="G85" i="4"/>
  <c r="E85" i="4" a="1"/>
  <c r="E85" i="4"/>
  <c r="G84" i="4" a="1"/>
  <c r="G84" i="4"/>
  <c r="E84" i="4" a="1"/>
  <c r="E84" i="4"/>
  <c r="G83" i="4" a="1"/>
  <c r="G83" i="4"/>
  <c r="E83" i="4" a="1"/>
  <c r="E83" i="4"/>
  <c r="G82" i="4" a="1"/>
  <c r="G82" i="4"/>
  <c r="E82" i="4" a="1"/>
  <c r="E82" i="4"/>
  <c r="G81" i="4" a="1"/>
  <c r="G81" i="4"/>
  <c r="E81" i="4" a="1"/>
  <c r="E81" i="4"/>
  <c r="G80" i="4" a="1"/>
  <c r="G80" i="4"/>
  <c r="E80" i="4" a="1"/>
  <c r="E80" i="4"/>
  <c r="G79" i="4" a="1"/>
  <c r="G79" i="4"/>
  <c r="E79" i="4" a="1"/>
  <c r="E79" i="4"/>
  <c r="G78" i="4" a="1"/>
  <c r="G78" i="4"/>
  <c r="G77" i="4" a="1"/>
  <c r="G77" i="4"/>
  <c r="E77" i="4" a="1"/>
  <c r="E77" i="4"/>
  <c r="G76" i="4" a="1"/>
  <c r="G76" i="4"/>
  <c r="E76" i="4" a="1"/>
  <c r="E76" i="4"/>
  <c r="G75" i="4" a="1"/>
  <c r="G75" i="4"/>
  <c r="E75" i="4" a="1"/>
  <c r="E75" i="4"/>
  <c r="G74" i="4" a="1"/>
  <c r="G74" i="4"/>
  <c r="E74" i="4" a="1"/>
  <c r="E74" i="4"/>
  <c r="G73" i="4" a="1"/>
  <c r="G73" i="4"/>
  <c r="E73" i="4" a="1"/>
  <c r="E73" i="4"/>
  <c r="G72" i="4" a="1"/>
  <c r="G72" i="4"/>
  <c r="E72" i="4" a="1"/>
  <c r="E72" i="4"/>
  <c r="G71" i="4" a="1"/>
  <c r="G71" i="4"/>
  <c r="E71" i="4" a="1"/>
  <c r="E71" i="4"/>
  <c r="G70" i="4" a="1"/>
  <c r="G70" i="4"/>
  <c r="E70" i="4" a="1"/>
  <c r="E70" i="4"/>
  <c r="G69" i="4" a="1"/>
  <c r="G69" i="4"/>
  <c r="E69" i="4" a="1"/>
  <c r="E69" i="4"/>
  <c r="G68" i="4" a="1"/>
  <c r="G68" i="4"/>
  <c r="G67" i="4" a="1"/>
  <c r="G67" i="4"/>
  <c r="E67" i="4" a="1"/>
  <c r="E67" i="4"/>
  <c r="G66" i="4" a="1"/>
  <c r="G66" i="4"/>
  <c r="E66" i="4" a="1"/>
  <c r="E66" i="4"/>
  <c r="G65" i="4" a="1"/>
  <c r="G65" i="4"/>
  <c r="E65" i="4" a="1"/>
  <c r="E65" i="4"/>
  <c r="G64" i="4" a="1"/>
  <c r="G64" i="4"/>
  <c r="E64" i="4" a="1"/>
  <c r="E64" i="4"/>
  <c r="G63" i="4" a="1"/>
  <c r="G63" i="4"/>
  <c r="E63" i="4" a="1"/>
  <c r="E63" i="4"/>
  <c r="G62" i="4" a="1"/>
  <c r="G62" i="4"/>
  <c r="E62" i="4" a="1"/>
  <c r="E62" i="4"/>
  <c r="G61" i="4" a="1"/>
  <c r="G61" i="4"/>
  <c r="E61" i="4" a="1"/>
  <c r="E61" i="4"/>
  <c r="G60" i="4" a="1"/>
  <c r="G60" i="4"/>
  <c r="E60" i="4" a="1"/>
  <c r="E60" i="4"/>
  <c r="G59" i="4" a="1"/>
  <c r="G59" i="4"/>
  <c r="E59" i="4" a="1"/>
  <c r="E59" i="4"/>
  <c r="G58" i="4" a="1"/>
  <c r="G58" i="4"/>
  <c r="G57" i="4" a="1"/>
  <c r="G57" i="4"/>
  <c r="E57" i="4" a="1"/>
  <c r="E57" i="4"/>
  <c r="G56" i="4" a="1"/>
  <c r="G56" i="4"/>
  <c r="E56" i="4" a="1"/>
  <c r="E56" i="4"/>
  <c r="G55" i="4" a="1"/>
  <c r="G55" i="4"/>
  <c r="E55" i="4" a="1"/>
  <c r="E55" i="4"/>
  <c r="G54" i="4" a="1"/>
  <c r="G54" i="4"/>
  <c r="E54" i="4" a="1"/>
  <c r="E54" i="4"/>
  <c r="G53" i="4" a="1"/>
  <c r="G53" i="4"/>
  <c r="E53" i="4" a="1"/>
  <c r="E53" i="4"/>
  <c r="G52" i="4" a="1"/>
  <c r="G52" i="4"/>
  <c r="E52" i="4" a="1"/>
  <c r="E52" i="4"/>
  <c r="G51" i="4" a="1"/>
  <c r="G51" i="4"/>
  <c r="E51" i="4" a="1"/>
  <c r="E51" i="4"/>
  <c r="G50" i="4" a="1"/>
  <c r="G50" i="4"/>
  <c r="E50" i="4" a="1"/>
  <c r="E50" i="4"/>
  <c r="G49" i="4" a="1"/>
  <c r="G49" i="4"/>
  <c r="E49" i="4" a="1"/>
  <c r="E49" i="4"/>
  <c r="G48" i="4" a="1"/>
  <c r="G48" i="4"/>
  <c r="G47" i="4" a="1"/>
  <c r="G47" i="4"/>
  <c r="E47" i="4" a="1"/>
  <c r="E47" i="4"/>
  <c r="G46" i="4" a="1"/>
  <c r="G46" i="4"/>
  <c r="E46" i="4" a="1"/>
  <c r="E46" i="4"/>
  <c r="G45" i="4" a="1"/>
  <c r="G45" i="4"/>
  <c r="E45" i="4" a="1"/>
  <c r="E45" i="4"/>
  <c r="G44" i="4" a="1"/>
  <c r="G44" i="4"/>
  <c r="E44" i="4" a="1"/>
  <c r="E44" i="4"/>
  <c r="G43" i="4" a="1"/>
  <c r="G43" i="4"/>
  <c r="E43" i="4" a="1"/>
  <c r="E43" i="4"/>
  <c r="G42" i="4" a="1"/>
  <c r="G42" i="4"/>
  <c r="E42" i="4" a="1"/>
  <c r="E42" i="4"/>
  <c r="G41" i="4" a="1"/>
  <c r="G41" i="4"/>
  <c r="E41" i="4" a="1"/>
  <c r="E41" i="4"/>
  <c r="G40" i="4" a="1"/>
  <c r="G40" i="4"/>
  <c r="E40" i="4" a="1"/>
  <c r="E40" i="4"/>
  <c r="G39" i="4" a="1"/>
  <c r="G39" i="4"/>
  <c r="E39" i="4" a="1"/>
  <c r="E39" i="4"/>
  <c r="G38" i="4" a="1"/>
  <c r="G38" i="4"/>
  <c r="G37" i="4" a="1"/>
  <c r="G37" i="4"/>
  <c r="E37" i="4" a="1"/>
  <c r="E37" i="4"/>
  <c r="G36" i="4" a="1"/>
  <c r="G36" i="4"/>
  <c r="E36" i="4" a="1"/>
  <c r="E36" i="4"/>
  <c r="G35" i="4" a="1"/>
  <c r="G35" i="4"/>
  <c r="E35" i="4" a="1"/>
  <c r="E35" i="4"/>
  <c r="G34" i="4" a="1"/>
  <c r="G34" i="4"/>
  <c r="E34" i="4" a="1"/>
  <c r="E34" i="4"/>
  <c r="G33" i="4" a="1"/>
  <c r="G33" i="4"/>
  <c r="E33" i="4" a="1"/>
  <c r="E33" i="4"/>
  <c r="G32" i="4" a="1"/>
  <c r="G32" i="4"/>
  <c r="E32" i="4" a="1"/>
  <c r="E32" i="4"/>
  <c r="G31" i="4" a="1"/>
  <c r="G31" i="4"/>
  <c r="E31" i="4" a="1"/>
  <c r="E31" i="4"/>
  <c r="G30" i="4" a="1"/>
  <c r="G30" i="4"/>
  <c r="E30" i="4" a="1"/>
  <c r="E30" i="4"/>
  <c r="G29" i="4" a="1"/>
  <c r="G29" i="4"/>
  <c r="E29" i="4" a="1"/>
  <c r="E29" i="4"/>
  <c r="G28" i="4" a="1"/>
  <c r="G28" i="4"/>
  <c r="G27" i="4" a="1"/>
  <c r="G27" i="4"/>
  <c r="E27" i="4" a="1"/>
  <c r="E27" i="4"/>
  <c r="G26" i="4" a="1"/>
  <c r="G26" i="4"/>
  <c r="E26" i="4" a="1"/>
  <c r="E26" i="4"/>
  <c r="G25" i="4" a="1"/>
  <c r="G25" i="4"/>
  <c r="E25" i="4" a="1"/>
  <c r="E25" i="4"/>
  <c r="G24" i="4" a="1"/>
  <c r="G24" i="4"/>
  <c r="E24" i="4" a="1"/>
  <c r="E24" i="4"/>
  <c r="G23" i="4" a="1"/>
  <c r="G23" i="4"/>
  <c r="E23" i="4" a="1"/>
  <c r="E23" i="4"/>
  <c r="G22" i="4" a="1"/>
  <c r="G22" i="4"/>
  <c r="E22" i="4" a="1"/>
  <c r="E22" i="4"/>
  <c r="G21" i="4" a="1"/>
  <c r="G21" i="4"/>
  <c r="E21" i="4" a="1"/>
  <c r="E21" i="4"/>
  <c r="G20" i="4" a="1"/>
  <c r="G20" i="4"/>
  <c r="G19" i="4" a="1"/>
  <c r="G19" i="4"/>
  <c r="E19" i="4" a="1"/>
  <c r="E19" i="4"/>
  <c r="G18" i="4" a="1"/>
  <c r="G18" i="4"/>
  <c r="E18" i="4" a="1"/>
  <c r="E18" i="4"/>
  <c r="G17" i="4" a="1"/>
  <c r="G17" i="4"/>
  <c r="E17" i="4" a="1"/>
  <c r="E17" i="4"/>
  <c r="G16" i="4" a="1"/>
  <c r="G16" i="4"/>
  <c r="E16" i="4" a="1"/>
  <c r="E16" i="4"/>
  <c r="G15" i="4" a="1"/>
  <c r="G15" i="4"/>
  <c r="E15" i="4" a="1"/>
  <c r="E15" i="4"/>
  <c r="G14" i="4" a="1"/>
  <c r="G14" i="4"/>
  <c r="E14" i="4" a="1"/>
  <c r="E14" i="4"/>
  <c r="G13" i="4" a="1"/>
  <c r="G13" i="4"/>
  <c r="E13" i="4" a="1"/>
  <c r="E13" i="4"/>
  <c r="G12" i="4" a="1"/>
  <c r="G12" i="4"/>
  <c r="G11" i="4" a="1"/>
  <c r="G11" i="4"/>
  <c r="E11" i="4" a="1"/>
  <c r="E11" i="4"/>
  <c r="G10" i="4" a="1"/>
  <c r="G10" i="4"/>
  <c r="E10" i="4" a="1"/>
  <c r="E10" i="4"/>
  <c r="G9" i="4" a="1"/>
  <c r="G9" i="4"/>
  <c r="E9" i="4" a="1"/>
  <c r="E9" i="4"/>
  <c r="G8" i="4" a="1"/>
  <c r="G8" i="4"/>
  <c r="E8" i="4" a="1"/>
  <c r="E8" i="4"/>
  <c r="G7" i="4" a="1"/>
  <c r="G7" i="4"/>
  <c r="E7" i="4" a="1"/>
  <c r="E7" i="4"/>
  <c r="G6" i="4" a="1"/>
  <c r="G6" i="4"/>
  <c r="E6" i="4" a="1"/>
  <c r="E6" i="4"/>
  <c r="G5" i="4" a="1"/>
  <c r="G5" i="4"/>
  <c r="E5" i="4" a="1"/>
  <c r="E5" i="4"/>
  <c r="G4" i="4" a="1"/>
  <c r="G4" i="4"/>
  <c r="G2" i="4" a="1"/>
  <c r="G2" i="4"/>
  <c r="G186" i="104"/>
  <c r="G185" i="104"/>
  <c r="G184" i="104"/>
  <c r="G183" i="104"/>
  <c r="H181" i="104"/>
  <c r="H180" i="104"/>
  <c r="H179" i="104"/>
  <c r="H178" i="104"/>
  <c r="H177" i="104"/>
  <c r="H176" i="104"/>
  <c r="H175" i="104"/>
  <c r="H174" i="104"/>
  <c r="H173" i="104"/>
  <c r="H172" i="104"/>
  <c r="H171" i="104"/>
  <c r="H170" i="104"/>
  <c r="H169" i="104"/>
  <c r="H168" i="104"/>
  <c r="H167" i="104"/>
  <c r="H166" i="104"/>
  <c r="H165" i="104"/>
  <c r="H164" i="104"/>
  <c r="H163" i="104"/>
  <c r="H162" i="104"/>
  <c r="H161" i="104"/>
  <c r="H160" i="104"/>
  <c r="H159" i="104"/>
  <c r="H158" i="104"/>
  <c r="H157" i="104"/>
  <c r="H156" i="104"/>
  <c r="H155" i="104"/>
  <c r="H154" i="104"/>
  <c r="H153" i="104"/>
  <c r="H152" i="104"/>
  <c r="H151" i="104"/>
  <c r="H150" i="104"/>
  <c r="H149" i="104"/>
  <c r="H148" i="104"/>
  <c r="H147" i="104"/>
  <c r="H146" i="104"/>
  <c r="H145" i="104"/>
  <c r="H144" i="104"/>
  <c r="H143" i="104"/>
  <c r="H142" i="104"/>
  <c r="H141" i="104"/>
  <c r="H140" i="104"/>
  <c r="H139" i="104"/>
  <c r="H138" i="104"/>
  <c r="H137" i="104"/>
  <c r="H136" i="104"/>
  <c r="H135" i="104"/>
  <c r="H134" i="104"/>
  <c r="H133" i="104"/>
  <c r="H132" i="104"/>
  <c r="H131" i="104"/>
  <c r="H130" i="104"/>
  <c r="H129" i="104"/>
  <c r="H128" i="104"/>
  <c r="H127" i="104"/>
  <c r="H126" i="104"/>
  <c r="H125" i="104"/>
  <c r="H124" i="104"/>
  <c r="H123" i="104"/>
  <c r="H122" i="104"/>
  <c r="H121" i="104"/>
  <c r="H120" i="104"/>
  <c r="H119" i="104"/>
  <c r="H118" i="104"/>
  <c r="H117" i="104"/>
  <c r="H116" i="104"/>
  <c r="H115" i="104"/>
  <c r="H114" i="104"/>
  <c r="H113" i="104"/>
  <c r="H112" i="104"/>
  <c r="H111" i="104"/>
  <c r="H110" i="104"/>
  <c r="H109" i="104"/>
  <c r="H108" i="104"/>
  <c r="H107" i="104"/>
  <c r="H106" i="104"/>
  <c r="H105" i="104"/>
  <c r="H104" i="104"/>
  <c r="H103" i="104"/>
  <c r="H102" i="104"/>
  <c r="H101" i="104"/>
  <c r="H100" i="104"/>
  <c r="H99" i="104"/>
  <c r="H98" i="104"/>
  <c r="H97" i="104"/>
  <c r="H96" i="104"/>
  <c r="H95" i="104"/>
  <c r="H94" i="104"/>
  <c r="H93" i="104"/>
  <c r="H92" i="104"/>
  <c r="H91" i="104"/>
  <c r="H90" i="104"/>
  <c r="H89" i="104"/>
  <c r="H88" i="104"/>
  <c r="H87" i="104"/>
  <c r="H86" i="104"/>
  <c r="H85" i="104"/>
  <c r="H84" i="104"/>
  <c r="H83" i="104"/>
  <c r="H82" i="104"/>
  <c r="H81" i="104"/>
  <c r="H80" i="104"/>
  <c r="H79" i="104"/>
  <c r="H78" i="104"/>
  <c r="H77" i="104"/>
  <c r="H76" i="104"/>
  <c r="H75" i="104"/>
  <c r="H74" i="104"/>
  <c r="H73" i="104"/>
  <c r="H72" i="104"/>
  <c r="H71" i="104"/>
  <c r="H70" i="104"/>
  <c r="H69" i="104"/>
  <c r="H68" i="104"/>
  <c r="H67" i="104"/>
  <c r="H66" i="104"/>
  <c r="H65" i="104"/>
  <c r="H64" i="104"/>
  <c r="H63" i="104"/>
  <c r="H62" i="104"/>
  <c r="H61" i="104"/>
  <c r="H60" i="104"/>
  <c r="H59" i="104"/>
  <c r="H58" i="104"/>
  <c r="H57" i="104"/>
  <c r="H56" i="104"/>
  <c r="H55" i="104"/>
  <c r="H54" i="104"/>
  <c r="H53" i="104"/>
  <c r="H52" i="104"/>
  <c r="H51" i="104"/>
  <c r="H50" i="104"/>
  <c r="H49" i="104"/>
  <c r="H48" i="104"/>
  <c r="H47" i="104"/>
  <c r="H46" i="104"/>
  <c r="H45" i="104"/>
  <c r="H44" i="104"/>
  <c r="H43" i="104"/>
  <c r="H42" i="104"/>
  <c r="H41" i="104"/>
  <c r="H40" i="104"/>
  <c r="H39" i="104"/>
  <c r="H38" i="104"/>
  <c r="H37" i="104"/>
  <c r="H36" i="104"/>
  <c r="H35" i="104"/>
  <c r="H34" i="104"/>
  <c r="H33" i="104"/>
  <c r="H32" i="104"/>
  <c r="H31" i="104"/>
  <c r="H30" i="104"/>
  <c r="H29" i="104"/>
  <c r="H28" i="104"/>
  <c r="H27" i="104"/>
  <c r="H26" i="104"/>
  <c r="H25" i="104"/>
  <c r="H24" i="104"/>
  <c r="H23" i="104"/>
  <c r="H22" i="104"/>
  <c r="H21" i="104"/>
  <c r="H20" i="104"/>
  <c r="H19" i="104"/>
  <c r="H18" i="104"/>
  <c r="H17" i="104"/>
  <c r="H16" i="104"/>
  <c r="H15" i="104"/>
  <c r="H14" i="104"/>
  <c r="H13" i="104"/>
  <c r="H12" i="104"/>
  <c r="H11" i="104"/>
  <c r="H10" i="104"/>
  <c r="H9" i="104"/>
  <c r="H8" i="104"/>
  <c r="I61" i="128"/>
  <c r="I60" i="128"/>
  <c r="I59" i="128"/>
  <c r="I58" i="128"/>
  <c r="I57" i="128"/>
  <c r="I56" i="128"/>
  <c r="I55" i="128"/>
  <c r="I54" i="128"/>
  <c r="I53" i="128"/>
  <c r="I52" i="128"/>
  <c r="I51" i="128"/>
  <c r="I50" i="128"/>
  <c r="I49" i="128"/>
  <c r="I48" i="128"/>
  <c r="I47" i="128"/>
  <c r="I46" i="128"/>
  <c r="I45" i="128"/>
  <c r="I44" i="128"/>
  <c r="I43" i="128"/>
  <c r="I42" i="128"/>
  <c r="I41" i="128"/>
  <c r="I40" i="128"/>
  <c r="I39" i="128"/>
  <c r="I38" i="128"/>
  <c r="I37" i="128"/>
  <c r="I36" i="128"/>
  <c r="I35" i="128"/>
  <c r="I34" i="128"/>
  <c r="I33" i="128"/>
  <c r="I32" i="128"/>
  <c r="I31" i="128"/>
  <c r="I30" i="128"/>
  <c r="I29" i="128"/>
  <c r="I28" i="128"/>
  <c r="I27" i="128"/>
  <c r="I26" i="128"/>
  <c r="I25" i="128"/>
  <c r="I24" i="128"/>
  <c r="I23" i="128"/>
  <c r="I22" i="128"/>
  <c r="I21" i="128"/>
  <c r="I20" i="128"/>
  <c r="I19" i="128"/>
  <c r="I18" i="128"/>
  <c r="I17" i="128"/>
  <c r="I16" i="128"/>
  <c r="I15" i="128"/>
  <c r="I14" i="128"/>
  <c r="O132" i="127"/>
  <c r="O128" i="127"/>
  <c r="O126" i="127"/>
  <c r="O124" i="127"/>
  <c r="O122" i="127"/>
  <c r="O120" i="127"/>
  <c r="O118" i="127"/>
  <c r="O113" i="127"/>
  <c r="O110" i="127"/>
  <c r="O107" i="127"/>
  <c r="O105" i="127"/>
  <c r="O100" i="127"/>
  <c r="O97" i="127"/>
  <c r="O93" i="127"/>
  <c r="O88" i="127"/>
  <c r="O84" i="127"/>
  <c r="O80" i="127"/>
  <c r="O75" i="127"/>
  <c r="O73" i="127"/>
  <c r="O71" i="127"/>
  <c r="O68" i="127"/>
  <c r="O65" i="127"/>
  <c r="O63" i="127"/>
  <c r="O60" i="127"/>
  <c r="O57" i="127"/>
  <c r="O54" i="127"/>
  <c r="O49" i="127"/>
  <c r="O47" i="127"/>
  <c r="O45" i="127"/>
  <c r="O43" i="127"/>
  <c r="O40" i="127"/>
  <c r="O38" i="127"/>
  <c r="O34" i="127"/>
  <c r="O32" i="127"/>
  <c r="O23" i="127"/>
  <c r="O20" i="127"/>
  <c r="O17" i="127"/>
  <c r="O14" i="127"/>
  <c r="F92" i="44"/>
  <c r="E92" i="44"/>
  <c r="D92" i="44"/>
  <c r="G83" i="44"/>
  <c r="F83" i="44"/>
  <c r="E83" i="44"/>
  <c r="D83" i="44"/>
  <c r="G82" i="44"/>
  <c r="G81" i="44"/>
  <c r="G80" i="44"/>
  <c r="G79" i="44"/>
  <c r="G78" i="44"/>
  <c r="G77" i="44"/>
  <c r="E72" i="44"/>
  <c r="C72" i="44"/>
  <c r="E71" i="44"/>
  <c r="C71" i="44"/>
  <c r="E70" i="44"/>
  <c r="C70" i="44"/>
  <c r="E69" i="44"/>
  <c r="C69" i="44"/>
  <c r="E68" i="44"/>
  <c r="C68" i="44"/>
  <c r="E67" i="44"/>
  <c r="C67" i="44"/>
  <c r="E66" i="44"/>
  <c r="C66" i="44"/>
  <c r="E65" i="44"/>
  <c r="C65" i="44"/>
  <c r="E64" i="44"/>
  <c r="C64" i="44"/>
  <c r="E63" i="44"/>
  <c r="C63" i="44"/>
  <c r="E62" i="44"/>
  <c r="C62" i="44"/>
  <c r="E61" i="44"/>
  <c r="C61" i="44"/>
  <c r="E60" i="44"/>
  <c r="C60" i="44"/>
  <c r="E59" i="44"/>
  <c r="C59" i="44"/>
  <c r="E58" i="44"/>
  <c r="C58" i="44"/>
  <c r="E57" i="44"/>
  <c r="C57" i="44"/>
  <c r="E56" i="44"/>
  <c r="C56" i="44"/>
  <c r="E55" i="44"/>
  <c r="C55" i="44"/>
  <c r="E54" i="44"/>
  <c r="C54" i="44"/>
  <c r="E53" i="44"/>
  <c r="C53" i="44"/>
  <c r="E52" i="44"/>
  <c r="C52" i="44"/>
  <c r="E51" i="44"/>
  <c r="C51" i="44"/>
  <c r="E50" i="44"/>
  <c r="C50" i="44"/>
  <c r="E49" i="44"/>
  <c r="C49" i="44"/>
  <c r="E48" i="44"/>
  <c r="C48" i="44"/>
  <c r="E47" i="44"/>
  <c r="C47" i="44"/>
  <c r="E46" i="44"/>
  <c r="C46" i="44"/>
  <c r="E45" i="44"/>
  <c r="C45" i="44"/>
  <c r="E44" i="44"/>
  <c r="C44" i="44"/>
  <c r="E43" i="44"/>
  <c r="C43" i="44"/>
  <c r="E42" i="44"/>
  <c r="C42" i="44"/>
  <c r="E41" i="44"/>
  <c r="C41" i="44"/>
  <c r="E40" i="44"/>
  <c r="C40" i="44"/>
  <c r="E39" i="44"/>
  <c r="C39" i="44"/>
  <c r="E38" i="44"/>
  <c r="D38" i="44" a="1"/>
  <c r="D38" i="44"/>
  <c r="C38" i="44"/>
  <c r="G29" i="44"/>
  <c r="G28" i="44"/>
  <c r="F16" i="44"/>
  <c r="C16" i="44"/>
  <c r="C14" i="44"/>
  <c r="F12" i="44"/>
  <c r="C12" i="44"/>
  <c r="C10" i="44"/>
  <c r="D67" i="79"/>
  <c r="B67" i="79"/>
  <c r="D66" i="79"/>
  <c r="D61" i="79"/>
  <c r="B61" i="79"/>
  <c r="D59" i="79"/>
  <c r="D53" i="79"/>
  <c r="B53" i="79"/>
  <c r="D51" i="79"/>
  <c r="K48" i="79"/>
  <c r="K47" i="79"/>
  <c r="K46" i="79"/>
  <c r="D46" i="79"/>
  <c r="B46" i="79"/>
  <c r="K45" i="79"/>
  <c r="D45" i="79"/>
  <c r="K44" i="79"/>
  <c r="K43" i="79"/>
  <c r="K42" i="79"/>
  <c r="K41" i="79"/>
  <c r="K40" i="79"/>
  <c r="D40" i="79"/>
  <c r="K39" i="79"/>
  <c r="D39" i="79"/>
  <c r="K38" i="79"/>
  <c r="K37" i="79"/>
  <c r="D37" i="79"/>
  <c r="K36" i="79"/>
  <c r="D36" i="79"/>
  <c r="K35" i="79"/>
  <c r="D35" i="79"/>
  <c r="K34" i="79"/>
  <c r="K33" i="79"/>
  <c r="K32" i="79"/>
  <c r="D32" i="79"/>
  <c r="K31" i="79"/>
  <c r="D31" i="79"/>
  <c r="K30" i="79"/>
  <c r="K29" i="79"/>
  <c r="K28" i="79"/>
  <c r="K27" i="79"/>
  <c r="K26" i="79"/>
  <c r="D26" i="79"/>
  <c r="K25" i="79"/>
  <c r="D25" i="79"/>
  <c r="K24" i="79"/>
  <c r="D24" i="79"/>
  <c r="K23" i="79"/>
  <c r="K22" i="79"/>
  <c r="K21" i="79"/>
  <c r="K20" i="79"/>
  <c r="K19" i="79"/>
  <c r="D19" i="79"/>
  <c r="K18" i="79"/>
  <c r="D18" i="79"/>
  <c r="K17" i="79"/>
  <c r="D17" i="79"/>
  <c r="K16" i="79"/>
  <c r="K15" i="79"/>
  <c r="K14" i="79"/>
  <c r="K13" i="79"/>
  <c r="D13" i="79"/>
  <c r="K12" i="79"/>
  <c r="D12" i="79"/>
  <c r="K11" i="79"/>
  <c r="D11" i="79"/>
  <c r="K10" i="79"/>
  <c r="D10" i="79"/>
  <c r="K9" i="79"/>
  <c r="D9" i="79"/>
  <c r="K8" i="79"/>
  <c r="D8" i="79"/>
  <c r="K7" i="79"/>
  <c r="K6" i="79"/>
  <c r="K5" i="79"/>
  <c r="B3" i="79"/>
  <c r="B2" i="79"/>
  <c r="B1" i="7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<sst xmlns="http://schemas.openxmlformats.org/spreadsheetml/2006/main" count="54410" uniqueCount="8167">
  <si>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</si>
  <si>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</si>
  <si>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</si>
  <si>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</si>
  <si>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</si>
  <si>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</si>
  <si>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</si>
  <si>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</si>
  <si>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</si>
  <si>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</si>
  <si>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</si>
  <si>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</si>
  <si>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</si>
  <si>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</si>
  <si>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</si>
  <si>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</si>
  <si>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</si>
  <si>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</si>
  <si>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</si>
  <si>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</si>
  <si>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</si>
  <si>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</si>
  <si>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</si>
  <si>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</si>
  <si>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</si>
  <si>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</si>
  <si>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</si>
  <si>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</si>
  <si>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</si>
  <si>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</si>
  <si>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</si>
  <si>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</si>
  <si>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</si>
  <si>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</si>
  <si>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</si>
  <si>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</si>
  <si>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</si>
  <si>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</si>
  <si>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</si>
  <si>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</si>
  <si>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</si>
  <si>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</si>
  <si>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</si>
  <si>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</si>
  <si>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</si>
  <si>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</si>
  <si>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</si>
  <si>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</si>
  <si>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</si>
  <si>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</si>
  <si>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</si>
  <si>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</si>
  <si>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</si>
  <si>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</si>
  <si>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</si>
  <si>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</si>
  <si>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</si>
  <si>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</si>
  <si>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</si>
  <si>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</si>
  <si>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</si>
  <si>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</si>
  <si>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</si>
  <si>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</si>
  <si>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</si>
  <si>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</si>
  <si>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</si>
  <si>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</si>
  <si>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</si>
  <si>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</si>
  <si>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</si>
  <si>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</si>
  <si>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</si>
  <si>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</si>
  <si>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</si>
  <si>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</si>
  <si>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</si>
  <si>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</si>
  <si>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</si>
  <si>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</si>
  <si>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</si>
  <si>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</si>
  <si>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</si>
  <si>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</si>
  <si>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</si>
  <si>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</si>
  <si>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</si>
  <si>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</si>
  <si>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</si>
  <si>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</si>
  <si>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</si>
  <si>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</si>
  <si>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</si>
  <si>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</si>
  <si>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</si>
  <si>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</si>
  <si>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</si>
  <si>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</si>
  <si>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</si>
  <si>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</si>
  <si>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</si>
  <si>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</si>
  <si>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</si>
  <si>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</si>
  <si>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</si>
  <si>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</si>
  <si>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</si>
  <si>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</si>
  <si>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</si>
  <si>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</si>
  <si>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</si>
  <si>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</si>
  <si>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</si>
  <si>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</si>
  <si>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</si>
  <si>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</si>
  <si>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</si>
  <si>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</si>
  <si>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</si>
  <si>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</si>
  <si>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</si>
  <si>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</si>
  <si>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</si>
  <si>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</si>
  <si>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</si>
  <si>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</si>
  <si>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</si>
  <si>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</si>
  <si>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</si>
  <si>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</si>
  <si>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</si>
  <si>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</si>
  <si>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</si>
  <si>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</si>
  <si>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</si>
  <si>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</si>
  <si>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</si>
  <si>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</si>
  <si>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</si>
  <si>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</si>
  <si>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</si>
  <si>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</si>
  <si>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</si>
  <si>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</si>
  <si>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</si>
  <si>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</si>
  <si>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</si>
  <si>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</si>
  <si>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</si>
  <si>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</si>
  <si>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</si>
  <si>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</si>
  <si>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</si>
  <si>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</si>
  <si>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</si>
  <si>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</si>
  <si>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</si>
  <si>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</si>
  <si>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</si>
  <si>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</si>
  <si>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</si>
  <si>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</si>
  <si>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</si>
  <si>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</si>
  <si>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</si>
  <si>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</si>
  <si>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</si>
  <si>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</si>
  <si>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</si>
  <si>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</si>
  <si>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</si>
  <si>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</si>
  <si>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</si>
  <si>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</si>
  <si>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</si>
  <si>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</si>
  <si>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</si>
  <si>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</si>
  <si>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</si>
  <si>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</si>
  <si>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</si>
  <si>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</si>
  <si>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</si>
  <si>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</si>
  <si>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</si>
  <si>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</si>
  <si>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</si>
  <si>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</si>
  <si>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</si>
  <si>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</si>
  <si>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</si>
  <si>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</si>
  <si>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</si>
  <si>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</si>
  <si>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</si>
  <si>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</si>
  <si>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</si>
  <si>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</si>
  <si>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</si>
  <si>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</si>
  <si>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</si>
  <si>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</si>
  <si>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</si>
  <si>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</si>
  <si>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</si>
  <si>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</si>
  <si>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</si>
  <si>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</si>
  <si>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</si>
  <si>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</si>
  <si>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</si>
  <si>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</si>
  <si>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</si>
  <si>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</si>
  <si>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</si>
  <si>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</si>
  <si>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</si>
  <si>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</si>
  <si>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</si>
  <si>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</si>
  <si>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</si>
  <si>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</si>
  <si>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</si>
  <si>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</si>
  <si>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</si>
  <si>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</si>
  <si>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</si>
  <si>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</si>
  <si>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</si>
  <si>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</si>
  <si>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</si>
  <si>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</si>
  <si>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</si>
  <si>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</si>
  <si>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</si>
  <si>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</si>
  <si>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</si>
  <si>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</si>
  <si>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</si>
  <si>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</si>
  <si>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</si>
  <si>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</si>
  <si>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</si>
  <si>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</si>
  <si>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</si>
  <si>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</si>
  <si>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</si>
  <si>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</si>
  <si>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</si>
  <si>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</si>
  <si>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</si>
  <si>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</si>
  <si>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</si>
  <si>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</si>
  <si>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</si>
  <si>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</si>
  <si>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</si>
  <si>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</si>
  <si>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</si>
  <si>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</si>
  <si>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</si>
  <si>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</si>
  <si>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</si>
  <si>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</si>
  <si>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</si>
  <si>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</si>
  <si>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</si>
  <si>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</si>
  <si>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</si>
  <si>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</si>
  <si>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</si>
  <si>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</si>
  <si>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</si>
  <si>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</si>
  <si>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</si>
  <si>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</si>
  <si>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</si>
  <si>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</si>
  <si>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</si>
  <si>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</si>
  <si>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</si>
  <si>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</si>
  <si>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</si>
  <si>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</si>
  <si>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</si>
  <si>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</si>
  <si>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</si>
  <si>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</si>
  <si>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</si>
  <si>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</si>
  <si>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</si>
  <si>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</si>
  <si>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</si>
  <si>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</si>
  <si>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</si>
  <si>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</si>
  <si>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</si>
  <si>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</si>
  <si>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</si>
  <si>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</si>
  <si>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</si>
  <si>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</si>
  <si>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</si>
  <si>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</si>
  <si>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</si>
  <si>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</si>
  <si>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</si>
  <si>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</si>
  <si>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</si>
  <si>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</si>
  <si>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</si>
  <si>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</si>
  <si>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</si>
  <si>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</si>
  <si>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</si>
  <si>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</si>
  <si>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</si>
  <si>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</si>
  <si>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</si>
  <si>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</si>
  <si>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</si>
  <si>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</si>
  <si>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</si>
  <si>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</si>
  <si>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</si>
  <si>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</si>
  <si>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</si>
  <si>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</si>
  <si>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</si>
  <si>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</si>
  <si>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</si>
  <si>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</si>
  <si>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</si>
  <si>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</si>
  <si>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</si>
  <si>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</si>
  <si>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</si>
  <si>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</si>
  <si>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</si>
  <si>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</si>
  <si>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</si>
  <si>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</si>
  <si>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</si>
  <si>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</si>
  <si>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</si>
  <si>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</si>
  <si>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</si>
  <si>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</si>
  <si>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</si>
  <si>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</si>
  <si>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</si>
  <si>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</si>
  <si>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</si>
  <si>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</si>
  <si>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</si>
  <si>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</si>
  <si>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</si>
  <si>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</si>
  <si>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</si>
  <si>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</si>
  <si>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</si>
  <si>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</si>
  <si>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</si>
  <si>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</si>
  <si>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</si>
  <si>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</si>
  <si>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</si>
  <si>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</si>
  <si>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</si>
  <si>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</si>
  <si>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</si>
  <si>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</si>
  <si>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</si>
  <si>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</si>
  <si>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</si>
  <si>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</si>
  <si>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</si>
  <si>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</si>
  <si>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</si>
  <si>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</si>
  <si>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</si>
  <si>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</si>
  <si>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</si>
  <si>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</si>
  <si>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</si>
  <si>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</si>
  <si>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</si>
  <si>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</si>
  <si>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</si>
  <si>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</si>
  <si>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</si>
  <si>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</si>
  <si>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</si>
  <si>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</si>
  <si>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</si>
  <si>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</si>
  <si>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</si>
  <si>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</si>
  <si>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</si>
  <si>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</si>
  <si>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</si>
  <si>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</si>
  <si>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</si>
  <si>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</si>
  <si>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</si>
  <si>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</si>
  <si>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</si>
  <si>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</si>
  <si>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</si>
  <si>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</si>
  <si>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</si>
  <si>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</si>
  <si>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</si>
  <si>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</si>
  <si>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</si>
  <si>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</si>
  <si>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</si>
  <si>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</si>
  <si>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</si>
  <si>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</si>
  <si>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</si>
  <si>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</si>
  <si>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</si>
  <si>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</si>
  <si>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</si>
  <si>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</si>
  <si>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</si>
  <si>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</si>
  <si>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</si>
  <si>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</si>
  <si>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</si>
  <si>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</si>
  <si>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</si>
  <si>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</si>
  <si>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</si>
  <si>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</si>
  <si>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</si>
  <si>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</si>
  <si>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</si>
  <si>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</si>
  <si>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</si>
  <si>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</si>
  <si>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</si>
  <si>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</si>
  <si>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</si>
  <si>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</si>
  <si>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</si>
  <si>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</si>
  <si>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</si>
  <si>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</si>
  <si>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</si>
  <si>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</si>
  <si>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</si>
  <si>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</si>
  <si>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</si>
  <si>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</si>
  <si>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</si>
  <si>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</si>
  <si>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</si>
  <si>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</si>
  <si>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</si>
  <si>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</si>
  <si>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</si>
  <si>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</si>
  <si>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</si>
  <si>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</si>
  <si>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</si>
  <si>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</si>
  <si>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</si>
  <si>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</si>
  <si>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</si>
  <si>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</si>
  <si>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</si>
  <si>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</si>
  <si>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</si>
  <si>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</si>
  <si>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</si>
  <si>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</si>
  <si>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</si>
  <si>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</si>
  <si>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</si>
  <si>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</si>
  <si>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</si>
  <si>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</si>
  <si>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</si>
  <si>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</si>
  <si>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</si>
  <si>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</si>
  <si>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</si>
  <si>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</si>
  <si>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</si>
  <si>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</si>
  <si>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</si>
  <si>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</si>
  <si>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</si>
  <si>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</si>
  <si>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</si>
  <si>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</si>
  <si>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</si>
  <si>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</si>
  <si>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</si>
  <si>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</si>
  <si>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</si>
  <si>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</si>
  <si>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</si>
  <si>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</si>
  <si>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</si>
  <si>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</si>
  <si>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</si>
  <si>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</si>
  <si>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</si>
  <si>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</si>
  <si>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</si>
  <si>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</si>
  <si>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</si>
  <si>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</si>
  <si>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</si>
  <si>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</si>
  <si>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</si>
  <si>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</si>
  <si>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</si>
  <si>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</si>
  <si>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</si>
  <si>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</si>
  <si>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</si>
  <si>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</si>
  <si>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</si>
  <si>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</si>
  <si>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</si>
  <si>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</si>
  <si>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</si>
  <si>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</si>
  <si>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</si>
  <si>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</si>
  <si>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</si>
  <si>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</si>
  <si>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</si>
  <si>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</si>
  <si>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</si>
  <si>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</si>
  <si>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</si>
  <si>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</si>
  <si>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</si>
  <si>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</si>
  <si>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</si>
  <si>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</si>
  <si>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</si>
  <si>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</si>
  <si>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</si>
  <si>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</si>
  <si>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</si>
  <si>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</si>
  <si>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</si>
  <si>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</si>
  <si>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</si>
  <si>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</si>
  <si>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</si>
  <si>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</si>
  <si>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</si>
  <si>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</si>
  <si>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</si>
  <si>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</si>
  <si>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</si>
  <si>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</si>
  <si>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</si>
  <si>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</si>
  <si>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</si>
  <si>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</si>
  <si>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</si>
  <si>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</si>
  <si>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</si>
  <si>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</si>
  <si>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</si>
  <si>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</si>
  <si>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</si>
  <si>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</si>
  <si>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</si>
  <si>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</si>
  <si>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</si>
  <si>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</si>
  <si>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</si>
  <si>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</si>
  <si>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</si>
  <si>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</si>
  <si>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</si>
  <si>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</si>
  <si>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</si>
  <si>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</si>
  <si>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</si>
  <si>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</si>
  <si>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</si>
  <si>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</si>
  <si>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</si>
  <si>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</si>
  <si>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</si>
  <si>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</si>
  <si>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</si>
  <si>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</si>
  <si>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</si>
  <si>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</si>
  <si>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</si>
  <si>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</si>
  <si>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</si>
  <si>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</si>
  <si>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</si>
  <si>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</si>
  <si>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</si>
  <si>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</si>
  <si>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</si>
  <si>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</si>
  <si>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</si>
  <si>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</si>
  <si>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</si>
  <si>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</si>
  <si>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</si>
  <si>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</si>
  <si>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</si>
  <si>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</si>
  <si>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</si>
  <si>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</si>
  <si>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</si>
  <si>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</si>
  <si>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</si>
  <si>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</si>
  <si>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</si>
  <si>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</si>
  <si>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</si>
  <si>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</si>
  <si>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</si>
  <si>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</si>
  <si>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</si>
  <si>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</si>
  <si>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</si>
  <si>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</si>
  <si>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</si>
  <si>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</si>
  <si>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</si>
  <si>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</si>
  <si>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</si>
  <si>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</si>
  <si>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</si>
  <si>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</si>
  <si>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</si>
  <si>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</si>
  <si>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</si>
  <si>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</si>
  <si>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</si>
  <si>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</si>
  <si>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</si>
  <si>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</si>
  <si>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</si>
  <si>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</si>
  <si>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</si>
  <si>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</si>
  <si>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</si>
  <si>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</si>
  <si>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</si>
  <si>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</si>
  <si>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</si>
  <si>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</si>
  <si>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</si>
  <si>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</si>
  <si>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</si>
  <si>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</si>
  <si>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</si>
  <si>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</si>
  <si>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</si>
  <si>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</si>
  <si>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</si>
  <si>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</si>
  <si>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</si>
  <si>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</si>
  <si>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</si>
  <si>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</si>
  <si>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</si>
  <si>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</si>
  <si>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</si>
  <si>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</si>
  <si>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</si>
  <si>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</si>
  <si>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</si>
  <si>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</si>
  <si>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</si>
  <si>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</si>
  <si>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</si>
  <si>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</si>
  <si>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</si>
  <si>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</si>
  <si>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</si>
  <si>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</si>
  <si>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</si>
  <si>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</si>
  <si>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</si>
  <si>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</si>
  <si>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</si>
  <si>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</si>
  <si>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</si>
  <si>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</si>
  <si>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</si>
  <si>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</si>
  <si>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</si>
  <si>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</si>
  <si>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</si>
  <si>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</si>
  <si>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</si>
  <si>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</si>
  <si>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</si>
  <si>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</si>
  <si>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</si>
  <si>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</si>
  <si>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</si>
  <si>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</si>
  <si>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</si>
  <si>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</si>
  <si>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</si>
  <si>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</si>
  <si>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</si>
  <si>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</si>
  <si>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</si>
  <si>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</si>
  <si>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</si>
  <si>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</si>
  <si>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</si>
  <si>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</si>
  <si>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</si>
  <si>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</si>
  <si>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</si>
  <si>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</si>
  <si>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</si>
  <si>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</si>
  <si>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</si>
  <si>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</si>
  <si>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</si>
  <si>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</si>
  <si>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</si>
  <si>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</si>
  <si>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</si>
  <si>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</si>
  <si>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</si>
  <si>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</si>
  <si>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</si>
  <si>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</si>
  <si>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</si>
  <si>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</si>
  <si>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</si>
  <si>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</si>
  <si>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</si>
  <si>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</si>
  <si>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</si>
  <si>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</si>
  <si>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</si>
  <si>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</si>
  <si>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</si>
  <si>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</si>
  <si>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</si>
  <si>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</si>
  <si>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</si>
  <si>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</si>
  <si>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</si>
  <si>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</si>
  <si>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</si>
  <si>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</si>
  <si>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</si>
  <si>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</si>
  <si>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</si>
  <si>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</si>
  <si>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</si>
  <si>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</si>
  <si>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</si>
  <si>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</si>
  <si>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</si>
  <si>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</si>
  <si>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</si>
  <si>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</si>
  <si>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</si>
  <si>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</si>
  <si>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</si>
  <si>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</si>
  <si>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</si>
  <si>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</si>
  <si>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</si>
  <si>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</si>
  <si>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</si>
  <si>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</si>
  <si>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</si>
  <si>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</si>
  <si>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</si>
  <si>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</si>
  <si>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</si>
  <si>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</si>
  <si>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</si>
  <si>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</si>
  <si>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</si>
  <si>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</si>
  <si>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</si>
  <si>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</si>
  <si>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</si>
  <si>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</si>
  <si>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</si>
  <si>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</si>
  <si>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</si>
  <si>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</si>
  <si>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</si>
  <si>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</si>
  <si>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</si>
  <si>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</si>
  <si>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</si>
  <si>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</si>
  <si>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</si>
  <si>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</si>
  <si>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</si>
  <si>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</si>
  <si>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</si>
  <si>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</si>
  <si>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</si>
  <si>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</si>
  <si>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</si>
  <si>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</si>
  <si>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</si>
  <si>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</si>
  <si>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</si>
  <si>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</si>
  <si>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</si>
  <si>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</si>
  <si>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</si>
  <si>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</si>
  <si>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</si>
  <si>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</si>
  <si>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</si>
  <si>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</si>
  <si>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</si>
  <si>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</si>
  <si>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</si>
  <si>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</si>
  <si>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</si>
  <si>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</si>
  <si>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</si>
  <si>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</si>
  <si>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</si>
  <si>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</si>
  <si>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</si>
  <si>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</si>
  <si>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</si>
  <si>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</si>
  <si>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</si>
  <si>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</si>
  <si>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</si>
  <si>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</si>
  <si>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</si>
  <si>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</si>
  <si>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</si>
  <si>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</si>
  <si>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</si>
  <si>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</si>
  <si>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</si>
  <si>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</si>
  <si>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</si>
  <si>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</si>
  <si>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</si>
  <si>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</si>
  <si>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</si>
  <si>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</si>
  <si>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</si>
  <si>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</si>
  <si>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</si>
  <si>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</si>
  <si>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</si>
  <si>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</si>
  <si>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</si>
  <si>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</si>
  <si>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</si>
  <si>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</si>
  <si>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</si>
  <si>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</si>
  <si>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</si>
  <si>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</si>
  <si>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</si>
  <si>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</si>
  <si>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</si>
  <si>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</si>
  <si>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</si>
  <si>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</si>
  <si>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</si>
  <si>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</si>
  <si>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</si>
  <si>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</si>
  <si>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</si>
  <si>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</si>
  <si>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</si>
  <si>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</si>
  <si>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</si>
  <si>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</si>
  <si>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</si>
  <si>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</si>
  <si>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</si>
  <si>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</si>
  <si>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</si>
  <si>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</si>
  <si>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</si>
  <si>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</si>
  <si>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</si>
  <si>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</si>
  <si>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</si>
  <si>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</si>
  <si>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</si>
  <si>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</si>
  <si>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</si>
  <si>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</si>
  <si>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</si>
  <si>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</si>
  <si>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</si>
  <si>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</si>
  <si>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</si>
  <si>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</si>
  <si>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</si>
  <si>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</si>
  <si>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</si>
  <si>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</si>
  <si>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</si>
  <si>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</si>
  <si>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</si>
  <si>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</si>
  <si>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</si>
  <si>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</si>
  <si>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</si>
  <si>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</si>
  <si>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</si>
  <si>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</si>
  <si>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</si>
  <si>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</si>
  <si>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</si>
  <si>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</si>
  <si>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</si>
  <si>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</si>
  <si>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</si>
  <si>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</si>
  <si>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</si>
  <si>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</si>
  <si>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</si>
  <si>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</si>
  <si>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</si>
  <si>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</si>
  <si>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</si>
  <si>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</si>
  <si>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</si>
  <si>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</si>
  <si>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</si>
  <si>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</si>
  <si>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</si>
  <si>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</si>
  <si>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</si>
  <si>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</si>
  <si>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</si>
  <si>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</si>
  <si>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</si>
  <si>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</si>
  <si>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</si>
  <si>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</si>
  <si>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</si>
  <si>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</si>
  <si>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</si>
  <si>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</si>
  <si>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</si>
  <si>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</si>
  <si>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</si>
  <si>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</si>
  <si>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</si>
  <si>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</si>
  <si>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</si>
  <si>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</si>
  <si>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</si>
  <si>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</si>
  <si>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</si>
  <si>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</si>
  <si>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</si>
  <si>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</si>
  <si>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</si>
  <si>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</si>
  <si>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</si>
  <si>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</si>
  <si>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</si>
  <si>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</si>
  <si>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</si>
  <si>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</si>
  <si>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</si>
  <si>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</si>
  <si>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</si>
  <si>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</si>
  <si>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</si>
  <si>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</si>
  <si>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</si>
  <si>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</si>
  <si>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</si>
  <si>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</si>
  <si>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</si>
  <si>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</si>
  <si>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</si>
  <si>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</si>
  <si>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</si>
  <si>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</si>
  <si>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</si>
  <si>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</si>
  <si>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</si>
  <si>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</si>
  <si>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</si>
  <si>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</si>
  <si>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</si>
  <si>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</si>
  <si>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</si>
  <si>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</si>
  <si>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</si>
  <si>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</si>
  <si>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</si>
  <si>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</si>
  <si>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</si>
  <si>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</si>
  <si>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</si>
  <si>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</si>
  <si>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</si>
  <si>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</si>
  <si>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</si>
  <si>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</si>
  <si>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</si>
  <si>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</si>
  <si>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</si>
  <si>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</si>
  <si>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</si>
  <si>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</si>
  <si>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</si>
  <si>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</si>
  <si>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</si>
  <si>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</si>
  <si>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</si>
  <si>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</si>
  <si>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</si>
  <si>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</si>
  <si>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</si>
  <si>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</si>
  <si>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</si>
  <si>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</si>
  <si>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</si>
  <si>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</si>
  <si>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</si>
  <si>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</si>
  <si>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</si>
  <si>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</si>
  <si>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</si>
  <si>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</si>
  <si>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</si>
  <si>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</si>
  <si>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</si>
  <si>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</si>
  <si>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</si>
  <si>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</si>
  <si>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</si>
  <si>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</si>
  <si>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</si>
  <si>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</si>
  <si>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</si>
  <si>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</si>
  <si>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</si>
  <si>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</si>
  <si>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</si>
  <si>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</si>
  <si>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</si>
  <si>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</si>
  <si>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</si>
  <si>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</si>
  <si>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</si>
  <si>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</si>
  <si>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</si>
  <si>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</si>
  <si>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</si>
  <si>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</si>
  <si>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</si>
  <si>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</si>
  <si>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</si>
  <si>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</si>
  <si>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</si>
  <si>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</si>
  <si>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</si>
  <si>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</si>
  <si>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</si>
  <si>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</si>
  <si>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</si>
  <si>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</si>
  <si>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</si>
  <si>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</si>
  <si>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</si>
  <si>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</si>
  <si>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</si>
  <si>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</si>
  <si>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</si>
  <si>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</si>
  <si>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</si>
  <si>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</si>
  <si>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</si>
  <si>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</si>
  <si>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</si>
  <si>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</si>
  <si>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</si>
  <si>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</si>
  <si>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</si>
  <si>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</si>
  <si>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</si>
  <si>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</si>
  <si>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</si>
  <si>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</si>
  <si>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</si>
  <si>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</si>
  <si>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</si>
  <si>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</si>
  <si>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</si>
  <si>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</si>
  <si>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</si>
  <si>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</si>
  <si>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</si>
  <si>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</si>
  <si>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</si>
  <si>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</si>
  <si>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</si>
  <si>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</si>
  <si>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</si>
  <si>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</si>
  <si>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</si>
  <si>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</si>
  <si>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</si>
  <si>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</si>
  <si>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</si>
  <si>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</si>
  <si>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</si>
  <si>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</si>
  <si>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</si>
  <si>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</si>
  <si>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</si>
  <si>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</si>
  <si>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</si>
  <si>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</si>
  <si>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</si>
  <si>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</si>
  <si>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</si>
  <si>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</si>
  <si>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</si>
  <si>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</si>
  <si>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</si>
  <si>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</si>
  <si>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</si>
  <si>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</si>
  <si>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</si>
  <si>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</si>
  <si>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</si>
  <si>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</si>
  <si>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</si>
  <si>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</si>
  <si>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</si>
  <si>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</si>
  <si>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</si>
  <si>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</si>
  <si>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</si>
  <si>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</si>
  <si>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</si>
  <si>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</si>
  <si>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</si>
  <si>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</si>
  <si>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</si>
  <si>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</si>
  <si>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</si>
  <si>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</si>
  <si>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</si>
  <si>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</si>
  <si>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</si>
  <si>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</si>
  <si>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</si>
  <si>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</si>
  <si>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</si>
  <si>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</si>
  <si>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</si>
  <si>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</si>
  <si>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</si>
  <si>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</si>
  <si>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</si>
  <si>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</si>
  <si>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</si>
  <si>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</si>
  <si>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</si>
  <si>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</si>
  <si>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</si>
  <si>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</si>
  <si>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</si>
  <si>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</si>
  <si>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</si>
  <si>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</si>
  <si>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</si>
  <si>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</si>
  <si>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</si>
  <si>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</si>
  <si>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</si>
  <si>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</si>
  <si>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</si>
  <si>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</si>
  <si>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</si>
  <si>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</si>
  <si>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</si>
  <si>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</si>
  <si>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</si>
  <si>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</si>
  <si>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</si>
  <si>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</si>
  <si>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</si>
  <si>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</si>
  <si>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</si>
  <si>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</si>
  <si>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</si>
  <si>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</si>
  <si>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</si>
  <si>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</si>
  <si>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</si>
  <si>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</si>
  <si>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</si>
  <si>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</si>
  <si>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</si>
  <si>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</si>
  <si>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</si>
  <si>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</si>
  <si>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</si>
  <si>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</si>
  <si>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</si>
  <si>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</si>
  <si>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</si>
  <si>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</si>
  <si>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</si>
  <si>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</si>
  <si>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</si>
  <si>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</si>
  <si>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</si>
  <si>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</si>
  <si>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</si>
  <si>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</si>
  <si>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</si>
  <si>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</si>
  <si>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</si>
  <si>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</si>
  <si>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</si>
  <si>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</si>
  <si>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</si>
  <si>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</si>
  <si>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</si>
  <si>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</si>
  <si>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</si>
  <si>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</si>
  <si>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</si>
  <si>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</si>
  <si>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</si>
  <si>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</si>
  <si>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</si>
  <si>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</si>
  <si>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</si>
  <si>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</si>
  <si>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</si>
  <si>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</si>
  <si>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</si>
  <si>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</si>
  <si>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</si>
  <si>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</si>
  <si>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</si>
  <si>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</si>
  <si>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</si>
  <si>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</si>
  <si>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</si>
  <si>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</si>
  <si>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</si>
  <si>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</si>
  <si>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</si>
  <si>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</si>
  <si>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</si>
  <si>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</si>
  <si>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</si>
  <si>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</si>
  <si>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Pavimento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</si>
  <si>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</si>
  <si>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</si>
  <si>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</si>
  <si>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</si>
  <si>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</si>
  <si>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</si>
  <si>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</si>
  <si>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</si>
  <si>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</si>
  <si>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</si>
  <si>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</si>
  <si>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</si>
  <si>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</si>
  <si>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</si>
  <si>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</si>
  <si>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</si>
  <si>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</si>
  <si>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</si>
  <si>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</si>
  <si>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</si>
  <si>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</si>
  <si>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</si>
  <si>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</si>
  <si>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</si>
  <si>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</si>
  <si>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</si>
  <si>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</si>
  <si>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</si>
  <si>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</si>
  <si>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</si>
  <si>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</si>
  <si>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</si>
  <si>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</si>
  <si>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</si>
  <si>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</si>
  <si>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</si>
  <si>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</si>
  <si>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</si>
  <si>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</si>
  <si>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</si>
  <si>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</si>
  <si>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</si>
  <si>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</si>
  <si>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</si>
  <si>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</si>
  <si>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</si>
  <si>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</si>
  <si>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</si>
  <si>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</si>
  <si>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</si>
  <si>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</si>
  <si>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</si>
  <si>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</si>
  <si>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</si>
  <si>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</si>
  <si>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</si>
  <si>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</si>
  <si>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</si>
  <si>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</si>
  <si>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</si>
  <si>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</si>
  <si>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</si>
  <si>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</si>
  <si>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</si>
  <si>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</si>
  <si>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</si>
  <si>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</si>
  <si>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</si>
  <si>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</si>
  <si>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</si>
  <si>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</si>
  <si>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</si>
  <si>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</si>
  <si>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</si>
  <si>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</si>
  <si>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</si>
  <si>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</si>
  <si>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</si>
  <si>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</si>
  <si>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</si>
  <si>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</si>
  <si>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</si>
  <si>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</si>
  <si>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</si>
  <si>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</si>
  <si>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</si>
  <si>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</si>
  <si>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</si>
  <si>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</si>
  <si>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</si>
  <si>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</si>
  <si>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</si>
  <si>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</si>
  <si>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</si>
  <si>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</si>
  <si>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</si>
  <si>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</si>
  <si>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</si>
  <si>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</si>
  <si>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</si>
  <si>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</si>
  <si>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</si>
  <si>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</si>
  <si>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</si>
  <si>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</si>
  <si>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</si>
  <si>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</si>
  <si>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</si>
  <si>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</si>
  <si>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</si>
  <si>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</si>
  <si>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</si>
  <si>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</si>
  <si>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</si>
  <si>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</si>
  <si>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</si>
  <si>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</si>
  <si>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</si>
  <si>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</si>
  <si>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</si>
  <si>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</si>
  <si>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</si>
  <si>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</si>
  <si>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</si>
  <si>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</si>
  <si>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</si>
  <si>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</si>
  <si>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</si>
  <si>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</si>
  <si>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</si>
  <si>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</si>
  <si>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</si>
  <si>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</si>
  <si>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</si>
  <si>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</si>
  <si>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</si>
  <si>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</si>
  <si>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</si>
  <si>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</si>
  <si>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</si>
  <si>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</si>
  <si>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</si>
  <si>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</si>
  <si>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</si>
  <si>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</si>
  <si>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</si>
  <si>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</si>
  <si>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</si>
  <si>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</si>
  <si>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</si>
  <si>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</si>
  <si>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</si>
  <si>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</si>
  <si>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</si>
  <si>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</si>
  <si>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</si>
  <si>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</si>
  <si>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</si>
  <si>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</si>
  <si>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</si>
  <si>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</si>
  <si>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</si>
  <si>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</si>
  <si>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</si>
  <si>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</si>
  <si>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</si>
  <si>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</si>
  <si>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</si>
  <si>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</si>
  <si>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</si>
  <si>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</si>
  <si>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</si>
  <si>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</si>
  <si>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</si>
  <si>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</si>
  <si>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</si>
  <si>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</si>
  <si>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</si>
  <si>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</si>
  <si>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</si>
  <si>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</si>
  <si>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</si>
  <si>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</si>
  <si>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</si>
  <si>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</si>
  <si>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</si>
  <si>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</si>
  <si>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</si>
  <si>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</si>
  <si>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</si>
  <si>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</si>
  <si>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</si>
  <si>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</si>
  <si>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</si>
  <si>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</si>
  <si>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</si>
  <si>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</si>
  <si>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</si>
  <si>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</si>
  <si>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</si>
  <si>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</si>
  <si>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</si>
  <si>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</si>
  <si>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</si>
  <si>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</si>
  <si>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</si>
  <si>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</si>
  <si>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</si>
  <si>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</si>
  <si>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</si>
  <si>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</si>
  <si>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</si>
  <si>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</si>
  <si>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</si>
  <si>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</si>
  <si>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</si>
  <si>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</si>
  <si>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</si>
  <si>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</si>
  <si>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</si>
  <si>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</si>
  <si>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</si>
  <si>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</si>
  <si>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</si>
  <si>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</si>
  <si>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</si>
  <si>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</si>
  <si>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</si>
  <si>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</si>
  <si>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</si>
  <si>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</si>
  <si>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</si>
  <si>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</si>
  <si>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</si>
  <si>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</si>
  <si>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</si>
  <si>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</si>
  <si>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</si>
  <si>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</si>
  <si>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</si>
  <si>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</si>
  <si>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</si>
  <si>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</si>
  <si>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</si>
  <si>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</si>
  <si>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</si>
  <si>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</si>
  <si>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</si>
  <si>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</si>
  <si>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</si>
  <si>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</si>
  <si>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</si>
  <si>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</si>
  <si>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</si>
  <si>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</si>
  <si>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</si>
  <si>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</si>
  <si>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</si>
  <si>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</si>
  <si>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</si>
  <si>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</si>
  <si>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</si>
  <si>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</si>
  <si>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</si>
  <si>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</si>
  <si>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</si>
  <si>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</si>
  <si>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</si>
  <si>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</si>
  <si>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</si>
  <si>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</si>
  <si>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</si>
  <si>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</si>
  <si>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</si>
  <si>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</si>
  <si>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</si>
  <si>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</si>
  <si>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</si>
  <si>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</si>
  <si>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</si>
  <si>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</si>
  <si>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</si>
  <si>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</si>
  <si>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</si>
  <si>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</si>
  <si>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</si>
  <si>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</si>
  <si>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</si>
  <si>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</si>
  <si>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</si>
  <si>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</si>
  <si>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</si>
  <si>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</si>
  <si>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</si>
  <si>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</si>
  <si>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</si>
  <si>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</si>
  <si>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</si>
  <si>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</si>
  <si>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</si>
  <si>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</si>
  <si>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</si>
  <si>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</si>
  <si>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</si>
  <si>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</si>
  <si>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</si>
  <si>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</si>
  <si>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</si>
  <si>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</si>
  <si>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</si>
  <si>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</si>
  <si>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</si>
  <si>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</si>
  <si>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</si>
  <si>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</si>
  <si>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</si>
  <si>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</si>
  <si>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</si>
  <si>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</si>
  <si>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</si>
  <si>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</si>
  <si>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</si>
  <si>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</si>
  <si>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</si>
  <si>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</si>
  <si>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</si>
  <si>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</si>
  <si>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</si>
  <si>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</si>
  <si>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</si>
  <si>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</si>
  <si>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</si>
  <si>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</si>
  <si>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</si>
  <si>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</si>
  <si>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</si>
  <si>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</si>
  <si>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</si>
  <si>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</si>
  <si>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</si>
  <si>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</si>
  <si>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</si>
  <si>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</si>
  <si>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</si>
  <si>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</si>
  <si>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</si>
  <si>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</si>
  <si>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</si>
  <si>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</si>
  <si>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</si>
  <si>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</si>
  <si>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</si>
  <si>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</si>
  <si>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</si>
  <si>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</si>
  <si>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</si>
  <si>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</si>
  <si>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</si>
  <si>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</si>
  <si>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</si>
  <si>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</si>
  <si>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</si>
  <si>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</si>
  <si>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</si>
  <si>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</si>
  <si>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</si>
  <si>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</si>
  <si>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</si>
  <si>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</si>
  <si>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</si>
  <si>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</si>
  <si>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</si>
  <si>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</si>
  <si>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</si>
  <si>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</si>
  <si>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</si>
  <si>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</si>
  <si>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</si>
  <si>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</si>
  <si>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</si>
  <si>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</si>
  <si>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</si>
  <si>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</si>
  <si>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</si>
  <si>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</si>
  <si>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</si>
  <si>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</si>
  <si>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</si>
  <si>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</si>
  <si>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</si>
  <si>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</si>
  <si>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</si>
  <si>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</si>
  <si>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</si>
  <si>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</si>
  <si>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</si>
  <si>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</si>
  <si>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</si>
  <si>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</si>
  <si>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</si>
  <si>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</si>
  <si>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</si>
  <si>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</si>
  <si>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</si>
  <si>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</si>
  <si>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</si>
  <si>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</si>
  <si>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</si>
  <si>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</si>
  <si>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</si>
  <si>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</si>
  <si>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</si>
  <si>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</si>
  <si>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</si>
  <si>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</si>
  <si>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</si>
  <si>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</si>
  <si>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</si>
  <si>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</si>
  <si>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</si>
  <si>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</si>
  <si>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</si>
  <si>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</si>
  <si>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</si>
  <si>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</si>
  <si>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</si>
  <si>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</si>
  <si>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</si>
  <si>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</si>
  <si>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</si>
  <si>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</si>
  <si>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</si>
  <si>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</si>
  <si>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</si>
  <si>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</si>
  <si>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</si>
  <si>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</si>
  <si>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</si>
  <si>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</si>
  <si>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</si>
  <si>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</si>
  <si>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</si>
  <si>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</si>
  <si>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</si>
  <si>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</si>
  <si>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</si>
  <si>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</si>
  <si>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</si>
  <si>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</si>
  <si>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</si>
  <si>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</si>
  <si>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</si>
  <si>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</si>
  <si>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</si>
  <si>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</si>
  <si>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</si>
  <si>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</si>
  <si>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</si>
  <si>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</si>
  <si>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</si>
  <si>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</si>
  <si>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</si>
  <si>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</si>
  <si>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</si>
  <si>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</si>
  <si>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</si>
  <si>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</si>
  <si>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</si>
  <si>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</si>
  <si>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</si>
  <si>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</si>
  <si>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</si>
  <si>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</si>
  <si>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</si>
  <si>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</si>
  <si>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</si>
  <si>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</si>
  <si>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</si>
  <si>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</si>
  <si>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</si>
  <si>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</si>
  <si>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</si>
  <si>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</si>
  <si>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</si>
  <si>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</si>
  <si>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</si>
  <si>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</si>
  <si>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</si>
  <si>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</si>
  <si>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</si>
  <si>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</si>
  <si>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</si>
  <si>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</si>
  <si>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</si>
  <si>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</si>
  <si>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</si>
  <si>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</si>
  <si>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</si>
  <si>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</si>
  <si>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</si>
  <si>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</si>
  <si>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</si>
  <si>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</si>
  <si>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</si>
  <si>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</si>
  <si>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</si>
  <si>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</si>
  <si>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</si>
  <si>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</si>
  <si>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</si>
  <si>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</si>
  <si>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</si>
  <si>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</si>
  <si>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</si>
  <si>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</si>
  <si>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</si>
  <si>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</si>
  <si>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</si>
  <si>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</si>
  <si>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</si>
  <si>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</si>
  <si>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</si>
  <si>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</si>
  <si>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</si>
  <si>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</si>
  <si>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</si>
  <si>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</si>
  <si>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</si>
  <si>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</si>
  <si>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</si>
  <si>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</si>
  <si>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</si>
  <si>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</si>
  <si>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</si>
  <si>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</si>
  <si>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</si>
  <si>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</si>
  <si>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</si>
  <si>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</si>
  <si>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</si>
  <si>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</si>
  <si>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</si>
  <si>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</si>
  <si>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</si>
  <si>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</si>
  <si>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</si>
  <si>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</si>
  <si>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</si>
  <si>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</si>
  <si>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</si>
  <si>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</si>
  <si>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</si>
  <si>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</si>
  <si>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</si>
  <si>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</si>
  <si>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</si>
  <si>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</si>
  <si>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</si>
  <si>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</si>
  <si>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</si>
  <si>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</si>
  <si>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</si>
  <si>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</si>
  <si>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</si>
  <si>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</si>
  <si>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</si>
  <si>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</si>
  <si>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</si>
  <si>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</si>
  <si>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</si>
  <si>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</si>
  <si>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</si>
  <si>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</si>
  <si>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</si>
  <si>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</si>
  <si>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</si>
  <si>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</si>
  <si>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</si>
  <si>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</si>
  <si>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</si>
  <si>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</si>
  <si>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</si>
  <si>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</si>
  <si>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</si>
  <si>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</si>
  <si>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</si>
  <si>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</si>
  <si>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</si>
  <si>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</si>
  <si>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</si>
  <si>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</si>
  <si>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</si>
  <si>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</si>
  <si>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</si>
  <si>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</si>
  <si>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</si>
  <si>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</si>
  <si>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</si>
  <si>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</si>
  <si>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</si>
  <si>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</si>
  <si>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</si>
  <si>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</si>
  <si>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</si>
  <si>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</si>
  <si>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</si>
  <si>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</si>
  <si>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</si>
  <si>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</si>
  <si>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</si>
  <si>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</si>
  <si>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</si>
  <si>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</si>
  <si>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</si>
  <si>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</si>
  <si>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</si>
  <si>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</si>
  <si>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</si>
  <si>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</si>
  <si>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</si>
  <si>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</si>
  <si>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</si>
  <si>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</si>
  <si>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</si>
  <si>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</si>
  <si>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</si>
  <si>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</si>
  <si>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</si>
  <si>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</si>
  <si>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</si>
  <si>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</si>
  <si>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</si>
  <si>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</si>
  <si>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</si>
  <si>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</si>
  <si>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</si>
  <si>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</si>
  <si>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</si>
  <si>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</si>
  <si>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</si>
  <si>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</si>
  <si>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</si>
  <si>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</si>
  <si>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</si>
  <si>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</si>
  <si>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</si>
  <si>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</si>
  <si>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</si>
  <si>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</si>
  <si>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</si>
  <si>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</si>
  <si>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</si>
  <si>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</si>
  <si>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</si>
  <si>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</si>
  <si>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</si>
  <si>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</si>
  <si>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</si>
  <si>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</si>
  <si>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</si>
  <si>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</si>
  <si>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</si>
  <si>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</si>
  <si>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</si>
  <si>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</si>
  <si>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</si>
  <si>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</si>
  <si>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</si>
  <si>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</si>
  <si>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</si>
  <si>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</si>
  <si>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</si>
  <si>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</si>
  <si>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</si>
  <si>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</si>
  <si>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</si>
  <si>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</si>
  <si>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</si>
  <si>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</si>
  <si>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</si>
  <si>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</si>
  <si>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</si>
  <si>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</si>
  <si>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</si>
  <si>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</si>
  <si>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</si>
  <si>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</si>
  <si>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</si>
  <si>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</si>
  <si>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</si>
  <si>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</si>
  <si>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</si>
  <si>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</si>
  <si>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</si>
  <si>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</si>
  <si>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</si>
  <si>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</si>
  <si>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</si>
  <si>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</si>
  <si>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</si>
  <si>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</si>
  <si>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</si>
  <si>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</si>
  <si>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</si>
  <si>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</si>
  <si>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</si>
  <si>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</si>
  <si>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</si>
  <si>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</si>
  <si>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</si>
  <si>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</si>
  <si>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</si>
  <si>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</si>
  <si>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</si>
  <si>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</si>
  <si>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</si>
  <si>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</si>
  <si>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</si>
  <si>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</si>
  <si>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</si>
  <si>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</si>
  <si>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</si>
  <si>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</si>
  <si>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</si>
  <si>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</si>
  <si>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</si>
  <si>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</si>
  <si>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</si>
  <si>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</si>
  <si>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</si>
  <si>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</si>
  <si>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</si>
  <si>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</si>
  <si>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</si>
  <si>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</si>
  <si>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</si>
  <si>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</si>
  <si>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</si>
  <si>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</si>
  <si>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</si>
  <si>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</si>
  <si>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</si>
  <si>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</si>
  <si>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</si>
  <si>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</si>
  <si>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</si>
  <si>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</si>
  <si>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</si>
  <si>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</si>
  <si>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</si>
  <si>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</si>
  <si>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</si>
  <si>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</si>
  <si>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</si>
  <si>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</si>
  <si>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</si>
  <si>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</si>
  <si>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</si>
  <si>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</si>
  <si>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</si>
  <si>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</si>
  <si>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</si>
  <si>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</si>
  <si>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</si>
  <si>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</si>
  <si>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</si>
  <si>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</si>
  <si>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</si>
  <si>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</si>
  <si>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</si>
  <si>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</si>
  <si>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</si>
  <si>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</si>
  <si>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</si>
  <si>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</si>
  <si>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</si>
  <si>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</si>
  <si>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</si>
  <si>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</si>
  <si>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</si>
  <si>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</si>
  <si>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</si>
  <si>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</si>
  <si>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</si>
  <si>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</si>
  <si>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</si>
  <si>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</si>
  <si>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</si>
  <si>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</si>
  <si>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</si>
  <si>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</si>
  <si>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</si>
  <si>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</si>
  <si>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</si>
  <si>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</si>
  <si>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</si>
  <si>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</si>
  <si>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</si>
  <si>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</si>
  <si>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</si>
  <si>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</si>
  <si>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</si>
  <si>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</si>
  <si>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</si>
  <si>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Piscina</t>
  </si>
  <si>
    <t>Garagem</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</si>
  <si>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</si>
  <si>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</si>
  <si>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</si>
  <si>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</si>
  <si>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</si>
  <si>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</si>
  <si>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</si>
  <si>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</si>
  <si>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</si>
  <si>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</si>
  <si>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</si>
  <si>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</si>
  <si>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</si>
  <si>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EAP</t>
  </si>
  <si>
    <t>1.1.</t>
  </si>
  <si>
    <t>1.</t>
  </si>
  <si>
    <t>OBSERVAÇÕES</t>
  </si>
  <si>
    <t>Endereço</t>
  </si>
  <si>
    <t>Cidade</t>
  </si>
  <si>
    <t>Cliente</t>
  </si>
  <si>
    <t>Titulo</t>
  </si>
  <si>
    <t>DADOS</t>
  </si>
  <si>
    <t>GESTÃO DOS PROJETOS</t>
  </si>
  <si>
    <t>DISCIPLINA</t>
  </si>
  <si>
    <t>PROJETOS</t>
  </si>
  <si>
    <t>STATUS</t>
  </si>
  <si>
    <t>LEGENDA</t>
  </si>
  <si>
    <t>NÃO SE APLICA</t>
  </si>
  <si>
    <t>PENDENTE</t>
  </si>
  <si>
    <t>REVISADO</t>
  </si>
  <si>
    <t>RECEBIDO</t>
  </si>
  <si>
    <t>ESTRUTURA</t>
  </si>
  <si>
    <t>TERRAPLENAGEM</t>
  </si>
  <si>
    <t>ARQUITETURA</t>
  </si>
  <si>
    <t>COMPLEMENTARES</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</si>
  <si>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</si>
  <si>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</si>
  <si>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</si>
  <si>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</si>
  <si>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</si>
  <si>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</si>
  <si>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</si>
  <si>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</si>
  <si>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</si>
  <si>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</si>
  <si>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</si>
  <si>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</si>
  <si>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</si>
  <si>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REVESTIMENTOS E ACABAMENTOS DE FACHADA</t>
  </si>
  <si>
    <t>INSTALAÇÕES E EQUIPAMENTOS E SISTEMAS ESPECIAIS</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</si>
  <si>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</si>
  <si>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</si>
  <si>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</si>
  <si>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</si>
  <si>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</si>
  <si>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</si>
  <si>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</si>
  <si>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</si>
  <si>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</si>
  <si>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</si>
  <si>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</si>
  <si>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</si>
  <si>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</si>
  <si>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</si>
  <si>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</si>
  <si>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</si>
  <si>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</si>
  <si>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</si>
  <si>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</si>
  <si>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</si>
  <si>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</si>
  <si>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</si>
  <si>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</si>
  <si>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</si>
  <si>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</si>
  <si>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</si>
  <si>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</si>
  <si>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</si>
  <si>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</si>
  <si>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</si>
  <si>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</si>
  <si>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</si>
  <si>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</si>
  <si>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</si>
  <si>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</si>
  <si>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</si>
  <si>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</si>
  <si>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</si>
  <si>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</si>
  <si>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</si>
  <si>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</si>
  <si>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</si>
  <si>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</si>
  <si>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</si>
  <si>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</si>
  <si>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</si>
  <si>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</si>
  <si>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</si>
  <si>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</si>
  <si>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</si>
  <si>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Locação e gabarito de obra</t>
  </si>
  <si>
    <t>Drenagem</t>
  </si>
  <si>
    <t>VIGAS COROAMENTO</t>
  </si>
  <si>
    <t>ESTACAS PRANCHA METÁLICA</t>
  </si>
  <si>
    <t>MÃO DE OBRA CONTENÇÕES</t>
  </si>
  <si>
    <t>BLOCOS</t>
  </si>
  <si>
    <t>VIGAS BALDRAMES | PILARES DE ARRANQUE | CISTERNAS E DUTOS</t>
  </si>
  <si>
    <t>Forma - G2</t>
  </si>
  <si>
    <t>Forma - G3</t>
  </si>
  <si>
    <t>Forma - Lazer | Garagem</t>
  </si>
  <si>
    <t>Forma - Lazer</t>
  </si>
  <si>
    <t>Forma - Tipo diferenciado</t>
  </si>
  <si>
    <t>Forma - Tipo x8</t>
  </si>
  <si>
    <t>Forma - 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</si>
  <si>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</si>
  <si>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</si>
  <si>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</si>
  <si>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</si>
  <si>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</si>
  <si>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</si>
  <si>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</si>
  <si>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</si>
  <si>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</si>
  <si>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</si>
  <si>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</si>
  <si>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</si>
  <si>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</si>
  <si>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</si>
  <si>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</si>
  <si>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</si>
  <si>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</si>
  <si>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</si>
  <si>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</si>
  <si>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</si>
  <si>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</si>
  <si>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</si>
  <si>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</si>
  <si>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</si>
  <si>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</si>
  <si>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</si>
  <si>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</si>
  <si>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</si>
  <si>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</si>
  <si>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</si>
  <si>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</si>
  <si>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</si>
  <si>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</si>
  <si>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</si>
  <si>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</si>
  <si>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</si>
  <si>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</si>
  <si>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</si>
  <si>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</si>
  <si>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</si>
  <si>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</si>
  <si>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</si>
  <si>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</si>
  <si>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</si>
  <si>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</si>
  <si>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</si>
  <si>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</si>
  <si>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</si>
  <si>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</si>
  <si>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</si>
  <si>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</si>
  <si>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</si>
  <si>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</si>
  <si>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</si>
  <si>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Sauna</t>
  </si>
  <si>
    <t>Academia</t>
  </si>
  <si>
    <t>Wine Bar</t>
  </si>
  <si>
    <t>Espaço Crossfit</t>
  </si>
  <si>
    <t>Game Center</t>
  </si>
  <si>
    <t>Brinquedoteca</t>
  </si>
  <si>
    <t>PAPEL DE PAREDE</t>
  </si>
  <si>
    <t>Alvenaria de vedação com blocos cerâmicos</t>
  </si>
  <si>
    <t>1.1.1.</t>
  </si>
  <si>
    <t>1.1.1.1</t>
  </si>
  <si>
    <t>1.1.1.2</t>
  </si>
  <si>
    <t>1.1.1.3</t>
  </si>
  <si>
    <t>1.1.2.</t>
  </si>
  <si>
    <t>1.1.2.1</t>
  </si>
  <si>
    <t>1.1.3.</t>
  </si>
  <si>
    <t>1.1.3.1</t>
  </si>
  <si>
    <t>1.1.4.</t>
  </si>
  <si>
    <t>1.1.4.1</t>
  </si>
  <si>
    <t>1.1.5.</t>
  </si>
  <si>
    <t>1.1.5.1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</si>
  <si>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</si>
  <si>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</si>
  <si>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</si>
  <si>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</si>
  <si>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</si>
  <si>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</si>
  <si>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</si>
  <si>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</si>
  <si>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</si>
  <si>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</si>
  <si>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</si>
  <si>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</si>
  <si>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</si>
  <si>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</si>
  <si>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</si>
  <si>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</si>
  <si>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</si>
  <si>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</si>
  <si>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</si>
  <si>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</si>
  <si>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</si>
  <si>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</si>
  <si>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</si>
  <si>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</si>
  <si>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</si>
  <si>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</si>
  <si>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</si>
  <si>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</si>
  <si>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</si>
  <si>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</si>
  <si>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</si>
  <si>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</si>
  <si>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</si>
  <si>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</si>
  <si>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</si>
  <si>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</si>
  <si>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</si>
  <si>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</si>
  <si>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</si>
  <si>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</si>
  <si>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</si>
  <si>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</si>
  <si>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</si>
  <si>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</si>
  <si>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</si>
  <si>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</si>
  <si>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</si>
  <si>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</si>
  <si>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</si>
  <si>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</si>
  <si>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</si>
  <si>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</si>
  <si>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</si>
  <si>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</si>
  <si>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</si>
  <si>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</si>
  <si>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</si>
  <si>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</si>
  <si>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</si>
  <si>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</si>
  <si>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</si>
  <si>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</si>
  <si>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</si>
  <si>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</si>
  <si>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</si>
  <si>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</si>
  <si>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</si>
  <si>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</si>
  <si>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</si>
  <si>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</si>
  <si>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</si>
  <si>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</si>
  <si>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</si>
  <si>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</si>
  <si>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</si>
  <si>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</si>
  <si>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</si>
  <si>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</si>
  <si>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</si>
  <si>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</si>
  <si>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</si>
  <si>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</si>
  <si>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</si>
  <si>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</si>
  <si>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</si>
  <si>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</si>
  <si>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</si>
  <si>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</si>
  <si>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</si>
  <si>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</si>
  <si>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</si>
  <si>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</si>
  <si>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</si>
  <si>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</si>
  <si>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</si>
  <si>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</si>
  <si>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</si>
  <si>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</si>
  <si>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</si>
  <si>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</si>
  <si>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</si>
  <si>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</si>
  <si>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</si>
  <si>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</si>
  <si>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</si>
  <si>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</si>
  <si>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</si>
  <si>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</si>
  <si>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</si>
  <si>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</si>
  <si>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</si>
  <si>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</si>
  <si>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</si>
  <si>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</si>
  <si>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</si>
  <si>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</si>
  <si>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</si>
  <si>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</si>
  <si>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</si>
  <si>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</si>
  <si>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</si>
  <si>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</si>
  <si>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</si>
  <si>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</si>
  <si>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</si>
  <si>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</si>
  <si>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</si>
  <si>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</si>
  <si>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</si>
  <si>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</si>
  <si>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</si>
  <si>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</si>
  <si>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</si>
  <si>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</si>
  <si>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</si>
  <si>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</si>
  <si>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</si>
  <si>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</si>
  <si>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</si>
  <si>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</si>
  <si>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</si>
  <si>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</si>
  <si>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</si>
  <si>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</si>
  <si>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</si>
  <si>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</si>
  <si>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</si>
  <si>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</si>
  <si>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</si>
  <si>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</si>
  <si>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</si>
  <si>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</si>
  <si>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</si>
  <si>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</si>
  <si>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</si>
  <si>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</si>
  <si>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</si>
  <si>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</si>
  <si>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</si>
  <si>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</si>
  <si>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</si>
  <si>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</si>
  <si>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</si>
  <si>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</si>
  <si>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</si>
  <si>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</si>
  <si>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</si>
  <si>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</si>
  <si>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</si>
  <si>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</si>
  <si>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</si>
  <si>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</si>
  <si>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</si>
  <si>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</si>
  <si>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</si>
  <si>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</si>
  <si>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</si>
  <si>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</si>
  <si>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</si>
  <si>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</si>
  <si>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</si>
  <si>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</si>
  <si>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</si>
  <si>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</si>
  <si>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</si>
  <si>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</si>
  <si>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</si>
  <si>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</si>
  <si>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</si>
  <si>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</si>
  <si>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</si>
  <si>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</si>
  <si>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</si>
  <si>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</si>
  <si>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</si>
  <si>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</si>
  <si>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</si>
  <si>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</si>
  <si>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</si>
  <si>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</si>
  <si>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</si>
  <si>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</si>
  <si>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</si>
  <si>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</si>
  <si>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</si>
  <si>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</si>
  <si>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</si>
  <si>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</si>
  <si>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</si>
  <si>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</si>
  <si>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</si>
  <si>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</si>
  <si>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</si>
  <si>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</si>
  <si>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</si>
  <si>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</si>
  <si>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</si>
  <si>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</si>
  <si>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</si>
  <si>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</si>
  <si>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</si>
  <si>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</si>
  <si>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</si>
  <si>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</si>
  <si>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</si>
  <si>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</si>
  <si>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</si>
  <si>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</si>
  <si>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</si>
  <si>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</si>
  <si>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</si>
  <si>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</si>
  <si>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</si>
  <si>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</si>
  <si>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</si>
  <si>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</si>
  <si>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</si>
  <si>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</si>
  <si>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</si>
  <si>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</si>
  <si>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</si>
  <si>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</si>
  <si>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</si>
  <si>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</si>
  <si>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</si>
  <si>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</si>
  <si>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</si>
  <si>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</si>
  <si>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</si>
  <si>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</si>
  <si>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</si>
  <si>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</si>
  <si>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</si>
  <si>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</si>
  <si>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</si>
  <si>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</si>
  <si>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</si>
  <si>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</si>
  <si>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</si>
  <si>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</si>
  <si>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</si>
  <si>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</si>
  <si>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</si>
  <si>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</si>
  <si>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</si>
  <si>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</si>
  <si>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</si>
  <si>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</si>
  <si>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</si>
  <si>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</si>
  <si>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</si>
  <si>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</si>
  <si>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</si>
  <si>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</si>
  <si>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</si>
  <si>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</si>
  <si>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</si>
  <si>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</si>
  <si>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</si>
  <si>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</si>
  <si>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</si>
  <si>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</si>
  <si>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</si>
  <si>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</si>
  <si>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</si>
  <si>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</si>
  <si>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</si>
  <si>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</si>
  <si>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</si>
  <si>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</si>
  <si>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</si>
  <si>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</si>
  <si>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</si>
  <si>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</si>
  <si>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</si>
  <si>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</si>
  <si>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</si>
  <si>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</si>
  <si>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</si>
  <si>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</si>
  <si>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</si>
  <si>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</si>
  <si>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</si>
  <si>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</si>
  <si>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</si>
  <si>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</si>
  <si>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</si>
  <si>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</si>
  <si>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</si>
  <si>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</si>
  <si>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</si>
  <si>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</si>
  <si>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</si>
  <si>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</si>
  <si>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</si>
  <si>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</si>
  <si>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</si>
  <si>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</si>
  <si>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</si>
  <si>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</si>
  <si>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</si>
  <si>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</si>
  <si>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</si>
  <si>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</si>
  <si>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</si>
  <si>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</si>
  <si>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</si>
  <si>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</si>
  <si>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</si>
  <si>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</si>
  <si>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</si>
  <si>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</si>
  <si>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</si>
  <si>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</si>
  <si>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</si>
  <si>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</si>
  <si>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</si>
  <si>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</si>
  <si>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</si>
  <si>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</si>
  <si>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</si>
  <si>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</si>
  <si>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</si>
  <si>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</si>
  <si>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</si>
  <si>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</si>
  <si>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</si>
  <si>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</si>
  <si>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</si>
  <si>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</si>
  <si>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</si>
  <si>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</si>
  <si>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</si>
  <si>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</si>
  <si>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</si>
  <si>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</si>
  <si>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</si>
  <si>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</si>
  <si>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</si>
  <si>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</si>
  <si>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</si>
  <si>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</si>
  <si>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</si>
  <si>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</si>
  <si>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</si>
  <si>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</si>
  <si>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</si>
  <si>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</si>
  <si>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</si>
  <si>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</si>
  <si>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</si>
  <si>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</si>
  <si>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</si>
  <si>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</si>
  <si>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</si>
  <si>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</si>
  <si>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</si>
  <si>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</si>
  <si>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</si>
  <si>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</si>
  <si>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</si>
  <si>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</si>
  <si>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</si>
  <si>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</si>
  <si>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</si>
  <si>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</si>
  <si>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</si>
  <si>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</si>
  <si>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</si>
  <si>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</si>
  <si>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</si>
  <si>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</si>
  <si>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</si>
  <si>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</si>
  <si>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</si>
  <si>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</si>
  <si>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</si>
  <si>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</si>
  <si>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</si>
  <si>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</si>
  <si>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</si>
  <si>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</si>
  <si>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</si>
  <si>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</si>
  <si>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</si>
  <si>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</si>
  <si>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</si>
  <si>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</si>
  <si>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</si>
  <si>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</si>
  <si>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</si>
  <si>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</si>
  <si>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</si>
  <si>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</si>
  <si>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</si>
  <si>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</si>
  <si>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</si>
  <si>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</si>
  <si>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</si>
  <si>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</si>
  <si>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</si>
  <si>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</si>
  <si>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</si>
  <si>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</si>
  <si>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</si>
  <si>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Material</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</si>
  <si>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</si>
  <si>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</si>
  <si>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</si>
  <si>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</si>
  <si>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</si>
  <si>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</si>
  <si>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</si>
  <si>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</si>
  <si>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</si>
  <si>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</si>
  <si>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</si>
  <si>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</si>
  <si>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</si>
  <si>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</si>
  <si>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</si>
  <si>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</si>
  <si>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</si>
  <si>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</si>
  <si>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</si>
  <si>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</si>
  <si>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</si>
  <si>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</si>
  <si>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</si>
  <si>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</si>
  <si>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</si>
  <si>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</si>
  <si>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</si>
  <si>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</si>
  <si>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</si>
  <si>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</si>
  <si>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</si>
  <si>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</si>
  <si>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</si>
  <si>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</si>
  <si>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</si>
  <si>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</si>
  <si>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</si>
  <si>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</si>
  <si>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</si>
  <si>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</si>
  <si>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</si>
  <si>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</si>
  <si>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</si>
  <si>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</si>
  <si>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</si>
  <si>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</si>
  <si>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</si>
  <si>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</si>
  <si>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</si>
  <si>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</si>
  <si>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</si>
  <si>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</si>
  <si>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</si>
  <si>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</si>
  <si>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</si>
  <si>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</si>
  <si>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</si>
  <si>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</si>
  <si>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</si>
  <si>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</si>
  <si>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</si>
  <si>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</si>
  <si>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</si>
  <si>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</si>
  <si>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</si>
  <si>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</si>
  <si>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</si>
  <si>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</si>
  <si>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</si>
  <si>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</si>
  <si>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</si>
  <si>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</si>
  <si>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</si>
  <si>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</si>
  <si>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</si>
  <si>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</si>
  <si>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</si>
  <si>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</si>
  <si>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</si>
  <si>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</si>
  <si>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</si>
  <si>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</si>
  <si>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</si>
  <si>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</si>
  <si>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</si>
  <si>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</si>
  <si>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</si>
  <si>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</si>
  <si>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</si>
  <si>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</si>
  <si>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</si>
  <si>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</si>
  <si>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</si>
  <si>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</si>
  <si>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</si>
  <si>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</si>
  <si>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</si>
  <si>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</si>
  <si>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</si>
  <si>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</si>
  <si>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</si>
  <si>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</si>
  <si>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</si>
  <si>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</si>
  <si>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</si>
  <si>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</si>
  <si>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</si>
  <si>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</si>
  <si>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</si>
  <si>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</si>
  <si>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</si>
  <si>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</si>
  <si>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</si>
  <si>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</si>
  <si>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</si>
  <si>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</si>
  <si>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</si>
  <si>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</si>
  <si>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</si>
  <si>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</si>
  <si>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</si>
  <si>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</si>
  <si>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</si>
  <si>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</si>
  <si>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</si>
  <si>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</si>
  <si>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</si>
  <si>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</si>
  <si>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</si>
  <si>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</si>
  <si>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</si>
  <si>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</si>
  <si>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</si>
  <si>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</si>
  <si>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</si>
  <si>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</si>
  <si>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</si>
  <si>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</si>
  <si>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</si>
  <si>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</si>
  <si>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</si>
  <si>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</si>
  <si>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</si>
  <si>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</si>
  <si>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</si>
  <si>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</si>
  <si>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</si>
  <si>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</si>
  <si>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</si>
  <si>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</si>
  <si>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</si>
  <si>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</si>
  <si>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</si>
  <si>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</si>
  <si>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</si>
  <si>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</si>
  <si>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</si>
  <si>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</si>
  <si>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</si>
  <si>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</si>
  <si>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</si>
  <si>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</si>
  <si>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</si>
  <si>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</si>
  <si>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</si>
  <si>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</si>
  <si>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</si>
  <si>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</si>
  <si>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</si>
  <si>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</si>
  <si>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</si>
  <si>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</si>
  <si>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</si>
  <si>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</si>
  <si>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</si>
  <si>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</si>
  <si>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</si>
  <si>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</si>
  <si>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</si>
  <si>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</si>
  <si>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</si>
  <si>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</si>
  <si>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</si>
  <si>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</si>
  <si>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</si>
  <si>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</si>
  <si>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</si>
  <si>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</si>
  <si>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</si>
  <si>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</si>
  <si>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</si>
  <si>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</si>
  <si>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</si>
  <si>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</si>
  <si>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</si>
  <si>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</si>
  <si>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</si>
  <si>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</si>
  <si>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</si>
  <si>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</si>
  <si>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</si>
  <si>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1.1.1.4</t>
  </si>
  <si>
    <t>1.1.1.5</t>
  </si>
  <si>
    <t>1.1.2.2</t>
  </si>
  <si>
    <t>1.1.3.2</t>
  </si>
  <si>
    <t>13.001.002.001</t>
  </si>
  <si>
    <t>ORÇAMENTO</t>
  </si>
  <si>
    <t xml:space="preserve">Argamassa não cimentícia com agentes incorporadores de ar - MK-FEN 30 (F) </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</si>
  <si>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</si>
  <si>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</si>
  <si>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</si>
  <si>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</si>
  <si>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</si>
  <si>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</si>
  <si>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</si>
  <si>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</si>
  <si>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</si>
  <si>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</si>
  <si>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</si>
  <si>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</si>
  <si>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</si>
  <si>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</si>
  <si>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</si>
  <si>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</si>
  <si>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</si>
  <si>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</si>
  <si>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</si>
  <si>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</si>
  <si>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</si>
  <si>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</si>
  <si>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</si>
  <si>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</si>
  <si>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</si>
  <si>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</si>
  <si>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</si>
  <si>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</si>
  <si>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</si>
  <si>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</si>
  <si>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</si>
  <si>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</si>
  <si>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</si>
  <si>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</si>
  <si>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</si>
  <si>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</si>
  <si>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</si>
  <si>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</si>
  <si>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</si>
  <si>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</si>
  <si>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</si>
  <si>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</si>
  <si>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</si>
  <si>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</si>
  <si>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</si>
  <si>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</si>
  <si>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</si>
  <si>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</si>
  <si>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</si>
  <si>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</si>
  <si>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</si>
  <si>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</si>
  <si>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</si>
  <si>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</si>
  <si>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</si>
  <si>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</si>
  <si>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</si>
  <si>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</si>
  <si>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</si>
  <si>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</si>
  <si>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</si>
  <si>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</si>
  <si>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</si>
  <si>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</si>
  <si>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</si>
  <si>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</si>
  <si>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</si>
  <si>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</si>
  <si>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</si>
  <si>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</si>
  <si>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</si>
  <si>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</si>
  <si>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</si>
  <si>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</si>
  <si>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</si>
  <si>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</si>
  <si>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</si>
  <si>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</si>
  <si>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</si>
  <si>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</si>
  <si>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</si>
  <si>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</si>
  <si>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</si>
  <si>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</si>
  <si>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</si>
  <si>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</si>
  <si>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</si>
  <si>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</si>
  <si>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</si>
  <si>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</si>
  <si>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</si>
  <si>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</si>
  <si>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</si>
  <si>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</si>
  <si>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</si>
  <si>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</si>
  <si>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</si>
  <si>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</si>
  <si>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</si>
  <si>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</si>
  <si>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</si>
  <si>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</si>
  <si>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</si>
  <si>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</si>
  <si>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</si>
  <si>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</si>
  <si>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</si>
  <si>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</si>
  <si>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</si>
  <si>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</si>
  <si>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</si>
  <si>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</si>
  <si>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</si>
  <si>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</si>
  <si>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</si>
  <si>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</si>
  <si>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</si>
  <si>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</si>
  <si>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</si>
  <si>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</si>
  <si>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</si>
  <si>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</si>
  <si>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</si>
  <si>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</si>
  <si>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</si>
  <si>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</si>
  <si>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</si>
  <si>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</si>
  <si>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</si>
  <si>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</si>
  <si>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</si>
  <si>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</si>
  <si>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</si>
  <si>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</si>
  <si>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</si>
  <si>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</si>
  <si>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</si>
  <si>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</si>
  <si>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</si>
  <si>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</si>
  <si>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</si>
  <si>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</si>
  <si>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</si>
  <si>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</si>
  <si>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</si>
  <si>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</si>
  <si>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</si>
  <si>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</si>
  <si>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</si>
  <si>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</si>
  <si>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</si>
  <si>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</si>
  <si>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</si>
  <si>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</si>
  <si>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</si>
  <si>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</si>
  <si>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</si>
  <si>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</si>
  <si>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</si>
  <si>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</si>
  <si>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</si>
  <si>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</si>
  <si>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</si>
  <si>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</si>
  <si>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</si>
  <si>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</si>
  <si>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R01</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</si>
  <si>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</si>
  <si>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</si>
  <si>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</si>
  <si>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</si>
  <si>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</si>
  <si>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</si>
  <si>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</si>
  <si>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</si>
  <si>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</si>
  <si>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</si>
  <si>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</si>
  <si>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</si>
  <si>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</si>
  <si>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</si>
  <si>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</si>
  <si>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</si>
  <si>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</si>
  <si>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</si>
  <si>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</si>
  <si>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</si>
  <si>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</si>
  <si>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</si>
  <si>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</si>
  <si>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</si>
  <si>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</si>
  <si>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</si>
  <si>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</si>
  <si>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</si>
  <si>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</si>
  <si>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</si>
  <si>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</si>
  <si>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</si>
  <si>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</si>
  <si>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</si>
  <si>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</si>
  <si>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</si>
  <si>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</si>
  <si>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</si>
  <si>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</si>
  <si>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</si>
  <si>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</si>
  <si>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</si>
  <si>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</si>
  <si>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</si>
  <si>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</si>
  <si>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</si>
  <si>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</si>
  <si>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</si>
  <si>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</si>
  <si>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</si>
  <si>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</si>
  <si>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</si>
  <si>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</si>
  <si>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</si>
  <si>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</si>
  <si>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</si>
  <si>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</si>
  <si>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</si>
  <si>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</si>
  <si>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</si>
  <si>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</si>
  <si>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</si>
  <si>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</si>
  <si>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</si>
  <si>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</si>
  <si>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</si>
  <si>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</si>
  <si>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</si>
  <si>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</si>
  <si>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</si>
  <si>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</si>
  <si>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</si>
  <si>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</si>
  <si>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</si>
  <si>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</si>
  <si>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</si>
  <si>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</si>
  <si>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</si>
  <si>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</si>
  <si>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</si>
  <si>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</si>
  <si>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</si>
  <si>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</si>
  <si>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</si>
  <si>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</si>
  <si>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</si>
  <si>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</si>
  <si>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</si>
  <si>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</si>
  <si>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</si>
  <si>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</si>
  <si>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</si>
  <si>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</si>
  <si>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</si>
  <si>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</si>
  <si>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</si>
  <si>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</si>
  <si>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</si>
  <si>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</si>
  <si>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</si>
  <si>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</si>
  <si>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</si>
  <si>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</si>
  <si>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</si>
  <si>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</si>
  <si>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</si>
  <si>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</si>
  <si>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</si>
  <si>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</si>
  <si>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</si>
  <si>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</si>
  <si>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</si>
  <si>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</si>
  <si>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</si>
  <si>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</si>
  <si>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</si>
  <si>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</si>
  <si>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</si>
  <si>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</si>
  <si>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</si>
  <si>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</si>
  <si>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</si>
  <si>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</si>
  <si>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</si>
  <si>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</si>
  <si>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</si>
  <si>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</si>
  <si>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</si>
  <si>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</si>
  <si>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</si>
  <si>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</si>
  <si>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</si>
  <si>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</si>
  <si>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</si>
  <si>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</si>
  <si>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</si>
  <si>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</si>
  <si>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</si>
  <si>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</si>
  <si>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</si>
  <si>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</si>
  <si>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</si>
  <si>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</si>
  <si>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</si>
  <si>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</si>
  <si>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</si>
  <si>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</si>
  <si>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</si>
  <si>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</si>
  <si>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</si>
  <si>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</si>
  <si>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</si>
  <si>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</si>
  <si>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</si>
  <si>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</si>
  <si>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</si>
  <si>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</si>
  <si>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</si>
  <si>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</si>
  <si>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</si>
  <si>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</si>
  <si>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</si>
  <si>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</si>
  <si>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</si>
  <si>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</si>
  <si>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</si>
  <si>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</si>
  <si>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</si>
  <si>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</si>
  <si>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</si>
  <si>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</si>
  <si>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</si>
  <si>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</si>
  <si>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</si>
  <si>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</si>
  <si>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</si>
  <si>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</si>
  <si>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</si>
  <si>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</si>
  <si>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</si>
  <si>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</si>
  <si>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</si>
  <si>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</si>
  <si>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</si>
  <si>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</si>
  <si>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</si>
  <si>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</si>
  <si>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</si>
  <si>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</si>
  <si>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</si>
  <si>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</si>
  <si>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</si>
  <si>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</si>
  <si>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</si>
  <si>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</si>
  <si>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</si>
  <si>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</si>
  <si>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</si>
  <si>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</si>
  <si>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</si>
  <si>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</si>
  <si>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</si>
  <si>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</si>
  <si>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</si>
  <si>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</si>
  <si>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</si>
  <si>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</si>
  <si>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</si>
  <si>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</si>
  <si>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</si>
  <si>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</si>
  <si>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</si>
  <si>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</si>
  <si>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</si>
  <si>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</si>
  <si>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</si>
  <si>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</si>
  <si>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</si>
  <si>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</si>
  <si>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</si>
  <si>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</si>
  <si>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</si>
  <si>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</si>
  <si>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</si>
  <si>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</si>
  <si>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</si>
  <si>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</si>
  <si>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</si>
  <si>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ESQUADRIAS DE MADEIRA</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</si>
  <si>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</si>
  <si>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</si>
  <si>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</si>
  <si>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</si>
  <si>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</si>
  <si>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</si>
  <si>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</si>
  <si>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</si>
  <si>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</si>
  <si>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</si>
  <si>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</si>
  <si>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</si>
  <si>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</si>
  <si>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</si>
  <si>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</si>
  <si>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</si>
  <si>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</si>
  <si>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</si>
  <si>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</si>
  <si>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</si>
  <si>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</si>
  <si>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</si>
  <si>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</si>
  <si>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</si>
  <si>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</si>
  <si>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</si>
  <si>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</si>
  <si>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</si>
  <si>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</si>
  <si>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</si>
  <si>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</si>
  <si>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</si>
  <si>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</si>
  <si>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</si>
  <si>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</si>
  <si>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</si>
  <si>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</si>
  <si>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</si>
  <si>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</si>
  <si>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</si>
  <si>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</si>
  <si>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</si>
  <si>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</si>
  <si>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</si>
  <si>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</si>
  <si>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</si>
  <si>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</si>
  <si>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</si>
  <si>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</si>
  <si>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</si>
  <si>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</si>
  <si>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</si>
  <si>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</si>
  <si>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</si>
  <si>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</si>
  <si>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</si>
  <si>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</si>
  <si>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</si>
  <si>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</si>
  <si>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</si>
  <si>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</si>
  <si>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</si>
  <si>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</si>
  <si>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</si>
  <si>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</si>
  <si>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</si>
  <si>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</si>
  <si>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</si>
  <si>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</si>
  <si>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</si>
  <si>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</si>
  <si>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</si>
  <si>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</si>
  <si>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</si>
  <si>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</si>
  <si>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</si>
  <si>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</si>
  <si>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</si>
  <si>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</si>
  <si>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</si>
  <si>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</si>
  <si>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</si>
  <si>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</si>
  <si>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</si>
  <si>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</si>
  <si>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</si>
  <si>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</si>
  <si>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</si>
  <si>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</si>
  <si>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</si>
  <si>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</si>
  <si>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</si>
  <si>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</si>
  <si>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</si>
  <si>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</si>
  <si>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</si>
  <si>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</si>
  <si>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</si>
  <si>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</si>
  <si>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</si>
  <si>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</si>
  <si>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</si>
  <si>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</si>
  <si>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</si>
  <si>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</si>
  <si>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</si>
  <si>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</si>
  <si>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</si>
  <si>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</si>
  <si>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</si>
  <si>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</si>
  <si>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</si>
  <si>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</si>
  <si>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</si>
  <si>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</si>
  <si>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</si>
  <si>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</si>
  <si>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</si>
  <si>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</si>
  <si>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</si>
  <si>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</si>
  <si>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</si>
  <si>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</si>
  <si>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</si>
  <si>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</si>
  <si>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</si>
  <si>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</si>
  <si>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</si>
  <si>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</si>
  <si>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</si>
  <si>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</si>
  <si>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</si>
  <si>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</si>
  <si>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</si>
  <si>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</si>
  <si>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</si>
  <si>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</si>
  <si>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</si>
  <si>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</si>
  <si>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</si>
  <si>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</si>
  <si>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</si>
  <si>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</si>
  <si>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</si>
  <si>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</si>
  <si>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</si>
  <si>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</si>
  <si>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</si>
  <si>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</si>
  <si>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</si>
  <si>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</si>
  <si>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</si>
  <si>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</si>
  <si>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</si>
  <si>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</si>
  <si>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</si>
  <si>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</si>
  <si>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</si>
  <si>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</si>
  <si>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</si>
  <si>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</si>
  <si>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</si>
  <si>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</si>
  <si>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</si>
  <si>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</si>
  <si>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</si>
  <si>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</si>
  <si>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</si>
  <si>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</si>
  <si>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</si>
  <si>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</si>
  <si>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</si>
  <si>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</si>
  <si>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</si>
  <si>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</si>
  <si>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</si>
  <si>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</si>
  <si>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</si>
  <si>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</si>
  <si>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</si>
  <si>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</si>
  <si>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</si>
  <si>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</si>
  <si>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</si>
  <si>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</si>
  <si>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</si>
  <si>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</si>
  <si>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</si>
  <si>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</si>
  <si>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</si>
  <si>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</si>
  <si>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</si>
  <si>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</si>
  <si>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</si>
  <si>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</si>
  <si>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</si>
  <si>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</si>
  <si>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</si>
  <si>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</si>
  <si>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</si>
  <si>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</si>
  <si>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</si>
  <si>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</si>
  <si>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</si>
  <si>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</si>
  <si>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</si>
  <si>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</si>
  <si>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</si>
  <si>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</si>
  <si>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</si>
  <si>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</si>
  <si>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</si>
  <si>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</si>
  <si>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</si>
  <si>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</si>
  <si>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</si>
  <si>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</si>
  <si>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</si>
  <si>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</si>
  <si>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</si>
  <si>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</si>
  <si>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</si>
  <si>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</si>
  <si>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</si>
  <si>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</si>
  <si>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</si>
  <si>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</si>
  <si>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</si>
  <si>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</si>
  <si>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</si>
  <si>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</si>
  <si>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</si>
  <si>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</si>
  <si>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</si>
  <si>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</si>
  <si>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</si>
  <si>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</si>
  <si>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</si>
  <si>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</si>
  <si>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</si>
  <si>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</si>
  <si>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</si>
  <si>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</si>
  <si>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</si>
  <si>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</si>
  <si>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</si>
  <si>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</si>
  <si>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</si>
  <si>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</si>
  <si>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</si>
  <si>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</si>
  <si>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</si>
  <si>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</si>
  <si>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</si>
  <si>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</si>
  <si>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</si>
  <si>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</si>
  <si>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</si>
  <si>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</si>
  <si>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</si>
  <si>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</si>
  <si>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</si>
  <si>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</si>
  <si>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</si>
  <si>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</si>
  <si>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</si>
  <si>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</si>
  <si>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</si>
  <si>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</si>
  <si>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</si>
  <si>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</si>
  <si>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</si>
  <si>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</si>
  <si>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</si>
  <si>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</si>
  <si>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</si>
  <si>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</si>
  <si>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</si>
  <si>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</si>
  <si>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</si>
  <si>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</si>
  <si>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</si>
  <si>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</si>
  <si>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</si>
  <si>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</si>
  <si>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</si>
  <si>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</si>
  <si>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</si>
  <si>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</si>
  <si>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</si>
  <si>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</si>
  <si>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</si>
  <si>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</si>
  <si>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</si>
  <si>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</si>
  <si>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</si>
  <si>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</si>
  <si>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</si>
  <si>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</si>
  <si>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</si>
  <si>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</si>
  <si>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</si>
  <si>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</si>
  <si>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</si>
  <si>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</si>
  <si>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</si>
  <si>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</si>
  <si>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</si>
  <si>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</si>
  <si>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</si>
  <si>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</si>
  <si>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</si>
  <si>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</si>
  <si>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</si>
  <si>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</si>
  <si>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</si>
  <si>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</si>
  <si>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</si>
  <si>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</si>
  <si>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</si>
  <si>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</si>
  <si>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</si>
  <si>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</si>
  <si>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</si>
  <si>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</si>
  <si>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</si>
  <si>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</si>
  <si>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</si>
  <si>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</si>
  <si>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</si>
  <si>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</si>
  <si>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</si>
  <si>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</si>
  <si>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</si>
  <si>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</si>
  <si>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</si>
  <si>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</si>
  <si>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</si>
  <si>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</si>
  <si>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</si>
  <si>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</si>
  <si>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</si>
  <si>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</si>
  <si>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</si>
  <si>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</si>
  <si>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</si>
  <si>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</si>
  <si>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</si>
  <si>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</si>
  <si>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</si>
  <si>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</si>
  <si>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</si>
  <si>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</si>
  <si>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</si>
  <si>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</si>
  <si>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</si>
  <si>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</si>
  <si>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</si>
  <si>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</si>
  <si>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</si>
  <si>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</si>
  <si>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</si>
  <si>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</si>
  <si>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</si>
  <si>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</si>
  <si>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</si>
  <si>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</si>
  <si>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</si>
  <si>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</si>
  <si>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</si>
  <si>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</si>
  <si>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</si>
  <si>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</si>
  <si>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</si>
  <si>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</si>
  <si>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</si>
  <si>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</si>
  <si>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</si>
  <si>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</si>
  <si>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</si>
  <si>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</si>
  <si>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</si>
  <si>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</si>
  <si>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</si>
  <si>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</si>
  <si>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</si>
  <si>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</si>
  <si>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</si>
  <si>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</si>
  <si>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</si>
  <si>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</si>
  <si>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</si>
  <si>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</si>
  <si>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</si>
  <si>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</si>
  <si>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</si>
  <si>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</si>
  <si>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</si>
  <si>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</si>
  <si>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</si>
  <si>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</si>
  <si>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</si>
  <si>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</si>
  <si>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</si>
  <si>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</si>
  <si>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</si>
  <si>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</si>
  <si>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</si>
  <si>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</si>
  <si>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</si>
  <si>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</si>
  <si>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</si>
  <si>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</si>
  <si>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</si>
  <si>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</si>
  <si>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</si>
  <si>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</si>
  <si>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</si>
  <si>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</si>
  <si>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</si>
  <si>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</si>
  <si>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</si>
  <si>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</si>
  <si>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</si>
  <si>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</si>
  <si>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</si>
  <si>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</si>
  <si>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</si>
  <si>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</si>
  <si>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</si>
  <si>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</si>
  <si>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</si>
  <si>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</si>
  <si>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</si>
  <si>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</si>
  <si>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</si>
  <si>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</si>
  <si>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</si>
  <si>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</si>
  <si>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</si>
  <si>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</si>
  <si>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</si>
  <si>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</si>
  <si>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</si>
  <si>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</si>
  <si>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</si>
  <si>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</si>
  <si>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</si>
  <si>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</si>
  <si>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</si>
  <si>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</si>
  <si>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</si>
  <si>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</si>
  <si>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</si>
  <si>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</si>
  <si>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</si>
  <si>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</si>
  <si>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</si>
  <si>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</si>
  <si>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</si>
  <si>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</si>
  <si>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</si>
  <si>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</si>
  <si>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</si>
  <si>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</si>
  <si>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</si>
  <si>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</si>
  <si>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</si>
  <si>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</si>
  <si>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</si>
  <si>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</si>
  <si>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</si>
  <si>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</si>
  <si>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</si>
  <si>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</si>
  <si>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</si>
  <si>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</si>
  <si>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</si>
  <si>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</si>
  <si>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</si>
  <si>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</si>
  <si>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</si>
  <si>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</si>
  <si>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</si>
  <si>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</si>
  <si>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</si>
  <si>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</si>
  <si>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</si>
  <si>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</si>
  <si>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</si>
  <si>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</si>
  <si>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</si>
  <si>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</si>
  <si>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</si>
  <si>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</si>
  <si>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</si>
  <si>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</si>
  <si>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</si>
  <si>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</si>
  <si>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</si>
  <si>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</si>
  <si>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</si>
  <si>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</si>
  <si>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</si>
  <si>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</si>
  <si>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</si>
  <si>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</si>
  <si>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</si>
  <si>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</si>
  <si>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</si>
  <si>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</si>
  <si>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</si>
  <si>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</si>
  <si>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</si>
  <si>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</si>
  <si>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</si>
  <si>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</si>
  <si>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</si>
  <si>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</si>
  <si>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</si>
  <si>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</si>
  <si>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</si>
  <si>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</si>
  <si>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</si>
  <si>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</si>
  <si>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</si>
  <si>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</si>
  <si>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</si>
  <si>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</si>
  <si>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</si>
  <si>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</si>
  <si>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</si>
  <si>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</si>
  <si>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</si>
  <si>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</si>
  <si>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</si>
  <si>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</si>
  <si>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</si>
  <si>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</si>
  <si>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</si>
  <si>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</si>
  <si>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</si>
  <si>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</si>
  <si>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</si>
  <si>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</si>
  <si>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</si>
  <si>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</si>
  <si>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</si>
  <si>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</si>
  <si>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</si>
  <si>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</si>
  <si>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</si>
  <si>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</si>
  <si>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</si>
  <si>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</si>
  <si>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</si>
  <si>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</si>
  <si>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</si>
  <si>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</si>
  <si>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</si>
  <si>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</si>
  <si>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</si>
  <si>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</si>
  <si>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</si>
  <si>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</si>
  <si>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</si>
  <si>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</si>
  <si>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</si>
  <si>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</si>
  <si>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</si>
  <si>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</si>
  <si>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</si>
  <si>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</si>
  <si>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</si>
  <si>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</si>
  <si>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</si>
  <si>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</si>
  <si>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</si>
  <si>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</si>
  <si>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</si>
  <si>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</si>
  <si>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</si>
  <si>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</si>
  <si>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</si>
  <si>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</si>
  <si>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</si>
  <si>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</si>
  <si>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</si>
  <si>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</si>
  <si>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</si>
  <si>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</si>
  <si>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</si>
  <si>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</si>
  <si>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</si>
  <si>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</si>
  <si>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</si>
  <si>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</si>
  <si>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</si>
  <si>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</si>
  <si>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</si>
  <si>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</si>
  <si>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</si>
  <si>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</si>
  <si>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</si>
  <si>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</si>
  <si>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</si>
  <si>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</si>
  <si>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</si>
  <si>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</si>
  <si>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</si>
  <si>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</si>
  <si>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</si>
  <si>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</si>
  <si>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</si>
  <si>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</si>
  <si>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</si>
  <si>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</si>
  <si>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</si>
  <si>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</si>
  <si>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</si>
  <si>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</si>
  <si>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</si>
  <si>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</si>
  <si>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</si>
  <si>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</si>
  <si>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</si>
  <si>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</si>
  <si>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</si>
  <si>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</si>
  <si>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</si>
  <si>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</si>
  <si>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</si>
  <si>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</si>
  <si>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</si>
  <si>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</si>
  <si>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</si>
  <si>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</si>
  <si>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</si>
  <si>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</si>
  <si>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</si>
  <si>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</si>
  <si>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</si>
  <si>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</si>
  <si>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</si>
  <si>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</si>
  <si>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</si>
  <si>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</si>
  <si>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</si>
  <si>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</si>
  <si>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</si>
  <si>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</si>
  <si>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</si>
  <si>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</si>
  <si>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</si>
  <si>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</si>
  <si>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</si>
  <si>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</si>
  <si>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</si>
  <si>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</si>
  <si>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</si>
  <si>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</si>
  <si>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</si>
  <si>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</si>
  <si>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</si>
  <si>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</si>
  <si>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</si>
  <si>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</si>
  <si>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</si>
  <si>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</si>
  <si>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</si>
  <si>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</si>
  <si>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</si>
  <si>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</si>
  <si>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</si>
  <si>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</si>
  <si>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</si>
  <si>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</si>
  <si>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</si>
  <si>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</si>
  <si>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</si>
  <si>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</si>
  <si>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</si>
  <si>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</si>
  <si>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</si>
  <si>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</si>
  <si>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</si>
  <si>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</si>
  <si>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</si>
  <si>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</si>
  <si>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</si>
  <si>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</si>
  <si>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</si>
  <si>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</si>
  <si>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</si>
  <si>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</si>
  <si>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</si>
  <si>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</si>
  <si>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</si>
  <si>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</si>
  <si>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</si>
  <si>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</si>
  <si>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</si>
  <si>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</si>
  <si>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</si>
  <si>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</si>
  <si>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</si>
  <si>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</si>
  <si>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</si>
  <si>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</si>
  <si>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</si>
  <si>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</si>
  <si>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</si>
  <si>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</si>
  <si>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</si>
  <si>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</si>
  <si>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</si>
  <si>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</si>
  <si>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</si>
  <si>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</si>
  <si>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</si>
  <si>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</si>
  <si>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</si>
  <si>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</si>
  <si>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</si>
  <si>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</si>
  <si>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</si>
  <si>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</si>
  <si>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</si>
  <si>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</si>
  <si>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</si>
  <si>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</si>
  <si>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</si>
  <si>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</si>
  <si>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</si>
  <si>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</si>
  <si>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</si>
  <si>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</si>
  <si>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</si>
  <si>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</si>
  <si>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</si>
  <si>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</si>
  <si>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</si>
  <si>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</si>
  <si>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</si>
  <si>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</si>
  <si>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</si>
  <si>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</si>
  <si>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</si>
  <si>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</si>
  <si>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</si>
  <si>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</si>
  <si>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</si>
  <si>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</si>
  <si>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</si>
  <si>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</si>
  <si>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</si>
  <si>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</si>
  <si>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</si>
  <si>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</si>
  <si>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</si>
  <si>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</si>
  <si>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</si>
  <si>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</si>
  <si>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</si>
  <si>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</si>
  <si>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</si>
  <si>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</si>
  <si>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</si>
  <si>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</si>
  <si>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</si>
  <si>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</si>
  <si>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</si>
  <si>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</si>
  <si>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</si>
  <si>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</si>
  <si>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</si>
  <si>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</si>
  <si>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</si>
  <si>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</si>
  <si>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</si>
  <si>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</si>
  <si>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</si>
  <si>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</si>
  <si>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</si>
  <si>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</si>
  <si>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</si>
  <si>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</si>
  <si>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</si>
  <si>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</si>
  <si>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</si>
  <si>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</si>
  <si>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</si>
  <si>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</si>
  <si>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</si>
  <si>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</si>
  <si>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</si>
  <si>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</si>
  <si>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</si>
  <si>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</si>
  <si>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</si>
  <si>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</si>
  <si>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</si>
  <si>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</si>
  <si>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</si>
  <si>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</si>
  <si>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</si>
  <si>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</si>
  <si>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</si>
  <si>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</si>
  <si>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</si>
  <si>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</si>
  <si>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</si>
  <si>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</si>
  <si>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</si>
  <si>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</si>
  <si>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</si>
  <si>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</si>
  <si>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</si>
  <si>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</si>
  <si>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</si>
  <si>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</si>
  <si>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</si>
  <si>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</si>
  <si>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</si>
  <si>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</si>
  <si>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</si>
  <si>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</si>
  <si>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</si>
  <si>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</si>
  <si>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</si>
  <si>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</si>
  <si>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</si>
  <si>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</si>
  <si>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</si>
  <si>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</si>
  <si>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</si>
  <si>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</si>
  <si>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</si>
  <si>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</si>
  <si>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</si>
  <si>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</si>
  <si>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</si>
  <si>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</si>
  <si>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</si>
  <si>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</si>
  <si>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</si>
  <si>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</si>
  <si>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</si>
  <si>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</si>
  <si>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</si>
  <si>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</si>
  <si>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</si>
  <si>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</si>
  <si>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</si>
  <si>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</si>
  <si>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</si>
  <si>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</si>
  <si>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</si>
  <si>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</si>
  <si>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</si>
  <si>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</si>
  <si>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</si>
  <si>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</si>
  <si>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</si>
  <si>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</si>
  <si>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</si>
  <si>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</si>
  <si>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</si>
  <si>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</si>
  <si>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</si>
  <si>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</si>
  <si>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</si>
  <si>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</si>
  <si>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</si>
  <si>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</si>
  <si>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</si>
  <si>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</si>
  <si>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</si>
  <si>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</si>
  <si>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</si>
  <si>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</si>
  <si>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</si>
  <si>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</si>
  <si>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</si>
  <si>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</si>
  <si>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</si>
  <si>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</si>
  <si>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</si>
  <si>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</si>
  <si>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</si>
  <si>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</si>
  <si>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</si>
  <si>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</si>
  <si>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</si>
  <si>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</si>
  <si>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</si>
  <si>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</si>
  <si>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</si>
  <si>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</si>
  <si>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</si>
  <si>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</si>
  <si>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</si>
  <si>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</si>
  <si>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</si>
  <si>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</si>
  <si>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</si>
  <si>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</si>
  <si>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</si>
  <si>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</si>
  <si>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</si>
  <si>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</si>
  <si>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</si>
  <si>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</si>
  <si>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</si>
  <si>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</si>
  <si>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</si>
  <si>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</si>
  <si>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</si>
  <si>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</si>
  <si>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</si>
  <si>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</si>
  <si>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</si>
  <si>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</si>
  <si>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</si>
  <si>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</si>
  <si>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</si>
  <si>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</si>
  <si>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</si>
  <si>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</si>
  <si>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</si>
  <si>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</si>
  <si>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</si>
  <si>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</si>
  <si>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</si>
  <si>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</si>
  <si>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</si>
  <si>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</si>
  <si>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</si>
  <si>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</si>
  <si>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</si>
  <si>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</si>
  <si>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</si>
  <si>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</si>
  <si>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</si>
  <si>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</si>
  <si>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</si>
  <si>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</si>
  <si>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</si>
  <si>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</si>
  <si>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</si>
  <si>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</si>
  <si>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</si>
  <si>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</si>
  <si>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</si>
  <si>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</si>
  <si>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</si>
  <si>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</si>
  <si>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</si>
  <si>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</si>
  <si>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</si>
  <si>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</si>
  <si>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</si>
  <si>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</si>
  <si>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</si>
  <si>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</si>
  <si>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</si>
  <si>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</si>
  <si>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</si>
  <si>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</si>
  <si>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</si>
  <si>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</si>
  <si>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</si>
  <si>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</si>
  <si>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</si>
  <si>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</si>
  <si>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</si>
  <si>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</si>
  <si>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</si>
  <si>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</si>
  <si>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</si>
  <si>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</si>
  <si>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</si>
  <si>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</si>
  <si>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</si>
  <si>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</si>
  <si>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</si>
  <si>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</si>
  <si>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</si>
  <si>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</si>
  <si>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</si>
  <si>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</si>
  <si>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</si>
  <si>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</si>
  <si>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</si>
  <si>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</si>
  <si>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</si>
  <si>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</si>
  <si>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</si>
  <si>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</si>
  <si>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</si>
  <si>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</si>
  <si>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</si>
  <si>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</si>
  <si>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</si>
  <si>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</si>
  <si>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</si>
  <si>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</si>
  <si>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</si>
  <si>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</si>
  <si>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</si>
  <si>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</si>
  <si>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</si>
  <si>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</si>
  <si>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</si>
  <si>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</si>
  <si>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</si>
  <si>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</si>
  <si>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</si>
  <si>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</si>
  <si>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</si>
  <si>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</si>
  <si>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</si>
  <si>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</si>
  <si>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</si>
  <si>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</si>
  <si>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</si>
  <si>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</si>
  <si>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</si>
  <si>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</si>
  <si>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</si>
  <si>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</si>
  <si>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</si>
  <si>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</si>
  <si>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</si>
  <si>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</si>
  <si>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</si>
  <si>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</si>
  <si>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</si>
  <si>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</si>
  <si>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</si>
  <si>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</si>
  <si>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</si>
  <si>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</si>
  <si>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</si>
  <si>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</si>
  <si>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</si>
  <si>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</si>
  <si>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</si>
  <si>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</si>
  <si>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</si>
  <si>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</si>
  <si>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</si>
  <si>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</si>
  <si>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</si>
  <si>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</si>
  <si>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</si>
  <si>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</si>
  <si>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</si>
  <si>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</si>
  <si>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</si>
  <si>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</si>
  <si>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</si>
  <si>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</si>
  <si>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</si>
  <si>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</si>
  <si>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</si>
  <si>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</si>
  <si>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</si>
  <si>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</si>
  <si>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</si>
  <si>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</si>
  <si>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</si>
  <si>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</si>
  <si>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</si>
  <si>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</si>
  <si>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</si>
  <si>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</si>
  <si>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</si>
  <si>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</si>
  <si>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</si>
  <si>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</si>
  <si>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</si>
  <si>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</si>
  <si>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</si>
  <si>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</si>
  <si>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</si>
  <si>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</si>
  <si>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</si>
  <si>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</si>
  <si>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</si>
  <si>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</si>
  <si>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</si>
  <si>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</si>
  <si>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</si>
  <si>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</si>
  <si>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</si>
  <si>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</si>
  <si>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</si>
  <si>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</si>
  <si>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</si>
  <si>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</si>
  <si>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</si>
  <si>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</si>
  <si>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</si>
  <si>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</si>
  <si>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</si>
  <si>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</si>
  <si>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</si>
  <si>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</si>
  <si>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</si>
  <si>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</si>
  <si>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</si>
  <si>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</si>
  <si>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</si>
  <si>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</si>
  <si>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</si>
  <si>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</si>
  <si>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</si>
  <si>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</si>
  <si>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</si>
  <si>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</si>
  <si>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</si>
  <si>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</si>
  <si>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</si>
  <si>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</si>
  <si>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</si>
  <si>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</si>
  <si>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</si>
  <si>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</si>
  <si>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</si>
  <si>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</si>
  <si>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</si>
  <si>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</si>
  <si>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</si>
  <si>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</si>
  <si>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</si>
  <si>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</si>
  <si>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</si>
  <si>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</si>
  <si>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</si>
  <si>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</si>
  <si>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</si>
  <si>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</si>
  <si>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</si>
  <si>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</si>
  <si>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</si>
  <si>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</si>
  <si>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</si>
  <si>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</si>
  <si>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</si>
  <si>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</si>
  <si>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</si>
  <si>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</si>
  <si>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</si>
  <si>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</si>
  <si>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</si>
  <si>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</si>
  <si>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</si>
  <si>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</si>
  <si>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</si>
  <si>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</si>
  <si>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</si>
  <si>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</si>
  <si>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</si>
  <si>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</si>
  <si>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</si>
  <si>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</si>
  <si>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</si>
  <si>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</si>
  <si>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</si>
  <si>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</si>
  <si>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</si>
  <si>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</si>
  <si>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</si>
  <si>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</si>
  <si>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</si>
  <si>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</si>
  <si>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</si>
  <si>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</si>
  <si>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</si>
  <si>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</si>
  <si>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</si>
  <si>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</si>
  <si>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</si>
  <si>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</si>
  <si>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</si>
  <si>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</si>
  <si>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</si>
  <si>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</si>
  <si>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</si>
  <si>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</si>
  <si>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</si>
  <si>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</si>
  <si>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</si>
  <si>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</si>
  <si>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</si>
  <si>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</si>
  <si>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</si>
  <si>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</si>
  <si>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</si>
  <si>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</si>
  <si>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</si>
  <si>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</si>
  <si>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</si>
  <si>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</si>
  <si>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</si>
  <si>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</si>
  <si>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</si>
  <si>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</si>
  <si>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</si>
  <si>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</si>
  <si>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</si>
  <si>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</si>
  <si>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</si>
  <si>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</si>
  <si>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</si>
  <si>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</si>
  <si>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</si>
  <si>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</si>
  <si>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</si>
  <si>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</si>
  <si>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</si>
  <si>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</si>
  <si>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</si>
  <si>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</si>
  <si>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</si>
  <si>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</si>
  <si>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</si>
  <si>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</si>
  <si>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</si>
  <si>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</si>
  <si>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</si>
  <si>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</si>
  <si>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</si>
  <si>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</si>
  <si>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</si>
  <si>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</si>
  <si>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</si>
  <si>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</si>
  <si>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</si>
  <si>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</si>
  <si>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</si>
  <si>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</si>
  <si>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</si>
  <si>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</si>
  <si>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</si>
  <si>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</si>
  <si>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</si>
  <si>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</si>
  <si>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</si>
  <si>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</si>
  <si>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</si>
  <si>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</si>
  <si>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</si>
  <si>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</si>
  <si>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</si>
  <si>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</si>
  <si>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</si>
  <si>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</si>
  <si>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</si>
  <si>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</si>
  <si>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</si>
  <si>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</si>
  <si>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</si>
  <si>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</si>
  <si>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</si>
  <si>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</si>
  <si>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</si>
  <si>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</si>
  <si>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</si>
  <si>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</si>
  <si>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</si>
  <si>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</si>
  <si>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</si>
  <si>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</si>
  <si>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</si>
  <si>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</si>
  <si>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</si>
  <si>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</si>
  <si>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</si>
  <si>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</si>
  <si>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</si>
  <si>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</si>
  <si>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</si>
  <si>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</si>
  <si>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</si>
  <si>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</si>
  <si>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</si>
  <si>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</si>
  <si>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</si>
  <si>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</si>
  <si>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</si>
  <si>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</si>
  <si>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</si>
  <si>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</si>
  <si>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</si>
  <si>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</si>
  <si>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</si>
  <si>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</si>
  <si>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</si>
  <si>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</si>
  <si>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</si>
  <si>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</si>
  <si>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</si>
  <si>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</si>
  <si>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</si>
  <si>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</si>
  <si>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</si>
  <si>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</si>
  <si>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</si>
  <si>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</si>
  <si>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</si>
  <si>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</si>
  <si>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</si>
  <si>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</si>
  <si>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</si>
  <si>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</si>
  <si>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</si>
  <si>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</si>
  <si>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</si>
  <si>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</si>
  <si>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</si>
  <si>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</si>
  <si>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</si>
  <si>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</si>
  <si>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</si>
  <si>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</si>
  <si>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</si>
  <si>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</si>
  <si>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</si>
  <si>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</si>
  <si>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</si>
  <si>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</si>
  <si>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</si>
  <si>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</si>
  <si>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</si>
  <si>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</si>
  <si>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</si>
  <si>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</si>
  <si>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</si>
  <si>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</si>
  <si>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</si>
  <si>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</si>
  <si>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</si>
  <si>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</si>
  <si>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</si>
  <si>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</si>
  <si>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</si>
  <si>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</si>
  <si>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</si>
  <si>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</si>
  <si>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</si>
  <si>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</si>
  <si>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</si>
  <si>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</si>
  <si>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</si>
  <si>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</si>
  <si>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</si>
  <si>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</si>
  <si>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</si>
  <si>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</si>
  <si>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</si>
  <si>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</si>
  <si>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</si>
  <si>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</si>
  <si>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</si>
  <si>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</si>
  <si>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</si>
  <si>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</si>
  <si>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</si>
  <si>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</si>
  <si>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</si>
  <si>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</si>
  <si>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</si>
  <si>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</si>
  <si>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</si>
  <si>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</si>
  <si>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</si>
  <si>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</si>
  <si>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</si>
  <si>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</si>
  <si>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</si>
  <si>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</si>
  <si>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</si>
  <si>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</si>
  <si>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</si>
  <si>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</si>
  <si>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</si>
  <si>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</si>
  <si>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</si>
  <si>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</si>
  <si>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</si>
  <si>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</si>
  <si>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</si>
  <si>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</si>
  <si>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</si>
  <si>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</si>
  <si>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</si>
  <si>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</si>
  <si>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</si>
  <si>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</si>
  <si>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</si>
  <si>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</si>
  <si>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</si>
  <si>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</si>
  <si>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</si>
  <si>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</si>
  <si>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</si>
  <si>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</si>
  <si>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</si>
  <si>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</si>
  <si>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</si>
  <si>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</si>
  <si>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</si>
  <si>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</si>
  <si>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</si>
  <si>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</si>
  <si>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</si>
  <si>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</si>
  <si>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</si>
  <si>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</si>
  <si>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</si>
  <si>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</si>
  <si>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</si>
  <si>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</si>
  <si>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</si>
  <si>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</si>
  <si>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</si>
  <si>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</si>
  <si>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</si>
  <si>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</si>
  <si>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</si>
  <si>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</si>
  <si>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</si>
  <si>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</si>
  <si>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</si>
  <si>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</si>
  <si>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</si>
  <si>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</si>
  <si>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</si>
  <si>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</si>
  <si>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</si>
  <si>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</si>
  <si>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</si>
  <si>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</si>
  <si>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</si>
  <si>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</si>
  <si>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</si>
  <si>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</si>
  <si>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</si>
  <si>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</si>
  <si>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</si>
  <si>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</si>
  <si>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</si>
  <si>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</si>
  <si>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</si>
  <si>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</si>
  <si>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</si>
  <si>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</si>
  <si>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</si>
  <si>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</si>
  <si>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</si>
  <si>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</si>
  <si>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</si>
  <si>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</si>
  <si>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</si>
  <si>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</si>
  <si>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</si>
  <si>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</si>
  <si>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</si>
  <si>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</si>
  <si>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</si>
  <si>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</si>
  <si>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</si>
  <si>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</si>
  <si>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</si>
  <si>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</si>
  <si>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</si>
  <si>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</si>
  <si>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</si>
  <si>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</si>
  <si>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</si>
  <si>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</si>
  <si>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</si>
  <si>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</si>
  <si>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</si>
  <si>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</si>
  <si>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</si>
  <si>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</si>
  <si>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</si>
  <si>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</si>
  <si>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</si>
  <si>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</si>
  <si>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</si>
  <si>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</si>
  <si>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</si>
  <si>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</si>
  <si>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</si>
  <si>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</si>
  <si>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</si>
  <si>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</si>
  <si>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</si>
  <si>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</si>
  <si>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</si>
  <si>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</si>
  <si>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</si>
  <si>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</si>
  <si>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</si>
  <si>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</si>
  <si>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</si>
  <si>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</si>
  <si>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</si>
  <si>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</si>
  <si>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</si>
  <si>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</si>
  <si>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</si>
  <si>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</si>
  <si>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</si>
  <si>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</si>
  <si>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</si>
  <si>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</si>
  <si>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</si>
  <si>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</si>
  <si>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</si>
  <si>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</si>
  <si>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</si>
  <si>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</si>
  <si>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</si>
  <si>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</si>
  <si>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</si>
  <si>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</si>
  <si>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</si>
  <si>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</si>
  <si>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</si>
  <si>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</si>
  <si>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</si>
  <si>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</si>
  <si>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</si>
  <si>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</si>
  <si>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</si>
  <si>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</si>
  <si>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</si>
  <si>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</si>
  <si>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</si>
  <si>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</si>
  <si>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</si>
  <si>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</si>
  <si>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</si>
  <si>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</si>
  <si>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</si>
  <si>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</si>
  <si>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</si>
  <si>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</si>
  <si>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</si>
  <si>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</si>
  <si>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</si>
  <si>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</si>
  <si>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</si>
  <si>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</si>
  <si>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</si>
  <si>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</si>
  <si>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</si>
  <si>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</si>
  <si>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</si>
  <si>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</si>
  <si>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</si>
  <si>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</si>
  <si>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</si>
  <si>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</si>
  <si>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</si>
  <si>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</si>
  <si>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</si>
  <si>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</si>
  <si>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</si>
  <si>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</si>
  <si>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</si>
  <si>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</si>
  <si>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</si>
  <si>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</si>
  <si>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</si>
  <si>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</si>
  <si>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</si>
  <si>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</si>
  <si>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</si>
  <si>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</si>
  <si>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</si>
  <si>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</si>
  <si>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</si>
  <si>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</si>
  <si>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</si>
  <si>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</si>
  <si>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</si>
  <si>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</si>
  <si>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</si>
  <si>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</si>
  <si>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</si>
  <si>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</si>
  <si>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</si>
  <si>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</si>
  <si>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</si>
  <si>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</si>
  <si>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</si>
  <si>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</si>
  <si>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</si>
  <si>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</si>
  <si>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</si>
  <si>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</si>
  <si>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</si>
  <si>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</si>
  <si>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</si>
  <si>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</si>
  <si>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</si>
  <si>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</si>
  <si>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</si>
  <si>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</si>
  <si>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</si>
  <si>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</si>
  <si>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</si>
  <si>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</si>
  <si>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</si>
  <si>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</si>
  <si>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</si>
  <si>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</si>
  <si>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</si>
  <si>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</si>
  <si>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</si>
  <si>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</si>
  <si>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</si>
  <si>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</si>
  <si>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</si>
  <si>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</si>
  <si>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</si>
  <si>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</si>
  <si>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</si>
  <si>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</si>
  <si>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</si>
  <si>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</si>
  <si>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</si>
  <si>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</si>
  <si>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</si>
  <si>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</si>
  <si>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</si>
  <si>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</si>
  <si>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</si>
  <si>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</si>
  <si>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</si>
  <si>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</si>
  <si>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</si>
  <si>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</si>
  <si>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</si>
  <si>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</si>
  <si>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</si>
  <si>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</si>
  <si>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</si>
  <si>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</si>
  <si>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</si>
  <si>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</si>
  <si>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</si>
  <si>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</si>
  <si>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</si>
  <si>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</si>
  <si>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</si>
  <si>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</si>
  <si>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</si>
  <si>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</si>
  <si>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</si>
  <si>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</si>
  <si>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</si>
  <si>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</si>
  <si>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</si>
  <si>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</si>
  <si>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</si>
  <si>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</si>
  <si>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</si>
  <si>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</si>
  <si>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</si>
  <si>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</si>
  <si>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</si>
  <si>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</si>
  <si>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</si>
  <si>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</si>
  <si>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</si>
  <si>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</si>
  <si>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</si>
  <si>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</si>
  <si>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</si>
  <si>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</si>
  <si>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</si>
  <si>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</si>
  <si>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</si>
  <si>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</si>
  <si>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</si>
  <si>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</si>
  <si>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</si>
  <si>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</si>
  <si>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</si>
  <si>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</si>
  <si>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</si>
  <si>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</si>
  <si>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</si>
  <si>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</si>
  <si>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</si>
  <si>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</si>
  <si>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</si>
  <si>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</si>
  <si>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</si>
  <si>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</si>
  <si>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</si>
  <si>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</si>
  <si>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</si>
  <si>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</si>
  <si>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</si>
  <si>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</si>
  <si>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</si>
  <si>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</si>
  <si>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</si>
  <si>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</si>
  <si>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</si>
  <si>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</si>
  <si>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</si>
  <si>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</si>
  <si>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</si>
  <si>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</si>
  <si>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</si>
  <si>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</si>
  <si>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</si>
  <si>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</si>
  <si>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</si>
  <si>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</si>
  <si>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</si>
  <si>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</si>
  <si>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</si>
  <si>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</si>
  <si>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</si>
  <si>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</si>
  <si>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</si>
  <si>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</si>
  <si>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</si>
  <si>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</si>
  <si>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</si>
  <si>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</si>
  <si>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</si>
  <si>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</si>
  <si>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</si>
  <si>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</si>
  <si>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</si>
  <si>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</si>
  <si>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</si>
  <si>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</si>
  <si>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</si>
  <si>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</si>
  <si>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</si>
  <si>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</si>
  <si>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</si>
  <si>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</si>
  <si>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</si>
  <si>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</si>
  <si>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</si>
  <si>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</si>
  <si>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</si>
  <si>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</si>
  <si>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</si>
  <si>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</si>
  <si>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</si>
  <si>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</si>
  <si>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</si>
  <si>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</si>
  <si>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</si>
  <si>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</si>
  <si>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</si>
  <si>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</si>
  <si>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</si>
  <si>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</si>
  <si>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</si>
  <si>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</si>
  <si>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</si>
  <si>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</si>
  <si>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</si>
  <si>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</si>
  <si>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</si>
  <si>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</si>
  <si>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</si>
  <si>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</si>
  <si>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</si>
  <si>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</si>
  <si>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</si>
  <si>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</si>
  <si>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</si>
  <si>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</si>
  <si>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</si>
  <si>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</si>
  <si>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</si>
  <si>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</si>
  <si>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</si>
  <si>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</si>
  <si>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</si>
  <si>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</si>
  <si>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</si>
  <si>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</si>
  <si>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</si>
  <si>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</si>
  <si>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</si>
  <si>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</si>
  <si>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</si>
  <si>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</si>
  <si>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</si>
  <si>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</si>
  <si>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</si>
  <si>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</si>
  <si>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</si>
  <si>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</si>
  <si>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</si>
  <si>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</si>
  <si>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</si>
  <si>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</si>
  <si>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</si>
  <si>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</si>
  <si>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</si>
  <si>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</si>
  <si>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</si>
  <si>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</si>
  <si>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</si>
  <si>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</si>
  <si>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</si>
  <si>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</si>
  <si>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</si>
  <si>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</si>
  <si>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</si>
  <si>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</si>
  <si>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</si>
  <si>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</si>
  <si>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</si>
  <si>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</si>
  <si>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</si>
  <si>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</si>
  <si>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</si>
  <si>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</si>
  <si>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</si>
  <si>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</si>
  <si>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</si>
  <si>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</si>
  <si>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</si>
  <si>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</si>
  <si>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</si>
  <si>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</si>
  <si>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</si>
  <si>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</si>
  <si>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</si>
  <si>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</si>
  <si>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</si>
  <si>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</si>
  <si>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</si>
  <si>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</si>
  <si>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</si>
  <si>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</si>
  <si>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</si>
  <si>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</si>
  <si>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</si>
  <si>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</si>
  <si>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</si>
  <si>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</si>
  <si>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</si>
  <si>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</si>
  <si>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</si>
  <si>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</si>
  <si>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</si>
  <si>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</si>
  <si>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</si>
  <si>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</si>
  <si>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</si>
  <si>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</si>
  <si>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</si>
  <si>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</si>
  <si>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</si>
  <si>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</si>
  <si>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</si>
  <si>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</si>
  <si>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</si>
  <si>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</si>
  <si>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</si>
  <si>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</si>
  <si>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</si>
  <si>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</si>
  <si>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</si>
  <si>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</si>
  <si>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</si>
  <si>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</si>
  <si>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</si>
  <si>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</si>
  <si>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</si>
  <si>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</si>
  <si>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</si>
  <si>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</si>
  <si>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</si>
  <si>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</si>
  <si>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</si>
  <si>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</si>
  <si>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</si>
  <si>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</si>
  <si>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</si>
  <si>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</si>
  <si>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</si>
  <si>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</si>
  <si>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</si>
  <si>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</si>
  <si>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</si>
  <si>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</si>
  <si>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</si>
  <si>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</si>
  <si>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</si>
  <si>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</si>
  <si>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</si>
  <si>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</si>
  <si>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</si>
  <si>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</si>
  <si>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</si>
  <si>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</si>
  <si>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</si>
  <si>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</si>
  <si>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</si>
  <si>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</si>
  <si>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</si>
  <si>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</si>
  <si>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</si>
  <si>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</si>
  <si>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</si>
  <si>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</si>
  <si>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</si>
  <si>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</si>
  <si>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</si>
  <si>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</si>
  <si>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</si>
  <si>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</si>
  <si>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</si>
  <si>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</si>
  <si>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</si>
  <si>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</si>
  <si>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</si>
  <si>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</si>
  <si>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</si>
  <si>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</si>
  <si>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</si>
  <si>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</si>
  <si>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</si>
  <si>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</si>
  <si>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</si>
  <si>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</si>
  <si>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</si>
  <si>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</si>
  <si>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</si>
  <si>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</si>
  <si>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</si>
  <si>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</si>
  <si>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</si>
  <si>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</si>
  <si>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</si>
  <si>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</si>
  <si>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</si>
  <si>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</si>
  <si>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</si>
  <si>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</si>
  <si>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</si>
  <si>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</si>
  <si>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</si>
  <si>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</si>
  <si>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</si>
  <si>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</si>
  <si>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</si>
  <si>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</si>
  <si>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</si>
  <si>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</si>
  <si>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</si>
  <si>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</si>
  <si>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</si>
  <si>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</si>
  <si>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</si>
  <si>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</si>
  <si>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</si>
  <si>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</si>
  <si>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</si>
  <si>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</si>
  <si>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</si>
  <si>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</si>
  <si>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</si>
  <si>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</si>
  <si>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</si>
  <si>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</si>
  <si>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</si>
  <si>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</si>
  <si>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</si>
  <si>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</si>
  <si>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</si>
  <si>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</si>
  <si>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</si>
  <si>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</si>
  <si>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</si>
  <si>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</si>
  <si>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</si>
  <si>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</si>
  <si>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</si>
  <si>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</si>
  <si>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</si>
  <si>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</si>
  <si>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</si>
  <si>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</si>
  <si>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</si>
  <si>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</si>
  <si>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</si>
  <si>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</si>
  <si>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</si>
  <si>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</si>
  <si>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</si>
  <si>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</si>
  <si>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</si>
  <si>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</si>
  <si>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</si>
  <si>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</si>
  <si>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</si>
  <si>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</si>
  <si>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</si>
  <si>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</si>
  <si>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</si>
  <si>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</si>
  <si>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</si>
  <si>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</si>
  <si>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</si>
  <si>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</si>
  <si>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</si>
  <si>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</si>
  <si>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</si>
  <si>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</si>
  <si>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</si>
  <si>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</si>
  <si>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</si>
  <si>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</si>
  <si>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</si>
  <si>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</si>
  <si>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</si>
  <si>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</si>
  <si>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</si>
  <si>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</si>
  <si>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</si>
  <si>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</si>
  <si>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</si>
  <si>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</si>
  <si>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</si>
  <si>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</si>
  <si>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</si>
  <si>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</si>
  <si>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</si>
  <si>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</si>
  <si>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</si>
  <si>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</si>
  <si>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</si>
  <si>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</si>
  <si>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</si>
  <si>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</si>
  <si>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</si>
  <si>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</si>
  <si>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</si>
  <si>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</si>
  <si>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</si>
  <si>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</si>
  <si>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</si>
  <si>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</si>
  <si>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</si>
  <si>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</si>
  <si>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</si>
  <si>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</si>
  <si>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</si>
  <si>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</si>
  <si>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</si>
  <si>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</si>
  <si>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</si>
  <si>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</si>
  <si>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</si>
  <si>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</si>
  <si>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</si>
  <si>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</si>
  <si>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</si>
  <si>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</si>
  <si>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</si>
  <si>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</si>
  <si>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</si>
  <si>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</si>
  <si>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</si>
  <si>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</si>
  <si>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</si>
  <si>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</si>
  <si>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</si>
  <si>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</si>
  <si>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</si>
  <si>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</si>
  <si>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</si>
  <si>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</si>
  <si>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</si>
  <si>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</si>
  <si>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</si>
  <si>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</si>
  <si>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</si>
  <si>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</si>
  <si>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</si>
  <si>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</si>
  <si>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</si>
  <si>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</si>
  <si>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</si>
  <si>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</si>
  <si>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</si>
  <si>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</si>
  <si>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</si>
  <si>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</si>
  <si>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</si>
  <si>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</si>
  <si>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</si>
  <si>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</si>
  <si>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</si>
  <si>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</si>
  <si>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</si>
  <si>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</si>
  <si>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</si>
  <si>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</si>
  <si>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</si>
  <si>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</si>
  <si>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</si>
  <si>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</si>
  <si>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</si>
  <si>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</si>
  <si>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</si>
  <si>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</si>
  <si>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</si>
  <si>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</si>
  <si>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</si>
  <si>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</si>
  <si>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</si>
  <si>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</si>
  <si>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</si>
  <si>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</si>
  <si>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</si>
  <si>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</si>
  <si>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</si>
  <si>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</si>
  <si>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</si>
  <si>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</si>
  <si>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</si>
  <si>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</si>
  <si>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</si>
  <si>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</si>
  <si>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</si>
  <si>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</si>
  <si>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</si>
  <si>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</si>
  <si>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</si>
  <si>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</si>
  <si>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</si>
  <si>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</si>
  <si>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</si>
  <si>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</si>
  <si>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</si>
  <si>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</si>
  <si>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</si>
  <si>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</si>
  <si>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</si>
  <si>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</si>
  <si>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</si>
  <si>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</si>
  <si>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</si>
  <si>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</si>
  <si>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</si>
  <si>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</si>
  <si>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</si>
  <si>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</si>
  <si>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</si>
  <si>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</si>
  <si>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</si>
  <si>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</si>
  <si>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</si>
  <si>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</si>
  <si>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</si>
  <si>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</si>
  <si>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</si>
  <si>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</si>
  <si>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</si>
  <si>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</si>
  <si>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</si>
  <si>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</si>
  <si>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</si>
  <si>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</si>
  <si>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</si>
  <si>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</si>
  <si>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</si>
  <si>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</si>
  <si>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</si>
  <si>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</si>
  <si>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</si>
  <si>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</si>
  <si>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</si>
  <si>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</si>
  <si>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</si>
  <si>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</si>
  <si>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</si>
  <si>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</si>
  <si>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</si>
  <si>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</si>
  <si>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</si>
  <si>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</si>
  <si>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</si>
  <si>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</si>
  <si>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</si>
  <si>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</si>
  <si>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</si>
  <si>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</si>
  <si>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</si>
  <si>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</si>
  <si>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</si>
  <si>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</si>
  <si>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</si>
  <si>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</si>
  <si>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</si>
  <si>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</si>
  <si>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</si>
  <si>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</si>
  <si>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</si>
  <si>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</si>
  <si>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</si>
  <si>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</si>
  <si>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</si>
  <si>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</si>
  <si>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</si>
  <si>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</si>
  <si>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</si>
  <si>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</si>
  <si>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</si>
  <si>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</si>
  <si>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</si>
  <si>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</si>
  <si>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</si>
  <si>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</si>
  <si>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</si>
  <si>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</si>
  <si>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</si>
  <si>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</si>
  <si>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</si>
  <si>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</si>
  <si>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</si>
  <si>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</si>
  <si>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</si>
  <si>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</si>
  <si>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</si>
  <si>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</si>
  <si>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</si>
  <si>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</si>
  <si>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</si>
  <si>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</si>
  <si>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</si>
  <si>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</si>
  <si>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</si>
  <si>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</si>
  <si>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</si>
  <si>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</si>
  <si>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</si>
  <si>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</si>
  <si>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</si>
  <si>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</si>
  <si>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</si>
  <si>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</si>
  <si>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</si>
  <si>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</si>
  <si>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</si>
  <si>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</si>
  <si>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</si>
  <si>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</si>
  <si>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</si>
  <si>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</si>
  <si>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</si>
  <si>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</si>
  <si>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</si>
  <si>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</si>
  <si>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</si>
  <si>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</si>
  <si>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</si>
  <si>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</si>
  <si>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</si>
  <si>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</si>
  <si>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</si>
  <si>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</si>
  <si>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</si>
  <si>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</si>
  <si>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</si>
  <si>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</si>
  <si>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</si>
  <si>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</si>
  <si>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</si>
  <si>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</si>
  <si>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</si>
  <si>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</si>
  <si>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</si>
  <si>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</si>
  <si>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</si>
  <si>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</si>
  <si>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</si>
  <si>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</si>
  <si>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</si>
  <si>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</si>
  <si>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</si>
  <si>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</si>
  <si>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</si>
  <si>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</si>
  <si>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</si>
  <si>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</si>
  <si>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</si>
  <si>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</si>
  <si>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</si>
  <si>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</si>
  <si>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</si>
  <si>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</si>
  <si>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</si>
  <si>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</si>
  <si>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</si>
  <si>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</si>
  <si>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</si>
  <si>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</si>
  <si>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</si>
  <si>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</si>
  <si>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</si>
  <si>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</si>
  <si>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</si>
  <si>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</si>
  <si>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</si>
  <si>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</si>
  <si>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</si>
  <si>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</si>
  <si>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</si>
  <si>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</si>
  <si>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</si>
  <si>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</si>
  <si>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</si>
  <si>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</si>
  <si>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</si>
  <si>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</si>
  <si>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</si>
  <si>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</si>
  <si>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</si>
  <si>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</si>
  <si>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</si>
  <si>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</si>
  <si>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</si>
  <si>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</si>
  <si>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</si>
  <si>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</si>
  <si>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</si>
  <si>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</si>
  <si>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</si>
  <si>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</si>
  <si>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</si>
  <si>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</si>
  <si>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</si>
  <si>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</si>
  <si>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</si>
  <si>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</si>
  <si>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</si>
  <si>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</si>
  <si>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</si>
  <si>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</si>
  <si>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</si>
  <si>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</si>
  <si>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</si>
  <si>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</si>
  <si>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</si>
  <si>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</si>
  <si>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</si>
  <si>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</si>
  <si>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</si>
  <si>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</si>
  <si>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</si>
  <si>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</si>
  <si>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</si>
  <si>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</si>
  <si>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</si>
  <si>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</si>
  <si>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</si>
  <si>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</si>
  <si>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</si>
  <si>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</si>
  <si>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</si>
  <si>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</si>
  <si>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</si>
  <si>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</si>
  <si>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</si>
  <si>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</si>
  <si>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</si>
  <si>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</si>
  <si>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</si>
  <si>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</si>
  <si>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</si>
  <si>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</si>
  <si>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</si>
  <si>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</si>
  <si>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</si>
  <si>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</si>
  <si>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</si>
  <si>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</si>
  <si>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</si>
  <si>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</si>
  <si>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</si>
  <si>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</si>
  <si>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</si>
  <si>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</si>
  <si>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</si>
  <si>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</si>
  <si>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</si>
  <si>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</si>
  <si>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</si>
  <si>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</si>
  <si>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</si>
  <si>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</si>
  <si>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</si>
  <si>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</si>
  <si>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</si>
  <si>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</si>
  <si>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</si>
  <si>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</si>
  <si>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</si>
  <si>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</si>
  <si>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</si>
  <si>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</si>
  <si>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</si>
  <si>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</si>
  <si>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</si>
  <si>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</si>
  <si>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</si>
  <si>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</si>
  <si>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</si>
  <si>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</si>
  <si>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</si>
  <si>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</si>
  <si>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</si>
  <si>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</si>
  <si>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</si>
  <si>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</si>
  <si>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</si>
  <si>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</si>
  <si>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</si>
  <si>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</si>
  <si>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</si>
  <si>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</si>
  <si>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</si>
  <si>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</si>
  <si>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</si>
  <si>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</si>
  <si>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</si>
  <si>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</si>
  <si>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</si>
  <si>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</si>
  <si>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</si>
  <si>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</si>
  <si>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</si>
  <si>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</si>
  <si>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</si>
  <si>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</si>
  <si>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</si>
  <si>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</si>
  <si>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</si>
  <si>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</si>
  <si>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</si>
  <si>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</si>
  <si>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</si>
  <si>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</si>
  <si>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</si>
  <si>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</si>
  <si>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</si>
  <si>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</si>
  <si>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</si>
  <si>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</si>
  <si>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</si>
  <si>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</si>
  <si>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</si>
  <si>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</si>
  <si>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</si>
  <si>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</si>
  <si>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</si>
  <si>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</si>
  <si>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</si>
  <si>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</si>
  <si>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</si>
  <si>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</si>
  <si>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</si>
  <si>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</si>
  <si>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</si>
  <si>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</si>
  <si>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</si>
  <si>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</si>
  <si>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</si>
  <si>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</si>
  <si>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</si>
  <si>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</si>
  <si>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</si>
  <si>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</si>
  <si>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</si>
  <si>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</si>
  <si>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</si>
  <si>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</si>
  <si>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</si>
  <si>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</si>
  <si>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</si>
  <si>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</si>
  <si>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</si>
  <si>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</si>
  <si>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</si>
  <si>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</si>
  <si>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</si>
  <si>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</si>
  <si>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</si>
  <si>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</si>
  <si>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</si>
  <si>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</si>
  <si>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</si>
  <si>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</si>
  <si>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</si>
  <si>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</si>
  <si>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</si>
  <si>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</si>
  <si>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</si>
  <si>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</si>
  <si>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</si>
  <si>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</si>
  <si>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</si>
  <si>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</si>
  <si>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</si>
  <si>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</si>
  <si>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</si>
  <si>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</si>
  <si>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</si>
  <si>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</si>
  <si>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</si>
  <si>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</si>
  <si>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</si>
  <si>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</si>
  <si>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</si>
  <si>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</si>
  <si>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</si>
  <si>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</si>
  <si>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</si>
  <si>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</si>
  <si>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</si>
  <si>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</si>
  <si>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</si>
  <si>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</si>
  <si>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</si>
  <si>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</si>
  <si>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</si>
  <si>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</si>
  <si>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</si>
  <si>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</si>
  <si>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</si>
  <si>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</si>
  <si>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</si>
  <si>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</si>
  <si>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</si>
  <si>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</si>
  <si>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</si>
  <si>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</si>
  <si>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</si>
  <si>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</si>
  <si>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</si>
  <si>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</si>
  <si>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</si>
  <si>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</si>
  <si>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</si>
  <si>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</si>
  <si>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</si>
  <si>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</si>
  <si>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</si>
  <si>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</si>
  <si>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</si>
  <si>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</si>
  <si>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</si>
  <si>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</si>
  <si>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</si>
  <si>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</si>
  <si>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</si>
  <si>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</si>
  <si>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</si>
  <si>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</si>
  <si>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</si>
  <si>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</si>
  <si>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</si>
  <si>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</si>
  <si>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</si>
  <si>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</si>
  <si>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</si>
  <si>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</si>
  <si>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</si>
  <si>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</si>
  <si>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</si>
  <si>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</si>
  <si>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</si>
  <si>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</si>
  <si>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</si>
  <si>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</si>
  <si>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</si>
  <si>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</si>
  <si>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</si>
  <si>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</si>
  <si>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</si>
  <si>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</si>
  <si>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</si>
  <si>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</si>
  <si>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</si>
  <si>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</si>
  <si>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</si>
  <si>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</si>
  <si>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</si>
  <si>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</si>
  <si>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</si>
  <si>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</si>
  <si>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</si>
  <si>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</si>
  <si>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</si>
  <si>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</si>
  <si>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</si>
  <si>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</si>
  <si>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</si>
  <si>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</si>
  <si>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</si>
  <si>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</si>
  <si>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</si>
  <si>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</si>
  <si>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</si>
  <si>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</si>
  <si>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</si>
  <si>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</si>
  <si>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</si>
  <si>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</si>
  <si>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</si>
  <si>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</si>
  <si>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</si>
  <si>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</si>
  <si>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</si>
  <si>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</si>
  <si>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</si>
  <si>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</si>
  <si>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</si>
  <si>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</si>
  <si>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</si>
  <si>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</si>
  <si>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</si>
  <si>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</si>
  <si>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</si>
  <si>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</si>
  <si>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</si>
  <si>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</si>
  <si>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</si>
  <si>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</si>
  <si>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</si>
  <si>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</si>
  <si>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</si>
  <si>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</si>
  <si>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</si>
  <si>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</si>
  <si>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</si>
  <si>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</si>
  <si>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</si>
  <si>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</si>
  <si>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</si>
  <si>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</si>
  <si>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</si>
  <si>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</si>
  <si>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</si>
  <si>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</si>
  <si>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</si>
  <si>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</si>
  <si>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</si>
  <si>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</si>
  <si>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</si>
  <si>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</si>
  <si>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</si>
  <si>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</si>
  <si>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</si>
  <si>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</si>
  <si>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</si>
  <si>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</si>
  <si>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</si>
  <si>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</si>
  <si>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</si>
  <si>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</si>
  <si>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</si>
  <si>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</si>
  <si>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</si>
  <si>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</si>
  <si>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</si>
  <si>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</si>
  <si>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</si>
  <si>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</si>
  <si>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</si>
  <si>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</si>
  <si>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</si>
  <si>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</si>
  <si>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</si>
  <si>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</si>
  <si>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</si>
  <si>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</si>
  <si>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</si>
  <si>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</si>
  <si>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</si>
  <si>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</si>
  <si>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</si>
  <si>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</si>
  <si>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</si>
  <si>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</si>
  <si>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</si>
  <si>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</si>
  <si>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</si>
  <si>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</si>
  <si>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</si>
  <si>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</si>
  <si>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</si>
  <si>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</si>
  <si>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</si>
  <si>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</si>
  <si>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</si>
  <si>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</si>
  <si>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</si>
  <si>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</si>
  <si>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</si>
  <si>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</si>
  <si>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</si>
  <si>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</si>
  <si>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</si>
  <si>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</si>
  <si>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</si>
  <si>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</si>
  <si>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</si>
  <si>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</si>
  <si>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</si>
  <si>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</si>
  <si>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</si>
  <si>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</si>
  <si>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</si>
  <si>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</si>
  <si>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</si>
  <si>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</si>
  <si>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</si>
  <si>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</si>
  <si>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</si>
  <si>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</si>
  <si>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</si>
  <si>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</si>
  <si>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</si>
  <si>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</si>
  <si>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</si>
  <si>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</si>
  <si>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</si>
  <si>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</si>
  <si>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</si>
  <si>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</si>
  <si>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</si>
  <si>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</si>
  <si>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</si>
  <si>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</si>
  <si>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</si>
  <si>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</si>
  <si>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</si>
  <si>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</si>
  <si>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</si>
  <si>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</si>
  <si>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</si>
  <si>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</si>
  <si>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</si>
  <si>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</si>
  <si>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</si>
  <si>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</si>
  <si>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</si>
  <si>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</si>
  <si>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</si>
  <si>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</si>
  <si>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</si>
  <si>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</si>
  <si>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</si>
  <si>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</si>
  <si>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</si>
  <si>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</si>
  <si>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</si>
  <si>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</si>
  <si>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</si>
  <si>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</si>
  <si>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</si>
  <si>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</si>
  <si>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</si>
  <si>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</si>
  <si>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</si>
  <si>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</si>
  <si>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</si>
  <si>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</si>
  <si>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</si>
  <si>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</si>
  <si>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</si>
  <si>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</si>
  <si>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</si>
  <si>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</si>
  <si>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</si>
  <si>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</si>
  <si>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</si>
  <si>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</si>
  <si>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</si>
  <si>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</si>
  <si>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</si>
  <si>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</si>
  <si>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</si>
  <si>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</si>
  <si>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</si>
  <si>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</si>
  <si>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</si>
  <si>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</si>
  <si>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</si>
  <si>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</si>
  <si>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</si>
  <si>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</si>
  <si>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</si>
  <si>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</si>
  <si>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</si>
  <si>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</si>
  <si>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</si>
  <si>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</si>
  <si>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</si>
  <si>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</si>
  <si>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</si>
  <si>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</si>
  <si>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</si>
  <si>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</si>
  <si>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</si>
  <si>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</si>
  <si>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</si>
  <si>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</si>
  <si>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</si>
  <si>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</si>
  <si>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</si>
  <si>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</si>
  <si>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</si>
  <si>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</si>
  <si>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</si>
  <si>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</si>
  <si>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</si>
  <si>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</si>
  <si>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</si>
  <si>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</si>
  <si>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</si>
  <si>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</si>
  <si>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</si>
  <si>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</si>
  <si>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</si>
  <si>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</si>
  <si>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</si>
  <si>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</si>
  <si>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</si>
  <si>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</si>
  <si>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</si>
  <si>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</si>
  <si>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</si>
  <si>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</si>
  <si>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</si>
  <si>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</si>
  <si>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</si>
  <si>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</si>
  <si>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</si>
  <si>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</si>
  <si>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</si>
  <si>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</si>
  <si>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</si>
  <si>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</si>
  <si>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</si>
  <si>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</si>
  <si>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</si>
  <si>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</si>
  <si>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</si>
  <si>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</si>
  <si>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</si>
  <si>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</si>
  <si>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</si>
  <si>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</si>
  <si>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</si>
  <si>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</si>
  <si>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</si>
  <si>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</si>
  <si>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</si>
  <si>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</si>
  <si>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</si>
  <si>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</si>
  <si>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</si>
  <si>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</si>
  <si>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</si>
  <si>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</si>
  <si>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</si>
  <si>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</si>
  <si>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</si>
  <si>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</si>
  <si>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</si>
  <si>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</si>
  <si>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</si>
  <si>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</si>
  <si>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</si>
  <si>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</si>
  <si>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</si>
  <si>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</si>
  <si>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</si>
  <si>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</si>
  <si>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</si>
  <si>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</si>
  <si>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</si>
  <si>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</si>
  <si>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</si>
  <si>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</si>
  <si>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</si>
  <si>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</si>
  <si>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</si>
  <si>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</si>
  <si>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</si>
  <si>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</si>
  <si>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</si>
  <si>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</si>
  <si>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</si>
  <si>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</si>
  <si>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</si>
  <si>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</si>
  <si>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</si>
  <si>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</si>
  <si>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</si>
  <si>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</si>
  <si>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</si>
  <si>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</si>
  <si>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</si>
  <si>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</si>
  <si>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</si>
  <si>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</si>
  <si>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</si>
  <si>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</si>
  <si>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</si>
  <si>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</si>
  <si>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</si>
  <si>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</si>
  <si>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</si>
  <si>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</si>
  <si>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</si>
  <si>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</si>
  <si>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</si>
  <si>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</si>
  <si>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</si>
  <si>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</si>
  <si>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</si>
  <si>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</si>
  <si>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</si>
  <si>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</si>
  <si>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</si>
  <si>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</si>
  <si>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</si>
  <si>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</si>
  <si>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</si>
  <si>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</si>
  <si>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</si>
  <si>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</si>
  <si>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</si>
  <si>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</si>
  <si>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</si>
  <si>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</si>
  <si>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</si>
  <si>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</si>
  <si>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</si>
  <si>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</si>
  <si>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</si>
  <si>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</si>
  <si>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</si>
  <si>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</si>
  <si>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</si>
  <si>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</si>
  <si>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</si>
  <si>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</si>
  <si>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</si>
  <si>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</si>
  <si>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</si>
  <si>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</si>
  <si>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</si>
  <si>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</si>
  <si>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</si>
  <si>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</si>
  <si>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</si>
  <si>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</si>
  <si>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</si>
  <si>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</si>
  <si>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</si>
  <si>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</si>
  <si>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</si>
  <si>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</si>
  <si>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</si>
  <si>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</si>
  <si>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</si>
  <si>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</si>
  <si>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</si>
  <si>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</si>
  <si>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</si>
  <si>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</si>
  <si>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</si>
  <si>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</si>
  <si>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</si>
  <si>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</si>
  <si>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</si>
  <si>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</si>
  <si>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</si>
  <si>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</si>
  <si>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</si>
  <si>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</si>
  <si>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</si>
  <si>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</si>
  <si>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</si>
  <si>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</si>
  <si>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</si>
  <si>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</si>
  <si>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</si>
  <si>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</si>
  <si>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</si>
  <si>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</si>
  <si>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</si>
  <si>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</si>
  <si>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</si>
  <si>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</si>
  <si>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</si>
  <si>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</si>
  <si>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</si>
  <si>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</si>
  <si>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</si>
  <si>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</si>
  <si>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</si>
  <si>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</si>
  <si>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</si>
  <si>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</si>
  <si>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</si>
  <si>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</si>
  <si>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</si>
  <si>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</si>
  <si>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</si>
  <si>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</si>
  <si>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</si>
  <si>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</si>
  <si>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</si>
  <si>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</si>
  <si>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</si>
  <si>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</si>
  <si>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</si>
  <si>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</si>
  <si>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</si>
  <si>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</si>
  <si>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</si>
  <si>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</si>
  <si>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</si>
  <si>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</si>
  <si>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</si>
  <si>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</si>
  <si>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</si>
  <si>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</si>
  <si>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</si>
  <si>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</si>
  <si>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</si>
  <si>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</si>
  <si>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</si>
  <si>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</si>
  <si>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</si>
  <si>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</si>
  <si>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</si>
  <si>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</si>
  <si>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</si>
  <si>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</si>
  <si>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</si>
  <si>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</si>
  <si>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</si>
  <si>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</si>
  <si>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</si>
  <si>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</si>
  <si>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</si>
  <si>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</si>
  <si>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</si>
  <si>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</si>
  <si>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</si>
  <si>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</si>
  <si>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</si>
  <si>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</si>
  <si>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</si>
  <si>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</si>
  <si>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</si>
  <si>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</si>
  <si>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</si>
  <si>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</si>
  <si>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</si>
  <si>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</si>
  <si>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</si>
  <si>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</si>
  <si>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</si>
  <si>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</si>
  <si>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</si>
  <si>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</si>
  <si>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</si>
  <si>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</si>
  <si>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</si>
  <si>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</si>
  <si>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</si>
  <si>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</si>
  <si>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</si>
  <si>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</si>
  <si>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</si>
  <si>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</si>
  <si>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</si>
  <si>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</si>
  <si>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</si>
  <si>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</si>
  <si>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</si>
  <si>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</si>
  <si>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</si>
  <si>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</si>
  <si>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</si>
  <si>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</si>
  <si>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</si>
  <si>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</si>
  <si>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</si>
  <si>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</si>
  <si>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</si>
  <si>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</si>
  <si>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</si>
  <si>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</si>
  <si>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</si>
  <si>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</si>
  <si>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</si>
  <si>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</si>
  <si>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</si>
  <si>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</si>
  <si>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</si>
  <si>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</si>
  <si>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</si>
  <si>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</si>
  <si>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</si>
  <si>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</si>
  <si>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</si>
  <si>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</si>
  <si>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</si>
  <si>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</si>
  <si>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</si>
  <si>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</si>
  <si>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</si>
  <si>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</si>
  <si>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</si>
  <si>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</si>
  <si>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</si>
  <si>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</si>
  <si>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</si>
  <si>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</si>
  <si>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</si>
  <si>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</si>
  <si>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</si>
  <si>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</si>
  <si>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</si>
  <si>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</si>
  <si>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</si>
  <si>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</si>
  <si>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</si>
  <si>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</si>
  <si>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</si>
  <si>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</si>
  <si>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</si>
  <si>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</si>
  <si>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</si>
  <si>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</si>
  <si>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</si>
  <si>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</si>
  <si>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</si>
  <si>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</si>
  <si>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</si>
  <si>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</si>
  <si>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</si>
  <si>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23.001.004</t>
  </si>
  <si>
    <t>23.001.003</t>
  </si>
  <si>
    <t>23.001.002</t>
  </si>
  <si>
    <t>22.003.004</t>
  </si>
  <si>
    <t>22.003.003</t>
  </si>
  <si>
    <t>22.003.002</t>
  </si>
  <si>
    <t>22.003.001</t>
  </si>
  <si>
    <t>22.001.004</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</si>
  <si>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</si>
  <si>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</si>
  <si>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</si>
  <si>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</si>
  <si>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</si>
  <si>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</si>
  <si>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</si>
  <si>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</si>
  <si>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</si>
  <si>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</si>
  <si>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</si>
  <si>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</si>
  <si>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</si>
  <si>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</si>
  <si>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</si>
  <si>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</si>
  <si>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</si>
  <si>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</si>
  <si>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</si>
  <si>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</si>
  <si>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</si>
  <si>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</si>
  <si>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</si>
  <si>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</si>
  <si>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</si>
  <si>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</si>
  <si>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</si>
  <si>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</si>
  <si>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</si>
  <si>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</si>
  <si>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</si>
  <si>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</si>
  <si>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</si>
  <si>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</si>
  <si>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</si>
  <si>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</si>
  <si>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</si>
  <si>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</si>
  <si>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</si>
  <si>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</si>
  <si>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</si>
  <si>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</si>
  <si>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</si>
  <si>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</si>
  <si>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</si>
  <si>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</si>
  <si>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</si>
  <si>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</si>
  <si>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</si>
  <si>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</si>
  <si>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</si>
  <si>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</si>
  <si>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</si>
  <si>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</si>
  <si>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</si>
  <si>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</si>
  <si>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</si>
  <si>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</si>
  <si>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</si>
  <si>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</si>
  <si>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</si>
  <si>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</si>
  <si>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</si>
  <si>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</si>
  <si>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</si>
  <si>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</si>
  <si>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</si>
  <si>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</si>
  <si>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</si>
  <si>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</si>
  <si>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</si>
  <si>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</si>
  <si>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</si>
  <si>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</si>
  <si>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</si>
  <si>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</si>
  <si>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</si>
  <si>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</si>
  <si>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</si>
  <si>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</si>
  <si>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</si>
  <si>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</si>
  <si>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</si>
  <si>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</si>
  <si>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</si>
  <si>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</si>
  <si>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</si>
  <si>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</si>
  <si>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</si>
  <si>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</si>
  <si>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</si>
  <si>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Recebido</t>
  </si>
  <si>
    <t>Não Solicitado</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</si>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</sst>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R$&quot;\ * #,##0.00_-;\-&quot;R$&quot;\ * #,##0.00_-;_-&quot;R$&quot;\ * &quot;-&quot;??_-;_-@_-"/>
    <numFmt numFmtId="43" formatCode="_-* #,##0.00_-;\-* #,##0.00_-;_-* &quot;-&quot;??_-;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6" formatCode="_-* #,##0.00000_-;\-* #,##0.00000_-;_-* &quot;-&quot;??_-;_-@_-"/>
    <numFmt numFmtId="178" formatCode="00\ &quot;Meses&quot;"/>
    <numFmt numFmtId="179" formatCode="00\ &quot;un&quot;"/>
    <numFmt numFmtId="186" formatCode="#,##0.00&quot; m²&quot;"/>
    <numFmt numFmtId="191" formatCode="00.00\ &quot;M²&quot;"/>
    <numFmt numFmtId="192" formatCode="0.0000000000"/>
    <numFmt numFmtId="195" formatCode="0.0%"/>
    <numFmt numFmtId="196" formatCode="_-&quot;R$&quot;* #,##0.00_-;\-&quot;R$&quot;* #,##0.00_-;_-&quot;R$&quot;* &quot;-&quot;??_-;_-@_-"/>
    <numFmt numFmtId="197" formatCode="_-[$R$-416]\ * #,##0.00_-;\-[$R$-416]\ * #,##0.00_-;_-[$R$-416]\ * &quot;-&quot;??_-;_-@_-"/>
  </numFmts>
  <fonts count="125"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sz val="10"/>
      <color rgb="FF121212"/>
      <name val="Poppins"/>
    </font>
    <font>
      <sz val="8"/>
      <color rgb="FF121212"/>
      <name val="Poppins"/>
    </font>
    <font>
      <sz val="7"/>
      <color rgb="FFFF0000"/>
      <name val="Arial"/>
      <family val="2"/>
    </font>
    <font>
      <sz val="10"/>
      <color rgb="FF000000"/>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theme="1"/>
      <name val="Arial"/>
      <family val="2"/>
      <scheme val="minor"/>
    </font>
    <font>
      <sz val="10"/>
      <name val="Arial"/>
      <family val="2"/>
    </font>
    <font>
      <b/>
      <sz val="10"/>
      <color theme="0"/>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sz val="7"/>
      <name val="Arial"/>
      <family val="2"/>
    </font>
    <font>
      <b/>
      <sz val="14"/>
      <name val="Arial"/>
      <family val="2"/>
    </font>
    <font>
      <sz val="14"/>
      <name val="Arial"/>
      <family val="2"/>
    </font>
    <font>
      <b/>
      <sz val="9.5"/>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sz val="10"/>
      <color theme="0"/>
      <name val="Arial"/>
      <family val="2"/>
      <scheme val="minor"/>
    </font>
    <font>
      <sz val="10"/>
      <color theme="0"/>
      <name val="Arial"/>
      <family val="2"/>
    </font>
    <font>
      <b/>
      <sz val="10"/>
      <name val="Arial"/>
      <family val="2"/>
    </font>
    <font>
      <b/>
      <i/>
      <sz val="12"/>
      <color theme="1"/>
      <name val="Arial"/>
      <family val="2"/>
      <scheme val="minor"/>
    </font>
    <font>
      <b/>
      <sz val="10"/>
      <color theme="1"/>
      <name val="Arial"/>
      <family val="2"/>
      <scheme val="minor"/>
    </font>
    <font>
      <b/>
      <i/>
      <sz val="10"/>
      <name val="Arial"/>
      <family val="2"/>
      <scheme val="minor"/>
    </font>
    <font>
      <sz val="8"/>
      <name val="Calibri"/>
      <family val="2"/>
    </font>
    <font>
      <sz val="10"/>
      <color rgb="FF000000"/>
      <name val="Times New Roman"/>
      <family val="1"/>
    </font>
    <font>
      <sz val="10"/>
      <color rgb="FF000000"/>
      <name val="Arial"/>
      <scheme val="minor"/>
    </font>
    <font>
      <sz val="7"/>
      <color rgb="FF0000FF"/>
      <name val="Arial"/>
      <family val="2"/>
    </font>
    <font>
      <b/>
      <sz val="10"/>
      <color theme="0"/>
      <name val="Poppins"/>
    </font>
    <font>
      <sz val="11"/>
      <color theme="1"/>
      <name val="Arial"/>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s>
  <fills count="35">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71A0DB"/>
        <bgColor rgb="FF71A0DB"/>
      </patternFill>
    </fill>
    <fill>
      <patternFill patternType="solid">
        <fgColor rgb="FF29292F"/>
        <bgColor rgb="FF29292F"/>
      </patternFill>
    </fill>
    <fill>
      <patternFill patternType="solid">
        <fgColor rgb="FFFFFFFF"/>
        <bgColor rgb="FFFFFFFF"/>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theme="1" tint="0.249977111117893"/>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rgb="FFA077B5"/>
        <bgColor indexed="64"/>
      </patternFill>
    </fill>
    <fill>
      <patternFill patternType="solid">
        <fgColor theme="0" tint="-0.14999847407452621"/>
        <bgColor rgb="FFFFFF00"/>
      </patternFill>
    </fill>
    <fill>
      <patternFill patternType="solid">
        <fgColor theme="0" tint="-0.249977111117893"/>
        <bgColor rgb="FF71A0DB"/>
      </patternFill>
    </fill>
    <fill>
      <patternFill patternType="solid">
        <fgColor rgb="FFFFFFFF"/>
        <bgColor indexed="64"/>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s>
  <borders count="177">
    <border>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hair">
        <color indexed="64"/>
      </left>
      <right style="hair">
        <color indexed="64"/>
      </right>
      <top style="hair">
        <color indexed="64"/>
      </top>
      <bottom style="hair">
        <color indexed="64"/>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style="medium">
        <color indexed="64"/>
      </left>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style="thin">
        <color theme="2" tint="-9.9978637043366805E-2"/>
      </left>
      <right/>
      <top style="thin">
        <color theme="2" tint="-9.9978637043366805E-2"/>
      </top>
      <bottom style="thin">
        <color theme="2" tint="-9.9978637043366805E-2"/>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thin">
        <color theme="2" tint="-0.499984740745262"/>
      </left>
      <right style="thin">
        <color theme="2" tint="-0.499984740745262"/>
      </right>
      <top/>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2">
    <xf numFmtId="0" fontId="0" fillId="0" borderId="0"/>
    <xf numFmtId="43" fontId="27" fillId="0" borderId="52" applyFont="0" applyFill="0" applyBorder="0" applyAlignment="0" applyProtection="0"/>
    <xf numFmtId="165" fontId="55" fillId="0" borderId="52" applyFont="0" applyFill="0" applyBorder="0" applyAlignment="0" applyProtection="0"/>
    <xf numFmtId="0" fontId="55" fillId="0" borderId="52"/>
    <xf numFmtId="44" fontId="57" fillId="0" borderId="0" applyFont="0" applyFill="0" applyBorder="0" applyAlignment="0" applyProtection="0"/>
    <xf numFmtId="0" fontId="29" fillId="0" borderId="52"/>
    <xf numFmtId="9" fontId="29" fillId="0" borderId="52"/>
    <xf numFmtId="0" fontId="54" fillId="0" borderId="52"/>
    <xf numFmtId="0" fontId="26" fillId="0" borderId="52"/>
    <xf numFmtId="0" fontId="29" fillId="0" borderId="52" applyNumberFormat="0" applyFont="0" applyFill="0" applyBorder="0" applyAlignment="0" applyProtection="0"/>
    <xf numFmtId="44" fontId="29" fillId="0" borderId="52" applyFont="0" applyFill="0" applyBorder="0" applyAlignment="0" applyProtection="0"/>
    <xf numFmtId="44" fontId="26" fillId="0" borderId="52" applyFont="0" applyFill="0" applyBorder="0" applyAlignment="0" applyProtection="0"/>
    <xf numFmtId="43" fontId="26" fillId="0" borderId="52" applyFont="0" applyFill="0" applyBorder="0" applyAlignment="0" applyProtection="0"/>
    <xf numFmtId="0" fontId="58" fillId="0" borderId="52"/>
    <xf numFmtId="0" fontId="60" fillId="0" borderId="52"/>
    <xf numFmtId="173" fontId="29" fillId="0" borderId="52" applyFont="0" applyFill="0" applyBorder="0" applyAlignment="0" applyProtection="0"/>
    <xf numFmtId="0" fontId="29" fillId="0" borderId="52" applyNumberFormat="0" applyFont="0" applyFill="0" applyBorder="0" applyAlignment="0" applyProtection="0"/>
    <xf numFmtId="0" fontId="25" fillId="0" borderId="52"/>
    <xf numFmtId="173" fontId="58" fillId="0" borderId="52" applyFont="0" applyFill="0" applyBorder="0" applyAlignment="0" applyProtection="0"/>
    <xf numFmtId="43" fontId="25" fillId="0" borderId="52" applyFont="0" applyFill="0" applyBorder="0" applyAlignment="0" applyProtection="0"/>
    <xf numFmtId="43" fontId="25" fillId="0" borderId="52" applyFont="0" applyFill="0" applyBorder="0" applyAlignment="0" applyProtection="0"/>
    <xf numFmtId="165" fontId="29" fillId="0" borderId="52" applyFont="0" applyFill="0" applyBorder="0" applyAlignment="0" applyProtection="0"/>
    <xf numFmtId="0" fontId="67" fillId="0" borderId="52" applyNumberFormat="0" applyFont="0" applyFill="0" applyBorder="0" applyAlignment="0" applyProtection="0"/>
    <xf numFmtId="43" fontId="57" fillId="0" borderId="0" applyFont="0" applyFill="0" applyBorder="0" applyAlignment="0" applyProtection="0"/>
    <xf numFmtId="0" fontId="24" fillId="0" borderId="52"/>
    <xf numFmtId="43" fontId="24" fillId="0" borderId="52" applyFont="0" applyFill="0" applyBorder="0" applyAlignment="0" applyProtection="0"/>
    <xf numFmtId="173" fontId="60" fillId="0" borderId="52" applyFont="0" applyFill="0" applyBorder="0" applyAlignment="0" applyProtection="0"/>
    <xf numFmtId="173" fontId="60" fillId="0" borderId="52" applyFont="0" applyFill="0" applyBorder="0" applyAlignment="0" applyProtection="0"/>
    <xf numFmtId="0" fontId="29" fillId="0" borderId="52"/>
    <xf numFmtId="0" fontId="29" fillId="0" borderId="52" applyNumberFormat="0" applyFont="0" applyFill="0" applyBorder="0" applyAlignment="0" applyProtection="0"/>
    <xf numFmtId="0" fontId="72" fillId="0" borderId="52"/>
    <xf numFmtId="43" fontId="23" fillId="0" borderId="52" applyFont="0" applyFill="0" applyBorder="0" applyAlignment="0" applyProtection="0"/>
    <xf numFmtId="0" fontId="23" fillId="0" borderId="52"/>
    <xf numFmtId="173" fontId="29" fillId="0" borderId="52" applyNumberFormat="0" applyFont="0" applyFill="0" applyBorder="0" applyAlignment="0" applyProtection="0"/>
    <xf numFmtId="0" fontId="29" fillId="0" borderId="52"/>
    <xf numFmtId="0" fontId="79" fillId="0" borderId="52" applyNumberFormat="0" applyFill="0" applyBorder="0" applyAlignment="0" applyProtection="0"/>
    <xf numFmtId="0" fontId="22" fillId="0" borderId="52"/>
    <xf numFmtId="0" fontId="22" fillId="0" borderId="52"/>
    <xf numFmtId="43" fontId="22" fillId="0" borderId="52" applyFont="0" applyFill="0" applyBorder="0" applyAlignment="0" applyProtection="0"/>
    <xf numFmtId="0" fontId="21" fillId="0" borderId="52"/>
    <xf numFmtId="0" fontId="95" fillId="0" borderId="52" applyNumberFormat="0" applyFont="0" applyFill="0" applyBorder="0" applyAlignment="0" applyProtection="0"/>
    <xf numFmtId="165" fontId="29" fillId="0" borderId="52" applyFont="0" applyFill="0" applyBorder="0" applyAlignment="0" applyProtection="0"/>
    <xf numFmtId="0" fontId="20" fillId="0" borderId="52"/>
    <xf numFmtId="43" fontId="20" fillId="0" borderId="52" applyFont="0" applyFill="0" applyBorder="0" applyAlignment="0" applyProtection="0"/>
    <xf numFmtId="173" fontId="29" fillId="0" borderId="52" applyFont="0" applyFill="0" applyBorder="0" applyAlignment="0" applyProtection="0"/>
    <xf numFmtId="0" fontId="19" fillId="0" borderId="52"/>
    <xf numFmtId="43" fontId="19" fillId="0" borderId="52" applyFont="0" applyFill="0" applyBorder="0" applyAlignment="0" applyProtection="0"/>
    <xf numFmtId="0" fontId="18" fillId="0" borderId="52"/>
    <xf numFmtId="43" fontId="18" fillId="0" borderId="52" applyFont="0" applyFill="0" applyBorder="0" applyAlignment="0" applyProtection="0"/>
    <xf numFmtId="43" fontId="18" fillId="0" borderId="52" applyFont="0" applyFill="0" applyBorder="0" applyAlignment="0" applyProtection="0"/>
    <xf numFmtId="43" fontId="18" fillId="0" borderId="52" applyFont="0" applyFill="0" applyBorder="0" applyAlignment="0" applyProtection="0"/>
    <xf numFmtId="43" fontId="18" fillId="0" borderId="52" applyFont="0" applyFill="0" applyBorder="0" applyAlignment="0" applyProtection="0"/>
    <xf numFmtId="44" fontId="18" fillId="0" borderId="52" applyFont="0" applyFill="0" applyBorder="0" applyAlignment="0" applyProtection="0"/>
    <xf numFmtId="0" fontId="18" fillId="0" borderId="52"/>
    <xf numFmtId="43" fontId="18" fillId="0" borderId="52" applyFont="0" applyFill="0" applyBorder="0" applyAlignment="0" applyProtection="0"/>
    <xf numFmtId="0" fontId="18" fillId="0" borderId="52"/>
    <xf numFmtId="0" fontId="29" fillId="0" borderId="52"/>
    <xf numFmtId="0" fontId="54" fillId="0" borderId="52"/>
    <xf numFmtId="0" fontId="17" fillId="0" borderId="52"/>
    <xf numFmtId="44" fontId="17" fillId="0" borderId="52" applyFont="0" applyFill="0" applyBorder="0" applyAlignment="0" applyProtection="0"/>
    <xf numFmtId="43" fontId="17" fillId="0" borderId="52" applyFont="0" applyFill="0" applyBorder="0" applyAlignment="0" applyProtection="0"/>
    <xf numFmtId="0" fontId="17" fillId="0" borderId="52"/>
    <xf numFmtId="43" fontId="17" fillId="0" borderId="52" applyFont="0" applyFill="0" applyBorder="0" applyAlignment="0" applyProtection="0"/>
    <xf numFmtId="9" fontId="29" fillId="0" borderId="52" applyFont="0" applyFill="0" applyBorder="0" applyAlignment="0" applyProtection="0"/>
    <xf numFmtId="0" fontId="17" fillId="0" borderId="52"/>
    <xf numFmtId="0" fontId="17" fillId="0" borderId="52"/>
    <xf numFmtId="43" fontId="17" fillId="0" borderId="52" applyFont="0" applyFill="0" applyBorder="0" applyAlignment="0" applyProtection="0"/>
    <xf numFmtId="0" fontId="17" fillId="0" borderId="52"/>
    <xf numFmtId="0" fontId="16" fillId="0" borderId="52"/>
    <xf numFmtId="43" fontId="15" fillId="0" borderId="52" applyFont="0" applyFill="0" applyBorder="0" applyAlignment="0" applyProtection="0"/>
    <xf numFmtId="0" fontId="14" fillId="0" borderId="52"/>
    <xf numFmtId="0" fontId="54" fillId="0" borderId="52"/>
    <xf numFmtId="43" fontId="14" fillId="0" borderId="52" applyFont="0" applyFill="0" applyBorder="0" applyAlignment="0" applyProtection="0"/>
    <xf numFmtId="0" fontId="14" fillId="0" borderId="52"/>
    <xf numFmtId="0" fontId="13" fillId="0" borderId="52"/>
    <xf numFmtId="43" fontId="13" fillId="0" borderId="52" applyFont="0" applyFill="0" applyBorder="0" applyAlignment="0" applyProtection="0"/>
    <xf numFmtId="44" fontId="13" fillId="0" borderId="52" applyFont="0" applyFill="0" applyBorder="0" applyAlignment="0" applyProtection="0"/>
    <xf numFmtId="0" fontId="103" fillId="0" borderId="52"/>
    <xf numFmtId="0" fontId="54" fillId="0" borderId="52"/>
    <xf numFmtId="0" fontId="12" fillId="0" borderId="52"/>
    <xf numFmtId="43" fontId="12" fillId="0" borderId="52" applyFont="0" applyFill="0" applyBorder="0" applyAlignment="0" applyProtection="0"/>
    <xf numFmtId="44" fontId="12" fillId="0" borderId="52" applyFont="0" applyFill="0" applyBorder="0" applyAlignment="0" applyProtection="0"/>
    <xf numFmtId="44" fontId="29" fillId="0" borderId="52" applyFont="0" applyFill="0" applyBorder="0" applyAlignment="0" applyProtection="0"/>
    <xf numFmtId="0" fontId="11" fillId="0" borderId="52"/>
    <xf numFmtId="43" fontId="11" fillId="0" borderId="52" applyFont="0" applyFill="0" applyBorder="0" applyAlignment="0" applyProtection="0"/>
    <xf numFmtId="44" fontId="11" fillId="0" borderId="52" applyFont="0" applyFill="0" applyBorder="0" applyAlignment="0" applyProtection="0"/>
    <xf numFmtId="0" fontId="10" fillId="0" borderId="52"/>
    <xf numFmtId="43" fontId="10" fillId="0" borderId="52" applyFont="0" applyFill="0" applyBorder="0" applyAlignment="0" applyProtection="0"/>
    <xf numFmtId="43" fontId="10" fillId="0" borderId="52" applyFont="0" applyFill="0" applyBorder="0" applyAlignment="0" applyProtection="0"/>
    <xf numFmtId="0" fontId="10" fillId="0" borderId="52"/>
    <xf numFmtId="0" fontId="104" fillId="0" borderId="52"/>
    <xf numFmtId="0" fontId="10" fillId="0" borderId="52"/>
    <xf numFmtId="0" fontId="9" fillId="0" borderId="52"/>
    <xf numFmtId="0" fontId="104" fillId="0" borderId="52"/>
    <xf numFmtId="43" fontId="54" fillId="0" borderId="52" applyFont="0" applyFill="0" applyBorder="0" applyAlignment="0" applyProtection="0"/>
    <xf numFmtId="0" fontId="9" fillId="0" borderId="52"/>
    <xf numFmtId="0" fontId="9" fillId="0" borderId="52"/>
    <xf numFmtId="43" fontId="9" fillId="0" borderId="52" applyFont="0" applyFill="0" applyBorder="0" applyAlignment="0" applyProtection="0"/>
    <xf numFmtId="0" fontId="8" fillId="0" borderId="52"/>
    <xf numFmtId="43" fontId="8" fillId="0" borderId="52" applyFont="0" applyFill="0" applyBorder="0" applyAlignment="0" applyProtection="0"/>
    <xf numFmtId="44" fontId="8" fillId="0" borderId="52" applyFont="0" applyFill="0" applyBorder="0" applyAlignment="0" applyProtection="0"/>
    <xf numFmtId="0" fontId="8" fillId="0" borderId="52"/>
    <xf numFmtId="43" fontId="8" fillId="0" borderId="52" applyFont="0" applyFill="0" applyBorder="0" applyAlignment="0" applyProtection="0"/>
    <xf numFmtId="44" fontId="8" fillId="0" borderId="52" applyFont="0" applyFill="0" applyBorder="0" applyAlignment="0" applyProtection="0"/>
    <xf numFmtId="44" fontId="54" fillId="0" borderId="52" applyFont="0" applyFill="0" applyBorder="0" applyAlignment="0" applyProtection="0"/>
    <xf numFmtId="0" fontId="8" fillId="0" borderId="52"/>
    <xf numFmtId="43" fontId="8" fillId="0" borderId="52" applyFont="0" applyFill="0" applyBorder="0" applyAlignment="0" applyProtection="0"/>
    <xf numFmtId="44" fontId="8" fillId="0" borderId="52" applyFont="0" applyFill="0" applyBorder="0" applyAlignment="0" applyProtection="0"/>
    <xf numFmtId="0" fontId="104" fillId="0" borderId="52"/>
    <xf numFmtId="0" fontId="7" fillId="0" borderId="52"/>
    <xf numFmtId="43" fontId="7" fillId="0" borderId="52" applyFont="0" applyFill="0" applyBorder="0" applyAlignment="0" applyProtection="0"/>
    <xf numFmtId="44" fontId="7" fillId="0" borderId="52" applyFont="0" applyFill="0" applyBorder="0" applyAlignment="0" applyProtection="0"/>
    <xf numFmtId="0" fontId="107" fillId="0" borderId="52"/>
    <xf numFmtId="0" fontId="104" fillId="0" borderId="52"/>
    <xf numFmtId="0" fontId="6" fillId="0" borderId="52"/>
    <xf numFmtId="0" fontId="6" fillId="0" borderId="52"/>
    <xf numFmtId="0" fontId="6" fillId="0" borderId="52"/>
    <xf numFmtId="0" fontId="29" fillId="0" borderId="52"/>
    <xf numFmtId="44" fontId="29" fillId="0" borderId="52"/>
    <xf numFmtId="43" fontId="6" fillId="0" borderId="52"/>
    <xf numFmtId="44" fontId="6" fillId="0" borderId="52"/>
    <xf numFmtId="43" fontId="29" fillId="0" borderId="52"/>
    <xf numFmtId="43" fontId="29" fillId="0" borderId="52"/>
    <xf numFmtId="0" fontId="5" fillId="0" borderId="52"/>
    <xf numFmtId="0" fontId="5" fillId="0" borderId="52"/>
    <xf numFmtId="43" fontId="5" fillId="0" borderId="52"/>
    <xf numFmtId="44" fontId="5" fillId="0" borderId="52"/>
    <xf numFmtId="0" fontId="4" fillId="0" borderId="52"/>
    <xf numFmtId="0" fontId="3" fillId="0" borderId="52"/>
    <xf numFmtId="0" fontId="2" fillId="0" borderId="52"/>
    <xf numFmtId="196" fontId="29" fillId="0" borderId="52"/>
    <xf numFmtId="0" fontId="1" fillId="0" borderId="52"/>
  </cellStyleXfs>
  <cellXfs count="637">
    <xf numFmtId="0" fontId="0" fillId="0" borderId="0" xfId="0"/>
    <xf numFmtId="0" fontId="28" fillId="0" borderId="0" xfId="0" applyFont="1" applyAlignment="1">
      <alignment vertical="center"/>
    </xf>
    <xf numFmtId="0" fontId="30" fillId="0" borderId="0" xfId="0" applyFont="1" applyAlignment="1">
      <alignment vertical="center"/>
    </xf>
    <xf numFmtId="0" fontId="30" fillId="0" borderId="0" xfId="0" applyFont="1"/>
    <xf numFmtId="0" fontId="31" fillId="0" borderId="0" xfId="0" applyFont="1"/>
    <xf numFmtId="0" fontId="31" fillId="0" borderId="0" xfId="0" applyFont="1" applyAlignment="1">
      <alignment horizontal="center"/>
    </xf>
    <xf numFmtId="167" fontId="32" fillId="0" borderId="0" xfId="0" applyNumberFormat="1" applyFont="1" applyAlignment="1">
      <alignment horizontal="center"/>
    </xf>
    <xf numFmtId="3" fontId="35" fillId="5" borderId="15" xfId="0" applyNumberFormat="1" applyFont="1" applyFill="1" applyBorder="1" applyAlignment="1">
      <alignment horizontal="left" vertical="center"/>
    </xf>
    <xf numFmtId="3" fontId="35" fillId="5" borderId="15" xfId="0" applyNumberFormat="1" applyFont="1" applyFill="1" applyBorder="1" applyAlignment="1">
      <alignment horizontal="center" vertical="center"/>
    </xf>
    <xf numFmtId="167" fontId="35" fillId="5" borderId="15" xfId="0" applyNumberFormat="1" applyFont="1" applyFill="1" applyBorder="1" applyAlignment="1">
      <alignment horizontal="left" vertical="center"/>
    </xf>
    <xf numFmtId="3" fontId="36" fillId="0" borderId="15" xfId="0" applyNumberFormat="1" applyFont="1" applyBorder="1" applyAlignment="1">
      <alignment horizontal="left" vertical="center"/>
    </xf>
    <xf numFmtId="3" fontId="36" fillId="0" borderId="15" xfId="0" applyNumberFormat="1" applyFont="1" applyBorder="1" applyAlignment="1">
      <alignment horizontal="center" vertical="center"/>
    </xf>
    <xf numFmtId="168" fontId="36" fillId="0" borderId="15" xfId="0" applyNumberFormat="1" applyFont="1" applyBorder="1" applyAlignment="1">
      <alignment horizontal="left" vertical="center"/>
    </xf>
    <xf numFmtId="167" fontId="36" fillId="0" borderId="15" xfId="0" applyNumberFormat="1" applyFont="1" applyBorder="1" applyAlignment="1">
      <alignment horizontal="left" vertical="center"/>
    </xf>
    <xf numFmtId="166" fontId="36" fillId="0" borderId="15" xfId="0" applyNumberFormat="1" applyFont="1" applyBorder="1" applyAlignment="1">
      <alignment horizontal="left" vertical="center"/>
    </xf>
    <xf numFmtId="3" fontId="36" fillId="0" borderId="15" xfId="0" applyNumberFormat="1" applyFont="1" applyBorder="1" applyAlignment="1">
      <alignment horizontal="left" vertical="center" wrapText="1"/>
    </xf>
    <xf numFmtId="3" fontId="37" fillId="0" borderId="15" xfId="0" applyNumberFormat="1" applyFont="1" applyBorder="1" applyAlignment="1">
      <alignment horizontal="left" vertical="center"/>
    </xf>
    <xf numFmtId="0" fontId="34" fillId="0" borderId="16" xfId="0" applyFont="1" applyBorder="1" applyAlignment="1">
      <alignment vertical="center"/>
    </xf>
    <xf numFmtId="169" fontId="30" fillId="0" borderId="0" xfId="0" applyNumberFormat="1" applyFont="1" applyAlignment="1">
      <alignment horizontal="center"/>
    </xf>
    <xf numFmtId="0" fontId="32" fillId="0" borderId="0" xfId="0" applyFont="1"/>
    <xf numFmtId="49" fontId="32" fillId="0" borderId="24" xfId="0" applyNumberFormat="1" applyFont="1" applyBorder="1"/>
    <xf numFmtId="0" fontId="32" fillId="0" borderId="24" xfId="0" applyFont="1" applyBorder="1" applyAlignment="1">
      <alignment horizontal="center" vertical="center"/>
    </xf>
    <xf numFmtId="0" fontId="32" fillId="0" borderId="24" xfId="0" applyFont="1" applyBorder="1"/>
    <xf numFmtId="0" fontId="32" fillId="0" borderId="24" xfId="0" applyFont="1" applyBorder="1" applyAlignment="1">
      <alignment horizontal="right"/>
    </xf>
    <xf numFmtId="0" fontId="32" fillId="0" borderId="0" xfId="0" applyFont="1" applyAlignment="1">
      <alignment horizontal="center"/>
    </xf>
    <xf numFmtId="0" fontId="32" fillId="0" borderId="0" xfId="0" applyFont="1" applyAlignment="1">
      <alignment vertical="center"/>
    </xf>
    <xf numFmtId="0" fontId="32" fillId="0" borderId="25" xfId="0" applyFont="1" applyBorder="1" applyAlignment="1">
      <alignment vertical="center"/>
    </xf>
    <xf numFmtId="0" fontId="32" fillId="0" borderId="5" xfId="0" applyFont="1" applyBorder="1" applyAlignment="1">
      <alignment vertical="center"/>
    </xf>
    <xf numFmtId="0" fontId="39" fillId="0" borderId="5" xfId="0" applyFont="1" applyBorder="1" applyAlignment="1">
      <alignment vertical="center"/>
    </xf>
    <xf numFmtId="0" fontId="39" fillId="0" borderId="5" xfId="0" applyFont="1" applyBorder="1" applyAlignment="1">
      <alignment horizontal="right" vertical="center"/>
    </xf>
    <xf numFmtId="0" fontId="40" fillId="0" borderId="5" xfId="0" applyFont="1" applyBorder="1" applyAlignment="1">
      <alignment horizontal="center" vertical="center"/>
    </xf>
    <xf numFmtId="0" fontId="32" fillId="0" borderId="1" xfId="0" applyFont="1" applyBorder="1" applyAlignment="1">
      <alignment vertical="center"/>
    </xf>
    <xf numFmtId="0" fontId="32" fillId="0" borderId="26" xfId="0" applyFont="1" applyBorder="1" applyAlignment="1">
      <alignment vertical="center"/>
    </xf>
    <xf numFmtId="0" fontId="32" fillId="0" borderId="6" xfId="0" applyFont="1" applyBorder="1" applyAlignment="1">
      <alignment vertical="center"/>
    </xf>
    <xf numFmtId="0" fontId="39" fillId="0" borderId="6" xfId="0" applyFont="1" applyBorder="1" applyAlignment="1">
      <alignment vertical="center"/>
    </xf>
    <xf numFmtId="0" fontId="39" fillId="0" borderId="6" xfId="0" applyFont="1" applyBorder="1" applyAlignment="1">
      <alignment horizontal="right" vertical="center"/>
    </xf>
    <xf numFmtId="0" fontId="40" fillId="0" borderId="6" xfId="0" applyFont="1" applyBorder="1" applyAlignment="1">
      <alignment horizontal="center" vertical="center"/>
    </xf>
    <xf numFmtId="0" fontId="32" fillId="0" borderId="27" xfId="0" applyFont="1" applyBorder="1" applyAlignment="1">
      <alignment vertical="center"/>
    </xf>
    <xf numFmtId="0" fontId="41" fillId="0" borderId="28" xfId="0" applyFont="1" applyBorder="1" applyAlignment="1">
      <alignment vertical="center"/>
    </xf>
    <xf numFmtId="0" fontId="41" fillId="0" borderId="0" xfId="0" applyFont="1" applyAlignment="1">
      <alignment vertical="center"/>
    </xf>
    <xf numFmtId="0" fontId="30" fillId="0" borderId="0" xfId="0" applyFont="1" applyAlignment="1">
      <alignment horizontal="right"/>
    </xf>
    <xf numFmtId="170" fontId="41" fillId="0" borderId="2" xfId="0" quotePrefix="1" applyNumberFormat="1" applyFont="1" applyBorder="1" applyAlignment="1">
      <alignment horizontal="left" vertical="center"/>
    </xf>
    <xf numFmtId="170" fontId="41" fillId="0" borderId="28" xfId="0" quotePrefix="1" applyNumberFormat="1" applyFont="1" applyBorder="1" applyAlignment="1">
      <alignment horizontal="left" vertical="center"/>
    </xf>
    <xf numFmtId="170" fontId="41" fillId="0" borderId="0" xfId="0" applyNumberFormat="1" applyFont="1" applyAlignment="1">
      <alignment horizontal="left" vertical="center"/>
    </xf>
    <xf numFmtId="0" fontId="30" fillId="0" borderId="0" xfId="0" applyFont="1" applyAlignment="1">
      <alignment horizontal="right" vertical="center"/>
    </xf>
    <xf numFmtId="17" fontId="30" fillId="0" borderId="0" xfId="0" applyNumberFormat="1" applyFont="1" applyAlignment="1">
      <alignment vertical="center"/>
    </xf>
    <xf numFmtId="170" fontId="30" fillId="0" borderId="2" xfId="0" applyNumberFormat="1" applyFont="1" applyBorder="1" applyAlignment="1">
      <alignment horizontal="left" vertical="center"/>
    </xf>
    <xf numFmtId="0" fontId="42" fillId="0" borderId="0" xfId="0" applyFont="1"/>
    <xf numFmtId="171" fontId="44" fillId="0" borderId="0" xfId="0" applyNumberFormat="1" applyFont="1" applyAlignment="1">
      <alignment horizontal="left" vertical="center"/>
    </xf>
    <xf numFmtId="172" fontId="44" fillId="0" borderId="0" xfId="0" applyNumberFormat="1" applyFont="1" applyAlignment="1">
      <alignment horizontal="left" vertical="center"/>
    </xf>
    <xf numFmtId="49" fontId="33" fillId="6" borderId="32" xfId="0" applyNumberFormat="1" applyFont="1" applyFill="1" applyBorder="1" applyAlignment="1">
      <alignment horizontal="center" vertical="center" wrapText="1"/>
    </xf>
    <xf numFmtId="49" fontId="33" fillId="6" borderId="32" xfId="0" applyNumberFormat="1" applyFont="1" applyFill="1" applyBorder="1" applyAlignment="1">
      <alignment horizontal="center" vertical="center"/>
    </xf>
    <xf numFmtId="49" fontId="45" fillId="6" borderId="32" xfId="0" applyNumberFormat="1" applyFont="1" applyFill="1" applyBorder="1" applyAlignment="1">
      <alignment horizontal="center" vertical="center" wrapText="1"/>
    </xf>
    <xf numFmtId="2" fontId="45" fillId="6" borderId="33" xfId="0" applyNumberFormat="1" applyFont="1" applyFill="1" applyBorder="1" applyAlignment="1">
      <alignment horizontal="center" vertical="center" wrapText="1"/>
    </xf>
    <xf numFmtId="0" fontId="45" fillId="6" borderId="3" xfId="0" applyFont="1" applyFill="1" applyBorder="1" applyAlignment="1">
      <alignment horizontal="center" vertical="center" wrapText="1"/>
    </xf>
    <xf numFmtId="0" fontId="45" fillId="6" borderId="34" xfId="0" applyFont="1" applyFill="1" applyBorder="1" applyAlignment="1">
      <alignment horizontal="center" vertical="center" wrapText="1"/>
    </xf>
    <xf numFmtId="0" fontId="45" fillId="6" borderId="35" xfId="0" applyFont="1" applyFill="1" applyBorder="1" applyAlignment="1">
      <alignment horizontal="center" vertical="center" wrapText="1"/>
    </xf>
    <xf numFmtId="0" fontId="45" fillId="6" borderId="36" xfId="0" applyFont="1" applyFill="1" applyBorder="1" applyAlignment="1">
      <alignment horizontal="center" vertical="center" wrapText="1"/>
    </xf>
    <xf numFmtId="4" fontId="34" fillId="0" borderId="16" xfId="0" applyNumberFormat="1" applyFont="1" applyBorder="1" applyAlignment="1">
      <alignment horizontal="left" vertical="center"/>
    </xf>
    <xf numFmtId="49" fontId="47" fillId="0" borderId="0" xfId="0" applyNumberFormat="1" applyFont="1" applyAlignment="1">
      <alignment vertical="center"/>
    </xf>
    <xf numFmtId="0" fontId="47" fillId="0" borderId="0" xfId="0" applyFont="1" applyAlignment="1">
      <alignment horizontal="center" vertical="center"/>
    </xf>
    <xf numFmtId="0" fontId="48" fillId="0" borderId="0" xfId="0" applyFont="1" applyAlignment="1">
      <alignment horizontal="left" vertical="center"/>
    </xf>
    <xf numFmtId="0" fontId="47" fillId="0" borderId="0" xfId="0" applyFont="1" applyAlignment="1">
      <alignment vertical="center"/>
    </xf>
    <xf numFmtId="0" fontId="48" fillId="0" borderId="0" xfId="0" applyFont="1" applyAlignment="1">
      <alignment horizontal="center" vertical="center"/>
    </xf>
    <xf numFmtId="167" fontId="48" fillId="0" borderId="0" xfId="0" applyNumberFormat="1" applyFont="1" applyAlignment="1">
      <alignment vertical="center"/>
    </xf>
    <xf numFmtId="167" fontId="36" fillId="8" borderId="15" xfId="0" applyNumberFormat="1" applyFont="1" applyFill="1" applyBorder="1" applyAlignment="1">
      <alignment horizontal="left" vertical="center"/>
    </xf>
    <xf numFmtId="0" fontId="61" fillId="0" borderId="52" xfId="13" applyFont="1" applyAlignment="1">
      <alignment vertical="center"/>
    </xf>
    <xf numFmtId="0" fontId="63" fillId="0" borderId="64" xfId="16" applyNumberFormat="1" applyFont="1" applyFill="1" applyBorder="1" applyAlignment="1">
      <alignment horizontal="center" vertical="center" wrapText="1"/>
    </xf>
    <xf numFmtId="167" fontId="36" fillId="11" borderId="15" xfId="0" applyNumberFormat="1" applyFont="1" applyFill="1" applyBorder="1" applyAlignment="1">
      <alignment horizontal="left" vertical="center"/>
    </xf>
    <xf numFmtId="0" fontId="59" fillId="0" borderId="76" xfId="13" applyFont="1" applyBorder="1" applyAlignment="1">
      <alignment vertical="center"/>
    </xf>
    <xf numFmtId="0" fontId="59" fillId="0" borderId="76" xfId="13" applyFont="1" applyBorder="1" applyAlignment="1">
      <alignment horizontal="right" vertical="center"/>
    </xf>
    <xf numFmtId="0" fontId="59" fillId="0" borderId="77" xfId="13" applyFont="1" applyBorder="1" applyAlignment="1">
      <alignment vertical="center"/>
    </xf>
    <xf numFmtId="174" fontId="62" fillId="0" borderId="77" xfId="15" quotePrefix="1" applyNumberFormat="1" applyFont="1" applyFill="1" applyBorder="1" applyAlignment="1">
      <alignment horizontal="left" vertical="center"/>
    </xf>
    <xf numFmtId="0" fontId="59" fillId="0" borderId="78" xfId="13" applyFont="1" applyBorder="1" applyAlignment="1">
      <alignment vertical="center"/>
    </xf>
    <xf numFmtId="0" fontId="64" fillId="3" borderId="60" xfId="29" applyFont="1" applyFill="1" applyBorder="1" applyAlignment="1">
      <alignment horizontal="center" vertical="center"/>
    </xf>
    <xf numFmtId="0" fontId="64" fillId="3" borderId="53" xfId="29" applyFont="1" applyFill="1" applyBorder="1" applyAlignment="1">
      <alignment horizontal="center" vertical="center"/>
    </xf>
    <xf numFmtId="0" fontId="64" fillId="3" borderId="61" xfId="29" applyFont="1" applyFill="1" applyBorder="1" applyAlignment="1">
      <alignment horizontal="center" vertical="center"/>
    </xf>
    <xf numFmtId="3" fontId="75" fillId="0" borderId="81" xfId="3" applyNumberFormat="1" applyFont="1" applyBorder="1" applyAlignment="1">
      <alignment horizontal="left" vertical="center"/>
    </xf>
    <xf numFmtId="3" fontId="75" fillId="0" borderId="81" xfId="3" applyNumberFormat="1" applyFont="1" applyBorder="1" applyAlignment="1">
      <alignment horizontal="center" vertical="center"/>
    </xf>
    <xf numFmtId="43" fontId="75" fillId="0" borderId="81" xfId="31" applyFont="1" applyBorder="1" applyAlignment="1">
      <alignment horizontal="left" vertical="center"/>
    </xf>
    <xf numFmtId="0" fontId="23" fillId="0" borderId="52" xfId="32"/>
    <xf numFmtId="176" fontId="75" fillId="0" borderId="81" xfId="31" applyNumberFormat="1" applyFont="1" applyBorder="1" applyAlignment="1">
      <alignment horizontal="left" vertical="center"/>
    </xf>
    <xf numFmtId="3" fontId="75" fillId="0" borderId="81" xfId="3" applyNumberFormat="1" applyFont="1" applyBorder="1" applyAlignment="1">
      <alignment horizontal="left" vertical="center" wrapText="1"/>
    </xf>
    <xf numFmtId="176" fontId="75" fillId="0" borderId="81" xfId="23" applyNumberFormat="1" applyFont="1" applyBorder="1" applyAlignment="1">
      <alignment horizontal="left" vertical="center"/>
    </xf>
    <xf numFmtId="3" fontId="75" fillId="0" borderId="81" xfId="0" applyNumberFormat="1" applyFont="1" applyBorder="1" applyAlignment="1">
      <alignment horizontal="left" vertical="center"/>
    </xf>
    <xf numFmtId="176" fontId="75" fillId="0" borderId="81" xfId="33" applyNumberFormat="1" applyFont="1" applyBorder="1" applyAlignment="1">
      <alignment horizontal="left" vertical="center"/>
    </xf>
    <xf numFmtId="2" fontId="35" fillId="5" borderId="15" xfId="4" applyNumberFormat="1" applyFont="1" applyFill="1" applyBorder="1" applyAlignment="1">
      <alignment horizontal="left" vertical="center"/>
    </xf>
    <xf numFmtId="2" fontId="36" fillId="0" borderId="15" xfId="4" applyNumberFormat="1" applyFont="1" applyBorder="1" applyAlignment="1">
      <alignment horizontal="left" vertical="center"/>
    </xf>
    <xf numFmtId="2" fontId="75" fillId="0" borderId="81" xfId="4" applyNumberFormat="1" applyFont="1" applyBorder="1" applyAlignment="1">
      <alignment horizontal="left" vertical="center"/>
    </xf>
    <xf numFmtId="0" fontId="29" fillId="0" borderId="52" xfId="16" applyNumberFormat="1" applyFont="1" applyFill="1" applyBorder="1" applyAlignment="1"/>
    <xf numFmtId="49" fontId="29" fillId="0" borderId="75" xfId="16" applyNumberFormat="1" applyFont="1" applyBorder="1"/>
    <xf numFmtId="0" fontId="29" fillId="0" borderId="75" xfId="16" applyFont="1" applyBorder="1" applyAlignment="1">
      <alignment horizontal="left"/>
    </xf>
    <xf numFmtId="0" fontId="29" fillId="0" borderId="75" xfId="16" applyFont="1" applyBorder="1" applyAlignment="1">
      <alignment horizontal="center" vertical="center"/>
    </xf>
    <xf numFmtId="0" fontId="29" fillId="0" borderId="75" xfId="16" applyFont="1" applyBorder="1"/>
    <xf numFmtId="0" fontId="29" fillId="0" borderId="75" xfId="16" applyFont="1" applyBorder="1" applyAlignment="1">
      <alignment horizontal="right"/>
    </xf>
    <xf numFmtId="0" fontId="29" fillId="0" borderId="52" xfId="16" applyFont="1" applyBorder="1" applyAlignment="1">
      <alignment horizontal="center"/>
    </xf>
    <xf numFmtId="0" fontId="29" fillId="0" borderId="52" xfId="16" applyNumberFormat="1" applyFont="1" applyFill="1" applyBorder="1" applyAlignment="1">
      <alignment vertical="center"/>
    </xf>
    <xf numFmtId="0" fontId="29" fillId="0" borderId="55" xfId="16" applyNumberFormat="1" applyFont="1" applyFill="1" applyBorder="1" applyAlignment="1">
      <alignment vertical="center"/>
    </xf>
    <xf numFmtId="0" fontId="29" fillId="0" borderId="82" xfId="16" applyNumberFormat="1" applyFont="1" applyFill="1" applyBorder="1" applyAlignment="1">
      <alignment vertical="center"/>
    </xf>
    <xf numFmtId="0" fontId="29" fillId="0" borderId="82" xfId="16" applyNumberFormat="1" applyFont="1" applyFill="1" applyBorder="1" applyAlignment="1">
      <alignment horizontal="left" vertical="center"/>
    </xf>
    <xf numFmtId="0" fontId="76" fillId="0" borderId="82" xfId="16" applyFont="1" applyBorder="1" applyAlignment="1">
      <alignment vertical="center"/>
    </xf>
    <xf numFmtId="0" fontId="76" fillId="0" borderId="82" xfId="16" applyFont="1" applyBorder="1" applyAlignment="1">
      <alignment horizontal="right" vertical="center"/>
    </xf>
    <xf numFmtId="0" fontId="77" fillId="0" borderId="82" xfId="16" applyFont="1" applyBorder="1" applyAlignment="1">
      <alignment horizontal="center" vertical="center"/>
    </xf>
    <xf numFmtId="0" fontId="29" fillId="0" borderId="83" xfId="16" applyNumberFormat="1" applyFont="1" applyFill="1" applyBorder="1" applyAlignment="1">
      <alignment vertical="center"/>
    </xf>
    <xf numFmtId="0" fontId="29" fillId="0" borderId="57" xfId="16" applyNumberFormat="1" applyFont="1" applyFill="1" applyBorder="1" applyAlignment="1">
      <alignment vertical="center"/>
    </xf>
    <xf numFmtId="0" fontId="29" fillId="0" borderId="58" xfId="16" applyNumberFormat="1" applyFont="1" applyFill="1" applyBorder="1" applyAlignment="1">
      <alignment vertical="center"/>
    </xf>
    <xf numFmtId="0" fontId="29" fillId="0" borderId="58" xfId="16" applyNumberFormat="1" applyFont="1" applyFill="1" applyBorder="1" applyAlignment="1">
      <alignment horizontal="left" vertical="center"/>
    </xf>
    <xf numFmtId="0" fontId="76" fillId="0" borderId="58" xfId="16" applyFont="1" applyBorder="1" applyAlignment="1">
      <alignment vertical="center"/>
    </xf>
    <xf numFmtId="0" fontId="76" fillId="0" borderId="58" xfId="16" applyFont="1" applyBorder="1" applyAlignment="1">
      <alignment horizontal="right" vertical="center"/>
    </xf>
    <xf numFmtId="0" fontId="77" fillId="0" borderId="58" xfId="16" applyFont="1" applyBorder="1" applyAlignment="1">
      <alignment horizontal="center" vertical="center"/>
    </xf>
    <xf numFmtId="0" fontId="29" fillId="0" borderId="59" xfId="16" applyNumberFormat="1" applyFont="1" applyFill="1" applyBorder="1" applyAlignment="1">
      <alignment vertical="center"/>
    </xf>
    <xf numFmtId="0" fontId="62" fillId="0" borderId="52" xfId="13" applyFont="1"/>
    <xf numFmtId="0" fontId="73" fillId="0" borderId="56" xfId="13" applyFont="1" applyBorder="1" applyAlignment="1">
      <alignment vertical="center"/>
    </xf>
    <xf numFmtId="0" fontId="73" fillId="0" borderId="52" xfId="13" applyFont="1" applyAlignment="1">
      <alignment vertical="center"/>
    </xf>
    <xf numFmtId="0" fontId="78" fillId="0" borderId="52" xfId="13" applyFont="1" applyAlignment="1">
      <alignment horizontal="left"/>
    </xf>
    <xf numFmtId="0" fontId="62" fillId="0" borderId="52" xfId="13" applyFont="1" applyAlignment="1">
      <alignment horizontal="right"/>
    </xf>
    <xf numFmtId="174" fontId="73" fillId="0" borderId="69" xfId="15" quotePrefix="1" applyNumberFormat="1" applyFont="1" applyFill="1" applyBorder="1" applyAlignment="1">
      <alignment horizontal="left" vertical="center"/>
    </xf>
    <xf numFmtId="0" fontId="62" fillId="0" borderId="52" xfId="13" applyFont="1" applyAlignment="1">
      <alignment vertical="center"/>
    </xf>
    <xf numFmtId="174" fontId="73" fillId="0" borderId="56" xfId="15" quotePrefix="1" applyNumberFormat="1" applyFont="1" applyFill="1" applyBorder="1" applyAlignment="1">
      <alignment horizontal="left" vertical="center"/>
    </xf>
    <xf numFmtId="174" fontId="73" fillId="0" borderId="52" xfId="15" quotePrefix="1" applyNumberFormat="1" applyFont="1" applyFill="1" applyBorder="1" applyAlignment="1">
      <alignment horizontal="left" vertical="center"/>
    </xf>
    <xf numFmtId="17" fontId="61" fillId="0" borderId="52" xfId="13" applyNumberFormat="1" applyFont="1" applyAlignment="1">
      <alignment horizontal="left" vertical="center"/>
    </xf>
    <xf numFmtId="17" fontId="62" fillId="0" borderId="52" xfId="13" applyNumberFormat="1" applyFont="1" applyAlignment="1">
      <alignment horizontal="left" vertical="center"/>
    </xf>
    <xf numFmtId="0" fontId="62" fillId="0" borderId="52" xfId="13" applyFont="1" applyAlignment="1">
      <alignment horizontal="right" vertical="center"/>
    </xf>
    <xf numFmtId="17" fontId="61" fillId="0" borderId="52" xfId="13" applyNumberFormat="1" applyFont="1" applyAlignment="1">
      <alignment vertical="center"/>
    </xf>
    <xf numFmtId="174" fontId="61" fillId="0" borderId="69" xfId="15" quotePrefix="1" applyNumberFormat="1" applyFont="1" applyFill="1" applyBorder="1" applyAlignment="1">
      <alignment horizontal="left" vertical="center"/>
    </xf>
    <xf numFmtId="0" fontId="63" fillId="0" borderId="52" xfId="16" applyNumberFormat="1" applyFont="1" applyFill="1" applyBorder="1" applyAlignment="1">
      <alignment vertical="center"/>
    </xf>
    <xf numFmtId="0" fontId="59" fillId="0" borderId="52" xfId="16" applyNumberFormat="1" applyFont="1" applyFill="1" applyBorder="1" applyAlignment="1">
      <alignment vertical="center"/>
    </xf>
    <xf numFmtId="49" fontId="64" fillId="12" borderId="65" xfId="16" applyNumberFormat="1" applyFont="1" applyFill="1" applyBorder="1" applyAlignment="1">
      <alignment horizontal="center" vertical="center" wrapText="1"/>
    </xf>
    <xf numFmtId="49" fontId="64" fillId="12" borderId="65" xfId="16" applyNumberFormat="1" applyFont="1" applyFill="1" applyBorder="1" applyAlignment="1">
      <alignment horizontal="center" vertical="center"/>
    </xf>
    <xf numFmtId="49" fontId="71" fillId="12" borderId="65" xfId="16" applyNumberFormat="1" applyFont="1" applyFill="1" applyBorder="1" applyAlignment="1">
      <alignment horizontal="center" vertical="center" wrapText="1"/>
    </xf>
    <xf numFmtId="2" fontId="71" fillId="12" borderId="55" xfId="16" applyNumberFormat="1" applyFont="1" applyFill="1" applyBorder="1" applyAlignment="1">
      <alignment horizontal="center" vertical="center" wrapText="1"/>
    </xf>
    <xf numFmtId="0" fontId="71" fillId="12" borderId="54" xfId="16" applyNumberFormat="1" applyFont="1" applyFill="1" applyBorder="1" applyAlignment="1">
      <alignment horizontal="center" vertical="center" wrapText="1"/>
    </xf>
    <xf numFmtId="0" fontId="71" fillId="12" borderId="79" xfId="33" applyNumberFormat="1" applyFont="1" applyFill="1" applyBorder="1" applyAlignment="1">
      <alignment horizontal="center" vertical="center" wrapText="1"/>
    </xf>
    <xf numFmtId="0" fontId="71" fillId="12" borderId="82" xfId="33" applyNumberFormat="1" applyFont="1" applyFill="1" applyBorder="1" applyAlignment="1">
      <alignment horizontal="center" vertical="center" wrapText="1"/>
    </xf>
    <xf numFmtId="0" fontId="71" fillId="12" borderId="83" xfId="33" applyNumberFormat="1" applyFont="1" applyFill="1" applyBorder="1" applyAlignment="1">
      <alignment horizontal="center" vertical="center" wrapText="1"/>
    </xf>
    <xf numFmtId="49" fontId="63" fillId="0" borderId="84" xfId="16" applyNumberFormat="1" applyFont="1" applyFill="1" applyBorder="1" applyAlignment="1">
      <alignment horizontal="left" vertical="center" wrapText="1"/>
    </xf>
    <xf numFmtId="49" fontId="63" fillId="0" borderId="64" xfId="16" applyNumberFormat="1" applyFont="1" applyFill="1" applyBorder="1" applyAlignment="1">
      <alignment horizontal="left" vertical="center"/>
    </xf>
    <xf numFmtId="49" fontId="63" fillId="0" borderId="64" xfId="16" quotePrefix="1" applyNumberFormat="1" applyFont="1" applyFill="1" applyBorder="1" applyAlignment="1">
      <alignment horizontal="left" vertical="center" wrapText="1"/>
    </xf>
    <xf numFmtId="0" fontId="63" fillId="0" borderId="64" xfId="16" applyNumberFormat="1" applyFont="1" applyFill="1" applyBorder="1" applyAlignment="1">
      <alignment horizontal="left" vertical="center"/>
    </xf>
    <xf numFmtId="4" fontId="63" fillId="0" borderId="64" xfId="33" applyNumberFormat="1" applyFont="1" applyFill="1" applyBorder="1" applyAlignment="1">
      <alignment horizontal="center" vertical="center" wrapText="1"/>
    </xf>
    <xf numFmtId="4" fontId="63" fillId="0" borderId="64" xfId="33" applyNumberFormat="1" applyFont="1" applyFill="1" applyBorder="1" applyAlignment="1">
      <alignment horizontal="right" vertical="center" wrapText="1"/>
    </xf>
    <xf numFmtId="4" fontId="63" fillId="0" borderId="64" xfId="33" applyNumberFormat="1" applyFont="1" applyFill="1" applyBorder="1" applyAlignment="1">
      <alignment horizontal="left" vertical="center"/>
    </xf>
    <xf numFmtId="4" fontId="63" fillId="0" borderId="85" xfId="16" applyNumberFormat="1" applyFont="1" applyFill="1" applyBorder="1" applyAlignment="1">
      <alignment horizontal="center" vertical="center" wrapText="1"/>
    </xf>
    <xf numFmtId="0" fontId="63" fillId="0" borderId="64" xfId="16" applyNumberFormat="1" applyFont="1" applyFill="1" applyBorder="1" applyAlignment="1">
      <alignment vertical="center"/>
    </xf>
    <xf numFmtId="0" fontId="63" fillId="0" borderId="52" xfId="16" applyNumberFormat="1" applyFont="1" applyFill="1" applyBorder="1" applyAlignment="1">
      <alignment horizontal="center" vertical="center"/>
    </xf>
    <xf numFmtId="0" fontId="63" fillId="0" borderId="64" xfId="16" quotePrefix="1" applyNumberFormat="1" applyFont="1" applyFill="1" applyBorder="1" applyAlignment="1">
      <alignment horizontal="left" vertical="center" wrapText="1"/>
    </xf>
    <xf numFmtId="4" fontId="81" fillId="0" borderId="64" xfId="33" applyNumberFormat="1" applyFont="1" applyFill="1" applyBorder="1" applyAlignment="1">
      <alignment horizontal="center" vertical="center" wrapText="1"/>
    </xf>
    <xf numFmtId="49" fontId="64" fillId="16" borderId="52" xfId="16" applyNumberFormat="1" applyFont="1" applyFill="1" applyBorder="1" applyAlignment="1">
      <alignment vertical="center"/>
    </xf>
    <xf numFmtId="0" fontId="64" fillId="16" borderId="52" xfId="16" applyNumberFormat="1" applyFont="1" applyFill="1" applyBorder="1" applyAlignment="1">
      <alignment horizontal="left" vertical="center"/>
    </xf>
    <xf numFmtId="0" fontId="64" fillId="16" borderId="52" xfId="16" applyNumberFormat="1" applyFont="1" applyFill="1" applyBorder="1" applyAlignment="1">
      <alignment horizontal="center" vertical="center"/>
    </xf>
    <xf numFmtId="0" fontId="64" fillId="16" borderId="52" xfId="33" applyNumberFormat="1" applyFont="1" applyFill="1" applyBorder="1" applyAlignment="1">
      <alignment vertical="center"/>
    </xf>
    <xf numFmtId="44" fontId="64" fillId="16" borderId="52" xfId="10" applyFont="1" applyFill="1" applyBorder="1" applyAlignment="1">
      <alignment vertical="center"/>
    </xf>
    <xf numFmtId="49" fontId="82" fillId="0" borderId="52" xfId="16" applyNumberFormat="1" applyFont="1" applyFill="1" applyBorder="1" applyAlignment="1">
      <alignment vertical="center"/>
    </xf>
    <xf numFmtId="49" fontId="58" fillId="0" borderId="52" xfId="16" applyNumberFormat="1" applyFont="1" applyFill="1" applyBorder="1" applyAlignment="1">
      <alignment vertical="center"/>
    </xf>
    <xf numFmtId="0" fontId="58" fillId="0" borderId="52" xfId="16" applyNumberFormat="1" applyFont="1" applyFill="1" applyBorder="1" applyAlignment="1">
      <alignment horizontal="left" vertical="center"/>
    </xf>
    <xf numFmtId="0" fontId="58" fillId="0" borderId="52" xfId="16" applyNumberFormat="1" applyFont="1" applyFill="1" applyBorder="1" applyAlignment="1">
      <alignment horizontal="center" vertical="center"/>
    </xf>
    <xf numFmtId="0" fontId="69" fillId="0" borderId="52" xfId="33" applyNumberFormat="1" applyFont="1" applyFill="1" applyBorder="1" applyAlignment="1">
      <alignment vertical="center"/>
    </xf>
    <xf numFmtId="173" fontId="69" fillId="0" borderId="52" xfId="33" applyFont="1" applyFill="1" applyBorder="1" applyAlignment="1">
      <alignment vertical="center"/>
    </xf>
    <xf numFmtId="0" fontId="69" fillId="0" borderId="52" xfId="33" applyNumberFormat="1" applyFont="1" applyFill="1" applyBorder="1" applyAlignment="1">
      <alignment horizontal="left" vertical="center"/>
    </xf>
    <xf numFmtId="0" fontId="58" fillId="0" borderId="52" xfId="33" applyNumberFormat="1" applyFont="1" applyFill="1" applyBorder="1" applyAlignment="1">
      <alignment vertical="center"/>
    </xf>
    <xf numFmtId="0" fontId="69" fillId="0" borderId="52" xfId="16" applyNumberFormat="1" applyFont="1" applyFill="1" applyBorder="1" applyAlignment="1">
      <alignment horizontal="center" vertical="center"/>
    </xf>
    <xf numFmtId="0" fontId="58" fillId="0" borderId="52" xfId="16" applyNumberFormat="1" applyFont="1" applyFill="1" applyBorder="1" applyAlignment="1">
      <alignment vertical="center"/>
    </xf>
    <xf numFmtId="43" fontId="58" fillId="0" borderId="52" xfId="16" applyNumberFormat="1" applyFont="1" applyFill="1" applyBorder="1" applyAlignment="1">
      <alignment horizontal="left" vertical="center"/>
    </xf>
    <xf numFmtId="2" fontId="58" fillId="0" borderId="52" xfId="10" applyNumberFormat="1" applyFont="1" applyFill="1" applyBorder="1" applyAlignment="1">
      <alignment horizontal="left" vertical="center"/>
    </xf>
    <xf numFmtId="44" fontId="69" fillId="0" borderId="52" xfId="33" applyNumberFormat="1" applyFont="1" applyFill="1" applyBorder="1" applyAlignment="1">
      <alignment vertical="center"/>
    </xf>
    <xf numFmtId="0" fontId="69" fillId="0" borderId="52" xfId="33" applyNumberFormat="1" applyFont="1" applyFill="1" applyBorder="1" applyAlignment="1">
      <alignment horizontal="right" vertical="center"/>
    </xf>
    <xf numFmtId="0" fontId="61" fillId="0" borderId="52" xfId="13" applyFont="1"/>
    <xf numFmtId="0" fontId="59" fillId="0" borderId="96" xfId="13" applyFont="1" applyBorder="1" applyAlignment="1">
      <alignment vertical="center"/>
    </xf>
    <xf numFmtId="0" fontId="91" fillId="0" borderId="78" xfId="13" applyFont="1" applyBorder="1" applyAlignment="1">
      <alignment horizontal="right" vertical="center"/>
    </xf>
    <xf numFmtId="0" fontId="59" fillId="0" borderId="78" xfId="13" applyFont="1" applyBorder="1" applyAlignment="1">
      <alignment horizontal="right" vertical="center"/>
    </xf>
    <xf numFmtId="0" fontId="59" fillId="0" borderId="78" xfId="13" applyFont="1" applyBorder="1" applyAlignment="1">
      <alignment horizontal="left" vertical="center"/>
    </xf>
    <xf numFmtId="0" fontId="59" fillId="0" borderId="97" xfId="13" applyFont="1" applyBorder="1" applyAlignment="1">
      <alignment vertical="center"/>
    </xf>
    <xf numFmtId="0" fontId="91" fillId="0" borderId="77" xfId="13" applyFont="1" applyBorder="1" applyAlignment="1">
      <alignment horizontal="right" vertical="center"/>
    </xf>
    <xf numFmtId="0" fontId="59" fillId="0" borderId="77" xfId="13" applyFont="1" applyBorder="1" applyAlignment="1">
      <alignment horizontal="right" vertical="center"/>
    </xf>
    <xf numFmtId="0" fontId="59" fillId="0" borderId="77" xfId="13" applyFont="1" applyBorder="1" applyAlignment="1">
      <alignment horizontal="left" vertical="center"/>
    </xf>
    <xf numFmtId="0" fontId="59" fillId="0" borderId="98" xfId="13" applyFont="1" applyBorder="1" applyAlignment="1">
      <alignment vertical="center"/>
    </xf>
    <xf numFmtId="0" fontId="91" fillId="0" borderId="76" xfId="13" applyFont="1" applyBorder="1" applyAlignment="1">
      <alignment horizontal="right" vertical="center"/>
    </xf>
    <xf numFmtId="0" fontId="59" fillId="0" borderId="76" xfId="13" applyFont="1" applyBorder="1" applyAlignment="1">
      <alignment horizontal="left" vertical="center"/>
    </xf>
    <xf numFmtId="0" fontId="70" fillId="0" borderId="52" xfId="29" applyNumberFormat="1" applyFont="1" applyFill="1" applyBorder="1" applyAlignment="1"/>
    <xf numFmtId="0" fontId="59" fillId="0" borderId="52" xfId="29" applyNumberFormat="1" applyFont="1" applyFill="1" applyBorder="1" applyAlignment="1"/>
    <xf numFmtId="0" fontId="92" fillId="3" borderId="80" xfId="29" applyFont="1" applyFill="1" applyBorder="1" applyAlignment="1">
      <alignment vertical="center"/>
    </xf>
    <xf numFmtId="178" fontId="93" fillId="4" borderId="99" xfId="29" applyNumberFormat="1" applyFont="1" applyFill="1" applyBorder="1" applyAlignment="1">
      <alignment vertical="center" wrapText="1"/>
    </xf>
    <xf numFmtId="0" fontId="92" fillId="3" borderId="80" xfId="29" applyFont="1" applyFill="1" applyBorder="1" applyAlignment="1">
      <alignment horizontal="right" vertical="center"/>
    </xf>
    <xf numFmtId="179" fontId="93" fillId="4" borderId="99" xfId="29" applyNumberFormat="1" applyFont="1" applyFill="1" applyBorder="1" applyAlignment="1">
      <alignment vertical="center" wrapText="1"/>
    </xf>
    <xf numFmtId="0" fontId="94" fillId="0" borderId="52" xfId="29" applyNumberFormat="1" applyFont="1" applyFill="1" applyBorder="1" applyAlignment="1"/>
    <xf numFmtId="0" fontId="59" fillId="0" borderId="67" xfId="29" applyNumberFormat="1" applyFont="1" applyFill="1" applyBorder="1" applyAlignment="1"/>
    <xf numFmtId="0" fontId="59" fillId="0" borderId="101" xfId="29" applyNumberFormat="1" applyFont="1" applyFill="1" applyBorder="1" applyAlignment="1">
      <alignment horizontal="center"/>
    </xf>
    <xf numFmtId="0" fontId="59" fillId="0" borderId="74" xfId="29" applyNumberFormat="1" applyFont="1" applyFill="1" applyBorder="1" applyAlignment="1">
      <alignment horizontal="center"/>
    </xf>
    <xf numFmtId="0" fontId="59" fillId="0" borderId="102" xfId="29" applyNumberFormat="1" applyFont="1" applyFill="1" applyBorder="1" applyAlignment="1">
      <alignment horizontal="center"/>
    </xf>
    <xf numFmtId="0" fontId="59" fillId="0" borderId="103" xfId="29" applyNumberFormat="1" applyFont="1" applyFill="1" applyBorder="1" applyAlignment="1"/>
    <xf numFmtId="0" fontId="64" fillId="3" borderId="105" xfId="29" applyFont="1" applyFill="1" applyBorder="1" applyAlignment="1">
      <alignment horizontal="center" vertical="center"/>
    </xf>
    <xf numFmtId="0" fontId="66" fillId="13" borderId="63" xfId="29" applyFont="1" applyFill="1" applyBorder="1" applyAlignment="1">
      <alignment horizontal="left" vertical="center" indent="1"/>
    </xf>
    <xf numFmtId="0" fontId="66" fillId="14" borderId="63" xfId="29" applyFont="1" applyFill="1" applyBorder="1" applyAlignment="1">
      <alignment horizontal="left" vertical="center" indent="1"/>
    </xf>
    <xf numFmtId="0" fontId="64" fillId="3" borderId="62" xfId="29" applyFont="1" applyFill="1" applyBorder="1" applyAlignment="1">
      <alignment horizontal="left" vertical="center" indent="2"/>
    </xf>
    <xf numFmtId="0" fontId="59" fillId="0" borderId="106" xfId="29" applyNumberFormat="1" applyFont="1" applyFill="1" applyBorder="1" applyAlignment="1">
      <alignment horizontal="center"/>
    </xf>
    <xf numFmtId="0" fontId="59" fillId="0" borderId="107" xfId="29" applyNumberFormat="1" applyFont="1" applyFill="1" applyBorder="1" applyAlignment="1">
      <alignment horizontal="left"/>
    </xf>
    <xf numFmtId="0" fontId="59" fillId="0" borderId="107" xfId="29" applyNumberFormat="1" applyFont="1" applyFill="1" applyBorder="1" applyAlignment="1">
      <alignment horizontal="center"/>
    </xf>
    <xf numFmtId="0" fontId="59" fillId="0" borderId="108" xfId="29" applyNumberFormat="1" applyFont="1" applyFill="1" applyBorder="1" applyAlignment="1">
      <alignment horizontal="center"/>
    </xf>
    <xf numFmtId="0" fontId="64" fillId="3" borderId="68" xfId="29" applyFont="1" applyFill="1" applyBorder="1" applyAlignment="1">
      <alignment horizontal="left" vertical="center" indent="2"/>
    </xf>
    <xf numFmtId="4" fontId="80" fillId="0" borderId="64" xfId="35" applyNumberFormat="1" applyFont="1" applyFill="1" applyBorder="1" applyAlignment="1">
      <alignment horizontal="center" vertical="center"/>
    </xf>
    <xf numFmtId="0" fontId="29" fillId="0" borderId="52" xfId="28"/>
    <xf numFmtId="0" fontId="29" fillId="0" borderId="52" xfId="28" applyAlignment="1">
      <alignment horizontal="center" vertical="center"/>
    </xf>
    <xf numFmtId="0" fontId="29" fillId="0" borderId="52" xfId="28" applyAlignment="1">
      <alignment horizontal="center"/>
    </xf>
    <xf numFmtId="0" fontId="29" fillId="19" borderId="109" xfId="28" applyFill="1" applyBorder="1" applyAlignment="1">
      <alignment horizontal="left" vertical="center"/>
    </xf>
    <xf numFmtId="0" fontId="50" fillId="21" borderId="52" xfId="28" applyFont="1" applyFill="1" applyAlignment="1">
      <alignment horizontal="center" vertical="center"/>
    </xf>
    <xf numFmtId="0" fontId="59" fillId="0" borderId="52" xfId="13" applyFont="1"/>
    <xf numFmtId="17" fontId="65" fillId="10" borderId="94" xfId="13" applyNumberFormat="1" applyFont="1" applyFill="1" applyBorder="1" applyAlignment="1">
      <alignment vertical="center"/>
    </xf>
    <xf numFmtId="17" fontId="65" fillId="10" borderId="95" xfId="13" applyNumberFormat="1" applyFont="1" applyFill="1" applyBorder="1" applyAlignment="1">
      <alignment vertical="center"/>
    </xf>
    <xf numFmtId="17" fontId="90" fillId="10" borderId="94" xfId="13" applyNumberFormat="1" applyFont="1" applyFill="1" applyBorder="1" applyAlignment="1">
      <alignment horizontal="left" vertical="center" indent="2"/>
    </xf>
    <xf numFmtId="17" fontId="65" fillId="10" borderId="117" xfId="13" applyNumberFormat="1" applyFont="1" applyFill="1" applyBorder="1" applyAlignment="1">
      <alignment horizontal="left" vertical="center" indent="2"/>
    </xf>
    <xf numFmtId="17" fontId="59" fillId="0" borderId="115" xfId="13" applyNumberFormat="1" applyFont="1" applyBorder="1" applyAlignment="1">
      <alignment horizontal="center" vertical="center"/>
    </xf>
    <xf numFmtId="17" fontId="59" fillId="0" borderId="125" xfId="13" applyNumberFormat="1" applyFont="1" applyBorder="1" applyAlignment="1">
      <alignment horizontal="center" vertical="center"/>
    </xf>
    <xf numFmtId="17" fontId="59" fillId="0" borderId="126" xfId="13" applyNumberFormat="1" applyFont="1" applyBorder="1" applyAlignment="1">
      <alignment horizontal="center" vertical="center"/>
    </xf>
    <xf numFmtId="17" fontId="59" fillId="9" borderId="129" xfId="13" applyNumberFormat="1" applyFont="1" applyFill="1" applyBorder="1" applyAlignment="1">
      <alignment horizontal="center" vertical="center"/>
    </xf>
    <xf numFmtId="17" fontId="59" fillId="9" borderId="130" xfId="13" applyNumberFormat="1" applyFont="1" applyFill="1" applyBorder="1" applyAlignment="1">
      <alignment vertical="center"/>
    </xf>
    <xf numFmtId="17" fontId="101" fillId="9" borderId="128" xfId="13" applyNumberFormat="1" applyFont="1" applyFill="1" applyBorder="1" applyAlignment="1">
      <alignment horizontal="left" vertical="center" indent="1"/>
    </xf>
    <xf numFmtId="17" fontId="59" fillId="9" borderId="129" xfId="13" applyNumberFormat="1" applyFont="1" applyFill="1" applyBorder="1" applyAlignment="1">
      <alignment horizontal="left" vertical="center"/>
    </xf>
    <xf numFmtId="0" fontId="64" fillId="3" borderId="93" xfId="29" applyFont="1" applyFill="1" applyBorder="1" applyAlignment="1">
      <alignment horizontal="left" vertical="center"/>
    </xf>
    <xf numFmtId="0" fontId="59" fillId="0" borderId="101" xfId="29" applyNumberFormat="1" applyFont="1" applyFill="1" applyBorder="1" applyAlignment="1">
      <alignment horizontal="center" wrapText="1"/>
    </xf>
    <xf numFmtId="0" fontId="59" fillId="0" borderId="74" xfId="29" applyNumberFormat="1" applyFont="1" applyFill="1" applyBorder="1" applyAlignment="1">
      <alignment horizontal="left" wrapText="1"/>
    </xf>
    <xf numFmtId="0" fontId="59" fillId="0" borderId="74" xfId="29" applyNumberFormat="1" applyFont="1" applyFill="1" applyBorder="1" applyAlignment="1">
      <alignment horizontal="center" wrapText="1"/>
    </xf>
    <xf numFmtId="0" fontId="59" fillId="0" borderId="102" xfId="29" applyNumberFormat="1" applyFont="1" applyFill="1" applyBorder="1" applyAlignment="1">
      <alignment horizontal="center" wrapText="1"/>
    </xf>
    <xf numFmtId="0" fontId="59" fillId="0" borderId="52" xfId="29" applyNumberFormat="1" applyFont="1" applyFill="1" applyBorder="1" applyAlignment="1">
      <alignment wrapText="1"/>
    </xf>
    <xf numFmtId="0" fontId="59" fillId="0" borderId="67" xfId="29" applyNumberFormat="1" applyFont="1" applyFill="1" applyBorder="1" applyAlignment="1">
      <alignment wrapText="1"/>
    </xf>
    <xf numFmtId="4" fontId="59" fillId="0" borderId="74" xfId="29" applyNumberFormat="1" applyFont="1" applyFill="1" applyBorder="1" applyAlignment="1">
      <alignment horizontal="center" wrapText="1"/>
    </xf>
    <xf numFmtId="0" fontId="64" fillId="3" borderId="60" xfId="29" applyFont="1" applyFill="1" applyBorder="1" applyAlignment="1">
      <alignment horizontal="center" vertical="center" wrapText="1"/>
    </xf>
    <xf numFmtId="0" fontId="64" fillId="3" borderId="53" xfId="29" applyFont="1" applyFill="1" applyBorder="1" applyAlignment="1">
      <alignment horizontal="center" vertical="center" wrapText="1"/>
    </xf>
    <xf numFmtId="0" fontId="64" fillId="3" borderId="61" xfId="29" applyFont="1" applyFill="1" applyBorder="1" applyAlignment="1">
      <alignment horizontal="center" vertical="center" wrapText="1"/>
    </xf>
    <xf numFmtId="0" fontId="59" fillId="0" borderId="106" xfId="29" applyNumberFormat="1" applyFont="1" applyFill="1" applyBorder="1" applyAlignment="1">
      <alignment horizontal="center" wrapText="1"/>
    </xf>
    <xf numFmtId="0" fontId="59" fillId="0" borderId="107" xfId="29" applyNumberFormat="1" applyFont="1" applyFill="1" applyBorder="1" applyAlignment="1">
      <alignment horizontal="left" wrapText="1"/>
    </xf>
    <xf numFmtId="0" fontId="59" fillId="0" borderId="107" xfId="29" applyNumberFormat="1" applyFont="1" applyFill="1" applyBorder="1" applyAlignment="1">
      <alignment horizontal="center" wrapText="1"/>
    </xf>
    <xf numFmtId="0" fontId="59" fillId="0" borderId="108" xfId="29" applyNumberFormat="1" applyFont="1" applyFill="1" applyBorder="1" applyAlignment="1">
      <alignment horizontal="center" wrapText="1"/>
    </xf>
    <xf numFmtId="0" fontId="64" fillId="3" borderId="110" xfId="29" applyFont="1" applyFill="1" applyBorder="1" applyAlignment="1">
      <alignment horizontal="center" vertical="center" wrapText="1"/>
    </xf>
    <xf numFmtId="171" fontId="56" fillId="0" borderId="52" xfId="56" applyNumberFormat="1" applyFont="1" applyAlignment="1">
      <alignment horizontal="left" vertical="center"/>
    </xf>
    <xf numFmtId="172" fontId="56" fillId="0" borderId="52" xfId="56" applyNumberFormat="1" applyFont="1" applyAlignment="1">
      <alignment horizontal="left" vertical="center"/>
    </xf>
    <xf numFmtId="3" fontId="75" fillId="0" borderId="81" xfId="56" applyNumberFormat="1" applyFont="1" applyBorder="1" applyAlignment="1">
      <alignment horizontal="left" vertical="center"/>
    </xf>
    <xf numFmtId="3" fontId="75" fillId="0" borderId="81" xfId="56" applyNumberFormat="1" applyFont="1" applyBorder="1" applyAlignment="1">
      <alignment horizontal="center" vertical="center"/>
    </xf>
    <xf numFmtId="0" fontId="28" fillId="8" borderId="0" xfId="0" applyFont="1" applyFill="1" applyAlignment="1">
      <alignment vertical="center"/>
    </xf>
    <xf numFmtId="0" fontId="63" fillId="8" borderId="52" xfId="16" applyNumberFormat="1" applyFont="1" applyFill="1" applyBorder="1" applyAlignment="1">
      <alignment vertical="center"/>
    </xf>
    <xf numFmtId="0" fontId="9" fillId="0" borderId="52" xfId="92"/>
    <xf numFmtId="0" fontId="31" fillId="0" borderId="52" xfId="92" applyFont="1"/>
    <xf numFmtId="0" fontId="84" fillId="7" borderId="7" xfId="92" applyFont="1" applyFill="1" applyBorder="1" applyAlignment="1">
      <alignment vertical="center" wrapText="1"/>
    </xf>
    <xf numFmtId="170" fontId="51" fillId="4" borderId="40" xfId="92" applyNumberFormat="1" applyFont="1" applyFill="1" applyBorder="1" applyAlignment="1">
      <alignment horizontal="left" vertical="center" wrapText="1"/>
    </xf>
    <xf numFmtId="0" fontId="51" fillId="4" borderId="50" xfId="92" applyFont="1" applyFill="1" applyBorder="1" applyAlignment="1">
      <alignment horizontal="center" vertical="center" wrapText="1"/>
    </xf>
    <xf numFmtId="167" fontId="51" fillId="4" borderId="50" xfId="92" applyNumberFormat="1" applyFont="1" applyFill="1" applyBorder="1" applyAlignment="1">
      <alignment horizontal="left" vertical="center" wrapText="1"/>
    </xf>
    <xf numFmtId="0" fontId="52" fillId="4" borderId="50" xfId="92" applyFont="1" applyFill="1" applyBorder="1" applyAlignment="1">
      <alignment horizontal="center" vertical="center" wrapText="1"/>
    </xf>
    <xf numFmtId="0" fontId="52" fillId="4" borderId="17" xfId="92" applyFont="1" applyFill="1" applyBorder="1" applyAlignment="1">
      <alignment horizontal="center" vertical="center" wrapText="1"/>
    </xf>
    <xf numFmtId="0" fontId="74" fillId="4" borderId="18" xfId="92" applyFont="1" applyFill="1" applyBorder="1"/>
    <xf numFmtId="0" fontId="84" fillId="7" borderId="10" xfId="92" applyFont="1" applyFill="1" applyBorder="1" applyAlignment="1">
      <alignment vertical="center" wrapText="1"/>
    </xf>
    <xf numFmtId="0" fontId="51" fillId="4" borderId="41" xfId="92" applyFont="1" applyFill="1" applyBorder="1" applyAlignment="1">
      <alignment horizontal="left" vertical="center" wrapText="1"/>
    </xf>
    <xf numFmtId="0" fontId="51" fillId="4" borderId="42" xfId="92" applyFont="1" applyFill="1" applyBorder="1" applyAlignment="1">
      <alignment horizontal="center" vertical="center" wrapText="1"/>
    </xf>
    <xf numFmtId="167" fontId="51" fillId="4" borderId="42" xfId="92" applyNumberFormat="1" applyFont="1" applyFill="1" applyBorder="1" applyAlignment="1">
      <alignment horizontal="left" vertical="center" wrapText="1"/>
    </xf>
    <xf numFmtId="0" fontId="52" fillId="4" borderId="42" xfId="92" applyFont="1" applyFill="1" applyBorder="1" applyAlignment="1">
      <alignment horizontal="center" vertical="center" wrapText="1"/>
    </xf>
    <xf numFmtId="0" fontId="52" fillId="4" borderId="51" xfId="92" applyFont="1" applyFill="1" applyBorder="1" applyAlignment="1">
      <alignment horizontal="center" vertical="center" wrapText="1"/>
    </xf>
    <xf numFmtId="0" fontId="74" fillId="4" borderId="44" xfId="92" applyFont="1" applyFill="1" applyBorder="1"/>
    <xf numFmtId="0" fontId="52" fillId="4" borderId="21" xfId="92" applyFont="1" applyFill="1" applyBorder="1" applyAlignment="1">
      <alignment horizontal="center" vertical="center" wrapText="1"/>
    </xf>
    <xf numFmtId="0" fontId="31" fillId="0" borderId="3" xfId="92" applyFont="1" applyBorder="1" applyAlignment="1">
      <alignment horizontal="center"/>
    </xf>
    <xf numFmtId="0" fontId="52" fillId="4" borderId="89" xfId="92" applyFont="1" applyFill="1" applyBorder="1"/>
    <xf numFmtId="0" fontId="86" fillId="4" borderId="6" xfId="92" applyFont="1" applyFill="1" applyBorder="1" applyAlignment="1">
      <alignment horizontal="center"/>
    </xf>
    <xf numFmtId="167" fontId="86" fillId="4" borderId="6" xfId="92" applyNumberFormat="1" applyFont="1" applyFill="1" applyBorder="1" applyAlignment="1">
      <alignment horizontal="center"/>
    </xf>
    <xf numFmtId="0" fontId="52" fillId="4" borderId="6" xfId="92" applyFont="1" applyFill="1" applyBorder="1" applyAlignment="1">
      <alignment horizontal="center"/>
    </xf>
    <xf numFmtId="0" fontId="86" fillId="4" borderId="90" xfId="92" applyFont="1" applyFill="1" applyBorder="1"/>
    <xf numFmtId="0" fontId="31" fillId="0" borderId="3" xfId="92" applyFont="1" applyBorder="1"/>
    <xf numFmtId="167" fontId="31" fillId="0" borderId="3" xfId="92" applyNumberFormat="1" applyFont="1" applyBorder="1"/>
    <xf numFmtId="0" fontId="52" fillId="4" borderId="51" xfId="92" applyFont="1" applyFill="1" applyBorder="1"/>
    <xf numFmtId="0" fontId="86" fillId="4" borderId="52" xfId="92" applyFont="1" applyFill="1" applyAlignment="1">
      <alignment horizontal="center"/>
    </xf>
    <xf numFmtId="167" fontId="86" fillId="4" borderId="52" xfId="92" applyNumberFormat="1" applyFont="1" applyFill="1" applyAlignment="1">
      <alignment horizontal="center"/>
    </xf>
    <xf numFmtId="0" fontId="52" fillId="4" borderId="52" xfId="92" applyFont="1" applyFill="1" applyAlignment="1">
      <alignment horizontal="center"/>
    </xf>
    <xf numFmtId="0" fontId="86" fillId="4" borderId="44" xfId="92" applyFont="1" applyFill="1" applyBorder="1"/>
    <xf numFmtId="0" fontId="87" fillId="3" borderId="7" xfId="92" applyFont="1" applyFill="1" applyBorder="1" applyAlignment="1">
      <alignment horizontal="center" vertical="center"/>
    </xf>
    <xf numFmtId="0" fontId="87" fillId="3" borderId="8" xfId="92" applyFont="1" applyFill="1" applyBorder="1" applyAlignment="1">
      <alignment horizontal="center" vertical="center" wrapText="1"/>
    </xf>
    <xf numFmtId="167" fontId="87" fillId="3" borderId="9" xfId="92" applyNumberFormat="1" applyFont="1" applyFill="1" applyBorder="1" applyAlignment="1">
      <alignment horizontal="center" vertical="center" wrapText="1"/>
    </xf>
    <xf numFmtId="0" fontId="52" fillId="4" borderId="20" xfId="92" applyFont="1" applyFill="1" applyBorder="1" applyAlignment="1">
      <alignment vertical="center" wrapText="1"/>
    </xf>
    <xf numFmtId="167" fontId="52" fillId="4" borderId="4" xfId="92" applyNumberFormat="1" applyFont="1" applyFill="1" applyBorder="1" applyAlignment="1">
      <alignment horizontal="center" vertical="center" wrapText="1"/>
    </xf>
    <xf numFmtId="167" fontId="52" fillId="4" borderId="49" xfId="92" applyNumberFormat="1" applyFont="1" applyFill="1" applyBorder="1" applyAlignment="1">
      <alignment vertical="center" wrapText="1"/>
    </xf>
    <xf numFmtId="0" fontId="87" fillId="15" borderId="12" xfId="92" applyFont="1" applyFill="1" applyBorder="1" applyAlignment="1">
      <alignment vertical="center" wrapText="1"/>
    </xf>
    <xf numFmtId="167" fontId="87" fillId="15" borderId="13" xfId="92" applyNumberFormat="1" applyFont="1" applyFill="1" applyBorder="1" applyAlignment="1">
      <alignment horizontal="center" vertical="center" wrapText="1"/>
    </xf>
    <xf numFmtId="167" fontId="87" fillId="15" borderId="14" xfId="92" applyNumberFormat="1" applyFont="1" applyFill="1" applyBorder="1" applyAlignment="1">
      <alignment vertical="center" wrapText="1"/>
    </xf>
    <xf numFmtId="0" fontId="88" fillId="4" borderId="6" xfId="92" applyFont="1" applyFill="1" applyBorder="1" applyAlignment="1">
      <alignment horizontal="left"/>
    </xf>
    <xf numFmtId="0" fontId="86" fillId="4" borderId="51" xfId="92" applyFont="1" applyFill="1" applyBorder="1"/>
    <xf numFmtId="0" fontId="87" fillId="3" borderId="45" xfId="92" applyFont="1" applyFill="1" applyBorder="1" applyAlignment="1">
      <alignment horizontal="center" vertical="center"/>
    </xf>
    <xf numFmtId="0" fontId="87" fillId="3" borderId="91" xfId="92" applyFont="1" applyFill="1" applyBorder="1" applyAlignment="1">
      <alignment horizontal="center" vertical="center" wrapText="1"/>
    </xf>
    <xf numFmtId="167" fontId="87" fillId="3" borderId="46" xfId="92" applyNumberFormat="1" applyFont="1" applyFill="1" applyBorder="1" applyAlignment="1">
      <alignment horizontal="center" vertical="center" wrapText="1"/>
    </xf>
    <xf numFmtId="0" fontId="89" fillId="4" borderId="70" xfId="92" applyFont="1" applyFill="1" applyBorder="1" applyAlignment="1">
      <alignment vertical="center" wrapText="1"/>
    </xf>
    <xf numFmtId="167" fontId="89" fillId="4" borderId="47" xfId="92" applyNumberFormat="1" applyFont="1" applyFill="1" applyBorder="1" applyAlignment="1">
      <alignment horizontal="center" vertical="center" wrapText="1"/>
    </xf>
    <xf numFmtId="167" fontId="89" fillId="0" borderId="48" xfId="92" applyNumberFormat="1" applyFont="1" applyBorder="1" applyAlignment="1">
      <alignment vertical="center" wrapText="1"/>
    </xf>
    <xf numFmtId="0" fontId="87" fillId="15" borderId="43" xfId="92" applyFont="1" applyFill="1" applyBorder="1" applyAlignment="1">
      <alignment vertical="center" wrapText="1"/>
    </xf>
    <xf numFmtId="167" fontId="87" fillId="15" borderId="32" xfId="92" applyNumberFormat="1" applyFont="1" applyFill="1" applyBorder="1" applyAlignment="1">
      <alignment horizontal="center" vertical="center" wrapText="1"/>
    </xf>
    <xf numFmtId="167" fontId="87" fillId="15" borderId="92" xfId="92" applyNumberFormat="1" applyFont="1" applyFill="1" applyBorder="1" applyAlignment="1">
      <alignment vertical="center" wrapText="1"/>
    </xf>
    <xf numFmtId="0" fontId="52" fillId="4" borderId="6" xfId="92" applyFont="1" applyFill="1" applyBorder="1" applyAlignment="1">
      <alignment horizontal="left"/>
    </xf>
    <xf numFmtId="0" fontId="86" fillId="4" borderId="90" xfId="92" applyFont="1" applyFill="1" applyBorder="1" applyAlignment="1">
      <alignment horizontal="left"/>
    </xf>
    <xf numFmtId="0" fontId="38" fillId="4" borderId="70" xfId="92" applyFont="1" applyFill="1" applyBorder="1" applyAlignment="1">
      <alignment vertical="center" wrapText="1"/>
    </xf>
    <xf numFmtId="167" fontId="38" fillId="4" borderId="47" xfId="92" applyNumberFormat="1" applyFont="1" applyFill="1" applyBorder="1" applyAlignment="1">
      <alignment horizontal="center" vertical="center" wrapText="1"/>
    </xf>
    <xf numFmtId="167" fontId="38" fillId="4" borderId="48" xfId="92" applyNumberFormat="1" applyFont="1" applyFill="1" applyBorder="1" applyAlignment="1">
      <alignment vertical="center" wrapText="1"/>
    </xf>
    <xf numFmtId="0" fontId="38" fillId="4" borderId="71" xfId="92" applyFont="1" applyFill="1" applyBorder="1" applyAlignment="1">
      <alignment vertical="center" wrapText="1"/>
    </xf>
    <xf numFmtId="167" fontId="38" fillId="4" borderId="72" xfId="92" applyNumberFormat="1" applyFont="1" applyFill="1" applyBorder="1" applyAlignment="1">
      <alignment horizontal="center" vertical="center" wrapText="1"/>
    </xf>
    <xf numFmtId="167" fontId="46" fillId="4" borderId="73" xfId="92" applyNumberFormat="1" applyFont="1" applyFill="1" applyBorder="1" applyAlignment="1">
      <alignment vertical="center" wrapText="1"/>
    </xf>
    <xf numFmtId="0" fontId="33" fillId="15" borderId="10" xfId="92" applyFont="1" applyFill="1" applyBorder="1" applyAlignment="1">
      <alignment vertical="center" wrapText="1"/>
    </xf>
    <xf numFmtId="167" fontId="33" fillId="15" borderId="3" xfId="92" applyNumberFormat="1" applyFont="1" applyFill="1" applyBorder="1" applyAlignment="1">
      <alignment horizontal="center" vertical="center" wrapText="1"/>
    </xf>
    <xf numFmtId="167" fontId="33" fillId="15" borderId="11" xfId="92" applyNumberFormat="1" applyFont="1" applyFill="1" applyBorder="1" applyAlignment="1">
      <alignment vertical="center" wrapText="1"/>
    </xf>
    <xf numFmtId="167" fontId="52" fillId="4" borderId="52" xfId="92" applyNumberFormat="1" applyFont="1" applyFill="1" applyAlignment="1">
      <alignment horizontal="center"/>
    </xf>
    <xf numFmtId="0" fontId="52" fillId="4" borderId="44" xfId="92" applyFont="1" applyFill="1" applyBorder="1"/>
    <xf numFmtId="167" fontId="89" fillId="4" borderId="19" xfId="92" applyNumberFormat="1" applyFont="1" applyFill="1" applyBorder="1" applyAlignment="1">
      <alignment vertical="center" wrapText="1"/>
    </xf>
    <xf numFmtId="0" fontId="87" fillId="15" borderId="71" xfId="92" applyFont="1" applyFill="1" applyBorder="1" applyAlignment="1">
      <alignment vertical="center" wrapText="1"/>
    </xf>
    <xf numFmtId="167" fontId="87" fillId="15" borderId="72" xfId="92" applyNumberFormat="1" applyFont="1" applyFill="1" applyBorder="1" applyAlignment="1">
      <alignment horizontal="center" vertical="center" wrapText="1"/>
    </xf>
    <xf numFmtId="167" fontId="87" fillId="15" borderId="73" xfId="92" applyNumberFormat="1" applyFont="1" applyFill="1" applyBorder="1" applyAlignment="1">
      <alignment vertical="center" wrapText="1"/>
    </xf>
    <xf numFmtId="0" fontId="52" fillId="4" borderId="70" xfId="92" applyFont="1" applyFill="1" applyBorder="1" applyAlignment="1">
      <alignment vertical="center" wrapText="1"/>
    </xf>
    <xf numFmtId="167" fontId="52" fillId="4" borderId="47" xfId="92" applyNumberFormat="1" applyFont="1" applyFill="1" applyBorder="1" applyAlignment="1">
      <alignment horizontal="center" vertical="center" wrapText="1"/>
    </xf>
    <xf numFmtId="167" fontId="52" fillId="4" borderId="73" xfId="92" applyNumberFormat="1" applyFont="1" applyFill="1" applyBorder="1" applyAlignment="1">
      <alignment vertical="center" wrapText="1"/>
    </xf>
    <xf numFmtId="0" fontId="87" fillId="15" borderId="10" xfId="92" applyFont="1" applyFill="1" applyBorder="1" applyAlignment="1">
      <alignment vertical="center" wrapText="1"/>
    </xf>
    <xf numFmtId="167" fontId="87" fillId="15" borderId="3" xfId="92" applyNumberFormat="1" applyFont="1" applyFill="1" applyBorder="1" applyAlignment="1">
      <alignment horizontal="center" vertical="center" wrapText="1"/>
    </xf>
    <xf numFmtId="167" fontId="87" fillId="15" borderId="11" xfId="92" applyNumberFormat="1" applyFont="1" applyFill="1" applyBorder="1" applyAlignment="1">
      <alignment vertical="center" wrapText="1"/>
    </xf>
    <xf numFmtId="167" fontId="52" fillId="4" borderId="19" xfId="92" applyNumberFormat="1" applyFont="1" applyFill="1" applyBorder="1" applyAlignment="1">
      <alignment vertical="center" wrapText="1"/>
    </xf>
    <xf numFmtId="0" fontId="86" fillId="4" borderId="21" xfId="92" applyFont="1" applyFill="1" applyBorder="1"/>
    <xf numFmtId="0" fontId="86" fillId="4" borderId="22" xfId="92" applyFont="1" applyFill="1" applyBorder="1" applyAlignment="1">
      <alignment horizontal="center"/>
    </xf>
    <xf numFmtId="167" fontId="86" fillId="4" borderId="22" xfId="92" applyNumberFormat="1" applyFont="1" applyFill="1" applyBorder="1" applyAlignment="1">
      <alignment horizontal="center"/>
    </xf>
    <xf numFmtId="0" fontId="52" fillId="4" borderId="22" xfId="92" applyFont="1" applyFill="1" applyBorder="1" applyAlignment="1">
      <alignment horizontal="center"/>
    </xf>
    <xf numFmtId="0" fontId="86" fillId="4" borderId="23" xfId="92" applyFont="1" applyFill="1" applyBorder="1"/>
    <xf numFmtId="167" fontId="52" fillId="4" borderId="48" xfId="92" applyNumberFormat="1" applyFont="1" applyFill="1" applyBorder="1" applyAlignment="1">
      <alignment vertical="center" wrapText="1"/>
    </xf>
    <xf numFmtId="0" fontId="52" fillId="4" borderId="71" xfId="92" applyFont="1" applyFill="1" applyBorder="1" applyAlignment="1">
      <alignment vertical="center" wrapText="1"/>
    </xf>
    <xf numFmtId="167" fontId="52" fillId="4" borderId="72" xfId="92" applyNumberFormat="1" applyFont="1" applyFill="1" applyBorder="1" applyAlignment="1">
      <alignment horizontal="center" vertical="center" wrapText="1"/>
    </xf>
    <xf numFmtId="167" fontId="88" fillId="4" borderId="19" xfId="92" applyNumberFormat="1" applyFont="1" applyFill="1" applyBorder="1" applyAlignment="1">
      <alignment vertical="center" wrapText="1"/>
    </xf>
    <xf numFmtId="3" fontId="75" fillId="0" borderId="81" xfId="56" applyNumberFormat="1" applyFont="1" applyBorder="1" applyAlignment="1">
      <alignment horizontal="left" vertical="center" wrapText="1"/>
    </xf>
    <xf numFmtId="167" fontId="36" fillId="0" borderId="15" xfId="0" quotePrefix="1" applyNumberFormat="1" applyFont="1" applyBorder="1" applyAlignment="1">
      <alignment horizontal="left" vertical="center"/>
    </xf>
    <xf numFmtId="0" fontId="31" fillId="22" borderId="0" xfId="0" applyFont="1" applyFill="1"/>
    <xf numFmtId="0" fontId="31" fillId="22" borderId="0" xfId="0" applyFont="1" applyFill="1" applyAlignment="1">
      <alignment horizontal="center"/>
    </xf>
    <xf numFmtId="166" fontId="32" fillId="22" borderId="0" xfId="0" applyNumberFormat="1" applyFont="1" applyFill="1" applyAlignment="1">
      <alignment horizontal="center"/>
    </xf>
    <xf numFmtId="2" fontId="31" fillId="22" borderId="0" xfId="4" applyNumberFormat="1" applyFont="1" applyFill="1"/>
    <xf numFmtId="167" fontId="32" fillId="22" borderId="0" xfId="0" applyNumberFormat="1" applyFont="1" applyFill="1" applyAlignment="1">
      <alignment horizontal="center"/>
    </xf>
    <xf numFmtId="0" fontId="0" fillId="22" borderId="0" xfId="0" applyFill="1"/>
    <xf numFmtId="2" fontId="75" fillId="22" borderId="81" xfId="4" applyNumberFormat="1" applyFont="1" applyFill="1" applyBorder="1" applyAlignment="1">
      <alignment horizontal="left" vertical="center"/>
    </xf>
    <xf numFmtId="2" fontId="0" fillId="22" borderId="0" xfId="4" applyNumberFormat="1" applyFont="1" applyFill="1"/>
    <xf numFmtId="3" fontId="36" fillId="9" borderId="15" xfId="0" applyNumberFormat="1" applyFont="1" applyFill="1" applyBorder="1" applyAlignment="1">
      <alignment horizontal="left" vertical="center"/>
    </xf>
    <xf numFmtId="3" fontId="36" fillId="9" borderId="15" xfId="0" applyNumberFormat="1" applyFont="1" applyFill="1" applyBorder="1" applyAlignment="1">
      <alignment horizontal="center" vertical="center"/>
    </xf>
    <xf numFmtId="2" fontId="36" fillId="9" borderId="15" xfId="4" applyNumberFormat="1" applyFont="1" applyFill="1" applyBorder="1" applyAlignment="1">
      <alignment horizontal="left" vertical="center"/>
    </xf>
    <xf numFmtId="167" fontId="36" fillId="9" borderId="15" xfId="0" applyNumberFormat="1" applyFont="1" applyFill="1" applyBorder="1" applyAlignment="1">
      <alignment horizontal="left" vertical="center"/>
    </xf>
    <xf numFmtId="3" fontId="75" fillId="9" borderId="81" xfId="3" applyNumberFormat="1" applyFont="1" applyFill="1" applyBorder="1" applyAlignment="1">
      <alignment horizontal="left" vertical="center"/>
    </xf>
    <xf numFmtId="3" fontId="75" fillId="9" borderId="81" xfId="3" applyNumberFormat="1" applyFont="1" applyFill="1" applyBorder="1" applyAlignment="1">
      <alignment horizontal="center" vertical="center"/>
    </xf>
    <xf numFmtId="2" fontId="75" fillId="9" borderId="81" xfId="4" applyNumberFormat="1" applyFont="1" applyFill="1" applyBorder="1" applyAlignment="1">
      <alignment horizontal="left" vertical="center"/>
    </xf>
    <xf numFmtId="43" fontId="75" fillId="9" borderId="81" xfId="31" applyFont="1" applyFill="1" applyBorder="1" applyAlignment="1">
      <alignment horizontal="left" vertical="center"/>
    </xf>
    <xf numFmtId="166" fontId="36" fillId="9" borderId="15" xfId="0" applyNumberFormat="1" applyFont="1" applyFill="1" applyBorder="1" applyAlignment="1">
      <alignment horizontal="left" vertical="center"/>
    </xf>
    <xf numFmtId="3" fontId="75" fillId="9" borderId="81" xfId="56" applyNumberFormat="1" applyFont="1" applyFill="1" applyBorder="1" applyAlignment="1">
      <alignment horizontal="left" vertical="center"/>
    </xf>
    <xf numFmtId="3" fontId="75" fillId="9" borderId="81" xfId="56" applyNumberFormat="1" applyFont="1" applyFill="1" applyBorder="1" applyAlignment="1">
      <alignment horizontal="left" vertical="center" wrapText="1"/>
    </xf>
    <xf numFmtId="3" fontId="75" fillId="9" borderId="81" xfId="56" applyNumberFormat="1" applyFont="1" applyFill="1" applyBorder="1" applyAlignment="1">
      <alignment horizontal="center" vertical="center"/>
    </xf>
    <xf numFmtId="43" fontId="105" fillId="9" borderId="81" xfId="31" applyFont="1" applyFill="1" applyBorder="1" applyAlignment="1">
      <alignment horizontal="left" vertical="center"/>
    </xf>
    <xf numFmtId="167" fontId="75" fillId="9" borderId="15" xfId="0" applyNumberFormat="1" applyFont="1" applyFill="1" applyBorder="1" applyAlignment="1">
      <alignment horizontal="left" vertical="center"/>
    </xf>
    <xf numFmtId="3" fontId="36" fillId="27" borderId="15" xfId="0" applyNumberFormat="1" applyFont="1" applyFill="1" applyBorder="1" applyAlignment="1">
      <alignment horizontal="left" vertical="center"/>
    </xf>
    <xf numFmtId="167" fontId="36" fillId="27" borderId="15" xfId="0" applyNumberFormat="1" applyFont="1" applyFill="1" applyBorder="1" applyAlignment="1">
      <alignment horizontal="left" vertical="center"/>
    </xf>
    <xf numFmtId="3" fontId="36" fillId="9" borderId="15" xfId="0" applyNumberFormat="1" applyFont="1" applyFill="1" applyBorder="1" applyAlignment="1">
      <alignment horizontal="left" vertical="center" wrapText="1"/>
    </xf>
    <xf numFmtId="0" fontId="36" fillId="9" borderId="15" xfId="0" applyFont="1" applyFill="1" applyBorder="1" applyAlignment="1">
      <alignment vertical="center"/>
    </xf>
    <xf numFmtId="4" fontId="36" fillId="9" borderId="15" xfId="0" applyNumberFormat="1" applyFont="1" applyFill="1" applyBorder="1" applyAlignment="1">
      <alignment vertical="center"/>
    </xf>
    <xf numFmtId="167" fontId="36" fillId="9" borderId="15" xfId="0" applyNumberFormat="1" applyFont="1" applyFill="1" applyBorder="1" applyAlignment="1">
      <alignment vertical="center"/>
    </xf>
    <xf numFmtId="0" fontId="75" fillId="9" borderId="81" xfId="3" applyFont="1" applyFill="1" applyBorder="1" applyAlignment="1">
      <alignment vertical="center"/>
    </xf>
    <xf numFmtId="4" fontId="75" fillId="9" borderId="81" xfId="3" applyNumberFormat="1" applyFont="1" applyFill="1" applyBorder="1" applyAlignment="1">
      <alignment vertical="center"/>
    </xf>
    <xf numFmtId="43" fontId="75" fillId="9" borderId="81" xfId="31" applyFont="1" applyFill="1" applyBorder="1" applyAlignment="1">
      <alignment vertical="center"/>
    </xf>
    <xf numFmtId="3" fontId="35" fillId="28" borderId="15" xfId="0" applyNumberFormat="1" applyFont="1" applyFill="1" applyBorder="1" applyAlignment="1">
      <alignment horizontal="left" vertical="center"/>
    </xf>
    <xf numFmtId="3" fontId="35" fillId="28" borderId="15" xfId="0" applyNumberFormat="1" applyFont="1" applyFill="1" applyBorder="1" applyAlignment="1">
      <alignment horizontal="center" vertical="center"/>
    </xf>
    <xf numFmtId="167" fontId="35" fillId="28" borderId="15" xfId="0" applyNumberFormat="1" applyFont="1" applyFill="1" applyBorder="1" applyAlignment="1">
      <alignment horizontal="left" vertical="center"/>
    </xf>
    <xf numFmtId="191" fontId="93" fillId="4" borderId="99" xfId="29" applyNumberFormat="1" applyFont="1" applyFill="1" applyBorder="1" applyAlignment="1">
      <alignment vertical="center" wrapText="1"/>
    </xf>
    <xf numFmtId="191" fontId="59" fillId="0" borderId="52" xfId="29" applyNumberFormat="1" applyFont="1" applyFill="1" applyBorder="1" applyAlignment="1"/>
    <xf numFmtId="0" fontId="102" fillId="0" borderId="74" xfId="29" applyNumberFormat="1" applyFont="1" applyFill="1" applyBorder="1" applyAlignment="1">
      <alignment horizontal="center" vertical="center" wrapText="1"/>
    </xf>
    <xf numFmtId="186" fontId="102" fillId="0" borderId="102" xfId="29" applyNumberFormat="1" applyFont="1" applyFill="1" applyBorder="1" applyAlignment="1">
      <alignment horizontal="center"/>
    </xf>
    <xf numFmtId="0" fontId="102" fillId="0" borderId="107" xfId="29" applyNumberFormat="1" applyFont="1" applyFill="1" applyBorder="1" applyAlignment="1">
      <alignment horizontal="center" vertical="center" wrapText="1"/>
    </xf>
    <xf numFmtId="186" fontId="102" fillId="0" borderId="108" xfId="29" applyNumberFormat="1" applyFont="1" applyFill="1" applyBorder="1" applyAlignment="1">
      <alignment horizontal="center"/>
    </xf>
    <xf numFmtId="192" fontId="36" fillId="9" borderId="15" xfId="4" applyNumberFormat="1" applyFont="1" applyFill="1" applyBorder="1" applyAlignment="1">
      <alignment horizontal="left" vertical="center"/>
    </xf>
    <xf numFmtId="0" fontId="102" fillId="0" borderId="101" xfId="29" applyNumberFormat="1" applyFont="1" applyFill="1" applyBorder="1" applyAlignment="1">
      <alignment horizontal="center" vertical="center" wrapText="1"/>
    </xf>
    <xf numFmtId="0" fontId="102" fillId="0" borderId="106" xfId="29" applyNumberFormat="1" applyFont="1" applyFill="1" applyBorder="1" applyAlignment="1">
      <alignment horizontal="center" vertical="center" wrapText="1"/>
    </xf>
    <xf numFmtId="0" fontId="59" fillId="0" borderId="52" xfId="29" applyNumberFormat="1" applyFont="1" applyFill="1" applyBorder="1" applyAlignment="1">
      <alignment horizontal="center"/>
    </xf>
    <xf numFmtId="0" fontId="102" fillId="0" borderId="52" xfId="29" applyNumberFormat="1" applyFont="1" applyFill="1" applyBorder="1" applyAlignment="1">
      <alignment horizontal="center" vertical="center" wrapText="1"/>
    </xf>
    <xf numFmtId="186" fontId="102" fillId="0" borderId="52" xfId="29" applyNumberFormat="1" applyFont="1" applyFill="1" applyBorder="1" applyAlignment="1">
      <alignment horizontal="center"/>
    </xf>
    <xf numFmtId="0" fontId="107" fillId="0" borderId="52" xfId="112"/>
    <xf numFmtId="49" fontId="110" fillId="0" borderId="67" xfId="112" applyNumberFormat="1" applyFont="1" applyBorder="1" applyAlignment="1">
      <alignment horizontal="center" vertical="center"/>
    </xf>
    <xf numFmtId="49" fontId="110" fillId="0" borderId="135" xfId="112" applyNumberFormat="1" applyFont="1" applyBorder="1" applyAlignment="1">
      <alignment horizontal="center" vertical="center" wrapText="1"/>
    </xf>
    <xf numFmtId="0" fontId="110" fillId="0" borderId="66" xfId="112" applyFont="1" applyBorder="1" applyAlignment="1">
      <alignment horizontal="center" vertical="center" wrapText="1"/>
    </xf>
    <xf numFmtId="49" fontId="106" fillId="0" borderId="136" xfId="112" applyNumberFormat="1" applyFont="1" applyBorder="1" applyAlignment="1">
      <alignment horizontal="left" vertical="center"/>
    </xf>
    <xf numFmtId="0" fontId="111" fillId="0" borderId="137" xfId="5" quotePrefix="1" applyFont="1" applyBorder="1" applyAlignment="1">
      <alignment horizontal="left" vertical="center"/>
    </xf>
    <xf numFmtId="0" fontId="112" fillId="0" borderId="138" xfId="112" applyFont="1" applyBorder="1" applyAlignment="1">
      <alignment horizontal="left" vertical="center" wrapText="1"/>
    </xf>
    <xf numFmtId="49" fontId="114" fillId="0" borderId="136" xfId="112" applyNumberFormat="1" applyFont="1" applyBorder="1" applyAlignment="1">
      <alignment horizontal="left" vertical="center"/>
    </xf>
    <xf numFmtId="0" fontId="114" fillId="0" borderId="138" xfId="112" applyFont="1" applyBorder="1" applyAlignment="1">
      <alignment horizontal="left" vertical="center" wrapText="1"/>
    </xf>
    <xf numFmtId="49" fontId="115" fillId="0" borderId="136" xfId="112" applyNumberFormat="1" applyFont="1" applyBorder="1" applyAlignment="1">
      <alignment horizontal="left" vertical="center"/>
    </xf>
    <xf numFmtId="0" fontId="115" fillId="0" borderId="138" xfId="112" applyFont="1" applyBorder="1" applyAlignment="1">
      <alignment horizontal="left" vertical="center" wrapText="1"/>
    </xf>
    <xf numFmtId="0" fontId="113" fillId="0" borderId="138" xfId="112" applyFont="1" applyBorder="1" applyAlignment="1">
      <alignment vertical="center"/>
    </xf>
    <xf numFmtId="0" fontId="51" fillId="0" borderId="138" xfId="112" applyFont="1" applyBorder="1" applyAlignment="1">
      <alignment vertical="center"/>
    </xf>
    <xf numFmtId="0" fontId="106" fillId="0" borderId="138" xfId="112" applyFont="1" applyBorder="1" applyAlignment="1">
      <alignment horizontal="left" vertical="center" wrapText="1"/>
    </xf>
    <xf numFmtId="0" fontId="84" fillId="0" borderId="138" xfId="112" applyFont="1" applyBorder="1" applyAlignment="1">
      <alignment vertical="center"/>
    </xf>
    <xf numFmtId="0" fontId="116" fillId="0" borderId="138" xfId="112" applyFont="1" applyBorder="1" applyAlignment="1">
      <alignment vertical="center"/>
    </xf>
    <xf numFmtId="49" fontId="113" fillId="0" borderId="139" xfId="112" quotePrefix="1" applyNumberFormat="1" applyFont="1" applyBorder="1" applyAlignment="1">
      <alignment vertical="center"/>
    </xf>
    <xf numFmtId="0" fontId="111" fillId="0" borderId="140" xfId="5" quotePrefix="1" applyFont="1" applyBorder="1" applyAlignment="1">
      <alignment horizontal="left" vertical="center"/>
    </xf>
    <xf numFmtId="0" fontId="115" fillId="0" borderId="141" xfId="112" applyFont="1" applyBorder="1" applyAlignment="1">
      <alignment horizontal="left" vertical="center" wrapText="1"/>
    </xf>
    <xf numFmtId="0" fontId="111" fillId="0" borderId="52" xfId="5" applyFont="1" applyAlignment="1">
      <alignment vertical="center"/>
    </xf>
    <xf numFmtId="0" fontId="29" fillId="0" borderId="52" xfId="5"/>
    <xf numFmtId="0" fontId="104" fillId="0" borderId="52" xfId="113"/>
    <xf numFmtId="0" fontId="104" fillId="0" borderId="115" xfId="113" applyBorder="1"/>
    <xf numFmtId="0" fontId="104" fillId="0" borderId="115" xfId="113" applyBorder="1" applyAlignment="1">
      <alignment horizontal="left"/>
    </xf>
    <xf numFmtId="0" fontId="104" fillId="0" borderId="126" xfId="113" applyBorder="1"/>
    <xf numFmtId="17" fontId="104" fillId="0" borderId="126" xfId="113" applyNumberFormat="1" applyBorder="1" applyAlignment="1">
      <alignment horizontal="left"/>
    </xf>
    <xf numFmtId="0" fontId="104" fillId="9" borderId="127" xfId="113" applyFill="1" applyBorder="1"/>
    <xf numFmtId="0" fontId="104" fillId="0" borderId="125" xfId="113" applyBorder="1"/>
    <xf numFmtId="0" fontId="104" fillId="0" borderId="125" xfId="113" applyBorder="1" applyAlignment="1">
      <alignment horizontal="left"/>
    </xf>
    <xf numFmtId="0" fontId="104" fillId="0" borderId="126" xfId="113" applyBorder="1" applyAlignment="1">
      <alignment horizontal="left"/>
    </xf>
    <xf numFmtId="0" fontId="100" fillId="8" borderId="114" xfId="113" applyFont="1" applyFill="1" applyBorder="1" applyAlignment="1" applyProtection="1">
      <alignment horizontal="center" vertical="center"/>
      <protection hidden="1"/>
    </xf>
    <xf numFmtId="0" fontId="68" fillId="25" borderId="113" xfId="113" applyFont="1" applyFill="1" applyBorder="1" applyAlignment="1" applyProtection="1">
      <alignment horizontal="center" vertical="center"/>
      <protection hidden="1"/>
    </xf>
    <xf numFmtId="0" fontId="52" fillId="4" borderId="104" xfId="114" applyFont="1" applyFill="1" applyBorder="1" applyAlignment="1">
      <alignment horizontal="center" vertical="center" wrapText="1"/>
    </xf>
    <xf numFmtId="0" fontId="52" fillId="4" borderId="124" xfId="114" applyFont="1" applyFill="1" applyBorder="1" applyAlignment="1">
      <alignment horizontal="center" vertical="center" wrapText="1"/>
    </xf>
    <xf numFmtId="167" fontId="51" fillId="4" borderId="124" xfId="114" applyNumberFormat="1" applyFont="1" applyFill="1" applyBorder="1" applyAlignment="1">
      <alignment horizontal="left" vertical="center" wrapText="1"/>
    </xf>
    <xf numFmtId="0" fontId="51" fillId="4" borderId="124" xfId="114" applyFont="1" applyFill="1" applyBorder="1" applyAlignment="1">
      <alignment horizontal="center" vertical="center" wrapText="1"/>
    </xf>
    <xf numFmtId="0" fontId="51" fillId="4" borderId="123" xfId="115" applyFont="1" applyFill="1" applyBorder="1" applyAlignment="1">
      <alignment horizontal="left" vertical="center" wrapText="1"/>
    </xf>
    <xf numFmtId="0" fontId="84" fillId="7" borderId="122" xfId="114" applyFont="1" applyFill="1" applyBorder="1" applyAlignment="1">
      <alignment vertical="center" wrapText="1"/>
    </xf>
    <xf numFmtId="0" fontId="68" fillId="24" borderId="113" xfId="113" applyFont="1" applyFill="1" applyBorder="1" applyAlignment="1" applyProtection="1">
      <alignment horizontal="center" vertical="center"/>
      <protection hidden="1"/>
    </xf>
    <xf numFmtId="0" fontId="52" fillId="4" borderId="121" xfId="114" applyFont="1" applyFill="1" applyBorder="1" applyAlignment="1">
      <alignment horizontal="center" vertical="center" wrapText="1"/>
    </xf>
    <xf numFmtId="0" fontId="52" fillId="4" borderId="42" xfId="114" applyFont="1" applyFill="1" applyBorder="1" applyAlignment="1">
      <alignment horizontal="center" vertical="center" wrapText="1"/>
    </xf>
    <xf numFmtId="167" fontId="51" fillId="4" borderId="42" xfId="114" applyNumberFormat="1" applyFont="1" applyFill="1" applyBorder="1" applyAlignment="1">
      <alignment horizontal="left" vertical="center" wrapText="1"/>
    </xf>
    <xf numFmtId="0" fontId="51" fillId="4" borderId="42" xfId="114" applyFont="1" applyFill="1" applyBorder="1" applyAlignment="1">
      <alignment horizontal="center" vertical="center" wrapText="1"/>
    </xf>
    <xf numFmtId="0" fontId="51" fillId="4" borderId="41" xfId="115" applyFont="1" applyFill="1" applyBorder="1" applyAlignment="1">
      <alignment horizontal="left" vertical="center" wrapText="1"/>
    </xf>
    <xf numFmtId="0" fontId="84" fillId="7" borderId="120" xfId="114" applyFont="1" applyFill="1" applyBorder="1" applyAlignment="1">
      <alignment vertical="center" wrapText="1"/>
    </xf>
    <xf numFmtId="0" fontId="54" fillId="0" borderId="113" xfId="113" applyFont="1" applyBorder="1" applyAlignment="1">
      <alignment horizontal="center" vertical="center"/>
    </xf>
    <xf numFmtId="0" fontId="52" fillId="4" borderId="119" xfId="114" applyFont="1" applyFill="1" applyBorder="1" applyAlignment="1">
      <alignment horizontal="center" vertical="center" wrapText="1"/>
    </xf>
    <xf numFmtId="0" fontId="52" fillId="4" borderId="50" xfId="114" applyFont="1" applyFill="1" applyBorder="1" applyAlignment="1">
      <alignment horizontal="center" vertical="center" wrapText="1"/>
    </xf>
    <xf numFmtId="167" fontId="51" fillId="4" borderId="50" xfId="114" applyNumberFormat="1" applyFont="1" applyFill="1" applyBorder="1" applyAlignment="1">
      <alignment horizontal="left" vertical="center" wrapText="1"/>
    </xf>
    <xf numFmtId="0" fontId="51" fillId="4" borderId="50" xfId="114" applyFont="1" applyFill="1" applyBorder="1" applyAlignment="1">
      <alignment horizontal="center" vertical="center" wrapText="1"/>
    </xf>
    <xf numFmtId="170" fontId="51" fillId="4" borderId="40" xfId="115" applyNumberFormat="1" applyFont="1" applyFill="1" applyBorder="1" applyAlignment="1">
      <alignment horizontal="left" vertical="center" wrapText="1"/>
    </xf>
    <xf numFmtId="0" fontId="84" fillId="7" borderId="118" xfId="114" applyFont="1" applyFill="1" applyBorder="1" applyAlignment="1">
      <alignment vertical="center" wrapText="1"/>
    </xf>
    <xf numFmtId="0" fontId="99" fillId="23" borderId="112" xfId="113" applyFont="1" applyFill="1" applyBorder="1" applyAlignment="1" applyProtection="1">
      <alignment horizontal="center" vertical="center"/>
      <protection hidden="1"/>
    </xf>
    <xf numFmtId="0" fontId="64" fillId="3" borderId="93" xfId="29" applyFont="1" applyFill="1" applyBorder="1" applyAlignment="1">
      <alignment horizontal="center" vertical="center"/>
    </xf>
    <xf numFmtId="17" fontId="65" fillId="10" borderId="117" xfId="13" applyNumberFormat="1" applyFont="1" applyFill="1" applyBorder="1" applyAlignment="1">
      <alignment horizontal="center" vertical="center"/>
    </xf>
    <xf numFmtId="17" fontId="65" fillId="10" borderId="94" xfId="13" applyNumberFormat="1" applyFont="1" applyFill="1" applyBorder="1" applyAlignment="1">
      <alignment horizontal="center" vertical="center"/>
    </xf>
    <xf numFmtId="0" fontId="117" fillId="0" borderId="52" xfId="16" applyNumberFormat="1" applyFont="1" applyFill="1" applyBorder="1" applyAlignment="1">
      <alignment vertical="center"/>
    </xf>
    <xf numFmtId="0" fontId="54" fillId="0" borderId="0" xfId="0" applyFont="1"/>
    <xf numFmtId="4" fontId="119" fillId="30" borderId="38" xfId="0" applyNumberFormat="1" applyFont="1" applyFill="1" applyBorder="1" applyAlignment="1">
      <alignment horizontal="center" vertical="center" wrapText="1"/>
    </xf>
    <xf numFmtId="4" fontId="120" fillId="31" borderId="38" xfId="0" applyNumberFormat="1" applyFont="1" applyFill="1" applyBorder="1" applyAlignment="1">
      <alignment horizontal="center" vertical="center" wrapText="1"/>
    </xf>
    <xf numFmtId="4" fontId="120" fillId="32" borderId="38" xfId="0" applyNumberFormat="1" applyFont="1" applyFill="1" applyBorder="1" applyAlignment="1">
      <alignment horizontal="center" vertical="center" wrapText="1"/>
    </xf>
    <xf numFmtId="4" fontId="118" fillId="24" borderId="38" xfId="0" applyNumberFormat="1" applyFont="1" applyFill="1" applyBorder="1" applyAlignment="1">
      <alignment horizontal="center" vertical="center" wrapText="1"/>
    </xf>
    <xf numFmtId="4" fontId="120" fillId="31" borderId="39" xfId="0" applyNumberFormat="1" applyFont="1" applyFill="1" applyBorder="1" applyAlignment="1">
      <alignment horizontal="left" vertical="center"/>
    </xf>
    <xf numFmtId="4" fontId="119" fillId="30" borderId="39" xfId="0" applyNumberFormat="1" applyFont="1" applyFill="1" applyBorder="1" applyAlignment="1">
      <alignment horizontal="left" vertical="center"/>
    </xf>
    <xf numFmtId="4" fontId="121" fillId="30" borderId="85" xfId="16" applyNumberFormat="1" applyFont="1" applyFill="1" applyBorder="1" applyAlignment="1">
      <alignment horizontal="center" vertical="center" wrapText="1"/>
    </xf>
    <xf numFmtId="4" fontId="123" fillId="31" borderId="85" xfId="16" applyNumberFormat="1" applyFont="1" applyFill="1" applyBorder="1" applyAlignment="1">
      <alignment horizontal="center" vertical="center" wrapText="1"/>
    </xf>
    <xf numFmtId="49" fontId="119" fillId="30" borderId="37" xfId="0" applyNumberFormat="1" applyFont="1" applyFill="1" applyBorder="1" applyAlignment="1">
      <alignment horizontal="left" vertical="center" wrapText="1"/>
    </xf>
    <xf numFmtId="49" fontId="119" fillId="30" borderId="39" xfId="0" applyNumberFormat="1" applyFont="1" applyFill="1" applyBorder="1" applyAlignment="1">
      <alignment horizontal="left" vertical="center"/>
    </xf>
    <xf numFmtId="49" fontId="119" fillId="30" borderId="39" xfId="0" applyNumberFormat="1" applyFont="1" applyFill="1" applyBorder="1" applyAlignment="1">
      <alignment horizontal="left" vertical="center" wrapText="1"/>
    </xf>
    <xf numFmtId="0" fontId="119" fillId="30" borderId="39" xfId="0" applyFont="1" applyFill="1" applyBorder="1" applyAlignment="1">
      <alignment vertical="center"/>
    </xf>
    <xf numFmtId="0" fontId="119" fillId="30" borderId="39" xfId="0" applyFont="1" applyFill="1" applyBorder="1" applyAlignment="1">
      <alignment horizontal="center" vertical="center" wrapText="1"/>
    </xf>
    <xf numFmtId="4" fontId="119" fillId="30" borderId="39" xfId="0" applyNumberFormat="1" applyFont="1" applyFill="1" applyBorder="1" applyAlignment="1">
      <alignment horizontal="center" vertical="center" wrapText="1"/>
    </xf>
    <xf numFmtId="4" fontId="119" fillId="30" borderId="39" xfId="0" applyNumberFormat="1" applyFont="1" applyFill="1" applyBorder="1" applyAlignment="1">
      <alignment horizontal="right" vertical="center" wrapText="1"/>
    </xf>
    <xf numFmtId="49" fontId="120" fillId="31" borderId="37" xfId="0" applyNumberFormat="1" applyFont="1" applyFill="1" applyBorder="1" applyAlignment="1">
      <alignment horizontal="left" vertical="center" wrapText="1"/>
    </xf>
    <xf numFmtId="49" fontId="120" fillId="31" borderId="39" xfId="0" applyNumberFormat="1" applyFont="1" applyFill="1" applyBorder="1" applyAlignment="1">
      <alignment horizontal="left" vertical="center"/>
    </xf>
    <xf numFmtId="49" fontId="120" fillId="31" borderId="39" xfId="0" applyNumberFormat="1" applyFont="1" applyFill="1" applyBorder="1" applyAlignment="1">
      <alignment horizontal="left" vertical="center" wrapText="1"/>
    </xf>
    <xf numFmtId="0" fontId="120" fillId="31" borderId="39" xfId="0" applyFont="1" applyFill="1" applyBorder="1" applyAlignment="1">
      <alignment vertical="center"/>
    </xf>
    <xf numFmtId="0" fontId="120" fillId="31" borderId="39" xfId="0" applyFont="1" applyFill="1" applyBorder="1" applyAlignment="1">
      <alignment horizontal="center" vertical="center" wrapText="1"/>
    </xf>
    <xf numFmtId="4" fontId="120" fillId="31" borderId="39" xfId="0" applyNumberFormat="1" applyFont="1" applyFill="1" applyBorder="1" applyAlignment="1">
      <alignment horizontal="center" vertical="center" wrapText="1"/>
    </xf>
    <xf numFmtId="4" fontId="120" fillId="31" borderId="39" xfId="0" applyNumberFormat="1" applyFont="1" applyFill="1" applyBorder="1" applyAlignment="1">
      <alignment horizontal="right" vertical="center" wrapText="1"/>
    </xf>
    <xf numFmtId="49" fontId="120" fillId="32" borderId="37" xfId="0" applyNumberFormat="1" applyFont="1" applyFill="1" applyBorder="1" applyAlignment="1">
      <alignment horizontal="left" vertical="center" wrapText="1"/>
    </xf>
    <xf numFmtId="49" fontId="120" fillId="32" borderId="39" xfId="0" applyNumberFormat="1" applyFont="1" applyFill="1" applyBorder="1" applyAlignment="1">
      <alignment horizontal="left" vertical="center"/>
    </xf>
    <xf numFmtId="49" fontId="120" fillId="32" borderId="39" xfId="0" applyNumberFormat="1" applyFont="1" applyFill="1" applyBorder="1" applyAlignment="1">
      <alignment horizontal="left" vertical="center" wrapText="1"/>
    </xf>
    <xf numFmtId="0" fontId="120" fillId="32" borderId="39" xfId="0" applyFont="1" applyFill="1" applyBorder="1" applyAlignment="1">
      <alignment vertical="center"/>
    </xf>
    <xf numFmtId="0" fontId="120" fillId="32" borderId="39" xfId="0" applyFont="1" applyFill="1" applyBorder="1" applyAlignment="1">
      <alignment horizontal="center" vertical="center" wrapText="1"/>
    </xf>
    <xf numFmtId="4" fontId="120" fillId="32" borderId="39" xfId="0" applyNumberFormat="1" applyFont="1" applyFill="1" applyBorder="1" applyAlignment="1">
      <alignment horizontal="center" vertical="center" wrapText="1"/>
    </xf>
    <xf numFmtId="4" fontId="120" fillId="32" borderId="39" xfId="0" applyNumberFormat="1" applyFont="1" applyFill="1" applyBorder="1" applyAlignment="1">
      <alignment horizontal="right" vertical="center" wrapText="1"/>
    </xf>
    <xf numFmtId="4" fontId="120" fillId="32" borderId="39" xfId="0" applyNumberFormat="1" applyFont="1" applyFill="1" applyBorder="1" applyAlignment="1">
      <alignment horizontal="left" vertical="center"/>
    </xf>
    <xf numFmtId="49" fontId="49" fillId="29" borderId="37" xfId="0" applyNumberFormat="1" applyFont="1" applyFill="1" applyBorder="1" applyAlignment="1">
      <alignment horizontal="left" vertical="center"/>
    </xf>
    <xf numFmtId="49" fontId="49" fillId="29" borderId="39" xfId="0" applyNumberFormat="1" applyFont="1" applyFill="1" applyBorder="1" applyAlignment="1">
      <alignment horizontal="left" vertical="center"/>
    </xf>
    <xf numFmtId="49" fontId="49" fillId="29" borderId="39" xfId="0" applyNumberFormat="1" applyFont="1" applyFill="1" applyBorder="1" applyAlignment="1">
      <alignment horizontal="left" vertical="center" wrapText="1"/>
    </xf>
    <xf numFmtId="0" fontId="49" fillId="29" borderId="39" xfId="0" applyFont="1" applyFill="1" applyBorder="1" applyAlignment="1">
      <alignment vertical="center"/>
    </xf>
    <xf numFmtId="0" fontId="49" fillId="29" borderId="39" xfId="0" applyFont="1" applyFill="1" applyBorder="1" applyAlignment="1">
      <alignment horizontal="center" vertical="center" wrapText="1"/>
    </xf>
    <xf numFmtId="4" fontId="49" fillId="29" borderId="39" xfId="0" applyNumberFormat="1" applyFont="1" applyFill="1" applyBorder="1" applyAlignment="1">
      <alignment horizontal="center" vertical="center" wrapText="1"/>
    </xf>
    <xf numFmtId="4" fontId="49" fillId="29" borderId="39" xfId="0" applyNumberFormat="1" applyFont="1" applyFill="1" applyBorder="1" applyAlignment="1">
      <alignment horizontal="right" vertical="center" wrapText="1"/>
    </xf>
    <xf numFmtId="4" fontId="49" fillId="29" borderId="39" xfId="0" applyNumberFormat="1" applyFont="1" applyFill="1" applyBorder="1" applyAlignment="1">
      <alignment horizontal="left" vertical="center"/>
    </xf>
    <xf numFmtId="0" fontId="123" fillId="31" borderId="64" xfId="16" applyNumberFormat="1" applyFont="1" applyFill="1" applyBorder="1" applyAlignment="1">
      <alignment vertical="center"/>
    </xf>
    <xf numFmtId="0" fontId="123" fillId="31" borderId="64" xfId="16" applyNumberFormat="1" applyFont="1" applyFill="1" applyBorder="1" applyAlignment="1">
      <alignment horizontal="center" vertical="center" wrapText="1"/>
    </xf>
    <xf numFmtId="0" fontId="123" fillId="32" borderId="64" xfId="16" applyNumberFormat="1" applyFont="1" applyFill="1" applyBorder="1" applyAlignment="1">
      <alignment vertical="center"/>
    </xf>
    <xf numFmtId="0" fontId="123" fillId="32" borderId="64" xfId="16" applyNumberFormat="1" applyFont="1" applyFill="1" applyBorder="1" applyAlignment="1">
      <alignment horizontal="center" vertical="center" wrapText="1"/>
    </xf>
    <xf numFmtId="0" fontId="122" fillId="29" borderId="64" xfId="16" applyNumberFormat="1" applyFont="1" applyFill="1" applyBorder="1" applyAlignment="1">
      <alignment vertical="center"/>
    </xf>
    <xf numFmtId="4" fontId="122" fillId="29" borderId="64" xfId="33" applyNumberFormat="1" applyFont="1" applyFill="1" applyBorder="1" applyAlignment="1">
      <alignment horizontal="center" vertical="center" wrapText="1"/>
    </xf>
    <xf numFmtId="4" fontId="123" fillId="32" borderId="64" xfId="33" applyNumberFormat="1" applyFont="1" applyFill="1" applyBorder="1" applyAlignment="1">
      <alignment horizontal="center" vertical="center" wrapText="1"/>
    </xf>
    <xf numFmtId="49" fontId="120" fillId="31" borderId="37" xfId="0" applyNumberFormat="1" applyFont="1" applyFill="1" applyBorder="1" applyAlignment="1">
      <alignment horizontal="left" vertical="center"/>
    </xf>
    <xf numFmtId="49" fontId="120" fillId="32" borderId="37" xfId="0" applyNumberFormat="1" applyFont="1" applyFill="1" applyBorder="1" applyAlignment="1">
      <alignment horizontal="left" vertical="center"/>
    </xf>
    <xf numFmtId="4" fontId="49" fillId="29" borderId="39" xfId="0" applyNumberFormat="1" applyFont="1" applyFill="1" applyBorder="1" applyAlignment="1">
      <alignment horizontal="left" vertical="center" wrapText="1"/>
    </xf>
    <xf numFmtId="49" fontId="119" fillId="30" borderId="16" xfId="0" applyNumberFormat="1" applyFont="1" applyFill="1" applyBorder="1" applyAlignment="1">
      <alignment horizontal="left" vertical="center"/>
    </xf>
    <xf numFmtId="49" fontId="119" fillId="30" borderId="16" xfId="0" applyNumberFormat="1" applyFont="1" applyFill="1" applyBorder="1" applyAlignment="1">
      <alignment horizontal="left" vertical="center" wrapText="1"/>
    </xf>
    <xf numFmtId="0" fontId="119" fillId="30" borderId="16" xfId="0" applyFont="1" applyFill="1" applyBorder="1" applyAlignment="1">
      <alignment horizontal="center" vertical="center" wrapText="1"/>
    </xf>
    <xf numFmtId="4" fontId="119" fillId="30" borderId="16" xfId="0" applyNumberFormat="1" applyFont="1" applyFill="1" applyBorder="1" applyAlignment="1">
      <alignment horizontal="center" vertical="center" wrapText="1"/>
    </xf>
    <xf numFmtId="4" fontId="119" fillId="30" borderId="16" xfId="0" applyNumberFormat="1" applyFont="1" applyFill="1" applyBorder="1" applyAlignment="1">
      <alignment horizontal="left" vertical="center"/>
    </xf>
    <xf numFmtId="49" fontId="120" fillId="31" borderId="16" xfId="0" applyNumberFormat="1" applyFont="1" applyFill="1" applyBorder="1" applyAlignment="1">
      <alignment horizontal="left" vertical="center"/>
    </xf>
    <xf numFmtId="49" fontId="120" fillId="31" borderId="16" xfId="0" applyNumberFormat="1" applyFont="1" applyFill="1" applyBorder="1" applyAlignment="1">
      <alignment horizontal="left" vertical="center" wrapText="1"/>
    </xf>
    <xf numFmtId="0" fontId="120" fillId="31" borderId="16" xfId="0" applyFont="1" applyFill="1" applyBorder="1" applyAlignment="1">
      <alignment vertical="center"/>
    </xf>
    <xf numFmtId="0" fontId="120" fillId="31" borderId="16" xfId="0" applyFont="1" applyFill="1" applyBorder="1" applyAlignment="1">
      <alignment horizontal="center" vertical="center" wrapText="1"/>
    </xf>
    <xf numFmtId="4" fontId="120" fillId="31" borderId="16" xfId="0" applyNumberFormat="1" applyFont="1" applyFill="1" applyBorder="1" applyAlignment="1">
      <alignment horizontal="center" vertical="center" wrapText="1"/>
    </xf>
    <xf numFmtId="4" fontId="120" fillId="31" borderId="16" xfId="0" applyNumberFormat="1" applyFont="1" applyFill="1" applyBorder="1" applyAlignment="1">
      <alignment horizontal="left" vertical="center"/>
    </xf>
    <xf numFmtId="49" fontId="120" fillId="32" borderId="16" xfId="0" applyNumberFormat="1" applyFont="1" applyFill="1" applyBorder="1" applyAlignment="1">
      <alignment horizontal="left" vertical="center"/>
    </xf>
    <xf numFmtId="49" fontId="120" fillId="32" borderId="16" xfId="0" applyNumberFormat="1" applyFont="1" applyFill="1" applyBorder="1" applyAlignment="1">
      <alignment horizontal="left" vertical="center" wrapText="1"/>
    </xf>
    <xf numFmtId="0" fontId="120" fillId="32" borderId="16" xfId="0" applyFont="1" applyFill="1" applyBorder="1" applyAlignment="1">
      <alignment vertical="center"/>
    </xf>
    <xf numFmtId="0" fontId="120" fillId="32" borderId="16" xfId="0" applyFont="1" applyFill="1" applyBorder="1" applyAlignment="1">
      <alignment horizontal="center" vertical="center" wrapText="1"/>
    </xf>
    <xf numFmtId="4" fontId="120" fillId="32" borderId="16" xfId="0" applyNumberFormat="1" applyFont="1" applyFill="1" applyBorder="1" applyAlignment="1">
      <alignment horizontal="center" vertical="center" wrapText="1"/>
    </xf>
    <xf numFmtId="4" fontId="120" fillId="32" borderId="16" xfId="0" applyNumberFormat="1" applyFont="1" applyFill="1" applyBorder="1" applyAlignment="1">
      <alignment horizontal="left" vertical="center"/>
    </xf>
    <xf numFmtId="49" fontId="49" fillId="29" borderId="16" xfId="0" applyNumberFormat="1" applyFont="1" applyFill="1" applyBorder="1" applyAlignment="1">
      <alignment horizontal="left" vertical="center"/>
    </xf>
    <xf numFmtId="49" fontId="49" fillId="29" borderId="16" xfId="0" applyNumberFormat="1" applyFont="1" applyFill="1" applyBorder="1" applyAlignment="1">
      <alignment horizontal="left" vertical="center" wrapText="1"/>
    </xf>
    <xf numFmtId="0" fontId="49" fillId="29" borderId="16" xfId="0" applyFont="1" applyFill="1" applyBorder="1" applyAlignment="1">
      <alignment vertical="center"/>
    </xf>
    <xf numFmtId="0" fontId="49" fillId="29" borderId="16" xfId="0" applyFont="1" applyFill="1" applyBorder="1" applyAlignment="1">
      <alignment horizontal="center" vertical="center" wrapText="1"/>
    </xf>
    <xf numFmtId="4" fontId="49" fillId="29" borderId="16" xfId="0" applyNumberFormat="1" applyFont="1" applyFill="1" applyBorder="1" applyAlignment="1">
      <alignment horizontal="center" vertical="center" wrapText="1"/>
    </xf>
    <xf numFmtId="4" fontId="49" fillId="29" borderId="16" xfId="0" applyNumberFormat="1" applyFont="1" applyFill="1" applyBorder="1" applyAlignment="1">
      <alignment horizontal="left" vertical="center"/>
    </xf>
    <xf numFmtId="0" fontId="124" fillId="32" borderId="16" xfId="0" applyFont="1" applyFill="1" applyBorder="1" applyAlignment="1">
      <alignment vertical="center"/>
    </xf>
    <xf numFmtId="49" fontId="49" fillId="29" borderId="37" xfId="0" applyNumberFormat="1" applyFont="1" applyFill="1" applyBorder="1" applyAlignment="1">
      <alignment horizontal="left" vertical="center" wrapText="1"/>
    </xf>
    <xf numFmtId="49" fontId="119" fillId="30" borderId="37" xfId="0" applyNumberFormat="1" applyFont="1" applyFill="1" applyBorder="1" applyAlignment="1">
      <alignment horizontal="left" vertical="center"/>
    </xf>
    <xf numFmtId="4" fontId="123" fillId="31" borderId="64" xfId="33" applyNumberFormat="1" applyFont="1" applyFill="1" applyBorder="1" applyAlignment="1">
      <alignment horizontal="center" vertical="center" wrapText="1"/>
    </xf>
    <xf numFmtId="4" fontId="120" fillId="32" borderId="39" xfId="0" applyNumberFormat="1" applyFont="1" applyFill="1" applyBorder="1" applyAlignment="1">
      <alignment horizontal="left" vertical="center" wrapText="1"/>
    </xf>
    <xf numFmtId="0" fontId="119" fillId="30" borderId="37" xfId="0" applyFont="1" applyFill="1" applyBorder="1" applyAlignment="1">
      <alignment horizontal="left" vertical="center"/>
    </xf>
    <xf numFmtId="0" fontId="119" fillId="30" borderId="16" xfId="0" applyFont="1" applyFill="1" applyBorder="1" applyAlignment="1">
      <alignment vertical="center"/>
    </xf>
    <xf numFmtId="0" fontId="120" fillId="31" borderId="37" xfId="0" applyFont="1" applyFill="1" applyBorder="1" applyAlignment="1">
      <alignment horizontal="left" vertical="center"/>
    </xf>
    <xf numFmtId="0" fontId="120" fillId="32" borderId="37" xfId="0" applyFont="1" applyFill="1" applyBorder="1" applyAlignment="1">
      <alignment horizontal="left" vertical="center"/>
    </xf>
    <xf numFmtId="0" fontId="49" fillId="29" borderId="37" xfId="0" applyFont="1" applyFill="1" applyBorder="1" applyAlignment="1">
      <alignment horizontal="left" vertical="center"/>
    </xf>
    <xf numFmtId="3" fontId="111" fillId="0" borderId="137" xfId="5" quotePrefix="1" applyNumberFormat="1" applyFont="1" applyBorder="1" applyAlignment="1">
      <alignment horizontal="left" vertical="center"/>
    </xf>
    <xf numFmtId="49" fontId="111" fillId="0" borderId="137" xfId="5" quotePrefix="1" applyNumberFormat="1" applyFont="1" applyBorder="1" applyAlignment="1">
      <alignment horizontal="left" vertical="center"/>
    </xf>
    <xf numFmtId="0" fontId="98" fillId="17" borderId="52" xfId="28" applyFont="1" applyFill="1" applyAlignment="1">
      <alignment horizontal="center"/>
    </xf>
    <xf numFmtId="0" fontId="98" fillId="17" borderId="54" xfId="28" applyFont="1" applyFill="1" applyBorder="1" applyAlignment="1">
      <alignment horizontal="center" vertical="center"/>
    </xf>
    <xf numFmtId="0" fontId="29" fillId="17" borderId="142" xfId="28" applyFill="1" applyBorder="1" applyAlignment="1">
      <alignment horizontal="center" vertical="center"/>
    </xf>
    <xf numFmtId="195" fontId="0" fillId="17" borderId="142" xfId="6" applyNumberFormat="1" applyFont="1" applyFill="1" applyBorder="1" applyAlignment="1">
      <alignment horizontal="center" vertical="center"/>
    </xf>
    <xf numFmtId="197" fontId="0" fillId="17" borderId="142" xfId="130" applyNumberFormat="1" applyFont="1" applyFill="1" applyBorder="1" applyAlignment="1">
      <alignment vertical="center"/>
    </xf>
    <xf numFmtId="0" fontId="29" fillId="17" borderId="143" xfId="28" applyFill="1" applyBorder="1" applyAlignment="1">
      <alignment vertical="center" wrapText="1"/>
    </xf>
    <xf numFmtId="0" fontId="29" fillId="17" borderId="109" xfId="28" applyFill="1" applyBorder="1" applyAlignment="1">
      <alignment horizontal="center" vertical="center"/>
    </xf>
    <xf numFmtId="0" fontId="29" fillId="17" borderId="109" xfId="28" applyFill="1" applyBorder="1" applyAlignment="1">
      <alignment horizontal="center" vertical="center" wrapText="1"/>
    </xf>
    <xf numFmtId="0" fontId="29" fillId="17" borderId="109" xfId="28" applyFill="1" applyBorder="1" applyAlignment="1">
      <alignment horizontal="left" vertical="center"/>
    </xf>
    <xf numFmtId="0" fontId="29" fillId="18" borderId="142" xfId="28" applyFill="1" applyBorder="1" applyAlignment="1">
      <alignment horizontal="center" vertical="center"/>
    </xf>
    <xf numFmtId="195" fontId="0" fillId="18" borderId="142" xfId="6" applyNumberFormat="1" applyFont="1" applyFill="1" applyBorder="1" applyAlignment="1">
      <alignment horizontal="center" vertical="center"/>
    </xf>
    <xf numFmtId="197" fontId="0" fillId="18" borderId="142" xfId="130" applyNumberFormat="1" applyFont="1" applyFill="1" applyBorder="1" applyAlignment="1">
      <alignment vertical="center"/>
    </xf>
    <xf numFmtId="0" fontId="29" fillId="18" borderId="144" xfId="28" applyFill="1" applyBorder="1" applyAlignment="1">
      <alignment vertical="center" wrapText="1"/>
    </xf>
    <xf numFmtId="0" fontId="29" fillId="18" borderId="145" xfId="28" applyFill="1" applyBorder="1" applyAlignment="1">
      <alignment horizontal="center" vertical="center"/>
    </xf>
    <xf numFmtId="0" fontId="29" fillId="18" borderId="145" xfId="28" applyFill="1" applyBorder="1" applyAlignment="1">
      <alignment horizontal="center" vertical="center" wrapText="1"/>
    </xf>
    <xf numFmtId="0" fontId="29" fillId="18" borderId="109" xfId="28" applyFill="1" applyBorder="1" applyAlignment="1">
      <alignment horizontal="left" vertical="center"/>
    </xf>
    <xf numFmtId="0" fontId="29" fillId="19" borderId="142" xfId="28" applyFill="1" applyBorder="1" applyAlignment="1">
      <alignment horizontal="center" vertical="center"/>
    </xf>
    <xf numFmtId="195" fontId="0" fillId="19" borderId="142" xfId="6" applyNumberFormat="1" applyFont="1" applyFill="1" applyBorder="1" applyAlignment="1">
      <alignment horizontal="center" vertical="center"/>
    </xf>
    <xf numFmtId="197" fontId="0" fillId="19" borderId="142" xfId="130" applyNumberFormat="1" applyFont="1" applyFill="1" applyBorder="1" applyAlignment="1">
      <alignment vertical="center"/>
    </xf>
    <xf numFmtId="0" fontId="29" fillId="19" borderId="144" xfId="28" applyFill="1" applyBorder="1" applyAlignment="1">
      <alignment horizontal="left" vertical="center" wrapText="1"/>
    </xf>
    <xf numFmtId="0" fontId="29" fillId="26" borderId="142" xfId="28" applyFill="1" applyBorder="1" applyAlignment="1">
      <alignment horizontal="center" vertical="center"/>
    </xf>
    <xf numFmtId="195" fontId="0" fillId="26" borderId="142" xfId="6" applyNumberFormat="1" applyFont="1" applyFill="1" applyBorder="1" applyAlignment="1">
      <alignment horizontal="center" vertical="center"/>
    </xf>
    <xf numFmtId="197" fontId="0" fillId="26" borderId="142" xfId="130" applyNumberFormat="1" applyFont="1" applyFill="1" applyBorder="1" applyAlignment="1">
      <alignment vertical="center"/>
    </xf>
    <xf numFmtId="0" fontId="29" fillId="26" borderId="144" xfId="28" applyFill="1" applyBorder="1" applyAlignment="1">
      <alignment horizontal="left" vertical="center" wrapText="1"/>
    </xf>
    <xf numFmtId="0" fontId="29" fillId="26" borderId="143" xfId="28" applyFill="1" applyBorder="1" applyAlignment="1">
      <alignment horizontal="left" vertical="center" wrapText="1"/>
    </xf>
    <xf numFmtId="0" fontId="29" fillId="26" borderId="131" xfId="28" applyFill="1" applyBorder="1" applyAlignment="1">
      <alignment horizontal="left" vertical="center"/>
    </xf>
    <xf numFmtId="0" fontId="97" fillId="20" borderId="142" xfId="28" applyFont="1" applyFill="1" applyBorder="1" applyAlignment="1">
      <alignment horizontal="center" vertical="center"/>
    </xf>
    <xf numFmtId="195" fontId="97" fillId="20" borderId="142" xfId="6" applyNumberFormat="1" applyFont="1" applyFill="1" applyBorder="1" applyAlignment="1">
      <alignment horizontal="center" vertical="center"/>
    </xf>
    <xf numFmtId="197" fontId="97" fillId="20" borderId="142" xfId="130" applyNumberFormat="1" applyFont="1" applyFill="1" applyBorder="1" applyAlignment="1">
      <alignment vertical="center"/>
    </xf>
    <xf numFmtId="0" fontId="97" fillId="20" borderId="146" xfId="28" applyFont="1" applyFill="1" applyBorder="1" applyAlignment="1">
      <alignment horizontal="left" vertical="center" wrapText="1"/>
    </xf>
    <xf numFmtId="0" fontId="97" fillId="20" borderId="147" xfId="28" applyFont="1" applyFill="1" applyBorder="1" applyAlignment="1">
      <alignment horizontal="left" vertical="center" wrapText="1"/>
    </xf>
    <xf numFmtId="0" fontId="97" fillId="20" borderId="109" xfId="28" applyFont="1" applyFill="1" applyBorder="1" applyAlignment="1">
      <alignment horizontal="left" vertical="center"/>
    </xf>
    <xf numFmtId="0" fontId="50" fillId="17" borderId="52" xfId="28" applyFont="1" applyFill="1" applyAlignment="1">
      <alignment vertical="center"/>
    </xf>
    <xf numFmtId="0" fontId="29" fillId="33" borderId="148" xfId="28" applyFill="1" applyBorder="1" applyAlignment="1">
      <alignment horizontal="left"/>
    </xf>
    <xf numFmtId="0" fontId="98" fillId="17" borderId="148" xfId="28" applyFont="1" applyFill="1" applyBorder="1" applyAlignment="1">
      <alignment horizontal="center" vertical="center"/>
    </xf>
    <xf numFmtId="0" fontId="98" fillId="17" borderId="52" xfId="28" applyFont="1" applyFill="1" applyAlignment="1">
      <alignment horizontal="center" vertical="center"/>
    </xf>
    <xf numFmtId="0" fontId="29" fillId="17" borderId="52" xfId="28" applyFill="1" applyAlignment="1">
      <alignment horizontal="left"/>
    </xf>
    <xf numFmtId="0" fontId="98" fillId="17" borderId="52" xfId="28" applyFont="1" applyFill="1"/>
    <xf numFmtId="0" fontId="98" fillId="17" borderId="151" xfId="28" applyFont="1" applyFill="1" applyBorder="1" applyAlignment="1">
      <alignment horizontal="center" vertical="center"/>
    </xf>
    <xf numFmtId="0" fontId="98" fillId="17" borderId="152" xfId="28" applyFont="1" applyFill="1" applyBorder="1" applyAlignment="1">
      <alignment horizontal="center"/>
    </xf>
    <xf numFmtId="0" fontId="98" fillId="23" borderId="148" xfId="28" applyFont="1" applyFill="1" applyBorder="1"/>
    <xf numFmtId="0" fontId="98" fillId="17" borderId="154" xfId="28" applyFont="1" applyFill="1" applyBorder="1" applyAlignment="1">
      <alignment horizontal="center" vertical="center"/>
    </xf>
    <xf numFmtId="0" fontId="98" fillId="17" borderId="155" xfId="28" applyFont="1" applyFill="1" applyBorder="1" applyAlignment="1">
      <alignment horizontal="center"/>
    </xf>
    <xf numFmtId="0" fontId="98" fillId="17" borderId="148" xfId="28" applyFont="1" applyFill="1" applyBorder="1"/>
    <xf numFmtId="0" fontId="29" fillId="17" borderId="52" xfId="28" applyFill="1" applyAlignment="1">
      <alignment horizontal="center" vertical="center"/>
    </xf>
    <xf numFmtId="0" fontId="29" fillId="17" borderId="154" xfId="28" applyFill="1" applyBorder="1" applyAlignment="1">
      <alignment horizontal="center" vertical="center"/>
    </xf>
    <xf numFmtId="0" fontId="29" fillId="17" borderId="155" xfId="28" applyFill="1" applyBorder="1" applyAlignment="1">
      <alignment horizontal="center"/>
    </xf>
    <xf numFmtId="9" fontId="0" fillId="17" borderId="52" xfId="6" applyFont="1" applyFill="1" applyAlignment="1">
      <alignment horizontal="center" vertical="center"/>
    </xf>
    <xf numFmtId="9" fontId="0" fillId="17" borderId="156" xfId="6" applyFont="1" applyFill="1" applyBorder="1" applyAlignment="1">
      <alignment horizontal="center" vertical="center"/>
    </xf>
    <xf numFmtId="0" fontId="98" fillId="17" borderId="157" xfId="28" applyFont="1" applyFill="1" applyBorder="1" applyAlignment="1">
      <alignment horizontal="center"/>
    </xf>
    <xf numFmtId="195" fontId="0" fillId="18" borderId="142" xfId="6" applyNumberFormat="1" applyFont="1" applyFill="1" applyBorder="1" applyAlignment="1">
      <alignment horizontal="left" vertical="top" wrapText="1"/>
    </xf>
    <xf numFmtId="0" fontId="29" fillId="18" borderId="158" xfId="28" applyFill="1" applyBorder="1" applyAlignment="1">
      <alignment vertical="center" wrapText="1"/>
    </xf>
    <xf numFmtId="0" fontId="29" fillId="18" borderId="159" xfId="28" applyFill="1" applyBorder="1" applyAlignment="1">
      <alignment horizontal="center" vertical="center" wrapText="1"/>
    </xf>
    <xf numFmtId="0" fontId="29" fillId="18" borderId="160" xfId="28" applyFill="1" applyBorder="1" applyAlignment="1">
      <alignment horizontal="center" vertical="center" wrapText="1"/>
    </xf>
    <xf numFmtId="0" fontId="29" fillId="18" borderId="143" xfId="28" applyFill="1" applyBorder="1" applyAlignment="1">
      <alignment horizontal="left" vertical="center"/>
    </xf>
    <xf numFmtId="195" fontId="0" fillId="17" borderId="142" xfId="6" applyNumberFormat="1" applyFont="1" applyFill="1" applyBorder="1" applyAlignment="1">
      <alignment horizontal="left" vertical="top" wrapText="1"/>
    </xf>
    <xf numFmtId="0" fontId="29" fillId="17" borderId="161" xfId="28" applyFill="1" applyBorder="1" applyAlignment="1">
      <alignment vertical="center" wrapText="1"/>
    </xf>
    <xf numFmtId="0" fontId="29" fillId="17" borderId="162" xfId="28" applyFill="1" applyBorder="1" applyAlignment="1">
      <alignment horizontal="center" vertical="center" wrapText="1"/>
    </xf>
    <xf numFmtId="0" fontId="29" fillId="17" borderId="163" xfId="28" applyFill="1" applyBorder="1" applyAlignment="1">
      <alignment horizontal="center" vertical="center" wrapText="1"/>
    </xf>
    <xf numFmtId="0" fontId="29" fillId="17" borderId="143" xfId="28" applyFill="1" applyBorder="1" applyAlignment="1">
      <alignment horizontal="left" vertical="center"/>
    </xf>
    <xf numFmtId="195" fontId="0" fillId="34" borderId="142" xfId="6" applyNumberFormat="1" applyFont="1" applyFill="1" applyBorder="1" applyAlignment="1">
      <alignment horizontal="left" vertical="top" wrapText="1"/>
    </xf>
    <xf numFmtId="0" fontId="29" fillId="34" borderId="65" xfId="28" applyFill="1" applyBorder="1" applyAlignment="1">
      <alignment horizontal="left" vertical="center" wrapText="1"/>
    </xf>
    <xf numFmtId="195" fontId="0" fillId="34" borderId="142" xfId="6" applyNumberFormat="1" applyFont="1" applyFill="1" applyBorder="1" applyAlignment="1">
      <alignment horizontal="center" vertical="center"/>
    </xf>
    <xf numFmtId="197" fontId="0" fillId="34" borderId="142" xfId="130" applyNumberFormat="1" applyFont="1" applyFill="1" applyBorder="1" applyAlignment="1">
      <alignment vertical="center"/>
    </xf>
    <xf numFmtId="0" fontId="29" fillId="34" borderId="142" xfId="28" applyFill="1" applyBorder="1" applyAlignment="1">
      <alignment horizontal="center" vertical="center"/>
    </xf>
    <xf numFmtId="0" fontId="29" fillId="34" borderId="164" xfId="28" applyFill="1" applyBorder="1" applyAlignment="1">
      <alignment horizontal="center" vertical="center"/>
    </xf>
    <xf numFmtId="0" fontId="29" fillId="34" borderId="83" xfId="28" applyFill="1" applyBorder="1" applyAlignment="1">
      <alignment horizontal="center" vertical="center" wrapText="1"/>
    </xf>
    <xf numFmtId="0" fontId="29" fillId="34" borderId="165" xfId="28" applyFill="1" applyBorder="1" applyAlignment="1">
      <alignment horizontal="center" vertical="center" wrapText="1"/>
    </xf>
    <xf numFmtId="0" fontId="29" fillId="34" borderId="143" xfId="28" applyFill="1" applyBorder="1" applyAlignment="1">
      <alignment horizontal="left" vertical="center"/>
    </xf>
    <xf numFmtId="0" fontId="29" fillId="18" borderId="158" xfId="28" applyFill="1" applyBorder="1" applyAlignment="1">
      <alignment horizontal="left" vertical="center" wrapText="1"/>
    </xf>
    <xf numFmtId="0" fontId="29" fillId="18" borderId="163" xfId="28" applyFill="1" applyBorder="1" applyAlignment="1">
      <alignment horizontal="center" vertical="center" wrapText="1"/>
    </xf>
    <xf numFmtId="0" fontId="29" fillId="17" borderId="158" xfId="28" applyFill="1" applyBorder="1" applyAlignment="1">
      <alignment horizontal="left" vertical="center" wrapText="1"/>
    </xf>
    <xf numFmtId="0" fontId="98" fillId="17" borderId="170" xfId="28" applyFont="1" applyFill="1" applyBorder="1"/>
    <xf numFmtId="0" fontId="98" fillId="17" borderId="173" xfId="28" applyFont="1" applyFill="1" applyBorder="1"/>
    <xf numFmtId="0" fontId="98" fillId="23" borderId="173" xfId="28" applyFont="1" applyFill="1" applyBorder="1"/>
    <xf numFmtId="0" fontId="85" fillId="3" borderId="86" xfId="92" applyFont="1" applyFill="1" applyBorder="1" applyAlignment="1">
      <alignment horizontal="center" vertical="center"/>
    </xf>
    <xf numFmtId="0" fontId="83" fillId="0" borderId="87" xfId="92" applyFont="1" applyBorder="1"/>
    <xf numFmtId="0" fontId="83" fillId="0" borderId="88" xfId="92" applyFont="1" applyBorder="1"/>
    <xf numFmtId="0" fontId="108" fillId="0" borderId="93" xfId="112" applyFont="1" applyBorder="1" applyAlignment="1">
      <alignment horizontal="left" vertical="center"/>
    </xf>
    <xf numFmtId="0" fontId="108" fillId="0" borderId="75" xfId="112" applyFont="1" applyBorder="1" applyAlignment="1">
      <alignment horizontal="left" vertical="center"/>
    </xf>
    <xf numFmtId="0" fontId="108" fillId="0" borderId="100" xfId="112" applyFont="1" applyBorder="1" applyAlignment="1">
      <alignment horizontal="left" vertical="center"/>
    </xf>
    <xf numFmtId="0" fontId="108" fillId="0" borderId="67" xfId="112" applyFont="1" applyBorder="1" applyAlignment="1">
      <alignment horizontal="left" vertical="center"/>
    </xf>
    <xf numFmtId="0" fontId="108" fillId="0" borderId="52" xfId="112" applyFont="1" applyAlignment="1">
      <alignment horizontal="left" vertical="center"/>
    </xf>
    <xf numFmtId="0" fontId="108" fillId="0" borderId="66" xfId="112" applyFont="1" applyBorder="1" applyAlignment="1">
      <alignment horizontal="left" vertical="center"/>
    </xf>
    <xf numFmtId="0" fontId="109" fillId="0" borderId="132" xfId="112" applyFont="1" applyBorder="1" applyAlignment="1">
      <alignment horizontal="left" vertical="center"/>
    </xf>
    <xf numFmtId="0" fontId="109" fillId="0" borderId="133" xfId="112" applyFont="1" applyBorder="1" applyAlignment="1">
      <alignment horizontal="left" vertical="center"/>
    </xf>
    <xf numFmtId="0" fontId="109" fillId="0" borderId="134" xfId="112" applyFont="1" applyBorder="1" applyAlignment="1">
      <alignment horizontal="left" vertical="center"/>
    </xf>
    <xf numFmtId="49" fontId="43" fillId="2" borderId="29" xfId="0" applyNumberFormat="1" applyFont="1" applyFill="1" applyBorder="1" applyAlignment="1">
      <alignment horizontal="center" vertical="center" wrapText="1"/>
    </xf>
    <xf numFmtId="0" fontId="29" fillId="0" borderId="30" xfId="0" applyFont="1" applyBorder="1"/>
    <xf numFmtId="0" fontId="29" fillId="0" borderId="31" xfId="0" applyFont="1" applyBorder="1"/>
    <xf numFmtId="0" fontId="29" fillId="17" borderId="111" xfId="28" applyFill="1" applyBorder="1" applyAlignment="1">
      <alignment horizontal="left"/>
    </xf>
    <xf numFmtId="0" fontId="29" fillId="17" borderId="153" xfId="28" applyFill="1" applyBorder="1" applyAlignment="1">
      <alignment horizontal="left"/>
    </xf>
    <xf numFmtId="0" fontId="98" fillId="17" borderId="65" xfId="28" applyFont="1" applyFill="1" applyBorder="1" applyAlignment="1">
      <alignment horizontal="center" vertical="center" wrapText="1"/>
    </xf>
    <xf numFmtId="0" fontId="98" fillId="17" borderId="110" xfId="28" applyFont="1" applyFill="1" applyBorder="1" applyAlignment="1">
      <alignment horizontal="center" vertical="center" wrapText="1"/>
    </xf>
    <xf numFmtId="0" fontId="98" fillId="17" borderId="110" xfId="28" applyFont="1" applyFill="1" applyBorder="1" applyAlignment="1">
      <alignment horizontal="center" vertical="center"/>
    </xf>
    <xf numFmtId="0" fontId="98" fillId="17" borderId="54" xfId="28" applyFont="1" applyFill="1" applyBorder="1" applyAlignment="1">
      <alignment horizontal="center" vertical="center"/>
    </xf>
    <xf numFmtId="0" fontId="98" fillId="17" borderId="148" xfId="28" applyFont="1" applyFill="1" applyBorder="1" applyAlignment="1">
      <alignment horizontal="center" vertical="center"/>
    </xf>
    <xf numFmtId="0" fontId="50" fillId="21" borderId="56" xfId="28" applyFont="1" applyFill="1" applyBorder="1" applyAlignment="1">
      <alignment horizontal="center" vertical="center"/>
    </xf>
    <xf numFmtId="0" fontId="50" fillId="21" borderId="52" xfId="28" applyFont="1" applyFill="1" applyAlignment="1">
      <alignment horizontal="center" vertical="center"/>
    </xf>
    <xf numFmtId="0" fontId="50" fillId="21" borderId="150" xfId="28" applyFont="1" applyFill="1" applyBorder="1" applyAlignment="1">
      <alignment horizontal="center" vertical="center"/>
    </xf>
    <xf numFmtId="0" fontId="50" fillId="21" borderId="149" xfId="28" applyFont="1" applyFill="1" applyBorder="1" applyAlignment="1">
      <alignment horizontal="center" vertical="center"/>
    </xf>
    <xf numFmtId="0" fontId="29" fillId="23" borderId="111" xfId="28" applyFill="1" applyBorder="1" applyAlignment="1">
      <alignment horizontal="left"/>
    </xf>
    <xf numFmtId="0" fontId="29" fillId="23" borderId="153" xfId="28" applyFill="1" applyBorder="1" applyAlignment="1">
      <alignment horizontal="left"/>
    </xf>
    <xf numFmtId="197" fontId="0" fillId="33" borderId="148" xfId="130" applyNumberFormat="1" applyFont="1" applyFill="1" applyBorder="1" applyAlignment="1">
      <alignment horizontal="center" vertical="center"/>
    </xf>
    <xf numFmtId="197" fontId="0" fillId="33" borderId="148" xfId="130" applyNumberFormat="1" applyFont="1" applyFill="1" applyBorder="1" applyAlignment="1">
      <alignment horizontal="left" vertical="center"/>
    </xf>
    <xf numFmtId="0" fontId="50" fillId="21" borderId="57" xfId="28" applyFont="1" applyFill="1" applyBorder="1" applyAlignment="1">
      <alignment horizontal="center" vertical="center"/>
    </xf>
    <xf numFmtId="0" fontId="50" fillId="21" borderId="58" xfId="28" applyFont="1" applyFill="1" applyBorder="1" applyAlignment="1">
      <alignment horizontal="center" vertical="center"/>
    </xf>
    <xf numFmtId="0" fontId="50" fillId="21" borderId="175" xfId="28" applyFont="1" applyFill="1" applyBorder="1" applyAlignment="1">
      <alignment horizontal="center" vertical="center"/>
    </xf>
    <xf numFmtId="0" fontId="50" fillId="21" borderId="176" xfId="28" applyFont="1" applyFill="1" applyBorder="1" applyAlignment="1">
      <alignment horizontal="center" vertical="center"/>
    </xf>
    <xf numFmtId="0" fontId="50" fillId="21" borderId="174" xfId="28" applyFont="1" applyFill="1" applyBorder="1" applyAlignment="1">
      <alignment horizontal="center" vertical="center"/>
    </xf>
    <xf numFmtId="0" fontId="29" fillId="23" borderId="155" xfId="28" applyFill="1" applyBorder="1" applyAlignment="1">
      <alignment horizontal="left"/>
    </xf>
    <xf numFmtId="0" fontId="29" fillId="23" borderId="52" xfId="28" applyFill="1" applyAlignment="1">
      <alignment horizontal="left"/>
    </xf>
    <xf numFmtId="9" fontId="0" fillId="17" borderId="175" xfId="6" applyFont="1" applyFill="1" applyBorder="1" applyAlignment="1">
      <alignment horizontal="center" vertical="center"/>
    </xf>
    <xf numFmtId="9" fontId="0" fillId="17" borderId="174" xfId="6" applyFont="1" applyFill="1" applyBorder="1" applyAlignment="1">
      <alignment horizontal="center" vertical="center"/>
    </xf>
    <xf numFmtId="9" fontId="0" fillId="17" borderId="172" xfId="6" applyFont="1" applyFill="1" applyBorder="1" applyAlignment="1">
      <alignment horizontal="center" vertical="center"/>
    </xf>
    <xf numFmtId="9" fontId="0" fillId="17" borderId="171" xfId="6" applyFont="1" applyFill="1" applyBorder="1" applyAlignment="1">
      <alignment horizontal="center" vertical="center"/>
    </xf>
    <xf numFmtId="9" fontId="0" fillId="17" borderId="167" xfId="6" applyFont="1" applyFill="1" applyBorder="1" applyAlignment="1">
      <alignment horizontal="center" vertical="center"/>
    </xf>
    <xf numFmtId="9" fontId="0" fillId="17" borderId="166" xfId="6" applyFont="1" applyFill="1" applyBorder="1" applyAlignment="1">
      <alignment horizontal="center" vertical="center"/>
    </xf>
    <xf numFmtId="0" fontId="29" fillId="17" borderId="155" xfId="28" applyFill="1" applyBorder="1" applyAlignment="1">
      <alignment horizontal="left"/>
    </xf>
    <xf numFmtId="0" fontId="29" fillId="17" borderId="52" xfId="28" applyFill="1" applyAlignment="1">
      <alignment horizontal="left"/>
    </xf>
    <xf numFmtId="0" fontId="29" fillId="17" borderId="169" xfId="28" applyFill="1" applyBorder="1" applyAlignment="1">
      <alignment horizontal="left"/>
    </xf>
    <xf numFmtId="0" fontId="29" fillId="17" borderId="168" xfId="28" applyFill="1" applyBorder="1" applyAlignment="1">
      <alignment horizontal="left"/>
    </xf>
    <xf numFmtId="0" fontId="68" fillId="10" borderId="116" xfId="14" applyFont="1" applyFill="1" applyBorder="1" applyAlignment="1">
      <alignment horizontal="center" vertical="center" wrapText="1"/>
    </xf>
    <xf numFmtId="0" fontId="104" fillId="0" borderId="116" xfId="113" applyBorder="1"/>
    <xf numFmtId="0" fontId="96" fillId="10" borderId="116" xfId="14" applyFont="1" applyFill="1" applyBorder="1" applyAlignment="1">
      <alignment horizontal="center" vertical="center"/>
    </xf>
    <xf numFmtId="49" fontId="68" fillId="10" borderId="54" xfId="16" applyNumberFormat="1" applyFont="1" applyFill="1" applyBorder="1" applyAlignment="1">
      <alignment horizontal="center" vertical="center" wrapText="1"/>
    </xf>
  </cellXfs>
  <cellStyles count="132">
    <cellStyle name="Hiperlink 2" xfId="35" xr:uid="{6ECF1AB4-A817-4797-9810-A49F93E13BAA}"/>
    <cellStyle name="Moeda" xfId="4" builtinId="4"/>
    <cellStyle name="Moeda 16" xfId="11" xr:uid="{2F6DCA87-DFD9-4BB8-B099-40981A972827}"/>
    <cellStyle name="Moeda 16 2" xfId="76" xr:uid="{8C474D54-C419-4FA3-B4FA-467324721164}"/>
    <cellStyle name="Moeda 16 2 2" xfId="100" xr:uid="{F1C1A80E-64C3-4469-8EE9-5CD9E57E3570}"/>
    <cellStyle name="Moeda 16 2 2 2" xfId="111" xr:uid="{5B9192CD-C6BE-4F59-8BAF-103AB492CC8A}"/>
    <cellStyle name="Moeda 16 2 2 3" xfId="120" xr:uid="{87E54740-D2DB-4B27-A0EA-A4115622C9F6}"/>
    <cellStyle name="Moeda 16 2 2 4" xfId="126" xr:uid="{1DEDBBE3-AB4A-4FA2-B967-4E046E88E202}"/>
    <cellStyle name="Moeda 16 3" xfId="85" xr:uid="{D18ECB3E-DCFA-4C2F-995A-F9309A8B4729}"/>
    <cellStyle name="Moeda 16 3 2" xfId="103" xr:uid="{ABF0438B-15AA-40E6-B84D-1D0DCC1AF4C0}"/>
    <cellStyle name="Moeda 16 5" xfId="81" xr:uid="{2580FF6F-2E63-4DA0-B05B-8E89F38E52B1}"/>
    <cellStyle name="Moeda 16 5 2" xfId="107" xr:uid="{2CF3CD35-9810-46A7-83DB-254A1D0B9181}"/>
    <cellStyle name="Moeda 2" xfId="10" xr:uid="{6990DA40-CC9D-4D61-9436-7E3861ABECCD}"/>
    <cellStyle name="Moeda 2 2" xfId="52" xr:uid="{02CC363E-81AA-42F3-822E-881CAD391B1E}"/>
    <cellStyle name="Moeda 2 2 2" xfId="82" xr:uid="{2A461696-84EB-4A76-B7C1-AD487BA800B9}"/>
    <cellStyle name="Moeda 2 3" xfId="118" xr:uid="{8506413E-29EB-494A-86B2-FBB565BF142E}"/>
    <cellStyle name="Moeda 3" xfId="21" xr:uid="{DFD07D26-E4E9-4F99-B075-46D2E9A5F178}"/>
    <cellStyle name="Moeda 3 2 2" xfId="59" xr:uid="{7C5BD74D-E1CF-49B4-8D02-4B9E3CB7C5EC}"/>
    <cellStyle name="Moeda 4" xfId="104" xr:uid="{68425E6A-05A0-476A-85BD-12BD4856816F}"/>
    <cellStyle name="Moeda 5" xfId="130"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7" xr:uid="{A6A15EEF-1591-498F-ABEF-87F3E3C5EFDA}"/>
    <cellStyle name="Normal 11 2" xfId="28" xr:uid="{D70E3A2F-B3DC-4895-A231-D46265621F83}"/>
    <cellStyle name="Normal 11 3" xfId="112" xr:uid="{F45F045C-5463-4AAE-8EB6-973826CC0C06}"/>
    <cellStyle name="Normal 12" xfId="90" xr:uid="{92B0468A-2571-430C-BF17-E6254A026C69}"/>
    <cellStyle name="Normal 13" xfId="93" xr:uid="{C5E6705E-4F83-49AA-8553-03C0619DDBBC}"/>
    <cellStyle name="Normal 14" xfId="108" xr:uid="{682C25B3-6F40-49CB-A63C-4D84B0B2D1BB}"/>
    <cellStyle name="Normal 14 4 2" xfId="64" xr:uid="{55F37E3D-B9A7-4CD1-AC6D-F6CC27348C0B}"/>
    <cellStyle name="Normal 14 5" xfId="55" xr:uid="{9DFA9D77-C756-457F-9ED0-230C8016B0DA}"/>
    <cellStyle name="Normal 14 5 2" xfId="73" xr:uid="{61EDCF4F-30B3-49C0-AEE4-B9858EE5D5A7}"/>
    <cellStyle name="Normal 14 6 2" xfId="42" xr:uid="{B33DF242-0053-46BC-A802-65AF71196E6F}"/>
    <cellStyle name="Normal 15" xfId="113" xr:uid="{CC6F6A55-6CDA-4140-998C-74749D2F527D}"/>
    <cellStyle name="Normal 16" xfId="123" xr:uid="{D005BAE9-A461-4FA0-8890-B27B236407DB}"/>
    <cellStyle name="Normal 16 4 2" xfId="61" xr:uid="{1E74DF18-75BD-48DE-A786-B702B4140EEC}"/>
    <cellStyle name="Normal 17" xfId="127" xr:uid="{28FE2A78-2DE3-463C-B948-C10F24CFEC95}"/>
    <cellStyle name="Normal 18" xfId="78" xr:uid="{8BA97679-64F2-4E22-813B-48702A4E554C}"/>
    <cellStyle name="Normal 19" xfId="128"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6" xr:uid="{A5D063F6-91E7-4A1D-AA9A-E3A2FEDEE106}"/>
    <cellStyle name="Normal 2 4" xfId="29" xr:uid="{452DEA03-1DDF-476F-9D8F-2A168AB59DD4}"/>
    <cellStyle name="Normal 2 4 2" xfId="117" xr:uid="{EEC423F5-9289-4BD7-835A-53ECDE6647BE}"/>
    <cellStyle name="Normal 20" xfId="129" xr:uid="{4D195F30-3865-4BE2-AB6B-26AAC4A2AF72}"/>
    <cellStyle name="Normal 21" xfId="131" xr:uid="{13CF921C-88C4-4A64-BB22-2E01084E2A99}"/>
    <cellStyle name="Normal 27 2" xfId="17" xr:uid="{5E456DDA-44DC-4ACF-8FE2-FE81D8CC7FAB}"/>
    <cellStyle name="Normal 27 2 2" xfId="96" xr:uid="{FCA14645-68F6-4BC9-BA0A-5A69E21B80C3}"/>
    <cellStyle name="Normal 28" xfId="39" xr:uid="{11EDA3DB-BFD9-412B-BC08-CA543C3D9646}"/>
    <cellStyle name="Normal 28 2" xfId="53" xr:uid="{80043D83-F251-464B-8C11-BA0B1C1EB70C}"/>
    <cellStyle name="Normal 28 2 2" xfId="70" xr:uid="{2B247029-2CD1-488D-9C5A-455CFE6960FB}"/>
    <cellStyle name="Normal 28 4" xfId="65" xr:uid="{7AE2E2DC-1FB4-458C-8BC8-71A0B8F56C7D}"/>
    <cellStyle name="Normal 3" xfId="7" xr:uid="{44C2B041-9A35-4647-8E80-85B365FD3E87}"/>
    <cellStyle name="Normal 31" xfId="57" xr:uid="{75F11BB9-942F-4526-8886-432B9C539761}"/>
    <cellStyle name="Normal 31 2" xfId="32" xr:uid="{66F4B4FE-2244-4EFD-9D7A-8852AC79806E}"/>
    <cellStyle name="Normal 34 2" xfId="8" xr:uid="{CDCD8C84-5CAB-499B-9D89-15F6B5CB25E3}"/>
    <cellStyle name="Normal 34 2 2" xfId="74" xr:uid="{58D2929A-8F8C-47CC-9DF2-43FE85F6A52C}"/>
    <cellStyle name="Normal 34 2 2 2" xfId="98" xr:uid="{1336DD0D-AACC-4D54-8B37-C326F8BE2590}"/>
    <cellStyle name="Normal 34 2 2 2 2" xfId="109" xr:uid="{EB74B257-590C-474C-A038-34C9CE8A879A}"/>
    <cellStyle name="Normal 34 2 2 2 3" xfId="116" xr:uid="{FBC31DFB-8DC0-4800-AFA0-CBAD94DA68DF}"/>
    <cellStyle name="Normal 34 2 2 2 4" xfId="124" xr:uid="{A13174A4-E390-4786-9847-6BADE408D71A}"/>
    <cellStyle name="Normal 34 2 3" xfId="83" xr:uid="{B99755FF-4464-4480-93C4-22A808C2F803}"/>
    <cellStyle name="Normal 34 2 3 2" xfId="101" xr:uid="{27682F1A-54CB-41E1-B8E5-F4A34C40EF47}"/>
    <cellStyle name="Normal 34 2 4" xfId="79" xr:uid="{C9414EC7-C489-4D36-B8F1-485AB84B51C8}"/>
    <cellStyle name="Normal 34 2 4 2" xfId="105" xr:uid="{F25B7065-BF77-42D2-94EB-640CD2C22337}"/>
    <cellStyle name="Normal 36" xfId="36" xr:uid="{6DA5C95D-AF83-4F5A-A8AE-EB068092DD26}"/>
    <cellStyle name="Normal 36 2" xfId="92" xr:uid="{99DA3B5B-5760-4CC3-B11D-94EFFF52FF6C}"/>
    <cellStyle name="Normal 36 3" xfId="115" xr:uid="{B3F150DB-F3FE-4A91-8412-992DBF587643}"/>
    <cellStyle name="Normal 37" xfId="37" xr:uid="{AED6CA1E-F6AB-41C5-8210-956556A60BFA}"/>
    <cellStyle name="Normal 37 2" xfId="91" xr:uid="{50E5D47E-4BBF-4ABD-9AF0-80B659BD4B76}"/>
    <cellStyle name="Normal 37 3" xfId="95" xr:uid="{4424467C-814D-4FDC-964C-DEC2930BDF8A}"/>
    <cellStyle name="Normal 37 4" xfId="114" xr:uid="{BA2A72A6-2012-434C-9811-A8DDAACF5A62}"/>
    <cellStyle name="Normal 39" xfId="24" xr:uid="{BAAB2D97-1468-436E-8AE2-779D7E03CADE}"/>
    <cellStyle name="Normal 39 2" xfId="45" xr:uid="{010F7370-2F86-4633-A67B-608FF8962EE3}"/>
    <cellStyle name="Normal 39 2 2" xfId="86" xr:uid="{03CA5E1F-1631-4537-B2E7-1F11EF4E1F75}"/>
    <cellStyle name="Normal 39 3" xfId="67" xr:uid="{3091CF5E-D236-477C-9C43-A971CC3AEBAF}"/>
    <cellStyle name="Normal 39 3 2" xfId="89"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1" xr:uid="{464FF9C2-7E33-48C6-9705-32AD95A95730}"/>
    <cellStyle name="Normal 7" xfId="40" xr:uid="{2C820241-6C47-4B55-B66A-5925FCF3DC00}"/>
    <cellStyle name="Normal 7 2" xfId="68" xr:uid="{0CB8BFCF-8F39-4D77-9C0F-A6536E652E55}"/>
    <cellStyle name="Normal 8" xfId="14" xr:uid="{8D2FA2A6-E56A-4BDA-B6BB-10171E76B1D8}"/>
    <cellStyle name="Normal 9" xfId="47" xr:uid="{9ABB1D55-109A-4CAF-A72A-D78CDDF024E7}"/>
    <cellStyle name="Normal 9 2 2 2" xfId="58" xr:uid="{D66065D3-DB38-46EC-A63B-C39C4E1B42D4}"/>
    <cellStyle name="Porcentagem 2" xfId="6" xr:uid="{5CF05566-B960-4D47-9AF1-E0E17C920274}"/>
    <cellStyle name="Porcentagem 3" xfId="63" xr:uid="{C5A7CF5D-4305-4FE1-A003-899A815E81D2}"/>
    <cellStyle name="Separador de milhares 4" xfId="27" xr:uid="{07DC35D1-1210-4E9B-93B9-48A8979AFF3C}"/>
    <cellStyle name="Vírgula" xfId="23" builtinId="3"/>
    <cellStyle name="Vírgula 10 3 2" xfId="62" xr:uid="{7A4CE43B-4D05-41CB-8358-3FA134E7A6E6}"/>
    <cellStyle name="Vírgula 2" xfId="48" xr:uid="{FFF4A8AA-2635-4C38-99BA-6ABB4309469C}"/>
    <cellStyle name="Vírgula 2 2" xfId="18" xr:uid="{B49A18F6-AA35-4910-94B6-DF2E34FEFD6A}"/>
    <cellStyle name="Vírgula 2 2 2" xfId="50" xr:uid="{4D15DC66-42C0-47DE-9474-E1745874C111}"/>
    <cellStyle name="Vírgula 20 4 2" xfId="60" xr:uid="{A06C657E-68C3-4EA8-B2AC-5730E90AD0E0}"/>
    <cellStyle name="Vírgula 23 2" xfId="69"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7" xr:uid="{70B700A7-0810-4FB3-97B2-EFBAC84FA41B}"/>
    <cellStyle name="Vírgula 3" xfId="51" xr:uid="{465871EA-9B17-493B-8781-F7732A085920}"/>
    <cellStyle name="Vírgula 3 2" xfId="15" xr:uid="{3D279FE9-481E-4043-873E-792409D436AA}"/>
    <cellStyle name="Vírgula 3 2 2" xfId="122"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7" xr:uid="{8E7A55CF-EAF5-4912-986E-A45B8264CD39}"/>
    <cellStyle name="Vírgula 31" xfId="1" xr:uid="{1184CC3E-9022-4290-8982-0859EDB2566B}"/>
    <cellStyle name="Vírgula 31 2" xfId="12" xr:uid="{2B571229-9E98-4D4F-9589-E4F90319C49C}"/>
    <cellStyle name="Vírgula 31 3" xfId="75" xr:uid="{DCB7D162-CD09-42D5-A733-D02C8EA72645}"/>
    <cellStyle name="Vírgula 31 3 2" xfId="99" xr:uid="{2D3E31C6-FCFE-4D94-B092-9B9E85754410}"/>
    <cellStyle name="Vírgula 31 3 2 2" xfId="110" xr:uid="{E0605ECB-936D-4C77-BC25-1C64A56BBEBD}"/>
    <cellStyle name="Vírgula 31 3 2 3" xfId="119" xr:uid="{9A1C5FE9-2643-4EA7-BC6D-AF75A780FE73}"/>
    <cellStyle name="Vírgula 31 3 2 4" xfId="125" xr:uid="{4010AE52-1555-4815-8213-68D360591027}"/>
    <cellStyle name="Vírgula 31 4" xfId="80" xr:uid="{4C67A833-7123-4AA5-B143-0AA3498028ED}"/>
    <cellStyle name="Vírgula 31 4 2" xfId="106" xr:uid="{98ED3DD4-FE6A-406A-9A4D-CA2E0BFE8580}"/>
    <cellStyle name="Vírgula 31 5" xfId="84" xr:uid="{3CD754CD-45F6-45B6-A769-B98414C29178}"/>
    <cellStyle name="Vírgula 31 5 2" xfId="102" xr:uid="{57E9FC50-3DD3-4971-A9E6-34B7950A50D2}"/>
    <cellStyle name="Vírgula 33" xfId="66" xr:uid="{B5EB5BBD-9492-4F69-B8E1-E40E98FBAD51}"/>
    <cellStyle name="Vírgula 33 2" xfId="88" xr:uid="{2969D77F-B76C-470C-8CFA-6A5210ED3F43}"/>
    <cellStyle name="Vírgula 4" xfId="49" xr:uid="{557467F8-C0AC-48B7-9C14-A09EAA460A37}"/>
    <cellStyle name="Vírgula 5" xfId="94" xr:uid="{11CC87AF-28BA-42BA-AAFC-CC1C79806781}"/>
    <cellStyle name="Vírgula 5 2" xfId="33" xr:uid="{4DBDB7D6-F471-48F3-98A3-1868CD5EAF80}"/>
    <cellStyle name="Vírgula 5 2 2" xfId="121" xr:uid="{90EE78CC-B14C-4941-8501-60CB2099A0AC}"/>
    <cellStyle name="Vírgula 7 4" xfId="54" xr:uid="{D01F71B2-6710-4784-8DBD-8A79A705E4AE}"/>
    <cellStyle name="Vírgula 7 4 2" xfId="72" xr:uid="{DE092CA5-0BC1-4E37-9C7E-E43602EDBC19}"/>
    <cellStyle name="Vírgula 8" xfId="26" xr:uid="{672DB333-55C9-4AFD-9B6E-DCCDE75DB601}"/>
    <cellStyle name="Vírgula 9 4 2" xfId="43" xr:uid="{1A751105-540E-4969-B14B-B23274540D1A}"/>
  </cellStyles>
  <dxfs count="20270">
    <dxf>
      <font>
        <color rgb="FFFFFFFF"/>
      </font>
      <fill>
        <patternFill patternType="solid">
          <fgColor indexed="64"/>
          <bgColor rgb="FF00B050"/>
        </patternFill>
      </fill>
    </dxf>
    <dxf>
      <font>
        <color rgb="FFFFFFFF"/>
      </font>
      <fill>
        <patternFill patternType="solid">
          <fgColor indexed="64"/>
          <bgColor rgb="FFFF0000"/>
        </patternFill>
      </fill>
    </dxf>
    <dxf>
      <font>
        <color rgb="FF000000"/>
      </font>
      <fill>
        <patternFill patternType="solid">
          <fgColor indexed="64"/>
          <bgColor rgb="FFFFD700"/>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2"/>
        <a:stretch>
          <a:fillRect/>
        </a:stretch>
      </xdr:blipFill>
      <xdr:spPr>
        <a:xfrm>
          <a:off x="7734301" y="13986696"/>
          <a:ext cx="5638800" cy="3863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291353</xdr:colOff>
      <xdr:row>0</xdr:row>
      <xdr:rowOff>100854</xdr:rowOff>
    </xdr:from>
    <xdr:ext cx="1837615" cy="369794"/>
    <xdr:pic>
      <xdr:nvPicPr>
        <xdr:cNvPr id="2" name="image3.png">
          <a:extLst>
            <a:ext uri="{FF2B5EF4-FFF2-40B4-BE49-F238E27FC236}">
              <a16:creationId xmlns:a16="http://schemas.microsoft.com/office/drawing/2014/main" id="{E18EA159-8350-4113-9B22-4B776A01472A}"/>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8995298" y="102759"/>
          <a:ext cx="1837615" cy="369794"/>
        </a:xfrm>
        <a:prstGeom prst="rect">
          <a:avLst/>
        </a:prstGeom>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OBILI&#193;RI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ILIÁRIO"/>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tabSelected="1" zoomScale="85" zoomScaleNormal="85" zoomScaleSheetLayoutView="90" workbookViewId="0">
      <pane ySplit="4" topLeftCell="A18" activePane="bottomLeft" state="frozen"/>
      <selection pane="bottomLeft" activeCell="G25" sqref="G25"/>
    </sheetView>
  </sheetViews>
  <sheetFormatPr defaultColWidth="9.140625" defaultRowHeight="12.75" x14ac:dyDescent="0.2"/>
  <cols>
    <col min="1" max="1" width="1.85546875" style="179" customWidth="1"/>
    <col min="2" max="2" width="15.28515625" style="179" customWidth="1"/>
    <col min="3" max="3" width="22.85546875" style="179" bestFit="1" customWidth="1"/>
    <col min="4" max="4" width="24.85546875" style="179" customWidth="1"/>
    <col min="5" max="5" width="18.140625" style="179" customWidth="1"/>
    <col min="6" max="6" width="12.42578125" style="179" customWidth="1"/>
    <col min="7" max="7" width="14.28515625" style="179" customWidth="1"/>
    <col min="8" max="8" width="3.42578125" style="179" customWidth="1"/>
    <col min="9" max="9" width="43" style="179" bestFit="1" customWidth="1"/>
    <col min="10" max="10" width="22" style="179" customWidth="1"/>
    <col min="11" max="11" width="13.85546875" style="179" customWidth="1"/>
    <col min="12" max="12" width="15.42578125" style="179" customWidth="1"/>
    <col min="13" max="13" width="1.85546875" style="179" customWidth="1"/>
    <col min="14" max="38" width="9.140625" style="179"/>
  </cols>
  <sheetData>
    <row r="1" spans="1:38" ht="18" x14ac:dyDescent="0.2">
      <c r="A1" s="424" t="s">
        <v>2061</v>
      </c>
      <c r="B1" s="425"/>
      <c r="C1" s="425"/>
      <c r="D1" s="425"/>
      <c r="E1" s="425"/>
      <c r="F1" s="425"/>
      <c r="G1" s="425"/>
      <c r="H1" s="425"/>
      <c r="I1" s="425"/>
      <c r="J1"/>
      <c r="K1"/>
      <c r="L1"/>
      <c r="M1"/>
      <c r="N1"/>
      <c r="O1"/>
      <c r="P1"/>
      <c r="Q1"/>
      <c r="R1"/>
      <c r="S1"/>
      <c r="T1"/>
      <c r="U1"/>
      <c r="V1"/>
      <c r="W1"/>
      <c r="X1"/>
      <c r="Y1"/>
      <c r="Z1"/>
      <c r="AA1"/>
      <c r="AB1"/>
      <c r="AC1"/>
      <c r="AD1"/>
      <c r="AE1"/>
      <c r="AF1"/>
      <c r="AG1"/>
      <c r="AH1"/>
      <c r="AI1"/>
      <c r="AJ1"/>
      <c r="AK1"/>
      <c r="AL1"/>
    </row>
    <row r="2" spans="1:38" ht="15" customHeight="1" x14ac:dyDescent="0.2">
      <c r="A2" s="167"/>
      <c r="B2" s="168" t="s">
        <v>2062</v>
      </c>
      <c r="C2" s="73" t="s">
        <v>2135</v>
      </c>
      <c r="D2" s="169"/>
      <c r="E2" s="168" t="s">
        <v>1216</v>
      </c>
      <c r="F2" s="170" t="s">
        <v>2138</v>
      </c>
      <c r="G2" s="73"/>
      <c r="H2" s="170"/>
      <c r="I2" s="73"/>
      <c r="J2"/>
      <c r="K2"/>
      <c r="L2"/>
      <c r="M2"/>
      <c r="N2"/>
      <c r="O2"/>
      <c r="P2"/>
      <c r="Q2"/>
      <c r="R2"/>
      <c r="S2"/>
      <c r="T2"/>
      <c r="U2"/>
      <c r="V2"/>
      <c r="W2"/>
      <c r="X2"/>
      <c r="Y2"/>
      <c r="Z2"/>
      <c r="AA2"/>
      <c r="AB2"/>
      <c r="AC2"/>
      <c r="AD2"/>
      <c r="AE2"/>
      <c r="AF2"/>
      <c r="AG2"/>
      <c r="AH2"/>
      <c r="AI2"/>
      <c r="AJ2"/>
      <c r="AK2"/>
      <c r="AL2"/>
    </row>
    <row r="3" spans="1:38" ht="15" customHeight="1" x14ac:dyDescent="0.2">
      <c r="A3" s="171"/>
      <c r="B3" s="172" t="s">
        <v>2063</v>
      </c>
      <c r="C3" s="71" t="s">
        <v>2136</v>
      </c>
      <c r="D3" s="173"/>
      <c r="E3" s="172" t="s">
        <v>2064</v>
      </c>
      <c r="F3" s="174" t="s">
        <v>2139</v>
      </c>
      <c r="G3" s="72"/>
      <c r="H3" s="174"/>
      <c r="I3" s="71"/>
      <c r="J3"/>
      <c r="K3"/>
      <c r="L3"/>
      <c r="M3"/>
      <c r="N3"/>
      <c r="O3"/>
      <c r="P3"/>
      <c r="Q3"/>
      <c r="R3"/>
      <c r="S3"/>
      <c r="T3"/>
      <c r="U3"/>
      <c r="V3"/>
      <c r="W3"/>
      <c r="X3"/>
      <c r="Y3"/>
      <c r="Z3"/>
      <c r="AA3"/>
      <c r="AB3"/>
      <c r="AC3"/>
      <c r="AD3"/>
      <c r="AE3"/>
      <c r="AF3"/>
      <c r="AG3"/>
      <c r="AH3"/>
      <c r="AI3"/>
      <c r="AJ3"/>
      <c r="AK3"/>
      <c r="AL3"/>
    </row>
    <row r="4" spans="1:38" ht="15" customHeight="1" thickBot="1" x14ac:dyDescent="0.25">
      <c r="A4" s="175"/>
      <c r="B4" s="176" t="s">
        <v>2065</v>
      </c>
      <c r="C4" s="69" t="s">
        <v>2137</v>
      </c>
      <c r="D4" s="70"/>
      <c r="E4" s="176" t="s">
        <v>1217</v>
      </c>
      <c r="F4" s="177" t="s">
        <v>2140</v>
      </c>
      <c r="G4" s="69"/>
      <c r="H4" s="177"/>
      <c r="I4" s="69"/>
      <c r="J4"/>
      <c r="K4"/>
      <c r="L4"/>
      <c r="M4"/>
      <c r="N4"/>
      <c r="O4"/>
      <c r="P4"/>
      <c r="Q4"/>
      <c r="R4"/>
      <c r="S4"/>
      <c r="T4"/>
      <c r="U4"/>
      <c r="V4"/>
      <c r="W4"/>
      <c r="X4"/>
      <c r="Y4"/>
      <c r="Z4"/>
      <c r="AA4"/>
      <c r="AB4"/>
      <c r="AC4"/>
      <c r="AD4"/>
      <c r="AE4"/>
      <c r="AF4"/>
      <c r="AG4"/>
      <c r="AH4"/>
      <c r="AI4"/>
      <c r="AJ4"/>
      <c r="AK4"/>
      <c r="AL4"/>
    </row>
    <row r="5" spans="1:38" ht="13.5" thickBot="1" x14ac:dyDescent="0.25">
      <c r="A5" s="178"/>
      <c r="B5" s="178"/>
      <c r="C5" s="178"/>
      <c r="D5" s="178"/>
      <c r="E5" s="178"/>
      <c r="F5" s="178"/>
      <c r="G5" s="178"/>
      <c r="H5" s="178"/>
      <c r="I5" s="178"/>
      <c r="J5"/>
      <c r="K5"/>
      <c r="L5"/>
      <c r="M5"/>
      <c r="N5"/>
      <c r="O5"/>
      <c r="P5"/>
      <c r="Q5"/>
      <c r="R5"/>
      <c r="S5"/>
      <c r="T5"/>
      <c r="U5"/>
      <c r="V5"/>
      <c r="W5"/>
      <c r="X5"/>
      <c r="Y5"/>
      <c r="Z5"/>
      <c r="AA5"/>
      <c r="AB5"/>
      <c r="AC5"/>
      <c r="AD5"/>
      <c r="AE5"/>
      <c r="AF5"/>
      <c r="AG5"/>
      <c r="AH5"/>
      <c r="AI5"/>
      <c r="AJ5"/>
      <c r="AK5"/>
      <c r="AL5"/>
    </row>
    <row r="6" spans="1:38" ht="14.25" customHeight="1" x14ac:dyDescent="0.2">
      <c r="B6" s="180" t="s">
        <v>2066</v>
      </c>
      <c r="C6" s="181">
        <v>48</v>
      </c>
      <c r="E6" s="182" t="s">
        <v>2067</v>
      </c>
      <c r="F6" s="183">
        <v>41</v>
      </c>
      <c r="I6" s="423" t="s">
        <v>1220</v>
      </c>
      <c r="J6"/>
      <c r="K6"/>
      <c r="L6"/>
      <c r="M6"/>
      <c r="N6"/>
      <c r="O6"/>
      <c r="P6"/>
      <c r="Q6"/>
      <c r="R6"/>
      <c r="S6"/>
      <c r="T6"/>
      <c r="U6"/>
      <c r="V6"/>
      <c r="W6"/>
      <c r="X6"/>
      <c r="Y6"/>
      <c r="Z6"/>
      <c r="AA6"/>
      <c r="AB6"/>
      <c r="AC6"/>
      <c r="AD6"/>
      <c r="AE6"/>
      <c r="AF6"/>
      <c r="AG6"/>
      <c r="AH6"/>
      <c r="AI6"/>
      <c r="AJ6"/>
      <c r="AK6"/>
      <c r="AL6"/>
    </row>
    <row r="7" spans="1:38" ht="14.25" customHeight="1" x14ac:dyDescent="0.2">
      <c r="B7" s="184"/>
      <c r="E7" s="184"/>
      <c r="I7" s="185"/>
      <c r="J7"/>
      <c r="K7"/>
      <c r="L7"/>
      <c r="M7"/>
      <c r="N7"/>
      <c r="O7"/>
      <c r="P7"/>
      <c r="Q7"/>
      <c r="R7"/>
      <c r="S7"/>
      <c r="T7"/>
      <c r="U7"/>
      <c r="V7"/>
      <c r="W7"/>
      <c r="X7"/>
      <c r="Y7"/>
      <c r="Z7"/>
      <c r="AA7"/>
      <c r="AB7"/>
      <c r="AC7"/>
      <c r="AD7"/>
      <c r="AE7"/>
      <c r="AF7"/>
      <c r="AG7"/>
      <c r="AH7"/>
      <c r="AI7"/>
      <c r="AJ7"/>
      <c r="AK7"/>
      <c r="AL7"/>
    </row>
    <row r="8" spans="1:38" ht="14.25" customHeight="1" x14ac:dyDescent="0.2">
      <c r="B8" s="180" t="s">
        <v>2068</v>
      </c>
      <c r="C8" s="358">
        <v>1040</v>
      </c>
      <c r="E8" s="182" t="s">
        <v>2069</v>
      </c>
      <c r="F8" s="183">
        <v>5</v>
      </c>
      <c r="I8" s="185"/>
      <c r="J8"/>
      <c r="K8"/>
      <c r="L8"/>
      <c r="M8"/>
      <c r="N8"/>
      <c r="O8"/>
      <c r="P8"/>
      <c r="Q8"/>
      <c r="R8"/>
      <c r="S8"/>
      <c r="T8"/>
      <c r="U8"/>
      <c r="V8"/>
      <c r="W8"/>
      <c r="X8"/>
      <c r="Y8"/>
      <c r="Z8"/>
      <c r="AA8"/>
      <c r="AB8"/>
      <c r="AC8"/>
      <c r="AD8"/>
      <c r="AE8"/>
      <c r="AF8"/>
      <c r="AG8"/>
      <c r="AH8"/>
      <c r="AI8"/>
      <c r="AJ8"/>
      <c r="AK8"/>
      <c r="AL8"/>
    </row>
    <row r="9" spans="1:38" ht="14.25" customHeight="1" x14ac:dyDescent="0.2">
      <c r="B9" s="184"/>
      <c r="E9" s="184"/>
      <c r="I9" s="185"/>
      <c r="J9"/>
      <c r="K9"/>
      <c r="L9"/>
      <c r="M9"/>
      <c r="N9"/>
      <c r="O9"/>
      <c r="P9"/>
      <c r="Q9"/>
      <c r="R9"/>
      <c r="S9"/>
      <c r="T9"/>
      <c r="U9"/>
      <c r="V9"/>
      <c r="W9"/>
      <c r="X9"/>
      <c r="Y9"/>
      <c r="Z9"/>
      <c r="AA9"/>
      <c r="AB9"/>
      <c r="AC9"/>
      <c r="AD9"/>
      <c r="AE9"/>
      <c r="AF9"/>
      <c r="AG9"/>
      <c r="AH9"/>
      <c r="AI9"/>
      <c r="AJ9"/>
      <c r="AK9"/>
      <c r="AL9"/>
    </row>
    <row r="10" spans="1:38" ht="14.25" customHeight="1" x14ac:dyDescent="0.2">
      <c r="B10" s="180" t="s">
        <v>2070</v>
      </c>
      <c r="C10" s="358">
        <f>SUM($D$19:$D$36)</f>
        <v>16749.670000000002</v>
      </c>
      <c r="E10" s="182" t="s">
        <v>2071</v>
      </c>
      <c r="F10" s="183">
        <v>44</v>
      </c>
      <c r="I10" s="185"/>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84"/>
      <c r="E11" s="184"/>
      <c r="I11" s="185"/>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0" t="s">
        <v>2072</v>
      </c>
      <c r="C12" s="358">
        <f>SUM($E$19:$E$36)</f>
        <v>10673.599999999999</v>
      </c>
      <c r="E12" s="182" t="s">
        <v>2073</v>
      </c>
      <c r="F12" s="183">
        <f>G83</f>
        <v>41</v>
      </c>
      <c r="I12" s="185"/>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84"/>
      <c r="E13" s="184"/>
      <c r="I13" s="185"/>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0" t="s">
        <v>2074</v>
      </c>
      <c r="C14" s="358">
        <f>SUM($E$38:$E$75)</f>
        <v>1303.2000000000003</v>
      </c>
      <c r="E14" s="182" t="s">
        <v>2075</v>
      </c>
      <c r="F14" s="183">
        <v>0</v>
      </c>
      <c r="I14" s="185"/>
      <c r="J14"/>
      <c r="K14"/>
      <c r="L14"/>
      <c r="M14"/>
      <c r="N14"/>
      <c r="O14"/>
      <c r="P14"/>
      <c r="Q14"/>
      <c r="R14"/>
      <c r="S14"/>
      <c r="T14"/>
      <c r="U14"/>
      <c r="V14"/>
      <c r="W14"/>
      <c r="X14"/>
      <c r="Y14"/>
      <c r="Z14"/>
      <c r="AA14"/>
      <c r="AB14"/>
      <c r="AC14"/>
      <c r="AD14"/>
      <c r="AE14"/>
      <c r="AF14"/>
      <c r="AG14"/>
      <c r="AH14"/>
      <c r="AI14"/>
      <c r="AJ14"/>
      <c r="AK14"/>
      <c r="AL14"/>
    </row>
    <row r="15" spans="1:38" x14ac:dyDescent="0.2">
      <c r="C15" s="359"/>
      <c r="I15" s="185"/>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0" t="s">
        <v>2076</v>
      </c>
      <c r="C16" s="358">
        <f>D92</f>
        <v>537.96</v>
      </c>
      <c r="E16" s="182" t="s">
        <v>2077</v>
      </c>
      <c r="F16" s="183">
        <f>F83</f>
        <v>97</v>
      </c>
      <c r="I16" s="185"/>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85"/>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4" t="s">
        <v>2078</v>
      </c>
      <c r="C18" s="75" t="s">
        <v>1278</v>
      </c>
      <c r="D18" s="75" t="s">
        <v>2035</v>
      </c>
      <c r="E18" s="75" t="s">
        <v>2079</v>
      </c>
      <c r="F18" s="75" t="s">
        <v>2036</v>
      </c>
      <c r="G18" s="76" t="s">
        <v>2080</v>
      </c>
      <c r="I18" s="185"/>
      <c r="J18"/>
      <c r="K18"/>
      <c r="L18"/>
      <c r="M18"/>
      <c r="N18"/>
      <c r="O18"/>
      <c r="P18"/>
      <c r="Q18"/>
      <c r="R18"/>
      <c r="S18"/>
      <c r="T18"/>
      <c r="U18"/>
      <c r="V18"/>
      <c r="W18"/>
      <c r="X18"/>
      <c r="Y18"/>
      <c r="Z18"/>
      <c r="AA18"/>
      <c r="AB18"/>
      <c r="AC18"/>
      <c r="AD18"/>
      <c r="AE18"/>
      <c r="AF18"/>
      <c r="AG18"/>
      <c r="AH18"/>
      <c r="AI18"/>
      <c r="AJ18"/>
      <c r="AK18"/>
      <c r="AL18"/>
    </row>
    <row r="19" spans="1:38" ht="25.5" x14ac:dyDescent="0.2">
      <c r="A19" s="222"/>
      <c r="B19" s="218" t="s">
        <v>2096</v>
      </c>
      <c r="C19" s="219" t="s">
        <v>2141</v>
      </c>
      <c r="D19" s="220">
        <v>784.58</v>
      </c>
      <c r="E19" s="220">
        <v>491.89</v>
      </c>
      <c r="F19" s="220">
        <v>151.72</v>
      </c>
      <c r="G19" s="221">
        <v>3.49</v>
      </c>
      <c r="H19" s="222"/>
      <c r="I19" s="223"/>
      <c r="J19"/>
      <c r="K19"/>
      <c r="L19"/>
      <c r="M19"/>
      <c r="N19"/>
      <c r="O19"/>
      <c r="P19"/>
      <c r="Q19"/>
      <c r="R19"/>
      <c r="S19"/>
      <c r="T19"/>
      <c r="U19"/>
      <c r="V19"/>
      <c r="W19"/>
      <c r="X19"/>
      <c r="Y19"/>
      <c r="Z19"/>
      <c r="AA19"/>
      <c r="AB19"/>
      <c r="AC19"/>
      <c r="AD19"/>
      <c r="AE19"/>
      <c r="AF19"/>
      <c r="AG19"/>
      <c r="AH19"/>
      <c r="AI19"/>
      <c r="AJ19"/>
      <c r="AK19"/>
      <c r="AL19"/>
    </row>
    <row r="20" spans="1:38" ht="25.5" x14ac:dyDescent="0.2">
      <c r="A20" s="222"/>
      <c r="B20" s="218" t="s">
        <v>2096</v>
      </c>
      <c r="C20" s="219" t="s">
        <v>2142</v>
      </c>
      <c r="D20" s="220">
        <v>801.15</v>
      </c>
      <c r="E20" s="220">
        <v>240.38</v>
      </c>
      <c r="F20" s="220">
        <v>151.72</v>
      </c>
      <c r="G20" s="221">
        <v>2.7</v>
      </c>
      <c r="H20" s="222"/>
      <c r="I20" s="223"/>
      <c r="J20"/>
      <c r="K20"/>
      <c r="L20"/>
      <c r="M20"/>
      <c r="N20"/>
      <c r="O20"/>
      <c r="P20"/>
      <c r="Q20"/>
      <c r="R20"/>
      <c r="S20"/>
      <c r="T20"/>
      <c r="U20"/>
      <c r="V20"/>
      <c r="W20"/>
      <c r="X20"/>
      <c r="Y20"/>
      <c r="Z20"/>
      <c r="AA20"/>
      <c r="AB20"/>
      <c r="AC20"/>
      <c r="AD20"/>
      <c r="AE20"/>
      <c r="AF20"/>
      <c r="AG20"/>
      <c r="AH20"/>
      <c r="AI20"/>
      <c r="AJ20"/>
      <c r="AK20"/>
      <c r="AL20"/>
    </row>
    <row r="21" spans="1:38" x14ac:dyDescent="0.2">
      <c r="A21" s="222"/>
      <c r="B21" s="218" t="s">
        <v>2096</v>
      </c>
      <c r="C21" s="219" t="s">
        <v>2143</v>
      </c>
      <c r="D21" s="220">
        <v>878.5</v>
      </c>
      <c r="E21" s="220">
        <v>287.5</v>
      </c>
      <c r="F21" s="220">
        <v>151.72</v>
      </c>
      <c r="G21" s="221">
        <v>2.7</v>
      </c>
      <c r="H21" s="222"/>
      <c r="I21" s="223"/>
      <c r="J21"/>
      <c r="K21"/>
      <c r="L21"/>
      <c r="M21"/>
      <c r="N21"/>
      <c r="O21"/>
      <c r="P21"/>
      <c r="Q21"/>
      <c r="R21"/>
      <c r="S21"/>
      <c r="T21"/>
      <c r="U21"/>
      <c r="V21"/>
      <c r="W21"/>
      <c r="X21"/>
      <c r="Y21"/>
      <c r="Z21"/>
      <c r="AA21"/>
      <c r="AB21"/>
      <c r="AC21"/>
      <c r="AD21"/>
      <c r="AE21"/>
      <c r="AF21"/>
      <c r="AG21"/>
      <c r="AH21"/>
      <c r="AI21"/>
      <c r="AJ21"/>
      <c r="AK21"/>
      <c r="AL21"/>
    </row>
    <row r="22" spans="1:38" ht="25.5" x14ac:dyDescent="0.2">
      <c r="A22" s="222"/>
      <c r="B22" s="218" t="s">
        <v>2096</v>
      </c>
      <c r="C22" s="219" t="s">
        <v>2144</v>
      </c>
      <c r="D22" s="220">
        <v>878.5</v>
      </c>
      <c r="E22" s="220">
        <v>287.5</v>
      </c>
      <c r="F22" s="220">
        <v>151.72</v>
      </c>
      <c r="G22" s="221">
        <v>2.6999999999999993</v>
      </c>
      <c r="H22" s="222"/>
      <c r="I22" s="223"/>
      <c r="J22"/>
      <c r="K22"/>
      <c r="L22"/>
      <c r="M22"/>
      <c r="N22"/>
      <c r="O22"/>
      <c r="P22"/>
      <c r="Q22"/>
      <c r="R22"/>
      <c r="S22"/>
      <c r="T22"/>
      <c r="U22"/>
      <c r="V22"/>
      <c r="W22"/>
      <c r="X22"/>
      <c r="Y22"/>
      <c r="Z22"/>
      <c r="AA22"/>
      <c r="AB22"/>
      <c r="AC22"/>
      <c r="AD22"/>
      <c r="AE22"/>
      <c r="AF22"/>
      <c r="AG22"/>
      <c r="AH22"/>
      <c r="AI22"/>
      <c r="AJ22"/>
      <c r="AK22"/>
      <c r="AL22"/>
    </row>
    <row r="23" spans="1:38" x14ac:dyDescent="0.2">
      <c r="A23" s="222"/>
      <c r="B23" s="218" t="s">
        <v>2096</v>
      </c>
      <c r="C23" s="219" t="s">
        <v>2145</v>
      </c>
      <c r="D23" s="220">
        <v>878.5</v>
      </c>
      <c r="E23" s="220">
        <v>287.5</v>
      </c>
      <c r="F23" s="220">
        <v>151.72</v>
      </c>
      <c r="G23" s="221">
        <v>2.6999999999999993</v>
      </c>
      <c r="H23" s="222"/>
      <c r="I23" s="223"/>
      <c r="J23"/>
      <c r="K23"/>
      <c r="L23"/>
      <c r="M23"/>
      <c r="N23"/>
      <c r="O23"/>
      <c r="P23"/>
      <c r="Q23"/>
      <c r="R23"/>
      <c r="S23"/>
      <c r="T23"/>
      <c r="U23"/>
      <c r="V23"/>
      <c r="W23"/>
      <c r="X23"/>
      <c r="Y23"/>
      <c r="Z23"/>
      <c r="AA23"/>
      <c r="AB23"/>
      <c r="AC23"/>
      <c r="AD23"/>
      <c r="AE23"/>
      <c r="AF23"/>
      <c r="AG23"/>
      <c r="AH23"/>
      <c r="AI23"/>
      <c r="AJ23"/>
      <c r="AK23"/>
      <c r="AL23"/>
    </row>
    <row r="24" spans="1:38" ht="25.5" x14ac:dyDescent="0.2">
      <c r="A24" s="222"/>
      <c r="B24" s="218" t="s">
        <v>2096</v>
      </c>
      <c r="C24" s="219" t="s">
        <v>2146</v>
      </c>
      <c r="D24" s="220">
        <v>892.45</v>
      </c>
      <c r="E24" s="220">
        <v>287.5</v>
      </c>
      <c r="F24" s="220">
        <v>151.72</v>
      </c>
      <c r="G24" s="221">
        <v>2.6999999999999993</v>
      </c>
      <c r="H24" s="222"/>
      <c r="I24" s="223"/>
      <c r="J24"/>
      <c r="K24"/>
      <c r="L24"/>
      <c r="M24"/>
      <c r="N24"/>
      <c r="O24"/>
      <c r="P24"/>
      <c r="Q24"/>
      <c r="R24"/>
      <c r="S24"/>
      <c r="T24"/>
      <c r="U24"/>
      <c r="V24"/>
      <c r="W24"/>
      <c r="X24"/>
      <c r="Y24"/>
      <c r="Z24"/>
      <c r="AA24"/>
      <c r="AB24"/>
      <c r="AC24"/>
      <c r="AD24"/>
      <c r="AE24"/>
      <c r="AF24"/>
      <c r="AG24"/>
      <c r="AH24"/>
      <c r="AI24"/>
      <c r="AJ24"/>
      <c r="AK24"/>
      <c r="AL24"/>
    </row>
    <row r="25" spans="1:38" ht="25.5" x14ac:dyDescent="0.2">
      <c r="A25" s="222"/>
      <c r="B25" s="218" t="s">
        <v>2096</v>
      </c>
      <c r="C25" s="219" t="s">
        <v>2164</v>
      </c>
      <c r="D25" s="220">
        <v>892.45</v>
      </c>
      <c r="E25" s="224">
        <v>175</v>
      </c>
      <c r="F25" s="220">
        <v>151.72</v>
      </c>
      <c r="G25" s="221">
        <v>5.0400000000000027</v>
      </c>
      <c r="H25" s="222"/>
      <c r="I25" s="223"/>
      <c r="J25"/>
      <c r="K25"/>
      <c r="L25"/>
      <c r="M25"/>
      <c r="N25"/>
      <c r="O25"/>
      <c r="P25"/>
      <c r="Q25"/>
      <c r="R25"/>
      <c r="S25"/>
      <c r="T25"/>
      <c r="U25"/>
      <c r="V25"/>
      <c r="W25"/>
      <c r="X25"/>
      <c r="Y25"/>
      <c r="Z25"/>
      <c r="AA25"/>
      <c r="AB25"/>
      <c r="AC25"/>
      <c r="AD25"/>
      <c r="AE25"/>
      <c r="AF25"/>
      <c r="AG25"/>
      <c r="AH25"/>
      <c r="AI25"/>
      <c r="AJ25"/>
      <c r="AK25"/>
      <c r="AL25"/>
    </row>
    <row r="26" spans="1:38" ht="25.5" x14ac:dyDescent="0.2">
      <c r="A26" s="222"/>
      <c r="B26" s="218" t="s">
        <v>2096</v>
      </c>
      <c r="C26" s="219" t="s">
        <v>2165</v>
      </c>
      <c r="D26" s="224">
        <v>499.27</v>
      </c>
      <c r="E26" s="224">
        <v>0</v>
      </c>
      <c r="F26" s="220">
        <v>151.72</v>
      </c>
      <c r="G26" s="221">
        <v>3.2399999999999984</v>
      </c>
      <c r="H26" s="222"/>
      <c r="I26" s="223"/>
      <c r="J26"/>
      <c r="K26"/>
      <c r="L26"/>
      <c r="M26"/>
      <c r="N26"/>
      <c r="O26"/>
      <c r="P26"/>
      <c r="Q26"/>
      <c r="R26"/>
      <c r="S26"/>
      <c r="T26"/>
      <c r="U26"/>
      <c r="V26"/>
      <c r="W26"/>
      <c r="X26"/>
      <c r="Y26"/>
      <c r="Z26"/>
      <c r="AA26"/>
      <c r="AB26"/>
      <c r="AC26"/>
      <c r="AD26"/>
      <c r="AE26"/>
      <c r="AF26"/>
      <c r="AG26"/>
      <c r="AH26"/>
      <c r="AI26"/>
      <c r="AJ26"/>
      <c r="AK26"/>
      <c r="AL26"/>
    </row>
    <row r="27" spans="1:38" ht="25.5" x14ac:dyDescent="0.2">
      <c r="A27" s="222"/>
      <c r="B27" s="218" t="s">
        <v>2096</v>
      </c>
      <c r="C27" s="219" t="s">
        <v>2166</v>
      </c>
      <c r="D27" s="220">
        <v>345.53</v>
      </c>
      <c r="E27" s="220">
        <v>303.01</v>
      </c>
      <c r="F27" s="220">
        <v>108.2</v>
      </c>
      <c r="G27" s="221">
        <v>3.1500000000000021</v>
      </c>
      <c r="H27" s="222"/>
      <c r="I27" s="223"/>
      <c r="J27"/>
      <c r="K27"/>
      <c r="L27"/>
      <c r="M27"/>
      <c r="N27"/>
      <c r="O27"/>
      <c r="P27"/>
      <c r="Q27"/>
      <c r="R27"/>
      <c r="S27"/>
      <c r="T27"/>
      <c r="U27"/>
      <c r="V27"/>
      <c r="W27"/>
      <c r="X27"/>
      <c r="Y27"/>
      <c r="Z27"/>
      <c r="AA27"/>
      <c r="AB27"/>
      <c r="AC27"/>
      <c r="AD27"/>
      <c r="AE27"/>
      <c r="AF27"/>
      <c r="AG27"/>
      <c r="AH27"/>
      <c r="AI27"/>
      <c r="AJ27"/>
      <c r="AK27"/>
      <c r="AL27"/>
    </row>
    <row r="28" spans="1:38" ht="25.5" x14ac:dyDescent="0.2">
      <c r="A28" s="222"/>
      <c r="B28" s="218" t="s">
        <v>2096</v>
      </c>
      <c r="C28" s="219" t="s">
        <v>2167</v>
      </c>
      <c r="D28" s="220">
        <v>2427.2800000000002</v>
      </c>
      <c r="E28" s="220">
        <v>2087.12</v>
      </c>
      <c r="F28" s="220">
        <v>108.2</v>
      </c>
      <c r="G28" s="221">
        <f>SUM(EPCs!N14:N21)</f>
        <v>23.579999999999977</v>
      </c>
      <c r="H28" s="222"/>
      <c r="I28" s="223"/>
      <c r="J28"/>
      <c r="K28"/>
      <c r="L28"/>
      <c r="M28"/>
      <c r="N28"/>
      <c r="O28"/>
      <c r="P28"/>
      <c r="Q28"/>
      <c r="R28"/>
      <c r="S28"/>
      <c r="T28"/>
      <c r="U28"/>
      <c r="V28"/>
      <c r="W28"/>
      <c r="X28"/>
      <c r="Y28"/>
      <c r="Z28"/>
      <c r="AA28"/>
      <c r="AB28"/>
      <c r="AC28"/>
      <c r="AD28"/>
      <c r="AE28"/>
      <c r="AF28"/>
      <c r="AG28"/>
      <c r="AH28"/>
      <c r="AI28"/>
      <c r="AJ28"/>
      <c r="AK28"/>
      <c r="AL28"/>
    </row>
    <row r="29" spans="1:38" ht="25.5" x14ac:dyDescent="0.2">
      <c r="A29" s="222"/>
      <c r="B29" s="218" t="s">
        <v>2096</v>
      </c>
      <c r="C29" s="219" t="s">
        <v>2168</v>
      </c>
      <c r="D29" s="220">
        <v>6374.97</v>
      </c>
      <c r="E29" s="220">
        <v>5482.05</v>
      </c>
      <c r="F29" s="220">
        <v>108.2</v>
      </c>
      <c r="G29" s="221">
        <f>SUM(EPCs!N22:N42)</f>
        <v>66.149999999999977</v>
      </c>
      <c r="H29" s="222"/>
      <c r="I29" s="223"/>
      <c r="J29"/>
      <c r="K29"/>
      <c r="L29"/>
      <c r="M29"/>
      <c r="N29"/>
      <c r="O29"/>
      <c r="P29"/>
      <c r="Q29"/>
      <c r="R29"/>
      <c r="S29"/>
      <c r="T29"/>
      <c r="U29"/>
      <c r="V29"/>
      <c r="W29"/>
      <c r="X29"/>
      <c r="Y29"/>
      <c r="Z29"/>
      <c r="AA29"/>
      <c r="AB29"/>
      <c r="AC29"/>
      <c r="AD29"/>
      <c r="AE29"/>
      <c r="AF29"/>
      <c r="AG29"/>
      <c r="AH29"/>
      <c r="AI29"/>
      <c r="AJ29"/>
      <c r="AK29"/>
      <c r="AL29"/>
    </row>
    <row r="30" spans="1:38" ht="25.5" x14ac:dyDescent="0.2">
      <c r="A30" s="222"/>
      <c r="B30" s="218" t="s">
        <v>2096</v>
      </c>
      <c r="C30" s="219" t="s">
        <v>2147</v>
      </c>
      <c r="D30" s="220">
        <v>303.57</v>
      </c>
      <c r="E30" s="220">
        <v>261.05</v>
      </c>
      <c r="F30" s="220">
        <v>108.2</v>
      </c>
      <c r="G30" s="221">
        <v>3.1499999999999986</v>
      </c>
      <c r="H30" s="222"/>
      <c r="I30" s="223"/>
      <c r="J30"/>
      <c r="K30"/>
      <c r="L30"/>
      <c r="M30"/>
      <c r="N30"/>
      <c r="O30"/>
      <c r="P30"/>
      <c r="Q30"/>
      <c r="R30"/>
      <c r="S30"/>
      <c r="T30"/>
      <c r="U30"/>
      <c r="V30"/>
      <c r="W30"/>
      <c r="X30"/>
      <c r="Y30"/>
      <c r="Z30"/>
      <c r="AA30"/>
      <c r="AB30"/>
      <c r="AC30"/>
      <c r="AD30"/>
      <c r="AE30"/>
      <c r="AF30"/>
      <c r="AG30"/>
      <c r="AH30"/>
      <c r="AI30"/>
      <c r="AJ30"/>
      <c r="AK30"/>
      <c r="AL30"/>
    </row>
    <row r="31" spans="1:38" ht="25.5" x14ac:dyDescent="0.2">
      <c r="A31" s="222"/>
      <c r="B31" s="218" t="s">
        <v>2096</v>
      </c>
      <c r="C31" s="219" t="s">
        <v>2169</v>
      </c>
      <c r="D31" s="220">
        <v>292.95999999999998</v>
      </c>
      <c r="E31" s="220">
        <v>248.63</v>
      </c>
      <c r="F31" s="220">
        <v>108.2</v>
      </c>
      <c r="G31" s="221">
        <v>3.1500000000000057</v>
      </c>
      <c r="H31" s="222"/>
      <c r="I31" s="223"/>
      <c r="J31"/>
      <c r="K31"/>
      <c r="L31"/>
      <c r="M31"/>
      <c r="N31"/>
      <c r="O31"/>
      <c r="P31"/>
      <c r="Q31"/>
      <c r="R31"/>
      <c r="S31"/>
      <c r="T31"/>
      <c r="U31"/>
      <c r="V31"/>
      <c r="W31"/>
      <c r="X31"/>
      <c r="Y31"/>
      <c r="Z31"/>
      <c r="AA31"/>
      <c r="AB31"/>
      <c r="AC31"/>
      <c r="AD31"/>
      <c r="AE31"/>
      <c r="AF31"/>
      <c r="AG31"/>
      <c r="AH31"/>
      <c r="AI31"/>
      <c r="AJ31"/>
      <c r="AK31"/>
      <c r="AL31"/>
    </row>
    <row r="32" spans="1:38" ht="25.5" x14ac:dyDescent="0.2">
      <c r="B32" s="186" t="s">
        <v>2096</v>
      </c>
      <c r="C32" s="219" t="s">
        <v>2170</v>
      </c>
      <c r="D32" s="187">
        <v>278.8</v>
      </c>
      <c r="E32" s="187">
        <v>234.47</v>
      </c>
      <c r="F32" s="187">
        <v>108.2</v>
      </c>
      <c r="G32" s="188">
        <v>3.2399999999999949</v>
      </c>
      <c r="I32" s="185"/>
      <c r="J32"/>
      <c r="K32"/>
      <c r="L32"/>
      <c r="M32"/>
      <c r="N32"/>
      <c r="O32"/>
      <c r="P32"/>
      <c r="Q32"/>
      <c r="R32"/>
      <c r="S32"/>
      <c r="T32"/>
      <c r="U32"/>
      <c r="V32"/>
      <c r="W32"/>
      <c r="X32"/>
      <c r="Y32"/>
      <c r="Z32"/>
      <c r="AA32"/>
      <c r="AB32"/>
      <c r="AC32"/>
      <c r="AD32"/>
      <c r="AE32"/>
      <c r="AF32"/>
      <c r="AG32"/>
      <c r="AH32"/>
      <c r="AI32"/>
      <c r="AJ32"/>
      <c r="AK32"/>
      <c r="AL32"/>
    </row>
    <row r="33" spans="2:38" ht="25.5" x14ac:dyDescent="0.2">
      <c r="B33" s="186" t="s">
        <v>2096</v>
      </c>
      <c r="C33" s="219" t="s">
        <v>2171</v>
      </c>
      <c r="D33" s="187">
        <v>73.72</v>
      </c>
      <c r="E33" s="187"/>
      <c r="F33" s="187">
        <v>81.12</v>
      </c>
      <c r="G33" s="188">
        <v>3.2399999999999807</v>
      </c>
      <c r="I33" s="185"/>
      <c r="J33"/>
      <c r="K33"/>
      <c r="L33"/>
      <c r="M33"/>
      <c r="N33"/>
      <c r="O33"/>
      <c r="P33"/>
      <c r="Q33"/>
      <c r="R33"/>
      <c r="S33"/>
      <c r="T33"/>
      <c r="U33"/>
      <c r="V33"/>
      <c r="W33"/>
      <c r="X33"/>
      <c r="Y33"/>
      <c r="Z33"/>
      <c r="AA33"/>
      <c r="AB33"/>
      <c r="AC33"/>
      <c r="AD33"/>
      <c r="AE33"/>
      <c r="AF33"/>
      <c r="AG33"/>
      <c r="AH33"/>
      <c r="AI33"/>
      <c r="AJ33"/>
      <c r="AK33"/>
      <c r="AL33"/>
    </row>
    <row r="34" spans="2:38" x14ac:dyDescent="0.2">
      <c r="B34" s="186" t="s">
        <v>2096</v>
      </c>
      <c r="C34" s="219" t="s">
        <v>2172</v>
      </c>
      <c r="D34" s="187">
        <v>73.72</v>
      </c>
      <c r="E34" s="187"/>
      <c r="F34" s="187">
        <v>39.159999999999997</v>
      </c>
      <c r="G34" s="188">
        <v>2</v>
      </c>
      <c r="I34" s="185"/>
      <c r="J34"/>
      <c r="K34"/>
      <c r="L34"/>
      <c r="M34"/>
      <c r="N34"/>
      <c r="O34"/>
      <c r="P34"/>
      <c r="Q34"/>
      <c r="R34"/>
      <c r="S34"/>
      <c r="T34"/>
      <c r="U34"/>
      <c r="V34"/>
      <c r="W34"/>
      <c r="X34"/>
      <c r="Y34"/>
      <c r="Z34"/>
      <c r="AA34"/>
      <c r="AB34"/>
      <c r="AC34"/>
      <c r="AD34"/>
      <c r="AE34"/>
      <c r="AF34"/>
      <c r="AG34"/>
      <c r="AH34"/>
      <c r="AI34"/>
      <c r="AJ34"/>
      <c r="AK34"/>
      <c r="AL34"/>
    </row>
    <row r="35" spans="2:38" ht="13.5" thickBot="1" x14ac:dyDescent="0.25">
      <c r="B35" s="194" t="s">
        <v>2096</v>
      </c>
      <c r="C35" s="195" t="s">
        <v>2173</v>
      </c>
      <c r="D35" s="196">
        <v>73.72</v>
      </c>
      <c r="E35" s="196"/>
      <c r="F35" s="196">
        <v>39.159999999999997</v>
      </c>
      <c r="G35" s="197">
        <v>2.5</v>
      </c>
      <c r="I35" s="189"/>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4" t="s">
        <v>1601</v>
      </c>
      <c r="C37" s="75" t="s">
        <v>1278</v>
      </c>
      <c r="D37" s="75" t="s">
        <v>59</v>
      </c>
      <c r="E37" s="76" t="s">
        <v>2082</v>
      </c>
      <c r="I37" s="190" t="s">
        <v>38</v>
      </c>
      <c r="J37"/>
      <c r="K37"/>
      <c r="L37"/>
      <c r="M37"/>
      <c r="N37"/>
      <c r="O37"/>
      <c r="P37"/>
      <c r="Q37"/>
      <c r="R37"/>
      <c r="S37"/>
      <c r="T37"/>
      <c r="U37"/>
      <c r="V37"/>
      <c r="W37"/>
      <c r="X37"/>
      <c r="Y37"/>
      <c r="Z37"/>
      <c r="AA37"/>
      <c r="AB37"/>
      <c r="AC37"/>
      <c r="AD37"/>
      <c r="AE37"/>
      <c r="AF37"/>
      <c r="AG37"/>
      <c r="AH37"/>
      <c r="AI37"/>
      <c r="AJ37"/>
      <c r="AK37"/>
      <c r="AL37"/>
    </row>
    <row r="38" spans="2:38" x14ac:dyDescent="0.2">
      <c r="B38" s="186" t="s">
        <v>2081</v>
      </c>
      <c r="C38" s="360" t="str">
        <f>_xlfn.XLOOKUP(D38,[1]MOBILIÁRIO!C:C,[1]MOBILIÁRIO!B:B)</f>
        <v>TÉRREO</v>
      </c>
      <c r="D38" s="360" t="str" cm="1">
        <f t="array" ref="D38:D72">_xlfn.UNIQUE(_xlfn._xlws.FILTER([1]MOBILIÁRIO!C7:C316,[1]MOBILIÁRIO!C7:C316&lt;&gt;""))</f>
        <v>Hall Externo</v>
      </c>
      <c r="E38" s="361">
        <f>_xlfn.XLOOKUP(D38,[1]MOBILIÁRIO!C:C,[1]MOBILIÁRIO!F:F)</f>
        <v>12.33</v>
      </c>
      <c r="I38" s="191" t="s">
        <v>39</v>
      </c>
      <c r="J38"/>
      <c r="K38"/>
      <c r="L38"/>
      <c r="M38"/>
      <c r="N38"/>
      <c r="O38"/>
      <c r="P38"/>
      <c r="Q38"/>
      <c r="R38"/>
      <c r="S38"/>
      <c r="T38"/>
      <c r="U38"/>
      <c r="V38"/>
      <c r="W38"/>
      <c r="X38"/>
      <c r="Y38"/>
      <c r="Z38"/>
      <c r="AA38"/>
      <c r="AB38"/>
      <c r="AC38"/>
      <c r="AD38"/>
      <c r="AE38"/>
      <c r="AF38"/>
      <c r="AG38"/>
      <c r="AH38"/>
      <c r="AI38"/>
      <c r="AJ38"/>
      <c r="AK38"/>
      <c r="AL38"/>
    </row>
    <row r="39" spans="2:38" x14ac:dyDescent="0.2">
      <c r="B39" s="186" t="s">
        <v>2081</v>
      </c>
      <c r="C39" s="360" t="str">
        <f>_xlfn.XLOOKUP(D39,[1]MOBILIÁRIO!C:C,[1]MOBILIÁRIO!B:B)</f>
        <v>TÉRREO</v>
      </c>
      <c r="D39" s="360" t="str">
        <v>Hall Térreo</v>
      </c>
      <c r="E39" s="361">
        <f>_xlfn.XLOOKUP(D39,[1]MOBILIÁRIO!C:C,[1]MOBILIÁRIO!F:F)</f>
        <v>35.270000000000003</v>
      </c>
      <c r="I39" s="192" t="s">
        <v>40</v>
      </c>
      <c r="J39"/>
      <c r="K39"/>
      <c r="L39"/>
      <c r="M39"/>
      <c r="N39"/>
      <c r="O39"/>
      <c r="P39"/>
      <c r="Q39"/>
      <c r="R39"/>
      <c r="S39"/>
      <c r="T39"/>
      <c r="U39"/>
      <c r="V39"/>
      <c r="W39"/>
      <c r="X39"/>
      <c r="Y39"/>
      <c r="Z39"/>
      <c r="AA39"/>
      <c r="AB39"/>
      <c r="AC39"/>
      <c r="AD39"/>
      <c r="AE39"/>
      <c r="AF39"/>
      <c r="AG39"/>
      <c r="AH39"/>
      <c r="AI39"/>
      <c r="AJ39"/>
      <c r="AK39"/>
      <c r="AL39"/>
    </row>
    <row r="40" spans="2:38" x14ac:dyDescent="0.2">
      <c r="B40" s="186" t="s">
        <v>2081</v>
      </c>
      <c r="C40" s="360" t="str">
        <f>_xlfn.XLOOKUP(D40,[1]MOBILIÁRIO!C:C,[1]MOBILIÁRIO!B:B)</f>
        <v>TÉRREO</v>
      </c>
      <c r="D40" s="360" t="str">
        <v>Guarita</v>
      </c>
      <c r="E40" s="361">
        <f>_xlfn.XLOOKUP(D40,[1]MOBILIÁRIO!C:C,[1]MOBILIÁRIO!F:F)</f>
        <v>4.72</v>
      </c>
      <c r="I40" s="191" t="s">
        <v>1618</v>
      </c>
      <c r="J40"/>
      <c r="K40"/>
      <c r="L40"/>
      <c r="M40"/>
      <c r="N40"/>
      <c r="O40"/>
      <c r="P40"/>
      <c r="Q40"/>
      <c r="R40"/>
      <c r="S40"/>
      <c r="T40"/>
      <c r="U40"/>
      <c r="V40"/>
      <c r="W40"/>
      <c r="X40"/>
      <c r="Y40"/>
      <c r="Z40"/>
      <c r="AA40"/>
      <c r="AB40"/>
      <c r="AC40"/>
      <c r="AD40"/>
      <c r="AE40"/>
      <c r="AF40"/>
      <c r="AG40"/>
      <c r="AH40"/>
      <c r="AI40"/>
      <c r="AJ40"/>
      <c r="AK40"/>
      <c r="AL40"/>
    </row>
    <row r="41" spans="2:38" x14ac:dyDescent="0.2">
      <c r="B41" s="186" t="s">
        <v>2081</v>
      </c>
      <c r="C41" s="360" t="str">
        <f>_xlfn.XLOOKUP(D41,[1]MOBILIÁRIO!C:C,[1]MOBILIÁRIO!B:B)</f>
        <v>TÉRREO</v>
      </c>
      <c r="D41" s="360" t="str">
        <v>Lavapés</v>
      </c>
      <c r="E41" s="361">
        <f>_xlfn.XLOOKUP(D41,[1]MOBILIÁRIO!C:C,[1]MOBILIÁRIO!F:F)</f>
        <v>1</v>
      </c>
      <c r="I41" s="192" t="s">
        <v>2</v>
      </c>
      <c r="J41"/>
      <c r="K41"/>
      <c r="L41"/>
      <c r="M41"/>
      <c r="N41"/>
      <c r="O41"/>
      <c r="P41"/>
      <c r="Q41"/>
      <c r="R41"/>
      <c r="S41"/>
      <c r="T41"/>
      <c r="U41"/>
      <c r="V41"/>
      <c r="W41"/>
      <c r="X41"/>
      <c r="Y41"/>
      <c r="Z41"/>
      <c r="AA41"/>
      <c r="AB41"/>
      <c r="AC41"/>
      <c r="AD41"/>
      <c r="AE41"/>
      <c r="AF41"/>
      <c r="AG41"/>
      <c r="AH41"/>
      <c r="AI41"/>
      <c r="AJ41"/>
      <c r="AK41"/>
      <c r="AL41"/>
    </row>
    <row r="42" spans="2:38" x14ac:dyDescent="0.2">
      <c r="B42" s="186" t="s">
        <v>2081</v>
      </c>
      <c r="C42" s="360" t="str">
        <f>_xlfn.XLOOKUP(D42,[1]MOBILIÁRIO!C:C,[1]MOBILIÁRIO!B:B)</f>
        <v>TÉRREO</v>
      </c>
      <c r="D42" s="360" t="str">
        <v>Lavabo Pne - Térreo</v>
      </c>
      <c r="E42" s="361">
        <f>_xlfn.XLOOKUP(D42,[1]MOBILIÁRIO!C:C,[1]MOBILIÁRIO!F:F)</f>
        <v>3.77</v>
      </c>
      <c r="I42" s="191" t="s">
        <v>41</v>
      </c>
      <c r="J42"/>
      <c r="K42"/>
      <c r="L42"/>
      <c r="M42"/>
      <c r="N42"/>
      <c r="O42"/>
      <c r="P42"/>
      <c r="Q42"/>
      <c r="R42"/>
      <c r="S42"/>
      <c r="T42"/>
      <c r="U42"/>
      <c r="V42"/>
      <c r="W42"/>
      <c r="X42"/>
      <c r="Y42"/>
      <c r="Z42"/>
      <c r="AA42"/>
      <c r="AB42"/>
      <c r="AC42"/>
      <c r="AD42"/>
      <c r="AE42"/>
      <c r="AF42"/>
      <c r="AG42"/>
      <c r="AH42"/>
      <c r="AI42"/>
      <c r="AJ42"/>
      <c r="AK42"/>
      <c r="AL42"/>
    </row>
    <row r="43" spans="2:38" x14ac:dyDescent="0.2">
      <c r="B43" s="186" t="s">
        <v>2081</v>
      </c>
      <c r="C43" s="360" t="str">
        <f>_xlfn.XLOOKUP(D43,[1]MOBILIÁRIO!C:C,[1]MOBILIÁRIO!B:B)</f>
        <v>TÉRREO</v>
      </c>
      <c r="D43" s="360" t="str">
        <v>Bicicletário/Box</v>
      </c>
      <c r="E43" s="361">
        <f>_xlfn.XLOOKUP(D43,[1]MOBILIÁRIO!C:C,[1]MOBILIÁRIO!F:F)</f>
        <v>87.33</v>
      </c>
      <c r="I43" s="192" t="s">
        <v>339</v>
      </c>
      <c r="J43"/>
      <c r="K43"/>
      <c r="L43"/>
      <c r="M43"/>
      <c r="N43"/>
      <c r="O43"/>
      <c r="P43"/>
      <c r="Q43"/>
      <c r="R43"/>
      <c r="S43"/>
      <c r="T43"/>
      <c r="U43"/>
      <c r="V43"/>
      <c r="W43"/>
      <c r="X43"/>
      <c r="Y43"/>
      <c r="Z43"/>
      <c r="AA43"/>
      <c r="AB43"/>
      <c r="AC43"/>
      <c r="AD43"/>
      <c r="AE43"/>
      <c r="AF43"/>
      <c r="AG43"/>
      <c r="AH43"/>
      <c r="AI43"/>
      <c r="AJ43"/>
      <c r="AK43"/>
      <c r="AL43"/>
    </row>
    <row r="44" spans="2:38" x14ac:dyDescent="0.2">
      <c r="B44" s="186" t="s">
        <v>2081</v>
      </c>
      <c r="C44" s="360" t="str">
        <f>_xlfn.XLOOKUP(D44,[1]MOBILIÁRIO!C:C,[1]MOBILIÁRIO!B:B)</f>
        <v>TÉRREO</v>
      </c>
      <c r="D44" s="360" t="str">
        <v>Antecâmara - Térreo</v>
      </c>
      <c r="E44" s="361">
        <f>_xlfn.XLOOKUP(D44,[1]MOBILIÁRIO!C:C,[1]MOBILIÁRIO!F:F)</f>
        <v>8.07</v>
      </c>
      <c r="I44" s="191" t="s">
        <v>16</v>
      </c>
      <c r="J44"/>
      <c r="K44"/>
      <c r="L44"/>
      <c r="M44"/>
      <c r="N44"/>
      <c r="O44"/>
      <c r="P44"/>
      <c r="Q44"/>
      <c r="R44"/>
      <c r="S44"/>
      <c r="T44"/>
      <c r="U44"/>
      <c r="V44"/>
      <c r="W44"/>
      <c r="X44"/>
      <c r="Y44"/>
      <c r="Z44"/>
      <c r="AA44"/>
      <c r="AB44"/>
      <c r="AC44"/>
      <c r="AD44"/>
      <c r="AE44"/>
      <c r="AF44"/>
      <c r="AG44"/>
      <c r="AH44"/>
      <c r="AI44"/>
      <c r="AJ44"/>
      <c r="AK44"/>
      <c r="AL44"/>
    </row>
    <row r="45" spans="2:38" ht="22.5" x14ac:dyDescent="0.2">
      <c r="B45" s="186" t="s">
        <v>2081</v>
      </c>
      <c r="C45" s="360" t="str">
        <f>_xlfn.XLOOKUP(D45,[1]MOBILIÁRIO!C:C,[1]MOBILIÁRIO!B:B)</f>
        <v>2º AO 5º PAVIMENTO - GARAGENS (X5)</v>
      </c>
      <c r="D45" s="360" t="str">
        <v>Antecâmara - Garagens (x5)</v>
      </c>
      <c r="E45" s="361">
        <f>_xlfn.XLOOKUP(D45,[1]MOBILIÁRIO!C:C,[1]MOBILIÁRIO!F:F)</f>
        <v>33.6</v>
      </c>
      <c r="I45" s="192" t="s">
        <v>17</v>
      </c>
      <c r="J45"/>
      <c r="K45"/>
      <c r="L45"/>
      <c r="M45"/>
      <c r="N45"/>
      <c r="O45"/>
      <c r="P45"/>
      <c r="Q45"/>
      <c r="R45"/>
      <c r="S45"/>
      <c r="T45"/>
      <c r="U45"/>
      <c r="V45"/>
      <c r="W45"/>
      <c r="X45"/>
      <c r="Y45"/>
      <c r="Z45"/>
      <c r="AA45"/>
      <c r="AB45"/>
      <c r="AC45"/>
      <c r="AD45"/>
      <c r="AE45"/>
      <c r="AF45"/>
      <c r="AG45"/>
      <c r="AH45"/>
      <c r="AI45"/>
      <c r="AJ45"/>
      <c r="AK45"/>
      <c r="AL45"/>
    </row>
    <row r="46" spans="2:38" ht="22.5" x14ac:dyDescent="0.2">
      <c r="B46" s="186" t="s">
        <v>2081</v>
      </c>
      <c r="C46" s="360" t="str">
        <f>_xlfn.XLOOKUP(D46,[1]MOBILIÁRIO!C:C,[1]MOBILIÁRIO!B:B)</f>
        <v>4º PAVIMENTO - LAZER/GARAGENS</v>
      </c>
      <c r="D46" s="360" t="str">
        <v>Sala de massagem</v>
      </c>
      <c r="E46" s="361">
        <f>_xlfn.XLOOKUP(D46,[1]MOBILIÁRIO!C:C,[1]MOBILIÁRIO!F:F)</f>
        <v>7.47</v>
      </c>
      <c r="I46" s="191" t="s">
        <v>1256</v>
      </c>
      <c r="J46"/>
      <c r="K46"/>
      <c r="L46"/>
      <c r="M46"/>
      <c r="N46"/>
      <c r="O46"/>
      <c r="P46"/>
      <c r="Q46"/>
      <c r="R46"/>
      <c r="S46"/>
      <c r="T46"/>
      <c r="U46"/>
      <c r="V46"/>
      <c r="W46"/>
      <c r="X46"/>
      <c r="Y46"/>
      <c r="Z46"/>
      <c r="AA46"/>
      <c r="AB46"/>
      <c r="AC46"/>
      <c r="AD46"/>
      <c r="AE46"/>
      <c r="AF46"/>
      <c r="AG46"/>
      <c r="AH46"/>
      <c r="AI46"/>
      <c r="AJ46"/>
      <c r="AK46"/>
      <c r="AL46"/>
    </row>
    <row r="47" spans="2:38" ht="22.5" x14ac:dyDescent="0.2">
      <c r="B47" s="186" t="s">
        <v>2081</v>
      </c>
      <c r="C47" s="360" t="str">
        <f>_xlfn.XLOOKUP(D47,[1]MOBILIÁRIO!C:C,[1]MOBILIÁRIO!B:B)</f>
        <v>4º PAVIMENTO - LAZER/GARAGENS</v>
      </c>
      <c r="D47" s="360" t="str">
        <v>Banheiro - Lazer/Garagem</v>
      </c>
      <c r="E47" s="361">
        <f>_xlfn.XLOOKUP(D47,[1]MOBILIÁRIO!C:C,[1]MOBILIÁRIO!F:F)</f>
        <v>3.91</v>
      </c>
      <c r="I47" s="192" t="s">
        <v>18</v>
      </c>
      <c r="J47"/>
      <c r="K47"/>
      <c r="L47"/>
      <c r="M47"/>
      <c r="N47"/>
      <c r="O47"/>
      <c r="P47"/>
      <c r="Q47"/>
      <c r="R47"/>
      <c r="S47"/>
      <c r="T47"/>
      <c r="U47"/>
      <c r="V47"/>
      <c r="W47"/>
      <c r="X47"/>
      <c r="Y47"/>
      <c r="Z47"/>
      <c r="AA47"/>
      <c r="AB47"/>
      <c r="AC47"/>
      <c r="AD47"/>
      <c r="AE47"/>
      <c r="AF47"/>
      <c r="AG47"/>
      <c r="AH47"/>
      <c r="AI47"/>
      <c r="AJ47"/>
      <c r="AK47"/>
      <c r="AL47"/>
    </row>
    <row r="48" spans="2:38" ht="22.5" x14ac:dyDescent="0.2">
      <c r="B48" s="186" t="s">
        <v>2081</v>
      </c>
      <c r="C48" s="360" t="str">
        <f>_xlfn.XLOOKUP(D48,[1]MOBILIÁRIO!C:C,[1]MOBILIÁRIO!B:B)</f>
        <v>4º PAVIMENTO - LAZER/GARAGENS</v>
      </c>
      <c r="D48" s="360" t="str">
        <v>Lavabo - Lazer/Garagem</v>
      </c>
      <c r="E48" s="361">
        <f>_xlfn.XLOOKUP(D48,[1]MOBILIÁRIO!C:C,[1]MOBILIÁRIO!F:F)</f>
        <v>2.61</v>
      </c>
      <c r="I48" s="191" t="s">
        <v>19</v>
      </c>
      <c r="J48"/>
      <c r="K48"/>
      <c r="L48"/>
      <c r="M48"/>
      <c r="N48"/>
      <c r="O48"/>
      <c r="P48"/>
      <c r="Q48"/>
      <c r="R48"/>
      <c r="S48"/>
      <c r="T48"/>
      <c r="U48"/>
      <c r="V48"/>
      <c r="W48"/>
      <c r="X48"/>
      <c r="Y48"/>
      <c r="Z48"/>
      <c r="AA48"/>
      <c r="AB48"/>
      <c r="AC48"/>
      <c r="AD48"/>
      <c r="AE48"/>
      <c r="AF48"/>
      <c r="AG48"/>
      <c r="AH48"/>
      <c r="AI48"/>
      <c r="AJ48"/>
      <c r="AK48"/>
      <c r="AL48"/>
    </row>
    <row r="49" spans="2:38" ht="22.5" x14ac:dyDescent="0.2">
      <c r="B49" s="186" t="s">
        <v>2081</v>
      </c>
      <c r="C49" s="360" t="str">
        <f>_xlfn.XLOOKUP(D49,[1]MOBILIÁRIO!C:C,[1]MOBILIÁRIO!B:B)</f>
        <v>4º PAVIMENTO - LAZER/GARAGENS</v>
      </c>
      <c r="D49" s="360" t="str">
        <v>Lavabo Pne - Lazer/Garagem</v>
      </c>
      <c r="E49" s="361">
        <f>_xlfn.XLOOKUP(D49,[1]MOBILIÁRIO!C:C,[1]MOBILIÁRIO!F:F)</f>
        <v>4.33</v>
      </c>
      <c r="I49" s="192" t="s">
        <v>2337</v>
      </c>
      <c r="J49"/>
      <c r="K49"/>
      <c r="L49"/>
      <c r="M49"/>
      <c r="N49"/>
      <c r="O49"/>
      <c r="P49"/>
      <c r="Q49"/>
      <c r="R49"/>
      <c r="S49"/>
      <c r="T49"/>
      <c r="U49"/>
      <c r="V49"/>
      <c r="W49"/>
      <c r="X49"/>
      <c r="Y49"/>
      <c r="Z49"/>
      <c r="AA49"/>
      <c r="AB49"/>
      <c r="AC49"/>
      <c r="AD49"/>
      <c r="AE49"/>
      <c r="AF49"/>
      <c r="AG49"/>
      <c r="AH49"/>
      <c r="AI49"/>
      <c r="AJ49"/>
      <c r="AK49"/>
      <c r="AL49"/>
    </row>
    <row r="50" spans="2:38" ht="22.5" x14ac:dyDescent="0.2">
      <c r="B50" s="186" t="s">
        <v>2081</v>
      </c>
      <c r="C50" s="360" t="str">
        <f>_xlfn.XLOOKUP(D50,[1]MOBILIÁRIO!C:C,[1]MOBILIÁRIO!B:B)</f>
        <v>4º PAVIMENTO - LAZER/GARAGENS</v>
      </c>
      <c r="D50" s="360" t="str">
        <v>Circulação - Lazer/garagem</v>
      </c>
      <c r="E50" s="361">
        <f>_xlfn.XLOOKUP(D50,[1]MOBILIÁRIO!C:C,[1]MOBILIÁRIO!F:F)</f>
        <v>30.85</v>
      </c>
      <c r="I50" s="191" t="s">
        <v>21</v>
      </c>
      <c r="J50"/>
      <c r="K50"/>
      <c r="L50"/>
      <c r="M50"/>
      <c r="N50"/>
      <c r="O50"/>
      <c r="P50"/>
      <c r="Q50"/>
      <c r="R50"/>
      <c r="S50"/>
      <c r="T50"/>
      <c r="U50"/>
      <c r="V50"/>
      <c r="W50"/>
      <c r="X50"/>
      <c r="Y50"/>
      <c r="Z50"/>
      <c r="AA50"/>
      <c r="AB50"/>
      <c r="AC50"/>
      <c r="AD50"/>
      <c r="AE50"/>
      <c r="AF50"/>
      <c r="AG50"/>
      <c r="AH50"/>
      <c r="AI50"/>
      <c r="AJ50"/>
      <c r="AK50"/>
      <c r="AL50"/>
    </row>
    <row r="51" spans="2:38" ht="22.5" x14ac:dyDescent="0.2">
      <c r="B51" s="186" t="s">
        <v>2081</v>
      </c>
      <c r="C51" s="360" t="str">
        <f>_xlfn.XLOOKUP(D51,[1]MOBILIÁRIO!C:C,[1]MOBILIÁRIO!B:B)</f>
        <v>4º PAVIMENTO - LAZER/GARAGENS</v>
      </c>
      <c r="D51" s="360" t="str">
        <v>Área interna Piscina coberta - Lazer/garagem</v>
      </c>
      <c r="E51" s="361">
        <f>_xlfn.XLOOKUP(D51,[1]MOBILIÁRIO!C:C,[1]MOBILIÁRIO!F:F)</f>
        <v>40.270000000000003</v>
      </c>
      <c r="I51" s="192" t="s">
        <v>440</v>
      </c>
      <c r="J51"/>
      <c r="K51"/>
      <c r="L51"/>
      <c r="M51"/>
      <c r="N51"/>
      <c r="O51"/>
      <c r="P51"/>
      <c r="Q51"/>
      <c r="R51"/>
      <c r="S51"/>
      <c r="T51"/>
      <c r="U51"/>
      <c r="V51"/>
      <c r="W51"/>
      <c r="X51"/>
      <c r="Y51"/>
      <c r="Z51"/>
      <c r="AA51"/>
      <c r="AB51"/>
      <c r="AC51"/>
      <c r="AD51"/>
      <c r="AE51"/>
      <c r="AF51"/>
      <c r="AG51"/>
      <c r="AH51"/>
      <c r="AI51"/>
      <c r="AJ51"/>
      <c r="AK51"/>
      <c r="AL51"/>
    </row>
    <row r="52" spans="2:38" ht="22.5" x14ac:dyDescent="0.2">
      <c r="B52" s="186" t="s">
        <v>2081</v>
      </c>
      <c r="C52" s="360" t="str">
        <f>_xlfn.XLOOKUP(D52,[1]MOBILIÁRIO!C:C,[1]MOBILIÁRIO!B:B)</f>
        <v>4º PAVIMENTO - LAZER/GARAGENS</v>
      </c>
      <c r="D52" s="360" t="str">
        <v>Área externa Piscina coberta - Lazer/garagem</v>
      </c>
      <c r="E52" s="361">
        <f>_xlfn.XLOOKUP(D52,[1]MOBILIÁRIO!C:C,[1]MOBILIÁRIO!F:F)</f>
        <v>33.5</v>
      </c>
      <c r="I52" s="191" t="s">
        <v>478</v>
      </c>
      <c r="J52"/>
      <c r="K52"/>
      <c r="L52"/>
      <c r="M52"/>
      <c r="N52"/>
      <c r="O52"/>
      <c r="P52"/>
      <c r="Q52"/>
      <c r="R52"/>
      <c r="S52"/>
      <c r="T52"/>
      <c r="U52"/>
      <c r="V52"/>
      <c r="W52"/>
      <c r="X52"/>
      <c r="Y52"/>
      <c r="Z52"/>
      <c r="AA52"/>
      <c r="AB52"/>
      <c r="AC52"/>
      <c r="AD52"/>
      <c r="AE52"/>
      <c r="AF52"/>
      <c r="AG52"/>
      <c r="AH52"/>
      <c r="AI52"/>
      <c r="AJ52"/>
      <c r="AK52"/>
      <c r="AL52"/>
    </row>
    <row r="53" spans="2:38" ht="22.5" x14ac:dyDescent="0.2">
      <c r="B53" s="186" t="s">
        <v>2081</v>
      </c>
      <c r="C53" s="360" t="str">
        <f>_xlfn.XLOOKUP(D53,[1]MOBILIÁRIO!C:C,[1]MOBILIÁRIO!B:B)</f>
        <v>4º PAVIMENTO - LAZER/GARAGENS</v>
      </c>
      <c r="D53" s="360" t="str">
        <v>Terraço descoberto - Lazer/garagem</v>
      </c>
      <c r="E53" s="361">
        <f>_xlfn.XLOOKUP(D53,[1]MOBILIÁRIO!C:C,[1]MOBILIÁRIO!F:F)</f>
        <v>7.6</v>
      </c>
      <c r="I53" s="192" t="s">
        <v>2274</v>
      </c>
      <c r="J53"/>
      <c r="K53"/>
      <c r="L53"/>
      <c r="M53"/>
      <c r="N53"/>
      <c r="O53"/>
      <c r="P53"/>
      <c r="Q53"/>
      <c r="R53"/>
      <c r="S53"/>
      <c r="T53"/>
      <c r="U53"/>
      <c r="V53"/>
      <c r="W53"/>
      <c r="X53"/>
      <c r="Y53"/>
      <c r="Z53"/>
      <c r="AA53"/>
      <c r="AB53"/>
      <c r="AC53"/>
      <c r="AD53"/>
      <c r="AE53"/>
      <c r="AF53"/>
      <c r="AG53"/>
      <c r="AH53"/>
      <c r="AI53"/>
      <c r="AJ53"/>
      <c r="AK53"/>
      <c r="AL53"/>
    </row>
    <row r="54" spans="2:38" ht="22.5" x14ac:dyDescent="0.2">
      <c r="B54" s="186" t="s">
        <v>2081</v>
      </c>
      <c r="C54" s="360" t="str">
        <f>_xlfn.XLOOKUP(D54,[1]MOBILIÁRIO!C:C,[1]MOBILIÁRIO!B:B)</f>
        <v>4º PAVIMENTO - LAZER/GARAGENS</v>
      </c>
      <c r="D54" s="360" t="str">
        <v>Terraço - Lazer/garagem</v>
      </c>
      <c r="E54" s="361">
        <f>_xlfn.XLOOKUP(D54,[1]MOBILIÁRIO!C:C,[1]MOBILIÁRIO!F:F)</f>
        <v>43.5</v>
      </c>
      <c r="I54" s="191" t="s">
        <v>575</v>
      </c>
      <c r="J54"/>
      <c r="K54"/>
      <c r="L54"/>
      <c r="M54"/>
      <c r="N54"/>
      <c r="O54"/>
      <c r="P54"/>
      <c r="Q54"/>
      <c r="R54"/>
      <c r="S54"/>
      <c r="T54"/>
      <c r="U54"/>
      <c r="V54"/>
      <c r="W54"/>
      <c r="X54"/>
      <c r="Y54"/>
      <c r="Z54"/>
      <c r="AA54"/>
      <c r="AB54"/>
      <c r="AC54"/>
      <c r="AD54"/>
      <c r="AE54"/>
      <c r="AF54"/>
      <c r="AG54"/>
      <c r="AH54"/>
      <c r="AI54"/>
      <c r="AJ54"/>
      <c r="AK54"/>
      <c r="AL54"/>
    </row>
    <row r="55" spans="2:38" ht="22.5" x14ac:dyDescent="0.2">
      <c r="B55" s="186" t="s">
        <v>2081</v>
      </c>
      <c r="C55" s="360" t="str">
        <f>_xlfn.XLOOKUP(D55,[1]MOBILIÁRIO!C:C,[1]MOBILIÁRIO!B:B)</f>
        <v>4º PAVIMENTO - LAZER/GARAGENS</v>
      </c>
      <c r="D55" s="360" t="str">
        <v>Estar do fogo</v>
      </c>
      <c r="E55" s="361">
        <f>_xlfn.XLOOKUP(D55,[1]MOBILIÁRIO!C:C,[1]MOBILIÁRIO!F:F)</f>
        <v>4.43</v>
      </c>
      <c r="I55" s="192" t="s">
        <v>25</v>
      </c>
      <c r="J55"/>
      <c r="K55"/>
      <c r="L55"/>
      <c r="M55"/>
      <c r="N55"/>
      <c r="O55"/>
      <c r="P55"/>
      <c r="Q55"/>
      <c r="R55"/>
      <c r="S55"/>
      <c r="T55"/>
      <c r="U55"/>
      <c r="V55"/>
      <c r="W55"/>
      <c r="X55"/>
      <c r="Y55"/>
      <c r="Z55"/>
      <c r="AA55"/>
      <c r="AB55"/>
      <c r="AC55"/>
      <c r="AD55"/>
      <c r="AE55"/>
      <c r="AF55"/>
      <c r="AG55"/>
      <c r="AH55"/>
      <c r="AI55"/>
      <c r="AJ55"/>
      <c r="AK55"/>
      <c r="AL55"/>
    </row>
    <row r="56" spans="2:38" ht="22.5" x14ac:dyDescent="0.2">
      <c r="B56" s="186" t="s">
        <v>2081</v>
      </c>
      <c r="C56" s="360" t="str">
        <f>_xlfn.XLOOKUP(D56,[1]MOBILIÁRIO!C:C,[1]MOBILIÁRIO!B:B)</f>
        <v>4º PAVIMENTO - LAZER/GARAGENS</v>
      </c>
      <c r="D56" s="360" t="str">
        <v>Sauna</v>
      </c>
      <c r="E56" s="361">
        <f>_xlfn.XLOOKUP(D56,[1]MOBILIÁRIO!C:C,[1]MOBILIÁRIO!F:F)</f>
        <v>6.3</v>
      </c>
      <c r="I56" s="191" t="s">
        <v>51</v>
      </c>
      <c r="J56"/>
      <c r="K56"/>
      <c r="L56"/>
      <c r="M56"/>
      <c r="N56"/>
      <c r="O56"/>
      <c r="P56"/>
      <c r="Q56"/>
      <c r="R56"/>
      <c r="S56"/>
      <c r="T56"/>
      <c r="U56"/>
      <c r="V56"/>
      <c r="W56"/>
      <c r="X56"/>
      <c r="Y56"/>
      <c r="Z56"/>
      <c r="AA56"/>
      <c r="AB56"/>
      <c r="AC56"/>
      <c r="AD56"/>
      <c r="AE56"/>
      <c r="AF56"/>
      <c r="AG56"/>
      <c r="AH56"/>
      <c r="AI56"/>
      <c r="AJ56"/>
      <c r="AK56"/>
      <c r="AL56"/>
    </row>
    <row r="57" spans="2:38" ht="22.5" x14ac:dyDescent="0.2">
      <c r="B57" s="186" t="s">
        <v>2081</v>
      </c>
      <c r="C57" s="360" t="str">
        <f>_xlfn.XLOOKUP(D57,[1]MOBILIÁRIO!C:C,[1]MOBILIÁRIO!B:B)</f>
        <v>4º PAVIMENTO - LAZER/GARAGENS</v>
      </c>
      <c r="D57" s="360" t="str">
        <v>Sala de Apoio Sauna</v>
      </c>
      <c r="E57" s="361">
        <f>_xlfn.XLOOKUP(D57,[1]MOBILIÁRIO!C:C,[1]MOBILIÁRIO!F:F)</f>
        <v>9.06</v>
      </c>
      <c r="I57" s="192" t="s">
        <v>52</v>
      </c>
      <c r="J57"/>
      <c r="K57"/>
      <c r="L57"/>
      <c r="M57"/>
      <c r="N57"/>
      <c r="O57"/>
      <c r="P57"/>
      <c r="Q57"/>
      <c r="R57"/>
      <c r="S57"/>
      <c r="T57"/>
      <c r="U57"/>
      <c r="V57"/>
      <c r="W57"/>
      <c r="X57"/>
      <c r="Y57"/>
      <c r="Z57"/>
      <c r="AA57"/>
      <c r="AB57"/>
      <c r="AC57"/>
      <c r="AD57"/>
      <c r="AE57"/>
      <c r="AF57"/>
      <c r="AG57"/>
      <c r="AH57"/>
      <c r="AI57"/>
      <c r="AJ57"/>
      <c r="AK57"/>
      <c r="AL57"/>
    </row>
    <row r="58" spans="2:38" ht="22.5" x14ac:dyDescent="0.2">
      <c r="B58" s="186" t="s">
        <v>2081</v>
      </c>
      <c r="C58" s="360" t="str">
        <f>_xlfn.XLOOKUP(D58,[1]MOBILIÁRIO!C:C,[1]MOBILIÁRIO!B:B)</f>
        <v>4º PAVIMENTO - LAZER/GARAGENS</v>
      </c>
      <c r="D58" s="360" t="str">
        <v>Antecâmara - Lazer/garagem</v>
      </c>
      <c r="E58" s="361">
        <f>_xlfn.XLOOKUP(D58,[1]MOBILIÁRIO!C:C,[1]MOBILIÁRIO!F:F)</f>
        <v>6.72</v>
      </c>
      <c r="I58" s="191" t="s">
        <v>32</v>
      </c>
      <c r="J58"/>
      <c r="K58"/>
      <c r="L58"/>
      <c r="M58"/>
      <c r="N58"/>
      <c r="O58"/>
      <c r="P58"/>
      <c r="Q58"/>
      <c r="R58"/>
      <c r="S58"/>
      <c r="T58"/>
      <c r="U58"/>
      <c r="V58"/>
      <c r="W58"/>
      <c r="X58"/>
      <c r="Y58"/>
      <c r="Z58"/>
      <c r="AA58"/>
      <c r="AB58"/>
      <c r="AC58"/>
      <c r="AD58"/>
      <c r="AE58"/>
      <c r="AF58"/>
      <c r="AG58"/>
      <c r="AH58"/>
      <c r="AI58"/>
      <c r="AJ58"/>
      <c r="AK58"/>
      <c r="AL58"/>
    </row>
    <row r="59" spans="2:38" x14ac:dyDescent="0.2">
      <c r="B59" s="186" t="s">
        <v>2081</v>
      </c>
      <c r="C59" s="360" t="str">
        <f>_xlfn.XLOOKUP(D59,[1]MOBILIÁRIO!C:C,[1]MOBILIÁRIO!B:B)</f>
        <v>5º PAVIMENTO - LAZER</v>
      </c>
      <c r="D59" s="360" t="str">
        <v>Circulação - Lazer</v>
      </c>
      <c r="E59" s="361">
        <f>_xlfn.XLOOKUP(D59,[1]MOBILIÁRIO!C:C,[1]MOBILIÁRIO!F:F)</f>
        <v>70.95</v>
      </c>
      <c r="I59" s="192" t="s">
        <v>2248</v>
      </c>
      <c r="J59"/>
      <c r="K59"/>
      <c r="L59"/>
      <c r="M59"/>
      <c r="N59"/>
      <c r="O59"/>
      <c r="P59"/>
      <c r="Q59"/>
      <c r="R59"/>
      <c r="S59"/>
      <c r="T59"/>
      <c r="U59"/>
      <c r="V59"/>
      <c r="W59"/>
      <c r="X59"/>
      <c r="Y59"/>
      <c r="Z59"/>
      <c r="AA59"/>
      <c r="AB59"/>
      <c r="AC59"/>
      <c r="AD59"/>
      <c r="AE59"/>
      <c r="AF59"/>
      <c r="AG59"/>
      <c r="AH59"/>
      <c r="AI59"/>
      <c r="AJ59"/>
      <c r="AK59"/>
      <c r="AL59"/>
    </row>
    <row r="60" spans="2:38" x14ac:dyDescent="0.2">
      <c r="B60" s="186" t="s">
        <v>2081</v>
      </c>
      <c r="C60" s="360" t="str">
        <f>_xlfn.XLOOKUP(D60,[1]MOBILIÁRIO!C:C,[1]MOBILIÁRIO!B:B)</f>
        <v>5º PAVIMENTO - LAZER</v>
      </c>
      <c r="D60" s="360" t="str">
        <v>Lavabo PNE - lazer</v>
      </c>
      <c r="E60" s="361">
        <f>_xlfn.XLOOKUP(D60,[1]MOBILIÁRIO!C:C,[1]MOBILIÁRIO!F:F)</f>
        <v>3.23</v>
      </c>
      <c r="I60" s="191" t="s">
        <v>30</v>
      </c>
      <c r="J60"/>
      <c r="K60"/>
      <c r="L60"/>
      <c r="M60"/>
      <c r="N60"/>
      <c r="O60"/>
      <c r="P60"/>
      <c r="Q60"/>
      <c r="R60"/>
      <c r="S60"/>
      <c r="T60"/>
      <c r="U60"/>
      <c r="V60"/>
      <c r="W60"/>
      <c r="X60"/>
      <c r="Y60"/>
      <c r="Z60"/>
      <c r="AA60"/>
      <c r="AB60"/>
      <c r="AC60"/>
      <c r="AD60"/>
      <c r="AE60"/>
      <c r="AF60"/>
      <c r="AG60"/>
      <c r="AH60"/>
      <c r="AI60"/>
      <c r="AJ60"/>
      <c r="AK60"/>
      <c r="AL60"/>
    </row>
    <row r="61" spans="2:38" x14ac:dyDescent="0.2">
      <c r="B61" s="186" t="s">
        <v>2081</v>
      </c>
      <c r="C61" s="360" t="str">
        <f>_xlfn.XLOOKUP(D61,[1]MOBILIÁRIO!C:C,[1]MOBILIÁRIO!B:B)</f>
        <v>5º PAVIMENTO - LAZER</v>
      </c>
      <c r="D61" s="360" t="str">
        <v>Lavabo - lazer</v>
      </c>
      <c r="E61" s="361">
        <f>_xlfn.XLOOKUP(D61,[1]MOBILIÁRIO!C:C,[1]MOBILIÁRIO!F:F)</f>
        <v>2.41</v>
      </c>
      <c r="I61" s="192" t="s">
        <v>2686</v>
      </c>
      <c r="J61"/>
      <c r="K61"/>
      <c r="L61"/>
      <c r="M61"/>
      <c r="N61"/>
      <c r="O61"/>
      <c r="P61"/>
      <c r="Q61"/>
      <c r="R61"/>
      <c r="S61"/>
      <c r="T61"/>
      <c r="U61"/>
      <c r="V61"/>
      <c r="W61"/>
      <c r="X61"/>
      <c r="Y61"/>
      <c r="Z61"/>
      <c r="AA61"/>
      <c r="AB61"/>
      <c r="AC61"/>
      <c r="AD61"/>
      <c r="AE61"/>
      <c r="AF61"/>
      <c r="AG61"/>
      <c r="AH61"/>
      <c r="AI61"/>
      <c r="AJ61"/>
      <c r="AK61"/>
      <c r="AL61"/>
    </row>
    <row r="62" spans="2:38" x14ac:dyDescent="0.2">
      <c r="B62" s="186" t="s">
        <v>2081</v>
      </c>
      <c r="C62" s="360" t="str">
        <f>_xlfn.XLOOKUP(D62,[1]MOBILIÁRIO!C:C,[1]MOBILIÁRIO!B:B)</f>
        <v>5º PAVIMENTO - LAZER</v>
      </c>
      <c r="D62" s="360" t="str">
        <v>CPD - lazer</v>
      </c>
      <c r="E62" s="361">
        <f>_xlfn.XLOOKUP(D62,[1]MOBILIÁRIO!C:C,[1]MOBILIÁRIO!F:F)</f>
        <v>5.25</v>
      </c>
      <c r="I62" s="193" t="s">
        <v>55</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86" t="s">
        <v>2081</v>
      </c>
      <c r="C63" s="360" t="str">
        <f>_xlfn.XLOOKUP(D63,[1]MOBILIÁRIO!C:C,[1]MOBILIÁRIO!B:B)</f>
        <v>5º PAVIMENTO - LAZER</v>
      </c>
      <c r="D63" s="360" t="str">
        <v>Laje Verde</v>
      </c>
      <c r="E63" s="361">
        <f>_xlfn.XLOOKUP(D63,[1]MOBILIÁRIO!C:C,[1]MOBILIÁRIO!F:F)</f>
        <v>269.95</v>
      </c>
      <c r="I63" s="198" t="s">
        <v>56</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86" t="s">
        <v>2081</v>
      </c>
      <c r="C64" s="360" t="str">
        <f>_xlfn.XLOOKUP(D64,[1]MOBILIÁRIO!C:C,[1]MOBILIÁRIO!B:B)</f>
        <v>5º PAVIMENTO - LAZER</v>
      </c>
      <c r="D64" s="360" t="str">
        <v>Brinquedoteca</v>
      </c>
      <c r="E64" s="361">
        <f>_xlfn.XLOOKUP(D64,[1]MOBILIÁRIO!C:C,[1]MOBILIÁRIO!F:F)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86" t="s">
        <v>2081</v>
      </c>
      <c r="C65" s="360" t="str">
        <f>_xlfn.XLOOKUP(D65,[1]MOBILIÁRIO!C:C,[1]MOBILIÁRIO!B:B)</f>
        <v>5º PAVIMENTO - LAZER</v>
      </c>
      <c r="D65" s="360" t="str">
        <v>Game Center</v>
      </c>
      <c r="E65" s="361">
        <f>_xlfn.XLOOKUP(D65,[1]MOBILIÁRIO!C:C,[1]MOBILIÁRIO!F:F)</f>
        <v>13.09</v>
      </c>
      <c r="I65" s="225" t="s">
        <v>3019</v>
      </c>
      <c r="J65"/>
      <c r="K65"/>
      <c r="L65"/>
      <c r="M65"/>
      <c r="N65"/>
      <c r="O65"/>
      <c r="P65"/>
      <c r="Q65"/>
      <c r="R65"/>
      <c r="S65"/>
      <c r="T65"/>
      <c r="U65"/>
      <c r="V65"/>
      <c r="W65"/>
      <c r="X65"/>
      <c r="Y65"/>
      <c r="Z65"/>
      <c r="AA65"/>
      <c r="AB65"/>
      <c r="AC65"/>
      <c r="AD65"/>
      <c r="AE65"/>
      <c r="AF65"/>
      <c r="AG65"/>
      <c r="AH65"/>
      <c r="AI65"/>
      <c r="AJ65"/>
      <c r="AK65"/>
      <c r="AL65"/>
    </row>
    <row r="66" spans="2:38" x14ac:dyDescent="0.2">
      <c r="B66" s="186" t="s">
        <v>2081</v>
      </c>
      <c r="C66" s="360" t="str">
        <f>_xlfn.XLOOKUP(D66,[1]MOBILIÁRIO!C:C,[1]MOBILIÁRIO!B:B)</f>
        <v>5º PAVIMENTO - LAZER</v>
      </c>
      <c r="D66" s="360" t="str">
        <v>Sala de Festas</v>
      </c>
      <c r="E66" s="361">
        <f>_xlfn.XLOOKUP(D66,[1]MOBILIÁRIO!C:C,[1]MOBILIÁRIO!F:F)</f>
        <v>93.46</v>
      </c>
      <c r="I66" s="365" t="s">
        <v>3020</v>
      </c>
      <c r="J66"/>
      <c r="K66"/>
      <c r="L66"/>
      <c r="M66"/>
      <c r="N66"/>
      <c r="O66"/>
      <c r="P66"/>
      <c r="Q66"/>
      <c r="R66"/>
      <c r="S66"/>
      <c r="T66"/>
      <c r="U66"/>
      <c r="V66"/>
      <c r="W66"/>
      <c r="X66"/>
      <c r="Y66"/>
      <c r="Z66"/>
      <c r="AA66"/>
      <c r="AB66"/>
      <c r="AC66"/>
      <c r="AD66"/>
      <c r="AE66"/>
      <c r="AF66"/>
      <c r="AG66"/>
      <c r="AH66"/>
      <c r="AI66"/>
      <c r="AJ66"/>
      <c r="AK66"/>
      <c r="AL66"/>
    </row>
    <row r="67" spans="2:38" x14ac:dyDescent="0.2">
      <c r="B67" s="186" t="s">
        <v>2081</v>
      </c>
      <c r="C67" s="360" t="str">
        <f>_xlfn.XLOOKUP(D67,[1]MOBILIÁRIO!C:C,[1]MOBILIÁRIO!B:B)</f>
        <v>5º PAVIMENTO - LAZER</v>
      </c>
      <c r="D67" s="360" t="str">
        <v>Terraço</v>
      </c>
      <c r="E67" s="361">
        <f>_xlfn.XLOOKUP(D67,[1]MOBILIÁRIO!C:C,[1]MOBILIÁRIO!F:F)</f>
        <v>88.11</v>
      </c>
      <c r="I67" s="365" t="s">
        <v>3023</v>
      </c>
      <c r="J67"/>
      <c r="K67"/>
      <c r="L67"/>
      <c r="M67"/>
      <c r="N67"/>
      <c r="O67"/>
      <c r="P67"/>
      <c r="Q67"/>
      <c r="R67"/>
      <c r="S67"/>
      <c r="T67"/>
      <c r="U67"/>
      <c r="V67"/>
      <c r="W67"/>
      <c r="X67"/>
      <c r="Y67"/>
      <c r="Z67"/>
      <c r="AA67"/>
      <c r="AB67"/>
      <c r="AC67"/>
      <c r="AD67"/>
      <c r="AE67"/>
      <c r="AF67"/>
      <c r="AG67"/>
      <c r="AH67"/>
      <c r="AI67"/>
      <c r="AJ67"/>
      <c r="AK67"/>
      <c r="AL67"/>
    </row>
    <row r="68" spans="2:38" x14ac:dyDescent="0.2">
      <c r="B68" s="186" t="s">
        <v>2081</v>
      </c>
      <c r="C68" s="360" t="str">
        <f>_xlfn.XLOOKUP(D68,[1]MOBILIÁRIO!C:C,[1]MOBILIÁRIO!B:B)</f>
        <v>5º PAVIMENTO - LAZER</v>
      </c>
      <c r="D68" s="360" t="str">
        <v>Wine Bar</v>
      </c>
      <c r="E68" s="361">
        <f>_xlfn.XLOOKUP(D68,[1]MOBILIÁRIO!C:C,[1]MOBILIÁRIO!F:F)</f>
        <v>29.79</v>
      </c>
      <c r="I68" s="365" t="s">
        <v>3022</v>
      </c>
      <c r="J68"/>
      <c r="K68"/>
      <c r="L68"/>
      <c r="M68"/>
      <c r="N68"/>
      <c r="O68"/>
      <c r="P68"/>
      <c r="Q68"/>
      <c r="R68"/>
      <c r="S68"/>
      <c r="T68"/>
      <c r="U68"/>
      <c r="V68"/>
      <c r="W68"/>
      <c r="X68"/>
      <c r="Y68"/>
      <c r="Z68"/>
      <c r="AA68"/>
      <c r="AB68"/>
      <c r="AC68"/>
      <c r="AD68"/>
      <c r="AE68"/>
      <c r="AF68"/>
      <c r="AG68"/>
      <c r="AH68"/>
      <c r="AI68"/>
      <c r="AJ68"/>
      <c r="AK68"/>
      <c r="AL68"/>
    </row>
    <row r="69" spans="2:38" x14ac:dyDescent="0.2">
      <c r="B69" s="186" t="s">
        <v>2081</v>
      </c>
      <c r="C69" s="360" t="str">
        <f>_xlfn.XLOOKUP(D69,[1]MOBILIÁRIO!C:C,[1]MOBILIÁRIO!B:B)</f>
        <v>5º PAVIMENTO - LAZER</v>
      </c>
      <c r="D69" s="360" t="str">
        <v>Academia</v>
      </c>
      <c r="E69" s="361">
        <f>_xlfn.XLOOKUP(D69,[1]MOBILIÁRIO!C:C,[1]MOBILIÁRIO!F:F)</f>
        <v>63.68</v>
      </c>
      <c r="I69" s="365" t="s">
        <v>3021</v>
      </c>
      <c r="J69"/>
      <c r="K69"/>
      <c r="L69"/>
      <c r="M69"/>
      <c r="N69"/>
      <c r="O69"/>
      <c r="P69"/>
      <c r="Q69"/>
      <c r="R69"/>
      <c r="S69"/>
      <c r="T69"/>
      <c r="U69"/>
      <c r="V69"/>
      <c r="W69"/>
      <c r="X69"/>
      <c r="Y69"/>
      <c r="Z69"/>
      <c r="AA69"/>
      <c r="AB69"/>
      <c r="AC69"/>
      <c r="AD69"/>
      <c r="AE69"/>
      <c r="AF69"/>
      <c r="AG69"/>
      <c r="AH69"/>
      <c r="AI69"/>
      <c r="AJ69"/>
      <c r="AK69"/>
      <c r="AL69"/>
    </row>
    <row r="70" spans="2:38" x14ac:dyDescent="0.2">
      <c r="B70" s="186" t="s">
        <v>2081</v>
      </c>
      <c r="C70" s="360" t="str">
        <f>_xlfn.XLOOKUP(D70,[1]MOBILIÁRIO!C:C,[1]MOBILIÁRIO!B:B)</f>
        <v>5º PAVIMENTO - LAZER</v>
      </c>
      <c r="D70" s="360" t="str">
        <v>Espaço Crossfit</v>
      </c>
      <c r="E70" s="361">
        <f>_xlfn.XLOOKUP(D70,[1]MOBILIÁRIO!C:C,[1]MOBILIÁRIO!F:F)</f>
        <v>34.409999999999997</v>
      </c>
      <c r="I70" s="365" t="s">
        <v>3024</v>
      </c>
      <c r="J70"/>
      <c r="K70"/>
      <c r="L70"/>
      <c r="M70"/>
      <c r="N70"/>
      <c r="O70"/>
      <c r="P70"/>
      <c r="Q70"/>
      <c r="R70"/>
      <c r="S70"/>
      <c r="T70"/>
      <c r="U70"/>
      <c r="V70"/>
      <c r="W70"/>
      <c r="X70"/>
      <c r="Y70"/>
      <c r="Z70"/>
      <c r="AA70"/>
      <c r="AB70"/>
      <c r="AC70"/>
      <c r="AD70"/>
      <c r="AE70"/>
      <c r="AF70"/>
      <c r="AG70"/>
      <c r="AH70"/>
      <c r="AI70"/>
      <c r="AJ70"/>
      <c r="AK70"/>
      <c r="AL70"/>
    </row>
    <row r="71" spans="2:38" x14ac:dyDescent="0.2">
      <c r="B71" s="186" t="s">
        <v>2081</v>
      </c>
      <c r="C71" s="360" t="str">
        <f>_xlfn.XLOOKUP(D71,[1]MOBILIÁRIO!C:C,[1]MOBILIÁRIO!B:B)</f>
        <v>5º PAVIMENTO - LAZER</v>
      </c>
      <c r="D71" s="360" t="str">
        <v>Antecâmara - Lazer</v>
      </c>
      <c r="E71" s="361">
        <f>_xlfn.XLOOKUP(D71,[1]MOBILIÁRIO!C:C,[1]MOBILIÁRIO!F:F)</f>
        <v>4.1500000000000004</v>
      </c>
      <c r="I71" s="365" t="s">
        <v>3025</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194" t="s">
        <v>2081</v>
      </c>
      <c r="C72" s="362" t="str">
        <f>_xlfn.XLOOKUP(D72,[1]MOBILIÁRIO!C:C,[1]MOBILIÁRIO!B:B)</f>
        <v>6º AO 38º PAVIMENTO - PAVIMENTOS (X33)</v>
      </c>
      <c r="D72" s="362" t="str">
        <v>Antecâmara - Tipos (x33)</v>
      </c>
      <c r="E72" s="363">
        <f>_xlfn.XLOOKUP(D72,[1]MOBILIÁRIO!C:C,[1]MOBILIÁRIO!F:F)</f>
        <v>221.76</v>
      </c>
      <c r="I72" s="365" t="s">
        <v>3026</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367"/>
      <c r="C73" s="368"/>
      <c r="D73" s="368"/>
      <c r="E73" s="369"/>
      <c r="I73" s="366" t="s">
        <v>3027</v>
      </c>
      <c r="J73"/>
      <c r="K73"/>
      <c r="L73"/>
      <c r="M73"/>
      <c r="N73"/>
      <c r="O73"/>
      <c r="P73"/>
      <c r="Q73"/>
      <c r="R73"/>
      <c r="S73"/>
      <c r="T73"/>
      <c r="U73"/>
      <c r="V73"/>
      <c r="W73"/>
      <c r="X73"/>
      <c r="Y73"/>
      <c r="Z73"/>
      <c r="AA73"/>
      <c r="AB73"/>
      <c r="AC73"/>
      <c r="AD73"/>
      <c r="AE73"/>
      <c r="AF73"/>
      <c r="AG73"/>
      <c r="AH73"/>
      <c r="AI73"/>
      <c r="AJ73"/>
      <c r="AK73"/>
      <c r="AL73"/>
    </row>
    <row r="74" spans="2:38" x14ac:dyDescent="0.2">
      <c r="B74" s="367"/>
      <c r="C74" s="368"/>
      <c r="D74" s="368"/>
      <c r="E74" s="369"/>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225" t="s">
        <v>2078</v>
      </c>
      <c r="C76" s="226" t="s">
        <v>2148</v>
      </c>
      <c r="D76" s="226" t="s">
        <v>2035</v>
      </c>
      <c r="E76" s="226" t="s">
        <v>61</v>
      </c>
      <c r="F76" s="226" t="s">
        <v>2149</v>
      </c>
      <c r="G76" s="227" t="s">
        <v>2150</v>
      </c>
      <c r="I76" s="217" t="s">
        <v>1218</v>
      </c>
      <c r="J76"/>
      <c r="K76"/>
      <c r="L76"/>
      <c r="M76"/>
      <c r="N76"/>
      <c r="O76"/>
      <c r="P76"/>
      <c r="Q76"/>
      <c r="R76"/>
      <c r="S76"/>
      <c r="T76"/>
      <c r="U76"/>
      <c r="V76"/>
      <c r="W76"/>
      <c r="X76"/>
      <c r="Y76"/>
      <c r="Z76"/>
      <c r="AA76"/>
      <c r="AB76"/>
      <c r="AC76"/>
      <c r="AD76"/>
      <c r="AE76"/>
      <c r="AF76"/>
      <c r="AG76"/>
      <c r="AH76"/>
      <c r="AI76"/>
      <c r="AJ76"/>
      <c r="AK76"/>
      <c r="AL76"/>
    </row>
    <row r="77" spans="2:38" x14ac:dyDescent="0.2">
      <c r="B77" s="218" t="s">
        <v>2096</v>
      </c>
      <c r="C77" s="219" t="s">
        <v>2151</v>
      </c>
      <c r="D77" s="220">
        <v>102.67</v>
      </c>
      <c r="E77" s="220">
        <v>9</v>
      </c>
      <c r="F77" s="220">
        <v>18</v>
      </c>
      <c r="G77" s="221">
        <f t="shared" ref="G77:G82" si="0">E77</f>
        <v>9</v>
      </c>
      <c r="I77" s="185"/>
      <c r="J77"/>
      <c r="K77"/>
      <c r="L77"/>
      <c r="M77"/>
      <c r="N77"/>
      <c r="O77"/>
      <c r="P77"/>
      <c r="Q77"/>
      <c r="R77"/>
      <c r="S77"/>
      <c r="T77"/>
      <c r="U77"/>
      <c r="V77"/>
      <c r="W77"/>
      <c r="X77"/>
      <c r="Y77"/>
      <c r="Z77"/>
      <c r="AA77"/>
      <c r="AB77"/>
      <c r="AC77"/>
      <c r="AD77"/>
      <c r="AE77"/>
      <c r="AF77"/>
      <c r="AG77"/>
      <c r="AH77"/>
      <c r="AI77"/>
      <c r="AJ77"/>
      <c r="AK77"/>
      <c r="AL77"/>
    </row>
    <row r="78" spans="2:38" x14ac:dyDescent="0.2">
      <c r="B78" s="218" t="s">
        <v>2096</v>
      </c>
      <c r="C78" s="219" t="s">
        <v>2152</v>
      </c>
      <c r="D78" s="220">
        <v>108.38</v>
      </c>
      <c r="E78" s="220">
        <v>9</v>
      </c>
      <c r="F78" s="220">
        <v>18</v>
      </c>
      <c r="G78" s="221">
        <f t="shared" si="0"/>
        <v>9</v>
      </c>
      <c r="I78" s="185"/>
      <c r="J78"/>
      <c r="K78"/>
      <c r="L78"/>
      <c r="M78"/>
      <c r="N78"/>
      <c r="O78"/>
      <c r="P78"/>
      <c r="Q78"/>
      <c r="R78"/>
      <c r="S78"/>
      <c r="T78"/>
      <c r="U78"/>
      <c r="V78"/>
      <c r="W78"/>
      <c r="X78"/>
      <c r="Y78"/>
      <c r="Z78"/>
      <c r="AA78"/>
      <c r="AB78"/>
      <c r="AC78"/>
      <c r="AD78"/>
      <c r="AE78"/>
      <c r="AF78"/>
      <c r="AG78"/>
      <c r="AH78"/>
      <c r="AI78"/>
      <c r="AJ78"/>
      <c r="AK78"/>
      <c r="AL78"/>
    </row>
    <row r="79" spans="2:38" ht="25.5" x14ac:dyDescent="0.2">
      <c r="B79" s="218" t="s">
        <v>2096</v>
      </c>
      <c r="C79" s="219" t="s">
        <v>2153</v>
      </c>
      <c r="D79" s="220">
        <v>202.02</v>
      </c>
      <c r="E79" s="220">
        <v>9</v>
      </c>
      <c r="F79" s="220">
        <v>18</v>
      </c>
      <c r="G79" s="221">
        <f t="shared" si="0"/>
        <v>9</v>
      </c>
      <c r="I79" s="185"/>
      <c r="J79"/>
      <c r="K79"/>
      <c r="L79"/>
      <c r="M79"/>
      <c r="N79"/>
      <c r="O79"/>
      <c r="P79"/>
      <c r="Q79"/>
      <c r="R79"/>
      <c r="S79"/>
      <c r="T79"/>
      <c r="U79"/>
      <c r="V79"/>
      <c r="W79"/>
      <c r="X79"/>
      <c r="Y79"/>
      <c r="Z79"/>
      <c r="AA79"/>
      <c r="AB79"/>
      <c r="AC79"/>
      <c r="AD79"/>
      <c r="AE79"/>
      <c r="AF79"/>
      <c r="AG79"/>
      <c r="AH79"/>
      <c r="AI79"/>
      <c r="AJ79"/>
      <c r="AK79"/>
      <c r="AL79"/>
    </row>
    <row r="80" spans="2:38" x14ac:dyDescent="0.2">
      <c r="B80" s="218" t="s">
        <v>2096</v>
      </c>
      <c r="C80" s="219" t="s">
        <v>2154</v>
      </c>
      <c r="D80" s="220">
        <v>202.02</v>
      </c>
      <c r="E80" s="220">
        <v>12</v>
      </c>
      <c r="F80" s="220">
        <v>36</v>
      </c>
      <c r="G80" s="221">
        <f t="shared" si="0"/>
        <v>12</v>
      </c>
      <c r="I80" s="185"/>
      <c r="J80"/>
      <c r="K80"/>
      <c r="L80"/>
      <c r="M80"/>
      <c r="N80"/>
      <c r="O80"/>
      <c r="P80"/>
      <c r="Q80"/>
      <c r="R80"/>
      <c r="S80"/>
      <c r="T80"/>
      <c r="U80"/>
      <c r="V80"/>
      <c r="W80"/>
      <c r="X80"/>
      <c r="Y80"/>
      <c r="Z80"/>
      <c r="AA80"/>
      <c r="AB80"/>
      <c r="AC80"/>
      <c r="AD80"/>
      <c r="AE80"/>
      <c r="AF80"/>
      <c r="AG80"/>
      <c r="AH80"/>
      <c r="AI80"/>
      <c r="AJ80"/>
      <c r="AK80"/>
      <c r="AL80"/>
    </row>
    <row r="81" spans="2:38" x14ac:dyDescent="0.2">
      <c r="B81" s="218" t="s">
        <v>2096</v>
      </c>
      <c r="C81" s="219" t="s">
        <v>2155</v>
      </c>
      <c r="D81" s="220">
        <v>199.18</v>
      </c>
      <c r="E81" s="220">
        <v>1</v>
      </c>
      <c r="F81" s="220">
        <v>3</v>
      </c>
      <c r="G81" s="221">
        <f t="shared" si="0"/>
        <v>1</v>
      </c>
      <c r="I81" s="185"/>
      <c r="J81"/>
      <c r="K81"/>
      <c r="L81"/>
      <c r="M81"/>
      <c r="N81"/>
      <c r="O81"/>
      <c r="P81"/>
      <c r="Q81"/>
      <c r="R81"/>
      <c r="S81"/>
      <c r="T81"/>
      <c r="U81"/>
      <c r="V81"/>
      <c r="W81"/>
      <c r="X81"/>
      <c r="Y81"/>
      <c r="Z81"/>
      <c r="AA81"/>
      <c r="AB81"/>
      <c r="AC81"/>
      <c r="AD81"/>
      <c r="AE81"/>
      <c r="AF81"/>
      <c r="AG81"/>
      <c r="AH81"/>
      <c r="AI81"/>
      <c r="AJ81"/>
      <c r="AK81"/>
      <c r="AL81"/>
    </row>
    <row r="82" spans="2:38" ht="13.5" thickBot="1" x14ac:dyDescent="0.25">
      <c r="B82" s="228" t="s">
        <v>2096</v>
      </c>
      <c r="C82" s="229" t="s">
        <v>2156</v>
      </c>
      <c r="D82" s="230">
        <v>329.41</v>
      </c>
      <c r="E82" s="230">
        <v>1</v>
      </c>
      <c r="F82" s="230">
        <v>4</v>
      </c>
      <c r="G82" s="221">
        <f t="shared" si="0"/>
        <v>1</v>
      </c>
      <c r="I82" s="185"/>
      <c r="J82"/>
      <c r="K82"/>
      <c r="L82"/>
      <c r="M82"/>
      <c r="N82"/>
      <c r="O82"/>
      <c r="P82"/>
      <c r="Q82"/>
      <c r="R82"/>
      <c r="S82"/>
      <c r="T82"/>
      <c r="U82"/>
      <c r="V82"/>
      <c r="W82"/>
      <c r="X82"/>
      <c r="Y82"/>
      <c r="Z82"/>
      <c r="AA82"/>
      <c r="AB82"/>
      <c r="AC82"/>
      <c r="AD82"/>
      <c r="AE82"/>
      <c r="AF82"/>
      <c r="AG82"/>
      <c r="AH82"/>
      <c r="AI82"/>
      <c r="AJ82"/>
      <c r="AK82"/>
      <c r="AL82"/>
    </row>
    <row r="83" spans="2:38" x14ac:dyDescent="0.2">
      <c r="D83" s="226">
        <f>SUMPRODUCT(D77:E82)</f>
        <v>1184.68</v>
      </c>
      <c r="E83" s="226">
        <f>SUM(E77:E82)</f>
        <v>41</v>
      </c>
      <c r="F83" s="226">
        <f>SUM(F77:F82)</f>
        <v>97</v>
      </c>
      <c r="G83" s="226">
        <f>SUM(G77:G82)</f>
        <v>41</v>
      </c>
      <c r="I83" s="185"/>
      <c r="J83"/>
      <c r="K83"/>
      <c r="L83"/>
      <c r="M83"/>
      <c r="N83"/>
      <c r="O83"/>
      <c r="P83"/>
      <c r="Q83"/>
      <c r="R83"/>
      <c r="S83"/>
      <c r="T83"/>
      <c r="U83"/>
      <c r="V83"/>
      <c r="W83"/>
      <c r="X83"/>
      <c r="Y83"/>
      <c r="Z83"/>
      <c r="AA83"/>
      <c r="AB83"/>
      <c r="AC83"/>
      <c r="AD83"/>
      <c r="AE83"/>
      <c r="AF83"/>
      <c r="AG83"/>
      <c r="AH83"/>
      <c r="AI83"/>
      <c r="AJ83"/>
      <c r="AK83"/>
      <c r="AL83"/>
    </row>
    <row r="84" spans="2:38" x14ac:dyDescent="0.2">
      <c r="I84" s="185"/>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85"/>
      <c r="J85"/>
      <c r="K85"/>
      <c r="L85"/>
      <c r="M85"/>
      <c r="N85"/>
      <c r="O85"/>
      <c r="P85"/>
      <c r="Q85"/>
      <c r="R85"/>
      <c r="S85"/>
      <c r="T85"/>
      <c r="U85"/>
      <c r="V85"/>
      <c r="W85"/>
      <c r="X85"/>
      <c r="Y85"/>
      <c r="Z85"/>
      <c r="AA85"/>
      <c r="AB85"/>
      <c r="AC85"/>
      <c r="AD85"/>
      <c r="AE85"/>
      <c r="AF85"/>
      <c r="AG85"/>
      <c r="AH85"/>
      <c r="AI85"/>
      <c r="AJ85"/>
      <c r="AK85"/>
      <c r="AL85"/>
    </row>
    <row r="86" spans="2:38" ht="22.5" x14ac:dyDescent="0.2">
      <c r="B86" s="225" t="s">
        <v>2078</v>
      </c>
      <c r="C86" s="226" t="s">
        <v>2157</v>
      </c>
      <c r="D86" s="226" t="s">
        <v>2035</v>
      </c>
      <c r="E86" s="226" t="s">
        <v>2149</v>
      </c>
      <c r="F86" s="227" t="s">
        <v>2163</v>
      </c>
      <c r="I86" s="185"/>
      <c r="J86"/>
      <c r="K86"/>
      <c r="L86"/>
      <c r="M86"/>
      <c r="N86"/>
      <c r="O86"/>
      <c r="P86"/>
      <c r="Q86"/>
      <c r="R86"/>
      <c r="S86"/>
      <c r="T86"/>
      <c r="U86"/>
      <c r="V86"/>
      <c r="W86"/>
      <c r="X86"/>
      <c r="Y86"/>
      <c r="Z86"/>
      <c r="AA86"/>
      <c r="AB86"/>
      <c r="AC86"/>
      <c r="AD86"/>
      <c r="AE86"/>
      <c r="AF86"/>
      <c r="AG86"/>
      <c r="AH86"/>
      <c r="AI86"/>
      <c r="AJ86"/>
      <c r="AK86"/>
      <c r="AL86"/>
    </row>
    <row r="87" spans="2:38" x14ac:dyDescent="0.2">
      <c r="B87" s="218" t="s">
        <v>2096</v>
      </c>
      <c r="C87" s="219" t="s">
        <v>2158</v>
      </c>
      <c r="D87" s="220">
        <v>176.43</v>
      </c>
      <c r="E87" s="220">
        <v>2</v>
      </c>
      <c r="F87" s="221">
        <v>1</v>
      </c>
      <c r="I87" s="185"/>
      <c r="J87"/>
      <c r="K87"/>
      <c r="L87"/>
      <c r="M87"/>
      <c r="N87"/>
      <c r="O87"/>
      <c r="P87"/>
      <c r="Q87"/>
      <c r="R87"/>
      <c r="S87"/>
      <c r="T87"/>
      <c r="U87"/>
      <c r="V87"/>
      <c r="W87"/>
      <c r="X87"/>
      <c r="Y87"/>
      <c r="Z87"/>
      <c r="AA87"/>
      <c r="AB87"/>
      <c r="AC87"/>
      <c r="AD87"/>
      <c r="AE87"/>
      <c r="AF87"/>
      <c r="AG87"/>
      <c r="AH87"/>
      <c r="AI87"/>
      <c r="AJ87"/>
      <c r="AK87"/>
      <c r="AL87"/>
    </row>
    <row r="88" spans="2:38" x14ac:dyDescent="0.2">
      <c r="B88" s="218" t="s">
        <v>2096</v>
      </c>
      <c r="C88" s="219" t="s">
        <v>2159</v>
      </c>
      <c r="D88" s="220">
        <v>84.08</v>
      </c>
      <c r="E88" s="220">
        <v>1</v>
      </c>
      <c r="F88" s="221">
        <v>1</v>
      </c>
      <c r="I88" s="185"/>
      <c r="J88"/>
      <c r="K88"/>
      <c r="L88"/>
      <c r="M88"/>
      <c r="N88"/>
      <c r="O88"/>
      <c r="P88"/>
      <c r="Q88"/>
      <c r="R88"/>
      <c r="S88"/>
      <c r="T88"/>
      <c r="U88"/>
      <c r="V88"/>
      <c r="W88"/>
      <c r="X88"/>
      <c r="Y88"/>
      <c r="Z88"/>
      <c r="AA88"/>
      <c r="AB88"/>
      <c r="AC88"/>
      <c r="AD88"/>
      <c r="AE88"/>
      <c r="AF88"/>
      <c r="AG88"/>
      <c r="AH88"/>
      <c r="AI88"/>
      <c r="AJ88"/>
      <c r="AK88"/>
      <c r="AL88"/>
    </row>
    <row r="89" spans="2:38" x14ac:dyDescent="0.2">
      <c r="B89" s="218" t="s">
        <v>2096</v>
      </c>
      <c r="C89" s="219" t="s">
        <v>2160</v>
      </c>
      <c r="D89" s="220">
        <v>60.82</v>
      </c>
      <c r="E89" s="220">
        <v>1</v>
      </c>
      <c r="F89" s="221">
        <v>1</v>
      </c>
      <c r="I89" s="185"/>
      <c r="J89"/>
      <c r="K89"/>
      <c r="L89"/>
      <c r="M89"/>
      <c r="N89"/>
      <c r="O89"/>
      <c r="P89"/>
      <c r="Q89"/>
      <c r="R89"/>
      <c r="S89"/>
      <c r="T89"/>
      <c r="U89"/>
      <c r="V89"/>
      <c r="W89"/>
      <c r="X89"/>
      <c r="Y89"/>
      <c r="Z89"/>
      <c r="AA89"/>
      <c r="AB89"/>
      <c r="AC89"/>
      <c r="AD89"/>
      <c r="AE89"/>
      <c r="AF89"/>
      <c r="AG89"/>
      <c r="AH89"/>
      <c r="AI89"/>
      <c r="AJ89"/>
      <c r="AK89"/>
      <c r="AL89"/>
    </row>
    <row r="90" spans="2:38" x14ac:dyDescent="0.2">
      <c r="B90" s="218" t="s">
        <v>2096</v>
      </c>
      <c r="C90" s="219" t="s">
        <v>2161</v>
      </c>
      <c r="D90" s="220">
        <v>132.86000000000001</v>
      </c>
      <c r="E90" s="220">
        <v>2</v>
      </c>
      <c r="F90" s="221">
        <v>1</v>
      </c>
      <c r="I90" s="185"/>
      <c r="J90"/>
      <c r="K90"/>
      <c r="L90"/>
      <c r="M90"/>
      <c r="N90"/>
      <c r="O90"/>
      <c r="P90"/>
      <c r="Q90"/>
      <c r="R90"/>
      <c r="S90"/>
      <c r="T90"/>
      <c r="U90"/>
      <c r="V90"/>
      <c r="W90"/>
      <c r="X90"/>
      <c r="Y90"/>
      <c r="Z90"/>
      <c r="AA90"/>
      <c r="AB90"/>
      <c r="AC90"/>
      <c r="AD90"/>
      <c r="AE90"/>
      <c r="AF90"/>
      <c r="AG90"/>
      <c r="AH90"/>
      <c r="AI90"/>
      <c r="AJ90"/>
      <c r="AK90"/>
      <c r="AL90"/>
    </row>
    <row r="91" spans="2:38" ht="13.5" thickBot="1" x14ac:dyDescent="0.25">
      <c r="B91" s="228" t="s">
        <v>2096</v>
      </c>
      <c r="C91" s="229" t="s">
        <v>2162</v>
      </c>
      <c r="D91" s="230">
        <v>83.77</v>
      </c>
      <c r="E91" s="230">
        <v>1</v>
      </c>
      <c r="F91" s="231">
        <v>1</v>
      </c>
      <c r="I91" s="185"/>
      <c r="J91"/>
      <c r="K91"/>
      <c r="L91"/>
      <c r="M91"/>
      <c r="N91"/>
      <c r="O91"/>
      <c r="P91"/>
      <c r="Q91"/>
      <c r="R91"/>
      <c r="S91"/>
      <c r="T91"/>
      <c r="U91"/>
      <c r="V91"/>
      <c r="W91"/>
      <c r="X91"/>
      <c r="Y91"/>
      <c r="Z91"/>
      <c r="AA91"/>
      <c r="AB91"/>
      <c r="AC91"/>
      <c r="AD91"/>
      <c r="AE91"/>
      <c r="AF91"/>
      <c r="AG91"/>
      <c r="AH91"/>
      <c r="AI91"/>
      <c r="AJ91"/>
      <c r="AK91"/>
      <c r="AL91"/>
    </row>
    <row r="92" spans="2:38" x14ac:dyDescent="0.2">
      <c r="D92" s="232">
        <f>SUM(D87:D91)</f>
        <v>537.96</v>
      </c>
      <c r="E92" s="232">
        <f>SUM(E87:E91)</f>
        <v>7</v>
      </c>
      <c r="F92" s="232">
        <f>SUM(F87:F91)</f>
        <v>5</v>
      </c>
      <c r="I92" s="185"/>
      <c r="J92"/>
      <c r="K92"/>
      <c r="L92"/>
      <c r="M92"/>
      <c r="N92"/>
      <c r="O92"/>
      <c r="P92"/>
      <c r="Q92"/>
      <c r="R92"/>
      <c r="S92"/>
      <c r="T92"/>
      <c r="U92"/>
      <c r="V92"/>
      <c r="W92"/>
      <c r="X92"/>
      <c r="Y92"/>
      <c r="Z92"/>
      <c r="AA92"/>
      <c r="AB92"/>
      <c r="AC92"/>
      <c r="AD92"/>
      <c r="AE92"/>
      <c r="AF92"/>
      <c r="AG92"/>
      <c r="AH92"/>
      <c r="AI92"/>
      <c r="AJ92"/>
      <c r="AK92"/>
      <c r="AL92"/>
    </row>
    <row r="93" spans="2:38" x14ac:dyDescent="0.2">
      <c r="I93" s="185"/>
      <c r="J93"/>
      <c r="K93"/>
      <c r="L93"/>
      <c r="M93"/>
      <c r="N93"/>
      <c r="O93"/>
      <c r="P93"/>
      <c r="Q93"/>
      <c r="R93"/>
      <c r="S93"/>
      <c r="T93"/>
      <c r="U93"/>
      <c r="V93"/>
      <c r="W93"/>
      <c r="X93"/>
      <c r="Y93"/>
      <c r="Z93"/>
      <c r="AA93"/>
      <c r="AB93"/>
      <c r="AC93"/>
      <c r="AD93"/>
      <c r="AE93"/>
      <c r="AF93"/>
      <c r="AG93"/>
      <c r="AH93"/>
      <c r="AI93"/>
      <c r="AJ93"/>
      <c r="AK93"/>
      <c r="AL93"/>
    </row>
    <row r="94" spans="2:38" x14ac:dyDescent="0.2">
      <c r="I94" s="185"/>
      <c r="J94"/>
      <c r="K94"/>
      <c r="L94"/>
      <c r="M94"/>
      <c r="N94"/>
      <c r="O94"/>
      <c r="P94"/>
      <c r="Q94"/>
      <c r="R94"/>
      <c r="S94"/>
      <c r="T94"/>
      <c r="U94"/>
      <c r="V94"/>
      <c r="W94"/>
      <c r="X94"/>
      <c r="Y94"/>
      <c r="Z94"/>
      <c r="AA94"/>
      <c r="AB94"/>
      <c r="AC94"/>
      <c r="AD94"/>
      <c r="AE94"/>
      <c r="AF94"/>
      <c r="AG94"/>
      <c r="AH94"/>
      <c r="AI94"/>
      <c r="AJ94"/>
      <c r="AK94"/>
      <c r="AL94"/>
    </row>
    <row r="95" spans="2:38" x14ac:dyDescent="0.2">
      <c r="I95" s="185"/>
      <c r="J95"/>
      <c r="K95"/>
      <c r="L95"/>
      <c r="M95"/>
      <c r="N95"/>
      <c r="O95"/>
      <c r="P95"/>
      <c r="Q95"/>
      <c r="R95"/>
      <c r="S95"/>
      <c r="T95"/>
      <c r="U95"/>
      <c r="V95"/>
      <c r="W95"/>
      <c r="X95"/>
      <c r="Y95"/>
      <c r="Z95"/>
      <c r="AA95"/>
      <c r="AB95"/>
      <c r="AC95"/>
      <c r="AD95"/>
      <c r="AE95"/>
      <c r="AF95"/>
      <c r="AG95"/>
      <c r="AH95"/>
      <c r="AI95"/>
      <c r="AJ95"/>
      <c r="AK95"/>
      <c r="AL95"/>
    </row>
    <row r="96" spans="2:38" x14ac:dyDescent="0.2">
      <c r="I96" s="185"/>
      <c r="J96"/>
      <c r="K96"/>
      <c r="L96"/>
      <c r="M96"/>
      <c r="N96"/>
      <c r="O96"/>
      <c r="P96"/>
      <c r="Q96"/>
      <c r="R96"/>
      <c r="S96"/>
      <c r="T96"/>
      <c r="U96"/>
      <c r="V96"/>
      <c r="W96"/>
      <c r="X96"/>
      <c r="Y96"/>
      <c r="Z96"/>
      <c r="AA96"/>
      <c r="AB96"/>
      <c r="AC96"/>
      <c r="AD96"/>
      <c r="AE96"/>
      <c r="AF96"/>
      <c r="AG96"/>
      <c r="AH96"/>
      <c r="AI96"/>
      <c r="AJ96"/>
      <c r="AK96"/>
      <c r="AL96"/>
    </row>
    <row r="97" spans="1:38" x14ac:dyDescent="0.2">
      <c r="I97" s="185"/>
      <c r="J97"/>
      <c r="K97"/>
      <c r="L97"/>
      <c r="M97"/>
      <c r="N97"/>
      <c r="O97"/>
      <c r="P97"/>
      <c r="Q97"/>
      <c r="R97"/>
      <c r="S97"/>
      <c r="T97"/>
      <c r="U97"/>
      <c r="V97"/>
      <c r="W97"/>
      <c r="X97"/>
      <c r="Y97"/>
      <c r="Z97"/>
      <c r="AA97"/>
      <c r="AB97"/>
      <c r="AC97"/>
      <c r="AD97"/>
      <c r="AE97"/>
      <c r="AF97"/>
      <c r="AG97"/>
      <c r="AH97"/>
      <c r="AI97"/>
      <c r="AJ97"/>
      <c r="AK97"/>
      <c r="AL97"/>
    </row>
    <row r="98" spans="1:38" x14ac:dyDescent="0.2">
      <c r="I98" s="185"/>
      <c r="J98"/>
      <c r="K98"/>
      <c r="L98"/>
      <c r="M98"/>
      <c r="N98"/>
      <c r="O98"/>
      <c r="P98"/>
      <c r="Q98"/>
      <c r="R98"/>
      <c r="S98"/>
      <c r="T98"/>
      <c r="U98"/>
      <c r="V98"/>
      <c r="W98"/>
      <c r="X98"/>
      <c r="Y98"/>
      <c r="Z98"/>
      <c r="AA98"/>
      <c r="AB98"/>
      <c r="AC98"/>
      <c r="AD98"/>
      <c r="AE98"/>
      <c r="AF98"/>
      <c r="AG98"/>
      <c r="AH98"/>
      <c r="AI98"/>
      <c r="AJ98"/>
      <c r="AK98"/>
      <c r="AL98"/>
    </row>
    <row r="99" spans="1:38" x14ac:dyDescent="0.2">
      <c r="I99" s="185"/>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89"/>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6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370" bestFit="1" customWidth="1"/>
    <col min="2" max="2" width="23.5703125" style="389" customWidth="1"/>
    <col min="3" max="3" width="84.7109375" style="370" bestFit="1" customWidth="1"/>
    <col min="4" max="4" width="9.140625" style="370" customWidth="1"/>
    <col min="5" max="32" width="8.85546875" style="390"/>
  </cols>
  <sheetData>
    <row r="1" spans="1:32" ht="21.75" customHeight="1" x14ac:dyDescent="0.2">
      <c r="A1" s="589" t="s">
        <v>3074</v>
      </c>
      <c r="B1" s="590"/>
      <c r="C1" s="591"/>
      <c r="D1"/>
      <c r="E1"/>
      <c r="F1"/>
      <c r="G1"/>
      <c r="H1"/>
      <c r="I1"/>
      <c r="J1"/>
      <c r="K1"/>
      <c r="L1"/>
      <c r="M1"/>
      <c r="N1"/>
      <c r="O1"/>
      <c r="P1"/>
      <c r="Q1"/>
      <c r="R1"/>
      <c r="S1"/>
      <c r="T1"/>
      <c r="U1"/>
      <c r="V1"/>
      <c r="W1"/>
      <c r="X1"/>
      <c r="Y1"/>
      <c r="Z1"/>
      <c r="AA1"/>
      <c r="AB1"/>
      <c r="AC1"/>
      <c r="AD1"/>
      <c r="AE1"/>
      <c r="AF1"/>
    </row>
    <row r="2" spans="1:32" ht="21.75" customHeight="1" x14ac:dyDescent="0.2">
      <c r="A2" s="592"/>
      <c r="B2" s="593"/>
      <c r="C2" s="594"/>
      <c r="D2"/>
      <c r="E2"/>
      <c r="F2"/>
      <c r="G2"/>
      <c r="H2"/>
      <c r="I2"/>
      <c r="J2"/>
      <c r="K2"/>
      <c r="L2"/>
      <c r="M2"/>
      <c r="N2"/>
      <c r="O2"/>
      <c r="P2"/>
      <c r="Q2"/>
      <c r="R2"/>
      <c r="S2"/>
      <c r="T2"/>
      <c r="U2"/>
      <c r="V2"/>
      <c r="W2"/>
      <c r="X2"/>
      <c r="Y2"/>
      <c r="Z2"/>
      <c r="AA2"/>
      <c r="AB2"/>
      <c r="AC2"/>
      <c r="AD2"/>
      <c r="AE2"/>
      <c r="AF2"/>
    </row>
    <row r="3" spans="1:32" ht="21.75" customHeight="1" x14ac:dyDescent="0.2">
      <c r="A3" s="595" t="s">
        <v>3075</v>
      </c>
      <c r="B3" s="596"/>
      <c r="C3" s="597"/>
      <c r="D3"/>
      <c r="E3"/>
      <c r="F3"/>
      <c r="G3"/>
      <c r="H3"/>
      <c r="I3"/>
      <c r="J3"/>
      <c r="K3"/>
      <c r="L3"/>
      <c r="M3"/>
      <c r="N3"/>
      <c r="O3"/>
      <c r="P3"/>
      <c r="Q3"/>
      <c r="R3"/>
      <c r="S3"/>
      <c r="T3"/>
      <c r="U3"/>
      <c r="V3"/>
      <c r="W3"/>
      <c r="X3"/>
      <c r="Y3"/>
      <c r="Z3"/>
      <c r="AA3"/>
      <c r="AB3"/>
      <c r="AC3"/>
      <c r="AD3"/>
      <c r="AE3"/>
      <c r="AF3"/>
    </row>
    <row r="4" spans="1:32" ht="12" customHeight="1" x14ac:dyDescent="0.2">
      <c r="A4" s="371"/>
      <c r="B4" s="372"/>
      <c r="C4" s="373"/>
      <c r="D4"/>
      <c r="E4"/>
      <c r="F4"/>
      <c r="G4"/>
      <c r="H4"/>
      <c r="I4"/>
      <c r="J4"/>
      <c r="K4"/>
      <c r="L4"/>
      <c r="M4"/>
      <c r="N4"/>
      <c r="O4"/>
      <c r="P4"/>
      <c r="Q4"/>
      <c r="R4"/>
      <c r="S4"/>
      <c r="T4"/>
      <c r="U4"/>
      <c r="V4"/>
      <c r="W4"/>
      <c r="X4"/>
      <c r="Y4"/>
      <c r="Z4"/>
      <c r="AA4"/>
      <c r="AB4"/>
      <c r="AC4"/>
      <c r="AD4"/>
      <c r="AE4"/>
      <c r="AF4"/>
    </row>
    <row r="5" spans="1:32" ht="20.45" customHeight="1" x14ac:dyDescent="0.2">
      <c r="A5" s="374" t="s">
        <v>3076</v>
      </c>
      <c r="B5" s="375">
        <v>1</v>
      </c>
      <c r="C5" s="376" t="s">
        <v>39</v>
      </c>
      <c r="D5"/>
      <c r="E5"/>
      <c r="F5"/>
      <c r="G5"/>
      <c r="H5"/>
      <c r="I5"/>
      <c r="J5"/>
      <c r="K5"/>
      <c r="L5"/>
      <c r="M5"/>
      <c r="N5"/>
      <c r="O5"/>
      <c r="P5"/>
      <c r="Q5"/>
      <c r="R5"/>
      <c r="S5"/>
      <c r="T5"/>
      <c r="U5"/>
      <c r="V5"/>
      <c r="W5"/>
      <c r="X5"/>
      <c r="Y5"/>
      <c r="Z5"/>
      <c r="AA5"/>
      <c r="AB5"/>
      <c r="AC5"/>
      <c r="AD5"/>
      <c r="AE5"/>
      <c r="AF5"/>
    </row>
    <row r="6" spans="1:32" ht="20.45" customHeight="1" x14ac:dyDescent="0.2">
      <c r="A6" s="377" t="s">
        <v>1236</v>
      </c>
      <c r="B6" s="375">
        <v>1</v>
      </c>
      <c r="C6" s="378" t="s">
        <v>1284</v>
      </c>
      <c r="D6"/>
      <c r="E6"/>
      <c r="F6"/>
      <c r="G6"/>
      <c r="H6"/>
      <c r="I6"/>
      <c r="J6"/>
      <c r="K6"/>
      <c r="L6"/>
      <c r="M6"/>
      <c r="N6"/>
      <c r="O6"/>
      <c r="P6"/>
      <c r="Q6"/>
      <c r="R6"/>
      <c r="S6"/>
      <c r="T6"/>
      <c r="U6"/>
      <c r="V6"/>
      <c r="W6"/>
      <c r="X6"/>
      <c r="Y6"/>
      <c r="Z6"/>
      <c r="AA6"/>
      <c r="AB6"/>
      <c r="AC6"/>
      <c r="AD6"/>
      <c r="AE6"/>
      <c r="AF6"/>
    </row>
    <row r="7" spans="1:32" ht="20.45" customHeight="1" x14ac:dyDescent="0.2">
      <c r="A7" s="377" t="s">
        <v>38</v>
      </c>
      <c r="B7" s="510" t="s">
        <v>6743</v>
      </c>
      <c r="C7" s="378" t="s">
        <v>3077</v>
      </c>
      <c r="D7"/>
      <c r="E7"/>
      <c r="F7"/>
      <c r="G7"/>
      <c r="H7"/>
      <c r="I7"/>
      <c r="J7"/>
      <c r="K7"/>
      <c r="L7"/>
      <c r="M7"/>
      <c r="N7"/>
      <c r="O7"/>
      <c r="P7"/>
      <c r="Q7"/>
      <c r="R7"/>
      <c r="S7"/>
      <c r="T7"/>
      <c r="U7"/>
      <c r="V7"/>
      <c r="W7"/>
      <c r="X7"/>
      <c r="Y7"/>
      <c r="Z7"/>
      <c r="AA7"/>
      <c r="AB7"/>
      <c r="AC7"/>
      <c r="AD7"/>
      <c r="AE7"/>
      <c r="AF7"/>
    </row>
    <row r="8" spans="1:32" ht="20.45" customHeight="1" x14ac:dyDescent="0.2">
      <c r="A8" s="379" t="s">
        <v>1227</v>
      </c>
      <c r="B8" s="375" t="s">
        <v>3307</v>
      </c>
      <c r="C8" s="380" t="s">
        <v>4</v>
      </c>
      <c r="D8"/>
      <c r="E8"/>
      <c r="F8"/>
      <c r="G8"/>
      <c r="H8"/>
      <c r="I8"/>
      <c r="J8"/>
      <c r="K8"/>
      <c r="L8"/>
      <c r="M8"/>
      <c r="N8"/>
      <c r="O8"/>
      <c r="P8"/>
      <c r="Q8"/>
      <c r="R8"/>
      <c r="S8"/>
      <c r="T8"/>
      <c r="U8"/>
      <c r="V8"/>
      <c r="W8"/>
      <c r="X8"/>
      <c r="Y8"/>
      <c r="Z8"/>
      <c r="AA8"/>
      <c r="AB8"/>
      <c r="AC8"/>
      <c r="AD8"/>
      <c r="AE8"/>
      <c r="AF8"/>
    </row>
    <row r="9" spans="1:32" ht="20.45" customHeight="1" x14ac:dyDescent="0.2">
      <c r="A9" s="379" t="s">
        <v>1227</v>
      </c>
      <c r="B9" s="375" t="s">
        <v>6475</v>
      </c>
      <c r="C9" s="380" t="s">
        <v>5</v>
      </c>
      <c r="D9"/>
      <c r="E9"/>
      <c r="F9"/>
      <c r="G9"/>
      <c r="H9"/>
      <c r="I9"/>
      <c r="J9"/>
      <c r="K9"/>
      <c r="L9"/>
      <c r="M9"/>
      <c r="N9"/>
      <c r="O9"/>
      <c r="P9"/>
      <c r="Q9"/>
      <c r="R9"/>
      <c r="S9"/>
      <c r="T9"/>
      <c r="U9"/>
      <c r="V9"/>
      <c r="W9"/>
      <c r="X9"/>
      <c r="Y9"/>
      <c r="Z9"/>
      <c r="AA9"/>
      <c r="AB9"/>
      <c r="AC9"/>
      <c r="AD9"/>
      <c r="AE9"/>
      <c r="AF9"/>
    </row>
    <row r="10" spans="1:32" ht="20.45" customHeight="1" x14ac:dyDescent="0.2">
      <c r="A10" s="379" t="s">
        <v>1227</v>
      </c>
      <c r="B10" s="375" t="s">
        <v>6474</v>
      </c>
      <c r="C10" s="380" t="s">
        <v>6</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379" t="s">
        <v>1227</v>
      </c>
      <c r="B11" s="375" t="s">
        <v>6473</v>
      </c>
      <c r="C11" s="380" t="s">
        <v>1942</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377" t="s">
        <v>38</v>
      </c>
      <c r="B12" s="510" t="s">
        <v>6744</v>
      </c>
      <c r="C12" s="378" t="s">
        <v>3078</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379" t="s">
        <v>1227</v>
      </c>
      <c r="B13" s="375" t="s">
        <v>3310</v>
      </c>
      <c r="C13" s="380" t="s">
        <v>3079</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379" t="s">
        <v>1227</v>
      </c>
      <c r="B14" s="375" t="s">
        <v>3313</v>
      </c>
      <c r="C14" s="380" t="s">
        <v>1955</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377" t="s">
        <v>1236</v>
      </c>
      <c r="B15" s="375">
        <v>2</v>
      </c>
      <c r="C15" s="378" t="s">
        <v>1958</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377" t="s">
        <v>38</v>
      </c>
      <c r="B16" s="510" t="s">
        <v>6745</v>
      </c>
      <c r="C16" s="378" t="s">
        <v>3080</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379" t="s">
        <v>1227</v>
      </c>
      <c r="B17" s="375" t="s">
        <v>3323</v>
      </c>
      <c r="C17" s="380" t="s">
        <v>3081</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379" t="s">
        <v>1227</v>
      </c>
      <c r="B18" s="375" t="s">
        <v>3325</v>
      </c>
      <c r="C18" s="380" t="s">
        <v>1962</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379" t="s">
        <v>1227</v>
      </c>
      <c r="B19" s="375" t="s">
        <v>3328</v>
      </c>
      <c r="C19" s="380" t="s">
        <v>2015</v>
      </c>
      <c r="D19"/>
      <c r="E19"/>
      <c r="F19" s="427"/>
      <c r="G19"/>
      <c r="H19"/>
      <c r="I19"/>
      <c r="J19"/>
      <c r="K19"/>
      <c r="L19"/>
      <c r="M19"/>
      <c r="N19"/>
      <c r="O19"/>
      <c r="P19"/>
      <c r="Q19"/>
      <c r="R19"/>
      <c r="S19"/>
      <c r="T19"/>
      <c r="U19"/>
      <c r="V19"/>
      <c r="W19"/>
      <c r="X19"/>
      <c r="Y19"/>
      <c r="Z19"/>
      <c r="AA19"/>
      <c r="AB19"/>
      <c r="AC19"/>
      <c r="AD19"/>
      <c r="AE19"/>
      <c r="AF19"/>
    </row>
    <row r="20" spans="1:32" ht="20.45" customHeight="1" x14ac:dyDescent="0.2">
      <c r="A20" s="379" t="s">
        <v>1227</v>
      </c>
      <c r="B20" s="375" t="s">
        <v>6472</v>
      </c>
      <c r="C20" s="380" t="s">
        <v>2016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377" t="s">
        <v>38</v>
      </c>
      <c r="B21" s="510" t="s">
        <v>6746</v>
      </c>
      <c r="C21" s="378" t="s">
        <v>1977</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379" t="s">
        <v>1227</v>
      </c>
      <c r="B22" s="375" t="s">
        <v>3331</v>
      </c>
      <c r="C22" s="381" t="s">
        <v>1978</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379" t="s">
        <v>1227</v>
      </c>
      <c r="B23" s="375" t="s">
        <v>3336</v>
      </c>
      <c r="C23" s="382" t="s">
        <v>3082</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379" t="s">
        <v>1227</v>
      </c>
      <c r="B24" s="375" t="s">
        <v>6471</v>
      </c>
      <c r="C24" s="381" t="s">
        <v>7</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379" t="s">
        <v>1227</v>
      </c>
      <c r="B25" s="375" t="s">
        <v>6470</v>
      </c>
      <c r="C25" s="381" t="s">
        <v>2020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379" t="s">
        <v>1227</v>
      </c>
      <c r="B26" s="375" t="s">
        <v>6469</v>
      </c>
      <c r="C26" s="381" t="s">
        <v>1244</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377" t="s">
        <v>38</v>
      </c>
      <c r="B27" s="510" t="s">
        <v>6747</v>
      </c>
      <c r="C27" s="378" t="s">
        <v>2003</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379" t="s">
        <v>1227</v>
      </c>
      <c r="B28" s="375" t="s">
        <v>3339</v>
      </c>
      <c r="C28" s="381" t="s">
        <v>3083</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379" t="s">
        <v>1227</v>
      </c>
      <c r="B29" s="375" t="s">
        <v>3341</v>
      </c>
      <c r="C29" s="381" t="s">
        <v>3084</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377" t="s">
        <v>1236</v>
      </c>
      <c r="B30" s="375">
        <v>3</v>
      </c>
      <c r="C30" s="378" t="s">
        <v>8</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377" t="s">
        <v>38</v>
      </c>
      <c r="B31" s="510" t="s">
        <v>6748</v>
      </c>
      <c r="C31" s="378" t="s">
        <v>8</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379" t="s">
        <v>1227</v>
      </c>
      <c r="B32" s="375" t="s">
        <v>3357</v>
      </c>
      <c r="C32" s="381" t="s">
        <v>2028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379" t="s">
        <v>1227</v>
      </c>
      <c r="B33" s="375" t="s">
        <v>3360</v>
      </c>
      <c r="C33" s="381" t="s">
        <v>2006</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379" t="s">
        <v>1227</v>
      </c>
      <c r="B34" s="375" t="s">
        <v>3363</v>
      </c>
      <c r="C34" s="382" t="s">
        <v>2008</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374" t="s">
        <v>3076</v>
      </c>
      <c r="B35" s="375">
        <v>2</v>
      </c>
      <c r="C35" s="383" t="s">
        <v>9</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377" t="s">
        <v>1236</v>
      </c>
      <c r="B36" s="375">
        <v>1</v>
      </c>
      <c r="C36" s="378" t="s">
        <v>2</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377" t="s">
        <v>38</v>
      </c>
      <c r="B37" s="510" t="s">
        <v>6743</v>
      </c>
      <c r="C37" s="378" t="s">
        <v>40</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379" t="s">
        <v>1227</v>
      </c>
      <c r="B38" s="375" t="s">
        <v>3307</v>
      </c>
      <c r="C38" s="380" t="s">
        <v>3085</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379" t="s">
        <v>1227</v>
      </c>
      <c r="B39" s="375" t="s">
        <v>6475</v>
      </c>
      <c r="C39" s="380" t="s">
        <v>3086</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379" t="s">
        <v>1227</v>
      </c>
      <c r="B40" s="375" t="s">
        <v>6474</v>
      </c>
      <c r="C40" s="380" t="s">
        <v>3087</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379" t="s">
        <v>1227</v>
      </c>
      <c r="B41" s="375" t="s">
        <v>6473</v>
      </c>
      <c r="C41" s="380" t="s">
        <v>3088</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379" t="s">
        <v>1227</v>
      </c>
      <c r="B42" s="375" t="s">
        <v>6575</v>
      </c>
      <c r="C42" s="380" t="s">
        <v>3089</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377" t="s">
        <v>38</v>
      </c>
      <c r="B43" s="510" t="s">
        <v>6744</v>
      </c>
      <c r="C43" s="378" t="s">
        <v>10</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379" t="s">
        <v>1227</v>
      </c>
      <c r="B44" s="375" t="s">
        <v>3310</v>
      </c>
      <c r="C44" s="380" t="s">
        <v>11</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379" t="s">
        <v>1227</v>
      </c>
      <c r="B45" s="375" t="s">
        <v>3313</v>
      </c>
      <c r="C45" s="380" t="s">
        <v>12</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379" t="s">
        <v>1227</v>
      </c>
      <c r="B46" s="375" t="s">
        <v>6574</v>
      </c>
      <c r="C46" s="380" t="s">
        <v>1150</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379" t="s">
        <v>1227</v>
      </c>
      <c r="B47" s="375" t="s">
        <v>6573</v>
      </c>
      <c r="C47" s="380" t="s">
        <v>13</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379" t="s">
        <v>1227</v>
      </c>
      <c r="B48" s="375" t="s">
        <v>6572</v>
      </c>
      <c r="C48" s="380" t="s">
        <v>14</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377" t="s">
        <v>38</v>
      </c>
      <c r="B49" s="510" t="s">
        <v>6749</v>
      </c>
      <c r="C49" s="378" t="s">
        <v>229</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379" t="s">
        <v>1227</v>
      </c>
      <c r="B50" s="375" t="s">
        <v>3316</v>
      </c>
      <c r="C50" s="380" t="s">
        <v>15</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379" t="s">
        <v>1227</v>
      </c>
      <c r="B51" s="375" t="s">
        <v>6571</v>
      </c>
      <c r="C51" s="380" t="s">
        <v>12</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379" t="s">
        <v>1227</v>
      </c>
      <c r="B52" s="375" t="s">
        <v>6570</v>
      </c>
      <c r="C52" s="380" t="s">
        <v>13</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379" t="s">
        <v>1227</v>
      </c>
      <c r="B53" s="375" t="s">
        <v>6569</v>
      </c>
      <c r="C53" s="380" t="s">
        <v>14</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377" t="s">
        <v>1236</v>
      </c>
      <c r="B54" s="375">
        <v>2</v>
      </c>
      <c r="C54" s="378" t="s">
        <v>41</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377" t="s">
        <v>38</v>
      </c>
      <c r="B55" s="510" t="s">
        <v>6745</v>
      </c>
      <c r="C55" s="384" t="s">
        <v>6781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379" t="s">
        <v>1227</v>
      </c>
      <c r="B56" s="375" t="s">
        <v>3323</v>
      </c>
      <c r="C56" s="380" t="s">
        <v>15</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379" t="s">
        <v>1227</v>
      </c>
      <c r="B57" s="375" t="s">
        <v>3325</v>
      </c>
      <c r="C57" s="380" t="s">
        <v>12</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379" t="s">
        <v>1227</v>
      </c>
      <c r="B58" s="375" t="s">
        <v>3328</v>
      </c>
      <c r="C58" s="380" t="s">
        <v>3090</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379" t="s">
        <v>1227</v>
      </c>
      <c r="B59" s="375" t="s">
        <v>6472</v>
      </c>
      <c r="C59" s="380" t="s">
        <v>3091</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379" t="s">
        <v>1227</v>
      </c>
      <c r="B60" s="375" t="s">
        <v>6568</v>
      </c>
      <c r="C60" s="380" t="s">
        <v>14</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377" t="s">
        <v>38</v>
      </c>
      <c r="B61" s="510" t="s">
        <v>6746</v>
      </c>
      <c r="C61" s="384" t="s">
        <v>3092</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379" t="s">
        <v>1227</v>
      </c>
      <c r="B62" s="375" t="s">
        <v>3331</v>
      </c>
      <c r="C62" s="380" t="s">
        <v>15</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379" t="s">
        <v>1227</v>
      </c>
      <c r="B63" s="375" t="s">
        <v>3336</v>
      </c>
      <c r="C63" s="380" t="s">
        <v>12</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379" t="s">
        <v>1227</v>
      </c>
      <c r="B64" s="375" t="s">
        <v>6471</v>
      </c>
      <c r="C64" s="380" t="s">
        <v>3090</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379" t="s">
        <v>1227</v>
      </c>
      <c r="B65" s="375" t="s">
        <v>6470</v>
      </c>
      <c r="C65" s="380" t="s">
        <v>3091</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379" t="s">
        <v>1227</v>
      </c>
      <c r="B66" s="375" t="s">
        <v>6469</v>
      </c>
      <c r="C66" s="380" t="s">
        <v>14</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377" t="s">
        <v>38</v>
      </c>
      <c r="B67" s="510" t="s">
        <v>6747</v>
      </c>
      <c r="C67" s="384" t="s">
        <v>3093</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379" t="s">
        <v>1227</v>
      </c>
      <c r="B68" s="375" t="s">
        <v>3339</v>
      </c>
      <c r="C68" s="380" t="s">
        <v>15</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379" t="s">
        <v>1227</v>
      </c>
      <c r="B69" s="375" t="s">
        <v>3341</v>
      </c>
      <c r="C69" s="380" t="s">
        <v>12</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379" t="s">
        <v>1227</v>
      </c>
      <c r="B70" s="375" t="s">
        <v>3346</v>
      </c>
      <c r="C70" s="380" t="s">
        <v>3090</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379" t="s">
        <v>1227</v>
      </c>
      <c r="B71" s="375" t="s">
        <v>6567</v>
      </c>
      <c r="C71" s="380" t="s">
        <v>3091</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379" t="s">
        <v>1227</v>
      </c>
      <c r="B72" s="375" t="s">
        <v>6566</v>
      </c>
      <c r="C72" s="380" t="s">
        <v>14</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377" t="s">
        <v>1236</v>
      </c>
      <c r="B73" s="375">
        <v>3</v>
      </c>
      <c r="C73" s="378" t="s">
        <v>3094</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377" t="s">
        <v>38</v>
      </c>
      <c r="B74" s="510" t="s">
        <v>6748</v>
      </c>
      <c r="C74" s="385" t="s">
        <v>6782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379" t="s">
        <v>1227</v>
      </c>
      <c r="B75" s="375" t="s">
        <v>3357</v>
      </c>
      <c r="C75" s="380" t="s">
        <v>2260</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379" t="s">
        <v>1227</v>
      </c>
      <c r="B76" s="375" t="s">
        <v>3360</v>
      </c>
      <c r="C76" s="380" t="s">
        <v>3095</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379" t="s">
        <v>1227</v>
      </c>
      <c r="B77" s="375" t="s">
        <v>3363</v>
      </c>
      <c r="C77" s="380" t="s">
        <v>1250</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379" t="s">
        <v>1227</v>
      </c>
      <c r="B78" s="375" t="s">
        <v>3365</v>
      </c>
      <c r="C78" s="380" t="s">
        <v>1312</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379" t="s">
        <v>1227</v>
      </c>
      <c r="B79" s="375" t="s">
        <v>6565</v>
      </c>
      <c r="C79" s="380" t="s">
        <v>14</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377" t="s">
        <v>38</v>
      </c>
      <c r="B80" s="510" t="s">
        <v>6750</v>
      </c>
      <c r="C80" s="385" t="s">
        <v>3096</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379" t="s">
        <v>1227</v>
      </c>
      <c r="B81" s="375" t="s">
        <v>3367</v>
      </c>
      <c r="C81" s="380" t="s">
        <v>2260</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379" t="s">
        <v>1227</v>
      </c>
      <c r="B82" s="375" t="s">
        <v>3369</v>
      </c>
      <c r="C82" s="380" t="s">
        <v>3095</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379" t="s">
        <v>1227</v>
      </c>
      <c r="B83" s="375" t="s">
        <v>3374</v>
      </c>
      <c r="C83" s="380" t="s">
        <v>1250</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379" t="s">
        <v>1227</v>
      </c>
      <c r="B84" s="375" t="s">
        <v>3376</v>
      </c>
      <c r="C84" s="380" t="s">
        <v>1312</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379" t="s">
        <v>1227</v>
      </c>
      <c r="B85" s="375" t="s">
        <v>6564</v>
      </c>
      <c r="C85" s="380" t="s">
        <v>14</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377" t="s">
        <v>38</v>
      </c>
      <c r="B86" s="510" t="s">
        <v>6751</v>
      </c>
      <c r="C86" s="385" t="s">
        <v>3097</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379" t="s">
        <v>1227</v>
      </c>
      <c r="B87" s="375" t="s">
        <v>3378</v>
      </c>
      <c r="C87" s="380" t="s">
        <v>2260</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379" t="s">
        <v>1227</v>
      </c>
      <c r="B88" s="375" t="s">
        <v>3380</v>
      </c>
      <c r="C88" s="380" t="s">
        <v>3095</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379" t="s">
        <v>1227</v>
      </c>
      <c r="B89" s="375" t="s">
        <v>3390</v>
      </c>
      <c r="C89" s="380" t="s">
        <v>1250</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379" t="s">
        <v>1227</v>
      </c>
      <c r="B90" s="375" t="s">
        <v>3392</v>
      </c>
      <c r="C90" s="380" t="s">
        <v>1312</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379" t="s">
        <v>1227</v>
      </c>
      <c r="B91" s="375" t="s">
        <v>6563</v>
      </c>
      <c r="C91" s="380" t="s">
        <v>14</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377" t="s">
        <v>1236</v>
      </c>
      <c r="B92" s="375">
        <v>4</v>
      </c>
      <c r="C92" s="378" t="s">
        <v>440</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377" t="s">
        <v>38</v>
      </c>
      <c r="B93" s="510" t="s">
        <v>6752</v>
      </c>
      <c r="C93" s="385" t="s">
        <v>6783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379" t="s">
        <v>1227</v>
      </c>
      <c r="B94" s="375" t="s">
        <v>3395</v>
      </c>
      <c r="C94" s="380" t="s">
        <v>24</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379" t="s">
        <v>1227</v>
      </c>
      <c r="B95" s="375" t="s">
        <v>6562</v>
      </c>
      <c r="C95" s="380" t="s">
        <v>3098</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379" t="s">
        <v>1227</v>
      </c>
      <c r="B96" s="375" t="s">
        <v>6561</v>
      </c>
      <c r="C96" s="380" t="s">
        <v>2246</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379" t="s">
        <v>1227</v>
      </c>
      <c r="B97" s="375" t="s">
        <v>6560</v>
      </c>
      <c r="C97" s="380" t="s">
        <v>3099</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379" t="s">
        <v>1227</v>
      </c>
      <c r="B98" s="375" t="s">
        <v>6559</v>
      </c>
      <c r="C98" s="380" t="s">
        <v>2317</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379" t="s">
        <v>1227</v>
      </c>
      <c r="B99" s="375" t="s">
        <v>6558</v>
      </c>
      <c r="C99" s="380" t="s">
        <v>3100</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379" t="s">
        <v>1227</v>
      </c>
      <c r="B100" s="375" t="s">
        <v>6557</v>
      </c>
      <c r="C100" s="380" t="s">
        <v>2318</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379" t="s">
        <v>1227</v>
      </c>
      <c r="B101" s="375" t="s">
        <v>6556</v>
      </c>
      <c r="C101" s="380" t="s">
        <v>2319</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379" t="s">
        <v>1227</v>
      </c>
      <c r="B102" s="375" t="s">
        <v>6555</v>
      </c>
      <c r="C102" s="380" t="s">
        <v>3101</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379" t="s">
        <v>1227</v>
      </c>
      <c r="B103" s="375" t="s">
        <v>6554</v>
      </c>
      <c r="C103" s="380" t="s">
        <v>3102</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379" t="s">
        <v>1227</v>
      </c>
      <c r="B104" s="375" t="s">
        <v>6553</v>
      </c>
      <c r="C104" s="380" t="s">
        <v>14</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377" t="s">
        <v>38</v>
      </c>
      <c r="B105" s="510" t="s">
        <v>6753</v>
      </c>
      <c r="C105" s="385" t="s">
        <v>3103</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379" t="s">
        <v>1227</v>
      </c>
      <c r="B106" s="375" t="s">
        <v>3398</v>
      </c>
      <c r="C106" s="380" t="s">
        <v>24</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379" t="s">
        <v>1227</v>
      </c>
      <c r="B107" s="375" t="s">
        <v>3401</v>
      </c>
      <c r="C107" s="380" t="s">
        <v>3098</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379" t="s">
        <v>1227</v>
      </c>
      <c r="B108" s="375" t="s">
        <v>3403</v>
      </c>
      <c r="C108" s="380" t="s">
        <v>2246</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379" t="s">
        <v>1227</v>
      </c>
      <c r="B109" s="375" t="s">
        <v>3405</v>
      </c>
      <c r="C109" s="380" t="s">
        <v>3099</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379" t="s">
        <v>1227</v>
      </c>
      <c r="B110" s="375" t="s">
        <v>3407</v>
      </c>
      <c r="C110" s="380" t="s">
        <v>2317</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379" t="s">
        <v>1227</v>
      </c>
      <c r="B111" s="375" t="s">
        <v>3409</v>
      </c>
      <c r="C111" s="380" t="s">
        <v>3100</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379" t="s">
        <v>1227</v>
      </c>
      <c r="B112" s="375" t="s">
        <v>3411</v>
      </c>
      <c r="C112" s="380" t="s">
        <v>2318</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379" t="s">
        <v>1227</v>
      </c>
      <c r="B113" s="375" t="s">
        <v>3413</v>
      </c>
      <c r="C113" s="380" t="s">
        <v>2319</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379" t="s">
        <v>1227</v>
      </c>
      <c r="B114" s="375" t="s">
        <v>3415</v>
      </c>
      <c r="C114" s="380" t="s">
        <v>3101</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379" t="s">
        <v>1227</v>
      </c>
      <c r="B115" s="375" t="s">
        <v>3417</v>
      </c>
      <c r="C115" s="380" t="s">
        <v>3102</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379" t="s">
        <v>1227</v>
      </c>
      <c r="B116" s="375" t="s">
        <v>3419</v>
      </c>
      <c r="C116" s="380" t="s">
        <v>14</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377" t="s">
        <v>38</v>
      </c>
      <c r="B117" s="510" t="s">
        <v>6754</v>
      </c>
      <c r="C117" s="385" t="s">
        <v>3104</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379" t="s">
        <v>1227</v>
      </c>
      <c r="B118" s="375" t="s">
        <v>3437</v>
      </c>
      <c r="C118" s="380" t="s">
        <v>24</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379" t="s">
        <v>1227</v>
      </c>
      <c r="B119" s="375" t="s">
        <v>3445</v>
      </c>
      <c r="C119" s="380" t="s">
        <v>3098</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379" t="s">
        <v>1227</v>
      </c>
      <c r="B120" s="375" t="s">
        <v>3455</v>
      </c>
      <c r="C120" s="380" t="s">
        <v>2246</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379" t="s">
        <v>1227</v>
      </c>
      <c r="B121" s="375" t="s">
        <v>3465</v>
      </c>
      <c r="C121" s="380" t="s">
        <v>3099</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379" t="s">
        <v>1227</v>
      </c>
      <c r="B122" s="375" t="s">
        <v>3474</v>
      </c>
      <c r="C122" s="380" t="s">
        <v>2317</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379" t="s">
        <v>1227</v>
      </c>
      <c r="B123" s="375" t="s">
        <v>3483</v>
      </c>
      <c r="C123" s="380" t="s">
        <v>3100</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379" t="s">
        <v>1227</v>
      </c>
      <c r="B124" s="375" t="s">
        <v>3492</v>
      </c>
      <c r="C124" s="380" t="s">
        <v>2318</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379" t="s">
        <v>1227</v>
      </c>
      <c r="B125" s="375" t="s">
        <v>3501</v>
      </c>
      <c r="C125" s="380" t="s">
        <v>2319</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379" t="s">
        <v>1227</v>
      </c>
      <c r="B126" s="375" t="s">
        <v>3510</v>
      </c>
      <c r="C126" s="380" t="s">
        <v>3101</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379" t="s">
        <v>1227</v>
      </c>
      <c r="B127" s="375" t="s">
        <v>3519</v>
      </c>
      <c r="C127" s="380" t="s">
        <v>3102</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379" t="s">
        <v>1227</v>
      </c>
      <c r="B128" s="375" t="s">
        <v>3528</v>
      </c>
      <c r="C128" s="380" t="s">
        <v>14</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377" t="s">
        <v>1236</v>
      </c>
      <c r="B129" s="375">
        <v>5</v>
      </c>
      <c r="C129" s="378" t="s">
        <v>17</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377" t="s">
        <v>38</v>
      </c>
      <c r="B130" s="510" t="s">
        <v>6755</v>
      </c>
      <c r="C130" s="385" t="s">
        <v>6784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379" t="s">
        <v>1227</v>
      </c>
      <c r="B131" s="375" t="s">
        <v>3678</v>
      </c>
      <c r="C131" s="380" t="s">
        <v>2239</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379" t="s">
        <v>1227</v>
      </c>
      <c r="B132" s="375" t="s">
        <v>3682</v>
      </c>
      <c r="C132" s="380" t="s">
        <v>3105</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379" t="s">
        <v>1227</v>
      </c>
      <c r="B133" s="375" t="s">
        <v>3684</v>
      </c>
      <c r="C133" s="380" t="s">
        <v>2328</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379" t="s">
        <v>1227</v>
      </c>
      <c r="B134" s="375" t="s">
        <v>3688</v>
      </c>
      <c r="C134" s="380" t="s">
        <v>3106</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379" t="s">
        <v>1227</v>
      </c>
      <c r="B135" s="375" t="s">
        <v>3692</v>
      </c>
      <c r="C135" s="380" t="s">
        <v>2329</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379" t="s">
        <v>1227</v>
      </c>
      <c r="B136" s="375" t="s">
        <v>6552</v>
      </c>
      <c r="C136" s="380" t="s">
        <v>3107</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379" t="s">
        <v>1227</v>
      </c>
      <c r="B137" s="375" t="s">
        <v>6551</v>
      </c>
      <c r="C137" s="380" t="s">
        <v>2240</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379" t="s">
        <v>1227</v>
      </c>
      <c r="B138" s="375" t="s">
        <v>6550</v>
      </c>
      <c r="C138" s="380" t="s">
        <v>14</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377" t="s">
        <v>38</v>
      </c>
      <c r="B139" s="510" t="s">
        <v>6756</v>
      </c>
      <c r="C139" s="385" t="s">
        <v>3108</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379" t="s">
        <v>1227</v>
      </c>
      <c r="B140" s="375" t="s">
        <v>3697</v>
      </c>
      <c r="C140" s="380" t="s">
        <v>2239</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379" t="s">
        <v>1227</v>
      </c>
      <c r="B141" s="375" t="s">
        <v>3699</v>
      </c>
      <c r="C141" s="380" t="s">
        <v>3105</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379" t="s">
        <v>1227</v>
      </c>
      <c r="B142" s="375" t="s">
        <v>3701</v>
      </c>
      <c r="C142" s="380" t="s">
        <v>2328</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379" t="s">
        <v>1227</v>
      </c>
      <c r="B143" s="375" t="s">
        <v>3705</v>
      </c>
      <c r="C143" s="380" t="s">
        <v>3106</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379" t="s">
        <v>1227</v>
      </c>
      <c r="B144" s="375" t="s">
        <v>3709</v>
      </c>
      <c r="C144" s="380" t="s">
        <v>2329</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379" t="s">
        <v>1227</v>
      </c>
      <c r="B145" s="375" t="s">
        <v>6549</v>
      </c>
      <c r="C145" s="380" t="s">
        <v>3107</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379" t="s">
        <v>1227</v>
      </c>
      <c r="B146" s="375" t="s">
        <v>6548</v>
      </c>
      <c r="C146" s="380" t="s">
        <v>2240</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379" t="s">
        <v>1227</v>
      </c>
      <c r="B147" s="375" t="s">
        <v>6547</v>
      </c>
      <c r="C147" s="380" t="s">
        <v>14</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377" t="s">
        <v>38</v>
      </c>
      <c r="B148" s="510" t="s">
        <v>6757</v>
      </c>
      <c r="C148" s="385" t="s">
        <v>3109</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379" t="s">
        <v>1227</v>
      </c>
      <c r="B149" s="375" t="s">
        <v>3714</v>
      </c>
      <c r="C149" s="380" t="s">
        <v>2239</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379" t="s">
        <v>1227</v>
      </c>
      <c r="B150" s="375" t="s">
        <v>3716</v>
      </c>
      <c r="C150" s="380" t="s">
        <v>3105</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379" t="s">
        <v>1227</v>
      </c>
      <c r="B151" s="375" t="s">
        <v>3718</v>
      </c>
      <c r="C151" s="380" t="s">
        <v>2328</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379" t="s">
        <v>1227</v>
      </c>
      <c r="B152" s="375" t="s">
        <v>3722</v>
      </c>
      <c r="C152" s="380" t="s">
        <v>3106</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379" t="s">
        <v>1227</v>
      </c>
      <c r="B153" s="375" t="s">
        <v>3725</v>
      </c>
      <c r="C153" s="380" t="s">
        <v>2329</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379" t="s">
        <v>1227</v>
      </c>
      <c r="B154" s="375" t="s">
        <v>6546</v>
      </c>
      <c r="C154" s="380" t="s">
        <v>3107</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379" t="s">
        <v>1227</v>
      </c>
      <c r="B155" s="375" t="s">
        <v>6545</v>
      </c>
      <c r="C155" s="380" t="s">
        <v>2240</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379" t="s">
        <v>1227</v>
      </c>
      <c r="B156" s="375" t="s">
        <v>6544</v>
      </c>
      <c r="C156" s="380" t="s">
        <v>14</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377" t="s">
        <v>1236</v>
      </c>
      <c r="B157" s="375">
        <v>6</v>
      </c>
      <c r="C157" s="378" t="s">
        <v>16</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377" t="s">
        <v>38</v>
      </c>
      <c r="B158" s="510" t="s">
        <v>6758</v>
      </c>
      <c r="C158" s="385" t="s">
        <v>6785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379" t="s">
        <v>1227</v>
      </c>
      <c r="B159" s="375" t="s">
        <v>3918</v>
      </c>
      <c r="C159" s="380" t="s">
        <v>3110</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379" t="s">
        <v>1227</v>
      </c>
      <c r="B160" s="375" t="s">
        <v>3920</v>
      </c>
      <c r="C160" s="380" t="s">
        <v>3111</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379" t="s">
        <v>1227</v>
      </c>
      <c r="B161" s="375" t="s">
        <v>3922</v>
      </c>
      <c r="C161" s="380" t="s">
        <v>2238</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379" t="s">
        <v>1227</v>
      </c>
      <c r="B162" s="375" t="s">
        <v>3924</v>
      </c>
      <c r="C162" s="380" t="s">
        <v>2322</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379" t="s">
        <v>1227</v>
      </c>
      <c r="B163" s="375" t="s">
        <v>3926</v>
      </c>
      <c r="C163" s="380" t="s">
        <v>2324</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379" t="s">
        <v>1227</v>
      </c>
      <c r="B164" s="375" t="s">
        <v>3928</v>
      </c>
      <c r="C164" s="380" t="s">
        <v>2325</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379" t="s">
        <v>1227</v>
      </c>
      <c r="B165" s="375" t="s">
        <v>3930</v>
      </c>
      <c r="C165" s="380" t="s">
        <v>2326</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379" t="s">
        <v>1227</v>
      </c>
      <c r="B166" s="375" t="s">
        <v>3932</v>
      </c>
      <c r="C166" s="380" t="s">
        <v>2327</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379" t="s">
        <v>1227</v>
      </c>
      <c r="B167" s="375" t="s">
        <v>3934</v>
      </c>
      <c r="C167" s="380" t="s">
        <v>14</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377" t="s">
        <v>38</v>
      </c>
      <c r="B168" s="510" t="s">
        <v>6759</v>
      </c>
      <c r="C168" s="385" t="s">
        <v>3112</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379" t="s">
        <v>1227</v>
      </c>
      <c r="B169" s="375" t="s">
        <v>3937</v>
      </c>
      <c r="C169" s="380" t="s">
        <v>3110</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379" t="s">
        <v>1227</v>
      </c>
      <c r="B170" s="375" t="s">
        <v>3939</v>
      </c>
      <c r="C170" s="380" t="s">
        <v>3111</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379" t="s">
        <v>1227</v>
      </c>
      <c r="B171" s="375" t="s">
        <v>3941</v>
      </c>
      <c r="C171" s="380" t="s">
        <v>2238</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379" t="s">
        <v>1227</v>
      </c>
      <c r="B172" s="375" t="s">
        <v>3943</v>
      </c>
      <c r="C172" s="380" t="s">
        <v>2322</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379" t="s">
        <v>1227</v>
      </c>
      <c r="B173" s="375" t="s">
        <v>3945</v>
      </c>
      <c r="C173" s="380" t="s">
        <v>2324</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379" t="s">
        <v>1227</v>
      </c>
      <c r="B174" s="375" t="s">
        <v>3947</v>
      </c>
      <c r="C174" s="380" t="s">
        <v>2325</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379" t="s">
        <v>1227</v>
      </c>
      <c r="B175" s="375" t="s">
        <v>6543</v>
      </c>
      <c r="C175" s="380" t="s">
        <v>2326</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379" t="s">
        <v>1227</v>
      </c>
      <c r="B176" s="375" t="s">
        <v>6542</v>
      </c>
      <c r="C176" s="380" t="s">
        <v>2327</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379" t="s">
        <v>1227</v>
      </c>
      <c r="B177" s="375" t="s">
        <v>6541</v>
      </c>
      <c r="C177" s="380" t="s">
        <v>14</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377" t="s">
        <v>38</v>
      </c>
      <c r="B178" s="510" t="s">
        <v>6760</v>
      </c>
      <c r="C178" s="385" t="s">
        <v>3113</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379" t="s">
        <v>1227</v>
      </c>
      <c r="B179" s="375" t="s">
        <v>3950</v>
      </c>
      <c r="C179" s="380" t="s">
        <v>3110</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379" t="s">
        <v>1227</v>
      </c>
      <c r="B180" s="375" t="s">
        <v>3952</v>
      </c>
      <c r="C180" s="380" t="s">
        <v>3111</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379" t="s">
        <v>1227</v>
      </c>
      <c r="B181" s="375" t="s">
        <v>3954</v>
      </c>
      <c r="C181" s="380" t="s">
        <v>2238</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379" t="s">
        <v>1227</v>
      </c>
      <c r="B182" s="375" t="s">
        <v>3956</v>
      </c>
      <c r="C182" s="380" t="s">
        <v>2322</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379" t="s">
        <v>1227</v>
      </c>
      <c r="B183" s="375" t="s">
        <v>3958</v>
      </c>
      <c r="C183" s="380" t="s">
        <v>2324</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379" t="s">
        <v>1227</v>
      </c>
      <c r="B184" s="375" t="s">
        <v>3960</v>
      </c>
      <c r="C184" s="380" t="s">
        <v>2325</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379" t="s">
        <v>1227</v>
      </c>
      <c r="B185" s="375" t="s">
        <v>6540</v>
      </c>
      <c r="C185" s="380" t="s">
        <v>2326</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379" t="s">
        <v>1227</v>
      </c>
      <c r="B186" s="375" t="s">
        <v>6539</v>
      </c>
      <c r="C186" s="380" t="s">
        <v>2327</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379" t="s">
        <v>1227</v>
      </c>
      <c r="B187" s="375" t="s">
        <v>6538</v>
      </c>
      <c r="C187" s="380" t="s">
        <v>14</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377" t="s">
        <v>1236</v>
      </c>
      <c r="B188" s="375">
        <v>7</v>
      </c>
      <c r="C188" s="378" t="s">
        <v>1256</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377" t="s">
        <v>38</v>
      </c>
      <c r="B189" s="510" t="s">
        <v>6761</v>
      </c>
      <c r="C189" s="385" t="s">
        <v>6786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379" t="s">
        <v>1227</v>
      </c>
      <c r="B190" s="375" t="s">
        <v>4107</v>
      </c>
      <c r="C190" s="380" t="s">
        <v>2330</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379" t="s">
        <v>1227</v>
      </c>
      <c r="B191" s="375" t="s">
        <v>4109</v>
      </c>
      <c r="C191" s="380" t="s">
        <v>2331</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379" t="s">
        <v>1227</v>
      </c>
      <c r="B192" s="375" t="s">
        <v>4111</v>
      </c>
      <c r="C192" s="380" t="s">
        <v>2332</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379" t="s">
        <v>1227</v>
      </c>
      <c r="B193" s="375" t="s">
        <v>4113</v>
      </c>
      <c r="C193" s="380" t="s">
        <v>2241</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379" t="s">
        <v>1227</v>
      </c>
      <c r="B194" s="375" t="s">
        <v>4115</v>
      </c>
      <c r="C194" s="380" t="s">
        <v>2240</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379" t="s">
        <v>1227</v>
      </c>
      <c r="B195" s="375" t="s">
        <v>6537</v>
      </c>
      <c r="C195" s="380" t="s">
        <v>14</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377" t="s">
        <v>38</v>
      </c>
      <c r="B196" s="510" t="s">
        <v>6762</v>
      </c>
      <c r="C196" s="385" t="s">
        <v>3114</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379" t="s">
        <v>1227</v>
      </c>
      <c r="B197" s="375" t="s">
        <v>4118</v>
      </c>
      <c r="C197" s="380" t="s">
        <v>2330</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379" t="s">
        <v>1227</v>
      </c>
      <c r="B198" s="375" t="s">
        <v>4120</v>
      </c>
      <c r="C198" s="380" t="s">
        <v>2331</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379" t="s">
        <v>1227</v>
      </c>
      <c r="B199" s="375" t="s">
        <v>4122</v>
      </c>
      <c r="C199" s="380" t="s">
        <v>2332</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379" t="s">
        <v>1227</v>
      </c>
      <c r="B200" s="375" t="s">
        <v>4124</v>
      </c>
      <c r="C200" s="380" t="s">
        <v>2241</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379" t="s">
        <v>1227</v>
      </c>
      <c r="B201" s="375" t="s">
        <v>6536</v>
      </c>
      <c r="C201" s="380" t="s">
        <v>2240</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379" t="s">
        <v>1227</v>
      </c>
      <c r="B202" s="375" t="s">
        <v>6535</v>
      </c>
      <c r="C202" s="380" t="s">
        <v>14</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377" t="s">
        <v>38</v>
      </c>
      <c r="B203" s="510" t="s">
        <v>6763</v>
      </c>
      <c r="C203" s="385" t="s">
        <v>3115</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379" t="s">
        <v>1227</v>
      </c>
      <c r="B204" s="375" t="s">
        <v>4127</v>
      </c>
      <c r="C204" s="380" t="s">
        <v>2330</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379" t="s">
        <v>1227</v>
      </c>
      <c r="B205" s="375" t="s">
        <v>4129</v>
      </c>
      <c r="C205" s="380" t="s">
        <v>2331</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379" t="s">
        <v>1227</v>
      </c>
      <c r="B206" s="375" t="s">
        <v>4131</v>
      </c>
      <c r="C206" s="380" t="s">
        <v>2332</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379" t="s">
        <v>1227</v>
      </c>
      <c r="B207" s="375" t="s">
        <v>4133</v>
      </c>
      <c r="C207" s="380" t="s">
        <v>2241</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379" t="s">
        <v>1227</v>
      </c>
      <c r="B208" s="375" t="s">
        <v>6534</v>
      </c>
      <c r="C208" s="380" t="s">
        <v>2240</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379" t="s">
        <v>1227</v>
      </c>
      <c r="B209" s="375" t="s">
        <v>6533</v>
      </c>
      <c r="C209" s="380" t="s">
        <v>14</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377" t="s">
        <v>1236</v>
      </c>
      <c r="B210" s="375">
        <v>8</v>
      </c>
      <c r="C210" s="378" t="s">
        <v>18</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377" t="s">
        <v>38</v>
      </c>
      <c r="B211" s="510" t="s">
        <v>6764</v>
      </c>
      <c r="C211" s="385" t="s">
        <v>6787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379" t="s">
        <v>1227</v>
      </c>
      <c r="B212" s="375" t="s">
        <v>4242</v>
      </c>
      <c r="C212" s="380" t="s">
        <v>2334</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379" t="s">
        <v>1227</v>
      </c>
      <c r="B213" s="375" t="s">
        <v>4244</v>
      </c>
      <c r="C213" s="380" t="s">
        <v>3116</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379" t="s">
        <v>1227</v>
      </c>
      <c r="B214" s="375" t="s">
        <v>4246</v>
      </c>
      <c r="C214" s="380" t="s">
        <v>3117</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379" t="s">
        <v>1227</v>
      </c>
      <c r="B215" s="375" t="s">
        <v>4248</v>
      </c>
      <c r="C215" s="380" t="s">
        <v>3118</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379" t="s">
        <v>1227</v>
      </c>
      <c r="B216" s="375" t="s">
        <v>4250</v>
      </c>
      <c r="C216" s="380" t="s">
        <v>14</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377" t="s">
        <v>38</v>
      </c>
      <c r="B217" s="510" t="s">
        <v>6765</v>
      </c>
      <c r="C217" s="385" t="s">
        <v>3119</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379" t="s">
        <v>1227</v>
      </c>
      <c r="B218" s="375" t="s">
        <v>4257</v>
      </c>
      <c r="C218" s="380" t="s">
        <v>2334</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379" t="s">
        <v>1227</v>
      </c>
      <c r="B219" s="375" t="s">
        <v>4259</v>
      </c>
      <c r="C219" s="380" t="s">
        <v>3116</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379" t="s">
        <v>1227</v>
      </c>
      <c r="B220" s="375" t="s">
        <v>4261</v>
      </c>
      <c r="C220" s="380" t="s">
        <v>3117</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379" t="s">
        <v>1227</v>
      </c>
      <c r="B221" s="375" t="s">
        <v>4263</v>
      </c>
      <c r="C221" s="380" t="s">
        <v>3118</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379" t="s">
        <v>1227</v>
      </c>
      <c r="B222" s="375" t="s">
        <v>4265</v>
      </c>
      <c r="C222" s="380" t="s">
        <v>14</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377" t="s">
        <v>38</v>
      </c>
      <c r="B223" s="510" t="s">
        <v>6766</v>
      </c>
      <c r="C223" s="385" t="s">
        <v>3120</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379" t="s">
        <v>1227</v>
      </c>
      <c r="B224" s="375" t="s">
        <v>4272</v>
      </c>
      <c r="C224" s="380" t="s">
        <v>2334</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379" t="s">
        <v>1227</v>
      </c>
      <c r="B225" s="375" t="s">
        <v>4274</v>
      </c>
      <c r="C225" s="380" t="s">
        <v>3116</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379" t="s">
        <v>1227</v>
      </c>
      <c r="B226" s="375" t="s">
        <v>4276</v>
      </c>
      <c r="C226" s="380" t="s">
        <v>3117</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379" t="s">
        <v>1227</v>
      </c>
      <c r="B227" s="375" t="s">
        <v>4278</v>
      </c>
      <c r="C227" s="380" t="s">
        <v>3118</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379" t="s">
        <v>1227</v>
      </c>
      <c r="B228" s="375" t="s">
        <v>4280</v>
      </c>
      <c r="C228" s="380" t="s">
        <v>14</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377" t="s">
        <v>1236</v>
      </c>
      <c r="B229" s="375">
        <v>9</v>
      </c>
      <c r="C229" s="378" t="s">
        <v>3121</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377" t="s">
        <v>38</v>
      </c>
      <c r="B230" s="510" t="s">
        <v>6767</v>
      </c>
      <c r="C230" s="378" t="s">
        <v>6788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379" t="s">
        <v>1227</v>
      </c>
      <c r="B231" s="375" t="s">
        <v>4453</v>
      </c>
      <c r="C231" s="380" t="s">
        <v>2341</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379" t="s">
        <v>1227</v>
      </c>
      <c r="B232" s="375" t="s">
        <v>4455</v>
      </c>
      <c r="C232" s="380" t="s">
        <v>3122</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379" t="s">
        <v>1227</v>
      </c>
      <c r="B233" s="375" t="s">
        <v>4457</v>
      </c>
      <c r="C233" s="380" t="s">
        <v>3123</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379" t="s">
        <v>1227</v>
      </c>
      <c r="B234" s="375" t="s">
        <v>6532</v>
      </c>
      <c r="C234" s="380" t="s">
        <v>2342</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377" t="s">
        <v>38</v>
      </c>
      <c r="B235" s="510" t="s">
        <v>6768</v>
      </c>
      <c r="C235" s="378" t="s">
        <v>3124</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379" t="s">
        <v>1227</v>
      </c>
      <c r="B236" s="375" t="s">
        <v>4460</v>
      </c>
      <c r="C236" s="380" t="s">
        <v>2341</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379" t="s">
        <v>1227</v>
      </c>
      <c r="B237" s="375" t="s">
        <v>4462</v>
      </c>
      <c r="C237" s="380" t="s">
        <v>3122</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379" t="s">
        <v>1227</v>
      </c>
      <c r="B238" s="375" t="s">
        <v>6531</v>
      </c>
      <c r="C238" s="380" t="s">
        <v>3123</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379" t="s">
        <v>1227</v>
      </c>
      <c r="B239" s="375" t="s">
        <v>6530</v>
      </c>
      <c r="C239" s="380" t="s">
        <v>2342</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377" t="s">
        <v>38</v>
      </c>
      <c r="B240" s="510" t="s">
        <v>6769</v>
      </c>
      <c r="C240" s="378" t="s">
        <v>3125</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379" t="s">
        <v>1227</v>
      </c>
      <c r="B241" s="375" t="s">
        <v>4465</v>
      </c>
      <c r="C241" s="380" t="s">
        <v>2341</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379" t="s">
        <v>1227</v>
      </c>
      <c r="B242" s="375" t="s">
        <v>4467</v>
      </c>
      <c r="C242" s="380" t="s">
        <v>3122</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379" t="s">
        <v>1227</v>
      </c>
      <c r="B243" s="375" t="s">
        <v>6529</v>
      </c>
      <c r="C243" s="380" t="s">
        <v>3123</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379" t="s">
        <v>1227</v>
      </c>
      <c r="B244" s="375" t="s">
        <v>6528</v>
      </c>
      <c r="C244" s="380" t="s">
        <v>2342</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377" t="s">
        <v>38</v>
      </c>
      <c r="B245" s="510" t="s">
        <v>6770</v>
      </c>
      <c r="C245" s="378" t="s">
        <v>2242</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379" t="s">
        <v>1227</v>
      </c>
      <c r="B246" s="375" t="s">
        <v>4470</v>
      </c>
      <c r="C246" s="380" t="s">
        <v>2343</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377" t="s">
        <v>1236</v>
      </c>
      <c r="B247" s="375">
        <v>10</v>
      </c>
      <c r="C247" s="378" t="s">
        <v>19</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377" t="s">
        <v>38</v>
      </c>
      <c r="B248" s="510" t="s">
        <v>4537</v>
      </c>
      <c r="C248" s="378" t="s">
        <v>2243</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379" t="s">
        <v>1227</v>
      </c>
      <c r="B249" s="375" t="s">
        <v>4538</v>
      </c>
      <c r="C249" s="380" t="s">
        <v>2244</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377" t="s">
        <v>38</v>
      </c>
      <c r="B250" s="510" t="s">
        <v>6771</v>
      </c>
      <c r="C250" s="378" t="s">
        <v>2899</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379" t="s">
        <v>1227</v>
      </c>
      <c r="B251" s="375" t="s">
        <v>6527</v>
      </c>
      <c r="C251" s="380" t="s">
        <v>20</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377" t="s">
        <v>1236</v>
      </c>
      <c r="B252" s="375">
        <v>11</v>
      </c>
      <c r="C252" s="378" t="s">
        <v>43</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377" t="s">
        <v>38</v>
      </c>
      <c r="B253" s="510" t="s">
        <v>4550</v>
      </c>
      <c r="C253" s="378" t="s">
        <v>6789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379" t="s">
        <v>1227</v>
      </c>
      <c r="B254" s="375" t="s">
        <v>4551</v>
      </c>
      <c r="C254" s="380" t="s">
        <v>1285</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379" t="s">
        <v>1227</v>
      </c>
      <c r="B255" s="375" t="s">
        <v>4554</v>
      </c>
      <c r="C255" s="380" t="s">
        <v>3126</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379" t="s">
        <v>1227</v>
      </c>
      <c r="B256" s="375" t="s">
        <v>4556</v>
      </c>
      <c r="C256" s="380" t="s">
        <v>2338</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379" t="s">
        <v>1227</v>
      </c>
      <c r="B257" s="375" t="s">
        <v>4559</v>
      </c>
      <c r="C257" s="380" t="s">
        <v>3127</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377" t="s">
        <v>38</v>
      </c>
      <c r="B258" s="510" t="s">
        <v>4564</v>
      </c>
      <c r="C258" s="378" t="s">
        <v>3128</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379" t="s">
        <v>1227</v>
      </c>
      <c r="B259" s="375" t="s">
        <v>4565</v>
      </c>
      <c r="C259" s="380" t="s">
        <v>1285</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379" t="s">
        <v>1227</v>
      </c>
      <c r="B260" s="375" t="s">
        <v>4568</v>
      </c>
      <c r="C260" s="380" t="s">
        <v>3126</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379" t="s">
        <v>1227</v>
      </c>
      <c r="B261" s="375" t="s">
        <v>4570</v>
      </c>
      <c r="C261" s="380" t="s">
        <v>2338</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379" t="s">
        <v>1227</v>
      </c>
      <c r="B262" s="375" t="s">
        <v>4573</v>
      </c>
      <c r="C262" s="380" t="s">
        <v>3127</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377" t="s">
        <v>38</v>
      </c>
      <c r="B263" s="510" t="s">
        <v>4578</v>
      </c>
      <c r="C263" s="378" t="s">
        <v>3129</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379" t="s">
        <v>1227</v>
      </c>
      <c r="B264" s="375" t="s">
        <v>4579</v>
      </c>
      <c r="C264" s="380" t="s">
        <v>1285</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379" t="s">
        <v>1227</v>
      </c>
      <c r="B265" s="375" t="s">
        <v>4582</v>
      </c>
      <c r="C265" s="380" t="s">
        <v>3126</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379" t="s">
        <v>1227</v>
      </c>
      <c r="B266" s="375" t="s">
        <v>4584</v>
      </c>
      <c r="C266" s="380" t="s">
        <v>2338</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379" t="s">
        <v>1227</v>
      </c>
      <c r="B267" s="375" t="s">
        <v>4587</v>
      </c>
      <c r="C267" s="380" t="s">
        <v>3127</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377" t="s">
        <v>1236</v>
      </c>
      <c r="B268" s="375">
        <v>12</v>
      </c>
      <c r="C268" s="378" t="s">
        <v>3130</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377" t="s">
        <v>38</v>
      </c>
      <c r="B269" s="510" t="s">
        <v>4663</v>
      </c>
      <c r="C269" s="378" t="s">
        <v>6790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379" t="s">
        <v>1227</v>
      </c>
      <c r="B270" s="375" t="s">
        <v>4664</v>
      </c>
      <c r="C270" s="380" t="s">
        <v>3131</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379" t="s">
        <v>1227</v>
      </c>
      <c r="B271" s="375" t="s">
        <v>4666</v>
      </c>
      <c r="C271" s="380" t="s">
        <v>2347</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379" t="s">
        <v>1227</v>
      </c>
      <c r="B272" s="375" t="s">
        <v>6526</v>
      </c>
      <c r="C272" s="380" t="s">
        <v>3132</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379" t="s">
        <v>1227</v>
      </c>
      <c r="B273" s="375" t="s">
        <v>6525</v>
      </c>
      <c r="C273" s="380" t="s">
        <v>14</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377" t="s">
        <v>38</v>
      </c>
      <c r="B274" s="510" t="s">
        <v>4668</v>
      </c>
      <c r="C274" s="378" t="s">
        <v>3133</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379" t="s">
        <v>1227</v>
      </c>
      <c r="B275" s="375" t="s">
        <v>4669</v>
      </c>
      <c r="C275" s="380" t="s">
        <v>3131</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379" t="s">
        <v>1227</v>
      </c>
      <c r="B276" s="375" t="s">
        <v>6524</v>
      </c>
      <c r="C276" s="380" t="s">
        <v>2347</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379" t="s">
        <v>1227</v>
      </c>
      <c r="B277" s="375" t="s">
        <v>6523</v>
      </c>
      <c r="C277" s="380" t="s">
        <v>3132</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379" t="s">
        <v>1227</v>
      </c>
      <c r="B278" s="375" t="s">
        <v>6522</v>
      </c>
      <c r="C278" s="380" t="s">
        <v>14</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377" t="s">
        <v>38</v>
      </c>
      <c r="B279" s="510" t="s">
        <v>4671</v>
      </c>
      <c r="C279" s="378" t="s">
        <v>3134</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379" t="s">
        <v>1227</v>
      </c>
      <c r="B280" s="375" t="s">
        <v>4672</v>
      </c>
      <c r="C280" s="380" t="s">
        <v>3131</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379" t="s">
        <v>1227</v>
      </c>
      <c r="B281" s="375" t="s">
        <v>6521</v>
      </c>
      <c r="C281" s="380" t="s">
        <v>2347</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379" t="s">
        <v>1227</v>
      </c>
      <c r="B282" s="375" t="s">
        <v>6520</v>
      </c>
      <c r="C282" s="380" t="s">
        <v>3132</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379" t="s">
        <v>1227</v>
      </c>
      <c r="B283" s="375" t="s">
        <v>6519</v>
      </c>
      <c r="C283" s="380" t="s">
        <v>14</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377" t="s">
        <v>1236</v>
      </c>
      <c r="B284" s="375">
        <v>13</v>
      </c>
      <c r="C284" s="378" t="s">
        <v>3135</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377" t="s">
        <v>38</v>
      </c>
      <c r="B285" s="510" t="s">
        <v>4721</v>
      </c>
      <c r="C285" s="378" t="s">
        <v>6791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379" t="s">
        <v>1227</v>
      </c>
      <c r="B286" s="375" t="s">
        <v>4722</v>
      </c>
      <c r="C286" s="380" t="s">
        <v>2345</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379" t="s">
        <v>1227</v>
      </c>
      <c r="B287" s="375" t="s">
        <v>4725</v>
      </c>
      <c r="C287" s="380" t="s">
        <v>2346</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379" t="s">
        <v>1227</v>
      </c>
      <c r="B288" s="375" t="s">
        <v>4726</v>
      </c>
      <c r="C288" s="380" t="s">
        <v>2273</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379" t="s">
        <v>1227</v>
      </c>
      <c r="B289" s="375" t="s">
        <v>4729</v>
      </c>
      <c r="C289" s="380" t="s">
        <v>14</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377" t="s">
        <v>38</v>
      </c>
      <c r="B290" s="510" t="s">
        <v>4743</v>
      </c>
      <c r="C290" s="378" t="s">
        <v>3136</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379" t="s">
        <v>1227</v>
      </c>
      <c r="B291" s="375" t="s">
        <v>4744</v>
      </c>
      <c r="C291" s="380" t="s">
        <v>2345</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379" t="s">
        <v>1227</v>
      </c>
      <c r="B292" s="375" t="s">
        <v>4746</v>
      </c>
      <c r="C292" s="380" t="s">
        <v>2346</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379" t="s">
        <v>1227</v>
      </c>
      <c r="B293" s="375" t="s">
        <v>4748</v>
      </c>
      <c r="C293" s="380" t="s">
        <v>2273</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379" t="s">
        <v>1227</v>
      </c>
      <c r="B294" s="375" t="s">
        <v>6518</v>
      </c>
      <c r="C294" s="380" t="s">
        <v>14</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377" t="s">
        <v>38</v>
      </c>
      <c r="B295" s="510" t="s">
        <v>4750</v>
      </c>
      <c r="C295" s="378" t="s">
        <v>3137</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379" t="s">
        <v>1227</v>
      </c>
      <c r="B296" s="375" t="s">
        <v>4751</v>
      </c>
      <c r="C296" s="380" t="s">
        <v>2345</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379" t="s">
        <v>1227</v>
      </c>
      <c r="B297" s="375" t="s">
        <v>4753</v>
      </c>
      <c r="C297" s="380" t="s">
        <v>2346</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379" t="s">
        <v>1227</v>
      </c>
      <c r="B298" s="375" t="s">
        <v>4755</v>
      </c>
      <c r="C298" s="380" t="s">
        <v>2273</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379" t="s">
        <v>1227</v>
      </c>
      <c r="B299" s="375" t="s">
        <v>6517</v>
      </c>
      <c r="C299" s="380" t="s">
        <v>14</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377" t="s">
        <v>1236</v>
      </c>
      <c r="B300" s="375">
        <v>14</v>
      </c>
      <c r="C300" s="378" t="s">
        <v>3138</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377" t="s">
        <v>38</v>
      </c>
      <c r="B301" s="510" t="s">
        <v>4970</v>
      </c>
      <c r="C301" s="385" t="s">
        <v>6712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379" t="s">
        <v>1227</v>
      </c>
      <c r="B302" s="375" t="s">
        <v>4971</v>
      </c>
      <c r="C302" s="380" t="s">
        <v>2276</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379" t="s">
        <v>1227</v>
      </c>
      <c r="B303" s="375" t="s">
        <v>4976</v>
      </c>
      <c r="C303" s="380" t="s">
        <v>14</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377" t="s">
        <v>38</v>
      </c>
      <c r="B304" s="510" t="s">
        <v>4990</v>
      </c>
      <c r="C304" s="385" t="s">
        <v>6713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379" t="s">
        <v>1227</v>
      </c>
      <c r="B305" s="375" t="s">
        <v>4991</v>
      </c>
      <c r="C305" s="380" t="s">
        <v>2276</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379" t="s">
        <v>1227</v>
      </c>
      <c r="B306" s="509" t="s">
        <v>4996</v>
      </c>
      <c r="C306" s="380" t="s">
        <v>14</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377" t="s">
        <v>38</v>
      </c>
      <c r="B307" s="510" t="s">
        <v>5006</v>
      </c>
      <c r="C307" s="385" t="s">
        <v>6714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379" t="s">
        <v>1227</v>
      </c>
      <c r="B308" s="375" t="s">
        <v>5007</v>
      </c>
      <c r="C308" s="380" t="s">
        <v>2276</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379" t="s">
        <v>1227</v>
      </c>
      <c r="B309" s="375" t="s">
        <v>5012</v>
      </c>
      <c r="C309" s="380" t="s">
        <v>14</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377" t="s">
        <v>1236</v>
      </c>
      <c r="B310" s="375">
        <v>15</v>
      </c>
      <c r="C310" s="378" t="s">
        <v>49</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377" t="s">
        <v>38</v>
      </c>
      <c r="B311" s="510" t="s">
        <v>5194</v>
      </c>
      <c r="C311" s="385" t="s">
        <v>6792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379" t="s">
        <v>1227</v>
      </c>
      <c r="B312" s="375" t="s">
        <v>5195</v>
      </c>
      <c r="C312" s="380" t="s">
        <v>2275</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379" t="s">
        <v>1227</v>
      </c>
      <c r="B313" s="375" t="s">
        <v>5198</v>
      </c>
      <c r="C313" s="380" t="s">
        <v>14</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377" t="s">
        <v>38</v>
      </c>
      <c r="B314" s="510" t="s">
        <v>5208</v>
      </c>
      <c r="C314" s="385" t="s">
        <v>3139</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379" t="s">
        <v>1227</v>
      </c>
      <c r="B315" s="375" t="s">
        <v>5209</v>
      </c>
      <c r="C315" s="380" t="s">
        <v>2275</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379" t="s">
        <v>1227</v>
      </c>
      <c r="B316" s="375" t="s">
        <v>5211</v>
      </c>
      <c r="C316" s="380" t="s">
        <v>14</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377" t="s">
        <v>38</v>
      </c>
      <c r="B317" s="510" t="s">
        <v>5221</v>
      </c>
      <c r="C317" s="385" t="s">
        <v>3140</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379" t="s">
        <v>1227</v>
      </c>
      <c r="B318" s="375" t="s">
        <v>5222</v>
      </c>
      <c r="C318" s="380" t="s">
        <v>2275</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379" t="s">
        <v>1227</v>
      </c>
      <c r="B319" s="375" t="s">
        <v>5224</v>
      </c>
      <c r="C319" s="380" t="s">
        <v>14</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377" t="s">
        <v>1236</v>
      </c>
      <c r="B320" s="375">
        <v>16</v>
      </c>
      <c r="C320" s="378" t="s">
        <v>3141</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377" t="s">
        <v>38</v>
      </c>
      <c r="B321" s="510" t="s">
        <v>5328</v>
      </c>
      <c r="C321" s="378" t="s">
        <v>6793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379" t="s">
        <v>1227</v>
      </c>
      <c r="B322" s="375" t="s">
        <v>5329</v>
      </c>
      <c r="C322" s="380" t="s">
        <v>22</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379" t="s">
        <v>1227</v>
      </c>
      <c r="B323" s="375" t="s">
        <v>5331</v>
      </c>
      <c r="C323" s="380" t="s">
        <v>2347</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379" t="s">
        <v>1227</v>
      </c>
      <c r="B324" s="375" t="s">
        <v>5333</v>
      </c>
      <c r="C324" s="380" t="s">
        <v>3132</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379" t="s">
        <v>1227</v>
      </c>
      <c r="B325" s="375" t="s">
        <v>5339</v>
      </c>
      <c r="C325" s="380" t="s">
        <v>2348</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379" t="s">
        <v>1227</v>
      </c>
      <c r="B326" s="375" t="s">
        <v>5343</v>
      </c>
      <c r="C326" s="380" t="s">
        <v>14</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377" t="s">
        <v>38</v>
      </c>
      <c r="B327" s="510" t="s">
        <v>5359</v>
      </c>
      <c r="C327" s="378" t="s">
        <v>3142</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379" t="s">
        <v>1227</v>
      </c>
      <c r="B328" s="375" t="s">
        <v>5360</v>
      </c>
      <c r="C328" s="380" t="s">
        <v>22</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379" t="s">
        <v>1227</v>
      </c>
      <c r="B329" s="375" t="s">
        <v>5362</v>
      </c>
      <c r="C329" s="380" t="s">
        <v>2347</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379" t="s">
        <v>1227</v>
      </c>
      <c r="B330" s="375" t="s">
        <v>5365</v>
      </c>
      <c r="C330" s="380" t="s">
        <v>3132</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379" t="s">
        <v>1227</v>
      </c>
      <c r="B331" s="375" t="s">
        <v>5369</v>
      </c>
      <c r="C331" s="380" t="s">
        <v>2348</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379" t="s">
        <v>1227</v>
      </c>
      <c r="B332" s="375" t="s">
        <v>5373</v>
      </c>
      <c r="C332" s="380" t="s">
        <v>14</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377" t="s">
        <v>38</v>
      </c>
      <c r="B333" s="510" t="s">
        <v>5380</v>
      </c>
      <c r="C333" s="378" t="s">
        <v>3143</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379" t="s">
        <v>1227</v>
      </c>
      <c r="B334" s="375" t="s">
        <v>5381</v>
      </c>
      <c r="C334" s="380" t="s">
        <v>22</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379" t="s">
        <v>1227</v>
      </c>
      <c r="B335" s="375" t="s">
        <v>5383</v>
      </c>
      <c r="C335" s="380" t="s">
        <v>2347</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379" t="s">
        <v>1227</v>
      </c>
      <c r="B336" s="375" t="s">
        <v>5385</v>
      </c>
      <c r="C336" s="380" t="s">
        <v>3132</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379" t="s">
        <v>1227</v>
      </c>
      <c r="B337" s="375" t="s">
        <v>5389</v>
      </c>
      <c r="C337" s="380" t="s">
        <v>2348</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379" t="s">
        <v>1227</v>
      </c>
      <c r="B338" s="375" t="s">
        <v>5392</v>
      </c>
      <c r="C338" s="380" t="s">
        <v>14</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377" t="s">
        <v>1236</v>
      </c>
      <c r="B339" s="375">
        <v>17</v>
      </c>
      <c r="C339" s="378" t="s">
        <v>3144</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377" t="s">
        <v>38</v>
      </c>
      <c r="B340" s="510" t="s">
        <v>5637</v>
      </c>
      <c r="C340" s="378" t="s">
        <v>6794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379" t="s">
        <v>1227</v>
      </c>
      <c r="B341" s="375" t="s">
        <v>5638</v>
      </c>
      <c r="C341" s="380" t="s">
        <v>2277</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379" t="s">
        <v>1227</v>
      </c>
      <c r="B342" s="375" t="s">
        <v>5644</v>
      </c>
      <c r="C342" s="380" t="s">
        <v>3145</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379" t="s">
        <v>1227</v>
      </c>
      <c r="B343" s="375" t="s">
        <v>5650</v>
      </c>
      <c r="C343" s="380" t="s">
        <v>2349</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379" t="s">
        <v>1227</v>
      </c>
      <c r="B344" s="375" t="s">
        <v>6516</v>
      </c>
      <c r="C344" s="380" t="s">
        <v>2346</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379" t="s">
        <v>1227</v>
      </c>
      <c r="B345" s="375" t="s">
        <v>6515</v>
      </c>
      <c r="C345" s="380" t="s">
        <v>2350</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379" t="s">
        <v>1227</v>
      </c>
      <c r="B346" s="375" t="s">
        <v>6514</v>
      </c>
      <c r="C346" s="380" t="s">
        <v>3146</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379" t="s">
        <v>1227</v>
      </c>
      <c r="B347" s="375" t="s">
        <v>6513</v>
      </c>
      <c r="C347" s="380" t="s">
        <v>14</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377" t="s">
        <v>38</v>
      </c>
      <c r="B348" s="510" t="s">
        <v>5656</v>
      </c>
      <c r="C348" s="378" t="s">
        <v>3147</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379" t="s">
        <v>1227</v>
      </c>
      <c r="B349" s="375" t="s">
        <v>5657</v>
      </c>
      <c r="C349" s="380" t="s">
        <v>2277</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379" t="s">
        <v>1227</v>
      </c>
      <c r="B350" s="375" t="s">
        <v>5659</v>
      </c>
      <c r="C350" s="380" t="s">
        <v>3145</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379" t="s">
        <v>1227</v>
      </c>
      <c r="B351" s="375" t="s">
        <v>5666</v>
      </c>
      <c r="C351" s="380" t="s">
        <v>2349</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379" t="s">
        <v>1227</v>
      </c>
      <c r="B352" s="375" t="s">
        <v>5674</v>
      </c>
      <c r="C352" s="380" t="s">
        <v>2346</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379" t="s">
        <v>1227</v>
      </c>
      <c r="B353" s="375" t="s">
        <v>6512</v>
      </c>
      <c r="C353" s="380" t="s">
        <v>2350</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379" t="s">
        <v>1227</v>
      </c>
      <c r="B354" s="375" t="s">
        <v>6511</v>
      </c>
      <c r="C354" s="380" t="s">
        <v>3146</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379" t="s">
        <v>1227</v>
      </c>
      <c r="B355" s="375" t="s">
        <v>6510</v>
      </c>
      <c r="C355" s="380" t="s">
        <v>14</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377" t="s">
        <v>38</v>
      </c>
      <c r="B356" s="510" t="s">
        <v>5683</v>
      </c>
      <c r="C356" s="378" t="s">
        <v>3148</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379" t="s">
        <v>1227</v>
      </c>
      <c r="B357" s="375" t="s">
        <v>5684</v>
      </c>
      <c r="C357" s="380" t="s">
        <v>2277</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379" t="s">
        <v>1227</v>
      </c>
      <c r="B358" s="375" t="s">
        <v>5686</v>
      </c>
      <c r="C358" s="380" t="s">
        <v>3145</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379" t="s">
        <v>1227</v>
      </c>
      <c r="B359" s="375" t="s">
        <v>5693</v>
      </c>
      <c r="C359" s="380" t="s">
        <v>2349</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379" t="s">
        <v>1227</v>
      </c>
      <c r="B360" s="375" t="s">
        <v>5699</v>
      </c>
      <c r="C360" s="380" t="s">
        <v>2346</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379" t="s">
        <v>1227</v>
      </c>
      <c r="B361" s="375" t="s">
        <v>6509</v>
      </c>
      <c r="C361" s="380" t="s">
        <v>2350</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379" t="s">
        <v>1227</v>
      </c>
      <c r="B362" s="375" t="s">
        <v>6508</v>
      </c>
      <c r="C362" s="380" t="s">
        <v>3146</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379" t="s">
        <v>1227</v>
      </c>
      <c r="B363" s="375" t="s">
        <v>6507</v>
      </c>
      <c r="C363" s="380" t="s">
        <v>14</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377" t="s">
        <v>1236</v>
      </c>
      <c r="B364" s="375">
        <v>18</v>
      </c>
      <c r="C364" s="378" t="s">
        <v>2247</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377" t="s">
        <v>38</v>
      </c>
      <c r="B365" s="510" t="s">
        <v>5923</v>
      </c>
      <c r="C365" s="385" t="s">
        <v>6795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379" t="s">
        <v>1227</v>
      </c>
      <c r="B366" s="375" t="s">
        <v>5924</v>
      </c>
      <c r="C366" s="380" t="s">
        <v>2280</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379" t="s">
        <v>1227</v>
      </c>
      <c r="B367" s="375" t="s">
        <v>5926</v>
      </c>
      <c r="C367" s="380" t="s">
        <v>3149</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379" t="s">
        <v>1227</v>
      </c>
      <c r="B368" s="375" t="s">
        <v>5932</v>
      </c>
      <c r="C368" s="380" t="s">
        <v>2281</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379" t="s">
        <v>1227</v>
      </c>
      <c r="B369" s="375" t="s">
        <v>6506</v>
      </c>
      <c r="C369" s="380" t="s">
        <v>3150</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379" t="s">
        <v>1227</v>
      </c>
      <c r="B370" s="375" t="s">
        <v>6505</v>
      </c>
      <c r="C370" s="380" t="s">
        <v>14</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377" t="s">
        <v>38</v>
      </c>
      <c r="B371" s="510" t="s">
        <v>5934</v>
      </c>
      <c r="C371" s="385" t="s">
        <v>3151</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379" t="s">
        <v>1227</v>
      </c>
      <c r="B372" s="375" t="s">
        <v>5935</v>
      </c>
      <c r="C372" s="380" t="s">
        <v>2280</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379" t="s">
        <v>1227</v>
      </c>
      <c r="B373" s="375" t="s">
        <v>5937</v>
      </c>
      <c r="C373" s="380" t="s">
        <v>3149</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379" t="s">
        <v>1227</v>
      </c>
      <c r="B374" s="375" t="s">
        <v>5940</v>
      </c>
      <c r="C374" s="380" t="s">
        <v>2281</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379" t="s">
        <v>1227</v>
      </c>
      <c r="B375" s="375" t="s">
        <v>5942</v>
      </c>
      <c r="C375" s="380" t="s">
        <v>3150</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379" t="s">
        <v>1227</v>
      </c>
      <c r="B376" s="375" t="s">
        <v>6504</v>
      </c>
      <c r="C376" s="380" t="s">
        <v>14</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377" t="s">
        <v>38</v>
      </c>
      <c r="B377" s="510" t="s">
        <v>5944</v>
      </c>
      <c r="C377" s="385" t="s">
        <v>3152</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379" t="s">
        <v>1227</v>
      </c>
      <c r="B378" s="375" t="s">
        <v>5945</v>
      </c>
      <c r="C378" s="380" t="s">
        <v>2280</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379" t="s">
        <v>1227</v>
      </c>
      <c r="B379" s="375" t="s">
        <v>5947</v>
      </c>
      <c r="C379" s="380" t="s">
        <v>3149</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379" t="s">
        <v>1227</v>
      </c>
      <c r="B380" s="375" t="s">
        <v>5949</v>
      </c>
      <c r="C380" s="380" t="s">
        <v>2281</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379" t="s">
        <v>1227</v>
      </c>
      <c r="B381" s="375" t="s">
        <v>5951</v>
      </c>
      <c r="C381" s="380" t="s">
        <v>3150</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379" t="s">
        <v>1227</v>
      </c>
      <c r="B382" s="375" t="s">
        <v>6503</v>
      </c>
      <c r="C382" s="380" t="s">
        <v>14</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377" t="s">
        <v>1236</v>
      </c>
      <c r="B383" s="375">
        <v>19</v>
      </c>
      <c r="C383" s="378" t="s">
        <v>6715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377" t="s">
        <v>38</v>
      </c>
      <c r="B384" s="510" t="s">
        <v>6251</v>
      </c>
      <c r="C384" s="384" t="s">
        <v>6796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379" t="s">
        <v>1227</v>
      </c>
      <c r="B385" s="375" t="s">
        <v>6252</v>
      </c>
      <c r="C385" s="380" t="s">
        <v>27</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379" t="s">
        <v>1227</v>
      </c>
      <c r="B386" s="375" t="s">
        <v>6254</v>
      </c>
      <c r="C386" s="380" t="s">
        <v>28</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379" t="s">
        <v>1227</v>
      </c>
      <c r="B387" s="375" t="s">
        <v>6256</v>
      </c>
      <c r="C387" s="380" t="s">
        <v>2351</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379" t="s">
        <v>1227</v>
      </c>
      <c r="B388" s="375" t="s">
        <v>6258</v>
      </c>
      <c r="C388" s="380" t="s">
        <v>798</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379" t="s">
        <v>1227</v>
      </c>
      <c r="B389" s="375" t="s">
        <v>6502</v>
      </c>
      <c r="C389" s="382" t="s">
        <v>14</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377" t="s">
        <v>38</v>
      </c>
      <c r="B390" s="510" t="s">
        <v>6260</v>
      </c>
      <c r="C390" s="384" t="s">
        <v>3153</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379" t="s">
        <v>1227</v>
      </c>
      <c r="B391" s="375" t="s">
        <v>6261</v>
      </c>
      <c r="C391" s="380" t="s">
        <v>27</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379" t="s">
        <v>1227</v>
      </c>
      <c r="B392" s="375" t="s">
        <v>6263</v>
      </c>
      <c r="C392" s="380" t="s">
        <v>28</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379" t="s">
        <v>1227</v>
      </c>
      <c r="B393" s="375" t="s">
        <v>6501</v>
      </c>
      <c r="C393" s="380" t="s">
        <v>2351</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379" t="s">
        <v>1227</v>
      </c>
      <c r="B394" s="375" t="s">
        <v>6500</v>
      </c>
      <c r="C394" s="380" t="s">
        <v>798</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379" t="s">
        <v>1227</v>
      </c>
      <c r="B395" s="375" t="s">
        <v>6499</v>
      </c>
      <c r="C395" s="382" t="s">
        <v>14</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377" t="s">
        <v>38</v>
      </c>
      <c r="B396" s="510" t="s">
        <v>6265</v>
      </c>
      <c r="C396" s="384" t="s">
        <v>3154</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379" t="s">
        <v>1227</v>
      </c>
      <c r="B397" s="375" t="s">
        <v>6266</v>
      </c>
      <c r="C397" s="380" t="s">
        <v>27</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379" t="s">
        <v>1227</v>
      </c>
      <c r="B398" s="375" t="s">
        <v>6268</v>
      </c>
      <c r="C398" s="380" t="s">
        <v>28</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379" t="s">
        <v>1227</v>
      </c>
      <c r="B399" s="375" t="s">
        <v>6498</v>
      </c>
      <c r="C399" s="380" t="s">
        <v>2351</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379" t="s">
        <v>1227</v>
      </c>
      <c r="B400" s="375" t="s">
        <v>6497</v>
      </c>
      <c r="C400" s="380" t="s">
        <v>798</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379" t="s">
        <v>1227</v>
      </c>
      <c r="B401" s="375" t="s">
        <v>6496</v>
      </c>
      <c r="C401" s="382" t="s">
        <v>14</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377" t="s">
        <v>1236</v>
      </c>
      <c r="B402" s="375">
        <v>20</v>
      </c>
      <c r="C402" s="378" t="s">
        <v>3302</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377" t="s">
        <v>38</v>
      </c>
      <c r="B403" s="510" t="s">
        <v>6342</v>
      </c>
      <c r="C403" s="384" t="s">
        <v>6797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379" t="s">
        <v>1227</v>
      </c>
      <c r="B404" s="375" t="s">
        <v>6343</v>
      </c>
      <c r="C404" s="380" t="s">
        <v>2278</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379" t="s">
        <v>1227</v>
      </c>
      <c r="B405" s="375" t="s">
        <v>6495</v>
      </c>
      <c r="C405" s="380" t="s">
        <v>3155</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379" t="s">
        <v>1227</v>
      </c>
      <c r="B406" s="375" t="s">
        <v>6494</v>
      </c>
      <c r="C406" s="380" t="s">
        <v>2352</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379" t="s">
        <v>1227</v>
      </c>
      <c r="B407" s="375" t="s">
        <v>6493</v>
      </c>
      <c r="C407" s="380" t="s">
        <v>1279</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379" t="s">
        <v>1227</v>
      </c>
      <c r="B408" s="375" t="s">
        <v>6716</v>
      </c>
      <c r="C408" s="380" t="s">
        <v>14</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377" t="s">
        <v>38</v>
      </c>
      <c r="B409" s="510" t="s">
        <v>6772</v>
      </c>
      <c r="C409" s="384" t="s">
        <v>3156</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379" t="s">
        <v>1227</v>
      </c>
      <c r="B410" s="375" t="s">
        <v>6492</v>
      </c>
      <c r="C410" s="380" t="s">
        <v>2278</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379" t="s">
        <v>1227</v>
      </c>
      <c r="B411" s="375" t="s">
        <v>6491</v>
      </c>
      <c r="C411" s="380" t="s">
        <v>3155</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379" t="s">
        <v>1227</v>
      </c>
      <c r="B412" s="375" t="s">
        <v>6490</v>
      </c>
      <c r="C412" s="380" t="s">
        <v>2352</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379" t="s">
        <v>1227</v>
      </c>
      <c r="B413" s="375" t="s">
        <v>6489</v>
      </c>
      <c r="C413" s="380" t="s">
        <v>1279</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379" t="s">
        <v>1227</v>
      </c>
      <c r="B414" s="375" t="s">
        <v>6717</v>
      </c>
      <c r="C414" s="380" t="s">
        <v>14</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377" t="s">
        <v>38</v>
      </c>
      <c r="B415" s="510" t="s">
        <v>6773</v>
      </c>
      <c r="C415" s="384" t="s">
        <v>3157</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379" t="s">
        <v>1227</v>
      </c>
      <c r="B416" s="375" t="s">
        <v>6488</v>
      </c>
      <c r="C416" s="380" t="s">
        <v>2278</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379" t="s">
        <v>1227</v>
      </c>
      <c r="B417" s="375" t="s">
        <v>6487</v>
      </c>
      <c r="C417" s="380" t="s">
        <v>3155</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379" t="s">
        <v>1227</v>
      </c>
      <c r="B418" s="375" t="s">
        <v>6486</v>
      </c>
      <c r="C418" s="380" t="s">
        <v>2352</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379" t="s">
        <v>1227</v>
      </c>
      <c r="B419" s="375" t="s">
        <v>6485</v>
      </c>
      <c r="C419" s="380" t="s">
        <v>1279</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379" t="s">
        <v>1227</v>
      </c>
      <c r="B420" s="375" t="s">
        <v>6718</v>
      </c>
      <c r="C420" s="380" t="s">
        <v>14</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377" t="s">
        <v>1236</v>
      </c>
      <c r="B421" s="375">
        <v>21</v>
      </c>
      <c r="C421" s="378" t="s">
        <v>3301</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377" t="s">
        <v>38</v>
      </c>
      <c r="B422" s="510" t="s">
        <v>6346</v>
      </c>
      <c r="C422" s="384" t="s">
        <v>6798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379" t="s">
        <v>1227</v>
      </c>
      <c r="B423" s="375" t="s">
        <v>6347</v>
      </c>
      <c r="C423" s="380" t="s">
        <v>2279</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379" t="s">
        <v>1227</v>
      </c>
      <c r="B424" s="375" t="s">
        <v>6351</v>
      </c>
      <c r="C424" s="380" t="s">
        <v>29</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377" t="s">
        <v>38</v>
      </c>
      <c r="B425" s="510" t="s">
        <v>6377</v>
      </c>
      <c r="C425" s="384" t="s">
        <v>3158</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379" t="s">
        <v>1227</v>
      </c>
      <c r="B426" s="375" t="s">
        <v>6378</v>
      </c>
      <c r="C426" s="380" t="s">
        <v>2279</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379" t="s">
        <v>1227</v>
      </c>
      <c r="B427" s="375" t="s">
        <v>6382</v>
      </c>
      <c r="C427" s="380" t="s">
        <v>29</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377" t="s">
        <v>38</v>
      </c>
      <c r="B428" s="510" t="s">
        <v>6396</v>
      </c>
      <c r="C428" s="384" t="s">
        <v>3159</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379" t="s">
        <v>1227</v>
      </c>
      <c r="B429" s="375" t="s">
        <v>6397</v>
      </c>
      <c r="C429" s="380" t="s">
        <v>2279</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379" t="s">
        <v>1227</v>
      </c>
      <c r="B430" s="375" t="s">
        <v>6401</v>
      </c>
      <c r="C430" s="380" t="s">
        <v>29</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377" t="s">
        <v>1236</v>
      </c>
      <c r="B431" s="375">
        <v>22</v>
      </c>
      <c r="C431" s="378" t="s">
        <v>52</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377" t="s">
        <v>38</v>
      </c>
      <c r="B432" s="510" t="s">
        <v>6443</v>
      </c>
      <c r="C432" s="385" t="s">
        <v>6799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379" t="s">
        <v>1227</v>
      </c>
      <c r="B433" s="375" t="s">
        <v>6444</v>
      </c>
      <c r="C433" s="380" t="s">
        <v>31</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379" t="s">
        <v>1227</v>
      </c>
      <c r="B434" s="375" t="s">
        <v>6447</v>
      </c>
      <c r="C434" s="380" t="s">
        <v>2353</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379" t="s">
        <v>1227</v>
      </c>
      <c r="B435" s="375" t="s">
        <v>6449</v>
      </c>
      <c r="C435" s="380" t="s">
        <v>2354</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379" t="s">
        <v>1227</v>
      </c>
      <c r="B436" s="375" t="s">
        <v>6484</v>
      </c>
      <c r="C436" s="380" t="s">
        <v>14</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377" t="s">
        <v>38</v>
      </c>
      <c r="B437" s="510" t="s">
        <v>6451</v>
      </c>
      <c r="C437" s="385" t="s">
        <v>3160</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379" t="s">
        <v>1227</v>
      </c>
      <c r="B438" s="375" t="s">
        <v>6452</v>
      </c>
      <c r="C438" s="380" t="s">
        <v>31</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379" t="s">
        <v>1227</v>
      </c>
      <c r="B439" s="375" t="s">
        <v>6454</v>
      </c>
      <c r="C439" s="380" t="s">
        <v>2353</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379" t="s">
        <v>1227</v>
      </c>
      <c r="B440" s="375" t="s">
        <v>6456</v>
      </c>
      <c r="C440" s="380" t="s">
        <v>2354</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379" t="s">
        <v>1227</v>
      </c>
      <c r="B441" s="375" t="s">
        <v>6458</v>
      </c>
      <c r="C441" s="380" t="s">
        <v>14</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377" t="s">
        <v>38</v>
      </c>
      <c r="B442" s="510" t="s">
        <v>6774</v>
      </c>
      <c r="C442" s="385" t="s">
        <v>3161</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379" t="s">
        <v>1227</v>
      </c>
      <c r="B443" s="375" t="s">
        <v>6483</v>
      </c>
      <c r="C443" s="380" t="s">
        <v>31</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379" t="s">
        <v>1227</v>
      </c>
      <c r="B444" s="375" t="s">
        <v>6482</v>
      </c>
      <c r="C444" s="380" t="s">
        <v>2353</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379" t="s">
        <v>1227</v>
      </c>
      <c r="B445" s="375" t="s">
        <v>6481</v>
      </c>
      <c r="C445" s="380" t="s">
        <v>2354</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379" t="s">
        <v>1227</v>
      </c>
      <c r="B446" s="375" t="s">
        <v>6480</v>
      </c>
      <c r="C446" s="380" t="s">
        <v>14</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377" t="s">
        <v>1236</v>
      </c>
      <c r="B447" s="375">
        <v>23</v>
      </c>
      <c r="C447" s="378" t="s">
        <v>32</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377" t="s">
        <v>38</v>
      </c>
      <c r="B448" s="510" t="s">
        <v>6466</v>
      </c>
      <c r="C448" s="385" t="s">
        <v>32</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379" t="s">
        <v>1227</v>
      </c>
      <c r="B449" s="375" t="s">
        <v>6467</v>
      </c>
      <c r="C449" s="380" t="s">
        <v>3162</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379" t="s">
        <v>1227</v>
      </c>
      <c r="B450" s="375" t="s">
        <v>6479</v>
      </c>
      <c r="C450" s="380" t="s">
        <v>3163</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379" t="s">
        <v>1227</v>
      </c>
      <c r="B451" s="375" t="s">
        <v>6478</v>
      </c>
      <c r="C451" s="380" t="s">
        <v>2355</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379" t="s">
        <v>1227</v>
      </c>
      <c r="B452" s="375" t="s">
        <v>6477</v>
      </c>
      <c r="C452" s="380" t="s">
        <v>3164</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379" t="s">
        <v>1227</v>
      </c>
      <c r="B453" s="375" t="s">
        <v>6719</v>
      </c>
      <c r="C453" s="380" t="s">
        <v>14</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377" t="s">
        <v>1236</v>
      </c>
      <c r="B454" s="375">
        <v>24</v>
      </c>
      <c r="C454" s="378" t="s">
        <v>2248</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377" t="s">
        <v>38</v>
      </c>
      <c r="B455" s="510" t="s">
        <v>6775</v>
      </c>
      <c r="C455" s="385" t="s">
        <v>6800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379" t="s">
        <v>1227</v>
      </c>
      <c r="B456" s="375" t="s">
        <v>6476</v>
      </c>
      <c r="C456" s="380" t="s">
        <v>2356</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379" t="s">
        <v>1227</v>
      </c>
      <c r="B457" s="375" t="s">
        <v>6720</v>
      </c>
      <c r="C457" s="380" t="s">
        <v>2282</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379" t="s">
        <v>1227</v>
      </c>
      <c r="B458" s="375" t="s">
        <v>6721</v>
      </c>
      <c r="C458" s="380" t="s">
        <v>2357</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379" t="s">
        <v>1227</v>
      </c>
      <c r="B459" s="375" t="s">
        <v>6722</v>
      </c>
      <c r="C459" s="380" t="s">
        <v>3165</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379" t="s">
        <v>1227</v>
      </c>
      <c r="B460" s="375" t="s">
        <v>6723</v>
      </c>
      <c r="C460" s="380" t="s">
        <v>14</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377" t="s">
        <v>38</v>
      </c>
      <c r="B461" s="510" t="s">
        <v>6776</v>
      </c>
      <c r="C461" s="385" t="s">
        <v>3166</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379" t="s">
        <v>1227</v>
      </c>
      <c r="B462" s="375" t="s">
        <v>6724</v>
      </c>
      <c r="C462" s="380" t="s">
        <v>2356</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379" t="s">
        <v>1227</v>
      </c>
      <c r="B463" s="375" t="s">
        <v>6725</v>
      </c>
      <c r="C463" s="380" t="s">
        <v>2282</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379" t="s">
        <v>1227</v>
      </c>
      <c r="B464" s="375" t="s">
        <v>6726</v>
      </c>
      <c r="C464" s="380" t="s">
        <v>2357</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379" t="s">
        <v>1227</v>
      </c>
      <c r="B465" s="375" t="s">
        <v>6727</v>
      </c>
      <c r="C465" s="380" t="s">
        <v>3165</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379" t="s">
        <v>1227</v>
      </c>
      <c r="B466" s="375" t="s">
        <v>6728</v>
      </c>
      <c r="C466" s="380" t="s">
        <v>14</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377" t="s">
        <v>38</v>
      </c>
      <c r="B467" s="510" t="s">
        <v>6777</v>
      </c>
      <c r="C467" s="385" t="s">
        <v>3167</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379" t="s">
        <v>1227</v>
      </c>
      <c r="B468" s="375" t="s">
        <v>6729</v>
      </c>
      <c r="C468" s="380" t="s">
        <v>2356</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379" t="s">
        <v>1227</v>
      </c>
      <c r="B469" s="375" t="s">
        <v>6730</v>
      </c>
      <c r="C469" s="380" t="s">
        <v>2282</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379" t="s">
        <v>1227</v>
      </c>
      <c r="B470" s="375" t="s">
        <v>6731</v>
      </c>
      <c r="C470" s="380" t="s">
        <v>2357</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379" t="s">
        <v>1227</v>
      </c>
      <c r="B471" s="375" t="s">
        <v>6732</v>
      </c>
      <c r="C471" s="380" t="s">
        <v>3165</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379" t="s">
        <v>1227</v>
      </c>
      <c r="B472" s="375" t="s">
        <v>6733</v>
      </c>
      <c r="C472" s="380" t="s">
        <v>14</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377" t="s">
        <v>1236</v>
      </c>
      <c r="B473" s="375">
        <v>25</v>
      </c>
      <c r="C473" s="378" t="s">
        <v>30</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377" t="s">
        <v>38</v>
      </c>
      <c r="B474" s="510" t="s">
        <v>6778</v>
      </c>
      <c r="C474" s="385" t="s">
        <v>33</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379" t="s">
        <v>1227</v>
      </c>
      <c r="B475" s="375" t="s">
        <v>6734</v>
      </c>
      <c r="C475" s="380" t="s">
        <v>2249</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379" t="s">
        <v>1227</v>
      </c>
      <c r="B476" s="375" t="s">
        <v>6735</v>
      </c>
      <c r="C476" s="380" t="s">
        <v>3168</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379" t="s">
        <v>1227</v>
      </c>
      <c r="B477" s="375" t="s">
        <v>6736</v>
      </c>
      <c r="C477" s="380" t="s">
        <v>2250</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379" t="s">
        <v>1227</v>
      </c>
      <c r="B478" s="375" t="s">
        <v>6737</v>
      </c>
      <c r="C478" s="380" t="s">
        <v>2251</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377" t="s">
        <v>38</v>
      </c>
      <c r="B479" s="510" t="s">
        <v>6779</v>
      </c>
      <c r="C479" s="385" t="s">
        <v>30</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379" t="s">
        <v>1227</v>
      </c>
      <c r="B480" s="375" t="s">
        <v>6738</v>
      </c>
      <c r="C480" s="380" t="s">
        <v>3169</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379" t="s">
        <v>1227</v>
      </c>
      <c r="B481" s="375" t="s">
        <v>6739</v>
      </c>
      <c r="C481" s="380" t="s">
        <v>37</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379" t="s">
        <v>1227</v>
      </c>
      <c r="B482" s="375" t="s">
        <v>6740</v>
      </c>
      <c r="C482" s="380" t="s">
        <v>1272</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379" t="s">
        <v>1227</v>
      </c>
      <c r="B483" s="375" t="s">
        <v>6741</v>
      </c>
      <c r="C483" s="380" t="s">
        <v>1274</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377" t="s">
        <v>1236</v>
      </c>
      <c r="B484" s="375">
        <v>26</v>
      </c>
      <c r="C484" s="378" t="s">
        <v>3170</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377" t="s">
        <v>38</v>
      </c>
      <c r="B485" s="510" t="s">
        <v>6780</v>
      </c>
      <c r="C485" s="378" t="s">
        <v>3170</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386" t="s">
        <v>1227</v>
      </c>
      <c r="B486" s="387" t="s">
        <v>6742</v>
      </c>
      <c r="C486" s="388" t="s">
        <v>2252</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6418" priority="1">
      <formula>$A5="Serviço"</formula>
    </cfRule>
    <cfRule type="expression" dxfId="6417" priority="2">
      <formula>$A5="Célula Construtiva"</formula>
    </cfRule>
    <cfRule type="expression" dxfId="6416" priority="3">
      <formula>$A5="Unidade Construtiva"</formula>
    </cfRule>
    <cfRule type="expression" dxfId="6415" priority="4">
      <formula>$A5="Etapa"</formula>
    </cfRule>
  </conditionalFormatting>
  <conditionalFormatting sqref="C303">
    <cfRule type="expression" dxfId="6414" priority="121175">
      <formula>$A302="Serviço"</formula>
    </cfRule>
    <cfRule type="expression" dxfId="6413" priority="121176">
      <formula>$A302="Célula Construtiva"</formula>
    </cfRule>
    <cfRule type="expression" dxfId="6412" priority="121177">
      <formula>$A302="Unidade Construtiva"</formula>
    </cfRule>
    <cfRule type="expression" dxfId="6411"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08770-EDE8-4914-8E05-C094BCC968E3}">
  <sheetPr>
    <tabColor rgb="FF0000FF"/>
    <pageSetUpPr fitToPage="1"/>
  </sheetPr>
  <dimension ref="A1:AL80"/>
  <sheetViews>
    <sheetView showGridLines="0" zoomScale="85" zoomScaleNormal="85" workbookViewId="0">
      <pane ySplit="4" topLeftCell="A5" activePane="bottomLeft" state="frozen"/>
      <selection activeCell="L5" sqref="L5:N48"/>
      <selection pane="bottomLeft" activeCell="D8" sqref="D8"/>
    </sheetView>
  </sheetViews>
  <sheetFormatPr defaultColWidth="14.42578125" defaultRowHeight="15" customHeight="1" x14ac:dyDescent="0.2"/>
  <cols>
    <col min="1" max="1" width="10.7109375" style="239" customWidth="1"/>
    <col min="2" max="2" width="83.7109375" style="239" customWidth="1"/>
    <col min="3" max="4" width="11.28515625" style="239" customWidth="1"/>
    <col min="5" max="5" width="2.140625" style="239" customWidth="1"/>
    <col min="6" max="6" width="11.140625" style="239" customWidth="1"/>
    <col min="7" max="7" width="32" style="239" customWidth="1"/>
    <col min="8" max="8" width="3.28515625" style="239" customWidth="1"/>
    <col min="9" max="10" width="2" style="239" customWidth="1"/>
    <col min="11" max="11" width="49.28515625" style="239" bestFit="1" customWidth="1"/>
    <col min="12" max="12" width="9.5703125" style="239" customWidth="1"/>
    <col min="13" max="13" width="9.85546875" style="239" customWidth="1"/>
    <col min="14" max="14" width="12.42578125" style="239" bestFit="1" customWidth="1"/>
    <col min="15" max="38" width="14.42578125" style="239"/>
  </cols>
  <sheetData>
    <row r="1" spans="1:38" ht="18" customHeight="1" x14ac:dyDescent="0.6">
      <c r="A1" s="241" t="s">
        <v>1275</v>
      </c>
      <c r="B1" s="242" t="str">
        <f>CAPA!C2</f>
        <v>Elizabeth II Royal Home</v>
      </c>
      <c r="C1" s="243"/>
      <c r="D1" s="244"/>
      <c r="E1" s="245"/>
      <c r="F1" s="245"/>
      <c r="G1" s="246"/>
      <c r="H1" s="247"/>
      <c r="J1" s="240"/>
      <c r="O1"/>
      <c r="P1"/>
      <c r="Q1"/>
      <c r="R1"/>
      <c r="S1"/>
      <c r="T1"/>
      <c r="U1"/>
      <c r="V1"/>
      <c r="W1"/>
      <c r="X1"/>
      <c r="Y1"/>
      <c r="Z1"/>
      <c r="AA1"/>
      <c r="AB1"/>
      <c r="AC1"/>
      <c r="AD1"/>
      <c r="AE1"/>
      <c r="AF1"/>
      <c r="AG1"/>
      <c r="AH1"/>
      <c r="AI1"/>
      <c r="AJ1"/>
      <c r="AK1"/>
      <c r="AL1"/>
    </row>
    <row r="2" spans="1:38" ht="18" customHeight="1" x14ac:dyDescent="0.6">
      <c r="A2" s="248" t="s">
        <v>0</v>
      </c>
      <c r="B2" s="249" t="str">
        <f>CAPA!C3</f>
        <v>Gessele</v>
      </c>
      <c r="C2" s="250"/>
      <c r="D2" s="251"/>
      <c r="E2" s="252"/>
      <c r="F2" s="252"/>
      <c r="G2" s="253"/>
      <c r="H2" s="254"/>
      <c r="J2" s="240"/>
      <c r="O2"/>
      <c r="P2"/>
      <c r="Q2"/>
      <c r="R2"/>
      <c r="S2"/>
      <c r="T2"/>
      <c r="U2"/>
      <c r="V2"/>
      <c r="W2"/>
      <c r="X2"/>
      <c r="Y2"/>
      <c r="Z2"/>
      <c r="AA2"/>
      <c r="AB2"/>
      <c r="AC2"/>
      <c r="AD2"/>
      <c r="AE2"/>
      <c r="AF2"/>
      <c r="AG2"/>
      <c r="AH2"/>
      <c r="AI2"/>
      <c r="AJ2"/>
      <c r="AK2"/>
      <c r="AL2"/>
    </row>
    <row r="3" spans="1:38" ht="18" customHeight="1" thickBot="1" x14ac:dyDescent="0.65">
      <c r="A3" s="248" t="s">
        <v>1</v>
      </c>
      <c r="B3" s="249" t="str">
        <f>CAPA!C4</f>
        <v xml:space="preserve">R00 </v>
      </c>
      <c r="C3" s="250"/>
      <c r="D3" s="251"/>
      <c r="E3" s="252"/>
      <c r="F3" s="252"/>
      <c r="G3" s="255"/>
      <c r="H3" s="254"/>
      <c r="J3" s="240"/>
      <c r="O3"/>
      <c r="P3"/>
      <c r="Q3"/>
      <c r="R3"/>
      <c r="S3"/>
      <c r="T3"/>
      <c r="U3"/>
      <c r="V3"/>
      <c r="W3"/>
      <c r="X3"/>
      <c r="Y3"/>
      <c r="Z3"/>
      <c r="AA3"/>
      <c r="AB3"/>
      <c r="AC3"/>
      <c r="AD3"/>
      <c r="AE3"/>
      <c r="AF3"/>
      <c r="AG3"/>
      <c r="AH3"/>
      <c r="AI3"/>
      <c r="AJ3"/>
      <c r="AK3"/>
      <c r="AL3"/>
    </row>
    <row r="4" spans="1:38" ht="30.75" thickBot="1" x14ac:dyDescent="0.3">
      <c r="A4" s="586" t="s">
        <v>2034</v>
      </c>
      <c r="B4" s="587"/>
      <c r="C4" s="587"/>
      <c r="D4" s="587"/>
      <c r="E4" s="587"/>
      <c r="F4" s="587"/>
      <c r="G4" s="587"/>
      <c r="H4" s="588"/>
      <c r="J4" s="240"/>
      <c r="K4" s="256" t="s">
        <v>1278</v>
      </c>
      <c r="L4" s="256" t="s">
        <v>2035</v>
      </c>
      <c r="M4" s="256" t="s">
        <v>2036</v>
      </c>
      <c r="N4" s="256" t="s">
        <v>2037</v>
      </c>
      <c r="O4"/>
      <c r="P4"/>
      <c r="Q4"/>
      <c r="R4"/>
      <c r="S4"/>
      <c r="T4"/>
      <c r="U4"/>
      <c r="V4"/>
      <c r="W4"/>
      <c r="X4"/>
      <c r="Y4"/>
      <c r="Z4"/>
      <c r="AA4"/>
      <c r="AB4"/>
      <c r="AC4"/>
      <c r="AD4"/>
      <c r="AE4"/>
      <c r="AF4"/>
      <c r="AG4"/>
      <c r="AH4"/>
      <c r="AI4"/>
      <c r="AJ4"/>
      <c r="AK4"/>
      <c r="AL4"/>
    </row>
    <row r="5" spans="1:38" ht="21.75" customHeight="1" thickTop="1" x14ac:dyDescent="0.6">
      <c r="A5" s="257" t="s">
        <v>1585</v>
      </c>
      <c r="B5" s="258"/>
      <c r="C5" s="258"/>
      <c r="D5" s="259"/>
      <c r="E5" s="260"/>
      <c r="F5" s="260"/>
      <c r="G5" s="260"/>
      <c r="H5" s="261"/>
      <c r="J5" s="240"/>
      <c r="K5" s="262" t="str">
        <f>CAPA!B19&amp;" - "&amp;CAPA!C19</f>
        <v>Torre 1 - ÁREA – 1º PAVTO. (TÉRREO)</v>
      </c>
      <c r="L5" s="263">
        <v>784.58</v>
      </c>
      <c r="M5" s="263">
        <v>151.72</v>
      </c>
      <c r="N5" s="263">
        <v>3.49</v>
      </c>
      <c r="O5"/>
      <c r="P5"/>
      <c r="Q5"/>
      <c r="R5"/>
      <c r="S5"/>
      <c r="T5"/>
      <c r="U5"/>
      <c r="V5"/>
      <c r="W5"/>
      <c r="X5"/>
      <c r="Y5"/>
      <c r="Z5"/>
      <c r="AA5"/>
      <c r="AB5"/>
      <c r="AC5"/>
      <c r="AD5"/>
      <c r="AE5"/>
      <c r="AF5"/>
      <c r="AG5"/>
      <c r="AH5"/>
      <c r="AI5"/>
      <c r="AJ5"/>
      <c r="AK5"/>
      <c r="AL5"/>
    </row>
    <row r="6" spans="1:38" ht="21.75" customHeight="1" thickBot="1" x14ac:dyDescent="0.65">
      <c r="A6" s="264"/>
      <c r="B6" s="265"/>
      <c r="C6" s="265"/>
      <c r="D6" s="266"/>
      <c r="E6" s="267"/>
      <c r="F6" s="267"/>
      <c r="G6" s="267"/>
      <c r="H6" s="268"/>
      <c r="J6" s="240"/>
      <c r="K6" s="262" t="str">
        <f>CAPA!B20&amp;" - "&amp;CAPA!C20</f>
        <v>Torre 1 - ÁREA – MEZANINO DO 1º PAVTO.</v>
      </c>
      <c r="L6" s="263">
        <v>801.15</v>
      </c>
      <c r="M6" s="263">
        <v>151.72</v>
      </c>
      <c r="N6" s="263">
        <v>2.7</v>
      </c>
      <c r="O6"/>
      <c r="P6"/>
      <c r="Q6"/>
      <c r="R6"/>
      <c r="S6"/>
      <c r="T6"/>
      <c r="U6"/>
      <c r="V6"/>
      <c r="W6"/>
      <c r="X6"/>
      <c r="Y6"/>
      <c r="Z6"/>
      <c r="AA6"/>
      <c r="AB6"/>
      <c r="AC6"/>
      <c r="AD6"/>
      <c r="AE6"/>
      <c r="AF6"/>
      <c r="AG6"/>
      <c r="AH6"/>
      <c r="AI6"/>
      <c r="AJ6"/>
      <c r="AK6"/>
      <c r="AL6"/>
    </row>
    <row r="7" spans="1:38" ht="21.75" customHeight="1" x14ac:dyDescent="0.6">
      <c r="A7" s="264"/>
      <c r="B7" s="269" t="s">
        <v>59</v>
      </c>
      <c r="C7" s="270" t="s">
        <v>1219</v>
      </c>
      <c r="D7" s="271" t="s">
        <v>61</v>
      </c>
      <c r="E7" s="267"/>
      <c r="F7" s="267"/>
      <c r="G7" s="267"/>
      <c r="H7" s="268"/>
      <c r="J7" s="240"/>
      <c r="K7" s="262" t="str">
        <f>CAPA!B21&amp;" - "&amp;CAPA!C21</f>
        <v>Torre 1 - ÁREA – 2º PAVIMENTO</v>
      </c>
      <c r="L7" s="263">
        <v>878.5</v>
      </c>
      <c r="M7" s="263">
        <v>151.72</v>
      </c>
      <c r="N7" s="263">
        <v>2.7</v>
      </c>
      <c r="O7"/>
      <c r="P7"/>
      <c r="Q7"/>
      <c r="R7"/>
      <c r="S7"/>
      <c r="T7"/>
      <c r="U7"/>
      <c r="V7"/>
      <c r="W7"/>
      <c r="X7"/>
      <c r="Y7"/>
      <c r="Z7"/>
      <c r="AA7"/>
      <c r="AB7"/>
      <c r="AC7"/>
      <c r="AD7"/>
      <c r="AE7"/>
      <c r="AF7"/>
      <c r="AG7"/>
      <c r="AH7"/>
      <c r="AI7"/>
      <c r="AJ7"/>
      <c r="AK7"/>
      <c r="AL7"/>
    </row>
    <row r="8" spans="1:38" ht="21.75" customHeight="1" x14ac:dyDescent="0.6">
      <c r="A8" s="264"/>
      <c r="B8" s="272" t="s">
        <v>2868</v>
      </c>
      <c r="C8" s="273" t="s">
        <v>787</v>
      </c>
      <c r="D8" s="274">
        <f>M6</f>
        <v>151.72</v>
      </c>
      <c r="E8" s="267"/>
      <c r="F8" s="267"/>
      <c r="G8" s="267"/>
      <c r="H8" s="268"/>
      <c r="J8" s="240"/>
      <c r="K8" s="262" t="str">
        <f>CAPA!B22&amp;" - "&amp;CAPA!C22</f>
        <v>Torre 1 - ÁREA – MEZANINO DO 2º PAVTO.</v>
      </c>
      <c r="L8" s="263">
        <v>878.5</v>
      </c>
      <c r="M8" s="263">
        <v>151.72</v>
      </c>
      <c r="N8" s="263">
        <v>2.6999999999999993</v>
      </c>
      <c r="O8"/>
      <c r="P8"/>
      <c r="Q8"/>
      <c r="R8"/>
      <c r="S8"/>
      <c r="T8"/>
      <c r="U8"/>
      <c r="V8"/>
      <c r="W8"/>
      <c r="X8"/>
      <c r="Y8"/>
      <c r="Z8"/>
      <c r="AA8"/>
      <c r="AB8"/>
      <c r="AC8"/>
      <c r="AD8"/>
      <c r="AE8"/>
      <c r="AF8"/>
      <c r="AG8"/>
      <c r="AH8"/>
      <c r="AI8"/>
      <c r="AJ8"/>
      <c r="AK8"/>
      <c r="AL8"/>
    </row>
    <row r="9" spans="1:38" ht="21.75" customHeight="1" x14ac:dyDescent="0.6">
      <c r="A9" s="264"/>
      <c r="B9" s="272" t="s">
        <v>2869</v>
      </c>
      <c r="C9" s="273" t="s">
        <v>787</v>
      </c>
      <c r="D9" s="274">
        <f>M9+M12</f>
        <v>303.44</v>
      </c>
      <c r="E9" s="267"/>
      <c r="F9" s="267"/>
      <c r="G9" s="267"/>
      <c r="H9" s="268"/>
      <c r="I9" s="240"/>
      <c r="J9" s="240"/>
      <c r="K9" s="262" t="str">
        <f>CAPA!B23&amp;" - "&amp;CAPA!C23</f>
        <v>Torre 1 - ÁREA – 3º PAVIMENTO</v>
      </c>
      <c r="L9" s="263">
        <v>878.5</v>
      </c>
      <c r="M9" s="263">
        <v>151.72</v>
      </c>
      <c r="N9" s="263">
        <v>2.6999999999999993</v>
      </c>
      <c r="O9"/>
      <c r="P9"/>
      <c r="Q9"/>
      <c r="R9"/>
      <c r="S9"/>
      <c r="T9"/>
      <c r="U9"/>
      <c r="V9"/>
      <c r="W9"/>
      <c r="X9"/>
      <c r="Y9"/>
      <c r="Z9"/>
      <c r="AA9"/>
      <c r="AB9"/>
      <c r="AC9"/>
      <c r="AD9"/>
      <c r="AE9"/>
      <c r="AF9"/>
      <c r="AG9"/>
      <c r="AH9"/>
      <c r="AI9"/>
      <c r="AJ9"/>
      <c r="AK9"/>
      <c r="AL9"/>
    </row>
    <row r="10" spans="1:38" ht="21.75" customHeight="1" x14ac:dyDescent="0.6">
      <c r="A10" s="264"/>
      <c r="B10" s="272" t="s">
        <v>2870</v>
      </c>
      <c r="C10" s="273" t="s">
        <v>787</v>
      </c>
      <c r="D10" s="274">
        <f>M13</f>
        <v>108.2</v>
      </c>
      <c r="E10" s="267"/>
      <c r="F10" s="267"/>
      <c r="G10" s="267"/>
      <c r="H10" s="268"/>
      <c r="J10" s="240"/>
      <c r="K10" s="262" t="str">
        <f>CAPA!B24&amp;" - "&amp;CAPA!C24</f>
        <v>Torre 1 - ÁREA – MEZANINO DO 3º PAVTO.</v>
      </c>
      <c r="L10" s="263">
        <v>892.45</v>
      </c>
      <c r="M10" s="263">
        <v>151.72</v>
      </c>
      <c r="N10" s="263">
        <v>2.6999999999999993</v>
      </c>
      <c r="O10"/>
      <c r="P10"/>
      <c r="Q10"/>
      <c r="R10"/>
      <c r="S10"/>
      <c r="T10"/>
      <c r="U10"/>
      <c r="V10"/>
      <c r="W10"/>
      <c r="X10"/>
      <c r="Y10"/>
      <c r="Z10"/>
      <c r="AA10"/>
      <c r="AB10"/>
      <c r="AC10"/>
      <c r="AD10"/>
      <c r="AE10"/>
      <c r="AF10"/>
      <c r="AG10"/>
      <c r="AH10"/>
      <c r="AI10"/>
      <c r="AJ10"/>
      <c r="AK10"/>
      <c r="AL10"/>
    </row>
    <row r="11" spans="1:38" ht="21.75" customHeight="1" x14ac:dyDescent="0.6">
      <c r="A11" s="264"/>
      <c r="B11" s="272" t="s">
        <v>2871</v>
      </c>
      <c r="C11" s="273" t="s">
        <v>787</v>
      </c>
      <c r="D11" s="274">
        <f>M14*(30/3)</f>
        <v>1082</v>
      </c>
      <c r="E11" s="267"/>
      <c r="F11" s="267"/>
      <c r="G11" s="267"/>
      <c r="H11" s="268"/>
      <c r="J11" s="240"/>
      <c r="K11" s="262" t="str">
        <f>CAPA!B25&amp;" - "&amp;CAPA!C25</f>
        <v>Torre 1 - ÁREA – 4º PAVIMENTO GARAGEM/LAZER</v>
      </c>
      <c r="L11" s="263">
        <v>892.45</v>
      </c>
      <c r="M11" s="263">
        <v>151.72</v>
      </c>
      <c r="N11" s="263">
        <v>5.0400000000000027</v>
      </c>
      <c r="O11"/>
      <c r="P11"/>
      <c r="Q11"/>
      <c r="R11"/>
      <c r="S11"/>
      <c r="T11"/>
      <c r="U11"/>
      <c r="V11"/>
      <c r="W11"/>
      <c r="X11"/>
      <c r="Y11"/>
      <c r="Z11"/>
      <c r="AA11"/>
      <c r="AB11"/>
      <c r="AC11"/>
      <c r="AD11"/>
      <c r="AE11"/>
      <c r="AF11"/>
      <c r="AG11"/>
      <c r="AH11"/>
      <c r="AI11"/>
      <c r="AJ11"/>
      <c r="AK11"/>
      <c r="AL11"/>
    </row>
    <row r="12" spans="1:38" ht="21.75" customHeight="1" thickBot="1" x14ac:dyDescent="0.65">
      <c r="A12" s="264"/>
      <c r="B12" s="275" t="s">
        <v>114</v>
      </c>
      <c r="C12" s="276" t="s">
        <v>787</v>
      </c>
      <c r="D12" s="277">
        <f>D8+D10</f>
        <v>259.92</v>
      </c>
      <c r="E12" s="267"/>
      <c r="F12" s="267"/>
      <c r="G12" s="267"/>
      <c r="H12" s="268"/>
      <c r="J12" s="240"/>
      <c r="K12" s="262" t="str">
        <f>CAPA!B26&amp;" - "&amp;CAPA!C26</f>
        <v>Torre 1 - ÁREA – 5º PAVIMENTO LAZER</v>
      </c>
      <c r="L12" s="263">
        <v>499.27</v>
      </c>
      <c r="M12" s="263">
        <v>151.72</v>
      </c>
      <c r="N12" s="263">
        <v>3.2399999999999984</v>
      </c>
      <c r="O12"/>
      <c r="P12"/>
      <c r="Q12"/>
      <c r="R12"/>
      <c r="S12"/>
      <c r="T12"/>
      <c r="U12"/>
      <c r="V12"/>
      <c r="W12"/>
      <c r="X12"/>
      <c r="Y12"/>
      <c r="Z12"/>
      <c r="AA12"/>
      <c r="AB12"/>
      <c r="AC12"/>
      <c r="AD12"/>
      <c r="AE12"/>
      <c r="AF12"/>
      <c r="AG12"/>
      <c r="AH12"/>
      <c r="AI12"/>
      <c r="AJ12"/>
      <c r="AK12"/>
      <c r="AL12"/>
    </row>
    <row r="13" spans="1:38" ht="21.75" customHeight="1" thickBot="1" x14ac:dyDescent="0.65">
      <c r="A13" s="264"/>
      <c r="B13" s="275" t="s">
        <v>120</v>
      </c>
      <c r="C13" s="276" t="s">
        <v>787</v>
      </c>
      <c r="D13" s="277">
        <f>D11+D9</f>
        <v>1385.44</v>
      </c>
      <c r="E13" s="267"/>
      <c r="F13" s="267"/>
      <c r="G13" s="267"/>
      <c r="H13" s="268"/>
      <c r="I13" s="240"/>
      <c r="J13" s="240"/>
      <c r="K13" s="262" t="str">
        <f>CAPA!B27&amp;" - "&amp;CAPA!C27</f>
        <v>Torre 1 - ÁREA – 6º PAVIMENTO TIPO - DIFERENCIADO</v>
      </c>
      <c r="L13" s="263">
        <v>345.53</v>
      </c>
      <c r="M13" s="263">
        <v>108.2</v>
      </c>
      <c r="N13" s="263">
        <v>3.1500000000000021</v>
      </c>
      <c r="O13"/>
      <c r="P13"/>
      <c r="Q13"/>
      <c r="R13"/>
      <c r="S13"/>
      <c r="T13"/>
      <c r="U13"/>
      <c r="V13"/>
      <c r="W13"/>
      <c r="X13"/>
      <c r="Y13"/>
      <c r="Z13"/>
      <c r="AA13"/>
      <c r="AB13"/>
      <c r="AC13"/>
      <c r="AD13"/>
      <c r="AE13"/>
      <c r="AF13"/>
      <c r="AG13"/>
      <c r="AH13"/>
      <c r="AI13"/>
      <c r="AJ13"/>
      <c r="AK13"/>
      <c r="AL13"/>
    </row>
    <row r="14" spans="1:38" ht="21.75" customHeight="1" x14ac:dyDescent="0.6">
      <c r="A14" s="257" t="s">
        <v>121</v>
      </c>
      <c r="B14" s="258"/>
      <c r="C14" s="258"/>
      <c r="D14" s="259"/>
      <c r="E14" s="260"/>
      <c r="F14" s="278"/>
      <c r="G14" s="260"/>
      <c r="H14" s="261"/>
      <c r="I14" s="240"/>
      <c r="J14" s="240"/>
      <c r="K14" s="262" t="str">
        <f>CAPA!$B$28&amp;" - "&amp;CAPA!$C$28</f>
        <v>Torre 1 - ÁREA – 7º AO 14° PAVIMENTO TIPO - X8</v>
      </c>
      <c r="L14" s="263">
        <v>303.41000000000003</v>
      </c>
      <c r="M14" s="263">
        <v>108.2</v>
      </c>
      <c r="N14" s="263">
        <v>3.1499999999999986</v>
      </c>
      <c r="O14"/>
      <c r="P14"/>
      <c r="Q14"/>
      <c r="R14"/>
      <c r="S14"/>
      <c r="T14"/>
      <c r="U14"/>
      <c r="V14"/>
      <c r="W14"/>
      <c r="X14"/>
      <c r="Y14"/>
      <c r="Z14"/>
      <c r="AA14"/>
      <c r="AB14"/>
      <c r="AC14"/>
      <c r="AD14"/>
      <c r="AE14"/>
      <c r="AF14"/>
      <c r="AG14"/>
      <c r="AH14"/>
      <c r="AI14"/>
      <c r="AJ14"/>
      <c r="AK14"/>
      <c r="AL14"/>
    </row>
    <row r="15" spans="1:38" ht="21.75" customHeight="1" thickBot="1" x14ac:dyDescent="0.65">
      <c r="A15" s="279"/>
      <c r="B15" s="265"/>
      <c r="C15" s="265"/>
      <c r="D15" s="266"/>
      <c r="E15" s="267"/>
      <c r="F15" s="267"/>
      <c r="G15" s="267"/>
      <c r="H15" s="268"/>
      <c r="I15" s="240"/>
      <c r="J15" s="240"/>
      <c r="K15" s="262" t="str">
        <f>CAPA!$B$28&amp;" - "&amp;CAPA!$C$28</f>
        <v>Torre 1 - ÁREA – 7º AO 14° PAVIMENTO TIPO - X8</v>
      </c>
      <c r="L15" s="263">
        <v>303.41000000000003</v>
      </c>
      <c r="M15" s="263">
        <v>108.2</v>
      </c>
      <c r="N15" s="263">
        <v>3.1499999999999986</v>
      </c>
      <c r="O15"/>
      <c r="P15"/>
      <c r="Q15"/>
      <c r="R15"/>
      <c r="S15"/>
      <c r="T15"/>
      <c r="U15"/>
      <c r="V15"/>
      <c r="W15"/>
      <c r="X15"/>
      <c r="Y15"/>
      <c r="Z15"/>
      <c r="AA15"/>
      <c r="AB15"/>
      <c r="AC15"/>
      <c r="AD15"/>
      <c r="AE15"/>
      <c r="AF15"/>
      <c r="AG15"/>
      <c r="AH15"/>
      <c r="AI15"/>
      <c r="AJ15"/>
      <c r="AK15"/>
      <c r="AL15"/>
    </row>
    <row r="16" spans="1:38" ht="21.75" customHeight="1" x14ac:dyDescent="0.6">
      <c r="A16" s="279"/>
      <c r="B16" s="280" t="s">
        <v>59</v>
      </c>
      <c r="C16" s="281" t="s">
        <v>1219</v>
      </c>
      <c r="D16" s="282" t="s">
        <v>61</v>
      </c>
      <c r="E16" s="267"/>
      <c r="F16" s="267"/>
      <c r="G16" s="267"/>
      <c r="H16" s="268"/>
      <c r="I16" s="240"/>
      <c r="J16" s="240"/>
      <c r="K16" s="262" t="str">
        <f>CAPA!$B$28&amp;" - "&amp;CAPA!$C$28</f>
        <v>Torre 1 - ÁREA – 7º AO 14° PAVIMENTO TIPO - X8</v>
      </c>
      <c r="L16" s="263">
        <v>303.41000000000003</v>
      </c>
      <c r="M16" s="263">
        <v>108.2</v>
      </c>
      <c r="N16" s="263">
        <v>3.1499999999999986</v>
      </c>
      <c r="O16"/>
      <c r="P16"/>
      <c r="Q16"/>
      <c r="R16"/>
      <c r="S16"/>
      <c r="T16"/>
      <c r="U16"/>
      <c r="V16"/>
      <c r="W16"/>
      <c r="X16"/>
      <c r="Y16"/>
      <c r="Z16"/>
      <c r="AA16"/>
      <c r="AB16"/>
      <c r="AC16"/>
      <c r="AD16"/>
      <c r="AE16"/>
      <c r="AF16"/>
      <c r="AG16"/>
      <c r="AH16"/>
      <c r="AI16"/>
      <c r="AJ16"/>
      <c r="AK16"/>
      <c r="AL16"/>
    </row>
    <row r="17" spans="1:38" ht="21.75" customHeight="1" x14ac:dyDescent="0.6">
      <c r="A17" s="279"/>
      <c r="B17" s="283" t="s">
        <v>2038</v>
      </c>
      <c r="C17" s="284" t="s">
        <v>787</v>
      </c>
      <c r="D17" s="285">
        <f>M19</f>
        <v>108.2</v>
      </c>
      <c r="E17" s="267"/>
      <c r="F17" s="267"/>
      <c r="G17" s="267"/>
      <c r="H17" s="268"/>
      <c r="I17" s="240"/>
      <c r="J17" s="240"/>
      <c r="K17" s="262" t="str">
        <f>CAPA!$B$28&amp;" - "&amp;CAPA!$C$28</f>
        <v>Torre 1 - ÁREA – 7º AO 14° PAVIMENTO TIPO - X8</v>
      </c>
      <c r="L17" s="263">
        <v>303.41000000000003</v>
      </c>
      <c r="M17" s="263">
        <v>108.2</v>
      </c>
      <c r="N17" s="263">
        <v>3.1500000000000057</v>
      </c>
      <c r="O17"/>
      <c r="P17"/>
      <c r="Q17"/>
      <c r="R17"/>
      <c r="S17"/>
      <c r="T17"/>
      <c r="U17"/>
      <c r="V17"/>
      <c r="W17"/>
      <c r="X17"/>
      <c r="Y17"/>
      <c r="Z17"/>
      <c r="AA17"/>
      <c r="AB17"/>
      <c r="AC17"/>
      <c r="AD17"/>
      <c r="AE17"/>
      <c r="AF17"/>
      <c r="AG17"/>
      <c r="AH17"/>
      <c r="AI17"/>
      <c r="AJ17"/>
      <c r="AK17"/>
      <c r="AL17"/>
    </row>
    <row r="18" spans="1:38" ht="21.75" customHeight="1" x14ac:dyDescent="0.6">
      <c r="A18" s="279"/>
      <c r="B18" s="283" t="s">
        <v>2039</v>
      </c>
      <c r="C18" s="284" t="s">
        <v>787</v>
      </c>
      <c r="D18" s="285" t="e">
        <f>CPU!I4116</f>
        <v>#REF!</v>
      </c>
      <c r="E18" s="267"/>
      <c r="F18" s="267"/>
      <c r="G18" s="267"/>
      <c r="H18" s="268"/>
      <c r="I18" s="240"/>
      <c r="J18" s="240"/>
      <c r="K18" s="262" t="str">
        <f>CAPA!$B$28&amp;" - "&amp;CAPA!$C$28</f>
        <v>Torre 1 - ÁREA – 7º AO 14° PAVIMENTO TIPO - X8</v>
      </c>
      <c r="L18" s="263">
        <v>303.41000000000003</v>
      </c>
      <c r="M18" s="263">
        <v>108.2</v>
      </c>
      <c r="N18" s="263">
        <v>3.2399999999999949</v>
      </c>
      <c r="O18"/>
      <c r="P18"/>
      <c r="Q18"/>
      <c r="R18"/>
      <c r="S18"/>
      <c r="T18"/>
      <c r="U18"/>
      <c r="V18"/>
      <c r="W18"/>
      <c r="X18"/>
      <c r="Y18"/>
      <c r="Z18"/>
      <c r="AA18"/>
      <c r="AB18"/>
      <c r="AC18"/>
      <c r="AD18"/>
      <c r="AE18"/>
      <c r="AF18"/>
      <c r="AG18"/>
      <c r="AH18"/>
      <c r="AI18"/>
      <c r="AJ18"/>
      <c r="AK18"/>
      <c r="AL18"/>
    </row>
    <row r="19" spans="1:38" ht="21.75" customHeight="1" x14ac:dyDescent="0.6">
      <c r="A19" s="279"/>
      <c r="B19" s="286" t="s">
        <v>121</v>
      </c>
      <c r="C19" s="287" t="s">
        <v>787</v>
      </c>
      <c r="D19" s="288" t="e">
        <f>D17+D18</f>
        <v>#REF!</v>
      </c>
      <c r="E19" s="267"/>
      <c r="F19" s="267"/>
      <c r="G19" s="267"/>
      <c r="H19" s="268"/>
      <c r="I19" s="240"/>
      <c r="J19" s="240"/>
      <c r="K19" s="262" t="str">
        <f>CAPA!$B$28&amp;" - "&amp;CAPA!$C$28</f>
        <v>Torre 1 - ÁREA – 7º AO 14° PAVIMENTO TIPO - X8</v>
      </c>
      <c r="L19" s="263">
        <v>303.41000000000003</v>
      </c>
      <c r="M19" s="263">
        <v>108.2</v>
      </c>
      <c r="N19" s="263">
        <v>3.2399999999999807</v>
      </c>
      <c r="O19"/>
      <c r="P19"/>
      <c r="Q19"/>
      <c r="R19"/>
      <c r="S19"/>
      <c r="T19"/>
      <c r="U19"/>
      <c r="V19"/>
      <c r="W19"/>
      <c r="X19"/>
      <c r="Y19"/>
      <c r="Z19"/>
      <c r="AA19"/>
      <c r="AB19"/>
      <c r="AC19"/>
      <c r="AD19"/>
      <c r="AE19"/>
      <c r="AF19"/>
      <c r="AG19"/>
      <c r="AH19"/>
      <c r="AI19"/>
      <c r="AJ19"/>
      <c r="AK19"/>
      <c r="AL19"/>
    </row>
    <row r="20" spans="1:38" ht="21.75" customHeight="1" x14ac:dyDescent="0.6">
      <c r="A20" s="279"/>
      <c r="B20" s="265"/>
      <c r="C20" s="265"/>
      <c r="D20" s="266"/>
      <c r="E20" s="267"/>
      <c r="F20" s="267"/>
      <c r="G20" s="267"/>
      <c r="H20" s="268"/>
      <c r="J20" s="240"/>
      <c r="K20" s="262" t="str">
        <f>CAPA!$B$28&amp;" - "&amp;CAPA!$C$28</f>
        <v>Torre 1 - ÁREA – 7º AO 14° PAVIMENTO TIPO - X8</v>
      </c>
      <c r="L20" s="263">
        <v>303.41000000000003</v>
      </c>
      <c r="M20" s="263">
        <v>108.2</v>
      </c>
      <c r="N20" s="263">
        <v>2</v>
      </c>
      <c r="O20"/>
      <c r="P20"/>
      <c r="Q20"/>
      <c r="R20"/>
      <c r="S20"/>
      <c r="T20"/>
      <c r="U20"/>
      <c r="V20"/>
      <c r="W20"/>
      <c r="X20"/>
      <c r="Y20"/>
      <c r="Z20"/>
      <c r="AA20"/>
      <c r="AB20"/>
      <c r="AC20"/>
      <c r="AD20"/>
      <c r="AE20"/>
      <c r="AF20"/>
      <c r="AG20"/>
      <c r="AH20"/>
      <c r="AI20"/>
      <c r="AJ20"/>
      <c r="AK20"/>
      <c r="AL20"/>
    </row>
    <row r="21" spans="1:38" ht="21.75" customHeight="1" x14ac:dyDescent="0.6">
      <c r="A21" s="257" t="s">
        <v>1586</v>
      </c>
      <c r="B21" s="258"/>
      <c r="C21" s="258"/>
      <c r="D21" s="259"/>
      <c r="E21" s="289"/>
      <c r="F21" s="289"/>
      <c r="G21" s="289"/>
      <c r="H21" s="290"/>
      <c r="J21" s="240"/>
      <c r="K21" s="262" t="str">
        <f>CAPA!$B$28&amp;" - "&amp;CAPA!$C$28</f>
        <v>Torre 1 - ÁREA – 7º AO 14° PAVIMENTO TIPO - X8</v>
      </c>
      <c r="L21" s="263">
        <v>303.41000000000003</v>
      </c>
      <c r="M21" s="263">
        <v>108.2</v>
      </c>
      <c r="N21" s="263">
        <v>2.5</v>
      </c>
      <c r="O21"/>
      <c r="P21"/>
      <c r="Q21"/>
      <c r="R21"/>
      <c r="S21"/>
      <c r="T21"/>
      <c r="U21"/>
      <c r="V21"/>
      <c r="W21"/>
      <c r="X21"/>
      <c r="Y21"/>
      <c r="Z21"/>
      <c r="AA21"/>
      <c r="AB21"/>
      <c r="AC21"/>
      <c r="AD21"/>
      <c r="AE21"/>
      <c r="AF21"/>
      <c r="AG21"/>
      <c r="AH21"/>
      <c r="AI21"/>
      <c r="AJ21"/>
      <c r="AK21"/>
      <c r="AL21"/>
    </row>
    <row r="22" spans="1:38" ht="21.75" customHeight="1" thickBot="1" x14ac:dyDescent="0.65">
      <c r="A22" s="279"/>
      <c r="B22" s="265"/>
      <c r="C22" s="265"/>
      <c r="D22" s="266"/>
      <c r="E22" s="267"/>
      <c r="F22" s="267"/>
      <c r="G22" s="267"/>
      <c r="H22" s="268"/>
      <c r="J22" s="240"/>
      <c r="K22" s="262" t="str">
        <f>CAPA!$C$29</f>
        <v>ÁREA – 15º AO 35° PAVIMENTO TIPO - X21</v>
      </c>
      <c r="L22" s="263">
        <v>303.57</v>
      </c>
      <c r="M22" s="263">
        <v>108.2</v>
      </c>
      <c r="N22" s="263">
        <v>3.1499999999999986</v>
      </c>
      <c r="O22"/>
      <c r="P22"/>
      <c r="Q22"/>
      <c r="R22"/>
      <c r="S22"/>
      <c r="T22"/>
      <c r="U22"/>
      <c r="V22"/>
      <c r="W22"/>
      <c r="X22"/>
      <c r="Y22"/>
      <c r="Z22"/>
      <c r="AA22"/>
      <c r="AB22"/>
      <c r="AC22"/>
      <c r="AD22"/>
      <c r="AE22"/>
      <c r="AF22"/>
      <c r="AG22"/>
      <c r="AH22"/>
      <c r="AI22"/>
      <c r="AJ22"/>
      <c r="AK22"/>
      <c r="AL22"/>
    </row>
    <row r="23" spans="1:38" ht="21.75" customHeight="1" x14ac:dyDescent="0.6">
      <c r="A23" s="279"/>
      <c r="B23" s="269" t="s">
        <v>59</v>
      </c>
      <c r="C23" s="270" t="s">
        <v>1219</v>
      </c>
      <c r="D23" s="271" t="s">
        <v>61</v>
      </c>
      <c r="E23" s="267"/>
      <c r="F23" s="267"/>
      <c r="G23" s="267"/>
      <c r="H23" s="268"/>
      <c r="I23" s="240"/>
      <c r="J23" s="240"/>
      <c r="K23" s="262" t="str">
        <f>CAPA!$C$29</f>
        <v>ÁREA – 15º AO 35° PAVIMENTO TIPO - X21</v>
      </c>
      <c r="L23" s="263">
        <v>303.57</v>
      </c>
      <c r="M23" s="263">
        <v>108.2</v>
      </c>
      <c r="N23" s="263">
        <v>3.1499999999999986</v>
      </c>
      <c r="O23"/>
      <c r="P23"/>
      <c r="Q23"/>
      <c r="R23"/>
      <c r="S23"/>
      <c r="T23"/>
      <c r="U23"/>
      <c r="V23"/>
      <c r="W23"/>
      <c r="X23"/>
      <c r="Y23"/>
      <c r="Z23"/>
      <c r="AA23"/>
      <c r="AB23"/>
      <c r="AC23"/>
      <c r="AD23"/>
      <c r="AE23"/>
      <c r="AF23"/>
      <c r="AG23"/>
      <c r="AH23"/>
      <c r="AI23"/>
      <c r="AJ23"/>
      <c r="AK23"/>
      <c r="AL23"/>
    </row>
    <row r="24" spans="1:38" ht="21.75" customHeight="1" x14ac:dyDescent="0.6">
      <c r="A24" s="279"/>
      <c r="B24" s="291" t="s">
        <v>1587</v>
      </c>
      <c r="C24" s="292" t="s">
        <v>787</v>
      </c>
      <c r="D24" s="293">
        <f>M20</f>
        <v>108.2</v>
      </c>
      <c r="E24" s="267"/>
      <c r="F24" s="267"/>
      <c r="G24" s="267"/>
      <c r="H24" s="268"/>
      <c r="I24" s="240"/>
      <c r="J24" s="240"/>
      <c r="K24" s="262" t="str">
        <f>CAPA!$C$29</f>
        <v>ÁREA – 15º AO 35° PAVIMENTO TIPO - X21</v>
      </c>
      <c r="L24" s="263">
        <v>303.57</v>
      </c>
      <c r="M24" s="263">
        <v>108.2</v>
      </c>
      <c r="N24" s="263">
        <v>3.1499999999999986</v>
      </c>
      <c r="O24"/>
      <c r="P24"/>
      <c r="Q24"/>
      <c r="R24"/>
      <c r="S24"/>
      <c r="T24"/>
      <c r="U24"/>
      <c r="V24"/>
      <c r="W24"/>
      <c r="X24"/>
      <c r="Y24"/>
      <c r="Z24"/>
      <c r="AA24"/>
      <c r="AB24"/>
      <c r="AC24"/>
      <c r="AD24"/>
      <c r="AE24"/>
      <c r="AF24"/>
      <c r="AG24"/>
      <c r="AH24"/>
      <c r="AI24"/>
      <c r="AJ24"/>
      <c r="AK24"/>
      <c r="AL24"/>
    </row>
    <row r="25" spans="1:38" ht="21.75" customHeight="1" x14ac:dyDescent="0.6">
      <c r="A25" s="279"/>
      <c r="B25" s="294" t="s">
        <v>1588</v>
      </c>
      <c r="C25" s="295" t="s">
        <v>533</v>
      </c>
      <c r="D25" s="296">
        <f>COUNTA(K6:K48)</f>
        <v>43</v>
      </c>
      <c r="E25" s="267"/>
      <c r="F25" s="267"/>
      <c r="G25" s="267"/>
      <c r="H25" s="268"/>
      <c r="J25" s="240"/>
      <c r="K25" s="262" t="str">
        <f>CAPA!$C$29</f>
        <v>ÁREA – 15º AO 35° PAVIMENTO TIPO - X21</v>
      </c>
      <c r="L25" s="263">
        <v>303.57</v>
      </c>
      <c r="M25" s="263">
        <v>108.2</v>
      </c>
      <c r="N25" s="263">
        <v>3.1499999999999986</v>
      </c>
      <c r="O25"/>
      <c r="P25"/>
      <c r="Q25"/>
      <c r="R25"/>
      <c r="S25"/>
      <c r="T25"/>
      <c r="U25"/>
      <c r="V25"/>
      <c r="W25"/>
      <c r="X25"/>
      <c r="Y25"/>
      <c r="Z25"/>
      <c r="AA25"/>
      <c r="AB25"/>
      <c r="AC25"/>
      <c r="AD25"/>
      <c r="AE25"/>
      <c r="AF25"/>
      <c r="AG25"/>
      <c r="AH25"/>
      <c r="AI25"/>
      <c r="AJ25"/>
      <c r="AK25"/>
      <c r="AL25"/>
    </row>
    <row r="26" spans="1:38" ht="21.75" customHeight="1" x14ac:dyDescent="0.6">
      <c r="A26" s="279"/>
      <c r="B26" s="297" t="s">
        <v>124</v>
      </c>
      <c r="C26" s="298" t="s">
        <v>787</v>
      </c>
      <c r="D26" s="299">
        <f>D24*D25</f>
        <v>4652.6000000000004</v>
      </c>
      <c r="E26" s="267"/>
      <c r="F26" s="267"/>
      <c r="G26" s="267"/>
      <c r="H26" s="268"/>
      <c r="J26" s="240"/>
      <c r="K26" s="262" t="str">
        <f>CAPA!$C$29</f>
        <v>ÁREA – 15º AO 35° PAVIMENTO TIPO - X21</v>
      </c>
      <c r="L26" s="263">
        <v>303.57</v>
      </c>
      <c r="M26" s="263">
        <v>108.2</v>
      </c>
      <c r="N26" s="263">
        <v>3.1499999999999986</v>
      </c>
      <c r="O26"/>
      <c r="P26"/>
      <c r="Q26"/>
      <c r="R26"/>
      <c r="S26"/>
      <c r="T26"/>
      <c r="U26"/>
      <c r="V26"/>
      <c r="W26"/>
      <c r="X26"/>
      <c r="Y26"/>
      <c r="Z26"/>
      <c r="AA26"/>
      <c r="AB26"/>
      <c r="AC26"/>
      <c r="AD26"/>
      <c r="AE26"/>
      <c r="AF26"/>
      <c r="AG26"/>
      <c r="AH26"/>
      <c r="AI26"/>
      <c r="AJ26"/>
      <c r="AK26"/>
      <c r="AL26"/>
    </row>
    <row r="27" spans="1:38" ht="21.75" customHeight="1" x14ac:dyDescent="0.45">
      <c r="A27" s="264"/>
      <c r="B27" s="267"/>
      <c r="C27" s="267"/>
      <c r="D27" s="300"/>
      <c r="E27" s="267"/>
      <c r="F27" s="267"/>
      <c r="G27" s="267"/>
      <c r="H27" s="301"/>
      <c r="J27" s="240"/>
      <c r="K27" s="262" t="str">
        <f>CAPA!$C$29</f>
        <v>ÁREA – 15º AO 35° PAVIMENTO TIPO - X21</v>
      </c>
      <c r="L27" s="263">
        <v>303.57</v>
      </c>
      <c r="M27" s="263">
        <v>108.2</v>
      </c>
      <c r="N27" s="263">
        <v>3.1499999999999986</v>
      </c>
      <c r="O27"/>
      <c r="P27"/>
      <c r="Q27"/>
      <c r="R27"/>
      <c r="S27"/>
      <c r="T27"/>
      <c r="U27"/>
      <c r="V27"/>
      <c r="W27"/>
      <c r="X27"/>
      <c r="Y27"/>
      <c r="Z27"/>
      <c r="AA27"/>
      <c r="AB27"/>
      <c r="AC27"/>
      <c r="AD27"/>
      <c r="AE27"/>
      <c r="AF27"/>
      <c r="AG27"/>
      <c r="AH27"/>
      <c r="AI27"/>
      <c r="AJ27"/>
      <c r="AK27"/>
      <c r="AL27"/>
    </row>
    <row r="28" spans="1:38" ht="21.75" customHeight="1" x14ac:dyDescent="0.6">
      <c r="A28" s="257" t="s">
        <v>129</v>
      </c>
      <c r="B28" s="258"/>
      <c r="C28" s="258"/>
      <c r="D28" s="259"/>
      <c r="E28" s="260"/>
      <c r="F28" s="260"/>
      <c r="G28" s="260"/>
      <c r="H28" s="261"/>
      <c r="J28" s="240"/>
      <c r="K28" s="262" t="str">
        <f>CAPA!$C$29</f>
        <v>ÁREA – 15º AO 35° PAVIMENTO TIPO - X21</v>
      </c>
      <c r="L28" s="263">
        <v>303.57</v>
      </c>
      <c r="M28" s="263">
        <v>108.2</v>
      </c>
      <c r="N28" s="263">
        <v>3.1499999999999986</v>
      </c>
      <c r="O28"/>
      <c r="P28"/>
      <c r="Q28"/>
      <c r="R28"/>
      <c r="S28"/>
      <c r="T28"/>
      <c r="U28"/>
      <c r="V28"/>
      <c r="W28"/>
      <c r="X28"/>
      <c r="Y28"/>
      <c r="Z28"/>
      <c r="AA28"/>
      <c r="AB28"/>
      <c r="AC28"/>
      <c r="AD28"/>
      <c r="AE28"/>
      <c r="AF28"/>
      <c r="AG28"/>
      <c r="AH28"/>
      <c r="AI28"/>
      <c r="AJ28"/>
      <c r="AK28"/>
      <c r="AL28"/>
    </row>
    <row r="29" spans="1:38" ht="21.75" customHeight="1" thickBot="1" x14ac:dyDescent="0.65">
      <c r="A29" s="279"/>
      <c r="B29" s="265"/>
      <c r="C29" s="265"/>
      <c r="D29" s="266"/>
      <c r="E29" s="267"/>
      <c r="F29" s="267"/>
      <c r="G29" s="267"/>
      <c r="H29" s="268"/>
      <c r="J29" s="240"/>
      <c r="K29" s="262" t="str">
        <f>CAPA!$C$29</f>
        <v>ÁREA – 15º AO 35° PAVIMENTO TIPO - X21</v>
      </c>
      <c r="L29" s="263">
        <v>303.57</v>
      </c>
      <c r="M29" s="263">
        <v>108.2</v>
      </c>
      <c r="N29" s="263">
        <v>3.1499999999999986</v>
      </c>
      <c r="O29"/>
      <c r="P29"/>
      <c r="Q29"/>
      <c r="R29"/>
      <c r="S29"/>
      <c r="T29"/>
      <c r="U29"/>
      <c r="V29"/>
      <c r="W29"/>
      <c r="X29"/>
      <c r="Y29"/>
      <c r="Z29"/>
      <c r="AA29"/>
      <c r="AB29"/>
      <c r="AC29"/>
      <c r="AD29"/>
      <c r="AE29"/>
      <c r="AF29"/>
      <c r="AG29"/>
      <c r="AH29"/>
      <c r="AI29"/>
      <c r="AJ29"/>
      <c r="AK29"/>
      <c r="AL29"/>
    </row>
    <row r="30" spans="1:38" ht="21.75" customHeight="1" x14ac:dyDescent="0.6">
      <c r="A30" s="279"/>
      <c r="B30" s="280" t="s">
        <v>59</v>
      </c>
      <c r="C30" s="281" t="s">
        <v>1219</v>
      </c>
      <c r="D30" s="282" t="s">
        <v>61</v>
      </c>
      <c r="E30" s="267"/>
      <c r="F30" s="267"/>
      <c r="G30" s="267"/>
      <c r="H30" s="268"/>
      <c r="J30" s="240"/>
      <c r="K30" s="262" t="str">
        <f>CAPA!$C$29</f>
        <v>ÁREA – 15º AO 35° PAVIMENTO TIPO - X21</v>
      </c>
      <c r="L30" s="263">
        <v>303.57</v>
      </c>
      <c r="M30" s="263">
        <v>108.2</v>
      </c>
      <c r="N30" s="263">
        <v>3.1499999999999986</v>
      </c>
      <c r="O30"/>
      <c r="P30"/>
      <c r="Q30"/>
      <c r="R30"/>
      <c r="S30"/>
      <c r="T30"/>
      <c r="U30"/>
      <c r="V30"/>
      <c r="W30"/>
      <c r="X30"/>
      <c r="Y30"/>
      <c r="Z30"/>
      <c r="AA30"/>
      <c r="AB30"/>
      <c r="AC30"/>
      <c r="AD30"/>
      <c r="AE30"/>
      <c r="AF30"/>
      <c r="AG30"/>
      <c r="AH30"/>
      <c r="AI30"/>
      <c r="AJ30"/>
      <c r="AK30"/>
      <c r="AL30"/>
    </row>
    <row r="31" spans="1:38" ht="21.75" customHeight="1" x14ac:dyDescent="0.6">
      <c r="A31" s="279"/>
      <c r="B31" s="272" t="s">
        <v>2872</v>
      </c>
      <c r="C31" s="273" t="s">
        <v>641</v>
      </c>
      <c r="D31" s="302">
        <f>2.5*2.4</f>
        <v>6</v>
      </c>
      <c r="E31" s="267"/>
      <c r="F31" s="267"/>
      <c r="G31" s="267"/>
      <c r="H31" s="268"/>
      <c r="J31" s="240"/>
      <c r="K31" s="262" t="str">
        <f>CAPA!$C$29</f>
        <v>ÁREA – 15º AO 35° PAVIMENTO TIPO - X21</v>
      </c>
      <c r="L31" s="263">
        <v>303.57</v>
      </c>
      <c r="M31" s="263">
        <v>108.2</v>
      </c>
      <c r="N31" s="263">
        <v>3.1499999999999986</v>
      </c>
      <c r="O31"/>
      <c r="P31"/>
      <c r="Q31"/>
      <c r="R31"/>
      <c r="S31"/>
      <c r="T31"/>
      <c r="U31"/>
      <c r="V31"/>
      <c r="W31"/>
      <c r="X31"/>
      <c r="Y31"/>
      <c r="Z31"/>
      <c r="AA31"/>
      <c r="AB31"/>
      <c r="AC31"/>
      <c r="AD31"/>
      <c r="AE31"/>
      <c r="AF31"/>
      <c r="AG31"/>
      <c r="AH31"/>
      <c r="AI31"/>
      <c r="AJ31"/>
      <c r="AK31"/>
      <c r="AL31"/>
    </row>
    <row r="32" spans="1:38" ht="21.75" customHeight="1" x14ac:dyDescent="0.6">
      <c r="A32" s="279"/>
      <c r="B32" s="272" t="s">
        <v>2873</v>
      </c>
      <c r="C32" s="273" t="s">
        <v>641</v>
      </c>
      <c r="D32" s="302">
        <f>33.7+27.4</f>
        <v>61.1</v>
      </c>
      <c r="E32" s="267"/>
      <c r="F32" s="267"/>
      <c r="G32" s="267"/>
      <c r="H32" s="268"/>
      <c r="J32" s="240"/>
      <c r="K32" s="262" t="str">
        <f>CAPA!$C$29</f>
        <v>ÁREA – 15º AO 35° PAVIMENTO TIPO - X21</v>
      </c>
      <c r="L32" s="263">
        <v>303.57</v>
      </c>
      <c r="M32" s="263">
        <v>108.2</v>
      </c>
      <c r="N32" s="263">
        <v>3.1499999999999986</v>
      </c>
      <c r="O32"/>
      <c r="P32"/>
      <c r="Q32"/>
      <c r="R32"/>
      <c r="S32"/>
      <c r="T32"/>
      <c r="U32"/>
      <c r="V32"/>
      <c r="W32"/>
      <c r="X32"/>
      <c r="Y32"/>
      <c r="Z32"/>
      <c r="AA32"/>
      <c r="AB32"/>
      <c r="AC32"/>
      <c r="AD32"/>
      <c r="AE32"/>
      <c r="AF32"/>
      <c r="AG32"/>
      <c r="AH32"/>
      <c r="AI32"/>
      <c r="AJ32"/>
      <c r="AK32"/>
      <c r="AL32"/>
    </row>
    <row r="33" spans="1:38" ht="21.75" customHeight="1" x14ac:dyDescent="0.6">
      <c r="A33" s="279"/>
      <c r="B33" s="272" t="s">
        <v>2041</v>
      </c>
      <c r="C33" s="273" t="s">
        <v>533</v>
      </c>
      <c r="D33" s="302">
        <v>2</v>
      </c>
      <c r="E33" s="267"/>
      <c r="F33" s="267"/>
      <c r="G33" s="267"/>
      <c r="H33" s="268"/>
      <c r="J33" s="240"/>
      <c r="K33" s="262" t="str">
        <f>CAPA!$C$29</f>
        <v>ÁREA – 15º AO 35° PAVIMENTO TIPO - X21</v>
      </c>
      <c r="L33" s="263">
        <v>303.57</v>
      </c>
      <c r="M33" s="263">
        <v>108.2</v>
      </c>
      <c r="N33" s="263">
        <v>3.1499999999999986</v>
      </c>
      <c r="O33"/>
      <c r="P33"/>
      <c r="Q33"/>
      <c r="R33"/>
      <c r="S33"/>
      <c r="T33"/>
      <c r="U33"/>
      <c r="V33"/>
      <c r="W33"/>
      <c r="X33"/>
      <c r="Y33"/>
      <c r="Z33"/>
      <c r="AA33"/>
      <c r="AB33"/>
      <c r="AC33"/>
      <c r="AD33"/>
      <c r="AE33"/>
      <c r="AF33"/>
      <c r="AG33"/>
      <c r="AH33"/>
      <c r="AI33"/>
      <c r="AJ33"/>
      <c r="AK33"/>
      <c r="AL33"/>
    </row>
    <row r="34" spans="1:38" ht="21.75" x14ac:dyDescent="0.6">
      <c r="A34" s="279"/>
      <c r="B34" s="272" t="s">
        <v>2042</v>
      </c>
      <c r="C34" s="273" t="s">
        <v>533</v>
      </c>
      <c r="D34" s="302">
        <v>7</v>
      </c>
      <c r="E34" s="267"/>
      <c r="F34" s="267"/>
      <c r="G34" s="267"/>
      <c r="H34" s="268"/>
      <c r="I34" s="240"/>
      <c r="J34" s="240"/>
      <c r="K34" s="262" t="str">
        <f>CAPA!$C$29</f>
        <v>ÁREA – 15º AO 35° PAVIMENTO TIPO - X21</v>
      </c>
      <c r="L34" s="263">
        <v>303.57</v>
      </c>
      <c r="M34" s="263">
        <v>108.2</v>
      </c>
      <c r="N34" s="263">
        <v>3.1499999999999986</v>
      </c>
      <c r="O34"/>
      <c r="P34"/>
      <c r="Q34"/>
      <c r="R34"/>
      <c r="S34"/>
      <c r="T34"/>
      <c r="U34"/>
      <c r="V34"/>
      <c r="W34"/>
      <c r="X34"/>
      <c r="Y34"/>
      <c r="Z34"/>
      <c r="AA34"/>
      <c r="AB34"/>
      <c r="AC34"/>
      <c r="AD34"/>
      <c r="AE34"/>
      <c r="AF34"/>
      <c r="AG34"/>
      <c r="AH34"/>
      <c r="AI34"/>
      <c r="AJ34"/>
      <c r="AK34"/>
      <c r="AL34"/>
    </row>
    <row r="35" spans="1:38" ht="21.75" x14ac:dyDescent="0.6">
      <c r="A35" s="279"/>
      <c r="B35" s="303" t="s">
        <v>2051</v>
      </c>
      <c r="C35" s="304" t="s">
        <v>641</v>
      </c>
      <c r="D35" s="305">
        <f>D31*D34*D33+D32*D34</f>
        <v>511.7</v>
      </c>
      <c r="E35" s="267"/>
      <c r="F35" s="267"/>
      <c r="G35" s="267"/>
      <c r="H35" s="268"/>
      <c r="I35" s="240"/>
      <c r="J35" s="240"/>
      <c r="K35" s="262" t="str">
        <f>CAPA!$C$29</f>
        <v>ÁREA – 15º AO 35° PAVIMENTO TIPO - X21</v>
      </c>
      <c r="L35" s="263">
        <v>303.57</v>
      </c>
      <c r="M35" s="263">
        <v>108.2</v>
      </c>
      <c r="N35" s="263">
        <v>3.1499999999999986</v>
      </c>
      <c r="O35"/>
      <c r="P35"/>
      <c r="Q35"/>
      <c r="R35"/>
      <c r="S35"/>
      <c r="T35"/>
      <c r="U35"/>
      <c r="V35"/>
      <c r="W35"/>
      <c r="X35"/>
      <c r="Y35"/>
      <c r="Z35"/>
      <c r="AA35"/>
      <c r="AB35"/>
      <c r="AC35"/>
      <c r="AD35"/>
      <c r="AE35"/>
      <c r="AF35"/>
      <c r="AG35"/>
      <c r="AH35"/>
      <c r="AI35"/>
      <c r="AJ35"/>
      <c r="AK35"/>
      <c r="AL35"/>
    </row>
    <row r="36" spans="1:38" ht="21.75" x14ac:dyDescent="0.6">
      <c r="A36" s="279"/>
      <c r="B36" s="272" t="s">
        <v>2040</v>
      </c>
      <c r="C36" s="273" t="s">
        <v>641</v>
      </c>
      <c r="D36" s="302">
        <f>2.1*1.2</f>
        <v>2.52</v>
      </c>
      <c r="E36" s="267"/>
      <c r="F36" s="267"/>
      <c r="G36" s="267"/>
      <c r="H36" s="268"/>
      <c r="I36" s="240"/>
      <c r="J36" s="240"/>
      <c r="K36" s="262" t="str">
        <f>CAPA!$C$29</f>
        <v>ÁREA – 15º AO 35° PAVIMENTO TIPO - X21</v>
      </c>
      <c r="L36" s="263">
        <v>303.57</v>
      </c>
      <c r="M36" s="263">
        <v>108.2</v>
      </c>
      <c r="N36" s="263">
        <v>3.1499999999999986</v>
      </c>
      <c r="O36"/>
      <c r="P36"/>
      <c r="Q36"/>
      <c r="R36"/>
      <c r="S36"/>
      <c r="T36"/>
      <c r="U36"/>
      <c r="V36"/>
      <c r="W36"/>
      <c r="X36"/>
      <c r="Y36"/>
      <c r="Z36"/>
      <c r="AA36"/>
      <c r="AB36"/>
      <c r="AC36"/>
      <c r="AD36"/>
      <c r="AE36"/>
      <c r="AF36"/>
      <c r="AG36"/>
      <c r="AH36"/>
      <c r="AI36"/>
      <c r="AJ36"/>
      <c r="AK36"/>
      <c r="AL36"/>
    </row>
    <row r="37" spans="1:38" ht="21.75" x14ac:dyDescent="0.6">
      <c r="A37" s="279"/>
      <c r="B37" s="272" t="s">
        <v>2873</v>
      </c>
      <c r="C37" s="273" t="s">
        <v>641</v>
      </c>
      <c r="D37" s="302">
        <f>3.78+3.83*2</f>
        <v>11.44</v>
      </c>
      <c r="E37" s="267"/>
      <c r="F37" s="267"/>
      <c r="G37" s="267"/>
      <c r="H37" s="268"/>
      <c r="I37" s="240"/>
      <c r="J37" s="240"/>
      <c r="K37" s="262" t="str">
        <f>CAPA!$C$29</f>
        <v>ÁREA – 15º AO 35° PAVIMENTO TIPO - X21</v>
      </c>
      <c r="L37" s="263">
        <v>303.57</v>
      </c>
      <c r="M37" s="263">
        <v>108.2</v>
      </c>
      <c r="N37" s="263">
        <v>3.1499999999999986</v>
      </c>
      <c r="O37"/>
      <c r="P37"/>
      <c r="Q37"/>
      <c r="R37"/>
      <c r="S37"/>
      <c r="T37"/>
      <c r="U37"/>
      <c r="V37"/>
      <c r="W37"/>
      <c r="X37"/>
      <c r="Y37"/>
      <c r="Z37"/>
      <c r="AA37"/>
      <c r="AB37"/>
      <c r="AC37"/>
      <c r="AD37"/>
      <c r="AE37"/>
      <c r="AF37"/>
      <c r="AG37"/>
      <c r="AH37"/>
      <c r="AI37"/>
      <c r="AJ37"/>
      <c r="AK37"/>
      <c r="AL37"/>
    </row>
    <row r="38" spans="1:38" ht="21.75" x14ac:dyDescent="0.6">
      <c r="A38" s="279"/>
      <c r="B38" s="272" t="s">
        <v>2041</v>
      </c>
      <c r="C38" s="273" t="s">
        <v>533</v>
      </c>
      <c r="D38" s="302">
        <v>3</v>
      </c>
      <c r="E38" s="267"/>
      <c r="F38" s="267"/>
      <c r="G38" s="267"/>
      <c r="H38" s="268"/>
      <c r="I38" s="240"/>
      <c r="J38" s="240"/>
      <c r="K38" s="262" t="str">
        <f>CAPA!$C$29</f>
        <v>ÁREA – 15º AO 35° PAVIMENTO TIPO - X21</v>
      </c>
      <c r="L38" s="263">
        <v>303.57</v>
      </c>
      <c r="M38" s="263">
        <v>108.2</v>
      </c>
      <c r="N38" s="263">
        <v>3.1499999999999986</v>
      </c>
      <c r="O38"/>
      <c r="P38"/>
      <c r="Q38"/>
      <c r="R38"/>
      <c r="S38"/>
      <c r="T38"/>
      <c r="U38"/>
      <c r="V38"/>
      <c r="W38"/>
      <c r="X38"/>
      <c r="Y38"/>
      <c r="Z38"/>
      <c r="AA38"/>
      <c r="AB38"/>
      <c r="AC38"/>
      <c r="AD38"/>
      <c r="AE38"/>
      <c r="AF38"/>
      <c r="AG38"/>
      <c r="AH38"/>
      <c r="AI38"/>
      <c r="AJ38"/>
      <c r="AK38"/>
      <c r="AL38"/>
    </row>
    <row r="39" spans="1:38" ht="21.75" x14ac:dyDescent="0.6">
      <c r="A39" s="279"/>
      <c r="B39" s="272" t="s">
        <v>2042</v>
      </c>
      <c r="C39" s="273" t="s">
        <v>533</v>
      </c>
      <c r="D39" s="302">
        <f>COUNTA(K6:K45)</f>
        <v>40</v>
      </c>
      <c r="E39" s="267"/>
      <c r="F39" s="267"/>
      <c r="G39" s="267"/>
      <c r="H39" s="268"/>
      <c r="I39" s="240"/>
      <c r="J39" s="240"/>
      <c r="K39" s="262" t="str">
        <f>CAPA!$C$29</f>
        <v>ÁREA – 15º AO 35° PAVIMENTO TIPO - X21</v>
      </c>
      <c r="L39" s="263">
        <v>303.57</v>
      </c>
      <c r="M39" s="263">
        <v>108.2</v>
      </c>
      <c r="N39" s="263">
        <v>3.1499999999999986</v>
      </c>
      <c r="O39"/>
      <c r="P39"/>
      <c r="Q39"/>
      <c r="R39"/>
      <c r="S39"/>
      <c r="T39"/>
      <c r="U39"/>
      <c r="V39"/>
      <c r="W39"/>
      <c r="X39"/>
      <c r="Y39"/>
      <c r="Z39"/>
      <c r="AA39"/>
      <c r="AB39"/>
      <c r="AC39"/>
      <c r="AD39"/>
      <c r="AE39"/>
      <c r="AF39"/>
      <c r="AG39"/>
      <c r="AH39"/>
      <c r="AI39"/>
      <c r="AJ39"/>
      <c r="AK39"/>
      <c r="AL39"/>
    </row>
    <row r="40" spans="1:38" ht="21.75" x14ac:dyDescent="0.6">
      <c r="A40" s="279"/>
      <c r="B40" s="303" t="s">
        <v>2051</v>
      </c>
      <c r="C40" s="304" t="s">
        <v>641</v>
      </c>
      <c r="D40" s="305">
        <f>D36*D39*D38+D37*D39</f>
        <v>760</v>
      </c>
      <c r="E40" s="267"/>
      <c r="F40" s="267"/>
      <c r="G40" s="267"/>
      <c r="H40" s="268"/>
      <c r="I40" s="240"/>
      <c r="J40" s="240"/>
      <c r="K40" s="262" t="str">
        <f>CAPA!$C$29</f>
        <v>ÁREA – 15º AO 35° PAVIMENTO TIPO - X21</v>
      </c>
      <c r="L40" s="263">
        <v>303.57</v>
      </c>
      <c r="M40" s="263">
        <v>108.2</v>
      </c>
      <c r="N40" s="263">
        <v>3.1499999999999986</v>
      </c>
      <c r="O40"/>
      <c r="P40"/>
      <c r="Q40"/>
      <c r="R40"/>
      <c r="S40"/>
      <c r="T40"/>
      <c r="U40"/>
      <c r="V40"/>
      <c r="W40"/>
      <c r="X40"/>
      <c r="Y40"/>
      <c r="Z40"/>
      <c r="AA40"/>
      <c r="AB40"/>
      <c r="AC40"/>
      <c r="AD40"/>
      <c r="AE40"/>
      <c r="AF40"/>
      <c r="AG40"/>
      <c r="AH40"/>
      <c r="AI40"/>
      <c r="AJ40"/>
      <c r="AK40"/>
      <c r="AL40"/>
    </row>
    <row r="41" spans="1:38" ht="21.75" customHeight="1" x14ac:dyDescent="0.6">
      <c r="A41" s="279"/>
      <c r="B41" s="265"/>
      <c r="C41" s="265"/>
      <c r="D41" s="266"/>
      <c r="E41" s="267"/>
      <c r="F41" s="267"/>
      <c r="G41" s="267"/>
      <c r="H41" s="268"/>
      <c r="J41" s="240"/>
      <c r="K41" s="262" t="str">
        <f>CAPA!$C$29</f>
        <v>ÁREA – 15º AO 35° PAVIMENTO TIPO - X21</v>
      </c>
      <c r="L41" s="263">
        <v>303.57</v>
      </c>
      <c r="M41" s="263">
        <v>108.2</v>
      </c>
      <c r="N41" s="263">
        <v>3.1499999999999986</v>
      </c>
      <c r="O41"/>
      <c r="P41"/>
      <c r="Q41"/>
      <c r="R41"/>
      <c r="S41"/>
      <c r="T41"/>
      <c r="U41"/>
      <c r="V41"/>
      <c r="W41"/>
      <c r="X41"/>
      <c r="Y41"/>
      <c r="Z41"/>
      <c r="AA41"/>
      <c r="AB41"/>
      <c r="AC41"/>
      <c r="AD41"/>
      <c r="AE41"/>
      <c r="AF41"/>
      <c r="AG41"/>
      <c r="AH41"/>
      <c r="AI41"/>
      <c r="AJ41"/>
      <c r="AK41"/>
      <c r="AL41"/>
    </row>
    <row r="42" spans="1:38" ht="21.75" customHeight="1" x14ac:dyDescent="0.6">
      <c r="A42" s="257" t="s">
        <v>126</v>
      </c>
      <c r="B42" s="258"/>
      <c r="C42" s="258"/>
      <c r="D42" s="259"/>
      <c r="E42" s="260"/>
      <c r="F42" s="260"/>
      <c r="G42" s="260"/>
      <c r="H42" s="261"/>
      <c r="J42" s="240"/>
      <c r="K42" s="262" t="str">
        <f>CAPA!$C$29</f>
        <v>ÁREA – 15º AO 35° PAVIMENTO TIPO - X21</v>
      </c>
      <c r="L42" s="263">
        <v>303.57</v>
      </c>
      <c r="M42" s="263">
        <v>108.2</v>
      </c>
      <c r="N42" s="263">
        <v>3.1499999999999986</v>
      </c>
      <c r="O42"/>
      <c r="P42"/>
      <c r="Q42"/>
      <c r="R42"/>
      <c r="S42"/>
      <c r="T42"/>
      <c r="U42"/>
      <c r="V42"/>
      <c r="W42"/>
      <c r="X42"/>
      <c r="Y42"/>
      <c r="Z42"/>
      <c r="AA42"/>
      <c r="AB42"/>
      <c r="AC42"/>
      <c r="AD42"/>
      <c r="AE42"/>
      <c r="AF42"/>
      <c r="AG42"/>
      <c r="AH42"/>
      <c r="AI42"/>
      <c r="AJ42"/>
      <c r="AK42"/>
      <c r="AL42"/>
    </row>
    <row r="43" spans="1:38" ht="21.75" customHeight="1" thickBot="1" x14ac:dyDescent="0.65">
      <c r="A43" s="279"/>
      <c r="B43" s="265"/>
      <c r="C43" s="265"/>
      <c r="D43" s="266"/>
      <c r="E43" s="267"/>
      <c r="F43" s="267"/>
      <c r="G43" s="267"/>
      <c r="H43" s="268"/>
      <c r="J43" s="240"/>
      <c r="K43" s="262" t="str">
        <f>CAPA!$C$30</f>
        <v>ÁREA – 36º PAVTO TIPO</v>
      </c>
      <c r="L43" s="263">
        <v>303.57</v>
      </c>
      <c r="M43" s="263">
        <v>108.2</v>
      </c>
      <c r="N43" s="263">
        <v>3.1499999999999986</v>
      </c>
      <c r="O43"/>
      <c r="P43"/>
      <c r="Q43"/>
      <c r="R43"/>
      <c r="S43"/>
      <c r="T43"/>
      <c r="U43"/>
      <c r="V43"/>
      <c r="W43"/>
      <c r="X43"/>
      <c r="Y43"/>
      <c r="Z43"/>
      <c r="AA43"/>
      <c r="AB43"/>
      <c r="AC43"/>
      <c r="AD43"/>
      <c r="AE43"/>
      <c r="AF43"/>
      <c r="AG43"/>
      <c r="AH43"/>
      <c r="AI43"/>
      <c r="AJ43"/>
      <c r="AK43"/>
      <c r="AL43"/>
    </row>
    <row r="44" spans="1:38" ht="21.75" customHeight="1" x14ac:dyDescent="0.6">
      <c r="A44" s="279"/>
      <c r="B44" s="269" t="s">
        <v>59</v>
      </c>
      <c r="C44" s="270" t="s">
        <v>1219</v>
      </c>
      <c r="D44" s="271" t="s">
        <v>61</v>
      </c>
      <c r="E44" s="267"/>
      <c r="F44" s="267"/>
      <c r="G44" s="267"/>
      <c r="H44" s="268"/>
      <c r="J44" s="240"/>
      <c r="K44" s="262" t="str">
        <f>CAPA!C31</f>
        <v>ÁREA – 37º PAVTO DUPLEX INFERIOR</v>
      </c>
      <c r="L44" s="263">
        <v>292.95999999999998</v>
      </c>
      <c r="M44" s="263">
        <v>108.2</v>
      </c>
      <c r="N44" s="263">
        <v>3.1500000000000057</v>
      </c>
      <c r="O44"/>
      <c r="P44"/>
      <c r="Q44"/>
      <c r="R44"/>
      <c r="S44"/>
      <c r="T44"/>
      <c r="U44"/>
      <c r="V44"/>
      <c r="W44"/>
      <c r="X44"/>
      <c r="Y44"/>
      <c r="Z44"/>
      <c r="AA44"/>
      <c r="AB44"/>
      <c r="AC44"/>
      <c r="AD44"/>
      <c r="AE44"/>
      <c r="AF44"/>
      <c r="AG44"/>
      <c r="AH44"/>
      <c r="AI44"/>
      <c r="AJ44"/>
      <c r="AK44"/>
      <c r="AL44"/>
    </row>
    <row r="45" spans="1:38" ht="21.75" customHeight="1" x14ac:dyDescent="0.6">
      <c r="A45" s="279"/>
      <c r="B45" s="306" t="s">
        <v>2043</v>
      </c>
      <c r="C45" s="307" t="s">
        <v>1242</v>
      </c>
      <c r="D45" s="308">
        <f>SUMPRODUCT($M$5:$M$48,$N$5:$N$48)</f>
        <v>15354.857199999993</v>
      </c>
      <c r="E45" s="267"/>
      <c r="F45" s="267"/>
      <c r="G45" s="267"/>
      <c r="H45" s="268"/>
      <c r="J45" s="240"/>
      <c r="K45" s="262" t="str">
        <f>CAPA!C32</f>
        <v>ÁREA – 38º PAVTO DUPLEX SUPERIOR</v>
      </c>
      <c r="L45" s="263">
        <v>278.8</v>
      </c>
      <c r="M45" s="263">
        <v>108.2</v>
      </c>
      <c r="N45" s="263">
        <v>3.2399999999999949</v>
      </c>
      <c r="O45"/>
      <c r="P45"/>
      <c r="Q45"/>
      <c r="R45"/>
      <c r="S45"/>
      <c r="T45"/>
      <c r="U45"/>
      <c r="V45"/>
      <c r="W45"/>
      <c r="X45"/>
      <c r="Y45"/>
      <c r="Z45"/>
      <c r="AA45"/>
      <c r="AB45"/>
      <c r="AC45"/>
      <c r="AD45"/>
      <c r="AE45"/>
      <c r="AF45"/>
      <c r="AG45"/>
      <c r="AH45"/>
      <c r="AI45"/>
      <c r="AJ45"/>
      <c r="AK45"/>
      <c r="AL45"/>
    </row>
    <row r="46" spans="1:38" ht="21.75" customHeight="1" x14ac:dyDescent="0.6">
      <c r="A46" s="279"/>
      <c r="B46" s="309" t="str">
        <f>A42</f>
        <v>Tela fachadeira</v>
      </c>
      <c r="C46" s="310" t="s">
        <v>641</v>
      </c>
      <c r="D46" s="311">
        <f>D45</f>
        <v>15354.857199999993</v>
      </c>
      <c r="E46" s="267"/>
      <c r="F46" s="267"/>
      <c r="G46" s="267"/>
      <c r="H46" s="268"/>
      <c r="J46" s="240"/>
      <c r="K46" s="262" t="str">
        <f>CAPA!$B$33&amp;" - "&amp;CAPA!$C$33</f>
        <v>Torre 1 - CASA DE MÁQUINAS/TELHADO</v>
      </c>
      <c r="L46" s="263">
        <v>73.72</v>
      </c>
      <c r="M46" s="263">
        <v>81.12</v>
      </c>
      <c r="N46" s="263">
        <v>3.2399999999999807</v>
      </c>
      <c r="O46"/>
      <c r="P46"/>
      <c r="Q46"/>
      <c r="R46"/>
      <c r="S46"/>
      <c r="T46"/>
      <c r="U46"/>
      <c r="V46"/>
      <c r="W46"/>
      <c r="X46"/>
      <c r="Y46"/>
      <c r="Z46"/>
      <c r="AA46"/>
      <c r="AB46"/>
      <c r="AC46"/>
      <c r="AD46"/>
      <c r="AE46"/>
      <c r="AF46"/>
      <c r="AG46"/>
      <c r="AH46"/>
      <c r="AI46"/>
      <c r="AJ46"/>
      <c r="AK46"/>
      <c r="AL46"/>
    </row>
    <row r="47" spans="1:38" ht="21.75" customHeight="1" x14ac:dyDescent="0.6">
      <c r="A47" s="279"/>
      <c r="B47" s="265"/>
      <c r="C47" s="265"/>
      <c r="D47" s="266"/>
      <c r="E47" s="267"/>
      <c r="F47" s="267"/>
      <c r="G47" s="267"/>
      <c r="H47" s="268"/>
      <c r="J47" s="240"/>
      <c r="K47" s="262" t="str">
        <f>CAPA!B34&amp;" - "&amp;CAPA!$C$34</f>
        <v>Torre 1 - BARRILETE</v>
      </c>
      <c r="L47" s="263">
        <v>73.72</v>
      </c>
      <c r="M47" s="263">
        <v>39.159999999999997</v>
      </c>
      <c r="N47" s="263">
        <v>2</v>
      </c>
      <c r="O47"/>
      <c r="P47"/>
      <c r="Q47"/>
      <c r="R47"/>
      <c r="S47"/>
      <c r="T47"/>
      <c r="U47"/>
      <c r="V47"/>
      <c r="W47"/>
      <c r="X47"/>
      <c r="Y47"/>
      <c r="Z47"/>
      <c r="AA47"/>
      <c r="AB47"/>
      <c r="AC47"/>
      <c r="AD47"/>
      <c r="AE47"/>
      <c r="AF47"/>
      <c r="AG47"/>
      <c r="AH47"/>
      <c r="AI47"/>
      <c r="AJ47"/>
      <c r="AK47"/>
      <c r="AL47"/>
    </row>
    <row r="48" spans="1:38" ht="21.75" customHeight="1" x14ac:dyDescent="0.6">
      <c r="A48" s="257" t="s">
        <v>141</v>
      </c>
      <c r="B48" s="258"/>
      <c r="C48" s="258"/>
      <c r="D48" s="259"/>
      <c r="E48" s="260"/>
      <c r="F48" s="260"/>
      <c r="G48" s="260"/>
      <c r="H48" s="261"/>
      <c r="I48" s="240"/>
      <c r="J48" s="240"/>
      <c r="K48" s="262" t="str">
        <f>CAPA!$B$35&amp;" - "&amp;CAPA!$C$35</f>
        <v>Torre 1 - RESERVATÓRIO</v>
      </c>
      <c r="L48" s="263">
        <v>73.72</v>
      </c>
      <c r="M48" s="263">
        <v>39.159999999999997</v>
      </c>
      <c r="N48" s="263">
        <v>2.5</v>
      </c>
      <c r="O48"/>
      <c r="P48"/>
      <c r="Q48"/>
      <c r="R48"/>
      <c r="S48"/>
      <c r="T48"/>
      <c r="U48"/>
      <c r="V48"/>
      <c r="W48"/>
      <c r="X48"/>
      <c r="Y48"/>
      <c r="Z48"/>
      <c r="AA48"/>
      <c r="AB48"/>
      <c r="AC48"/>
      <c r="AD48"/>
      <c r="AE48"/>
      <c r="AF48"/>
      <c r="AG48"/>
      <c r="AH48"/>
      <c r="AI48"/>
      <c r="AJ48"/>
      <c r="AK48"/>
      <c r="AL48"/>
    </row>
    <row r="49" spans="1:38" ht="21.75" customHeight="1" thickBot="1" x14ac:dyDescent="0.65">
      <c r="A49" s="279"/>
      <c r="B49" s="265"/>
      <c r="C49" s="265"/>
      <c r="D49" s="266"/>
      <c r="E49" s="267"/>
      <c r="F49" s="267"/>
      <c r="G49" s="267"/>
      <c r="H49" s="268"/>
      <c r="I49" s="240"/>
      <c r="J49" s="240"/>
      <c r="K49" s="240"/>
      <c r="L49" s="240"/>
      <c r="M49" s="240"/>
      <c r="N49" s="240"/>
      <c r="O49"/>
      <c r="P49"/>
      <c r="Q49"/>
      <c r="R49"/>
      <c r="S49"/>
      <c r="T49"/>
      <c r="U49"/>
      <c r="V49"/>
      <c r="W49"/>
      <c r="X49"/>
      <c r="Y49"/>
      <c r="Z49"/>
      <c r="AA49"/>
      <c r="AB49"/>
      <c r="AC49"/>
      <c r="AD49"/>
      <c r="AE49"/>
      <c r="AF49"/>
      <c r="AG49"/>
      <c r="AH49"/>
      <c r="AI49"/>
      <c r="AJ49"/>
      <c r="AK49"/>
      <c r="AL49"/>
    </row>
    <row r="50" spans="1:38" ht="21.75" customHeight="1" x14ac:dyDescent="0.6">
      <c r="A50" s="279"/>
      <c r="B50" s="269" t="s">
        <v>59</v>
      </c>
      <c r="C50" s="270" t="s">
        <v>1219</v>
      </c>
      <c r="D50" s="271" t="s">
        <v>61</v>
      </c>
      <c r="E50" s="267"/>
      <c r="F50" s="267"/>
      <c r="G50" s="267"/>
      <c r="H50" s="268"/>
      <c r="I50" s="240"/>
      <c r="J50" s="240"/>
      <c r="K50" s="240"/>
      <c r="L50" s="240"/>
      <c r="M50" s="240"/>
      <c r="N50" s="240"/>
      <c r="O50"/>
      <c r="P50"/>
      <c r="Q50"/>
      <c r="R50"/>
      <c r="S50"/>
      <c r="T50"/>
      <c r="U50"/>
      <c r="V50"/>
      <c r="W50"/>
      <c r="X50"/>
      <c r="Y50"/>
      <c r="Z50"/>
      <c r="AA50"/>
      <c r="AB50"/>
      <c r="AC50"/>
      <c r="AD50"/>
      <c r="AE50"/>
      <c r="AF50"/>
      <c r="AG50"/>
      <c r="AH50"/>
      <c r="AI50"/>
      <c r="AJ50"/>
      <c r="AK50"/>
      <c r="AL50"/>
    </row>
    <row r="51" spans="1:38" ht="21.75" customHeight="1" x14ac:dyDescent="0.6">
      <c r="A51" s="279"/>
      <c r="B51" s="272" t="s">
        <v>2044</v>
      </c>
      <c r="C51" s="273" t="s">
        <v>787</v>
      </c>
      <c r="D51" s="312">
        <f>M25*1+M10*30</f>
        <v>4659.8</v>
      </c>
      <c r="E51" s="267"/>
      <c r="F51" s="267"/>
      <c r="G51" s="267"/>
      <c r="H51" s="268"/>
      <c r="I51" s="240"/>
      <c r="J51" s="240"/>
      <c r="O51"/>
      <c r="P51"/>
      <c r="Q51"/>
      <c r="R51"/>
      <c r="S51"/>
      <c r="T51"/>
      <c r="U51"/>
      <c r="V51"/>
      <c r="W51"/>
      <c r="X51"/>
      <c r="Y51"/>
      <c r="Z51"/>
      <c r="AA51"/>
      <c r="AB51"/>
      <c r="AC51"/>
      <c r="AD51"/>
      <c r="AE51"/>
      <c r="AF51"/>
      <c r="AG51"/>
      <c r="AH51"/>
      <c r="AI51"/>
      <c r="AJ51"/>
      <c r="AK51"/>
      <c r="AL51"/>
    </row>
    <row r="52" spans="1:38" ht="21.75" customHeight="1" x14ac:dyDescent="0.6">
      <c r="A52" s="279"/>
      <c r="B52" s="272" t="s">
        <v>1589</v>
      </c>
      <c r="C52" s="273" t="s">
        <v>533</v>
      </c>
      <c r="D52" s="312">
        <v>1</v>
      </c>
      <c r="E52" s="267"/>
      <c r="F52" s="267"/>
      <c r="G52" s="267"/>
      <c r="H52" s="268"/>
      <c r="I52" s="240"/>
      <c r="J52" s="240"/>
      <c r="O52"/>
      <c r="P52"/>
      <c r="Q52"/>
      <c r="R52"/>
      <c r="S52"/>
      <c r="T52"/>
      <c r="U52"/>
      <c r="V52"/>
      <c r="W52"/>
      <c r="X52"/>
      <c r="Y52"/>
      <c r="Z52"/>
      <c r="AA52"/>
      <c r="AB52"/>
      <c r="AC52"/>
      <c r="AD52"/>
      <c r="AE52"/>
      <c r="AF52"/>
      <c r="AG52"/>
      <c r="AH52"/>
      <c r="AI52"/>
      <c r="AJ52"/>
      <c r="AK52"/>
      <c r="AL52"/>
    </row>
    <row r="53" spans="1:38" ht="21.75" customHeight="1" x14ac:dyDescent="0.6">
      <c r="A53" s="279"/>
      <c r="B53" s="309" t="str">
        <f>A48</f>
        <v>SLQA</v>
      </c>
      <c r="C53" s="310" t="s">
        <v>787</v>
      </c>
      <c r="D53" s="311">
        <f>D51*D52</f>
        <v>4659.8</v>
      </c>
      <c r="E53" s="267"/>
      <c r="F53" s="267"/>
      <c r="G53" s="267"/>
      <c r="H53" s="268"/>
      <c r="I53" s="240"/>
      <c r="J53" s="240"/>
      <c r="O53"/>
      <c r="P53"/>
      <c r="Q53"/>
      <c r="R53"/>
      <c r="S53"/>
      <c r="T53"/>
      <c r="U53"/>
      <c r="V53"/>
      <c r="W53"/>
      <c r="X53"/>
      <c r="Y53"/>
      <c r="Z53"/>
      <c r="AA53"/>
      <c r="AB53"/>
      <c r="AC53"/>
      <c r="AD53"/>
      <c r="AE53"/>
      <c r="AF53"/>
      <c r="AG53"/>
      <c r="AH53"/>
      <c r="AI53"/>
      <c r="AJ53"/>
      <c r="AK53"/>
      <c r="AL53"/>
    </row>
    <row r="54" spans="1:38" ht="21.75" customHeight="1" x14ac:dyDescent="0.6">
      <c r="A54" s="279"/>
      <c r="B54" s="265"/>
      <c r="C54" s="265"/>
      <c r="D54" s="266"/>
      <c r="E54" s="267"/>
      <c r="F54" s="267"/>
      <c r="G54" s="267"/>
      <c r="H54" s="268"/>
      <c r="I54" s="240"/>
      <c r="J54" s="240"/>
      <c r="O54"/>
      <c r="P54"/>
      <c r="Q54"/>
      <c r="R54"/>
      <c r="S54"/>
      <c r="T54"/>
      <c r="U54"/>
      <c r="V54"/>
      <c r="W54"/>
      <c r="X54"/>
      <c r="Y54"/>
      <c r="Z54"/>
      <c r="AA54"/>
      <c r="AB54"/>
      <c r="AC54"/>
      <c r="AD54"/>
      <c r="AE54"/>
      <c r="AF54"/>
      <c r="AG54"/>
      <c r="AH54"/>
      <c r="AI54"/>
      <c r="AJ54"/>
      <c r="AK54"/>
      <c r="AL54"/>
    </row>
    <row r="55" spans="1:38" ht="21.75" customHeight="1" thickBot="1" x14ac:dyDescent="0.65">
      <c r="A55" s="313"/>
      <c r="B55" s="314"/>
      <c r="C55" s="314"/>
      <c r="D55" s="315"/>
      <c r="E55" s="316"/>
      <c r="F55" s="316"/>
      <c r="G55" s="316"/>
      <c r="H55" s="317"/>
      <c r="I55" s="240"/>
      <c r="J55" s="240"/>
      <c r="O55"/>
      <c r="P55"/>
      <c r="Q55"/>
      <c r="R55"/>
      <c r="S55"/>
      <c r="T55"/>
      <c r="U55"/>
      <c r="V55"/>
      <c r="W55"/>
      <c r="X55"/>
      <c r="Y55"/>
      <c r="Z55"/>
      <c r="AA55"/>
      <c r="AB55"/>
      <c r="AC55"/>
      <c r="AD55"/>
      <c r="AE55"/>
      <c r="AF55"/>
      <c r="AG55"/>
      <c r="AH55"/>
      <c r="AI55"/>
      <c r="AJ55"/>
      <c r="AK55"/>
      <c r="AL55"/>
    </row>
    <row r="56" spans="1:38" ht="21.75" customHeight="1" x14ac:dyDescent="0.6">
      <c r="A56" s="257" t="s">
        <v>133</v>
      </c>
      <c r="B56" s="258"/>
      <c r="C56" s="258"/>
      <c r="D56" s="259"/>
      <c r="E56" s="260"/>
      <c r="F56" s="260"/>
      <c r="G56" s="260"/>
      <c r="H56" s="261"/>
      <c r="J56" s="240"/>
      <c r="O56"/>
      <c r="P56"/>
      <c r="Q56"/>
      <c r="R56"/>
      <c r="S56"/>
      <c r="T56"/>
      <c r="U56"/>
      <c r="V56"/>
      <c r="W56"/>
      <c r="X56"/>
      <c r="Y56"/>
      <c r="Z56"/>
      <c r="AA56"/>
      <c r="AB56"/>
      <c r="AC56"/>
      <c r="AD56"/>
      <c r="AE56"/>
      <c r="AF56"/>
      <c r="AG56"/>
      <c r="AH56"/>
      <c r="AI56"/>
      <c r="AJ56"/>
      <c r="AK56"/>
      <c r="AL56"/>
    </row>
    <row r="57" spans="1:38" ht="21.75" customHeight="1" thickBot="1" x14ac:dyDescent="0.65">
      <c r="A57" s="279"/>
      <c r="B57" s="265"/>
      <c r="C57" s="265"/>
      <c r="D57" s="266"/>
      <c r="E57" s="267"/>
      <c r="F57" s="267"/>
      <c r="G57" s="267"/>
      <c r="H57" s="268"/>
      <c r="J57" s="240"/>
      <c r="K57" s="240"/>
      <c r="L57" s="240"/>
      <c r="M57" s="240"/>
      <c r="N57" s="240"/>
      <c r="O57"/>
      <c r="P57"/>
      <c r="Q57"/>
      <c r="R57"/>
      <c r="S57"/>
      <c r="T57"/>
      <c r="U57"/>
      <c r="V57"/>
      <c r="W57"/>
      <c r="X57"/>
      <c r="Y57"/>
      <c r="Z57"/>
      <c r="AA57"/>
      <c r="AB57"/>
      <c r="AC57"/>
      <c r="AD57"/>
      <c r="AE57"/>
      <c r="AF57"/>
      <c r="AG57"/>
      <c r="AH57"/>
      <c r="AI57"/>
      <c r="AJ57"/>
      <c r="AK57"/>
      <c r="AL57"/>
    </row>
    <row r="58" spans="1:38" ht="21.75" customHeight="1" x14ac:dyDescent="0.6">
      <c r="A58" s="279"/>
      <c r="B58" s="269" t="s">
        <v>59</v>
      </c>
      <c r="C58" s="270" t="s">
        <v>1219</v>
      </c>
      <c r="D58" s="271" t="s">
        <v>61</v>
      </c>
      <c r="E58" s="267"/>
      <c r="F58" s="267"/>
      <c r="G58" s="267"/>
      <c r="H58" s="268"/>
      <c r="J58" s="240"/>
      <c r="K58" s="240"/>
      <c r="L58" s="240"/>
      <c r="M58" s="240"/>
      <c r="N58" s="240"/>
      <c r="O58"/>
      <c r="P58"/>
      <c r="Q58"/>
      <c r="R58"/>
      <c r="S58"/>
      <c r="T58"/>
      <c r="U58"/>
      <c r="V58"/>
      <c r="W58"/>
      <c r="X58"/>
      <c r="Y58"/>
      <c r="Z58"/>
      <c r="AA58"/>
      <c r="AB58"/>
      <c r="AC58"/>
      <c r="AD58"/>
      <c r="AE58"/>
      <c r="AF58"/>
      <c r="AG58"/>
      <c r="AH58"/>
      <c r="AI58"/>
      <c r="AJ58"/>
      <c r="AK58"/>
      <c r="AL58"/>
    </row>
    <row r="59" spans="1:38" ht="21.75" customHeight="1" x14ac:dyDescent="0.6">
      <c r="A59" s="279"/>
      <c r="B59" s="306" t="s">
        <v>1590</v>
      </c>
      <c r="C59" s="307" t="s">
        <v>787</v>
      </c>
      <c r="D59" s="318">
        <f>(65+15)*2</f>
        <v>160</v>
      </c>
      <c r="E59" s="267"/>
      <c r="F59" s="267"/>
      <c r="G59" s="267"/>
      <c r="H59" s="268"/>
      <c r="J59" s="240"/>
      <c r="K59" s="240"/>
      <c r="L59" s="240"/>
      <c r="M59" s="240"/>
      <c r="N59" s="240"/>
      <c r="O59"/>
      <c r="P59"/>
      <c r="Q59"/>
      <c r="R59"/>
      <c r="S59"/>
      <c r="T59"/>
      <c r="U59"/>
      <c r="V59"/>
      <c r="W59"/>
      <c r="X59"/>
      <c r="Y59"/>
      <c r="Z59"/>
      <c r="AA59"/>
      <c r="AB59"/>
      <c r="AC59"/>
      <c r="AD59"/>
      <c r="AE59"/>
      <c r="AF59"/>
      <c r="AG59"/>
      <c r="AH59"/>
      <c r="AI59"/>
      <c r="AJ59"/>
      <c r="AK59"/>
      <c r="AL59"/>
    </row>
    <row r="60" spans="1:38" ht="21.75" customHeight="1" x14ac:dyDescent="0.6">
      <c r="A60" s="279"/>
      <c r="B60" s="319" t="s">
        <v>1591</v>
      </c>
      <c r="C60" s="320" t="s">
        <v>787</v>
      </c>
      <c r="D60" s="308">
        <v>2.4</v>
      </c>
      <c r="E60" s="267"/>
      <c r="F60" s="267"/>
      <c r="G60" s="267"/>
      <c r="H60" s="268"/>
      <c r="J60" s="240"/>
      <c r="K60" s="240"/>
      <c r="L60" s="240"/>
      <c r="M60" s="240"/>
      <c r="N60" s="240"/>
      <c r="O60"/>
      <c r="P60"/>
      <c r="Q60"/>
      <c r="R60"/>
      <c r="S60"/>
      <c r="T60"/>
      <c r="U60"/>
      <c r="V60"/>
      <c r="W60"/>
      <c r="X60"/>
      <c r="Y60"/>
      <c r="Z60"/>
      <c r="AA60"/>
      <c r="AB60"/>
      <c r="AC60"/>
      <c r="AD60"/>
      <c r="AE60"/>
      <c r="AF60"/>
      <c r="AG60"/>
      <c r="AH60"/>
      <c r="AI60"/>
      <c r="AJ60"/>
      <c r="AK60"/>
      <c r="AL60"/>
    </row>
    <row r="61" spans="1:38" ht="21.75" customHeight="1" x14ac:dyDescent="0.6">
      <c r="A61" s="279"/>
      <c r="B61" s="309" t="str">
        <f>A56</f>
        <v>Tapume</v>
      </c>
      <c r="C61" s="310" t="s">
        <v>641</v>
      </c>
      <c r="D61" s="311">
        <f>D60*D59</f>
        <v>384</v>
      </c>
      <c r="E61" s="267"/>
      <c r="F61" s="267"/>
      <c r="G61" s="267"/>
      <c r="H61" s="268"/>
      <c r="J61" s="240"/>
      <c r="K61" s="240"/>
      <c r="L61" s="240"/>
      <c r="M61" s="240"/>
      <c r="N61" s="240"/>
      <c r="O61"/>
      <c r="P61"/>
      <c r="Q61"/>
      <c r="R61"/>
      <c r="S61"/>
      <c r="T61"/>
      <c r="U61"/>
      <c r="V61"/>
      <c r="W61"/>
      <c r="X61"/>
      <c r="Y61"/>
      <c r="Z61"/>
      <c r="AA61"/>
      <c r="AB61"/>
      <c r="AC61"/>
      <c r="AD61"/>
      <c r="AE61"/>
      <c r="AF61"/>
      <c r="AG61"/>
      <c r="AH61"/>
      <c r="AI61"/>
      <c r="AJ61"/>
      <c r="AK61"/>
      <c r="AL61"/>
    </row>
    <row r="62" spans="1:38" ht="21.75" customHeight="1" x14ac:dyDescent="0.6">
      <c r="A62" s="279"/>
      <c r="B62" s="265"/>
      <c r="C62" s="265"/>
      <c r="D62" s="266"/>
      <c r="E62" s="267"/>
      <c r="F62" s="267"/>
      <c r="G62" s="267"/>
      <c r="H62" s="268"/>
      <c r="I62" s="240"/>
      <c r="J62" s="240"/>
      <c r="K62" s="240"/>
      <c r="L62" s="240"/>
      <c r="M62" s="240"/>
      <c r="N62" s="240"/>
      <c r="O62"/>
      <c r="P62"/>
      <c r="Q62"/>
      <c r="R62"/>
      <c r="S62"/>
      <c r="T62"/>
      <c r="U62"/>
      <c r="V62"/>
      <c r="W62"/>
      <c r="X62"/>
      <c r="Y62"/>
      <c r="Z62"/>
      <c r="AA62"/>
      <c r="AB62"/>
      <c r="AC62"/>
      <c r="AD62"/>
      <c r="AE62"/>
      <c r="AF62"/>
      <c r="AG62"/>
      <c r="AH62"/>
      <c r="AI62"/>
      <c r="AJ62"/>
      <c r="AK62"/>
      <c r="AL62"/>
    </row>
    <row r="63" spans="1:38" ht="21.75" customHeight="1" x14ac:dyDescent="0.6">
      <c r="A63" s="257" t="s">
        <v>137</v>
      </c>
      <c r="B63" s="258"/>
      <c r="C63" s="258"/>
      <c r="D63" s="259"/>
      <c r="E63" s="260"/>
      <c r="F63" s="260"/>
      <c r="G63" s="260"/>
      <c r="H63" s="261"/>
      <c r="I63" s="240"/>
      <c r="J63" s="240"/>
      <c r="K63" s="240"/>
      <c r="L63" s="240"/>
      <c r="M63" s="240"/>
      <c r="N63" s="240"/>
      <c r="O63"/>
      <c r="P63"/>
      <c r="Q63"/>
      <c r="R63"/>
      <c r="S63"/>
      <c r="T63"/>
      <c r="U63"/>
      <c r="V63"/>
      <c r="W63"/>
      <c r="X63"/>
      <c r="Y63"/>
      <c r="Z63"/>
      <c r="AA63"/>
      <c r="AB63"/>
      <c r="AC63"/>
      <c r="AD63"/>
      <c r="AE63"/>
      <c r="AF63"/>
      <c r="AG63"/>
      <c r="AH63"/>
      <c r="AI63"/>
      <c r="AJ63"/>
      <c r="AK63"/>
      <c r="AL63"/>
    </row>
    <row r="64" spans="1:38" ht="21.75" customHeight="1" thickBot="1" x14ac:dyDescent="0.65">
      <c r="A64" s="279"/>
      <c r="B64" s="265"/>
      <c r="C64" s="265"/>
      <c r="D64" s="266"/>
      <c r="E64" s="267"/>
      <c r="F64" s="267"/>
      <c r="G64" s="267"/>
      <c r="H64" s="268"/>
      <c r="I64" s="240"/>
      <c r="J64" s="240"/>
      <c r="K64" s="240"/>
      <c r="L64" s="240"/>
      <c r="M64" s="240"/>
      <c r="N64" s="240"/>
      <c r="O64"/>
      <c r="P64"/>
      <c r="Q64"/>
      <c r="R64"/>
      <c r="S64"/>
      <c r="T64"/>
      <c r="U64"/>
      <c r="V64"/>
      <c r="W64"/>
      <c r="X64"/>
      <c r="Y64"/>
      <c r="Z64"/>
      <c r="AA64"/>
      <c r="AB64"/>
      <c r="AC64"/>
      <c r="AD64"/>
      <c r="AE64"/>
      <c r="AF64"/>
      <c r="AG64"/>
      <c r="AH64"/>
      <c r="AI64"/>
      <c r="AJ64"/>
      <c r="AK64"/>
      <c r="AL64"/>
    </row>
    <row r="65" spans="1:38" ht="21.75" customHeight="1" x14ac:dyDescent="0.6">
      <c r="A65" s="279"/>
      <c r="B65" s="269" t="s">
        <v>59</v>
      </c>
      <c r="C65" s="270" t="s">
        <v>1219</v>
      </c>
      <c r="D65" s="271" t="s">
        <v>61</v>
      </c>
      <c r="E65" s="267"/>
      <c r="F65" s="267"/>
      <c r="G65" s="267"/>
      <c r="H65" s="268"/>
      <c r="I65" s="240"/>
      <c r="J65" s="240"/>
      <c r="K65" s="240"/>
      <c r="L65" s="240"/>
      <c r="M65" s="240"/>
      <c r="N65" s="240"/>
      <c r="O65"/>
      <c r="P65"/>
      <c r="Q65"/>
      <c r="R65"/>
      <c r="S65"/>
      <c r="T65"/>
      <c r="U65"/>
      <c r="V65"/>
      <c r="W65"/>
      <c r="X65"/>
      <c r="Y65"/>
      <c r="Z65"/>
      <c r="AA65"/>
      <c r="AB65"/>
      <c r="AC65"/>
      <c r="AD65"/>
      <c r="AE65"/>
      <c r="AF65"/>
      <c r="AG65"/>
      <c r="AH65"/>
      <c r="AI65"/>
      <c r="AJ65"/>
      <c r="AK65"/>
      <c r="AL65"/>
    </row>
    <row r="66" spans="1:38" ht="21.75" customHeight="1" x14ac:dyDescent="0.6">
      <c r="A66" s="279"/>
      <c r="B66" s="272" t="s">
        <v>2045</v>
      </c>
      <c r="C66" s="273" t="s">
        <v>787</v>
      </c>
      <c r="D66" s="321">
        <f>D26</f>
        <v>4652.6000000000004</v>
      </c>
      <c r="E66" s="267"/>
      <c r="F66" s="267"/>
      <c r="G66" s="267"/>
      <c r="H66" s="268"/>
      <c r="I66" s="240"/>
      <c r="J66" s="240"/>
      <c r="K66" s="240"/>
      <c r="L66" s="240"/>
      <c r="M66" s="240"/>
      <c r="N66" s="240"/>
      <c r="O66"/>
      <c r="P66"/>
      <c r="Q66"/>
      <c r="R66"/>
      <c r="S66"/>
      <c r="T66"/>
      <c r="U66"/>
      <c r="V66"/>
      <c r="W66"/>
      <c r="X66"/>
      <c r="Y66"/>
      <c r="Z66"/>
      <c r="AA66"/>
      <c r="AB66"/>
      <c r="AC66"/>
      <c r="AD66"/>
      <c r="AE66"/>
      <c r="AF66"/>
      <c r="AG66"/>
      <c r="AH66"/>
      <c r="AI66"/>
      <c r="AJ66"/>
      <c r="AK66"/>
      <c r="AL66"/>
    </row>
    <row r="67" spans="1:38" ht="21.75" customHeight="1" x14ac:dyDescent="0.6">
      <c r="A67" s="279"/>
      <c r="B67" s="309" t="str">
        <f>A63</f>
        <v>Linha de Vida</v>
      </c>
      <c r="C67" s="310" t="s">
        <v>787</v>
      </c>
      <c r="D67" s="311">
        <f>D66</f>
        <v>4652.6000000000004</v>
      </c>
      <c r="E67" s="267"/>
      <c r="F67" s="267"/>
      <c r="G67" s="267"/>
      <c r="H67" s="268"/>
      <c r="I67" s="240"/>
      <c r="J67" s="240"/>
      <c r="K67" s="240"/>
      <c r="L67" s="240"/>
      <c r="M67" s="240"/>
      <c r="N67" s="240"/>
      <c r="O67"/>
      <c r="P67"/>
      <c r="Q67"/>
      <c r="R67"/>
      <c r="S67"/>
      <c r="T67"/>
      <c r="U67"/>
      <c r="V67"/>
      <c r="W67"/>
      <c r="X67"/>
      <c r="Y67"/>
      <c r="Z67"/>
      <c r="AA67"/>
      <c r="AB67"/>
      <c r="AC67"/>
      <c r="AD67"/>
      <c r="AE67"/>
      <c r="AF67"/>
      <c r="AG67"/>
      <c r="AH67"/>
      <c r="AI67"/>
      <c r="AJ67"/>
      <c r="AK67"/>
      <c r="AL67"/>
    </row>
    <row r="68" spans="1:38" ht="21.75" customHeight="1" x14ac:dyDescent="0.2">
      <c r="A68"/>
      <c r="B68"/>
      <c r="C68"/>
      <c r="D68"/>
      <c r="E68"/>
      <c r="F68"/>
      <c r="G68"/>
      <c r="H68"/>
      <c r="I68"/>
      <c r="J68"/>
      <c r="K68"/>
      <c r="L68"/>
      <c r="M68"/>
      <c r="N68"/>
      <c r="O68"/>
      <c r="P68"/>
      <c r="Q68"/>
      <c r="R68"/>
      <c r="S68"/>
      <c r="T68"/>
      <c r="U68"/>
      <c r="V68"/>
      <c r="W68"/>
      <c r="X68"/>
      <c r="Y68"/>
      <c r="Z68"/>
      <c r="AA68"/>
      <c r="AB68"/>
      <c r="AC68"/>
      <c r="AD68"/>
      <c r="AE68"/>
      <c r="AF68"/>
      <c r="AG68"/>
      <c r="AH68"/>
      <c r="AI68"/>
      <c r="AJ68"/>
      <c r="AK68"/>
      <c r="AL68"/>
    </row>
    <row r="69" spans="1:38" ht="21.75" customHeight="1" x14ac:dyDescent="0.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row>
    <row r="70" spans="1:38" ht="9.75" customHeight="1" x14ac:dyDescent="0.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row>
    <row r="71" spans="1:38" ht="15.75" customHeight="1" x14ac:dyDescent="0.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row>
    <row r="72" spans="1:38" ht="15.75" customHeight="1" x14ac:dyDescent="0.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row>
    <row r="73" spans="1:38" ht="15.75" customHeight="1" x14ac:dyDescent="0.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row>
    <row r="74" spans="1:38" ht="15.75" customHeight="1" x14ac:dyDescent="0.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row>
    <row r="75" spans="1:38" ht="15.75" customHeight="1" x14ac:dyDescent="0.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row>
    <row r="76" spans="1:38" ht="15.75" customHeight="1" x14ac:dyDescent="0.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row>
    <row r="77" spans="1:38" ht="15.75" customHeight="1" x14ac:dyDescent="0.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row>
    <row r="78" spans="1:38" ht="15.75" customHeight="1" x14ac:dyDescent="0.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row>
    <row r="79" spans="1:38" ht="15.75" customHeight="1" x14ac:dyDescent="0.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row>
    <row r="80" spans="1:38" ht="15.75" customHeight="1" x14ac:dyDescent="0.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row>
  </sheetData>
  <mergeCells count="1">
    <mergeCell ref="A4:H4"/>
  </mergeCells>
  <pageMargins left="0.51181102362204722" right="0.51181102362204722" top="0.78740157480314965" bottom="0.78740157480314965" header="0" footer="0"/>
  <pageSetup paperSize="9" fitToHeight="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1221</v>
      </c>
      <c r="I4" s="2" t="s">
        <v>3304</v>
      </c>
      <c r="J4" s="2"/>
      <c r="K4" s="3"/>
      <c r="L4" s="3"/>
      <c r="M4" s="3"/>
      <c r="N4" s="40"/>
      <c r="O4" s="39" t="s">
        <v>1222</v>
      </c>
      <c r="P4" s="41" t="s">
        <v>1223</v>
      </c>
    </row>
    <row r="5" spans="1:16" ht="15" customHeight="1" x14ac:dyDescent="0.2">
      <c r="A5" s="2"/>
      <c r="B5" s="2"/>
      <c r="C5" s="2"/>
      <c r="D5" s="2"/>
      <c r="E5" s="2"/>
      <c r="F5" s="2"/>
      <c r="G5" s="42"/>
      <c r="H5" s="43" t="s">
        <v>1224</v>
      </c>
      <c r="I5" s="2" t="s">
        <v>3303</v>
      </c>
      <c r="J5" s="2"/>
      <c r="K5" s="2"/>
      <c r="L5" s="2"/>
      <c r="M5" s="2"/>
      <c r="N5" s="44"/>
      <c r="O5" s="45" t="s">
        <v>1245</v>
      </c>
      <c r="P5" s="46"/>
    </row>
    <row r="6" spans="1:16" ht="18" customHeight="1" x14ac:dyDescent="0.2">
      <c r="A6" s="47" t="s">
        <v>1225</v>
      </c>
      <c r="B6" s="47" t="s">
        <v>1226</v>
      </c>
      <c r="C6" s="47" t="s">
        <v>65</v>
      </c>
      <c r="D6" s="47" t="s">
        <v>1227</v>
      </c>
      <c r="E6" s="47" t="s">
        <v>67</v>
      </c>
      <c r="F6" s="2"/>
      <c r="G6" s="598" t="s">
        <v>9</v>
      </c>
      <c r="H6" s="599"/>
      <c r="I6" s="599"/>
      <c r="J6" s="599"/>
      <c r="K6" s="599"/>
      <c r="L6" s="599"/>
      <c r="M6" s="599"/>
      <c r="N6" s="599"/>
      <c r="O6" s="599"/>
      <c r="P6" s="600"/>
    </row>
    <row r="7" spans="1:16" ht="24" customHeight="1" x14ac:dyDescent="0.2">
      <c r="A7" s="48">
        <v>0</v>
      </c>
      <c r="B7" s="48">
        <v>0</v>
      </c>
      <c r="C7" s="48">
        <v>0</v>
      </c>
      <c r="D7" s="49">
        <v>0</v>
      </c>
      <c r="E7" s="49">
        <v>0</v>
      </c>
      <c r="G7" s="50" t="s">
        <v>2098</v>
      </c>
      <c r="H7" s="51" t="s">
        <v>1229</v>
      </c>
      <c r="I7" s="52" t="s">
        <v>1230</v>
      </c>
      <c r="J7" s="53" t="s">
        <v>59</v>
      </c>
      <c r="K7" s="54" t="s">
        <v>1219</v>
      </c>
      <c r="L7" s="55" t="s">
        <v>1231</v>
      </c>
      <c r="M7" s="55" t="s">
        <v>1232</v>
      </c>
      <c r="N7" s="55" t="s">
        <v>1233</v>
      </c>
      <c r="O7" s="56" t="s">
        <v>1234</v>
      </c>
      <c r="P7" s="57" t="s">
        <v>1235</v>
      </c>
    </row>
    <row r="8" spans="1:16" ht="13.5" customHeight="1" x14ac:dyDescent="0.2">
      <c r="A8" s="233">
        <v>0</v>
      </c>
      <c r="B8" s="233">
        <v>1</v>
      </c>
      <c r="C8" s="233">
        <v>0</v>
      </c>
      <c r="D8" s="234">
        <v>0</v>
      </c>
      <c r="E8" s="234">
        <v>0</v>
      </c>
      <c r="F8" s="237"/>
      <c r="G8" s="436"/>
      <c r="H8" s="437" t="s">
        <v>1236</v>
      </c>
      <c r="I8" s="438" t="s">
        <v>3305</v>
      </c>
      <c r="J8" s="439" t="s">
        <v>40</v>
      </c>
      <c r="K8" s="440"/>
      <c r="L8" s="441"/>
      <c r="M8" s="441"/>
      <c r="N8" s="442"/>
      <c r="O8" s="433"/>
      <c r="P8" s="428"/>
    </row>
    <row r="9" spans="1:16" ht="13.5" customHeight="1" outlineLevel="1" x14ac:dyDescent="0.2">
      <c r="A9" s="233">
        <v>0</v>
      </c>
      <c r="B9" s="233">
        <v>1</v>
      </c>
      <c r="C9" s="233">
        <v>1</v>
      </c>
      <c r="D9" s="234">
        <v>0</v>
      </c>
      <c r="E9" s="234">
        <v>0</v>
      </c>
      <c r="G9" s="443"/>
      <c r="H9" s="444" t="s">
        <v>38</v>
      </c>
      <c r="I9" s="445" t="s">
        <v>3306</v>
      </c>
      <c r="J9" s="446" t="s">
        <v>2174</v>
      </c>
      <c r="K9" s="447"/>
      <c r="L9" s="448"/>
      <c r="M9" s="448"/>
      <c r="N9" s="449">
        <v>26235.3138666667</v>
      </c>
      <c r="O9" s="432">
        <v>1.56631825383226</v>
      </c>
      <c r="P9" s="429"/>
    </row>
    <row r="10" spans="1:16" ht="13.5" customHeight="1" outlineLevel="2" x14ac:dyDescent="0.2">
      <c r="A10" s="233">
        <v>0</v>
      </c>
      <c r="B10" s="233">
        <v>1</v>
      </c>
      <c r="C10" s="233">
        <v>1</v>
      </c>
      <c r="D10" s="234">
        <v>1</v>
      </c>
      <c r="E10" s="234">
        <v>0</v>
      </c>
      <c r="G10" s="450"/>
      <c r="H10" s="451" t="s">
        <v>1237</v>
      </c>
      <c r="I10" s="452" t="s">
        <v>3307</v>
      </c>
      <c r="J10" s="453" t="s">
        <v>2185</v>
      </c>
      <c r="K10" s="454"/>
      <c r="L10" s="455"/>
      <c r="M10" s="455"/>
      <c r="N10" s="456">
        <v>26235.3138666667</v>
      </c>
      <c r="O10" s="457">
        <v>1.56631825383226</v>
      </c>
      <c r="P10" s="430"/>
    </row>
    <row r="11" spans="1:16" ht="13.5" customHeight="1" outlineLevel="3" x14ac:dyDescent="0.2">
      <c r="A11" s="233">
        <v>0</v>
      </c>
      <c r="B11" s="233">
        <v>1</v>
      </c>
      <c r="C11" s="233">
        <v>1</v>
      </c>
      <c r="D11" s="234">
        <v>1</v>
      </c>
      <c r="E11" s="234">
        <v>1</v>
      </c>
      <c r="G11" s="458" t="s">
        <v>40</v>
      </c>
      <c r="H11" s="459" t="s">
        <v>1238</v>
      </c>
      <c r="I11" s="460" t="s">
        <v>3308</v>
      </c>
      <c r="J11" s="461" t="s">
        <v>109</v>
      </c>
      <c r="K11" s="462" t="s">
        <v>641</v>
      </c>
      <c r="L11" s="463"/>
      <c r="M11" s="463"/>
      <c r="N11" s="464">
        <v>26235.3138666667</v>
      </c>
      <c r="O11" s="465"/>
      <c r="P11" s="431" t="s">
        <v>6711</v>
      </c>
    </row>
    <row r="12" spans="1:16" ht="13.5" customHeight="1" outlineLevel="1" x14ac:dyDescent="0.2">
      <c r="A12" s="233">
        <v>0</v>
      </c>
      <c r="B12" s="233">
        <v>1</v>
      </c>
      <c r="C12" s="233">
        <v>2</v>
      </c>
      <c r="D12" s="234">
        <v>0</v>
      </c>
      <c r="E12" s="234">
        <v>1</v>
      </c>
      <c r="G12" s="443"/>
      <c r="H12" s="444" t="s">
        <v>38</v>
      </c>
      <c r="I12" s="445" t="s">
        <v>3309</v>
      </c>
      <c r="J12" s="466" t="s">
        <v>2003</v>
      </c>
      <c r="K12" s="467"/>
      <c r="L12" s="448"/>
      <c r="M12" s="448"/>
      <c r="N12" s="449"/>
      <c r="O12" s="432"/>
      <c r="P12" s="429"/>
    </row>
    <row r="13" spans="1:16" ht="13.5" customHeight="1" outlineLevel="2" x14ac:dyDescent="0.2">
      <c r="A13" s="233">
        <v>0</v>
      </c>
      <c r="B13" s="233">
        <v>1</v>
      </c>
      <c r="C13" s="233">
        <v>2</v>
      </c>
      <c r="D13" s="234">
        <v>1</v>
      </c>
      <c r="E13" s="234">
        <v>0</v>
      </c>
      <c r="G13" s="450"/>
      <c r="H13" s="451" t="s">
        <v>1237</v>
      </c>
      <c r="I13" s="452" t="s">
        <v>3310</v>
      </c>
      <c r="J13" s="468" t="s">
        <v>2866</v>
      </c>
      <c r="K13" s="469"/>
      <c r="L13" s="455"/>
      <c r="M13" s="455"/>
      <c r="N13" s="456"/>
      <c r="O13" s="457"/>
      <c r="P13" s="430"/>
    </row>
    <row r="14" spans="1:16" ht="13.5" customHeight="1" outlineLevel="3" x14ac:dyDescent="0.2">
      <c r="A14" s="233">
        <v>0</v>
      </c>
      <c r="B14" s="233">
        <v>1</v>
      </c>
      <c r="C14" s="233">
        <v>2</v>
      </c>
      <c r="D14" s="234">
        <v>1</v>
      </c>
      <c r="E14" s="234">
        <v>1</v>
      </c>
      <c r="G14" s="458" t="s">
        <v>40</v>
      </c>
      <c r="H14" s="459" t="s">
        <v>1238</v>
      </c>
      <c r="I14" s="460" t="s">
        <v>3311</v>
      </c>
      <c r="J14" s="470" t="s">
        <v>2004</v>
      </c>
      <c r="K14" s="471" t="s">
        <v>641</v>
      </c>
      <c r="L14" s="463"/>
      <c r="M14" s="463"/>
      <c r="N14" s="464"/>
      <c r="O14" s="471"/>
      <c r="P14" s="431" t="s">
        <v>6711</v>
      </c>
    </row>
    <row r="15" spans="1:16" ht="13.5" customHeight="1" outlineLevel="3" x14ac:dyDescent="0.2">
      <c r="A15" s="233">
        <v>0</v>
      </c>
      <c r="B15" s="233">
        <v>1</v>
      </c>
      <c r="C15" s="233">
        <v>2</v>
      </c>
      <c r="D15" s="234">
        <v>1</v>
      </c>
      <c r="E15" s="234">
        <v>2</v>
      </c>
      <c r="G15" s="458" t="s">
        <v>40</v>
      </c>
      <c r="H15" s="459" t="s">
        <v>1238</v>
      </c>
      <c r="I15" s="460" t="s">
        <v>3312</v>
      </c>
      <c r="J15" s="470" t="s">
        <v>1972</v>
      </c>
      <c r="K15" s="471"/>
      <c r="L15" s="463"/>
      <c r="M15" s="463"/>
      <c r="N15" s="464"/>
      <c r="O15" s="471"/>
      <c r="P15" s="431" t="s">
        <v>6711</v>
      </c>
    </row>
    <row r="16" spans="1:16" ht="13.5" customHeight="1" outlineLevel="2" x14ac:dyDescent="0.2">
      <c r="A16" s="233">
        <v>0</v>
      </c>
      <c r="B16" s="233">
        <v>1</v>
      </c>
      <c r="C16" s="233">
        <v>2</v>
      </c>
      <c r="D16" s="234">
        <v>2</v>
      </c>
      <c r="E16" s="234">
        <v>0</v>
      </c>
      <c r="G16" s="450"/>
      <c r="H16" s="451" t="s">
        <v>1237</v>
      </c>
      <c r="I16" s="452" t="s">
        <v>3313</v>
      </c>
      <c r="J16" s="468" t="s">
        <v>2867</v>
      </c>
      <c r="K16" s="469"/>
      <c r="L16" s="472"/>
      <c r="M16" s="472"/>
      <c r="N16" s="456"/>
      <c r="O16" s="457"/>
      <c r="P16" s="430"/>
    </row>
    <row r="17" spans="1:16" ht="13.5" customHeight="1" outlineLevel="3" x14ac:dyDescent="0.2">
      <c r="A17" s="233">
        <v>0</v>
      </c>
      <c r="B17" s="233">
        <v>1</v>
      </c>
      <c r="C17" s="233">
        <v>2</v>
      </c>
      <c r="D17" s="234">
        <v>2</v>
      </c>
      <c r="E17" s="234">
        <v>1</v>
      </c>
      <c r="G17" s="458" t="s">
        <v>40</v>
      </c>
      <c r="H17" s="459" t="s">
        <v>1238</v>
      </c>
      <c r="I17" s="460" t="s">
        <v>3314</v>
      </c>
      <c r="J17" s="470" t="s">
        <v>2867</v>
      </c>
      <c r="K17" s="471" t="s">
        <v>1129</v>
      </c>
      <c r="L17" s="471"/>
      <c r="M17" s="471"/>
      <c r="N17" s="464"/>
      <c r="O17" s="471"/>
      <c r="P17" s="431" t="s">
        <v>6711</v>
      </c>
    </row>
    <row r="18" spans="1:16" ht="13.5" customHeight="1" outlineLevel="1" x14ac:dyDescent="0.2">
      <c r="A18" s="233">
        <v>0</v>
      </c>
      <c r="B18" s="233">
        <v>1</v>
      </c>
      <c r="C18" s="233">
        <v>3</v>
      </c>
      <c r="D18" s="234">
        <v>0</v>
      </c>
      <c r="E18" s="234">
        <v>1</v>
      </c>
      <c r="G18" s="473"/>
      <c r="H18" s="444" t="s">
        <v>38</v>
      </c>
      <c r="I18" s="445" t="s">
        <v>3315</v>
      </c>
      <c r="J18" s="446" t="s">
        <v>2175</v>
      </c>
      <c r="K18" s="447"/>
      <c r="L18" s="448"/>
      <c r="M18" s="448"/>
      <c r="N18" s="449">
        <v>271126.18986759399</v>
      </c>
      <c r="O18" s="432">
        <v>16.186957108264998</v>
      </c>
      <c r="P18" s="429"/>
    </row>
    <row r="19" spans="1:16" ht="13.5" customHeight="1" outlineLevel="2" x14ac:dyDescent="0.2">
      <c r="A19" s="233">
        <v>0</v>
      </c>
      <c r="B19" s="233">
        <v>1</v>
      </c>
      <c r="C19" s="233">
        <v>3</v>
      </c>
      <c r="D19" s="234">
        <v>1</v>
      </c>
      <c r="E19" s="234">
        <v>0</v>
      </c>
      <c r="G19" s="474"/>
      <c r="H19" s="451" t="s">
        <v>1237</v>
      </c>
      <c r="I19" s="452" t="s">
        <v>3316</v>
      </c>
      <c r="J19" s="453" t="s">
        <v>2802</v>
      </c>
      <c r="K19" s="454"/>
      <c r="L19" s="455"/>
      <c r="M19" s="455"/>
      <c r="N19" s="456">
        <v>271126.18986759399</v>
      </c>
      <c r="O19" s="457">
        <v>16.186957108264998</v>
      </c>
      <c r="P19" s="430"/>
    </row>
    <row r="20" spans="1:16" ht="13.5" customHeight="1" outlineLevel="3" x14ac:dyDescent="0.2">
      <c r="A20" s="233">
        <v>0</v>
      </c>
      <c r="B20" s="233">
        <v>1</v>
      </c>
      <c r="C20" s="233">
        <v>3</v>
      </c>
      <c r="D20" s="234">
        <v>1</v>
      </c>
      <c r="E20" s="234">
        <v>1</v>
      </c>
      <c r="G20" s="458" t="s">
        <v>40</v>
      </c>
      <c r="H20" s="459" t="s">
        <v>1238</v>
      </c>
      <c r="I20" s="460" t="s">
        <v>3317</v>
      </c>
      <c r="J20" s="461" t="s">
        <v>6710</v>
      </c>
      <c r="K20" s="462" t="s">
        <v>1129</v>
      </c>
      <c r="L20" s="463"/>
      <c r="M20" s="463"/>
      <c r="N20" s="464">
        <v>233000</v>
      </c>
      <c r="O20" s="471"/>
      <c r="P20" s="431" t="s">
        <v>6711</v>
      </c>
    </row>
    <row r="21" spans="1:16" ht="13.5" customHeight="1" outlineLevel="1" x14ac:dyDescent="0.2">
      <c r="A21" s="233">
        <v>0</v>
      </c>
      <c r="B21" s="233">
        <v>1</v>
      </c>
      <c r="C21" s="233">
        <v>4</v>
      </c>
      <c r="D21" s="234">
        <v>0</v>
      </c>
      <c r="E21" s="234">
        <v>2</v>
      </c>
      <c r="G21" s="443"/>
      <c r="H21" s="444" t="s">
        <v>38</v>
      </c>
      <c r="I21" s="445" t="s">
        <v>3318</v>
      </c>
      <c r="J21" s="446" t="s">
        <v>2804</v>
      </c>
      <c r="K21" s="447"/>
      <c r="L21" s="448"/>
      <c r="M21" s="448"/>
      <c r="N21" s="449">
        <v>80000</v>
      </c>
      <c r="O21" s="432">
        <v>4.77621350151973</v>
      </c>
      <c r="P21" s="432"/>
    </row>
    <row r="22" spans="1:16" ht="13.5" customHeight="1" outlineLevel="2" x14ac:dyDescent="0.2">
      <c r="A22" s="233">
        <v>0</v>
      </c>
      <c r="B22" s="233">
        <v>1</v>
      </c>
      <c r="C22" s="233">
        <v>4</v>
      </c>
      <c r="D22" s="234">
        <v>1</v>
      </c>
      <c r="E22" s="234">
        <v>0</v>
      </c>
      <c r="G22" s="474"/>
      <c r="H22" s="451" t="s">
        <v>1237</v>
      </c>
      <c r="I22" s="452" t="s">
        <v>3319</v>
      </c>
      <c r="J22" s="453" t="s">
        <v>2186</v>
      </c>
      <c r="K22" s="454"/>
      <c r="L22" s="455"/>
      <c r="M22" s="455"/>
      <c r="N22" s="456">
        <v>80000</v>
      </c>
      <c r="O22" s="457">
        <v>4.77621350151973</v>
      </c>
      <c r="P22" s="430"/>
    </row>
    <row r="23" spans="1:16" ht="13.5" customHeight="1" outlineLevel="3" x14ac:dyDescent="0.2">
      <c r="A23" s="233">
        <v>0</v>
      </c>
      <c r="B23" s="233">
        <v>1</v>
      </c>
      <c r="C23" s="233">
        <v>4</v>
      </c>
      <c r="D23" s="234">
        <v>1</v>
      </c>
      <c r="E23" s="234">
        <v>1</v>
      </c>
      <c r="G23" s="458" t="s">
        <v>40</v>
      </c>
      <c r="H23" s="459" t="s">
        <v>1238</v>
      </c>
      <c r="I23" s="460" t="s">
        <v>3320</v>
      </c>
      <c r="J23" s="461" t="s">
        <v>143</v>
      </c>
      <c r="K23" s="462" t="s">
        <v>1129</v>
      </c>
      <c r="L23" s="463"/>
      <c r="M23" s="463"/>
      <c r="N23" s="464">
        <v>80000</v>
      </c>
      <c r="O23" s="471"/>
      <c r="P23" s="431" t="s">
        <v>6711</v>
      </c>
    </row>
    <row r="24" spans="1:16" ht="13.5" customHeight="1" collapsed="1" x14ac:dyDescent="0.2">
      <c r="A24" s="233">
        <v>0</v>
      </c>
      <c r="B24" s="233">
        <v>2</v>
      </c>
      <c r="C24" s="233">
        <v>0</v>
      </c>
      <c r="D24" s="234">
        <v>1</v>
      </c>
      <c r="E24" s="234">
        <v>1</v>
      </c>
      <c r="F24" s="237"/>
      <c r="G24" s="436"/>
      <c r="H24" s="437" t="s">
        <v>1236</v>
      </c>
      <c r="I24" s="438" t="s">
        <v>3321</v>
      </c>
      <c r="J24" s="439" t="s">
        <v>1618</v>
      </c>
      <c r="K24" s="440"/>
      <c r="L24" s="441"/>
      <c r="M24" s="441"/>
      <c r="N24" s="442">
        <v>772006.62631222699</v>
      </c>
      <c r="O24" s="433">
        <v>46.090855898189503</v>
      </c>
      <c r="P24" s="433"/>
    </row>
    <row r="25" spans="1:16" ht="13.5" hidden="1" customHeight="1" outlineLevel="1" x14ac:dyDescent="0.2">
      <c r="A25" s="233">
        <v>0</v>
      </c>
      <c r="B25" s="233">
        <v>2</v>
      </c>
      <c r="C25" s="233">
        <v>1</v>
      </c>
      <c r="D25" s="234">
        <v>0</v>
      </c>
      <c r="E25" s="234">
        <v>1</v>
      </c>
      <c r="G25" s="443"/>
      <c r="H25" s="444" t="s">
        <v>38</v>
      </c>
      <c r="I25" s="445" t="s">
        <v>3322</v>
      </c>
      <c r="J25" s="446" t="s">
        <v>2176</v>
      </c>
      <c r="K25" s="447"/>
      <c r="L25" s="448"/>
      <c r="M25" s="448"/>
      <c r="N25" s="449">
        <v>18739.388998006099</v>
      </c>
      <c r="O25" s="432">
        <v>1.1187915342813399</v>
      </c>
      <c r="P25" s="429"/>
    </row>
    <row r="26" spans="1:16" ht="13.5" hidden="1" customHeight="1" outlineLevel="2" x14ac:dyDescent="0.2">
      <c r="A26" s="233">
        <v>0</v>
      </c>
      <c r="B26" s="233">
        <v>2</v>
      </c>
      <c r="C26" s="233">
        <v>1</v>
      </c>
      <c r="D26" s="234">
        <v>1</v>
      </c>
      <c r="E26" s="234">
        <v>0</v>
      </c>
      <c r="G26" s="450"/>
      <c r="H26" s="451" t="s">
        <v>1237</v>
      </c>
      <c r="I26" s="452" t="s">
        <v>3323</v>
      </c>
      <c r="J26" s="453" t="s">
        <v>15</v>
      </c>
      <c r="K26" s="454"/>
      <c r="L26" s="455"/>
      <c r="M26" s="455"/>
      <c r="N26" s="456">
        <v>6673.94364470857</v>
      </c>
      <c r="O26" s="457">
        <v>0.39845224680298602</v>
      </c>
      <c r="P26" s="430"/>
    </row>
    <row r="27" spans="1:16" ht="13.5" hidden="1" customHeight="1" outlineLevel="3" x14ac:dyDescent="0.2">
      <c r="A27" s="233">
        <v>0</v>
      </c>
      <c r="B27" s="233">
        <v>2</v>
      </c>
      <c r="C27" s="233">
        <v>1</v>
      </c>
      <c r="D27" s="234">
        <v>1</v>
      </c>
      <c r="E27" s="234">
        <v>1</v>
      </c>
      <c r="G27" s="458" t="s">
        <v>1618</v>
      </c>
      <c r="H27" s="459" t="s">
        <v>1238</v>
      </c>
      <c r="I27" s="460" t="s">
        <v>3324</v>
      </c>
      <c r="J27" s="461" t="s">
        <v>230</v>
      </c>
      <c r="K27" s="462" t="s">
        <v>641</v>
      </c>
      <c r="L27" s="463">
        <v>111.31359999999998</v>
      </c>
      <c r="M27" s="463">
        <v>59.956228571428568</v>
      </c>
      <c r="N27" s="464">
        <v>6673.94364470857</v>
      </c>
      <c r="O27" s="465"/>
      <c r="P27" s="431" t="s">
        <v>6711</v>
      </c>
    </row>
    <row r="28" spans="1:16" ht="13.5" hidden="1" customHeight="1" outlineLevel="2" x14ac:dyDescent="0.2">
      <c r="A28" s="233">
        <v>0</v>
      </c>
      <c r="B28" s="233">
        <v>2</v>
      </c>
      <c r="C28" s="233">
        <v>1</v>
      </c>
      <c r="D28" s="234">
        <v>2</v>
      </c>
      <c r="E28" s="234">
        <v>0</v>
      </c>
      <c r="G28" s="450"/>
      <c r="H28" s="451" t="s">
        <v>1237</v>
      </c>
      <c r="I28" s="452" t="s">
        <v>3325</v>
      </c>
      <c r="J28" s="453" t="s">
        <v>12</v>
      </c>
      <c r="K28" s="454"/>
      <c r="L28" s="455"/>
      <c r="M28" s="455"/>
      <c r="N28" s="456">
        <v>4318.73060538557</v>
      </c>
      <c r="O28" s="457">
        <v>0.25783974283586297</v>
      </c>
      <c r="P28" s="430"/>
    </row>
    <row r="29" spans="1:16" ht="13.5" hidden="1" customHeight="1" outlineLevel="3" x14ac:dyDescent="0.2">
      <c r="A29" s="233">
        <v>0</v>
      </c>
      <c r="B29" s="233">
        <v>2</v>
      </c>
      <c r="C29" s="233">
        <v>1</v>
      </c>
      <c r="D29" s="234">
        <v>2</v>
      </c>
      <c r="E29" s="234">
        <v>1</v>
      </c>
      <c r="G29" s="458" t="s">
        <v>1618</v>
      </c>
      <c r="H29" s="459" t="s">
        <v>1238</v>
      </c>
      <c r="I29" s="460" t="s">
        <v>3326</v>
      </c>
      <c r="J29" s="461" t="s">
        <v>262</v>
      </c>
      <c r="K29" s="462" t="s">
        <v>533</v>
      </c>
      <c r="L29" s="463">
        <v>670.31999999999982</v>
      </c>
      <c r="M29" s="463">
        <v>6.0795673937956973</v>
      </c>
      <c r="N29" s="464">
        <v>4075.2556154091299</v>
      </c>
      <c r="O29" s="465"/>
      <c r="P29" s="431" t="s">
        <v>6711</v>
      </c>
    </row>
    <row r="30" spans="1:16" ht="13.15" hidden="1" customHeight="1" outlineLevel="3" x14ac:dyDescent="0.2">
      <c r="A30" s="233">
        <v>0</v>
      </c>
      <c r="B30" s="233">
        <v>2</v>
      </c>
      <c r="C30" s="233">
        <v>1</v>
      </c>
      <c r="D30" s="234">
        <v>2</v>
      </c>
      <c r="E30" s="234">
        <v>2</v>
      </c>
      <c r="G30" s="458" t="s">
        <v>1618</v>
      </c>
      <c r="H30" s="459" t="s">
        <v>1238</v>
      </c>
      <c r="I30" s="460" t="s">
        <v>3327</v>
      </c>
      <c r="J30" s="461" t="s">
        <v>265</v>
      </c>
      <c r="K30" s="462" t="s">
        <v>533</v>
      </c>
      <c r="L30" s="463">
        <v>41.601600000000005</v>
      </c>
      <c r="M30" s="463">
        <v>5.8525390844687308</v>
      </c>
      <c r="N30" s="464">
        <v>243.47498997643399</v>
      </c>
      <c r="O30" s="465"/>
      <c r="P30" s="431" t="s">
        <v>6711</v>
      </c>
    </row>
    <row r="31" spans="1:16" ht="13.5" hidden="1" customHeight="1" outlineLevel="2" x14ac:dyDescent="0.2">
      <c r="A31" s="233">
        <v>0</v>
      </c>
      <c r="B31" s="233">
        <v>2</v>
      </c>
      <c r="C31" s="233">
        <v>1</v>
      </c>
      <c r="D31" s="234">
        <v>3</v>
      </c>
      <c r="E31" s="234">
        <v>0</v>
      </c>
      <c r="G31" s="450"/>
      <c r="H31" s="451" t="s">
        <v>1237</v>
      </c>
      <c r="I31" s="452" t="s">
        <v>3328</v>
      </c>
      <c r="J31" s="453" t="s">
        <v>13</v>
      </c>
      <c r="K31" s="454"/>
      <c r="L31" s="455"/>
      <c r="M31" s="455"/>
      <c r="N31" s="456">
        <v>7746.7147479120003</v>
      </c>
      <c r="O31" s="457">
        <v>0.46249954464249099</v>
      </c>
      <c r="P31" s="430"/>
    </row>
    <row r="32" spans="1:16" ht="13.5" hidden="1" customHeight="1" outlineLevel="3" x14ac:dyDescent="0.2">
      <c r="A32" s="233">
        <v>0</v>
      </c>
      <c r="B32" s="233">
        <v>2</v>
      </c>
      <c r="C32" s="233">
        <v>1</v>
      </c>
      <c r="D32" s="234">
        <v>3</v>
      </c>
      <c r="E32" s="234">
        <v>1</v>
      </c>
      <c r="G32" s="458" t="s">
        <v>1618</v>
      </c>
      <c r="H32" s="459" t="s">
        <v>1238</v>
      </c>
      <c r="I32" s="460" t="s">
        <v>3329</v>
      </c>
      <c r="J32" s="461" t="s">
        <v>253</v>
      </c>
      <c r="K32" s="462" t="s">
        <v>1246</v>
      </c>
      <c r="L32" s="463">
        <v>11.390452</v>
      </c>
      <c r="M32" s="463">
        <v>680.10600000000011</v>
      </c>
      <c r="N32" s="464">
        <v>7746.7147479120003</v>
      </c>
      <c r="O32" s="465"/>
      <c r="P32" s="431" t="s">
        <v>6711</v>
      </c>
    </row>
    <row r="33" spans="1:16" ht="13.5" hidden="1" customHeight="1" outlineLevel="1" x14ac:dyDescent="0.2">
      <c r="A33" s="233">
        <v>0</v>
      </c>
      <c r="B33" s="233">
        <v>2</v>
      </c>
      <c r="C33" s="233">
        <v>2</v>
      </c>
      <c r="D33" s="234">
        <v>0</v>
      </c>
      <c r="E33" s="234">
        <v>1</v>
      </c>
      <c r="G33" s="443"/>
      <c r="H33" s="444" t="s">
        <v>38</v>
      </c>
      <c r="I33" s="445" t="s">
        <v>3330</v>
      </c>
      <c r="J33" s="446" t="s">
        <v>2177</v>
      </c>
      <c r="K33" s="447"/>
      <c r="L33" s="448"/>
      <c r="M33" s="448"/>
      <c r="N33" s="449">
        <v>331865.22625000001</v>
      </c>
      <c r="O33" s="432">
        <v>19.813239678751899</v>
      </c>
      <c r="P33" s="429"/>
    </row>
    <row r="34" spans="1:16" ht="13.5" hidden="1" customHeight="1" outlineLevel="2" x14ac:dyDescent="0.2">
      <c r="A34" s="233">
        <v>0</v>
      </c>
      <c r="B34" s="233">
        <v>2</v>
      </c>
      <c r="C34" s="233">
        <v>2</v>
      </c>
      <c r="D34" s="234">
        <v>1</v>
      </c>
      <c r="E34" s="234">
        <v>0</v>
      </c>
      <c r="G34" s="450"/>
      <c r="H34" s="451" t="s">
        <v>1237</v>
      </c>
      <c r="I34" s="452" t="s">
        <v>3331</v>
      </c>
      <c r="J34" s="453" t="s">
        <v>12</v>
      </c>
      <c r="K34" s="454"/>
      <c r="L34" s="455"/>
      <c r="M34" s="455"/>
      <c r="N34" s="456">
        <v>155967.96625</v>
      </c>
      <c r="O34" s="457">
        <v>9.3117038275977997</v>
      </c>
      <c r="P34" s="430"/>
    </row>
    <row r="35" spans="1:16" ht="13.5" hidden="1" customHeight="1" outlineLevel="3" x14ac:dyDescent="0.2">
      <c r="A35" s="233">
        <v>0</v>
      </c>
      <c r="B35" s="233">
        <v>2</v>
      </c>
      <c r="C35" s="233">
        <v>2</v>
      </c>
      <c r="D35" s="234">
        <v>1</v>
      </c>
      <c r="E35" s="234">
        <v>1</v>
      </c>
      <c r="G35" s="458" t="s">
        <v>1618</v>
      </c>
      <c r="H35" s="459" t="s">
        <v>1238</v>
      </c>
      <c r="I35" s="460" t="s">
        <v>3332</v>
      </c>
      <c r="J35" s="461" t="s">
        <v>2805</v>
      </c>
      <c r="K35" s="462" t="s">
        <v>533</v>
      </c>
      <c r="L35" s="463">
        <v>2282</v>
      </c>
      <c r="M35" s="463">
        <v>8.9641450000000003</v>
      </c>
      <c r="N35" s="464">
        <v>20456.178889999999</v>
      </c>
      <c r="O35" s="465"/>
      <c r="P35" s="431" t="s">
        <v>6711</v>
      </c>
    </row>
    <row r="36" spans="1:16" ht="12.75" hidden="1" outlineLevel="3" x14ac:dyDescent="0.2">
      <c r="A36" s="233">
        <v>0</v>
      </c>
      <c r="B36" s="233">
        <v>2</v>
      </c>
      <c r="C36" s="233">
        <v>2</v>
      </c>
      <c r="D36" s="234">
        <v>1</v>
      </c>
      <c r="E36" s="234">
        <v>2</v>
      </c>
      <c r="G36" s="458" t="s">
        <v>1618</v>
      </c>
      <c r="H36" s="459" t="s">
        <v>1238</v>
      </c>
      <c r="I36" s="460" t="s">
        <v>3333</v>
      </c>
      <c r="J36" s="461" t="s">
        <v>2806</v>
      </c>
      <c r="K36" s="462" t="s">
        <v>533</v>
      </c>
      <c r="L36" s="463">
        <v>77</v>
      </c>
      <c r="M36" s="463">
        <v>8.9641450000000003</v>
      </c>
      <c r="N36" s="464">
        <v>690.23916499999996</v>
      </c>
      <c r="O36" s="465"/>
      <c r="P36" s="431" t="s">
        <v>6711</v>
      </c>
    </row>
    <row r="37" spans="1:16" ht="13.5" hidden="1" customHeight="1" outlineLevel="3" x14ac:dyDescent="0.2">
      <c r="A37" s="233">
        <v>0</v>
      </c>
      <c r="B37" s="233">
        <v>2</v>
      </c>
      <c r="C37" s="233">
        <v>2</v>
      </c>
      <c r="D37" s="234">
        <v>1</v>
      </c>
      <c r="E37" s="234">
        <v>3</v>
      </c>
      <c r="G37" s="458" t="s">
        <v>1618</v>
      </c>
      <c r="H37" s="459" t="s">
        <v>1238</v>
      </c>
      <c r="I37" s="460" t="s">
        <v>3334</v>
      </c>
      <c r="J37" s="461" t="s">
        <v>2807</v>
      </c>
      <c r="K37" s="462" t="s">
        <v>533</v>
      </c>
      <c r="L37" s="463">
        <v>3884</v>
      </c>
      <c r="M37" s="463">
        <v>8.4841449999999998</v>
      </c>
      <c r="N37" s="464">
        <v>32952.419179999997</v>
      </c>
      <c r="O37" s="465"/>
      <c r="P37" s="431" t="s">
        <v>6711</v>
      </c>
    </row>
    <row r="38" spans="1:16" ht="13.5" hidden="1" customHeight="1" outlineLevel="3" x14ac:dyDescent="0.2">
      <c r="A38" s="233">
        <v>0</v>
      </c>
      <c r="B38" s="233">
        <v>2</v>
      </c>
      <c r="C38" s="233">
        <v>2</v>
      </c>
      <c r="D38" s="234">
        <v>1</v>
      </c>
      <c r="E38" s="234">
        <v>4</v>
      </c>
      <c r="G38" s="458" t="s">
        <v>1618</v>
      </c>
      <c r="H38" s="459" t="s">
        <v>1238</v>
      </c>
      <c r="I38" s="460" t="s">
        <v>3335</v>
      </c>
      <c r="J38" s="461" t="s">
        <v>2808</v>
      </c>
      <c r="K38" s="462" t="s">
        <v>533</v>
      </c>
      <c r="L38" s="463">
        <v>12007</v>
      </c>
      <c r="M38" s="463">
        <v>8.4841449999999998</v>
      </c>
      <c r="N38" s="464">
        <v>101869.129015</v>
      </c>
      <c r="O38" s="465"/>
      <c r="P38" s="431" t="s">
        <v>6711</v>
      </c>
    </row>
    <row r="39" spans="1:16" ht="13.5" hidden="1" customHeight="1" outlineLevel="2" x14ac:dyDescent="0.2">
      <c r="A39" s="233">
        <v>0</v>
      </c>
      <c r="B39" s="233">
        <v>2</v>
      </c>
      <c r="C39" s="233">
        <v>2</v>
      </c>
      <c r="D39" s="234">
        <v>2</v>
      </c>
      <c r="E39" s="234">
        <v>0</v>
      </c>
      <c r="G39" s="450"/>
      <c r="H39" s="451" t="s">
        <v>1237</v>
      </c>
      <c r="I39" s="452" t="s">
        <v>3336</v>
      </c>
      <c r="J39" s="453" t="s">
        <v>13</v>
      </c>
      <c r="K39" s="454"/>
      <c r="L39" s="455"/>
      <c r="M39" s="455"/>
      <c r="N39" s="456">
        <v>175897.26</v>
      </c>
      <c r="O39" s="457">
        <v>10.501535851154101</v>
      </c>
      <c r="P39" s="430"/>
    </row>
    <row r="40" spans="1:16" ht="13.5" hidden="1" customHeight="1" outlineLevel="3" x14ac:dyDescent="0.2">
      <c r="A40" s="233">
        <v>0</v>
      </c>
      <c r="B40" s="233">
        <v>2</v>
      </c>
      <c r="C40" s="233">
        <v>2</v>
      </c>
      <c r="D40" s="234">
        <v>2</v>
      </c>
      <c r="E40" s="234">
        <v>1</v>
      </c>
      <c r="G40" s="458" t="s">
        <v>1618</v>
      </c>
      <c r="H40" s="459" t="s">
        <v>1238</v>
      </c>
      <c r="I40" s="460" t="s">
        <v>3337</v>
      </c>
      <c r="J40" s="461" t="s">
        <v>2809</v>
      </c>
      <c r="K40" s="462" t="s">
        <v>1246</v>
      </c>
      <c r="L40" s="463">
        <v>210</v>
      </c>
      <c r="M40" s="463">
        <v>837.60600000000011</v>
      </c>
      <c r="N40" s="464">
        <v>175897.26</v>
      </c>
      <c r="O40" s="465"/>
      <c r="P40" s="431" t="s">
        <v>6711</v>
      </c>
    </row>
    <row r="41" spans="1:16" ht="13.5" hidden="1" customHeight="1" outlineLevel="1" x14ac:dyDescent="0.2">
      <c r="A41" s="233">
        <v>0</v>
      </c>
      <c r="B41" s="233">
        <v>2</v>
      </c>
      <c r="C41" s="233">
        <v>3</v>
      </c>
      <c r="D41" s="234">
        <v>0</v>
      </c>
      <c r="E41" s="234">
        <v>1</v>
      </c>
      <c r="G41" s="443"/>
      <c r="H41" s="444" t="s">
        <v>38</v>
      </c>
      <c r="I41" s="445" t="s">
        <v>3338</v>
      </c>
      <c r="J41" s="446" t="s">
        <v>2187</v>
      </c>
      <c r="K41" s="447"/>
      <c r="L41" s="448"/>
      <c r="M41" s="448"/>
      <c r="N41" s="449">
        <v>37645.991064220798</v>
      </c>
      <c r="O41" s="432">
        <v>2.24756613498778</v>
      </c>
      <c r="P41" s="429"/>
    </row>
    <row r="42" spans="1:16" ht="13.5" hidden="1" customHeight="1" outlineLevel="2" x14ac:dyDescent="0.2">
      <c r="A42" s="233">
        <v>0</v>
      </c>
      <c r="B42" s="233">
        <v>2</v>
      </c>
      <c r="C42" s="233">
        <v>3</v>
      </c>
      <c r="D42" s="234">
        <v>1</v>
      </c>
      <c r="E42" s="234">
        <v>0</v>
      </c>
      <c r="G42" s="450"/>
      <c r="H42" s="451" t="s">
        <v>1237</v>
      </c>
      <c r="I42" s="452" t="s">
        <v>3339</v>
      </c>
      <c r="J42" s="453" t="s">
        <v>15</v>
      </c>
      <c r="K42" s="454"/>
      <c r="L42" s="455"/>
      <c r="M42" s="455"/>
      <c r="N42" s="456">
        <v>2482.1878628571399</v>
      </c>
      <c r="O42" s="457">
        <v>0.14819323979858401</v>
      </c>
      <c r="P42" s="430"/>
    </row>
    <row r="43" spans="1:16" ht="13.5" hidden="1" customHeight="1" outlineLevel="3" x14ac:dyDescent="0.2">
      <c r="A43" s="233">
        <v>0</v>
      </c>
      <c r="B43" s="233">
        <v>2</v>
      </c>
      <c r="C43" s="233">
        <v>3</v>
      </c>
      <c r="D43" s="234">
        <v>1</v>
      </c>
      <c r="E43" s="234">
        <v>1</v>
      </c>
      <c r="G43" s="458" t="s">
        <v>1618</v>
      </c>
      <c r="H43" s="459" t="s">
        <v>1238</v>
      </c>
      <c r="I43" s="460" t="s">
        <v>3340</v>
      </c>
      <c r="J43" s="461" t="s">
        <v>230</v>
      </c>
      <c r="K43" s="462" t="s">
        <v>641</v>
      </c>
      <c r="L43" s="463">
        <v>41.400000000000006</v>
      </c>
      <c r="M43" s="463">
        <v>59.956228571428568</v>
      </c>
      <c r="N43" s="464">
        <v>2482.1878628571399</v>
      </c>
      <c r="O43" s="465"/>
      <c r="P43" s="431" t="s">
        <v>6711</v>
      </c>
    </row>
    <row r="44" spans="1:16" ht="13.5" hidden="1" customHeight="1" outlineLevel="2" x14ac:dyDescent="0.2">
      <c r="A44" s="233">
        <v>0</v>
      </c>
      <c r="B44" s="233">
        <v>2</v>
      </c>
      <c r="C44" s="233">
        <v>3</v>
      </c>
      <c r="D44" s="234">
        <v>2</v>
      </c>
      <c r="E44" s="234">
        <v>0</v>
      </c>
      <c r="G44" s="450"/>
      <c r="H44" s="451" t="s">
        <v>1237</v>
      </c>
      <c r="I44" s="452" t="s">
        <v>3341</v>
      </c>
      <c r="J44" s="453" t="s">
        <v>12</v>
      </c>
      <c r="K44" s="454"/>
      <c r="L44" s="455"/>
      <c r="M44" s="455"/>
      <c r="N44" s="456">
        <v>23057.9164013636</v>
      </c>
      <c r="O44" s="457">
        <v>1.3766191454138299</v>
      </c>
      <c r="P44" s="430"/>
    </row>
    <row r="45" spans="1:16" ht="13.5" hidden="1" customHeight="1" outlineLevel="3" x14ac:dyDescent="0.2">
      <c r="A45" s="233">
        <v>0</v>
      </c>
      <c r="B45" s="233">
        <v>2</v>
      </c>
      <c r="C45" s="233">
        <v>3</v>
      </c>
      <c r="D45" s="234">
        <v>2</v>
      </c>
      <c r="E45" s="234">
        <v>1</v>
      </c>
      <c r="G45" s="458" t="s">
        <v>1618</v>
      </c>
      <c r="H45" s="459" t="s">
        <v>1238</v>
      </c>
      <c r="I45" s="460" t="s">
        <v>3342</v>
      </c>
      <c r="J45" s="461" t="s">
        <v>2806</v>
      </c>
      <c r="K45" s="462" t="s">
        <v>1105</v>
      </c>
      <c r="L45" s="463">
        <v>913.36363636363626</v>
      </c>
      <c r="M45" s="463">
        <v>8.9641450000000003</v>
      </c>
      <c r="N45" s="464">
        <v>8187.5240740909103</v>
      </c>
      <c r="O45" s="465"/>
      <c r="P45" s="431" t="s">
        <v>6711</v>
      </c>
    </row>
    <row r="46" spans="1:16" ht="13.5" hidden="1" customHeight="1" outlineLevel="3" x14ac:dyDescent="0.2">
      <c r="A46" s="233">
        <v>0</v>
      </c>
      <c r="B46" s="233">
        <v>2</v>
      </c>
      <c r="C46" s="233">
        <v>3</v>
      </c>
      <c r="D46" s="234">
        <v>2</v>
      </c>
      <c r="E46" s="234">
        <v>2</v>
      </c>
      <c r="G46" s="458" t="s">
        <v>1618</v>
      </c>
      <c r="H46" s="459" t="s">
        <v>1238</v>
      </c>
      <c r="I46" s="460" t="s">
        <v>3343</v>
      </c>
      <c r="J46" s="461" t="s">
        <v>2807</v>
      </c>
      <c r="K46" s="462" t="s">
        <v>1105</v>
      </c>
      <c r="L46" s="463">
        <v>45.36363636363636</v>
      </c>
      <c r="M46" s="463">
        <v>8.4841449999999998</v>
      </c>
      <c r="N46" s="464">
        <v>384.87166863636401</v>
      </c>
      <c r="O46" s="465"/>
      <c r="P46" s="431" t="s">
        <v>6711</v>
      </c>
    </row>
    <row r="47" spans="1:16" ht="13.5" hidden="1" customHeight="1" outlineLevel="3" x14ac:dyDescent="0.2">
      <c r="A47" s="233">
        <v>0</v>
      </c>
      <c r="B47" s="233">
        <v>2</v>
      </c>
      <c r="C47" s="233">
        <v>3</v>
      </c>
      <c r="D47" s="234">
        <v>2</v>
      </c>
      <c r="E47" s="234">
        <v>3</v>
      </c>
      <c r="G47" s="458" t="s">
        <v>1618</v>
      </c>
      <c r="H47" s="459" t="s">
        <v>1238</v>
      </c>
      <c r="I47" s="460" t="s">
        <v>3344</v>
      </c>
      <c r="J47" s="461" t="s">
        <v>2965</v>
      </c>
      <c r="K47" s="462" t="s">
        <v>1105</v>
      </c>
      <c r="L47" s="463">
        <v>1277.2727272727273</v>
      </c>
      <c r="M47" s="463">
        <v>8.4841449999999998</v>
      </c>
      <c r="N47" s="464">
        <v>10836.5670227273</v>
      </c>
      <c r="O47" s="465"/>
      <c r="P47" s="431" t="s">
        <v>6711</v>
      </c>
    </row>
    <row r="48" spans="1:16" ht="13.5" hidden="1" customHeight="1" outlineLevel="3" x14ac:dyDescent="0.2">
      <c r="A48" s="233">
        <v>0</v>
      </c>
      <c r="B48" s="233">
        <v>2</v>
      </c>
      <c r="C48" s="233">
        <v>3</v>
      </c>
      <c r="D48" s="234">
        <v>2</v>
      </c>
      <c r="E48" s="234">
        <v>4</v>
      </c>
      <c r="G48" s="458" t="s">
        <v>1618</v>
      </c>
      <c r="H48" s="459" t="s">
        <v>1238</v>
      </c>
      <c r="I48" s="460" t="s">
        <v>3345</v>
      </c>
      <c r="J48" s="461" t="s">
        <v>2967</v>
      </c>
      <c r="K48" s="462" t="s">
        <v>1105</v>
      </c>
      <c r="L48" s="463">
        <v>430.09090909090907</v>
      </c>
      <c r="M48" s="463">
        <v>8.4841449999999998</v>
      </c>
      <c r="N48" s="464">
        <v>3648.9536359090898</v>
      </c>
      <c r="O48" s="465"/>
      <c r="P48" s="431" t="s">
        <v>6711</v>
      </c>
    </row>
    <row r="49" spans="1:16" ht="13.5" hidden="1" customHeight="1" outlineLevel="2" x14ac:dyDescent="0.2">
      <c r="A49" s="233">
        <v>0</v>
      </c>
      <c r="B49" s="233">
        <v>2</v>
      </c>
      <c r="C49" s="233">
        <v>3</v>
      </c>
      <c r="D49" s="234">
        <v>3</v>
      </c>
      <c r="E49" s="234">
        <v>0</v>
      </c>
      <c r="G49" s="450"/>
      <c r="H49" s="451" t="s">
        <v>1237</v>
      </c>
      <c r="I49" s="452" t="s">
        <v>3346</v>
      </c>
      <c r="J49" s="453" t="s">
        <v>13</v>
      </c>
      <c r="K49" s="454"/>
      <c r="L49" s="455"/>
      <c r="M49" s="455"/>
      <c r="N49" s="456">
        <v>12105.8868</v>
      </c>
      <c r="O49" s="457"/>
      <c r="P49" s="430"/>
    </row>
    <row r="50" spans="1:16" ht="13.5" hidden="1" customHeight="1" outlineLevel="3" x14ac:dyDescent="0.2">
      <c r="A50" s="233">
        <v>0</v>
      </c>
      <c r="B50" s="233">
        <v>2</v>
      </c>
      <c r="C50" s="233">
        <v>3</v>
      </c>
      <c r="D50" s="234">
        <v>3</v>
      </c>
      <c r="E50" s="234">
        <v>1</v>
      </c>
      <c r="G50" s="458" t="s">
        <v>1618</v>
      </c>
      <c r="H50" s="459" t="s">
        <v>1238</v>
      </c>
      <c r="I50" s="460" t="s">
        <v>3347</v>
      </c>
      <c r="J50" s="461" t="s">
        <v>253</v>
      </c>
      <c r="K50" s="462" t="s">
        <v>1246</v>
      </c>
      <c r="L50" s="463">
        <v>17.8</v>
      </c>
      <c r="M50" s="463">
        <v>680.10600000000011</v>
      </c>
      <c r="N50" s="464">
        <v>12105.8868</v>
      </c>
      <c r="O50" s="465"/>
      <c r="P50" s="431" t="s">
        <v>6711</v>
      </c>
    </row>
    <row r="51" spans="1:16" ht="13.5" hidden="1" customHeight="1" outlineLevel="1" x14ac:dyDescent="0.2">
      <c r="A51" s="233">
        <v>0</v>
      </c>
      <c r="B51" s="233">
        <v>2</v>
      </c>
      <c r="C51" s="233">
        <v>4</v>
      </c>
      <c r="D51" s="234">
        <v>0</v>
      </c>
      <c r="E51" s="234">
        <v>1</v>
      </c>
      <c r="G51" s="443"/>
      <c r="H51" s="444" t="s">
        <v>38</v>
      </c>
      <c r="I51" s="445" t="s">
        <v>3348</v>
      </c>
      <c r="J51" s="446" t="s">
        <v>2188</v>
      </c>
      <c r="K51" s="447"/>
      <c r="L51" s="448"/>
      <c r="M51" s="448"/>
      <c r="N51" s="449">
        <v>243756</v>
      </c>
      <c r="O51" s="432">
        <v>14.5528837284555</v>
      </c>
      <c r="P51" s="429"/>
    </row>
    <row r="52" spans="1:16" ht="13.5" hidden="1" customHeight="1" outlineLevel="2" x14ac:dyDescent="0.2">
      <c r="A52" s="233">
        <v>0</v>
      </c>
      <c r="B52" s="233">
        <v>2</v>
      </c>
      <c r="C52" s="233">
        <v>4</v>
      </c>
      <c r="D52" s="234">
        <v>1</v>
      </c>
      <c r="E52" s="234">
        <v>0</v>
      </c>
      <c r="G52" s="450"/>
      <c r="H52" s="451" t="s">
        <v>1237</v>
      </c>
      <c r="I52" s="452" t="s">
        <v>3349</v>
      </c>
      <c r="J52" s="453" t="s">
        <v>2178</v>
      </c>
      <c r="K52" s="454"/>
      <c r="L52" s="455"/>
      <c r="M52" s="455"/>
      <c r="N52" s="456">
        <v>243756</v>
      </c>
      <c r="O52" s="457">
        <v>14.5528837284555</v>
      </c>
      <c r="P52" s="430"/>
    </row>
    <row r="53" spans="1:16" ht="13.5" hidden="1" customHeight="1" outlineLevel="3" x14ac:dyDescent="0.2">
      <c r="A53" s="233">
        <v>0</v>
      </c>
      <c r="B53" s="233">
        <v>2</v>
      </c>
      <c r="C53" s="233">
        <v>4</v>
      </c>
      <c r="D53" s="234">
        <v>1</v>
      </c>
      <c r="E53" s="234">
        <v>1</v>
      </c>
      <c r="G53" s="458" t="s">
        <v>1618</v>
      </c>
      <c r="H53" s="459" t="s">
        <v>1238</v>
      </c>
      <c r="I53" s="460" t="s">
        <v>3350</v>
      </c>
      <c r="J53" s="461" t="s">
        <v>2810</v>
      </c>
      <c r="K53" s="462" t="s">
        <v>641</v>
      </c>
      <c r="L53" s="463">
        <v>492.8</v>
      </c>
      <c r="M53" s="463">
        <v>470.28409090909088</v>
      </c>
      <c r="N53" s="464">
        <v>231756</v>
      </c>
      <c r="O53" s="465" t="s">
        <v>2811</v>
      </c>
      <c r="P53" s="431" t="s">
        <v>6711</v>
      </c>
    </row>
    <row r="54" spans="1:16" ht="13.5" hidden="1" customHeight="1" outlineLevel="3" x14ac:dyDescent="0.2">
      <c r="A54" s="233">
        <v>0</v>
      </c>
      <c r="B54" s="233">
        <v>2</v>
      </c>
      <c r="C54" s="233">
        <v>4</v>
      </c>
      <c r="D54" s="234">
        <v>1</v>
      </c>
      <c r="E54" s="234">
        <v>2</v>
      </c>
      <c r="G54" s="458" t="s">
        <v>1618</v>
      </c>
      <c r="H54" s="459" t="s">
        <v>1238</v>
      </c>
      <c r="I54" s="460" t="s">
        <v>3351</v>
      </c>
      <c r="J54" s="461" t="s">
        <v>2812</v>
      </c>
      <c r="K54" s="462" t="s">
        <v>1129</v>
      </c>
      <c r="L54" s="463">
        <v>1</v>
      </c>
      <c r="M54" s="463">
        <v>12000</v>
      </c>
      <c r="N54" s="464">
        <v>12000</v>
      </c>
      <c r="O54" s="465"/>
      <c r="P54" s="431" t="s">
        <v>6711</v>
      </c>
    </row>
    <row r="55" spans="1:16" ht="13.5" hidden="1" customHeight="1" outlineLevel="1" x14ac:dyDescent="0.2">
      <c r="A55" s="233">
        <v>0</v>
      </c>
      <c r="B55" s="233">
        <v>2</v>
      </c>
      <c r="C55" s="233">
        <v>5</v>
      </c>
      <c r="D55" s="234">
        <v>0</v>
      </c>
      <c r="E55" s="234">
        <v>2</v>
      </c>
      <c r="G55" s="443"/>
      <c r="H55" s="444" t="s">
        <v>38</v>
      </c>
      <c r="I55" s="445" t="s">
        <v>3352</v>
      </c>
      <c r="J55" s="446" t="s">
        <v>2189</v>
      </c>
      <c r="K55" s="447"/>
      <c r="L55" s="448"/>
      <c r="M55" s="448"/>
      <c r="N55" s="449">
        <v>140000.01999999999</v>
      </c>
      <c r="O55" s="432">
        <v>8.3583748217128999</v>
      </c>
      <c r="P55" s="429"/>
    </row>
    <row r="56" spans="1:16" ht="13.5" hidden="1" customHeight="1" outlineLevel="2" x14ac:dyDescent="0.2">
      <c r="A56" s="233">
        <v>0</v>
      </c>
      <c r="B56" s="233">
        <v>2</v>
      </c>
      <c r="C56" s="233">
        <v>5</v>
      </c>
      <c r="D56" s="234">
        <v>1</v>
      </c>
      <c r="E56" s="234">
        <v>0</v>
      </c>
      <c r="G56" s="450"/>
      <c r="H56" s="451" t="s">
        <v>1237</v>
      </c>
      <c r="I56" s="452" t="s">
        <v>3353</v>
      </c>
      <c r="J56" s="453" t="s">
        <v>1247</v>
      </c>
      <c r="K56" s="454"/>
      <c r="L56" s="455"/>
      <c r="M56" s="455"/>
      <c r="N56" s="456">
        <v>140000.01999999999</v>
      </c>
      <c r="O56" s="457">
        <v>8.3583748217128999</v>
      </c>
      <c r="P56" s="430"/>
    </row>
    <row r="57" spans="1:16" ht="13.5" hidden="1" customHeight="1" outlineLevel="3" x14ac:dyDescent="0.2">
      <c r="A57" s="233">
        <v>0</v>
      </c>
      <c r="B57" s="233">
        <v>2</v>
      </c>
      <c r="C57" s="233">
        <v>5</v>
      </c>
      <c r="D57" s="234">
        <v>1</v>
      </c>
      <c r="E57" s="234">
        <v>1</v>
      </c>
      <c r="G57" s="458" t="s">
        <v>1618</v>
      </c>
      <c r="H57" s="459" t="s">
        <v>1238</v>
      </c>
      <c r="I57" s="460" t="s">
        <v>3354</v>
      </c>
      <c r="J57" s="461" t="s">
        <v>2813</v>
      </c>
      <c r="K57" s="462" t="s">
        <v>641</v>
      </c>
      <c r="L57" s="463">
        <v>525</v>
      </c>
      <c r="M57" s="463">
        <v>266.66670476190473</v>
      </c>
      <c r="N57" s="464">
        <v>140000.01999999999</v>
      </c>
      <c r="O57" s="465" t="s">
        <v>2814</v>
      </c>
      <c r="P57" s="431" t="s">
        <v>6711</v>
      </c>
    </row>
    <row r="58" spans="1:16" ht="13.5" customHeight="1" collapsed="1" x14ac:dyDescent="0.2">
      <c r="A58" s="233">
        <v>0</v>
      </c>
      <c r="B58" s="233">
        <v>3</v>
      </c>
      <c r="C58" s="233">
        <v>0</v>
      </c>
      <c r="D58" s="234">
        <v>1</v>
      </c>
      <c r="E58" s="234">
        <v>1</v>
      </c>
      <c r="F58" s="237"/>
      <c r="G58" s="436"/>
      <c r="H58" s="437" t="s">
        <v>1236</v>
      </c>
      <c r="I58" s="438" t="s">
        <v>3355</v>
      </c>
      <c r="J58" s="439" t="s">
        <v>2</v>
      </c>
      <c r="K58" s="440"/>
      <c r="L58" s="441"/>
      <c r="M58" s="441"/>
      <c r="N58" s="442">
        <v>4572490.0275754603</v>
      </c>
      <c r="O58" s="433">
        <v>272.98985756587803</v>
      </c>
      <c r="P58" s="433"/>
    </row>
    <row r="59" spans="1:16" ht="13.5" hidden="1" customHeight="1" outlineLevel="1" x14ac:dyDescent="0.2">
      <c r="A59" s="233">
        <v>0</v>
      </c>
      <c r="B59" s="233">
        <v>3</v>
      </c>
      <c r="C59" s="233">
        <v>1</v>
      </c>
      <c r="D59" s="234">
        <v>0</v>
      </c>
      <c r="E59" s="234">
        <v>1</v>
      </c>
      <c r="G59" s="443"/>
      <c r="H59" s="444" t="s">
        <v>38</v>
      </c>
      <c r="I59" s="445" t="s">
        <v>3356</v>
      </c>
      <c r="J59" s="446" t="s">
        <v>2815</v>
      </c>
      <c r="K59" s="447"/>
      <c r="L59" s="448"/>
      <c r="M59" s="448"/>
      <c r="N59" s="449">
        <v>3041540.5196917998</v>
      </c>
      <c r="O59" s="432">
        <v>181.58808619464099</v>
      </c>
      <c r="P59" s="429"/>
    </row>
    <row r="60" spans="1:16" ht="13.5" hidden="1" customHeight="1" outlineLevel="2" x14ac:dyDescent="0.2">
      <c r="A60" s="233">
        <v>0</v>
      </c>
      <c r="B60" s="233">
        <v>3</v>
      </c>
      <c r="C60" s="233">
        <v>1</v>
      </c>
      <c r="D60" s="234">
        <v>1</v>
      </c>
      <c r="E60" s="234">
        <v>0</v>
      </c>
      <c r="G60" s="450"/>
      <c r="H60" s="451" t="s">
        <v>1237</v>
      </c>
      <c r="I60" s="452" t="s">
        <v>3357</v>
      </c>
      <c r="J60" s="453" t="s">
        <v>11</v>
      </c>
      <c r="K60" s="454"/>
      <c r="L60" s="455"/>
      <c r="M60" s="455"/>
      <c r="N60" s="456">
        <v>950000</v>
      </c>
      <c r="O60" s="457">
        <v>56.717535330546802</v>
      </c>
      <c r="P60" s="430"/>
    </row>
    <row r="61" spans="1:16" ht="13.5" hidden="1" customHeight="1" outlineLevel="3" x14ac:dyDescent="0.2">
      <c r="A61" s="233">
        <v>0</v>
      </c>
      <c r="B61" s="233">
        <v>3</v>
      </c>
      <c r="C61" s="233">
        <v>1</v>
      </c>
      <c r="D61" s="234">
        <v>1</v>
      </c>
      <c r="E61" s="234">
        <v>1</v>
      </c>
      <c r="G61" s="458" t="s">
        <v>2</v>
      </c>
      <c r="H61" s="459" t="s">
        <v>1238</v>
      </c>
      <c r="I61" s="460" t="s">
        <v>3358</v>
      </c>
      <c r="J61" s="461" t="s">
        <v>182</v>
      </c>
      <c r="K61" s="462" t="s">
        <v>787</v>
      </c>
      <c r="L61" s="463">
        <v>6732</v>
      </c>
      <c r="M61" s="463">
        <v>137.48633176818674</v>
      </c>
      <c r="N61" s="464">
        <v>925557.98546343297</v>
      </c>
      <c r="O61" s="471" t="s">
        <v>2970</v>
      </c>
      <c r="P61" s="431" t="s">
        <v>6711</v>
      </c>
    </row>
    <row r="62" spans="1:16" ht="13.5" hidden="1" customHeight="1" outlineLevel="3" x14ac:dyDescent="0.2">
      <c r="A62" s="233">
        <v>0</v>
      </c>
      <c r="B62" s="233">
        <v>3</v>
      </c>
      <c r="C62" s="233">
        <v>1</v>
      </c>
      <c r="D62" s="234">
        <v>1</v>
      </c>
      <c r="E62" s="234">
        <v>2</v>
      </c>
      <c r="G62" s="458" t="s">
        <v>2</v>
      </c>
      <c r="H62" s="459" t="s">
        <v>1238</v>
      </c>
      <c r="I62" s="460" t="s">
        <v>3359</v>
      </c>
      <c r="J62" s="461" t="s">
        <v>1686</v>
      </c>
      <c r="K62" s="462" t="s">
        <v>1129</v>
      </c>
      <c r="L62" s="463">
        <v>1</v>
      </c>
      <c r="M62" s="463">
        <v>24442.014536566567</v>
      </c>
      <c r="N62" s="464">
        <v>24442.014536566599</v>
      </c>
      <c r="O62" s="471" t="s">
        <v>2970</v>
      </c>
      <c r="P62" s="431" t="s">
        <v>6711</v>
      </c>
    </row>
    <row r="63" spans="1:16" ht="13.5" hidden="1" customHeight="1" outlineLevel="2" x14ac:dyDescent="0.2">
      <c r="A63" s="233">
        <v>0</v>
      </c>
      <c r="B63" s="233">
        <v>3</v>
      </c>
      <c r="C63" s="233">
        <v>1</v>
      </c>
      <c r="D63" s="234">
        <v>2</v>
      </c>
      <c r="E63" s="234">
        <v>0</v>
      </c>
      <c r="G63" s="450"/>
      <c r="H63" s="451" t="s">
        <v>1237</v>
      </c>
      <c r="I63" s="452" t="s">
        <v>3360</v>
      </c>
      <c r="J63" s="453" t="s">
        <v>12</v>
      </c>
      <c r="K63" s="454"/>
      <c r="L63" s="455"/>
      <c r="M63" s="455"/>
      <c r="N63" s="456">
        <v>298834.77862499998</v>
      </c>
      <c r="O63" s="457">
        <v>17.8412338049048</v>
      </c>
      <c r="P63" s="430"/>
    </row>
    <row r="64" spans="1:16" ht="13.5" hidden="1" customHeight="1" outlineLevel="3" x14ac:dyDescent="0.2">
      <c r="A64" s="233">
        <v>0</v>
      </c>
      <c r="B64" s="233">
        <v>3</v>
      </c>
      <c r="C64" s="233">
        <v>1</v>
      </c>
      <c r="D64" s="234">
        <v>2</v>
      </c>
      <c r="E64" s="234">
        <v>1</v>
      </c>
      <c r="G64" s="458" t="s">
        <v>2</v>
      </c>
      <c r="H64" s="459" t="s">
        <v>1238</v>
      </c>
      <c r="I64" s="460" t="s">
        <v>3361</v>
      </c>
      <c r="J64" s="461" t="s">
        <v>2971</v>
      </c>
      <c r="K64" s="462" t="s">
        <v>533</v>
      </c>
      <c r="L64" s="463">
        <v>3495</v>
      </c>
      <c r="M64" s="463">
        <v>8.9641450000000003</v>
      </c>
      <c r="N64" s="464">
        <v>31329.686774999998</v>
      </c>
      <c r="O64" s="465"/>
      <c r="P64" s="431" t="s">
        <v>6711</v>
      </c>
    </row>
    <row r="65" spans="1:16" ht="13.5" hidden="1" customHeight="1" outlineLevel="3" x14ac:dyDescent="0.2">
      <c r="A65" s="233">
        <v>0</v>
      </c>
      <c r="B65" s="233">
        <v>3</v>
      </c>
      <c r="C65" s="233">
        <v>1</v>
      </c>
      <c r="D65" s="234">
        <v>2</v>
      </c>
      <c r="E65" s="234">
        <v>2</v>
      </c>
      <c r="G65" s="458" t="s">
        <v>2</v>
      </c>
      <c r="H65" s="459" t="s">
        <v>1238</v>
      </c>
      <c r="I65" s="460" t="s">
        <v>3362</v>
      </c>
      <c r="J65" s="461" t="s">
        <v>2972</v>
      </c>
      <c r="K65" s="462" t="s">
        <v>533</v>
      </c>
      <c r="L65" s="463">
        <v>31530</v>
      </c>
      <c r="M65" s="463">
        <v>8.4841449999999998</v>
      </c>
      <c r="N65" s="464">
        <v>267505.09185000003</v>
      </c>
      <c r="O65" s="465"/>
      <c r="P65" s="431" t="s">
        <v>6711</v>
      </c>
    </row>
    <row r="66" spans="1:16" ht="13.5" hidden="1" customHeight="1" outlineLevel="2" x14ac:dyDescent="0.2">
      <c r="A66" s="233">
        <v>0</v>
      </c>
      <c r="B66" s="233">
        <v>3</v>
      </c>
      <c r="C66" s="233">
        <v>1</v>
      </c>
      <c r="D66" s="234">
        <v>3</v>
      </c>
      <c r="E66" s="234">
        <v>0</v>
      </c>
      <c r="G66" s="450"/>
      <c r="H66" s="451" t="s">
        <v>1237</v>
      </c>
      <c r="I66" s="452" t="s">
        <v>3363</v>
      </c>
      <c r="J66" s="453" t="s">
        <v>13</v>
      </c>
      <c r="K66" s="454"/>
      <c r="L66" s="455"/>
      <c r="M66" s="455"/>
      <c r="N66" s="456">
        <v>1792705.7410668</v>
      </c>
      <c r="O66" s="457">
        <v>107.02931705919001</v>
      </c>
      <c r="P66" s="430"/>
    </row>
    <row r="67" spans="1:16" ht="13.5" hidden="1" customHeight="1" outlineLevel="3" x14ac:dyDescent="0.2">
      <c r="A67" s="233">
        <v>0</v>
      </c>
      <c r="B67" s="233">
        <v>3</v>
      </c>
      <c r="C67" s="233">
        <v>1</v>
      </c>
      <c r="D67" s="234">
        <v>3</v>
      </c>
      <c r="E67" s="234">
        <v>1</v>
      </c>
      <c r="G67" s="458" t="s">
        <v>2</v>
      </c>
      <c r="H67" s="459" t="s">
        <v>1238</v>
      </c>
      <c r="I67" s="460" t="s">
        <v>3364</v>
      </c>
      <c r="J67" s="461" t="s">
        <v>2816</v>
      </c>
      <c r="K67" s="462" t="s">
        <v>1246</v>
      </c>
      <c r="L67" s="463">
        <v>1903.4281569569839</v>
      </c>
      <c r="M67" s="463">
        <v>941.83</v>
      </c>
      <c r="N67" s="464">
        <v>1792705.7410668</v>
      </c>
      <c r="O67" s="465"/>
      <c r="P67" s="431" t="s">
        <v>6711</v>
      </c>
    </row>
    <row r="68" spans="1:16" ht="13.5" hidden="1" customHeight="1" outlineLevel="2" collapsed="1" x14ac:dyDescent="0.2">
      <c r="A68" s="233">
        <v>0</v>
      </c>
      <c r="B68" s="233">
        <v>3</v>
      </c>
      <c r="C68" s="233">
        <v>1</v>
      </c>
      <c r="D68" s="234">
        <v>4</v>
      </c>
      <c r="E68" s="234">
        <v>0</v>
      </c>
      <c r="G68" s="450"/>
      <c r="H68" s="451" t="s">
        <v>1237</v>
      </c>
      <c r="I68" s="452" t="s">
        <v>3365</v>
      </c>
      <c r="J68" s="453" t="s">
        <v>1247</v>
      </c>
      <c r="K68" s="454"/>
      <c r="L68" s="455"/>
      <c r="M68" s="455"/>
      <c r="N68" s="456">
        <v>0</v>
      </c>
      <c r="O68" s="457">
        <v>0</v>
      </c>
      <c r="P68" s="430"/>
    </row>
    <row r="69" spans="1:16" ht="13.5" hidden="1" customHeight="1" outlineLevel="1" x14ac:dyDescent="0.2">
      <c r="A69" s="233">
        <v>0</v>
      </c>
      <c r="B69" s="233">
        <v>3</v>
      </c>
      <c r="C69" s="233">
        <v>2</v>
      </c>
      <c r="D69" s="234">
        <v>0</v>
      </c>
      <c r="E69" s="234">
        <v>0</v>
      </c>
      <c r="G69" s="443"/>
      <c r="H69" s="444" t="s">
        <v>38</v>
      </c>
      <c r="I69" s="445" t="s">
        <v>3366</v>
      </c>
      <c r="J69" s="446" t="s">
        <v>2190</v>
      </c>
      <c r="K69" s="447"/>
      <c r="L69" s="448"/>
      <c r="M69" s="448"/>
      <c r="N69" s="449">
        <v>1056067.4444474</v>
      </c>
      <c r="O69" s="432">
        <v>63.050044833564002</v>
      </c>
      <c r="P69" s="429"/>
    </row>
    <row r="70" spans="1:16" ht="13.5" hidden="1" customHeight="1" outlineLevel="2" x14ac:dyDescent="0.2">
      <c r="A70" s="233">
        <v>0</v>
      </c>
      <c r="B70" s="233">
        <v>3</v>
      </c>
      <c r="C70" s="233">
        <v>2</v>
      </c>
      <c r="D70" s="234">
        <v>1</v>
      </c>
      <c r="E70" s="234">
        <v>0</v>
      </c>
      <c r="G70" s="450"/>
      <c r="H70" s="451" t="s">
        <v>1237</v>
      </c>
      <c r="I70" s="452" t="s">
        <v>3367</v>
      </c>
      <c r="J70" s="453" t="s">
        <v>15</v>
      </c>
      <c r="K70" s="454"/>
      <c r="L70" s="455"/>
      <c r="M70" s="455"/>
      <c r="N70" s="456">
        <v>15723.5209428571</v>
      </c>
      <c r="O70" s="457">
        <v>0.93873616273378202</v>
      </c>
      <c r="P70" s="430"/>
    </row>
    <row r="71" spans="1:16" ht="13.5" hidden="1" customHeight="1" outlineLevel="3" x14ac:dyDescent="0.2">
      <c r="A71" s="233">
        <v>0</v>
      </c>
      <c r="B71" s="233">
        <v>3</v>
      </c>
      <c r="C71" s="233">
        <v>2</v>
      </c>
      <c r="D71" s="234">
        <v>1</v>
      </c>
      <c r="E71" s="234">
        <v>1</v>
      </c>
      <c r="G71" s="458" t="s">
        <v>2</v>
      </c>
      <c r="H71" s="459" t="s">
        <v>1238</v>
      </c>
      <c r="I71" s="460" t="s">
        <v>3368</v>
      </c>
      <c r="J71" s="461" t="s">
        <v>230</v>
      </c>
      <c r="K71" s="462" t="s">
        <v>641</v>
      </c>
      <c r="L71" s="463">
        <v>262.25</v>
      </c>
      <c r="M71" s="463">
        <v>59.956228571428568</v>
      </c>
      <c r="N71" s="464">
        <v>15723.5209428571</v>
      </c>
      <c r="O71" s="465" t="s">
        <v>2817</v>
      </c>
      <c r="P71" s="431" t="s">
        <v>6711</v>
      </c>
    </row>
    <row r="72" spans="1:16" ht="13.5" hidden="1" customHeight="1" outlineLevel="2" x14ac:dyDescent="0.2">
      <c r="A72" s="233">
        <v>0</v>
      </c>
      <c r="B72" s="233">
        <v>3</v>
      </c>
      <c r="C72" s="233">
        <v>2</v>
      </c>
      <c r="D72" s="234">
        <v>2</v>
      </c>
      <c r="E72" s="234">
        <v>0</v>
      </c>
      <c r="G72" s="450"/>
      <c r="H72" s="451" t="s">
        <v>1237</v>
      </c>
      <c r="I72" s="452" t="s">
        <v>3369</v>
      </c>
      <c r="J72" s="453" t="s">
        <v>12</v>
      </c>
      <c r="K72" s="454"/>
      <c r="L72" s="455"/>
      <c r="M72" s="455"/>
      <c r="N72" s="456">
        <v>592494.12250454503</v>
      </c>
      <c r="O72" s="457">
        <v>35.373480343466198</v>
      </c>
      <c r="P72" s="430"/>
    </row>
    <row r="73" spans="1:16" ht="13.5" hidden="1" customHeight="1" outlineLevel="3" x14ac:dyDescent="0.2">
      <c r="A73" s="233">
        <v>0</v>
      </c>
      <c r="B73" s="233">
        <v>3</v>
      </c>
      <c r="C73" s="233">
        <v>2</v>
      </c>
      <c r="D73" s="234">
        <v>2</v>
      </c>
      <c r="E73" s="234">
        <v>1</v>
      </c>
      <c r="G73" s="458" t="s">
        <v>2</v>
      </c>
      <c r="H73" s="459" t="s">
        <v>1238</v>
      </c>
      <c r="I73" s="460" t="s">
        <v>3370</v>
      </c>
      <c r="J73" s="461" t="s">
        <v>2973</v>
      </c>
      <c r="K73" s="462" t="s">
        <v>1105</v>
      </c>
      <c r="L73" s="463">
        <v>528.18181818181813</v>
      </c>
      <c r="M73" s="463">
        <v>8.4841449999999998</v>
      </c>
      <c r="N73" s="464">
        <v>4481.1711318181797</v>
      </c>
      <c r="O73" s="465"/>
      <c r="P73" s="431" t="s">
        <v>6711</v>
      </c>
    </row>
    <row r="74" spans="1:16" ht="13.5" hidden="1" customHeight="1" outlineLevel="3" x14ac:dyDescent="0.2">
      <c r="A74" s="233">
        <v>0</v>
      </c>
      <c r="B74" s="233">
        <v>3</v>
      </c>
      <c r="C74" s="233">
        <v>2</v>
      </c>
      <c r="D74" s="234">
        <v>2</v>
      </c>
      <c r="E74" s="234">
        <v>2</v>
      </c>
      <c r="G74" s="458" t="s">
        <v>2</v>
      </c>
      <c r="H74" s="459" t="s">
        <v>1238</v>
      </c>
      <c r="I74" s="460" t="s">
        <v>3371</v>
      </c>
      <c r="J74" s="461" t="s">
        <v>2974</v>
      </c>
      <c r="K74" s="462" t="s">
        <v>1105</v>
      </c>
      <c r="L74" s="463">
        <v>7331.8181818181811</v>
      </c>
      <c r="M74" s="463">
        <v>8.4841449999999998</v>
      </c>
      <c r="N74" s="464">
        <v>62204.208568181799</v>
      </c>
      <c r="O74" s="465"/>
      <c r="P74" s="431" t="s">
        <v>6711</v>
      </c>
    </row>
    <row r="75" spans="1:16" ht="13.5" hidden="1" customHeight="1" outlineLevel="3" x14ac:dyDescent="0.2">
      <c r="A75" s="233">
        <v>0</v>
      </c>
      <c r="B75" s="233">
        <v>3</v>
      </c>
      <c r="C75" s="233">
        <v>2</v>
      </c>
      <c r="D75" s="234">
        <v>2</v>
      </c>
      <c r="E75" s="234">
        <v>3</v>
      </c>
      <c r="G75" s="458" t="s">
        <v>2</v>
      </c>
      <c r="H75" s="459" t="s">
        <v>1238</v>
      </c>
      <c r="I75" s="460" t="s">
        <v>3372</v>
      </c>
      <c r="J75" s="461" t="s">
        <v>2975</v>
      </c>
      <c r="K75" s="462" t="s">
        <v>1105</v>
      </c>
      <c r="L75" s="463">
        <v>1318.181818181818</v>
      </c>
      <c r="M75" s="463">
        <v>8.4841449999999998</v>
      </c>
      <c r="N75" s="464">
        <v>11183.6456818182</v>
      </c>
      <c r="O75" s="465"/>
      <c r="P75" s="431" t="s">
        <v>6711</v>
      </c>
    </row>
    <row r="76" spans="1:16" ht="13.5" hidden="1" customHeight="1" outlineLevel="3" x14ac:dyDescent="0.2">
      <c r="A76" s="233">
        <v>0</v>
      </c>
      <c r="B76" s="233">
        <v>3</v>
      </c>
      <c r="C76" s="233">
        <v>2</v>
      </c>
      <c r="D76" s="234">
        <v>2</v>
      </c>
      <c r="E76" s="234">
        <v>4</v>
      </c>
      <c r="G76" s="458" t="s">
        <v>2</v>
      </c>
      <c r="H76" s="459" t="s">
        <v>1238</v>
      </c>
      <c r="I76" s="460" t="s">
        <v>3373</v>
      </c>
      <c r="J76" s="461" t="s">
        <v>2976</v>
      </c>
      <c r="K76" s="462" t="s">
        <v>1105</v>
      </c>
      <c r="L76" s="463">
        <v>60657.272727272721</v>
      </c>
      <c r="M76" s="463">
        <v>8.4841449999999998</v>
      </c>
      <c r="N76" s="464">
        <v>514625.09712272702</v>
      </c>
      <c r="O76" s="465"/>
      <c r="P76" s="431" t="s">
        <v>6711</v>
      </c>
    </row>
    <row r="77" spans="1:16" ht="13.5" hidden="1" customHeight="1" outlineLevel="2" x14ac:dyDescent="0.2">
      <c r="A77" s="233">
        <v>0</v>
      </c>
      <c r="B77" s="233">
        <v>3</v>
      </c>
      <c r="C77" s="233">
        <v>2</v>
      </c>
      <c r="D77" s="234">
        <v>3</v>
      </c>
      <c r="E77" s="234">
        <v>0</v>
      </c>
      <c r="G77" s="450"/>
      <c r="H77" s="451" t="s">
        <v>1237</v>
      </c>
      <c r="I77" s="452" t="s">
        <v>3374</v>
      </c>
      <c r="J77" s="453" t="s">
        <v>13</v>
      </c>
      <c r="K77" s="454"/>
      <c r="L77" s="455"/>
      <c r="M77" s="455"/>
      <c r="N77" s="456">
        <v>447849.80099999998</v>
      </c>
      <c r="O77" s="457">
        <v>26.737828327364099</v>
      </c>
      <c r="P77" s="430"/>
    </row>
    <row r="78" spans="1:16" ht="13.5" hidden="1" customHeight="1" outlineLevel="3" x14ac:dyDescent="0.2">
      <c r="A78" s="233">
        <v>0</v>
      </c>
      <c r="B78" s="233">
        <v>3</v>
      </c>
      <c r="C78" s="233">
        <v>2</v>
      </c>
      <c r="D78" s="234">
        <v>3</v>
      </c>
      <c r="E78" s="234">
        <v>1</v>
      </c>
      <c r="G78" s="458" t="s">
        <v>2</v>
      </c>
      <c r="H78" s="459" t="s">
        <v>1238</v>
      </c>
      <c r="I78" s="460" t="s">
        <v>3375</v>
      </c>
      <c r="J78" s="461" t="s">
        <v>253</v>
      </c>
      <c r="K78" s="462" t="s">
        <v>1246</v>
      </c>
      <c r="L78" s="463">
        <v>658.5</v>
      </c>
      <c r="M78" s="463">
        <v>680.10600000000011</v>
      </c>
      <c r="N78" s="464">
        <v>447849.80099999998</v>
      </c>
      <c r="O78" s="465" t="s">
        <v>2818</v>
      </c>
      <c r="P78" s="431" t="s">
        <v>6711</v>
      </c>
    </row>
    <row r="79" spans="1:16" ht="13.5" hidden="1" customHeight="1" outlineLevel="2" collapsed="1" x14ac:dyDescent="0.2">
      <c r="A79" s="233">
        <v>0</v>
      </c>
      <c r="B79" s="233">
        <v>3</v>
      </c>
      <c r="C79" s="233">
        <v>2</v>
      </c>
      <c r="D79" s="234">
        <v>4</v>
      </c>
      <c r="E79" s="234">
        <v>0</v>
      </c>
      <c r="G79" s="450"/>
      <c r="H79" s="451" t="s">
        <v>1237</v>
      </c>
      <c r="I79" s="452" t="s">
        <v>3376</v>
      </c>
      <c r="J79" s="453" t="s">
        <v>1247</v>
      </c>
      <c r="K79" s="454"/>
      <c r="L79" s="455"/>
      <c r="M79" s="455"/>
      <c r="N79" s="456">
        <v>0</v>
      </c>
      <c r="O79" s="457">
        <v>0</v>
      </c>
      <c r="P79" s="430"/>
    </row>
    <row r="80" spans="1:16" ht="13.5" hidden="1" customHeight="1" outlineLevel="1" x14ac:dyDescent="0.2">
      <c r="A80" s="233">
        <v>0</v>
      </c>
      <c r="B80" s="233">
        <v>3</v>
      </c>
      <c r="C80" s="233">
        <v>3</v>
      </c>
      <c r="D80" s="234">
        <v>0</v>
      </c>
      <c r="E80" s="234">
        <v>0</v>
      </c>
      <c r="G80" s="443"/>
      <c r="H80" s="444" t="s">
        <v>38</v>
      </c>
      <c r="I80" s="445" t="s">
        <v>3377</v>
      </c>
      <c r="J80" s="446" t="s">
        <v>2191</v>
      </c>
      <c r="K80" s="447"/>
      <c r="L80" s="448"/>
      <c r="M80" s="448"/>
      <c r="N80" s="449">
        <v>474882.06343626202</v>
      </c>
      <c r="O80" s="432">
        <v>28.3517265376728</v>
      </c>
      <c r="P80" s="429"/>
    </row>
    <row r="81" spans="1:16" ht="13.5" hidden="1" customHeight="1" outlineLevel="2" x14ac:dyDescent="0.2">
      <c r="A81" s="233">
        <v>0</v>
      </c>
      <c r="B81" s="233">
        <v>3</v>
      </c>
      <c r="C81" s="233">
        <v>3</v>
      </c>
      <c r="D81" s="234">
        <v>1</v>
      </c>
      <c r="E81" s="234">
        <v>0</v>
      </c>
      <c r="G81" s="450"/>
      <c r="H81" s="451" t="s">
        <v>1237</v>
      </c>
      <c r="I81" s="452" t="s">
        <v>3378</v>
      </c>
      <c r="J81" s="453" t="s">
        <v>15</v>
      </c>
      <c r="K81" s="454"/>
      <c r="L81" s="455"/>
      <c r="M81" s="455"/>
      <c r="N81" s="456">
        <v>9996.6219021714296</v>
      </c>
      <c r="O81" s="457">
        <v>0.59682500623423795</v>
      </c>
      <c r="P81" s="430"/>
    </row>
    <row r="82" spans="1:16" ht="13.5" hidden="1" customHeight="1" outlineLevel="3" x14ac:dyDescent="0.2">
      <c r="A82" s="233">
        <v>0</v>
      </c>
      <c r="B82" s="233">
        <v>3</v>
      </c>
      <c r="C82" s="233">
        <v>3</v>
      </c>
      <c r="D82" s="234">
        <v>1</v>
      </c>
      <c r="E82" s="234">
        <v>1</v>
      </c>
      <c r="G82" s="458" t="s">
        <v>2</v>
      </c>
      <c r="H82" s="459" t="s">
        <v>1238</v>
      </c>
      <c r="I82" s="460" t="s">
        <v>3379</v>
      </c>
      <c r="J82" s="461" t="s">
        <v>230</v>
      </c>
      <c r="K82" s="462" t="s">
        <v>641</v>
      </c>
      <c r="L82" s="463">
        <v>166.732</v>
      </c>
      <c r="M82" s="463">
        <v>59.956228571428568</v>
      </c>
      <c r="N82" s="464">
        <v>9996.6219021714296</v>
      </c>
      <c r="O82" s="465" t="s">
        <v>1248</v>
      </c>
      <c r="P82" s="431" t="s">
        <v>6711</v>
      </c>
    </row>
    <row r="83" spans="1:16" ht="13.5" hidden="1" customHeight="1" outlineLevel="2" x14ac:dyDescent="0.2">
      <c r="A83" s="233">
        <v>0</v>
      </c>
      <c r="B83" s="233">
        <v>3</v>
      </c>
      <c r="C83" s="233">
        <v>3</v>
      </c>
      <c r="D83" s="234">
        <v>2</v>
      </c>
      <c r="E83" s="234">
        <v>0</v>
      </c>
      <c r="G83" s="450"/>
      <c r="H83" s="451" t="s">
        <v>1237</v>
      </c>
      <c r="I83" s="452" t="s">
        <v>3380</v>
      </c>
      <c r="J83" s="453" t="s">
        <v>12</v>
      </c>
      <c r="K83" s="454"/>
      <c r="L83" s="455"/>
      <c r="M83" s="455"/>
      <c r="N83" s="456">
        <v>430167.92772983102</v>
      </c>
      <c r="O83" s="457">
        <v>25.682173304299798</v>
      </c>
      <c r="P83" s="430"/>
    </row>
    <row r="84" spans="1:16" ht="13.5" hidden="1" customHeight="1" outlineLevel="3" x14ac:dyDescent="0.2">
      <c r="A84" s="233">
        <v>0</v>
      </c>
      <c r="B84" s="233">
        <v>3</v>
      </c>
      <c r="C84" s="233">
        <v>3</v>
      </c>
      <c r="D84" s="234">
        <v>2</v>
      </c>
      <c r="E84" s="234">
        <v>1</v>
      </c>
      <c r="G84" s="458" t="s">
        <v>2</v>
      </c>
      <c r="H84" s="459" t="s">
        <v>1238</v>
      </c>
      <c r="I84" s="460" t="s">
        <v>3381</v>
      </c>
      <c r="J84" s="461" t="s">
        <v>2979</v>
      </c>
      <c r="K84" s="462" t="s">
        <v>1105</v>
      </c>
      <c r="L84" s="463">
        <v>52</v>
      </c>
      <c r="M84" s="463">
        <v>8.9641450000000003</v>
      </c>
      <c r="N84" s="464">
        <v>466.13553999999999</v>
      </c>
      <c r="O84" s="465" t="s">
        <v>2819</v>
      </c>
      <c r="P84" s="431" t="s">
        <v>6711</v>
      </c>
    </row>
    <row r="85" spans="1:16" ht="13.5" hidden="1" customHeight="1" outlineLevel="3" x14ac:dyDescent="0.2">
      <c r="A85" s="233">
        <v>0</v>
      </c>
      <c r="B85" s="233">
        <v>3</v>
      </c>
      <c r="C85" s="233">
        <v>3</v>
      </c>
      <c r="D85" s="234">
        <v>2</v>
      </c>
      <c r="E85" s="234">
        <v>2</v>
      </c>
      <c r="G85" s="458" t="s">
        <v>2</v>
      </c>
      <c r="H85" s="459" t="s">
        <v>1238</v>
      </c>
      <c r="I85" s="460" t="s">
        <v>3382</v>
      </c>
      <c r="J85" s="461" t="s">
        <v>2980</v>
      </c>
      <c r="K85" s="462" t="s">
        <v>1105</v>
      </c>
      <c r="L85" s="463">
        <v>130.27272727272728</v>
      </c>
      <c r="M85" s="463">
        <v>8.9641450000000003</v>
      </c>
      <c r="N85" s="464">
        <v>1167.78361681818</v>
      </c>
      <c r="O85" s="465" t="s">
        <v>2819</v>
      </c>
      <c r="P85" s="431" t="s">
        <v>6711</v>
      </c>
    </row>
    <row r="86" spans="1:16" ht="13.5" hidden="1" customHeight="1" outlineLevel="3" x14ac:dyDescent="0.2">
      <c r="A86" s="233">
        <v>0</v>
      </c>
      <c r="B86" s="233">
        <v>3</v>
      </c>
      <c r="C86" s="233">
        <v>3</v>
      </c>
      <c r="D86" s="234">
        <v>2</v>
      </c>
      <c r="E86" s="234">
        <v>3</v>
      </c>
      <c r="G86" s="458" t="s">
        <v>2</v>
      </c>
      <c r="H86" s="459" t="s">
        <v>1238</v>
      </c>
      <c r="I86" s="460" t="s">
        <v>3383</v>
      </c>
      <c r="J86" s="461" t="s">
        <v>2981</v>
      </c>
      <c r="K86" s="462" t="s">
        <v>1105</v>
      </c>
      <c r="L86" s="463">
        <v>982.63636363636363</v>
      </c>
      <c r="M86" s="463">
        <v>8.9641450000000003</v>
      </c>
      <c r="N86" s="464">
        <v>8808.4948459090901</v>
      </c>
      <c r="O86" s="465" t="s">
        <v>2819</v>
      </c>
      <c r="P86" s="431" t="s">
        <v>6711</v>
      </c>
    </row>
    <row r="87" spans="1:16" ht="13.5" hidden="1" customHeight="1" outlineLevel="3" x14ac:dyDescent="0.2">
      <c r="A87" s="233">
        <v>0</v>
      </c>
      <c r="B87" s="233">
        <v>3</v>
      </c>
      <c r="C87" s="233">
        <v>3</v>
      </c>
      <c r="D87" s="234">
        <v>2</v>
      </c>
      <c r="E87" s="234">
        <v>4</v>
      </c>
      <c r="G87" s="458" t="s">
        <v>2</v>
      </c>
      <c r="H87" s="459" t="s">
        <v>1238</v>
      </c>
      <c r="I87" s="460" t="s">
        <v>3384</v>
      </c>
      <c r="J87" s="461" t="s">
        <v>2982</v>
      </c>
      <c r="K87" s="462" t="s">
        <v>1105</v>
      </c>
      <c r="L87" s="463">
        <v>7011.636363636364</v>
      </c>
      <c r="M87" s="463">
        <v>8.9641450000000003</v>
      </c>
      <c r="N87" s="464">
        <v>62853.325050909101</v>
      </c>
      <c r="O87" s="465" t="s">
        <v>2819</v>
      </c>
      <c r="P87" s="431" t="s">
        <v>6711</v>
      </c>
    </row>
    <row r="88" spans="1:16" ht="13.5" hidden="1" customHeight="1" outlineLevel="3" x14ac:dyDescent="0.2">
      <c r="A88" s="233">
        <v>0</v>
      </c>
      <c r="B88" s="233">
        <v>3</v>
      </c>
      <c r="C88" s="233">
        <v>3</v>
      </c>
      <c r="D88" s="234">
        <v>2</v>
      </c>
      <c r="E88" s="234">
        <v>5</v>
      </c>
      <c r="G88" s="458" t="s">
        <v>2</v>
      </c>
      <c r="H88" s="459" t="s">
        <v>1238</v>
      </c>
      <c r="I88" s="460" t="s">
        <v>3385</v>
      </c>
      <c r="J88" s="461" t="s">
        <v>2973</v>
      </c>
      <c r="K88" s="462" t="s">
        <v>1105</v>
      </c>
      <c r="L88" s="463">
        <v>6007.818181818182</v>
      </c>
      <c r="M88" s="463">
        <v>8.4841449999999998</v>
      </c>
      <c r="N88" s="464">
        <v>50971.200588181797</v>
      </c>
      <c r="O88" s="465" t="s">
        <v>2819</v>
      </c>
      <c r="P88" s="431" t="s">
        <v>6711</v>
      </c>
    </row>
    <row r="89" spans="1:16" ht="13.5" hidden="1" customHeight="1" outlineLevel="3" x14ac:dyDescent="0.2">
      <c r="A89" s="233">
        <v>0</v>
      </c>
      <c r="B89" s="233">
        <v>3</v>
      </c>
      <c r="C89" s="233">
        <v>3</v>
      </c>
      <c r="D89" s="234">
        <v>2</v>
      </c>
      <c r="E89" s="234">
        <v>6</v>
      </c>
      <c r="G89" s="458" t="s">
        <v>2</v>
      </c>
      <c r="H89" s="459" t="s">
        <v>1238</v>
      </c>
      <c r="I89" s="460" t="s">
        <v>3386</v>
      </c>
      <c r="J89" s="461" t="s">
        <v>2974</v>
      </c>
      <c r="K89" s="462" t="s">
        <v>1105</v>
      </c>
      <c r="L89" s="463">
        <v>1269.7272727272725</v>
      </c>
      <c r="M89" s="463">
        <v>8.4841449999999998</v>
      </c>
      <c r="N89" s="464">
        <v>10772.550292272699</v>
      </c>
      <c r="O89" s="465" t="s">
        <v>2819</v>
      </c>
      <c r="P89" s="431" t="s">
        <v>6711</v>
      </c>
    </row>
    <row r="90" spans="1:16" ht="13.5" hidden="1" customHeight="1" outlineLevel="3" x14ac:dyDescent="0.2">
      <c r="A90" s="233">
        <v>0</v>
      </c>
      <c r="B90" s="233">
        <v>3</v>
      </c>
      <c r="C90" s="233">
        <v>3</v>
      </c>
      <c r="D90" s="234">
        <v>2</v>
      </c>
      <c r="E90" s="234">
        <v>7</v>
      </c>
      <c r="G90" s="458" t="s">
        <v>2</v>
      </c>
      <c r="H90" s="459" t="s">
        <v>1238</v>
      </c>
      <c r="I90" s="460" t="s">
        <v>3387</v>
      </c>
      <c r="J90" s="461" t="s">
        <v>2975</v>
      </c>
      <c r="K90" s="462" t="s">
        <v>1105</v>
      </c>
      <c r="L90" s="463">
        <v>902</v>
      </c>
      <c r="M90" s="463">
        <v>8.4841449999999998</v>
      </c>
      <c r="N90" s="464">
        <v>7652.6987900000004</v>
      </c>
      <c r="O90" s="465" t="s">
        <v>2819</v>
      </c>
      <c r="P90" s="431" t="s">
        <v>6711</v>
      </c>
    </row>
    <row r="91" spans="1:16" ht="13.5" hidden="1" customHeight="1" outlineLevel="3" x14ac:dyDescent="0.2">
      <c r="A91" s="233">
        <v>0</v>
      </c>
      <c r="B91" s="233">
        <v>3</v>
      </c>
      <c r="C91" s="233">
        <v>3</v>
      </c>
      <c r="D91" s="234">
        <v>2</v>
      </c>
      <c r="E91" s="234">
        <v>8</v>
      </c>
      <c r="G91" s="458" t="s">
        <v>2</v>
      </c>
      <c r="H91" s="459" t="s">
        <v>1238</v>
      </c>
      <c r="I91" s="460" t="s">
        <v>3388</v>
      </c>
      <c r="J91" s="461" t="s">
        <v>2976</v>
      </c>
      <c r="K91" s="462" t="s">
        <v>1105</v>
      </c>
      <c r="L91" s="463">
        <v>4680</v>
      </c>
      <c r="M91" s="463">
        <v>8.4841449999999998</v>
      </c>
      <c r="N91" s="464">
        <v>39705.798600000002</v>
      </c>
      <c r="O91" s="465" t="s">
        <v>2819</v>
      </c>
      <c r="P91" s="431" t="s">
        <v>6711</v>
      </c>
    </row>
    <row r="92" spans="1:16" ht="13.5" hidden="1" customHeight="1" outlineLevel="3" x14ac:dyDescent="0.2">
      <c r="A92" s="233">
        <v>0</v>
      </c>
      <c r="B92" s="233">
        <v>3</v>
      </c>
      <c r="C92" s="233">
        <v>3</v>
      </c>
      <c r="D92" s="234">
        <v>2</v>
      </c>
      <c r="E92" s="234">
        <v>9</v>
      </c>
      <c r="G92" s="458" t="s">
        <v>2</v>
      </c>
      <c r="H92" s="459" t="s">
        <v>1238</v>
      </c>
      <c r="I92" s="460" t="s">
        <v>3389</v>
      </c>
      <c r="J92" s="461" t="s">
        <v>2983</v>
      </c>
      <c r="K92" s="462" t="s">
        <v>1105</v>
      </c>
      <c r="L92" s="463">
        <v>27316</v>
      </c>
      <c r="M92" s="463">
        <v>9.0705059454436991</v>
      </c>
      <c r="N92" s="464">
        <v>247769.94040574</v>
      </c>
      <c r="O92" s="465" t="s">
        <v>2819</v>
      </c>
      <c r="P92" s="431" t="s">
        <v>6711</v>
      </c>
    </row>
    <row r="93" spans="1:16" ht="13.5" hidden="1" customHeight="1" outlineLevel="2" x14ac:dyDescent="0.2">
      <c r="A93" s="233">
        <v>0</v>
      </c>
      <c r="B93" s="233">
        <v>3</v>
      </c>
      <c r="C93" s="233">
        <v>3</v>
      </c>
      <c r="D93" s="234">
        <v>3</v>
      </c>
      <c r="E93" s="234">
        <v>0</v>
      </c>
      <c r="G93" s="450"/>
      <c r="H93" s="451" t="s">
        <v>1237</v>
      </c>
      <c r="I93" s="452" t="s">
        <v>3390</v>
      </c>
      <c r="J93" s="453" t="s">
        <v>13</v>
      </c>
      <c r="K93" s="454"/>
      <c r="L93" s="455"/>
      <c r="M93" s="455"/>
      <c r="N93" s="456">
        <v>34717.513804260001</v>
      </c>
      <c r="O93" s="457">
        <v>2.0727282271387999</v>
      </c>
      <c r="P93" s="430"/>
    </row>
    <row r="94" spans="1:16" ht="13.5" hidden="1" customHeight="1" outlineLevel="3" x14ac:dyDescent="0.2">
      <c r="A94" s="233">
        <v>0</v>
      </c>
      <c r="B94" s="233">
        <v>3</v>
      </c>
      <c r="C94" s="233">
        <v>3</v>
      </c>
      <c r="D94" s="234">
        <v>3</v>
      </c>
      <c r="E94" s="234">
        <v>1</v>
      </c>
      <c r="G94" s="458" t="s">
        <v>2</v>
      </c>
      <c r="H94" s="459" t="s">
        <v>1238</v>
      </c>
      <c r="I94" s="460" t="s">
        <v>3391</v>
      </c>
      <c r="J94" s="461" t="s">
        <v>253</v>
      </c>
      <c r="K94" s="462" t="s">
        <v>1246</v>
      </c>
      <c r="L94" s="463">
        <v>51.047209999999993</v>
      </c>
      <c r="M94" s="463">
        <v>680.10600000000011</v>
      </c>
      <c r="N94" s="464">
        <v>34717.513804260001</v>
      </c>
      <c r="O94" s="465" t="s">
        <v>2820</v>
      </c>
      <c r="P94" s="431" t="s">
        <v>6711</v>
      </c>
    </row>
    <row r="95" spans="1:16" ht="13.5" hidden="1" customHeight="1" outlineLevel="2" x14ac:dyDescent="0.2">
      <c r="A95" s="233">
        <v>0</v>
      </c>
      <c r="B95" s="233">
        <v>3</v>
      </c>
      <c r="C95" s="233">
        <v>3</v>
      </c>
      <c r="D95" s="234">
        <v>4</v>
      </c>
      <c r="E95" s="234">
        <v>0</v>
      </c>
      <c r="G95" s="450"/>
      <c r="H95" s="451" t="s">
        <v>1237</v>
      </c>
      <c r="I95" s="452" t="s">
        <v>3392</v>
      </c>
      <c r="J95" s="453" t="s">
        <v>1247</v>
      </c>
      <c r="K95" s="454"/>
      <c r="L95" s="455"/>
      <c r="M95" s="455"/>
      <c r="N95" s="456">
        <v>0</v>
      </c>
      <c r="O95" s="457">
        <v>0</v>
      </c>
      <c r="P95" s="430"/>
    </row>
    <row r="96" spans="1:16" ht="13.5" customHeight="1" collapsed="1" x14ac:dyDescent="0.2">
      <c r="A96" s="233">
        <v>0</v>
      </c>
      <c r="B96" s="233">
        <v>4</v>
      </c>
      <c r="C96" s="233">
        <v>0</v>
      </c>
      <c r="D96" s="234">
        <v>4</v>
      </c>
      <c r="E96" s="234">
        <v>0</v>
      </c>
      <c r="F96" s="237"/>
      <c r="G96" s="436"/>
      <c r="H96" s="437" t="s">
        <v>1236</v>
      </c>
      <c r="I96" s="438" t="s">
        <v>3393</v>
      </c>
      <c r="J96" s="439" t="s">
        <v>41</v>
      </c>
      <c r="K96" s="440"/>
      <c r="L96" s="441"/>
      <c r="M96" s="441"/>
      <c r="N96" s="442">
        <v>20793270.798319701</v>
      </c>
      <c r="O96" s="433">
        <v>1241.41375909613</v>
      </c>
      <c r="P96" s="428"/>
    </row>
    <row r="97" spans="1:16" ht="13.5" hidden="1" customHeight="1" outlineLevel="1" x14ac:dyDescent="0.2">
      <c r="A97" s="233">
        <v>0</v>
      </c>
      <c r="B97" s="233">
        <v>4</v>
      </c>
      <c r="C97" s="233">
        <v>1</v>
      </c>
      <c r="D97" s="234">
        <v>0</v>
      </c>
      <c r="E97" s="234">
        <v>0</v>
      </c>
      <c r="G97" s="443"/>
      <c r="H97" s="444" t="s">
        <v>38</v>
      </c>
      <c r="I97" s="445" t="s">
        <v>3394</v>
      </c>
      <c r="J97" s="446" t="s">
        <v>2821</v>
      </c>
      <c r="K97" s="447"/>
      <c r="L97" s="448"/>
      <c r="M97" s="448"/>
      <c r="N97" s="449">
        <v>19428.044562999999</v>
      </c>
      <c r="O97" s="432">
        <v>1.1599061093741001</v>
      </c>
      <c r="P97" s="429"/>
    </row>
    <row r="98" spans="1:16" ht="13.5" hidden="1" customHeight="1" outlineLevel="2" x14ac:dyDescent="0.2">
      <c r="A98" s="233">
        <v>0</v>
      </c>
      <c r="B98" s="233">
        <v>4</v>
      </c>
      <c r="C98" s="233">
        <v>1</v>
      </c>
      <c r="D98" s="234">
        <v>1</v>
      </c>
      <c r="E98" s="234">
        <v>0</v>
      </c>
      <c r="G98" s="450"/>
      <c r="H98" s="451" t="s">
        <v>1237</v>
      </c>
      <c r="I98" s="452" t="s">
        <v>3395</v>
      </c>
      <c r="J98" s="453" t="s">
        <v>2179</v>
      </c>
      <c r="K98" s="454"/>
      <c r="L98" s="455"/>
      <c r="M98" s="455"/>
      <c r="N98" s="456">
        <v>19428.044562999999</v>
      </c>
      <c r="O98" s="457">
        <v>1.1599061093741001</v>
      </c>
      <c r="P98" s="430"/>
    </row>
    <row r="99" spans="1:16" ht="13.5" hidden="1" customHeight="1" outlineLevel="3" x14ac:dyDescent="0.2">
      <c r="A99" s="233">
        <v>0</v>
      </c>
      <c r="B99" s="233">
        <v>4</v>
      </c>
      <c r="C99" s="233">
        <v>1</v>
      </c>
      <c r="D99" s="234">
        <v>1</v>
      </c>
      <c r="E99" s="234">
        <v>1</v>
      </c>
      <c r="G99" s="458" t="s">
        <v>41</v>
      </c>
      <c r="H99" s="459" t="s">
        <v>1238</v>
      </c>
      <c r="I99" s="460" t="s">
        <v>3396</v>
      </c>
      <c r="J99" s="461" t="s">
        <v>2822</v>
      </c>
      <c r="K99" s="462" t="s">
        <v>1246</v>
      </c>
      <c r="L99" s="463">
        <v>39.229000000000006</v>
      </c>
      <c r="M99" s="463">
        <v>495.24700000000001</v>
      </c>
      <c r="N99" s="464">
        <v>19428.044562999999</v>
      </c>
      <c r="O99" s="465" t="s">
        <v>2823</v>
      </c>
      <c r="P99" s="431" t="s">
        <v>6711</v>
      </c>
    </row>
    <row r="100" spans="1:16" ht="13.5" hidden="1" customHeight="1" outlineLevel="1" x14ac:dyDescent="0.2">
      <c r="A100" s="233">
        <v>0</v>
      </c>
      <c r="B100" s="233">
        <v>4</v>
      </c>
      <c r="C100" s="233">
        <v>2</v>
      </c>
      <c r="D100" s="234">
        <v>0</v>
      </c>
      <c r="E100" s="234">
        <v>1</v>
      </c>
      <c r="G100" s="443"/>
      <c r="H100" s="444" t="s">
        <v>38</v>
      </c>
      <c r="I100" s="445" t="s">
        <v>3397</v>
      </c>
      <c r="J100" s="446" t="s">
        <v>1670</v>
      </c>
      <c r="K100" s="447"/>
      <c r="L100" s="448"/>
      <c r="M100" s="448"/>
      <c r="N100" s="449">
        <v>1435614.9877436601</v>
      </c>
      <c r="O100" s="432">
        <v>85.710046093066794</v>
      </c>
      <c r="P100" s="429"/>
    </row>
    <row r="101" spans="1:16" ht="13.5" hidden="1" customHeight="1" outlineLevel="2" x14ac:dyDescent="0.2">
      <c r="A101" s="233">
        <v>0</v>
      </c>
      <c r="B101" s="233">
        <v>4</v>
      </c>
      <c r="C101" s="233">
        <v>2</v>
      </c>
      <c r="D101" s="234">
        <v>1</v>
      </c>
      <c r="E101" s="234">
        <v>0</v>
      </c>
      <c r="G101" s="450"/>
      <c r="H101" s="451" t="s">
        <v>1237</v>
      </c>
      <c r="I101" s="452" t="s">
        <v>3398</v>
      </c>
      <c r="J101" s="453" t="s">
        <v>2180</v>
      </c>
      <c r="K101" s="454"/>
      <c r="L101" s="455"/>
      <c r="M101" s="455"/>
      <c r="N101" s="456">
        <v>529090.66747543099</v>
      </c>
      <c r="O101" s="457">
        <v>31.588124869053001</v>
      </c>
      <c r="P101" s="430"/>
    </row>
    <row r="102" spans="1:16" ht="13.5" hidden="1" customHeight="1" outlineLevel="3" x14ac:dyDescent="0.2">
      <c r="A102" s="233">
        <v>0</v>
      </c>
      <c r="B102" s="233">
        <v>4</v>
      </c>
      <c r="C102" s="233">
        <v>2</v>
      </c>
      <c r="D102" s="234">
        <v>1</v>
      </c>
      <c r="E102" s="234">
        <v>1</v>
      </c>
      <c r="G102" s="458" t="s">
        <v>41</v>
      </c>
      <c r="H102" s="459" t="s">
        <v>1238</v>
      </c>
      <c r="I102" s="460" t="s">
        <v>3399</v>
      </c>
      <c r="J102" s="461" t="s">
        <v>1287</v>
      </c>
      <c r="K102" s="462" t="s">
        <v>641</v>
      </c>
      <c r="L102" s="463">
        <v>4874.3226000000004</v>
      </c>
      <c r="M102" s="463">
        <v>108.03522595041321</v>
      </c>
      <c r="N102" s="464">
        <v>526598.54344620602</v>
      </c>
      <c r="O102" s="465" t="s">
        <v>2824</v>
      </c>
      <c r="P102" s="431" t="s">
        <v>6711</v>
      </c>
    </row>
    <row r="103" spans="1:16" ht="13.5" hidden="1" customHeight="1" outlineLevel="3" x14ac:dyDescent="0.2">
      <c r="A103" s="233">
        <v>0</v>
      </c>
      <c r="B103" s="233">
        <v>4</v>
      </c>
      <c r="C103" s="233">
        <v>2</v>
      </c>
      <c r="D103" s="234">
        <v>1</v>
      </c>
      <c r="E103" s="234">
        <v>2</v>
      </c>
      <c r="G103" s="458" t="s">
        <v>41</v>
      </c>
      <c r="H103" s="459" t="s">
        <v>1238</v>
      </c>
      <c r="I103" s="460" t="s">
        <v>3400</v>
      </c>
      <c r="J103" s="461" t="s">
        <v>1288</v>
      </c>
      <c r="K103" s="462" t="s">
        <v>641</v>
      </c>
      <c r="L103" s="463">
        <v>626.57920000000001</v>
      </c>
      <c r="M103" s="463">
        <v>3.9773487999999997</v>
      </c>
      <c r="N103" s="464">
        <v>2492.1240292249599</v>
      </c>
      <c r="O103" s="465"/>
      <c r="P103" s="431" t="s">
        <v>6711</v>
      </c>
    </row>
    <row r="104" spans="1:16" ht="13.5" hidden="1" customHeight="1" outlineLevel="2" x14ac:dyDescent="0.2">
      <c r="A104" s="233">
        <v>0</v>
      </c>
      <c r="B104" s="233">
        <v>4</v>
      </c>
      <c r="C104" s="233">
        <v>2</v>
      </c>
      <c r="D104" s="234">
        <v>2</v>
      </c>
      <c r="E104" s="234">
        <v>0</v>
      </c>
      <c r="G104" s="450"/>
      <c r="H104" s="451" t="s">
        <v>1237</v>
      </c>
      <c r="I104" s="452" t="s">
        <v>3401</v>
      </c>
      <c r="J104" s="453" t="s">
        <v>2825</v>
      </c>
      <c r="K104" s="454"/>
      <c r="L104" s="455"/>
      <c r="M104" s="455"/>
      <c r="N104" s="456">
        <v>5458.0131426409598</v>
      </c>
      <c r="O104" s="457">
        <v>0.32585795079192398</v>
      </c>
      <c r="P104" s="430"/>
    </row>
    <row r="105" spans="1:16" ht="13.5" hidden="1" customHeight="1" outlineLevel="3" x14ac:dyDescent="0.2">
      <c r="A105" s="233">
        <v>0</v>
      </c>
      <c r="B105" s="233">
        <v>4</v>
      </c>
      <c r="C105" s="233">
        <v>2</v>
      </c>
      <c r="D105" s="234">
        <v>2</v>
      </c>
      <c r="E105" s="234">
        <v>1</v>
      </c>
      <c r="G105" s="458" t="s">
        <v>41</v>
      </c>
      <c r="H105" s="459" t="s">
        <v>1238</v>
      </c>
      <c r="I105" s="460" t="s">
        <v>3402</v>
      </c>
      <c r="J105" s="461" t="s">
        <v>1288</v>
      </c>
      <c r="K105" s="462" t="s">
        <v>641</v>
      </c>
      <c r="L105" s="463">
        <v>1372.2742000000001</v>
      </c>
      <c r="M105" s="463">
        <v>3.9773487999999997</v>
      </c>
      <c r="N105" s="464">
        <v>5458.0131426409598</v>
      </c>
      <c r="O105" s="465"/>
      <c r="P105" s="431" t="s">
        <v>6711</v>
      </c>
    </row>
    <row r="106" spans="1:16" ht="13.5" hidden="1" customHeight="1" outlineLevel="2" x14ac:dyDescent="0.2">
      <c r="A106" s="233">
        <v>0</v>
      </c>
      <c r="B106" s="233">
        <v>4</v>
      </c>
      <c r="C106" s="233">
        <v>2</v>
      </c>
      <c r="D106" s="234">
        <v>3</v>
      </c>
      <c r="E106" s="234">
        <v>0</v>
      </c>
      <c r="G106" s="450"/>
      <c r="H106" s="451" t="s">
        <v>1237</v>
      </c>
      <c r="I106" s="452" t="s">
        <v>3403</v>
      </c>
      <c r="J106" s="453" t="s">
        <v>2192</v>
      </c>
      <c r="K106" s="454"/>
      <c r="L106" s="455"/>
      <c r="M106" s="455"/>
      <c r="N106" s="456">
        <v>6043.1893350083201</v>
      </c>
      <c r="O106" s="457">
        <v>0.36079453117633498</v>
      </c>
      <c r="P106" s="430"/>
    </row>
    <row r="107" spans="1:16" ht="13.5" hidden="1" customHeight="1" outlineLevel="3" x14ac:dyDescent="0.2">
      <c r="A107" s="233">
        <v>0</v>
      </c>
      <c r="B107" s="233">
        <v>4</v>
      </c>
      <c r="C107" s="233">
        <v>2</v>
      </c>
      <c r="D107" s="234">
        <v>3</v>
      </c>
      <c r="E107" s="234">
        <v>1</v>
      </c>
      <c r="G107" s="458" t="s">
        <v>41</v>
      </c>
      <c r="H107" s="459" t="s">
        <v>1238</v>
      </c>
      <c r="I107" s="460" t="s">
        <v>3404</v>
      </c>
      <c r="J107" s="461" t="s">
        <v>1288</v>
      </c>
      <c r="K107" s="462" t="s">
        <v>641</v>
      </c>
      <c r="L107" s="463">
        <v>1519.4014000000002</v>
      </c>
      <c r="M107" s="463">
        <v>3.9773487999999997</v>
      </c>
      <c r="N107" s="464">
        <v>6043.1893350083201</v>
      </c>
      <c r="O107" s="465"/>
      <c r="P107" s="431" t="s">
        <v>6711</v>
      </c>
    </row>
    <row r="108" spans="1:16" ht="13.5" hidden="1" customHeight="1" outlineLevel="2" x14ac:dyDescent="0.2">
      <c r="A108" s="233">
        <v>0</v>
      </c>
      <c r="B108" s="233">
        <v>4</v>
      </c>
      <c r="C108" s="233">
        <v>2</v>
      </c>
      <c r="D108" s="234">
        <v>4</v>
      </c>
      <c r="E108" s="234">
        <v>0</v>
      </c>
      <c r="G108" s="450"/>
      <c r="H108" s="451" t="s">
        <v>1237</v>
      </c>
      <c r="I108" s="452" t="s">
        <v>3405</v>
      </c>
      <c r="J108" s="453" t="s">
        <v>2193</v>
      </c>
      <c r="K108" s="454"/>
      <c r="L108" s="455"/>
      <c r="M108" s="455"/>
      <c r="N108" s="456">
        <v>6025.3906991283202</v>
      </c>
      <c r="O108" s="457">
        <v>0.359731905113851</v>
      </c>
      <c r="P108" s="430"/>
    </row>
    <row r="109" spans="1:16" ht="13.5" hidden="1" customHeight="1" outlineLevel="3" x14ac:dyDescent="0.2">
      <c r="A109" s="233">
        <v>0</v>
      </c>
      <c r="B109" s="233">
        <v>4</v>
      </c>
      <c r="C109" s="233">
        <v>2</v>
      </c>
      <c r="D109" s="234">
        <v>4</v>
      </c>
      <c r="E109" s="234">
        <v>1</v>
      </c>
      <c r="G109" s="458" t="s">
        <v>41</v>
      </c>
      <c r="H109" s="459" t="s">
        <v>1238</v>
      </c>
      <c r="I109" s="460" t="s">
        <v>3406</v>
      </c>
      <c r="J109" s="461" t="s">
        <v>1288</v>
      </c>
      <c r="K109" s="462" t="s">
        <v>641</v>
      </c>
      <c r="L109" s="463">
        <v>1514.9263999999998</v>
      </c>
      <c r="M109" s="463">
        <v>3.9773487999999997</v>
      </c>
      <c r="N109" s="464">
        <v>6025.3906991283202</v>
      </c>
      <c r="O109" s="465"/>
      <c r="P109" s="431" t="s">
        <v>6711</v>
      </c>
    </row>
    <row r="110" spans="1:16" ht="13.5" hidden="1" customHeight="1" outlineLevel="2" x14ac:dyDescent="0.2">
      <c r="A110" s="233">
        <v>0</v>
      </c>
      <c r="B110" s="233">
        <v>4</v>
      </c>
      <c r="C110" s="233">
        <v>2</v>
      </c>
      <c r="D110" s="234">
        <v>5</v>
      </c>
      <c r="E110" s="234">
        <v>0</v>
      </c>
      <c r="G110" s="450"/>
      <c r="H110" s="451" t="s">
        <v>1237</v>
      </c>
      <c r="I110" s="452" t="s">
        <v>3407</v>
      </c>
      <c r="J110" s="453" t="s">
        <v>2826</v>
      </c>
      <c r="K110" s="454"/>
      <c r="L110" s="455"/>
      <c r="M110" s="455"/>
      <c r="N110" s="456">
        <v>6027.7771084083197</v>
      </c>
      <c r="O110" s="457">
        <v>0.35987438011664202</v>
      </c>
      <c r="P110" s="430"/>
    </row>
    <row r="111" spans="1:16" ht="13.5" hidden="1" customHeight="1" outlineLevel="3" x14ac:dyDescent="0.2">
      <c r="A111" s="233">
        <v>0</v>
      </c>
      <c r="B111" s="233">
        <v>4</v>
      </c>
      <c r="C111" s="233">
        <v>2</v>
      </c>
      <c r="D111" s="234">
        <v>5</v>
      </c>
      <c r="E111" s="234">
        <v>1</v>
      </c>
      <c r="G111" s="458" t="s">
        <v>41</v>
      </c>
      <c r="H111" s="459" t="s">
        <v>1238</v>
      </c>
      <c r="I111" s="460" t="s">
        <v>3408</v>
      </c>
      <c r="J111" s="461" t="s">
        <v>1288</v>
      </c>
      <c r="K111" s="462" t="s">
        <v>641</v>
      </c>
      <c r="L111" s="463">
        <v>1515.5263999999997</v>
      </c>
      <c r="M111" s="463">
        <v>3.9773487999999997</v>
      </c>
      <c r="N111" s="464">
        <v>6027.7771084083197</v>
      </c>
      <c r="O111" s="465"/>
      <c r="P111" s="431" t="s">
        <v>6711</v>
      </c>
    </row>
    <row r="112" spans="1:16" ht="13.5" hidden="1" customHeight="1" outlineLevel="2" x14ac:dyDescent="0.2">
      <c r="A112" s="233">
        <v>0</v>
      </c>
      <c r="B112" s="233">
        <v>4</v>
      </c>
      <c r="C112" s="233">
        <v>2</v>
      </c>
      <c r="D112" s="234">
        <v>6</v>
      </c>
      <c r="E112" s="234">
        <v>0</v>
      </c>
      <c r="G112" s="450"/>
      <c r="H112" s="451" t="s">
        <v>1237</v>
      </c>
      <c r="I112" s="452" t="s">
        <v>3409</v>
      </c>
      <c r="J112" s="453" t="s">
        <v>2827</v>
      </c>
      <c r="K112" s="454"/>
      <c r="L112" s="455"/>
      <c r="M112" s="455"/>
      <c r="N112" s="456">
        <v>6126.0176237683199</v>
      </c>
      <c r="O112" s="457">
        <v>0.36573960106487602</v>
      </c>
      <c r="P112" s="430"/>
    </row>
    <row r="113" spans="1:16" ht="13.5" hidden="1" customHeight="1" outlineLevel="3" x14ac:dyDescent="0.2">
      <c r="A113" s="233">
        <v>0</v>
      </c>
      <c r="B113" s="233">
        <v>4</v>
      </c>
      <c r="C113" s="233">
        <v>2</v>
      </c>
      <c r="D113" s="234">
        <v>6</v>
      </c>
      <c r="E113" s="234">
        <v>1</v>
      </c>
      <c r="G113" s="458" t="s">
        <v>41</v>
      </c>
      <c r="H113" s="459" t="s">
        <v>1238</v>
      </c>
      <c r="I113" s="460" t="s">
        <v>3410</v>
      </c>
      <c r="J113" s="461" t="s">
        <v>1288</v>
      </c>
      <c r="K113" s="462" t="s">
        <v>641</v>
      </c>
      <c r="L113" s="463">
        <v>1540.2264</v>
      </c>
      <c r="M113" s="463">
        <v>3.9773487999999997</v>
      </c>
      <c r="N113" s="464">
        <v>6126.0176237683199</v>
      </c>
      <c r="O113" s="465"/>
      <c r="P113" s="431" t="s">
        <v>6711</v>
      </c>
    </row>
    <row r="114" spans="1:16" ht="13.5" hidden="1" customHeight="1" outlineLevel="2" x14ac:dyDescent="0.2">
      <c r="A114" s="233">
        <v>0</v>
      </c>
      <c r="B114" s="233">
        <v>4</v>
      </c>
      <c r="C114" s="233">
        <v>2</v>
      </c>
      <c r="D114" s="234">
        <v>7</v>
      </c>
      <c r="E114" s="234">
        <v>0</v>
      </c>
      <c r="G114" s="450"/>
      <c r="H114" s="451" t="s">
        <v>1237</v>
      </c>
      <c r="I114" s="452" t="s">
        <v>3411</v>
      </c>
      <c r="J114" s="453" t="s">
        <v>2194</v>
      </c>
      <c r="K114" s="454"/>
      <c r="L114" s="455"/>
      <c r="M114" s="455"/>
      <c r="N114" s="456">
        <v>7083.7632148083203</v>
      </c>
      <c r="O114" s="457">
        <v>0.42291956885170401</v>
      </c>
      <c r="P114" s="430"/>
    </row>
    <row r="115" spans="1:16" ht="13.5" hidden="1" customHeight="1" outlineLevel="3" x14ac:dyDescent="0.2">
      <c r="A115" s="233">
        <v>0</v>
      </c>
      <c r="B115" s="233">
        <v>4</v>
      </c>
      <c r="C115" s="233">
        <v>2</v>
      </c>
      <c r="D115" s="234">
        <v>7</v>
      </c>
      <c r="E115" s="234">
        <v>1</v>
      </c>
      <c r="G115" s="458" t="s">
        <v>41</v>
      </c>
      <c r="H115" s="459" t="s">
        <v>1238</v>
      </c>
      <c r="I115" s="460" t="s">
        <v>3412</v>
      </c>
      <c r="J115" s="461" t="s">
        <v>1288</v>
      </c>
      <c r="K115" s="462" t="s">
        <v>641</v>
      </c>
      <c r="L115" s="463">
        <v>1781.0264000000002</v>
      </c>
      <c r="M115" s="463">
        <v>3.9773487999999997</v>
      </c>
      <c r="N115" s="464">
        <v>7083.7632148083203</v>
      </c>
      <c r="O115" s="465"/>
      <c r="P115" s="431" t="s">
        <v>6711</v>
      </c>
    </row>
    <row r="116" spans="1:16" ht="13.5" hidden="1" customHeight="1" outlineLevel="2" x14ac:dyDescent="0.2">
      <c r="A116" s="233">
        <v>0</v>
      </c>
      <c r="B116" s="233">
        <v>4</v>
      </c>
      <c r="C116" s="233">
        <v>2</v>
      </c>
      <c r="D116" s="234">
        <v>8</v>
      </c>
      <c r="E116" s="234">
        <v>0</v>
      </c>
      <c r="G116" s="450"/>
      <c r="H116" s="451" t="s">
        <v>1237</v>
      </c>
      <c r="I116" s="452" t="s">
        <v>3413</v>
      </c>
      <c r="J116" s="453" t="s">
        <v>2828</v>
      </c>
      <c r="K116" s="454"/>
      <c r="L116" s="455"/>
      <c r="M116" s="455"/>
      <c r="N116" s="456">
        <v>2257.64818088832</v>
      </c>
      <c r="O116" s="457">
        <v>0.134787621540503</v>
      </c>
      <c r="P116" s="430"/>
    </row>
    <row r="117" spans="1:16" ht="13.5" hidden="1" customHeight="1" outlineLevel="3" x14ac:dyDescent="0.2">
      <c r="A117" s="233">
        <v>0</v>
      </c>
      <c r="B117" s="233">
        <v>4</v>
      </c>
      <c r="C117" s="233">
        <v>2</v>
      </c>
      <c r="D117" s="234">
        <v>8</v>
      </c>
      <c r="E117" s="234">
        <v>1</v>
      </c>
      <c r="G117" s="458" t="s">
        <v>41</v>
      </c>
      <c r="H117" s="459" t="s">
        <v>1238</v>
      </c>
      <c r="I117" s="460" t="s">
        <v>3414</v>
      </c>
      <c r="J117" s="461" t="s">
        <v>1288</v>
      </c>
      <c r="K117" s="462" t="s">
        <v>641</v>
      </c>
      <c r="L117" s="463">
        <v>567.62639999999999</v>
      </c>
      <c r="M117" s="463">
        <v>3.9773487999999997</v>
      </c>
      <c r="N117" s="464">
        <v>2257.64818088832</v>
      </c>
      <c r="O117" s="465"/>
      <c r="P117" s="431" t="s">
        <v>6711</v>
      </c>
    </row>
    <row r="118" spans="1:16" ht="13.5" hidden="1" customHeight="1" outlineLevel="2" x14ac:dyDescent="0.2">
      <c r="A118" s="233">
        <v>0</v>
      </c>
      <c r="B118" s="233">
        <v>4</v>
      </c>
      <c r="C118" s="233">
        <v>2</v>
      </c>
      <c r="D118" s="234">
        <v>9</v>
      </c>
      <c r="E118" s="234">
        <v>0</v>
      </c>
      <c r="G118" s="450"/>
      <c r="H118" s="451" t="s">
        <v>1237</v>
      </c>
      <c r="I118" s="452" t="s">
        <v>3415</v>
      </c>
      <c r="J118" s="453" t="s">
        <v>2195</v>
      </c>
      <c r="K118" s="454"/>
      <c r="L118" s="455"/>
      <c r="M118" s="455"/>
      <c r="N118" s="456">
        <v>5314.6384685683197</v>
      </c>
      <c r="O118" s="457">
        <v>0.31729810011590198</v>
      </c>
      <c r="P118" s="430"/>
    </row>
    <row r="119" spans="1:16" ht="13.5" hidden="1" customHeight="1" outlineLevel="3" x14ac:dyDescent="0.2">
      <c r="A119" s="233">
        <v>0</v>
      </c>
      <c r="B119" s="233">
        <v>4</v>
      </c>
      <c r="C119" s="233">
        <v>2</v>
      </c>
      <c r="D119" s="234">
        <v>9</v>
      </c>
      <c r="E119" s="234">
        <v>1</v>
      </c>
      <c r="G119" s="458" t="s">
        <v>41</v>
      </c>
      <c r="H119" s="459" t="s">
        <v>1238</v>
      </c>
      <c r="I119" s="460" t="s">
        <v>3416</v>
      </c>
      <c r="J119" s="461" t="s">
        <v>1288</v>
      </c>
      <c r="K119" s="462" t="s">
        <v>641</v>
      </c>
      <c r="L119" s="463">
        <v>1336.2264</v>
      </c>
      <c r="M119" s="463">
        <v>3.9773487999999997</v>
      </c>
      <c r="N119" s="464">
        <v>5314.6384685683197</v>
      </c>
      <c r="O119" s="465"/>
      <c r="P119" s="431" t="s">
        <v>6711</v>
      </c>
    </row>
    <row r="120" spans="1:16" ht="13.5" hidden="1" customHeight="1" outlineLevel="2" x14ac:dyDescent="0.2">
      <c r="A120" s="233">
        <v>0</v>
      </c>
      <c r="B120" s="233">
        <v>4</v>
      </c>
      <c r="C120" s="233">
        <v>2</v>
      </c>
      <c r="D120" s="234">
        <v>10</v>
      </c>
      <c r="E120" s="234">
        <v>0</v>
      </c>
      <c r="G120" s="450"/>
      <c r="H120" s="451" t="s">
        <v>1237</v>
      </c>
      <c r="I120" s="452" t="s">
        <v>3417</v>
      </c>
      <c r="J120" s="453" t="s">
        <v>2196</v>
      </c>
      <c r="K120" s="454"/>
      <c r="L120" s="455"/>
      <c r="M120" s="455"/>
      <c r="N120" s="456">
        <v>3960.5102961203202</v>
      </c>
      <c r="O120" s="457">
        <v>0.23645303436547199</v>
      </c>
      <c r="P120" s="430"/>
    </row>
    <row r="121" spans="1:16" ht="13.5" hidden="1" customHeight="1" outlineLevel="3" x14ac:dyDescent="0.2">
      <c r="A121" s="233">
        <v>0</v>
      </c>
      <c r="B121" s="233">
        <v>4</v>
      </c>
      <c r="C121" s="233">
        <v>2</v>
      </c>
      <c r="D121" s="234">
        <v>10</v>
      </c>
      <c r="E121" s="234">
        <v>1</v>
      </c>
      <c r="G121" s="458" t="s">
        <v>41</v>
      </c>
      <c r="H121" s="459" t="s">
        <v>1238</v>
      </c>
      <c r="I121" s="460" t="s">
        <v>3418</v>
      </c>
      <c r="J121" s="461" t="s">
        <v>1288</v>
      </c>
      <c r="K121" s="462" t="s">
        <v>641</v>
      </c>
      <c r="L121" s="463">
        <v>995.76639999999998</v>
      </c>
      <c r="M121" s="463">
        <v>3.9773487999999997</v>
      </c>
      <c r="N121" s="464">
        <v>3960.5102961203202</v>
      </c>
      <c r="O121" s="465"/>
      <c r="P121" s="431" t="s">
        <v>6711</v>
      </c>
    </row>
    <row r="122" spans="1:16" ht="13.5" hidden="1" customHeight="1" outlineLevel="2" x14ac:dyDescent="0.2">
      <c r="A122" s="233">
        <v>0</v>
      </c>
      <c r="B122" s="233">
        <v>4</v>
      </c>
      <c r="C122" s="233">
        <v>2</v>
      </c>
      <c r="D122" s="234">
        <v>11</v>
      </c>
      <c r="E122" s="234">
        <v>0</v>
      </c>
      <c r="G122" s="450"/>
      <c r="H122" s="451" t="s">
        <v>1237</v>
      </c>
      <c r="I122" s="452" t="s">
        <v>3419</v>
      </c>
      <c r="J122" s="453" t="s">
        <v>2197</v>
      </c>
      <c r="K122" s="454"/>
      <c r="L122" s="455"/>
      <c r="M122" s="455"/>
      <c r="N122" s="456">
        <v>220303.086282773</v>
      </c>
      <c r="O122" s="457">
        <v>13.1526821891281</v>
      </c>
      <c r="P122" s="430"/>
    </row>
    <row r="123" spans="1:16" ht="13.5" hidden="1" customHeight="1" outlineLevel="3" x14ac:dyDescent="0.2">
      <c r="A123" s="233">
        <v>0</v>
      </c>
      <c r="B123" s="233">
        <v>4</v>
      </c>
      <c r="C123" s="233">
        <v>2</v>
      </c>
      <c r="D123" s="234">
        <v>11</v>
      </c>
      <c r="E123" s="234">
        <v>1</v>
      </c>
      <c r="G123" s="458" t="s">
        <v>41</v>
      </c>
      <c r="H123" s="459" t="s">
        <v>1238</v>
      </c>
      <c r="I123" s="460" t="s">
        <v>3420</v>
      </c>
      <c r="J123" s="461" t="s">
        <v>1287</v>
      </c>
      <c r="K123" s="462" t="s">
        <v>641</v>
      </c>
      <c r="L123" s="463">
        <v>1777.4315999999999</v>
      </c>
      <c r="M123" s="463">
        <v>108.03522595041321</v>
      </c>
      <c r="N123" s="464">
        <v>192025.22451740401</v>
      </c>
      <c r="O123" s="465" t="s">
        <v>2829</v>
      </c>
      <c r="P123" s="431" t="s">
        <v>6711</v>
      </c>
    </row>
    <row r="124" spans="1:16" ht="13.5" hidden="1" customHeight="1" outlineLevel="3" x14ac:dyDescent="0.2">
      <c r="A124" s="233">
        <v>0</v>
      </c>
      <c r="B124" s="233">
        <v>4</v>
      </c>
      <c r="C124" s="233">
        <v>2</v>
      </c>
      <c r="D124" s="234">
        <v>11</v>
      </c>
      <c r="E124" s="234">
        <v>2</v>
      </c>
      <c r="G124" s="458" t="s">
        <v>41</v>
      </c>
      <c r="H124" s="459" t="s">
        <v>1238</v>
      </c>
      <c r="I124" s="460" t="s">
        <v>3421</v>
      </c>
      <c r="J124" s="461" t="s">
        <v>1288</v>
      </c>
      <c r="K124" s="462" t="s">
        <v>641</v>
      </c>
      <c r="L124" s="463">
        <v>7109.7264000000005</v>
      </c>
      <c r="M124" s="463">
        <v>3.9773487999999997</v>
      </c>
      <c r="N124" s="464">
        <v>28277.8617653683</v>
      </c>
      <c r="O124" s="465"/>
      <c r="P124" s="431" t="s">
        <v>6711</v>
      </c>
    </row>
    <row r="125" spans="1:16" ht="13.5" hidden="1" customHeight="1" outlineLevel="2" x14ac:dyDescent="0.2">
      <c r="A125" s="233">
        <v>0</v>
      </c>
      <c r="B125" s="233">
        <v>4</v>
      </c>
      <c r="C125" s="233">
        <v>2</v>
      </c>
      <c r="D125" s="234">
        <v>12</v>
      </c>
      <c r="E125" s="234">
        <v>0</v>
      </c>
      <c r="G125" s="450"/>
      <c r="H125" s="451" t="s">
        <v>1237</v>
      </c>
      <c r="I125" s="452" t="s">
        <v>3422</v>
      </c>
      <c r="J125" s="453" t="s">
        <v>2198</v>
      </c>
      <c r="K125" s="454"/>
      <c r="L125" s="455"/>
      <c r="M125" s="455"/>
      <c r="N125" s="456">
        <v>367376.964117422</v>
      </c>
      <c r="O125" s="457">
        <v>21.933385202061999</v>
      </c>
      <c r="P125" s="430"/>
    </row>
    <row r="126" spans="1:16" ht="13.5" hidden="1" customHeight="1" outlineLevel="3" x14ac:dyDescent="0.2">
      <c r="A126" s="233">
        <v>0</v>
      </c>
      <c r="B126" s="233">
        <v>4</v>
      </c>
      <c r="C126" s="233">
        <v>2</v>
      </c>
      <c r="D126" s="234">
        <v>12</v>
      </c>
      <c r="E126" s="234">
        <v>1</v>
      </c>
      <c r="G126" s="458" t="s">
        <v>41</v>
      </c>
      <c r="H126" s="459" t="s">
        <v>1238</v>
      </c>
      <c r="I126" s="460" t="s">
        <v>3423</v>
      </c>
      <c r="J126" s="461" t="s">
        <v>1287</v>
      </c>
      <c r="K126" s="462" t="s">
        <v>641</v>
      </c>
      <c r="L126" s="463">
        <v>2677.6268181818182</v>
      </c>
      <c r="M126" s="463">
        <v>108.03522595041321</v>
      </c>
      <c r="N126" s="464">
        <v>289278.018313159</v>
      </c>
      <c r="O126" s="465" t="s">
        <v>2824</v>
      </c>
      <c r="P126" s="431" t="s">
        <v>6711</v>
      </c>
    </row>
    <row r="127" spans="1:16" ht="13.5" hidden="1" customHeight="1" outlineLevel="3" x14ac:dyDescent="0.2">
      <c r="A127" s="233">
        <v>0</v>
      </c>
      <c r="B127" s="233">
        <v>4</v>
      </c>
      <c r="C127" s="233">
        <v>2</v>
      </c>
      <c r="D127" s="234">
        <v>12</v>
      </c>
      <c r="E127" s="234">
        <v>2</v>
      </c>
      <c r="G127" s="458" t="s">
        <v>41</v>
      </c>
      <c r="H127" s="459" t="s">
        <v>1238</v>
      </c>
      <c r="I127" s="460" t="s">
        <v>3424</v>
      </c>
      <c r="J127" s="461" t="s">
        <v>1288</v>
      </c>
      <c r="K127" s="462" t="s">
        <v>641</v>
      </c>
      <c r="L127" s="463">
        <v>19635.930800000013</v>
      </c>
      <c r="M127" s="463">
        <v>3.9773487999999997</v>
      </c>
      <c r="N127" s="464">
        <v>78098.945804263101</v>
      </c>
      <c r="O127" s="465"/>
      <c r="P127" s="431" t="s">
        <v>6711</v>
      </c>
    </row>
    <row r="128" spans="1:16" ht="13.5" hidden="1" customHeight="1" outlineLevel="2" x14ac:dyDescent="0.2">
      <c r="A128" s="233">
        <v>0</v>
      </c>
      <c r="B128" s="233">
        <v>4</v>
      </c>
      <c r="C128" s="233">
        <v>2</v>
      </c>
      <c r="D128" s="234">
        <v>13</v>
      </c>
      <c r="E128" s="234">
        <v>0</v>
      </c>
      <c r="G128" s="450"/>
      <c r="H128" s="451" t="s">
        <v>1237</v>
      </c>
      <c r="I128" s="452" t="s">
        <v>3425</v>
      </c>
      <c r="J128" s="453" t="s">
        <v>2830</v>
      </c>
      <c r="K128" s="454"/>
      <c r="L128" s="455"/>
      <c r="M128" s="455"/>
      <c r="N128" s="456">
        <v>102875.305782753</v>
      </c>
      <c r="O128" s="457">
        <v>6.1419303056569401</v>
      </c>
      <c r="P128" s="430"/>
    </row>
    <row r="129" spans="1:16" ht="13.5" hidden="1" customHeight="1" outlineLevel="3" x14ac:dyDescent="0.2">
      <c r="A129" s="233">
        <v>0</v>
      </c>
      <c r="B129" s="233">
        <v>4</v>
      </c>
      <c r="C129" s="233">
        <v>2</v>
      </c>
      <c r="D129" s="234">
        <v>13</v>
      </c>
      <c r="E129" s="234">
        <v>1</v>
      </c>
      <c r="G129" s="458" t="s">
        <v>41</v>
      </c>
      <c r="H129" s="459" t="s">
        <v>1238</v>
      </c>
      <c r="I129" s="460" t="s">
        <v>3426</v>
      </c>
      <c r="J129" s="461" t="s">
        <v>1287</v>
      </c>
      <c r="K129" s="462" t="s">
        <v>641</v>
      </c>
      <c r="L129" s="463">
        <v>918.42639999999994</v>
      </c>
      <c r="M129" s="463">
        <v>108.03522595041321</v>
      </c>
      <c r="N129" s="464">
        <v>99222.403642824604</v>
      </c>
      <c r="O129" s="465" t="s">
        <v>2831</v>
      </c>
      <c r="P129" s="431" t="s">
        <v>6711</v>
      </c>
    </row>
    <row r="130" spans="1:16" ht="13.5" hidden="1" customHeight="1" outlineLevel="3" x14ac:dyDescent="0.2">
      <c r="A130" s="233">
        <v>0</v>
      </c>
      <c r="B130" s="233">
        <v>4</v>
      </c>
      <c r="C130" s="233">
        <v>2</v>
      </c>
      <c r="D130" s="234">
        <v>13</v>
      </c>
      <c r="E130" s="234">
        <v>2</v>
      </c>
      <c r="G130" s="458" t="s">
        <v>41</v>
      </c>
      <c r="H130" s="459" t="s">
        <v>1238</v>
      </c>
      <c r="I130" s="460" t="s">
        <v>3427</v>
      </c>
      <c r="J130" s="461" t="s">
        <v>1288</v>
      </c>
      <c r="K130" s="462" t="s">
        <v>641</v>
      </c>
      <c r="L130" s="463">
        <v>918.42639999999994</v>
      </c>
      <c r="M130" s="463">
        <v>3.9773487999999997</v>
      </c>
      <c r="N130" s="464">
        <v>3652.9021399283201</v>
      </c>
      <c r="O130" s="465"/>
      <c r="P130" s="431" t="s">
        <v>6711</v>
      </c>
    </row>
    <row r="131" spans="1:16" ht="13.5" hidden="1" customHeight="1" outlineLevel="2" x14ac:dyDescent="0.2">
      <c r="A131" s="233">
        <v>0</v>
      </c>
      <c r="B131" s="233">
        <v>4</v>
      </c>
      <c r="C131" s="233">
        <v>2</v>
      </c>
      <c r="D131" s="234">
        <v>14</v>
      </c>
      <c r="E131" s="234">
        <v>0</v>
      </c>
      <c r="G131" s="450"/>
      <c r="H131" s="451" t="s">
        <v>1237</v>
      </c>
      <c r="I131" s="452" t="s">
        <v>3428</v>
      </c>
      <c r="J131" s="453" t="s">
        <v>2832</v>
      </c>
      <c r="K131" s="454"/>
      <c r="L131" s="455"/>
      <c r="M131" s="455"/>
      <c r="N131" s="456">
        <v>3290.6054377363198</v>
      </c>
      <c r="O131" s="457">
        <v>0.196457926498631</v>
      </c>
      <c r="P131" s="430"/>
    </row>
    <row r="132" spans="1:16" ht="13.5" hidden="1" customHeight="1" outlineLevel="3" x14ac:dyDescent="0.2">
      <c r="A132" s="233">
        <v>0</v>
      </c>
      <c r="B132" s="233">
        <v>4</v>
      </c>
      <c r="C132" s="233">
        <v>2</v>
      </c>
      <c r="D132" s="234">
        <v>14</v>
      </c>
      <c r="E132" s="234">
        <v>1</v>
      </c>
      <c r="G132" s="458" t="s">
        <v>41</v>
      </c>
      <c r="H132" s="459" t="s">
        <v>1238</v>
      </c>
      <c r="I132" s="460" t="s">
        <v>3429</v>
      </c>
      <c r="J132" s="461" t="s">
        <v>1288</v>
      </c>
      <c r="K132" s="462" t="s">
        <v>641</v>
      </c>
      <c r="L132" s="463">
        <v>827.33640000000003</v>
      </c>
      <c r="M132" s="463">
        <v>3.9773487999999997</v>
      </c>
      <c r="N132" s="464">
        <v>3290.6054377363198</v>
      </c>
      <c r="O132" s="465"/>
      <c r="P132" s="431" t="s">
        <v>6711</v>
      </c>
    </row>
    <row r="133" spans="1:16" ht="13.5" hidden="1" customHeight="1" outlineLevel="2" x14ac:dyDescent="0.2">
      <c r="A133" s="233">
        <v>0</v>
      </c>
      <c r="B133" s="233">
        <v>4</v>
      </c>
      <c r="C133" s="233">
        <v>2</v>
      </c>
      <c r="D133" s="234">
        <v>15</v>
      </c>
      <c r="E133" s="234">
        <v>0</v>
      </c>
      <c r="G133" s="450"/>
      <c r="H133" s="451" t="s">
        <v>1237</v>
      </c>
      <c r="I133" s="452" t="s">
        <v>3430</v>
      </c>
      <c r="J133" s="453" t="s">
        <v>2199</v>
      </c>
      <c r="K133" s="454"/>
      <c r="L133" s="455"/>
      <c r="M133" s="455"/>
      <c r="N133" s="456">
        <v>105163.722684904</v>
      </c>
      <c r="O133" s="457">
        <v>6.2785549019714297</v>
      </c>
      <c r="P133" s="430"/>
    </row>
    <row r="134" spans="1:16" ht="13.5" hidden="1" customHeight="1" outlineLevel="3" x14ac:dyDescent="0.2">
      <c r="A134" s="233">
        <v>0</v>
      </c>
      <c r="B134" s="233">
        <v>4</v>
      </c>
      <c r="C134" s="233">
        <v>2</v>
      </c>
      <c r="D134" s="234">
        <v>15</v>
      </c>
      <c r="E134" s="234">
        <v>1</v>
      </c>
      <c r="G134" s="458" t="s">
        <v>41</v>
      </c>
      <c r="H134" s="459" t="s">
        <v>1238</v>
      </c>
      <c r="I134" s="460" t="s">
        <v>3431</v>
      </c>
      <c r="J134" s="461" t="s">
        <v>1287</v>
      </c>
      <c r="K134" s="462" t="s">
        <v>641</v>
      </c>
      <c r="L134" s="463">
        <v>938.85639999999989</v>
      </c>
      <c r="M134" s="463">
        <v>108.03522595041321</v>
      </c>
      <c r="N134" s="464">
        <v>101429.563308992</v>
      </c>
      <c r="O134" s="465" t="s">
        <v>2833</v>
      </c>
      <c r="P134" s="431" t="s">
        <v>6711</v>
      </c>
    </row>
    <row r="135" spans="1:16" ht="13.5" hidden="1" customHeight="1" outlineLevel="3" x14ac:dyDescent="0.2">
      <c r="A135" s="233">
        <v>0</v>
      </c>
      <c r="B135" s="233">
        <v>4</v>
      </c>
      <c r="C135" s="233">
        <v>2</v>
      </c>
      <c r="D135" s="234">
        <v>15</v>
      </c>
      <c r="E135" s="234">
        <v>2</v>
      </c>
      <c r="G135" s="458" t="s">
        <v>41</v>
      </c>
      <c r="H135" s="459" t="s">
        <v>1238</v>
      </c>
      <c r="I135" s="460" t="s">
        <v>3432</v>
      </c>
      <c r="J135" s="461" t="s">
        <v>1288</v>
      </c>
      <c r="K135" s="462" t="s">
        <v>641</v>
      </c>
      <c r="L135" s="463">
        <v>938.85639999999989</v>
      </c>
      <c r="M135" s="463">
        <v>3.9773487999999997</v>
      </c>
      <c r="N135" s="464">
        <v>3734.1593759123198</v>
      </c>
      <c r="O135" s="465"/>
      <c r="P135" s="431" t="s">
        <v>6711</v>
      </c>
    </row>
    <row r="136" spans="1:16" ht="13.5" hidden="1" customHeight="1" outlineLevel="2" x14ac:dyDescent="0.2">
      <c r="A136" s="233">
        <v>0</v>
      </c>
      <c r="B136" s="233">
        <v>4</v>
      </c>
      <c r="C136" s="233">
        <v>2</v>
      </c>
      <c r="D136" s="234">
        <v>16</v>
      </c>
      <c r="E136" s="234">
        <v>0</v>
      </c>
      <c r="G136" s="450"/>
      <c r="H136" s="451" t="s">
        <v>1237</v>
      </c>
      <c r="I136" s="452" t="s">
        <v>3433</v>
      </c>
      <c r="J136" s="453" t="s">
        <v>2200</v>
      </c>
      <c r="K136" s="454"/>
      <c r="L136" s="455"/>
      <c r="M136" s="455"/>
      <c r="N136" s="456">
        <v>59217.687893301001</v>
      </c>
      <c r="O136" s="457">
        <v>3.5354540055595698</v>
      </c>
      <c r="P136" s="430"/>
    </row>
    <row r="137" spans="1:16" ht="13.5" hidden="1" customHeight="1" outlineLevel="3" x14ac:dyDescent="0.2">
      <c r="A137" s="233">
        <v>0</v>
      </c>
      <c r="B137" s="233">
        <v>4</v>
      </c>
      <c r="C137" s="233">
        <v>2</v>
      </c>
      <c r="D137" s="234">
        <v>16</v>
      </c>
      <c r="E137" s="234">
        <v>1</v>
      </c>
      <c r="G137" s="458" t="s">
        <v>41</v>
      </c>
      <c r="H137" s="459" t="s">
        <v>1238</v>
      </c>
      <c r="I137" s="460" t="s">
        <v>3434</v>
      </c>
      <c r="J137" s="461" t="s">
        <v>1287</v>
      </c>
      <c r="K137" s="462" t="s">
        <v>641</v>
      </c>
      <c r="L137" s="463">
        <v>528.67000000000007</v>
      </c>
      <c r="M137" s="463">
        <v>108.03522595041321</v>
      </c>
      <c r="N137" s="464">
        <v>57114.982903204997</v>
      </c>
      <c r="O137" s="465" t="s">
        <v>2833</v>
      </c>
      <c r="P137" s="431" t="s">
        <v>6711</v>
      </c>
    </row>
    <row r="138" spans="1:16" ht="13.5" hidden="1" customHeight="1" outlineLevel="3" x14ac:dyDescent="0.2">
      <c r="A138" s="233">
        <v>0</v>
      </c>
      <c r="B138" s="233">
        <v>4</v>
      </c>
      <c r="C138" s="233">
        <v>2</v>
      </c>
      <c r="D138" s="234">
        <v>16</v>
      </c>
      <c r="E138" s="234">
        <v>2</v>
      </c>
      <c r="G138" s="458" t="s">
        <v>41</v>
      </c>
      <c r="H138" s="459" t="s">
        <v>1238</v>
      </c>
      <c r="I138" s="460" t="s">
        <v>3435</v>
      </c>
      <c r="J138" s="461" t="s">
        <v>1288</v>
      </c>
      <c r="K138" s="462" t="s">
        <v>641</v>
      </c>
      <c r="L138" s="463">
        <v>528.67000000000007</v>
      </c>
      <c r="M138" s="463">
        <v>3.9773487999999997</v>
      </c>
      <c r="N138" s="464">
        <v>2102.7049900960001</v>
      </c>
      <c r="O138" s="465"/>
      <c r="P138" s="431" t="s">
        <v>6711</v>
      </c>
    </row>
    <row r="139" spans="1:16" ht="13.5" hidden="1" customHeight="1" outlineLevel="1" x14ac:dyDescent="0.2">
      <c r="A139" s="233">
        <v>0</v>
      </c>
      <c r="B139" s="233">
        <v>4</v>
      </c>
      <c r="C139" s="233">
        <v>3</v>
      </c>
      <c r="D139" s="234">
        <v>0</v>
      </c>
      <c r="E139" s="234">
        <v>2</v>
      </c>
      <c r="G139" s="443"/>
      <c r="H139" s="444" t="s">
        <v>38</v>
      </c>
      <c r="I139" s="445" t="s">
        <v>3436</v>
      </c>
      <c r="J139" s="446" t="s">
        <v>1671</v>
      </c>
      <c r="K139" s="447"/>
      <c r="L139" s="448"/>
      <c r="M139" s="448"/>
      <c r="N139" s="449">
        <v>7497705.1095954003</v>
      </c>
      <c r="O139" s="432">
        <v>447.63300468578802</v>
      </c>
      <c r="P139" s="429"/>
    </row>
    <row r="140" spans="1:16" ht="13.5" hidden="1" customHeight="1" outlineLevel="2" x14ac:dyDescent="0.2">
      <c r="A140" s="233">
        <v>0</v>
      </c>
      <c r="B140" s="233">
        <v>4</v>
      </c>
      <c r="C140" s="233">
        <v>3</v>
      </c>
      <c r="D140" s="234">
        <v>1</v>
      </c>
      <c r="E140" s="234">
        <v>0</v>
      </c>
      <c r="G140" s="450"/>
      <c r="H140" s="451" t="s">
        <v>1237</v>
      </c>
      <c r="I140" s="452" t="s">
        <v>3437</v>
      </c>
      <c r="J140" s="453" t="s">
        <v>2181</v>
      </c>
      <c r="K140" s="454"/>
      <c r="L140" s="455"/>
      <c r="M140" s="455"/>
      <c r="N140" s="456">
        <v>197948.80245818201</v>
      </c>
      <c r="O140" s="457">
        <v>11.818071786380401</v>
      </c>
      <c r="P140" s="430"/>
    </row>
    <row r="141" spans="1:16" ht="13.5" hidden="1" customHeight="1" outlineLevel="3" x14ac:dyDescent="0.2">
      <c r="A141" s="233">
        <v>0</v>
      </c>
      <c r="B141" s="233">
        <v>4</v>
      </c>
      <c r="C141" s="233">
        <v>3</v>
      </c>
      <c r="D141" s="234">
        <v>1</v>
      </c>
      <c r="E141" s="234">
        <v>1</v>
      </c>
      <c r="G141" s="458" t="s">
        <v>41</v>
      </c>
      <c r="H141" s="459" t="s">
        <v>1238</v>
      </c>
      <c r="I141" s="460" t="s">
        <v>3438</v>
      </c>
      <c r="J141" s="461" t="s">
        <v>2986</v>
      </c>
      <c r="K141" s="462" t="s">
        <v>1105</v>
      </c>
      <c r="L141" s="463">
        <v>5080.181818181818</v>
      </c>
      <c r="M141" s="463">
        <v>8.9649650000000012</v>
      </c>
      <c r="N141" s="464">
        <v>45543.652193636401</v>
      </c>
      <c r="O141" s="465" t="s">
        <v>1290</v>
      </c>
      <c r="P141" s="431" t="s">
        <v>6711</v>
      </c>
    </row>
    <row r="142" spans="1:16" ht="13.5" hidden="1" customHeight="1" outlineLevel="3" x14ac:dyDescent="0.2">
      <c r="A142" s="233">
        <v>0</v>
      </c>
      <c r="B142" s="233">
        <v>4</v>
      </c>
      <c r="C142" s="233">
        <v>3</v>
      </c>
      <c r="D142" s="234">
        <v>1</v>
      </c>
      <c r="E142" s="234">
        <v>2</v>
      </c>
      <c r="G142" s="458" t="s">
        <v>41</v>
      </c>
      <c r="H142" s="459" t="s">
        <v>1238</v>
      </c>
      <c r="I142" s="460" t="s">
        <v>3439</v>
      </c>
      <c r="J142" s="461" t="s">
        <v>2987</v>
      </c>
      <c r="K142" s="462" t="s">
        <v>1105</v>
      </c>
      <c r="L142" s="463">
        <v>2357.272727272727</v>
      </c>
      <c r="M142" s="463">
        <v>8.9649650000000012</v>
      </c>
      <c r="N142" s="464">
        <v>21132.867495454499</v>
      </c>
      <c r="O142" s="465" t="s">
        <v>1290</v>
      </c>
      <c r="P142" s="431" t="s">
        <v>6711</v>
      </c>
    </row>
    <row r="143" spans="1:16" ht="13.5" hidden="1" customHeight="1" outlineLevel="3" x14ac:dyDescent="0.2">
      <c r="A143" s="233">
        <v>0</v>
      </c>
      <c r="B143" s="233">
        <v>4</v>
      </c>
      <c r="C143" s="233">
        <v>3</v>
      </c>
      <c r="D143" s="234">
        <v>1</v>
      </c>
      <c r="E143" s="234">
        <v>3</v>
      </c>
      <c r="G143" s="458" t="s">
        <v>41</v>
      </c>
      <c r="H143" s="459" t="s">
        <v>1238</v>
      </c>
      <c r="I143" s="460" t="s">
        <v>3440</v>
      </c>
      <c r="J143" s="461" t="s">
        <v>2988</v>
      </c>
      <c r="K143" s="462" t="s">
        <v>1105</v>
      </c>
      <c r="L143" s="463">
        <v>2151.4545454545455</v>
      </c>
      <c r="M143" s="463">
        <v>8.9649650000000012</v>
      </c>
      <c r="N143" s="464">
        <v>19287.714699090899</v>
      </c>
      <c r="O143" s="465" t="s">
        <v>1290</v>
      </c>
      <c r="P143" s="431" t="s">
        <v>6711</v>
      </c>
    </row>
    <row r="144" spans="1:16" ht="13.5" hidden="1" customHeight="1" outlineLevel="3" x14ac:dyDescent="0.2">
      <c r="A144" s="233">
        <v>0</v>
      </c>
      <c r="B144" s="233">
        <v>4</v>
      </c>
      <c r="C144" s="233">
        <v>3</v>
      </c>
      <c r="D144" s="234">
        <v>1</v>
      </c>
      <c r="E144" s="234">
        <v>4</v>
      </c>
      <c r="G144" s="458" t="s">
        <v>41</v>
      </c>
      <c r="H144" s="459" t="s">
        <v>1238</v>
      </c>
      <c r="I144" s="460" t="s">
        <v>3441</v>
      </c>
      <c r="J144" s="461" t="s">
        <v>2989</v>
      </c>
      <c r="K144" s="462" t="s">
        <v>1105</v>
      </c>
      <c r="L144" s="463">
        <v>1370</v>
      </c>
      <c r="M144" s="463">
        <v>8.4849650000000008</v>
      </c>
      <c r="N144" s="464">
        <v>11624.402050000001</v>
      </c>
      <c r="O144" s="465" t="s">
        <v>1290</v>
      </c>
      <c r="P144" s="431" t="s">
        <v>6711</v>
      </c>
    </row>
    <row r="145" spans="1:16" ht="13.5" hidden="1" customHeight="1" outlineLevel="3" x14ac:dyDescent="0.2">
      <c r="A145" s="233">
        <v>0</v>
      </c>
      <c r="B145" s="233">
        <v>4</v>
      </c>
      <c r="C145" s="233">
        <v>3</v>
      </c>
      <c r="D145" s="234">
        <v>1</v>
      </c>
      <c r="E145" s="234">
        <v>5</v>
      </c>
      <c r="G145" s="458" t="s">
        <v>41</v>
      </c>
      <c r="H145" s="459" t="s">
        <v>1238</v>
      </c>
      <c r="I145" s="460" t="s">
        <v>3442</v>
      </c>
      <c r="J145" s="461" t="s">
        <v>2990</v>
      </c>
      <c r="K145" s="462" t="s">
        <v>1105</v>
      </c>
      <c r="L145" s="463">
        <v>1274</v>
      </c>
      <c r="M145" s="463">
        <v>8.4849650000000008</v>
      </c>
      <c r="N145" s="464">
        <v>10809.84541</v>
      </c>
      <c r="O145" s="465" t="s">
        <v>1290</v>
      </c>
      <c r="P145" s="431" t="s">
        <v>6711</v>
      </c>
    </row>
    <row r="146" spans="1:16" ht="13.5" hidden="1" customHeight="1" outlineLevel="3" x14ac:dyDescent="0.2">
      <c r="A146" s="233">
        <v>0</v>
      </c>
      <c r="B146" s="233">
        <v>4</v>
      </c>
      <c r="C146" s="233">
        <v>3</v>
      </c>
      <c r="D146" s="234">
        <v>1</v>
      </c>
      <c r="E146" s="234">
        <v>6</v>
      </c>
      <c r="G146" s="458" t="s">
        <v>41</v>
      </c>
      <c r="H146" s="459" t="s">
        <v>1238</v>
      </c>
      <c r="I146" s="460" t="s">
        <v>3443</v>
      </c>
      <c r="J146" s="461" t="s">
        <v>2991</v>
      </c>
      <c r="K146" s="462" t="s">
        <v>1105</v>
      </c>
      <c r="L146" s="463">
        <v>3719</v>
      </c>
      <c r="M146" s="463">
        <v>8.4849650000000008</v>
      </c>
      <c r="N146" s="464">
        <v>31555.584835000001</v>
      </c>
      <c r="O146" s="465" t="s">
        <v>1290</v>
      </c>
      <c r="P146" s="431" t="s">
        <v>6711</v>
      </c>
    </row>
    <row r="147" spans="1:16" ht="13.5" hidden="1" customHeight="1" outlineLevel="3" x14ac:dyDescent="0.2">
      <c r="A147" s="233">
        <v>0</v>
      </c>
      <c r="B147" s="233">
        <v>4</v>
      </c>
      <c r="C147" s="233">
        <v>3</v>
      </c>
      <c r="D147" s="234">
        <v>1</v>
      </c>
      <c r="E147" s="234">
        <v>7</v>
      </c>
      <c r="G147" s="458" t="s">
        <v>41</v>
      </c>
      <c r="H147" s="459" t="s">
        <v>1238</v>
      </c>
      <c r="I147" s="460" t="s">
        <v>3444</v>
      </c>
      <c r="J147" s="461" t="s">
        <v>2992</v>
      </c>
      <c r="K147" s="462" t="s">
        <v>1105</v>
      </c>
      <c r="L147" s="463">
        <v>6835</v>
      </c>
      <c r="M147" s="463">
        <v>8.4849650000000008</v>
      </c>
      <c r="N147" s="464">
        <v>57994.735775000001</v>
      </c>
      <c r="O147" s="465" t="s">
        <v>1290</v>
      </c>
      <c r="P147" s="431" t="s">
        <v>6711</v>
      </c>
    </row>
    <row r="148" spans="1:16" ht="13.5" hidden="1" customHeight="1" outlineLevel="2" x14ac:dyDescent="0.2">
      <c r="A148" s="233">
        <v>0</v>
      </c>
      <c r="B148" s="233">
        <v>4</v>
      </c>
      <c r="C148" s="233">
        <v>3</v>
      </c>
      <c r="D148" s="234">
        <v>2</v>
      </c>
      <c r="E148" s="234">
        <v>0</v>
      </c>
      <c r="G148" s="450"/>
      <c r="H148" s="451" t="s">
        <v>1237</v>
      </c>
      <c r="I148" s="452" t="s">
        <v>3445</v>
      </c>
      <c r="J148" s="453" t="s">
        <v>2834</v>
      </c>
      <c r="K148" s="454"/>
      <c r="L148" s="455"/>
      <c r="M148" s="455"/>
      <c r="N148" s="456">
        <v>541257.66377151594</v>
      </c>
      <c r="O148" s="457">
        <v>32.314527018831797</v>
      </c>
      <c r="P148" s="430"/>
    </row>
    <row r="149" spans="1:16" ht="13.5" hidden="1" customHeight="1" outlineLevel="3" x14ac:dyDescent="0.2">
      <c r="A149" s="233">
        <v>0</v>
      </c>
      <c r="B149" s="233">
        <v>4</v>
      </c>
      <c r="C149" s="233">
        <v>3</v>
      </c>
      <c r="D149" s="234">
        <v>2</v>
      </c>
      <c r="E149" s="234">
        <v>1</v>
      </c>
      <c r="G149" s="458" t="s">
        <v>41</v>
      </c>
      <c r="H149" s="459" t="s">
        <v>1238</v>
      </c>
      <c r="I149" s="460" t="s">
        <v>3446</v>
      </c>
      <c r="J149" s="461" t="s">
        <v>2985</v>
      </c>
      <c r="K149" s="462" t="s">
        <v>1105</v>
      </c>
      <c r="L149" s="463">
        <v>5</v>
      </c>
      <c r="M149" s="463">
        <v>8.9649650000000012</v>
      </c>
      <c r="N149" s="464">
        <v>44.824824999999997</v>
      </c>
      <c r="O149" s="465" t="s">
        <v>1290</v>
      </c>
      <c r="P149" s="431" t="s">
        <v>6711</v>
      </c>
    </row>
    <row r="150" spans="1:16" ht="13.5" hidden="1" customHeight="1" outlineLevel="3" x14ac:dyDescent="0.2">
      <c r="A150" s="233">
        <v>0</v>
      </c>
      <c r="B150" s="233">
        <v>4</v>
      </c>
      <c r="C150" s="233">
        <v>3</v>
      </c>
      <c r="D150" s="234">
        <v>2</v>
      </c>
      <c r="E150" s="234">
        <v>2</v>
      </c>
      <c r="G150" s="458" t="s">
        <v>41</v>
      </c>
      <c r="H150" s="459" t="s">
        <v>1238</v>
      </c>
      <c r="I150" s="460" t="s">
        <v>3447</v>
      </c>
      <c r="J150" s="461" t="s">
        <v>2986</v>
      </c>
      <c r="K150" s="462" t="s">
        <v>1105</v>
      </c>
      <c r="L150" s="463">
        <v>1050.4545454545453</v>
      </c>
      <c r="M150" s="463">
        <v>8.9649650000000012</v>
      </c>
      <c r="N150" s="464">
        <v>9417.2882340909091</v>
      </c>
      <c r="O150" s="465" t="s">
        <v>1290</v>
      </c>
      <c r="P150" s="431" t="s">
        <v>6711</v>
      </c>
    </row>
    <row r="151" spans="1:16" ht="13.5" hidden="1" customHeight="1" outlineLevel="3" x14ac:dyDescent="0.2">
      <c r="A151" s="233">
        <v>0</v>
      </c>
      <c r="B151" s="233">
        <v>4</v>
      </c>
      <c r="C151" s="233">
        <v>3</v>
      </c>
      <c r="D151" s="234">
        <v>2</v>
      </c>
      <c r="E151" s="234">
        <v>3</v>
      </c>
      <c r="G151" s="458" t="s">
        <v>41</v>
      </c>
      <c r="H151" s="459" t="s">
        <v>1238</v>
      </c>
      <c r="I151" s="460" t="s">
        <v>3448</v>
      </c>
      <c r="J151" s="461" t="s">
        <v>2987</v>
      </c>
      <c r="K151" s="462" t="s">
        <v>1105</v>
      </c>
      <c r="L151" s="463">
        <v>5136.272727272727</v>
      </c>
      <c r="M151" s="463">
        <v>8.9649650000000012</v>
      </c>
      <c r="N151" s="464">
        <v>46046.505230454502</v>
      </c>
      <c r="O151" s="465" t="s">
        <v>1290</v>
      </c>
      <c r="P151" s="431" t="s">
        <v>6711</v>
      </c>
    </row>
    <row r="152" spans="1:16" ht="13.5" hidden="1" customHeight="1" outlineLevel="3" x14ac:dyDescent="0.2">
      <c r="A152" s="233">
        <v>0</v>
      </c>
      <c r="B152" s="233">
        <v>4</v>
      </c>
      <c r="C152" s="233">
        <v>3</v>
      </c>
      <c r="D152" s="234">
        <v>2</v>
      </c>
      <c r="E152" s="234">
        <v>4</v>
      </c>
      <c r="G152" s="458" t="s">
        <v>41</v>
      </c>
      <c r="H152" s="459" t="s">
        <v>1238</v>
      </c>
      <c r="I152" s="460" t="s">
        <v>3449</v>
      </c>
      <c r="J152" s="461" t="s">
        <v>2988</v>
      </c>
      <c r="K152" s="462" t="s">
        <v>1105</v>
      </c>
      <c r="L152" s="463">
        <v>8109.454545454545</v>
      </c>
      <c r="M152" s="463">
        <v>8.9649650000000012</v>
      </c>
      <c r="N152" s="464">
        <v>72700.976169090907</v>
      </c>
      <c r="O152" s="465" t="s">
        <v>1290</v>
      </c>
      <c r="P152" s="431" t="s">
        <v>6711</v>
      </c>
    </row>
    <row r="153" spans="1:16" ht="13.5" hidden="1" customHeight="1" outlineLevel="3" x14ac:dyDescent="0.2">
      <c r="A153" s="233">
        <v>0</v>
      </c>
      <c r="B153" s="233">
        <v>4</v>
      </c>
      <c r="C153" s="233">
        <v>3</v>
      </c>
      <c r="D153" s="234">
        <v>2</v>
      </c>
      <c r="E153" s="234">
        <v>5</v>
      </c>
      <c r="G153" s="458" t="s">
        <v>41</v>
      </c>
      <c r="H153" s="459" t="s">
        <v>1238</v>
      </c>
      <c r="I153" s="460" t="s">
        <v>3450</v>
      </c>
      <c r="J153" s="461" t="s">
        <v>2989</v>
      </c>
      <c r="K153" s="462" t="s">
        <v>1105</v>
      </c>
      <c r="L153" s="463">
        <v>9698.0909090909099</v>
      </c>
      <c r="M153" s="463">
        <v>8.4849650000000008</v>
      </c>
      <c r="N153" s="464">
        <v>82287.961930454607</v>
      </c>
      <c r="O153" s="465" t="s">
        <v>1290</v>
      </c>
      <c r="P153" s="431" t="s">
        <v>6711</v>
      </c>
    </row>
    <row r="154" spans="1:16" ht="13.5" hidden="1" customHeight="1" outlineLevel="3" x14ac:dyDescent="0.2">
      <c r="A154" s="233">
        <v>0</v>
      </c>
      <c r="B154" s="233">
        <v>4</v>
      </c>
      <c r="C154" s="233">
        <v>3</v>
      </c>
      <c r="D154" s="234">
        <v>2</v>
      </c>
      <c r="E154" s="234">
        <v>6</v>
      </c>
      <c r="G154" s="458" t="s">
        <v>41</v>
      </c>
      <c r="H154" s="459" t="s">
        <v>1238</v>
      </c>
      <c r="I154" s="460" t="s">
        <v>3451</v>
      </c>
      <c r="J154" s="461" t="s">
        <v>2990</v>
      </c>
      <c r="K154" s="462" t="s">
        <v>1105</v>
      </c>
      <c r="L154" s="463">
        <v>2976.181818181818</v>
      </c>
      <c r="M154" s="463">
        <v>8.4849650000000008</v>
      </c>
      <c r="N154" s="464">
        <v>25252.798560909101</v>
      </c>
      <c r="O154" s="465" t="s">
        <v>1290</v>
      </c>
      <c r="P154" s="431" t="s">
        <v>6711</v>
      </c>
    </row>
    <row r="155" spans="1:16" ht="13.5" hidden="1" customHeight="1" outlineLevel="3" x14ac:dyDescent="0.2">
      <c r="A155" s="233">
        <v>0</v>
      </c>
      <c r="B155" s="233">
        <v>4</v>
      </c>
      <c r="C155" s="233">
        <v>3</v>
      </c>
      <c r="D155" s="234">
        <v>2</v>
      </c>
      <c r="E155" s="234">
        <v>7</v>
      </c>
      <c r="G155" s="458" t="s">
        <v>41</v>
      </c>
      <c r="H155" s="459" t="s">
        <v>1238</v>
      </c>
      <c r="I155" s="460" t="s">
        <v>3452</v>
      </c>
      <c r="J155" s="461" t="s">
        <v>2991</v>
      </c>
      <c r="K155" s="462" t="s">
        <v>1105</v>
      </c>
      <c r="L155" s="463">
        <v>2261</v>
      </c>
      <c r="M155" s="463">
        <v>8.4849650000000008</v>
      </c>
      <c r="N155" s="464">
        <v>19184.505864999999</v>
      </c>
      <c r="O155" s="465" t="s">
        <v>1290</v>
      </c>
      <c r="P155" s="431" t="s">
        <v>6711</v>
      </c>
    </row>
    <row r="156" spans="1:16" ht="13.5" hidden="1" customHeight="1" outlineLevel="3" x14ac:dyDescent="0.2">
      <c r="A156" s="233">
        <v>0</v>
      </c>
      <c r="B156" s="233">
        <v>4</v>
      </c>
      <c r="C156" s="233">
        <v>3</v>
      </c>
      <c r="D156" s="234">
        <v>2</v>
      </c>
      <c r="E156" s="234">
        <v>8</v>
      </c>
      <c r="G156" s="458" t="s">
        <v>41</v>
      </c>
      <c r="H156" s="459" t="s">
        <v>1238</v>
      </c>
      <c r="I156" s="460" t="s">
        <v>3453</v>
      </c>
      <c r="J156" s="461" t="s">
        <v>2992</v>
      </c>
      <c r="K156" s="462" t="s">
        <v>1105</v>
      </c>
      <c r="L156" s="463">
        <v>9744</v>
      </c>
      <c r="M156" s="463">
        <v>8.4849650000000008</v>
      </c>
      <c r="N156" s="464">
        <v>82677.498959999997</v>
      </c>
      <c r="O156" s="465" t="s">
        <v>1290</v>
      </c>
      <c r="P156" s="431" t="s">
        <v>6711</v>
      </c>
    </row>
    <row r="157" spans="1:16" ht="13.5" hidden="1" customHeight="1" outlineLevel="3" x14ac:dyDescent="0.2">
      <c r="A157" s="233">
        <v>0</v>
      </c>
      <c r="B157" s="233">
        <v>4</v>
      </c>
      <c r="C157" s="233">
        <v>3</v>
      </c>
      <c r="D157" s="234">
        <v>2</v>
      </c>
      <c r="E157" s="234">
        <v>9</v>
      </c>
      <c r="G157" s="458" t="s">
        <v>41</v>
      </c>
      <c r="H157" s="459" t="s">
        <v>1238</v>
      </c>
      <c r="I157" s="460" t="s">
        <v>3454</v>
      </c>
      <c r="J157" s="461" t="s">
        <v>2993</v>
      </c>
      <c r="K157" s="462" t="s">
        <v>1105</v>
      </c>
      <c r="L157" s="463">
        <v>20469</v>
      </c>
      <c r="M157" s="463">
        <v>9.9489620399880714</v>
      </c>
      <c r="N157" s="464">
        <v>203645.30399651601</v>
      </c>
      <c r="O157" s="465" t="s">
        <v>1290</v>
      </c>
      <c r="P157" s="431" t="s">
        <v>6711</v>
      </c>
    </row>
    <row r="158" spans="1:16" ht="13.5" hidden="1" customHeight="1" outlineLevel="2" x14ac:dyDescent="0.2">
      <c r="A158" s="233">
        <v>0</v>
      </c>
      <c r="B158" s="233">
        <v>4</v>
      </c>
      <c r="C158" s="233">
        <v>3</v>
      </c>
      <c r="D158" s="234">
        <v>3</v>
      </c>
      <c r="E158" s="234">
        <v>0</v>
      </c>
      <c r="G158" s="450"/>
      <c r="H158" s="451" t="s">
        <v>1237</v>
      </c>
      <c r="I158" s="452" t="s">
        <v>3455</v>
      </c>
      <c r="J158" s="453" t="s">
        <v>2201</v>
      </c>
      <c r="K158" s="454"/>
      <c r="L158" s="455"/>
      <c r="M158" s="455"/>
      <c r="N158" s="456">
        <v>441888.15905238403</v>
      </c>
      <c r="O158" s="457">
        <v>26.3819023928462</v>
      </c>
      <c r="P158" s="430"/>
    </row>
    <row r="159" spans="1:16" ht="13.5" hidden="1" customHeight="1" outlineLevel="3" x14ac:dyDescent="0.2">
      <c r="A159" s="233">
        <v>0</v>
      </c>
      <c r="B159" s="233">
        <v>4</v>
      </c>
      <c r="C159" s="233">
        <v>3</v>
      </c>
      <c r="D159" s="234">
        <v>3</v>
      </c>
      <c r="E159" s="234">
        <v>1</v>
      </c>
      <c r="G159" s="458" t="s">
        <v>41</v>
      </c>
      <c r="H159" s="459" t="s">
        <v>1238</v>
      </c>
      <c r="I159" s="460" t="s">
        <v>3456</v>
      </c>
      <c r="J159" s="461" t="s">
        <v>2985</v>
      </c>
      <c r="K159" s="462" t="s">
        <v>1105</v>
      </c>
      <c r="L159" s="463">
        <v>1</v>
      </c>
      <c r="M159" s="463">
        <v>8.9649650000000012</v>
      </c>
      <c r="N159" s="464">
        <v>8.9649649999999994</v>
      </c>
      <c r="O159" s="465" t="s">
        <v>1290</v>
      </c>
      <c r="P159" s="431" t="s">
        <v>6711</v>
      </c>
    </row>
    <row r="160" spans="1:16" ht="13.5" hidden="1" customHeight="1" outlineLevel="3" x14ac:dyDescent="0.2">
      <c r="A160" s="233">
        <v>0</v>
      </c>
      <c r="B160" s="233">
        <v>4</v>
      </c>
      <c r="C160" s="233">
        <v>3</v>
      </c>
      <c r="D160" s="234">
        <v>3</v>
      </c>
      <c r="E160" s="234">
        <v>2</v>
      </c>
      <c r="G160" s="458" t="s">
        <v>41</v>
      </c>
      <c r="H160" s="459" t="s">
        <v>1238</v>
      </c>
      <c r="I160" s="460" t="s">
        <v>3457</v>
      </c>
      <c r="J160" s="461" t="s">
        <v>2986</v>
      </c>
      <c r="K160" s="462" t="s">
        <v>1105</v>
      </c>
      <c r="L160" s="463">
        <v>1571.1818181818182</v>
      </c>
      <c r="M160" s="463">
        <v>8.9649650000000012</v>
      </c>
      <c r="N160" s="464">
        <v>14085.5900086364</v>
      </c>
      <c r="O160" s="465" t="s">
        <v>1290</v>
      </c>
      <c r="P160" s="431" t="s">
        <v>6711</v>
      </c>
    </row>
    <row r="161" spans="1:16" ht="13.5" hidden="1" customHeight="1" outlineLevel="3" x14ac:dyDescent="0.2">
      <c r="A161" s="233">
        <v>0</v>
      </c>
      <c r="B161" s="233">
        <v>4</v>
      </c>
      <c r="C161" s="233">
        <v>3</v>
      </c>
      <c r="D161" s="234">
        <v>3</v>
      </c>
      <c r="E161" s="234">
        <v>3</v>
      </c>
      <c r="G161" s="458" t="s">
        <v>41</v>
      </c>
      <c r="H161" s="459" t="s">
        <v>1238</v>
      </c>
      <c r="I161" s="460" t="s">
        <v>3458</v>
      </c>
      <c r="J161" s="461" t="s">
        <v>2987</v>
      </c>
      <c r="K161" s="462" t="s">
        <v>1105</v>
      </c>
      <c r="L161" s="463">
        <v>8053.363636363636</v>
      </c>
      <c r="M161" s="463">
        <v>8.9649650000000012</v>
      </c>
      <c r="N161" s="464">
        <v>72198.123132272696</v>
      </c>
      <c r="O161" s="465" t="s">
        <v>1290</v>
      </c>
      <c r="P161" s="431" t="s">
        <v>6711</v>
      </c>
    </row>
    <row r="162" spans="1:16" ht="13.5" hidden="1" customHeight="1" outlineLevel="3" x14ac:dyDescent="0.2">
      <c r="A162" s="233">
        <v>0</v>
      </c>
      <c r="B162" s="233">
        <v>4</v>
      </c>
      <c r="C162" s="233">
        <v>3</v>
      </c>
      <c r="D162" s="234">
        <v>3</v>
      </c>
      <c r="E162" s="234">
        <v>4</v>
      </c>
      <c r="G162" s="458" t="s">
        <v>41</v>
      </c>
      <c r="H162" s="459" t="s">
        <v>1238</v>
      </c>
      <c r="I162" s="460" t="s">
        <v>3459</v>
      </c>
      <c r="J162" s="461" t="s">
        <v>2988</v>
      </c>
      <c r="K162" s="462" t="s">
        <v>1105</v>
      </c>
      <c r="L162" s="463">
        <v>6913.727272727273</v>
      </c>
      <c r="M162" s="463">
        <v>8.9649650000000012</v>
      </c>
      <c r="N162" s="464">
        <v>61981.323019545503</v>
      </c>
      <c r="O162" s="465" t="s">
        <v>1290</v>
      </c>
      <c r="P162" s="431" t="s">
        <v>6711</v>
      </c>
    </row>
    <row r="163" spans="1:16" ht="13.5" hidden="1" customHeight="1" outlineLevel="3" x14ac:dyDescent="0.2">
      <c r="A163" s="233">
        <v>0</v>
      </c>
      <c r="B163" s="233">
        <v>4</v>
      </c>
      <c r="C163" s="233">
        <v>3</v>
      </c>
      <c r="D163" s="234">
        <v>3</v>
      </c>
      <c r="E163" s="234">
        <v>5</v>
      </c>
      <c r="G163" s="458" t="s">
        <v>41</v>
      </c>
      <c r="H163" s="459" t="s">
        <v>1238</v>
      </c>
      <c r="I163" s="460" t="s">
        <v>3460</v>
      </c>
      <c r="J163" s="461" t="s">
        <v>2989</v>
      </c>
      <c r="K163" s="462" t="s">
        <v>1105</v>
      </c>
      <c r="L163" s="463">
        <v>5969.545454545455</v>
      </c>
      <c r="M163" s="463">
        <v>8.4849650000000008</v>
      </c>
      <c r="N163" s="464">
        <v>50651.384247727299</v>
      </c>
      <c r="O163" s="465" t="s">
        <v>1290</v>
      </c>
      <c r="P163" s="431" t="s">
        <v>6711</v>
      </c>
    </row>
    <row r="164" spans="1:16" ht="13.5" hidden="1" customHeight="1" outlineLevel="3" x14ac:dyDescent="0.2">
      <c r="A164" s="233">
        <v>0</v>
      </c>
      <c r="B164" s="233">
        <v>4</v>
      </c>
      <c r="C164" s="233">
        <v>3</v>
      </c>
      <c r="D164" s="234">
        <v>3</v>
      </c>
      <c r="E164" s="234">
        <v>6</v>
      </c>
      <c r="G164" s="458" t="s">
        <v>41</v>
      </c>
      <c r="H164" s="459" t="s">
        <v>1238</v>
      </c>
      <c r="I164" s="460" t="s">
        <v>3461</v>
      </c>
      <c r="J164" s="461" t="s">
        <v>2990</v>
      </c>
      <c r="K164" s="462" t="s">
        <v>1105</v>
      </c>
      <c r="L164" s="463">
        <v>4418.272727272727</v>
      </c>
      <c r="M164" s="463">
        <v>8.4849650000000008</v>
      </c>
      <c r="N164" s="464">
        <v>37488.889451363597</v>
      </c>
      <c r="O164" s="465" t="s">
        <v>1290</v>
      </c>
      <c r="P164" s="431" t="s">
        <v>6711</v>
      </c>
    </row>
    <row r="165" spans="1:16" ht="13.5" hidden="1" customHeight="1" outlineLevel="3" x14ac:dyDescent="0.2">
      <c r="A165" s="233">
        <v>0</v>
      </c>
      <c r="B165" s="233">
        <v>4</v>
      </c>
      <c r="C165" s="233">
        <v>3</v>
      </c>
      <c r="D165" s="234">
        <v>3</v>
      </c>
      <c r="E165" s="234">
        <v>7</v>
      </c>
      <c r="G165" s="458" t="s">
        <v>41</v>
      </c>
      <c r="H165" s="459" t="s">
        <v>1238</v>
      </c>
      <c r="I165" s="460" t="s">
        <v>3462</v>
      </c>
      <c r="J165" s="461" t="s">
        <v>2991</v>
      </c>
      <c r="K165" s="462" t="s">
        <v>1105</v>
      </c>
      <c r="L165" s="463">
        <v>1396</v>
      </c>
      <c r="M165" s="463">
        <v>8.4849650000000008</v>
      </c>
      <c r="N165" s="464">
        <v>11845.011140000001</v>
      </c>
      <c r="O165" s="465" t="s">
        <v>1290</v>
      </c>
      <c r="P165" s="431" t="s">
        <v>6711</v>
      </c>
    </row>
    <row r="166" spans="1:16" ht="13.5" hidden="1" customHeight="1" outlineLevel="3" x14ac:dyDescent="0.2">
      <c r="A166" s="233">
        <v>0</v>
      </c>
      <c r="B166" s="233">
        <v>4</v>
      </c>
      <c r="C166" s="233">
        <v>3</v>
      </c>
      <c r="D166" s="234">
        <v>3</v>
      </c>
      <c r="E166" s="234">
        <v>8</v>
      </c>
      <c r="G166" s="458" t="s">
        <v>41</v>
      </c>
      <c r="H166" s="459" t="s">
        <v>1238</v>
      </c>
      <c r="I166" s="460" t="s">
        <v>3463</v>
      </c>
      <c r="J166" s="461" t="s">
        <v>2992</v>
      </c>
      <c r="K166" s="462" t="s">
        <v>1105</v>
      </c>
      <c r="L166" s="463">
        <v>6903</v>
      </c>
      <c r="M166" s="463">
        <v>8.4849650000000008</v>
      </c>
      <c r="N166" s="464">
        <v>58571.713394999999</v>
      </c>
      <c r="O166" s="465" t="s">
        <v>1290</v>
      </c>
      <c r="P166" s="431" t="s">
        <v>6711</v>
      </c>
    </row>
    <row r="167" spans="1:16" ht="13.5" hidden="1" customHeight="1" outlineLevel="3" x14ac:dyDescent="0.2">
      <c r="A167" s="233">
        <v>0</v>
      </c>
      <c r="B167" s="233">
        <v>4</v>
      </c>
      <c r="C167" s="233">
        <v>3</v>
      </c>
      <c r="D167" s="234">
        <v>3</v>
      </c>
      <c r="E167" s="234">
        <v>9</v>
      </c>
      <c r="G167" s="458" t="s">
        <v>41</v>
      </c>
      <c r="H167" s="459" t="s">
        <v>1238</v>
      </c>
      <c r="I167" s="460" t="s">
        <v>3464</v>
      </c>
      <c r="J167" s="461" t="s">
        <v>2993</v>
      </c>
      <c r="K167" s="462" t="s">
        <v>1105</v>
      </c>
      <c r="L167" s="463">
        <v>13575</v>
      </c>
      <c r="M167" s="463">
        <v>9.9489620399880714</v>
      </c>
      <c r="N167" s="464">
        <v>135057.159692838</v>
      </c>
      <c r="O167" s="465" t="s">
        <v>1290</v>
      </c>
      <c r="P167" s="431" t="s">
        <v>6711</v>
      </c>
    </row>
    <row r="168" spans="1:16" ht="13.5" hidden="1" customHeight="1" outlineLevel="2" x14ac:dyDescent="0.2">
      <c r="A168" s="233">
        <v>0</v>
      </c>
      <c r="B168" s="233">
        <v>4</v>
      </c>
      <c r="C168" s="233">
        <v>3</v>
      </c>
      <c r="D168" s="234">
        <v>4</v>
      </c>
      <c r="E168" s="234">
        <v>0</v>
      </c>
      <c r="G168" s="450"/>
      <c r="H168" s="451" t="s">
        <v>1237</v>
      </c>
      <c r="I168" s="452" t="s">
        <v>3465</v>
      </c>
      <c r="J168" s="453" t="s">
        <v>2202</v>
      </c>
      <c r="K168" s="454"/>
      <c r="L168" s="455"/>
      <c r="M168" s="455"/>
      <c r="N168" s="456">
        <v>315085.527446319</v>
      </c>
      <c r="O168" s="457">
        <v>18.8114468790322</v>
      </c>
      <c r="P168" s="430"/>
    </row>
    <row r="169" spans="1:16" ht="13.5" hidden="1" customHeight="1" outlineLevel="3" x14ac:dyDescent="0.2">
      <c r="A169" s="233">
        <v>0</v>
      </c>
      <c r="B169" s="233">
        <v>4</v>
      </c>
      <c r="C169" s="233">
        <v>3</v>
      </c>
      <c r="D169" s="234">
        <v>4</v>
      </c>
      <c r="E169" s="234">
        <v>1</v>
      </c>
      <c r="G169" s="458" t="s">
        <v>41</v>
      </c>
      <c r="H169" s="459" t="s">
        <v>1238</v>
      </c>
      <c r="I169" s="460" t="s">
        <v>3466</v>
      </c>
      <c r="J169" s="461" t="s">
        <v>2985</v>
      </c>
      <c r="K169" s="462" t="s">
        <v>1105</v>
      </c>
      <c r="L169" s="463">
        <v>206.46531827016534</v>
      </c>
      <c r="M169" s="463">
        <v>8.9649650000000012</v>
      </c>
      <c r="N169" s="464">
        <v>1850.9543520058901</v>
      </c>
      <c r="O169" s="465" t="s">
        <v>1290</v>
      </c>
      <c r="P169" s="431" t="s">
        <v>6711</v>
      </c>
    </row>
    <row r="170" spans="1:16" ht="13.5" hidden="1" customHeight="1" outlineLevel="3" x14ac:dyDescent="0.2">
      <c r="A170" s="233">
        <v>0</v>
      </c>
      <c r="B170" s="233">
        <v>4</v>
      </c>
      <c r="C170" s="233">
        <v>3</v>
      </c>
      <c r="D170" s="234">
        <v>4</v>
      </c>
      <c r="E170" s="234">
        <v>2</v>
      </c>
      <c r="G170" s="458" t="s">
        <v>41</v>
      </c>
      <c r="H170" s="459" t="s">
        <v>1238</v>
      </c>
      <c r="I170" s="460" t="s">
        <v>3467</v>
      </c>
      <c r="J170" s="461" t="s">
        <v>2986</v>
      </c>
      <c r="K170" s="462" t="s">
        <v>1105</v>
      </c>
      <c r="L170" s="463">
        <v>2315.6793610301261</v>
      </c>
      <c r="M170" s="463">
        <v>8.9649650000000012</v>
      </c>
      <c r="N170" s="464">
        <v>20759.9844228574</v>
      </c>
      <c r="O170" s="465" t="s">
        <v>1290</v>
      </c>
      <c r="P170" s="431" t="s">
        <v>6711</v>
      </c>
    </row>
    <row r="171" spans="1:16" ht="13.5" hidden="1" customHeight="1" outlineLevel="3" x14ac:dyDescent="0.2">
      <c r="A171" s="233">
        <v>0</v>
      </c>
      <c r="B171" s="233">
        <v>4</v>
      </c>
      <c r="C171" s="233">
        <v>3</v>
      </c>
      <c r="D171" s="234">
        <v>4</v>
      </c>
      <c r="E171" s="234">
        <v>3</v>
      </c>
      <c r="G171" s="458" t="s">
        <v>41</v>
      </c>
      <c r="H171" s="459" t="s">
        <v>1238</v>
      </c>
      <c r="I171" s="460" t="s">
        <v>3468</v>
      </c>
      <c r="J171" s="461" t="s">
        <v>2987</v>
      </c>
      <c r="K171" s="462" t="s">
        <v>1105</v>
      </c>
      <c r="L171" s="463">
        <v>2559.2787293488818</v>
      </c>
      <c r="M171" s="463">
        <v>8.9649650000000012</v>
      </c>
      <c r="N171" s="464">
        <v>22943.844233857199</v>
      </c>
      <c r="O171" s="465" t="s">
        <v>1290</v>
      </c>
      <c r="P171" s="431" t="s">
        <v>6711</v>
      </c>
    </row>
    <row r="172" spans="1:16" ht="13.5" hidden="1" customHeight="1" outlineLevel="3" x14ac:dyDescent="0.2">
      <c r="A172" s="233">
        <v>0</v>
      </c>
      <c r="B172" s="233">
        <v>4</v>
      </c>
      <c r="C172" s="233">
        <v>3</v>
      </c>
      <c r="D172" s="234">
        <v>4</v>
      </c>
      <c r="E172" s="234">
        <v>4</v>
      </c>
      <c r="G172" s="458" t="s">
        <v>41</v>
      </c>
      <c r="H172" s="459" t="s">
        <v>1238</v>
      </c>
      <c r="I172" s="460" t="s">
        <v>3469</v>
      </c>
      <c r="J172" s="461" t="s">
        <v>2988</v>
      </c>
      <c r="K172" s="462" t="s">
        <v>1105</v>
      </c>
      <c r="L172" s="463">
        <v>2909.824161807579</v>
      </c>
      <c r="M172" s="463">
        <v>8.9649650000000012</v>
      </c>
      <c r="N172" s="464">
        <v>26086.471766759299</v>
      </c>
      <c r="O172" s="465" t="s">
        <v>1290</v>
      </c>
      <c r="P172" s="431" t="s">
        <v>6711</v>
      </c>
    </row>
    <row r="173" spans="1:16" ht="13.5" hidden="1" customHeight="1" outlineLevel="3" x14ac:dyDescent="0.2">
      <c r="A173" s="233">
        <v>0</v>
      </c>
      <c r="B173" s="233">
        <v>4</v>
      </c>
      <c r="C173" s="233">
        <v>3</v>
      </c>
      <c r="D173" s="234">
        <v>4</v>
      </c>
      <c r="E173" s="234">
        <v>5</v>
      </c>
      <c r="G173" s="458" t="s">
        <v>41</v>
      </c>
      <c r="H173" s="459" t="s">
        <v>1238</v>
      </c>
      <c r="I173" s="460" t="s">
        <v>3470</v>
      </c>
      <c r="J173" s="461" t="s">
        <v>2989</v>
      </c>
      <c r="K173" s="462" t="s">
        <v>1105</v>
      </c>
      <c r="L173" s="463">
        <v>3293.0475583090379</v>
      </c>
      <c r="M173" s="463">
        <v>8.4849650000000008</v>
      </c>
      <c r="N173" s="464">
        <v>27941.393275587601</v>
      </c>
      <c r="O173" s="465" t="s">
        <v>1290</v>
      </c>
      <c r="P173" s="431" t="s">
        <v>6711</v>
      </c>
    </row>
    <row r="174" spans="1:16" ht="13.5" hidden="1" customHeight="1" outlineLevel="3" x14ac:dyDescent="0.2">
      <c r="A174" s="233">
        <v>0</v>
      </c>
      <c r="B174" s="233">
        <v>4</v>
      </c>
      <c r="C174" s="233">
        <v>3</v>
      </c>
      <c r="D174" s="234">
        <v>4</v>
      </c>
      <c r="E174" s="234">
        <v>6</v>
      </c>
      <c r="G174" s="458" t="s">
        <v>41</v>
      </c>
      <c r="H174" s="459" t="s">
        <v>1238</v>
      </c>
      <c r="I174" s="460" t="s">
        <v>3471</v>
      </c>
      <c r="J174" s="461" t="s">
        <v>2990</v>
      </c>
      <c r="K174" s="462" t="s">
        <v>1105</v>
      </c>
      <c r="L174" s="463">
        <v>1103.6239674441204</v>
      </c>
      <c r="M174" s="463">
        <v>8.4849650000000008</v>
      </c>
      <c r="N174" s="464">
        <v>9364.2107369245005</v>
      </c>
      <c r="O174" s="465" t="s">
        <v>1290</v>
      </c>
      <c r="P174" s="431" t="s">
        <v>6711</v>
      </c>
    </row>
    <row r="175" spans="1:16" ht="13.5" hidden="1" customHeight="1" outlineLevel="3" x14ac:dyDescent="0.2">
      <c r="A175" s="233">
        <v>0</v>
      </c>
      <c r="B175" s="233">
        <v>4</v>
      </c>
      <c r="C175" s="233">
        <v>3</v>
      </c>
      <c r="D175" s="234">
        <v>4</v>
      </c>
      <c r="E175" s="234">
        <v>7</v>
      </c>
      <c r="G175" s="458" t="s">
        <v>41</v>
      </c>
      <c r="H175" s="459" t="s">
        <v>1238</v>
      </c>
      <c r="I175" s="460" t="s">
        <v>3472</v>
      </c>
      <c r="J175" s="461" t="s">
        <v>2991</v>
      </c>
      <c r="K175" s="462" t="s">
        <v>1105</v>
      </c>
      <c r="L175" s="463">
        <v>4219.9134475218652</v>
      </c>
      <c r="M175" s="463">
        <v>8.4849650000000008</v>
      </c>
      <c r="N175" s="464">
        <v>35805.817905252399</v>
      </c>
      <c r="O175" s="465" t="s">
        <v>1290</v>
      </c>
      <c r="P175" s="431" t="s">
        <v>6711</v>
      </c>
    </row>
    <row r="176" spans="1:16" ht="13.5" hidden="1" customHeight="1" outlineLevel="3" x14ac:dyDescent="0.2">
      <c r="A176" s="233">
        <v>0</v>
      </c>
      <c r="B176" s="233">
        <v>4</v>
      </c>
      <c r="C176" s="233">
        <v>3</v>
      </c>
      <c r="D176" s="234">
        <v>4</v>
      </c>
      <c r="E176" s="234">
        <v>8</v>
      </c>
      <c r="G176" s="458" t="s">
        <v>41</v>
      </c>
      <c r="H176" s="459" t="s">
        <v>1238</v>
      </c>
      <c r="I176" s="460" t="s">
        <v>3473</v>
      </c>
      <c r="J176" s="461" t="s">
        <v>2992</v>
      </c>
      <c r="K176" s="462" t="s">
        <v>1105</v>
      </c>
      <c r="L176" s="463">
        <v>20074.66745626822</v>
      </c>
      <c r="M176" s="463">
        <v>8.4849650000000008</v>
      </c>
      <c r="N176" s="464">
        <v>170332.85075307501</v>
      </c>
      <c r="O176" s="465" t="s">
        <v>1290</v>
      </c>
      <c r="P176" s="431" t="s">
        <v>6711</v>
      </c>
    </row>
    <row r="177" spans="1:16" ht="13.5" hidden="1" customHeight="1" outlineLevel="2" x14ac:dyDescent="0.2">
      <c r="A177" s="233">
        <v>0</v>
      </c>
      <c r="B177" s="233">
        <v>4</v>
      </c>
      <c r="C177" s="233">
        <v>3</v>
      </c>
      <c r="D177" s="234">
        <v>5</v>
      </c>
      <c r="E177" s="234">
        <v>0</v>
      </c>
      <c r="G177" s="450"/>
      <c r="H177" s="451" t="s">
        <v>1237</v>
      </c>
      <c r="I177" s="452" t="s">
        <v>3474</v>
      </c>
      <c r="J177" s="453" t="s">
        <v>2835</v>
      </c>
      <c r="K177" s="454"/>
      <c r="L177" s="455"/>
      <c r="M177" s="455"/>
      <c r="N177" s="456">
        <v>315085.527446319</v>
      </c>
      <c r="O177" s="457">
        <v>18.8114468790322</v>
      </c>
      <c r="P177" s="430"/>
    </row>
    <row r="178" spans="1:16" ht="13.5" hidden="1" customHeight="1" outlineLevel="3" x14ac:dyDescent="0.2">
      <c r="A178" s="233">
        <v>0</v>
      </c>
      <c r="B178" s="233">
        <v>4</v>
      </c>
      <c r="C178" s="233">
        <v>3</v>
      </c>
      <c r="D178" s="234">
        <v>5</v>
      </c>
      <c r="E178" s="234">
        <v>1</v>
      </c>
      <c r="G178" s="458" t="s">
        <v>41</v>
      </c>
      <c r="H178" s="459" t="s">
        <v>1238</v>
      </c>
      <c r="I178" s="460" t="s">
        <v>3475</v>
      </c>
      <c r="J178" s="461" t="s">
        <v>2985</v>
      </c>
      <c r="K178" s="462" t="s">
        <v>1105</v>
      </c>
      <c r="L178" s="463">
        <v>206.46531827016534</v>
      </c>
      <c r="M178" s="463">
        <v>8.9649650000000012</v>
      </c>
      <c r="N178" s="464">
        <v>1850.9543520058901</v>
      </c>
      <c r="O178" s="465" t="s">
        <v>1290</v>
      </c>
      <c r="P178" s="431" t="s">
        <v>6711</v>
      </c>
    </row>
    <row r="179" spans="1:16" ht="13.5" hidden="1" customHeight="1" outlineLevel="3" x14ac:dyDescent="0.2">
      <c r="A179" s="233">
        <v>0</v>
      </c>
      <c r="B179" s="233">
        <v>4</v>
      </c>
      <c r="C179" s="233">
        <v>3</v>
      </c>
      <c r="D179" s="234">
        <v>5</v>
      </c>
      <c r="E179" s="234">
        <v>2</v>
      </c>
      <c r="G179" s="458" t="s">
        <v>41</v>
      </c>
      <c r="H179" s="459" t="s">
        <v>1238</v>
      </c>
      <c r="I179" s="460" t="s">
        <v>3476</v>
      </c>
      <c r="J179" s="461" t="s">
        <v>2986</v>
      </c>
      <c r="K179" s="462" t="s">
        <v>1105</v>
      </c>
      <c r="L179" s="463">
        <v>2315.6793610301261</v>
      </c>
      <c r="M179" s="463">
        <v>8.9649650000000012</v>
      </c>
      <c r="N179" s="464">
        <v>20759.9844228574</v>
      </c>
      <c r="O179" s="465" t="s">
        <v>1290</v>
      </c>
      <c r="P179" s="431" t="s">
        <v>6711</v>
      </c>
    </row>
    <row r="180" spans="1:16" ht="13.5" hidden="1" customHeight="1" outlineLevel="3" x14ac:dyDescent="0.2">
      <c r="A180" s="233">
        <v>0</v>
      </c>
      <c r="B180" s="233">
        <v>4</v>
      </c>
      <c r="C180" s="233">
        <v>3</v>
      </c>
      <c r="D180" s="234">
        <v>5</v>
      </c>
      <c r="E180" s="234">
        <v>3</v>
      </c>
      <c r="G180" s="458" t="s">
        <v>41</v>
      </c>
      <c r="H180" s="459" t="s">
        <v>1238</v>
      </c>
      <c r="I180" s="460" t="s">
        <v>3477</v>
      </c>
      <c r="J180" s="461" t="s">
        <v>2987</v>
      </c>
      <c r="K180" s="462" t="s">
        <v>1105</v>
      </c>
      <c r="L180" s="463">
        <v>2559.2787293488818</v>
      </c>
      <c r="M180" s="463">
        <v>8.9649650000000012</v>
      </c>
      <c r="N180" s="464">
        <v>22943.844233857199</v>
      </c>
      <c r="O180" s="465" t="s">
        <v>1290</v>
      </c>
      <c r="P180" s="431" t="s">
        <v>6711</v>
      </c>
    </row>
    <row r="181" spans="1:16" ht="13.5" hidden="1" customHeight="1" outlineLevel="3" x14ac:dyDescent="0.2">
      <c r="A181" s="233">
        <v>0</v>
      </c>
      <c r="B181" s="233">
        <v>4</v>
      </c>
      <c r="C181" s="233">
        <v>3</v>
      </c>
      <c r="D181" s="234">
        <v>5</v>
      </c>
      <c r="E181" s="234">
        <v>4</v>
      </c>
      <c r="G181" s="458" t="s">
        <v>41</v>
      </c>
      <c r="H181" s="459" t="s">
        <v>1238</v>
      </c>
      <c r="I181" s="460" t="s">
        <v>3478</v>
      </c>
      <c r="J181" s="461" t="s">
        <v>2988</v>
      </c>
      <c r="K181" s="462" t="s">
        <v>1105</v>
      </c>
      <c r="L181" s="463">
        <v>2909.824161807579</v>
      </c>
      <c r="M181" s="463">
        <v>8.9649650000000012</v>
      </c>
      <c r="N181" s="464">
        <v>26086.471766759299</v>
      </c>
      <c r="O181" s="465" t="s">
        <v>1290</v>
      </c>
      <c r="P181" s="431" t="s">
        <v>6711</v>
      </c>
    </row>
    <row r="182" spans="1:16" ht="13.5" hidden="1" customHeight="1" outlineLevel="3" x14ac:dyDescent="0.2">
      <c r="A182" s="233">
        <v>0</v>
      </c>
      <c r="B182" s="233">
        <v>4</v>
      </c>
      <c r="C182" s="233">
        <v>3</v>
      </c>
      <c r="D182" s="234">
        <v>5</v>
      </c>
      <c r="E182" s="234">
        <v>5</v>
      </c>
      <c r="G182" s="458" t="s">
        <v>41</v>
      </c>
      <c r="H182" s="459" t="s">
        <v>1238</v>
      </c>
      <c r="I182" s="460" t="s">
        <v>3479</v>
      </c>
      <c r="J182" s="461" t="s">
        <v>2989</v>
      </c>
      <c r="K182" s="462" t="s">
        <v>1105</v>
      </c>
      <c r="L182" s="463">
        <v>3293.0475583090379</v>
      </c>
      <c r="M182" s="463">
        <v>8.4849650000000008</v>
      </c>
      <c r="N182" s="464">
        <v>27941.393275587601</v>
      </c>
      <c r="O182" s="465" t="s">
        <v>1290</v>
      </c>
      <c r="P182" s="431" t="s">
        <v>6711</v>
      </c>
    </row>
    <row r="183" spans="1:16" ht="13.5" hidden="1" customHeight="1" outlineLevel="3" x14ac:dyDescent="0.2">
      <c r="A183" s="233">
        <v>0</v>
      </c>
      <c r="B183" s="233">
        <v>4</v>
      </c>
      <c r="C183" s="233">
        <v>3</v>
      </c>
      <c r="D183" s="234">
        <v>5</v>
      </c>
      <c r="E183" s="234">
        <v>6</v>
      </c>
      <c r="G183" s="458" t="s">
        <v>41</v>
      </c>
      <c r="H183" s="459" t="s">
        <v>1238</v>
      </c>
      <c r="I183" s="460" t="s">
        <v>3480</v>
      </c>
      <c r="J183" s="461" t="s">
        <v>2990</v>
      </c>
      <c r="K183" s="462" t="s">
        <v>1105</v>
      </c>
      <c r="L183" s="463">
        <v>1103.6239674441204</v>
      </c>
      <c r="M183" s="463">
        <v>8.4849650000000008</v>
      </c>
      <c r="N183" s="464">
        <v>9364.2107369245005</v>
      </c>
      <c r="O183" s="465" t="s">
        <v>1290</v>
      </c>
      <c r="P183" s="431" t="s">
        <v>6711</v>
      </c>
    </row>
    <row r="184" spans="1:16" ht="13.5" hidden="1" customHeight="1" outlineLevel="3" x14ac:dyDescent="0.2">
      <c r="A184" s="233">
        <v>0</v>
      </c>
      <c r="B184" s="233">
        <v>4</v>
      </c>
      <c r="C184" s="233">
        <v>3</v>
      </c>
      <c r="D184" s="234">
        <v>5</v>
      </c>
      <c r="E184" s="234">
        <v>7</v>
      </c>
      <c r="G184" s="458" t="s">
        <v>41</v>
      </c>
      <c r="H184" s="459" t="s">
        <v>1238</v>
      </c>
      <c r="I184" s="460" t="s">
        <v>3481</v>
      </c>
      <c r="J184" s="461" t="s">
        <v>2991</v>
      </c>
      <c r="K184" s="462" t="s">
        <v>1105</v>
      </c>
      <c r="L184" s="463">
        <v>4219.9134475218652</v>
      </c>
      <c r="M184" s="463">
        <v>8.4849650000000008</v>
      </c>
      <c r="N184" s="464">
        <v>35805.817905252399</v>
      </c>
      <c r="O184" s="465" t="s">
        <v>1290</v>
      </c>
      <c r="P184" s="431" t="s">
        <v>6711</v>
      </c>
    </row>
    <row r="185" spans="1:16" ht="13.5" hidden="1" customHeight="1" outlineLevel="3" x14ac:dyDescent="0.2">
      <c r="A185" s="233">
        <v>0</v>
      </c>
      <c r="B185" s="233">
        <v>4</v>
      </c>
      <c r="C185" s="233">
        <v>3</v>
      </c>
      <c r="D185" s="234">
        <v>5</v>
      </c>
      <c r="E185" s="234">
        <v>8</v>
      </c>
      <c r="G185" s="458" t="s">
        <v>41</v>
      </c>
      <c r="H185" s="459" t="s">
        <v>1238</v>
      </c>
      <c r="I185" s="460" t="s">
        <v>3482</v>
      </c>
      <c r="J185" s="461" t="s">
        <v>2992</v>
      </c>
      <c r="K185" s="462" t="s">
        <v>1105</v>
      </c>
      <c r="L185" s="463">
        <v>20074.66745626822</v>
      </c>
      <c r="M185" s="463">
        <v>8.4849650000000008</v>
      </c>
      <c r="N185" s="464">
        <v>170332.85075307501</v>
      </c>
      <c r="O185" s="465" t="s">
        <v>1290</v>
      </c>
      <c r="P185" s="431" t="s">
        <v>6711</v>
      </c>
    </row>
    <row r="186" spans="1:16" ht="13.5" hidden="1" customHeight="1" outlineLevel="2" x14ac:dyDescent="0.2">
      <c r="A186" s="233">
        <v>0</v>
      </c>
      <c r="B186" s="233">
        <v>4</v>
      </c>
      <c r="C186" s="233">
        <v>3</v>
      </c>
      <c r="D186" s="234">
        <v>6</v>
      </c>
      <c r="E186" s="234">
        <v>0</v>
      </c>
      <c r="G186" s="450"/>
      <c r="H186" s="451" t="s">
        <v>1237</v>
      </c>
      <c r="I186" s="452" t="s">
        <v>3483</v>
      </c>
      <c r="J186" s="453" t="s">
        <v>2836</v>
      </c>
      <c r="K186" s="454"/>
      <c r="L186" s="455"/>
      <c r="M186" s="455"/>
      <c r="N186" s="456">
        <v>377458.41799498501</v>
      </c>
      <c r="O186" s="457">
        <v>22.535274903624099</v>
      </c>
      <c r="P186" s="430"/>
    </row>
    <row r="187" spans="1:16" ht="13.5" hidden="1" customHeight="1" outlineLevel="3" x14ac:dyDescent="0.2">
      <c r="A187" s="233">
        <v>0</v>
      </c>
      <c r="B187" s="233">
        <v>4</v>
      </c>
      <c r="C187" s="233">
        <v>3</v>
      </c>
      <c r="D187" s="234">
        <v>6</v>
      </c>
      <c r="E187" s="234">
        <v>1</v>
      </c>
      <c r="G187" s="458" t="s">
        <v>41</v>
      </c>
      <c r="H187" s="459" t="s">
        <v>1238</v>
      </c>
      <c r="I187" s="460" t="s">
        <v>3484</v>
      </c>
      <c r="J187" s="461" t="s">
        <v>2985</v>
      </c>
      <c r="K187" s="462" t="s">
        <v>1105</v>
      </c>
      <c r="L187" s="463">
        <v>247.33624878522858</v>
      </c>
      <c r="M187" s="463">
        <v>8.9649650000000012</v>
      </c>
      <c r="N187" s="464">
        <v>2217.3608135908698</v>
      </c>
      <c r="O187" s="465" t="s">
        <v>1290</v>
      </c>
      <c r="P187" s="431" t="s">
        <v>6711</v>
      </c>
    </row>
    <row r="188" spans="1:16" ht="13.5" hidden="1" customHeight="1" outlineLevel="3" x14ac:dyDescent="0.2">
      <c r="A188" s="233">
        <v>0</v>
      </c>
      <c r="B188" s="233">
        <v>4</v>
      </c>
      <c r="C188" s="233">
        <v>3</v>
      </c>
      <c r="D188" s="234">
        <v>6</v>
      </c>
      <c r="E188" s="234">
        <v>2</v>
      </c>
      <c r="G188" s="458" t="s">
        <v>41</v>
      </c>
      <c r="H188" s="459" t="s">
        <v>1238</v>
      </c>
      <c r="I188" s="460" t="s">
        <v>3485</v>
      </c>
      <c r="J188" s="461" t="s">
        <v>2986</v>
      </c>
      <c r="K188" s="462" t="s">
        <v>1105</v>
      </c>
      <c r="L188" s="463">
        <v>2774.080660835763</v>
      </c>
      <c r="M188" s="463">
        <v>8.9649650000000012</v>
      </c>
      <c r="N188" s="464">
        <v>24869.5360315695</v>
      </c>
      <c r="O188" s="465" t="s">
        <v>1290</v>
      </c>
      <c r="P188" s="431" t="s">
        <v>6711</v>
      </c>
    </row>
    <row r="189" spans="1:16" ht="13.5" hidden="1" customHeight="1" outlineLevel="3" x14ac:dyDescent="0.2">
      <c r="A189" s="233">
        <v>0</v>
      </c>
      <c r="B189" s="233">
        <v>4</v>
      </c>
      <c r="C189" s="233">
        <v>3</v>
      </c>
      <c r="D189" s="234">
        <v>6</v>
      </c>
      <c r="E189" s="234">
        <v>3</v>
      </c>
      <c r="G189" s="458" t="s">
        <v>41</v>
      </c>
      <c r="H189" s="459" t="s">
        <v>1238</v>
      </c>
      <c r="I189" s="460" t="s">
        <v>3486</v>
      </c>
      <c r="J189" s="461" t="s">
        <v>2987</v>
      </c>
      <c r="K189" s="462" t="s">
        <v>1105</v>
      </c>
      <c r="L189" s="463">
        <v>3065.9018464528672</v>
      </c>
      <c r="M189" s="463">
        <v>8.9649650000000012</v>
      </c>
      <c r="N189" s="464">
        <v>27485.702746885301</v>
      </c>
      <c r="O189" s="465" t="s">
        <v>1290</v>
      </c>
      <c r="P189" s="431" t="s">
        <v>6711</v>
      </c>
    </row>
    <row r="190" spans="1:16" ht="13.5" hidden="1" customHeight="1" outlineLevel="3" x14ac:dyDescent="0.2">
      <c r="A190" s="233">
        <v>0</v>
      </c>
      <c r="B190" s="233">
        <v>4</v>
      </c>
      <c r="C190" s="233">
        <v>3</v>
      </c>
      <c r="D190" s="234">
        <v>6</v>
      </c>
      <c r="E190" s="234">
        <v>4</v>
      </c>
      <c r="G190" s="458" t="s">
        <v>41</v>
      </c>
      <c r="H190" s="459" t="s">
        <v>1238</v>
      </c>
      <c r="I190" s="460" t="s">
        <v>3487</v>
      </c>
      <c r="J190" s="461" t="s">
        <v>2988</v>
      </c>
      <c r="K190" s="462" t="s">
        <v>1105</v>
      </c>
      <c r="L190" s="463">
        <v>3485.8396501457719</v>
      </c>
      <c r="M190" s="463">
        <v>8.9649650000000012</v>
      </c>
      <c r="N190" s="464">
        <v>31250.4304591691</v>
      </c>
      <c r="O190" s="465" t="s">
        <v>1290</v>
      </c>
      <c r="P190" s="431" t="s">
        <v>6711</v>
      </c>
    </row>
    <row r="191" spans="1:16" ht="13.5" hidden="1" customHeight="1" outlineLevel="3" x14ac:dyDescent="0.2">
      <c r="A191" s="233">
        <v>0</v>
      </c>
      <c r="B191" s="233">
        <v>4</v>
      </c>
      <c r="C191" s="233">
        <v>3</v>
      </c>
      <c r="D191" s="234">
        <v>6</v>
      </c>
      <c r="E191" s="234">
        <v>5</v>
      </c>
      <c r="G191" s="458" t="s">
        <v>41</v>
      </c>
      <c r="H191" s="459" t="s">
        <v>1238</v>
      </c>
      <c r="I191" s="460" t="s">
        <v>3488</v>
      </c>
      <c r="J191" s="461" t="s">
        <v>2989</v>
      </c>
      <c r="K191" s="462" t="s">
        <v>1105</v>
      </c>
      <c r="L191" s="463">
        <v>3944.9241982507297</v>
      </c>
      <c r="M191" s="463">
        <v>8.4849650000000008</v>
      </c>
      <c r="N191" s="464">
        <v>33472.543749810502</v>
      </c>
      <c r="O191" s="465" t="s">
        <v>1290</v>
      </c>
      <c r="P191" s="431" t="s">
        <v>6711</v>
      </c>
    </row>
    <row r="192" spans="1:16" ht="13.5" hidden="1" customHeight="1" outlineLevel="3" x14ac:dyDescent="0.2">
      <c r="A192" s="233">
        <v>0</v>
      </c>
      <c r="B192" s="233">
        <v>4</v>
      </c>
      <c r="C192" s="233">
        <v>3</v>
      </c>
      <c r="D192" s="234">
        <v>6</v>
      </c>
      <c r="E192" s="234">
        <v>6</v>
      </c>
      <c r="G192" s="458" t="s">
        <v>41</v>
      </c>
      <c r="H192" s="459" t="s">
        <v>1238</v>
      </c>
      <c r="I192" s="460" t="s">
        <v>3489</v>
      </c>
      <c r="J192" s="461" t="s">
        <v>2990</v>
      </c>
      <c r="K192" s="462" t="s">
        <v>1105</v>
      </c>
      <c r="L192" s="463">
        <v>1322.0923226433433</v>
      </c>
      <c r="M192" s="463">
        <v>8.4849650000000008</v>
      </c>
      <c r="N192" s="464">
        <v>11217.907084397501</v>
      </c>
      <c r="O192" s="465" t="s">
        <v>1290</v>
      </c>
      <c r="P192" s="431" t="s">
        <v>6711</v>
      </c>
    </row>
    <row r="193" spans="1:16" ht="13.5" hidden="1" customHeight="1" outlineLevel="3" x14ac:dyDescent="0.2">
      <c r="A193" s="233">
        <v>0</v>
      </c>
      <c r="B193" s="233">
        <v>4</v>
      </c>
      <c r="C193" s="233">
        <v>3</v>
      </c>
      <c r="D193" s="234">
        <v>6</v>
      </c>
      <c r="E193" s="234">
        <v>7</v>
      </c>
      <c r="G193" s="458" t="s">
        <v>41</v>
      </c>
      <c r="H193" s="459" t="s">
        <v>1238</v>
      </c>
      <c r="I193" s="460" t="s">
        <v>3490</v>
      </c>
      <c r="J193" s="461" t="s">
        <v>2991</v>
      </c>
      <c r="K193" s="462" t="s">
        <v>1105</v>
      </c>
      <c r="L193" s="463">
        <v>5055.2682215743434</v>
      </c>
      <c r="M193" s="463">
        <v>8.4849650000000008</v>
      </c>
      <c r="N193" s="464">
        <v>42893.773925670597</v>
      </c>
      <c r="O193" s="465" t="s">
        <v>1290</v>
      </c>
      <c r="P193" s="431" t="s">
        <v>6711</v>
      </c>
    </row>
    <row r="194" spans="1:16" ht="13.5" hidden="1" customHeight="1" outlineLevel="3" x14ac:dyDescent="0.2">
      <c r="A194" s="233">
        <v>0</v>
      </c>
      <c r="B194" s="233">
        <v>4</v>
      </c>
      <c r="C194" s="233">
        <v>3</v>
      </c>
      <c r="D194" s="234">
        <v>6</v>
      </c>
      <c r="E194" s="234">
        <v>8</v>
      </c>
      <c r="G194" s="458" t="s">
        <v>41</v>
      </c>
      <c r="H194" s="459" t="s">
        <v>1238</v>
      </c>
      <c r="I194" s="460" t="s">
        <v>3491</v>
      </c>
      <c r="J194" s="461" t="s">
        <v>2992</v>
      </c>
      <c r="K194" s="462" t="s">
        <v>1105</v>
      </c>
      <c r="L194" s="463">
        <v>24048.556851311954</v>
      </c>
      <c r="M194" s="463">
        <v>8.4849650000000008</v>
      </c>
      <c r="N194" s="464">
        <v>204051.163183892</v>
      </c>
      <c r="O194" s="465" t="s">
        <v>1290</v>
      </c>
      <c r="P194" s="431" t="s">
        <v>6711</v>
      </c>
    </row>
    <row r="195" spans="1:16" ht="13.5" hidden="1" customHeight="1" outlineLevel="2" x14ac:dyDescent="0.2">
      <c r="A195" s="233">
        <v>0</v>
      </c>
      <c r="B195" s="233">
        <v>4</v>
      </c>
      <c r="C195" s="233">
        <v>3</v>
      </c>
      <c r="D195" s="234">
        <v>7</v>
      </c>
      <c r="E195" s="234">
        <v>0</v>
      </c>
      <c r="G195" s="450"/>
      <c r="H195" s="451" t="s">
        <v>1237</v>
      </c>
      <c r="I195" s="452" t="s">
        <v>3492</v>
      </c>
      <c r="J195" s="453" t="s">
        <v>2203</v>
      </c>
      <c r="K195" s="454"/>
      <c r="L195" s="455"/>
      <c r="M195" s="455"/>
      <c r="N195" s="456">
        <v>377458.41799498501</v>
      </c>
      <c r="O195" s="457">
        <v>22.535274903624099</v>
      </c>
      <c r="P195" s="430"/>
    </row>
    <row r="196" spans="1:16" ht="13.5" hidden="1" customHeight="1" outlineLevel="3" x14ac:dyDescent="0.2">
      <c r="A196" s="233">
        <v>0</v>
      </c>
      <c r="B196" s="233">
        <v>4</v>
      </c>
      <c r="C196" s="233">
        <v>3</v>
      </c>
      <c r="D196" s="234">
        <v>7</v>
      </c>
      <c r="E196" s="234">
        <v>1</v>
      </c>
      <c r="G196" s="458" t="s">
        <v>41</v>
      </c>
      <c r="H196" s="459" t="s">
        <v>1238</v>
      </c>
      <c r="I196" s="460" t="s">
        <v>3493</v>
      </c>
      <c r="J196" s="461" t="s">
        <v>2985</v>
      </c>
      <c r="K196" s="462" t="s">
        <v>1105</v>
      </c>
      <c r="L196" s="463">
        <v>247.33624878522858</v>
      </c>
      <c r="M196" s="463">
        <v>8.9649650000000012</v>
      </c>
      <c r="N196" s="464">
        <v>2217.3608135908698</v>
      </c>
      <c r="O196" s="465" t="s">
        <v>1290</v>
      </c>
      <c r="P196" s="431" t="s">
        <v>6711</v>
      </c>
    </row>
    <row r="197" spans="1:16" ht="13.5" hidden="1" customHeight="1" outlineLevel="3" x14ac:dyDescent="0.2">
      <c r="A197" s="233">
        <v>0</v>
      </c>
      <c r="B197" s="233">
        <v>4</v>
      </c>
      <c r="C197" s="233">
        <v>3</v>
      </c>
      <c r="D197" s="234">
        <v>7</v>
      </c>
      <c r="E197" s="234">
        <v>2</v>
      </c>
      <c r="G197" s="458" t="s">
        <v>41</v>
      </c>
      <c r="H197" s="459" t="s">
        <v>1238</v>
      </c>
      <c r="I197" s="460" t="s">
        <v>3494</v>
      </c>
      <c r="J197" s="461" t="s">
        <v>2986</v>
      </c>
      <c r="K197" s="462" t="s">
        <v>1105</v>
      </c>
      <c r="L197" s="463">
        <v>2774.080660835763</v>
      </c>
      <c r="M197" s="463">
        <v>8.9649650000000012</v>
      </c>
      <c r="N197" s="464">
        <v>24869.5360315695</v>
      </c>
      <c r="O197" s="465" t="s">
        <v>1290</v>
      </c>
      <c r="P197" s="431" t="s">
        <v>6711</v>
      </c>
    </row>
    <row r="198" spans="1:16" ht="13.5" hidden="1" customHeight="1" outlineLevel="3" x14ac:dyDescent="0.2">
      <c r="A198" s="233">
        <v>0</v>
      </c>
      <c r="B198" s="233">
        <v>4</v>
      </c>
      <c r="C198" s="233">
        <v>3</v>
      </c>
      <c r="D198" s="234">
        <v>7</v>
      </c>
      <c r="E198" s="234">
        <v>3</v>
      </c>
      <c r="G198" s="458" t="s">
        <v>41</v>
      </c>
      <c r="H198" s="459" t="s">
        <v>1238</v>
      </c>
      <c r="I198" s="460" t="s">
        <v>3495</v>
      </c>
      <c r="J198" s="461" t="s">
        <v>2987</v>
      </c>
      <c r="K198" s="462" t="s">
        <v>1105</v>
      </c>
      <c r="L198" s="463">
        <v>3065.9018464528672</v>
      </c>
      <c r="M198" s="463">
        <v>8.9649650000000012</v>
      </c>
      <c r="N198" s="464">
        <v>27485.702746885301</v>
      </c>
      <c r="O198" s="465" t="s">
        <v>1290</v>
      </c>
      <c r="P198" s="431" t="s">
        <v>6711</v>
      </c>
    </row>
    <row r="199" spans="1:16" ht="13.5" hidden="1" customHeight="1" outlineLevel="3" x14ac:dyDescent="0.2">
      <c r="A199" s="233">
        <v>0</v>
      </c>
      <c r="B199" s="233">
        <v>4</v>
      </c>
      <c r="C199" s="233">
        <v>3</v>
      </c>
      <c r="D199" s="234">
        <v>7</v>
      </c>
      <c r="E199" s="234">
        <v>4</v>
      </c>
      <c r="G199" s="458" t="s">
        <v>41</v>
      </c>
      <c r="H199" s="459" t="s">
        <v>1238</v>
      </c>
      <c r="I199" s="460" t="s">
        <v>3496</v>
      </c>
      <c r="J199" s="461" t="s">
        <v>2988</v>
      </c>
      <c r="K199" s="462" t="s">
        <v>1105</v>
      </c>
      <c r="L199" s="463">
        <v>3485.8396501457719</v>
      </c>
      <c r="M199" s="463">
        <v>8.9649650000000012</v>
      </c>
      <c r="N199" s="464">
        <v>31250.4304591691</v>
      </c>
      <c r="O199" s="465" t="s">
        <v>1290</v>
      </c>
      <c r="P199" s="431" t="s">
        <v>6711</v>
      </c>
    </row>
    <row r="200" spans="1:16" ht="13.5" hidden="1" customHeight="1" outlineLevel="3" x14ac:dyDescent="0.2">
      <c r="A200" s="233">
        <v>0</v>
      </c>
      <c r="B200" s="233">
        <v>4</v>
      </c>
      <c r="C200" s="233">
        <v>3</v>
      </c>
      <c r="D200" s="234">
        <v>7</v>
      </c>
      <c r="E200" s="234">
        <v>5</v>
      </c>
      <c r="G200" s="458" t="s">
        <v>41</v>
      </c>
      <c r="H200" s="459" t="s">
        <v>1238</v>
      </c>
      <c r="I200" s="460" t="s">
        <v>3497</v>
      </c>
      <c r="J200" s="461" t="s">
        <v>2989</v>
      </c>
      <c r="K200" s="462" t="s">
        <v>1105</v>
      </c>
      <c r="L200" s="463">
        <v>3944.9241982507297</v>
      </c>
      <c r="M200" s="463">
        <v>8.4849650000000008</v>
      </c>
      <c r="N200" s="464">
        <v>33472.543749810502</v>
      </c>
      <c r="O200" s="465" t="s">
        <v>1290</v>
      </c>
      <c r="P200" s="431" t="s">
        <v>6711</v>
      </c>
    </row>
    <row r="201" spans="1:16" ht="13.5" hidden="1" customHeight="1" outlineLevel="3" x14ac:dyDescent="0.2">
      <c r="A201" s="233">
        <v>0</v>
      </c>
      <c r="B201" s="233">
        <v>4</v>
      </c>
      <c r="C201" s="233">
        <v>3</v>
      </c>
      <c r="D201" s="234">
        <v>7</v>
      </c>
      <c r="E201" s="234">
        <v>6</v>
      </c>
      <c r="G201" s="458" t="s">
        <v>41</v>
      </c>
      <c r="H201" s="459" t="s">
        <v>1238</v>
      </c>
      <c r="I201" s="460" t="s">
        <v>3498</v>
      </c>
      <c r="J201" s="461" t="s">
        <v>2990</v>
      </c>
      <c r="K201" s="462" t="s">
        <v>1105</v>
      </c>
      <c r="L201" s="463">
        <v>1322.0923226433433</v>
      </c>
      <c r="M201" s="463">
        <v>8.4849650000000008</v>
      </c>
      <c r="N201" s="464">
        <v>11217.907084397501</v>
      </c>
      <c r="O201" s="465" t="s">
        <v>1290</v>
      </c>
      <c r="P201" s="431" t="s">
        <v>6711</v>
      </c>
    </row>
    <row r="202" spans="1:16" ht="13.5" hidden="1" customHeight="1" outlineLevel="3" x14ac:dyDescent="0.2">
      <c r="A202" s="233">
        <v>0</v>
      </c>
      <c r="B202" s="233">
        <v>4</v>
      </c>
      <c r="C202" s="233">
        <v>3</v>
      </c>
      <c r="D202" s="234">
        <v>7</v>
      </c>
      <c r="E202" s="234">
        <v>7</v>
      </c>
      <c r="G202" s="458" t="s">
        <v>41</v>
      </c>
      <c r="H202" s="459" t="s">
        <v>1238</v>
      </c>
      <c r="I202" s="460" t="s">
        <v>3499</v>
      </c>
      <c r="J202" s="461" t="s">
        <v>2991</v>
      </c>
      <c r="K202" s="462" t="s">
        <v>1105</v>
      </c>
      <c r="L202" s="463">
        <v>5055.2682215743434</v>
      </c>
      <c r="M202" s="463">
        <v>8.4849650000000008</v>
      </c>
      <c r="N202" s="464">
        <v>42893.773925670597</v>
      </c>
      <c r="O202" s="465" t="s">
        <v>1290</v>
      </c>
      <c r="P202" s="431" t="s">
        <v>6711</v>
      </c>
    </row>
    <row r="203" spans="1:16" ht="13.5" hidden="1" customHeight="1" outlineLevel="3" x14ac:dyDescent="0.2">
      <c r="A203" s="233">
        <v>0</v>
      </c>
      <c r="B203" s="233">
        <v>4</v>
      </c>
      <c r="C203" s="233">
        <v>3</v>
      </c>
      <c r="D203" s="234">
        <v>7</v>
      </c>
      <c r="E203" s="234">
        <v>8</v>
      </c>
      <c r="G203" s="458" t="s">
        <v>41</v>
      </c>
      <c r="H203" s="459" t="s">
        <v>1238</v>
      </c>
      <c r="I203" s="460" t="s">
        <v>3500</v>
      </c>
      <c r="J203" s="461" t="s">
        <v>2992</v>
      </c>
      <c r="K203" s="462" t="s">
        <v>1105</v>
      </c>
      <c r="L203" s="463">
        <v>24048.556851311954</v>
      </c>
      <c r="M203" s="463">
        <v>8.4849650000000008</v>
      </c>
      <c r="N203" s="464">
        <v>204051.163183892</v>
      </c>
      <c r="O203" s="465" t="s">
        <v>1290</v>
      </c>
      <c r="P203" s="431" t="s">
        <v>6711</v>
      </c>
    </row>
    <row r="204" spans="1:16" ht="13.5" hidden="1" customHeight="1" outlineLevel="2" x14ac:dyDescent="0.2">
      <c r="A204" s="233">
        <v>0</v>
      </c>
      <c r="B204" s="233">
        <v>4</v>
      </c>
      <c r="C204" s="233">
        <v>3</v>
      </c>
      <c r="D204" s="234">
        <v>8</v>
      </c>
      <c r="E204" s="234">
        <v>0</v>
      </c>
      <c r="G204" s="450"/>
      <c r="H204" s="451" t="s">
        <v>1237</v>
      </c>
      <c r="I204" s="452" t="s">
        <v>3501</v>
      </c>
      <c r="J204" s="453" t="s">
        <v>2837</v>
      </c>
      <c r="K204" s="454"/>
      <c r="L204" s="455"/>
      <c r="M204" s="455"/>
      <c r="N204" s="456">
        <v>217499.84824458501</v>
      </c>
      <c r="O204" s="457">
        <v>12.9853213970535</v>
      </c>
      <c r="P204" s="430"/>
    </row>
    <row r="205" spans="1:16" ht="13.5" hidden="1" customHeight="1" outlineLevel="3" x14ac:dyDescent="0.2">
      <c r="A205" s="233">
        <v>0</v>
      </c>
      <c r="B205" s="233">
        <v>4</v>
      </c>
      <c r="C205" s="233">
        <v>3</v>
      </c>
      <c r="D205" s="234">
        <v>8</v>
      </c>
      <c r="E205" s="234">
        <v>1</v>
      </c>
      <c r="G205" s="458" t="s">
        <v>41</v>
      </c>
      <c r="H205" s="459" t="s">
        <v>1238</v>
      </c>
      <c r="I205" s="460" t="s">
        <v>3502</v>
      </c>
      <c r="J205" s="461" t="s">
        <v>2985</v>
      </c>
      <c r="K205" s="462" t="s">
        <v>1105</v>
      </c>
      <c r="L205" s="463">
        <v>142.52059037900884</v>
      </c>
      <c r="M205" s="463">
        <v>8.9649650000000012</v>
      </c>
      <c r="N205" s="464">
        <v>1277.6921045271499</v>
      </c>
      <c r="O205" s="465" t="s">
        <v>1290</v>
      </c>
      <c r="P205" s="431" t="s">
        <v>6711</v>
      </c>
    </row>
    <row r="206" spans="1:16" ht="13.5" hidden="1" customHeight="1" outlineLevel="3" x14ac:dyDescent="0.2">
      <c r="A206" s="233">
        <v>0</v>
      </c>
      <c r="B206" s="233">
        <v>4</v>
      </c>
      <c r="C206" s="233">
        <v>3</v>
      </c>
      <c r="D206" s="234">
        <v>8</v>
      </c>
      <c r="E206" s="234">
        <v>2</v>
      </c>
      <c r="G206" s="458" t="s">
        <v>41</v>
      </c>
      <c r="H206" s="459" t="s">
        <v>1238</v>
      </c>
      <c r="I206" s="460" t="s">
        <v>3503</v>
      </c>
      <c r="J206" s="461" t="s">
        <v>2986</v>
      </c>
      <c r="K206" s="462" t="s">
        <v>1105</v>
      </c>
      <c r="L206" s="463">
        <v>1598.486333819242</v>
      </c>
      <c r="M206" s="463">
        <v>8.9649650000000012</v>
      </c>
      <c r="N206" s="464">
        <v>14330.374035667801</v>
      </c>
      <c r="O206" s="465" t="s">
        <v>1290</v>
      </c>
      <c r="P206" s="431" t="s">
        <v>6711</v>
      </c>
    </row>
    <row r="207" spans="1:16" ht="13.5" hidden="1" customHeight="1" outlineLevel="3" x14ac:dyDescent="0.2">
      <c r="A207" s="233">
        <v>0</v>
      </c>
      <c r="B207" s="233">
        <v>4</v>
      </c>
      <c r="C207" s="233">
        <v>3</v>
      </c>
      <c r="D207" s="234">
        <v>8</v>
      </c>
      <c r="E207" s="234">
        <v>3</v>
      </c>
      <c r="G207" s="458" t="s">
        <v>41</v>
      </c>
      <c r="H207" s="459" t="s">
        <v>1238</v>
      </c>
      <c r="I207" s="460" t="s">
        <v>3504</v>
      </c>
      <c r="J207" s="461" t="s">
        <v>2987</v>
      </c>
      <c r="K207" s="462" t="s">
        <v>1105</v>
      </c>
      <c r="L207" s="463">
        <v>1766.6401239067059</v>
      </c>
      <c r="M207" s="463">
        <v>8.9649650000000012</v>
      </c>
      <c r="N207" s="464">
        <v>15837.8668784193</v>
      </c>
      <c r="O207" s="465" t="s">
        <v>1290</v>
      </c>
      <c r="P207" s="431" t="s">
        <v>6711</v>
      </c>
    </row>
    <row r="208" spans="1:16" ht="13.5" hidden="1" customHeight="1" outlineLevel="3" x14ac:dyDescent="0.2">
      <c r="A208" s="233">
        <v>0</v>
      </c>
      <c r="B208" s="233">
        <v>4</v>
      </c>
      <c r="C208" s="233">
        <v>3</v>
      </c>
      <c r="D208" s="234">
        <v>8</v>
      </c>
      <c r="E208" s="234">
        <v>4</v>
      </c>
      <c r="G208" s="458" t="s">
        <v>41</v>
      </c>
      <c r="H208" s="459" t="s">
        <v>1238</v>
      </c>
      <c r="I208" s="460" t="s">
        <v>3505</v>
      </c>
      <c r="J208" s="461" t="s">
        <v>2988</v>
      </c>
      <c r="K208" s="462" t="s">
        <v>1105</v>
      </c>
      <c r="L208" s="463">
        <v>2008.6175291545187</v>
      </c>
      <c r="M208" s="463">
        <v>8.9649650000000012</v>
      </c>
      <c r="N208" s="464">
        <v>18007.1858472567</v>
      </c>
      <c r="O208" s="465" t="s">
        <v>1290</v>
      </c>
      <c r="P208" s="431" t="s">
        <v>6711</v>
      </c>
    </row>
    <row r="209" spans="1:16" ht="13.5" hidden="1" customHeight="1" outlineLevel="3" x14ac:dyDescent="0.2">
      <c r="A209" s="233">
        <v>0</v>
      </c>
      <c r="B209" s="233">
        <v>4</v>
      </c>
      <c r="C209" s="233">
        <v>3</v>
      </c>
      <c r="D209" s="234">
        <v>8</v>
      </c>
      <c r="E209" s="234">
        <v>5</v>
      </c>
      <c r="G209" s="458" t="s">
        <v>41</v>
      </c>
      <c r="H209" s="459" t="s">
        <v>1238</v>
      </c>
      <c r="I209" s="460" t="s">
        <v>3506</v>
      </c>
      <c r="J209" s="461" t="s">
        <v>2989</v>
      </c>
      <c r="K209" s="462" t="s">
        <v>1105</v>
      </c>
      <c r="L209" s="463">
        <v>2273.1521501457728</v>
      </c>
      <c r="M209" s="463">
        <v>8.4849650000000008</v>
      </c>
      <c r="N209" s="464">
        <v>19287.616433661598</v>
      </c>
      <c r="O209" s="465" t="s">
        <v>1290</v>
      </c>
      <c r="P209" s="431" t="s">
        <v>6711</v>
      </c>
    </row>
    <row r="210" spans="1:16" ht="13.5" hidden="1" customHeight="1" outlineLevel="3" x14ac:dyDescent="0.2">
      <c r="A210" s="233">
        <v>0</v>
      </c>
      <c r="B210" s="233">
        <v>4</v>
      </c>
      <c r="C210" s="233">
        <v>3</v>
      </c>
      <c r="D210" s="234">
        <v>8</v>
      </c>
      <c r="E210" s="234">
        <v>6</v>
      </c>
      <c r="G210" s="458" t="s">
        <v>41</v>
      </c>
      <c r="H210" s="459" t="s">
        <v>1238</v>
      </c>
      <c r="I210" s="460" t="s">
        <v>3507</v>
      </c>
      <c r="J210" s="461" t="s">
        <v>2990</v>
      </c>
      <c r="K210" s="462" t="s">
        <v>1105</v>
      </c>
      <c r="L210" s="463">
        <v>761.8186953352772</v>
      </c>
      <c r="M210" s="463">
        <v>8.4849650000000008</v>
      </c>
      <c r="N210" s="464">
        <v>6464.0049662654901</v>
      </c>
      <c r="O210" s="465" t="s">
        <v>1290</v>
      </c>
      <c r="P210" s="431" t="s">
        <v>6711</v>
      </c>
    </row>
    <row r="211" spans="1:16" ht="13.5" hidden="1" customHeight="1" outlineLevel="3" x14ac:dyDescent="0.2">
      <c r="A211" s="233">
        <v>0</v>
      </c>
      <c r="B211" s="233">
        <v>4</v>
      </c>
      <c r="C211" s="233">
        <v>3</v>
      </c>
      <c r="D211" s="234">
        <v>8</v>
      </c>
      <c r="E211" s="234">
        <v>7</v>
      </c>
      <c r="G211" s="458" t="s">
        <v>41</v>
      </c>
      <c r="H211" s="459" t="s">
        <v>1238</v>
      </c>
      <c r="I211" s="460" t="s">
        <v>3508</v>
      </c>
      <c r="J211" s="461" t="s">
        <v>2991</v>
      </c>
      <c r="K211" s="462" t="s">
        <v>1105</v>
      </c>
      <c r="L211" s="463">
        <v>2912.9568148688049</v>
      </c>
      <c r="M211" s="463">
        <v>8.4849650000000008</v>
      </c>
      <c r="N211" s="464">
        <v>24716.336620673301</v>
      </c>
      <c r="O211" s="465" t="s">
        <v>1290</v>
      </c>
      <c r="P211" s="431" t="s">
        <v>6711</v>
      </c>
    </row>
    <row r="212" spans="1:16" ht="13.5" hidden="1" customHeight="1" outlineLevel="3" x14ac:dyDescent="0.2">
      <c r="A212" s="233">
        <v>0</v>
      </c>
      <c r="B212" s="233">
        <v>4</v>
      </c>
      <c r="C212" s="233">
        <v>3</v>
      </c>
      <c r="D212" s="234">
        <v>8</v>
      </c>
      <c r="E212" s="234">
        <v>8</v>
      </c>
      <c r="G212" s="458" t="s">
        <v>41</v>
      </c>
      <c r="H212" s="459" t="s">
        <v>1238</v>
      </c>
      <c r="I212" s="460" t="s">
        <v>3509</v>
      </c>
      <c r="J212" s="461" t="s">
        <v>2992</v>
      </c>
      <c r="K212" s="462" t="s">
        <v>1105</v>
      </c>
      <c r="L212" s="463">
        <v>13857.307762390672</v>
      </c>
      <c r="M212" s="463">
        <v>8.4849650000000008</v>
      </c>
      <c r="N212" s="464">
        <v>117578.77135811299</v>
      </c>
      <c r="O212" s="465" t="s">
        <v>1290</v>
      </c>
      <c r="P212" s="431" t="s">
        <v>6711</v>
      </c>
    </row>
    <row r="213" spans="1:16" ht="13.5" hidden="1" customHeight="1" outlineLevel="2" x14ac:dyDescent="0.2">
      <c r="A213" s="233">
        <v>0</v>
      </c>
      <c r="B213" s="233">
        <v>4</v>
      </c>
      <c r="C213" s="233">
        <v>3</v>
      </c>
      <c r="D213" s="234">
        <v>9</v>
      </c>
      <c r="E213" s="234">
        <v>0</v>
      </c>
      <c r="G213" s="450"/>
      <c r="H213" s="451" t="s">
        <v>1237</v>
      </c>
      <c r="I213" s="452" t="s">
        <v>3510</v>
      </c>
      <c r="J213" s="453" t="s">
        <v>2204</v>
      </c>
      <c r="K213" s="454"/>
      <c r="L213" s="455"/>
      <c r="M213" s="455"/>
      <c r="N213" s="456">
        <v>217499.84824458501</v>
      </c>
      <c r="O213" s="457">
        <v>12.9853213970535</v>
      </c>
      <c r="P213" s="430"/>
    </row>
    <row r="214" spans="1:16" ht="13.5" hidden="1" customHeight="1" outlineLevel="3" x14ac:dyDescent="0.2">
      <c r="A214" s="233">
        <v>0</v>
      </c>
      <c r="B214" s="233">
        <v>4</v>
      </c>
      <c r="C214" s="233">
        <v>3</v>
      </c>
      <c r="D214" s="234">
        <v>9</v>
      </c>
      <c r="E214" s="234">
        <v>1</v>
      </c>
      <c r="G214" s="458" t="s">
        <v>41</v>
      </c>
      <c r="H214" s="459" t="s">
        <v>1238</v>
      </c>
      <c r="I214" s="460" t="s">
        <v>3511</v>
      </c>
      <c r="J214" s="461" t="s">
        <v>2985</v>
      </c>
      <c r="K214" s="462" t="s">
        <v>1105</v>
      </c>
      <c r="L214" s="463">
        <v>142.52059037900884</v>
      </c>
      <c r="M214" s="463">
        <v>8.9649650000000012</v>
      </c>
      <c r="N214" s="464">
        <v>1277.6921045271499</v>
      </c>
      <c r="O214" s="465" t="s">
        <v>1290</v>
      </c>
      <c r="P214" s="431" t="s">
        <v>6711</v>
      </c>
    </row>
    <row r="215" spans="1:16" ht="13.5" hidden="1" customHeight="1" outlineLevel="3" x14ac:dyDescent="0.2">
      <c r="A215" s="233">
        <v>0</v>
      </c>
      <c r="B215" s="233">
        <v>4</v>
      </c>
      <c r="C215" s="233">
        <v>3</v>
      </c>
      <c r="D215" s="234">
        <v>9</v>
      </c>
      <c r="E215" s="234">
        <v>2</v>
      </c>
      <c r="G215" s="458" t="s">
        <v>41</v>
      </c>
      <c r="H215" s="459" t="s">
        <v>1238</v>
      </c>
      <c r="I215" s="460" t="s">
        <v>3512</v>
      </c>
      <c r="J215" s="461" t="s">
        <v>2986</v>
      </c>
      <c r="K215" s="462" t="s">
        <v>1105</v>
      </c>
      <c r="L215" s="463">
        <v>1598.486333819242</v>
      </c>
      <c r="M215" s="463">
        <v>8.9649650000000012</v>
      </c>
      <c r="N215" s="464">
        <v>14330.374035667801</v>
      </c>
      <c r="O215" s="465" t="s">
        <v>1290</v>
      </c>
      <c r="P215" s="431" t="s">
        <v>6711</v>
      </c>
    </row>
    <row r="216" spans="1:16" ht="13.5" hidden="1" customHeight="1" outlineLevel="3" x14ac:dyDescent="0.2">
      <c r="A216" s="233">
        <v>0</v>
      </c>
      <c r="B216" s="233">
        <v>4</v>
      </c>
      <c r="C216" s="233">
        <v>3</v>
      </c>
      <c r="D216" s="234">
        <v>9</v>
      </c>
      <c r="E216" s="234">
        <v>3</v>
      </c>
      <c r="G216" s="458" t="s">
        <v>41</v>
      </c>
      <c r="H216" s="459" t="s">
        <v>1238</v>
      </c>
      <c r="I216" s="460" t="s">
        <v>3513</v>
      </c>
      <c r="J216" s="461" t="s">
        <v>2987</v>
      </c>
      <c r="K216" s="462" t="s">
        <v>1105</v>
      </c>
      <c r="L216" s="463">
        <v>1766.6401239067059</v>
      </c>
      <c r="M216" s="463">
        <v>8.9649650000000012</v>
      </c>
      <c r="N216" s="464">
        <v>15837.8668784193</v>
      </c>
      <c r="O216" s="465" t="s">
        <v>1290</v>
      </c>
      <c r="P216" s="431" t="s">
        <v>6711</v>
      </c>
    </row>
    <row r="217" spans="1:16" ht="13.5" hidden="1" customHeight="1" outlineLevel="3" x14ac:dyDescent="0.2">
      <c r="A217" s="233">
        <v>0</v>
      </c>
      <c r="B217" s="233">
        <v>4</v>
      </c>
      <c r="C217" s="233">
        <v>3</v>
      </c>
      <c r="D217" s="234">
        <v>9</v>
      </c>
      <c r="E217" s="234">
        <v>4</v>
      </c>
      <c r="G217" s="458" t="s">
        <v>41</v>
      </c>
      <c r="H217" s="459" t="s">
        <v>1238</v>
      </c>
      <c r="I217" s="460" t="s">
        <v>3514</v>
      </c>
      <c r="J217" s="461" t="s">
        <v>2988</v>
      </c>
      <c r="K217" s="462" t="s">
        <v>1105</v>
      </c>
      <c r="L217" s="463">
        <v>2008.6175291545187</v>
      </c>
      <c r="M217" s="463">
        <v>8.9649650000000012</v>
      </c>
      <c r="N217" s="464">
        <v>18007.1858472567</v>
      </c>
      <c r="O217" s="465" t="s">
        <v>1290</v>
      </c>
      <c r="P217" s="431" t="s">
        <v>6711</v>
      </c>
    </row>
    <row r="218" spans="1:16" ht="13.5" hidden="1" customHeight="1" outlineLevel="3" x14ac:dyDescent="0.2">
      <c r="A218" s="233">
        <v>0</v>
      </c>
      <c r="B218" s="233">
        <v>4</v>
      </c>
      <c r="C218" s="233">
        <v>3</v>
      </c>
      <c r="D218" s="234">
        <v>9</v>
      </c>
      <c r="E218" s="234">
        <v>5</v>
      </c>
      <c r="G218" s="458" t="s">
        <v>41</v>
      </c>
      <c r="H218" s="459" t="s">
        <v>1238</v>
      </c>
      <c r="I218" s="460" t="s">
        <v>3515</v>
      </c>
      <c r="J218" s="461" t="s">
        <v>2989</v>
      </c>
      <c r="K218" s="462" t="s">
        <v>1105</v>
      </c>
      <c r="L218" s="463">
        <v>2273.1521501457728</v>
      </c>
      <c r="M218" s="463">
        <v>8.4849650000000008</v>
      </c>
      <c r="N218" s="464">
        <v>19287.616433661598</v>
      </c>
      <c r="O218" s="465" t="s">
        <v>1290</v>
      </c>
      <c r="P218" s="431" t="s">
        <v>6711</v>
      </c>
    </row>
    <row r="219" spans="1:16" ht="13.5" hidden="1" customHeight="1" outlineLevel="3" x14ac:dyDescent="0.2">
      <c r="A219" s="233">
        <v>0</v>
      </c>
      <c r="B219" s="233">
        <v>4</v>
      </c>
      <c r="C219" s="233">
        <v>3</v>
      </c>
      <c r="D219" s="234">
        <v>9</v>
      </c>
      <c r="E219" s="234">
        <v>6</v>
      </c>
      <c r="G219" s="458" t="s">
        <v>41</v>
      </c>
      <c r="H219" s="459" t="s">
        <v>1238</v>
      </c>
      <c r="I219" s="460" t="s">
        <v>3516</v>
      </c>
      <c r="J219" s="461" t="s">
        <v>2990</v>
      </c>
      <c r="K219" s="462" t="s">
        <v>1105</v>
      </c>
      <c r="L219" s="463">
        <v>761.8186953352772</v>
      </c>
      <c r="M219" s="463">
        <v>8.4849650000000008</v>
      </c>
      <c r="N219" s="464">
        <v>6464.0049662654901</v>
      </c>
      <c r="O219" s="465" t="s">
        <v>1290</v>
      </c>
      <c r="P219" s="431" t="s">
        <v>6711</v>
      </c>
    </row>
    <row r="220" spans="1:16" ht="13.5" hidden="1" customHeight="1" outlineLevel="3" x14ac:dyDescent="0.2">
      <c r="A220" s="233">
        <v>0</v>
      </c>
      <c r="B220" s="233">
        <v>4</v>
      </c>
      <c r="C220" s="233">
        <v>3</v>
      </c>
      <c r="D220" s="234">
        <v>9</v>
      </c>
      <c r="E220" s="234">
        <v>7</v>
      </c>
      <c r="G220" s="458" t="s">
        <v>41</v>
      </c>
      <c r="H220" s="459" t="s">
        <v>1238</v>
      </c>
      <c r="I220" s="460" t="s">
        <v>3517</v>
      </c>
      <c r="J220" s="461" t="s">
        <v>2991</v>
      </c>
      <c r="K220" s="462" t="s">
        <v>1105</v>
      </c>
      <c r="L220" s="463">
        <v>2912.9568148688049</v>
      </c>
      <c r="M220" s="463">
        <v>8.4849650000000008</v>
      </c>
      <c r="N220" s="464">
        <v>24716.336620673301</v>
      </c>
      <c r="O220" s="465" t="s">
        <v>1290</v>
      </c>
      <c r="P220" s="431" t="s">
        <v>6711</v>
      </c>
    </row>
    <row r="221" spans="1:16" ht="13.5" hidden="1" customHeight="1" outlineLevel="3" x14ac:dyDescent="0.2">
      <c r="A221" s="233">
        <v>0</v>
      </c>
      <c r="B221" s="233">
        <v>4</v>
      </c>
      <c r="C221" s="233">
        <v>3</v>
      </c>
      <c r="D221" s="234">
        <v>9</v>
      </c>
      <c r="E221" s="234">
        <v>8</v>
      </c>
      <c r="G221" s="458" t="s">
        <v>41</v>
      </c>
      <c r="H221" s="459" t="s">
        <v>1238</v>
      </c>
      <c r="I221" s="460" t="s">
        <v>3518</v>
      </c>
      <c r="J221" s="461" t="s">
        <v>2992</v>
      </c>
      <c r="K221" s="462" t="s">
        <v>1105</v>
      </c>
      <c r="L221" s="463">
        <v>13857.307762390672</v>
      </c>
      <c r="M221" s="463">
        <v>8.4849650000000008</v>
      </c>
      <c r="N221" s="464">
        <v>117578.77135811299</v>
      </c>
      <c r="O221" s="465" t="s">
        <v>1290</v>
      </c>
      <c r="P221" s="431" t="s">
        <v>6711</v>
      </c>
    </row>
    <row r="222" spans="1:16" ht="13.5" hidden="1" customHeight="1" outlineLevel="2" x14ac:dyDescent="0.2">
      <c r="A222" s="233">
        <v>0</v>
      </c>
      <c r="B222" s="233">
        <v>4</v>
      </c>
      <c r="C222" s="233">
        <v>3</v>
      </c>
      <c r="D222" s="234">
        <v>10</v>
      </c>
      <c r="E222" s="234">
        <v>0</v>
      </c>
      <c r="G222" s="450"/>
      <c r="H222" s="451" t="s">
        <v>1237</v>
      </c>
      <c r="I222" s="452" t="s">
        <v>3519</v>
      </c>
      <c r="J222" s="453" t="s">
        <v>2205</v>
      </c>
      <c r="K222" s="454"/>
      <c r="L222" s="455"/>
      <c r="M222" s="455"/>
      <c r="N222" s="456">
        <v>231024.06723086501</v>
      </c>
      <c r="O222" s="457">
        <v>13.7927533635507</v>
      </c>
      <c r="P222" s="430"/>
    </row>
    <row r="223" spans="1:16" ht="13.5" hidden="1" customHeight="1" outlineLevel="3" x14ac:dyDescent="0.2">
      <c r="A223" s="233">
        <v>0</v>
      </c>
      <c r="B223" s="233">
        <v>4</v>
      </c>
      <c r="C223" s="233">
        <v>3</v>
      </c>
      <c r="D223" s="234">
        <v>10</v>
      </c>
      <c r="E223" s="234">
        <v>1</v>
      </c>
      <c r="G223" s="458" t="s">
        <v>41</v>
      </c>
      <c r="H223" s="459" t="s">
        <v>1238</v>
      </c>
      <c r="I223" s="460" t="s">
        <v>3520</v>
      </c>
      <c r="J223" s="461" t="s">
        <v>2985</v>
      </c>
      <c r="K223" s="462" t="s">
        <v>1105</v>
      </c>
      <c r="L223" s="463">
        <v>151.38257207644975</v>
      </c>
      <c r="M223" s="463">
        <v>8.9649650000000012</v>
      </c>
      <c r="N223" s="464">
        <v>1357.1394602753501</v>
      </c>
      <c r="O223" s="465" t="s">
        <v>1290</v>
      </c>
      <c r="P223" s="431" t="s">
        <v>6711</v>
      </c>
    </row>
    <row r="224" spans="1:16" ht="13.5" hidden="1" customHeight="1" outlineLevel="3" x14ac:dyDescent="0.2">
      <c r="A224" s="233">
        <v>0</v>
      </c>
      <c r="B224" s="233">
        <v>4</v>
      </c>
      <c r="C224" s="233">
        <v>3</v>
      </c>
      <c r="D224" s="234">
        <v>10</v>
      </c>
      <c r="E224" s="234">
        <v>2</v>
      </c>
      <c r="G224" s="458" t="s">
        <v>41</v>
      </c>
      <c r="H224" s="459" t="s">
        <v>1238</v>
      </c>
      <c r="I224" s="460" t="s">
        <v>3521</v>
      </c>
      <c r="J224" s="461" t="s">
        <v>2986</v>
      </c>
      <c r="K224" s="462" t="s">
        <v>1105</v>
      </c>
      <c r="L224" s="463">
        <v>1697.8807904114026</v>
      </c>
      <c r="M224" s="463">
        <v>8.9649650000000012</v>
      </c>
      <c r="N224" s="464">
        <v>15221.4418602106</v>
      </c>
      <c r="O224" s="465" t="s">
        <v>1290</v>
      </c>
      <c r="P224" s="431" t="s">
        <v>6711</v>
      </c>
    </row>
    <row r="225" spans="1:16" ht="13.5" hidden="1" customHeight="1" outlineLevel="3" x14ac:dyDescent="0.2">
      <c r="A225" s="233">
        <v>0</v>
      </c>
      <c r="B225" s="233">
        <v>4</v>
      </c>
      <c r="C225" s="233">
        <v>3</v>
      </c>
      <c r="D225" s="234">
        <v>10</v>
      </c>
      <c r="E225" s="234">
        <v>3</v>
      </c>
      <c r="G225" s="458" t="s">
        <v>41</v>
      </c>
      <c r="H225" s="459" t="s">
        <v>1238</v>
      </c>
      <c r="I225" s="460" t="s">
        <v>3522</v>
      </c>
      <c r="J225" s="461" t="s">
        <v>2987</v>
      </c>
      <c r="K225" s="462" t="s">
        <v>1105</v>
      </c>
      <c r="L225" s="463">
        <v>1876.4904437965665</v>
      </c>
      <c r="M225" s="463">
        <v>8.9649650000000012</v>
      </c>
      <c r="N225" s="464">
        <v>16822.671151470699</v>
      </c>
      <c r="O225" s="465" t="s">
        <v>1290</v>
      </c>
      <c r="P225" s="431" t="s">
        <v>6711</v>
      </c>
    </row>
    <row r="226" spans="1:16" ht="13.5" hidden="1" customHeight="1" outlineLevel="3" x14ac:dyDescent="0.2">
      <c r="A226" s="233">
        <v>0</v>
      </c>
      <c r="B226" s="233">
        <v>4</v>
      </c>
      <c r="C226" s="233">
        <v>3</v>
      </c>
      <c r="D226" s="234">
        <v>10</v>
      </c>
      <c r="E226" s="234">
        <v>4</v>
      </c>
      <c r="G226" s="458" t="s">
        <v>41</v>
      </c>
      <c r="H226" s="459" t="s">
        <v>1238</v>
      </c>
      <c r="I226" s="460" t="s">
        <v>3523</v>
      </c>
      <c r="J226" s="461" t="s">
        <v>2988</v>
      </c>
      <c r="K226" s="462" t="s">
        <v>1105</v>
      </c>
      <c r="L226" s="463">
        <v>2133.5140913508258</v>
      </c>
      <c r="M226" s="463">
        <v>8.9649650000000012</v>
      </c>
      <c r="N226" s="464">
        <v>19126.879155966999</v>
      </c>
      <c r="O226" s="465" t="s">
        <v>1290</v>
      </c>
      <c r="P226" s="431" t="s">
        <v>6711</v>
      </c>
    </row>
    <row r="227" spans="1:16" ht="13.5" hidden="1" customHeight="1" outlineLevel="3" x14ac:dyDescent="0.2">
      <c r="A227" s="233">
        <v>0</v>
      </c>
      <c r="B227" s="233">
        <v>4</v>
      </c>
      <c r="C227" s="233">
        <v>3</v>
      </c>
      <c r="D227" s="234">
        <v>10</v>
      </c>
      <c r="E227" s="234">
        <v>5</v>
      </c>
      <c r="G227" s="458" t="s">
        <v>41</v>
      </c>
      <c r="H227" s="459" t="s">
        <v>1238</v>
      </c>
      <c r="I227" s="460" t="s">
        <v>3524</v>
      </c>
      <c r="J227" s="461" t="s">
        <v>2989</v>
      </c>
      <c r="K227" s="462" t="s">
        <v>1105</v>
      </c>
      <c r="L227" s="463">
        <v>2414.4975704567541</v>
      </c>
      <c r="M227" s="463">
        <v>8.4849650000000008</v>
      </c>
      <c r="N227" s="464">
        <v>20486.927377910601</v>
      </c>
      <c r="O227" s="465" t="s">
        <v>1290</v>
      </c>
      <c r="P227" s="431" t="s">
        <v>6711</v>
      </c>
    </row>
    <row r="228" spans="1:16" ht="13.5" hidden="1" customHeight="1" outlineLevel="3" x14ac:dyDescent="0.2">
      <c r="A228" s="233">
        <v>0</v>
      </c>
      <c r="B228" s="233">
        <v>4</v>
      </c>
      <c r="C228" s="233">
        <v>3</v>
      </c>
      <c r="D228" s="234">
        <v>10</v>
      </c>
      <c r="E228" s="234">
        <v>6</v>
      </c>
      <c r="G228" s="458" t="s">
        <v>41</v>
      </c>
      <c r="H228" s="459" t="s">
        <v>1238</v>
      </c>
      <c r="I228" s="460" t="s">
        <v>3525</v>
      </c>
      <c r="J228" s="461" t="s">
        <v>2990</v>
      </c>
      <c r="K228" s="462" t="s">
        <v>1105</v>
      </c>
      <c r="L228" s="463">
        <v>809.18885649497906</v>
      </c>
      <c r="M228" s="463">
        <v>8.4849650000000008</v>
      </c>
      <c r="N228" s="464">
        <v>6865.9391257499201</v>
      </c>
      <c r="O228" s="465" t="s">
        <v>1290</v>
      </c>
      <c r="P228" s="431" t="s">
        <v>6711</v>
      </c>
    </row>
    <row r="229" spans="1:16" ht="13.5" hidden="1" customHeight="1" outlineLevel="3" x14ac:dyDescent="0.2">
      <c r="A229" s="233">
        <v>0</v>
      </c>
      <c r="B229" s="233">
        <v>4</v>
      </c>
      <c r="C229" s="233">
        <v>3</v>
      </c>
      <c r="D229" s="234">
        <v>10</v>
      </c>
      <c r="E229" s="234">
        <v>7</v>
      </c>
      <c r="G229" s="458" t="s">
        <v>41</v>
      </c>
      <c r="H229" s="459" t="s">
        <v>1238</v>
      </c>
      <c r="I229" s="460" t="s">
        <v>3526</v>
      </c>
      <c r="J229" s="461" t="s">
        <v>2991</v>
      </c>
      <c r="K229" s="462" t="s">
        <v>1105</v>
      </c>
      <c r="L229" s="463">
        <v>3094.0855199222547</v>
      </c>
      <c r="M229" s="463">
        <v>8.4849650000000008</v>
      </c>
      <c r="N229" s="464">
        <v>26253.207343547099</v>
      </c>
      <c r="O229" s="465" t="s">
        <v>1290</v>
      </c>
      <c r="P229" s="431" t="s">
        <v>6711</v>
      </c>
    </row>
    <row r="230" spans="1:16" ht="13.5" hidden="1" customHeight="1" outlineLevel="3" x14ac:dyDescent="0.2">
      <c r="A230" s="233">
        <v>0</v>
      </c>
      <c r="B230" s="233">
        <v>4</v>
      </c>
      <c r="C230" s="233">
        <v>3</v>
      </c>
      <c r="D230" s="234">
        <v>10</v>
      </c>
      <c r="E230" s="234">
        <v>8</v>
      </c>
      <c r="G230" s="458" t="s">
        <v>41</v>
      </c>
      <c r="H230" s="459" t="s">
        <v>1238</v>
      </c>
      <c r="I230" s="460" t="s">
        <v>3527</v>
      </c>
      <c r="J230" s="461" t="s">
        <v>2992</v>
      </c>
      <c r="K230" s="462" t="s">
        <v>1105</v>
      </c>
      <c r="L230" s="463">
        <v>14718.960155490769</v>
      </c>
      <c r="M230" s="463">
        <v>8.4849650000000008</v>
      </c>
      <c r="N230" s="464">
        <v>124889.861755734</v>
      </c>
      <c r="O230" s="465" t="s">
        <v>1290</v>
      </c>
      <c r="P230" s="431" t="s">
        <v>6711</v>
      </c>
    </row>
    <row r="231" spans="1:16" ht="13.5" hidden="1" customHeight="1" outlineLevel="2" x14ac:dyDescent="0.2">
      <c r="A231" s="233">
        <v>0</v>
      </c>
      <c r="B231" s="233">
        <v>4</v>
      </c>
      <c r="C231" s="233">
        <v>3</v>
      </c>
      <c r="D231" s="234">
        <v>11</v>
      </c>
      <c r="E231" s="234">
        <v>0</v>
      </c>
      <c r="G231" s="450"/>
      <c r="H231" s="451" t="s">
        <v>1237</v>
      </c>
      <c r="I231" s="452" t="s">
        <v>3528</v>
      </c>
      <c r="J231" s="453" t="s">
        <v>2206</v>
      </c>
      <c r="K231" s="454"/>
      <c r="L231" s="455"/>
      <c r="M231" s="455"/>
      <c r="N231" s="456">
        <v>1409224.4773236699</v>
      </c>
      <c r="O231" s="457">
        <v>84.134462190817402</v>
      </c>
      <c r="P231" s="430"/>
    </row>
    <row r="232" spans="1:16" ht="13.5" hidden="1" customHeight="1" outlineLevel="3" x14ac:dyDescent="0.2">
      <c r="A232" s="233">
        <v>0</v>
      </c>
      <c r="B232" s="233">
        <v>4</v>
      </c>
      <c r="C232" s="233">
        <v>3</v>
      </c>
      <c r="D232" s="234">
        <v>11</v>
      </c>
      <c r="E232" s="234">
        <v>1</v>
      </c>
      <c r="G232" s="458" t="s">
        <v>41</v>
      </c>
      <c r="H232" s="459" t="s">
        <v>1238</v>
      </c>
      <c r="I232" s="460" t="s">
        <v>3529</v>
      </c>
      <c r="J232" s="461" t="s">
        <v>2985</v>
      </c>
      <c r="K232" s="462" t="s">
        <v>1105</v>
      </c>
      <c r="L232" s="463">
        <v>923.41905571752568</v>
      </c>
      <c r="M232" s="463">
        <v>8.9649650000000012</v>
      </c>
      <c r="N232" s="464">
        <v>8278.4195148406707</v>
      </c>
      <c r="O232" s="465" t="s">
        <v>1290</v>
      </c>
      <c r="P232" s="431" t="s">
        <v>6711</v>
      </c>
    </row>
    <row r="233" spans="1:16" ht="13.5" hidden="1" customHeight="1" outlineLevel="3" x14ac:dyDescent="0.2">
      <c r="A233" s="233">
        <v>0</v>
      </c>
      <c r="B233" s="233">
        <v>4</v>
      </c>
      <c r="C233" s="233">
        <v>3</v>
      </c>
      <c r="D233" s="234">
        <v>11</v>
      </c>
      <c r="E233" s="234">
        <v>2</v>
      </c>
      <c r="G233" s="458" t="s">
        <v>41</v>
      </c>
      <c r="H233" s="459" t="s">
        <v>1238</v>
      </c>
      <c r="I233" s="460" t="s">
        <v>3530</v>
      </c>
      <c r="J233" s="461" t="s">
        <v>2986</v>
      </c>
      <c r="K233" s="462" t="s">
        <v>1105</v>
      </c>
      <c r="L233" s="463">
        <v>10356.908689666339</v>
      </c>
      <c r="M233" s="463">
        <v>8.9649650000000012</v>
      </c>
      <c r="N233" s="464">
        <v>92849.323911054598</v>
      </c>
      <c r="O233" s="465" t="s">
        <v>1290</v>
      </c>
      <c r="P233" s="431" t="s">
        <v>6711</v>
      </c>
    </row>
    <row r="234" spans="1:16" ht="13.5" hidden="1" customHeight="1" outlineLevel="3" x14ac:dyDescent="0.2">
      <c r="A234" s="233">
        <v>0</v>
      </c>
      <c r="B234" s="233">
        <v>4</v>
      </c>
      <c r="C234" s="233">
        <v>3</v>
      </c>
      <c r="D234" s="234">
        <v>11</v>
      </c>
      <c r="E234" s="234">
        <v>3</v>
      </c>
      <c r="G234" s="458" t="s">
        <v>41</v>
      </c>
      <c r="H234" s="459" t="s">
        <v>1238</v>
      </c>
      <c r="I234" s="460" t="s">
        <v>3531</v>
      </c>
      <c r="J234" s="461" t="s">
        <v>2987</v>
      </c>
      <c r="K234" s="462" t="s">
        <v>1105</v>
      </c>
      <c r="L234" s="463">
        <v>11446.41030936184</v>
      </c>
      <c r="M234" s="463">
        <v>8.9649650000000012</v>
      </c>
      <c r="N234" s="464">
        <v>102616.667799068</v>
      </c>
      <c r="O234" s="465" t="s">
        <v>1290</v>
      </c>
      <c r="P234" s="431" t="s">
        <v>6711</v>
      </c>
    </row>
    <row r="235" spans="1:16" ht="13.5" hidden="1" customHeight="1" outlineLevel="3" x14ac:dyDescent="0.2">
      <c r="A235" s="233">
        <v>0</v>
      </c>
      <c r="B235" s="233">
        <v>4</v>
      </c>
      <c r="C235" s="233">
        <v>3</v>
      </c>
      <c r="D235" s="234">
        <v>11</v>
      </c>
      <c r="E235" s="234">
        <v>4</v>
      </c>
      <c r="G235" s="458" t="s">
        <v>41</v>
      </c>
      <c r="H235" s="459" t="s">
        <v>1238</v>
      </c>
      <c r="I235" s="460" t="s">
        <v>3532</v>
      </c>
      <c r="J235" s="461" t="s">
        <v>2988</v>
      </c>
      <c r="K235" s="462" t="s">
        <v>1105</v>
      </c>
      <c r="L235" s="463">
        <v>13014.229713313896</v>
      </c>
      <c r="M235" s="463">
        <v>8.9649650000000012</v>
      </c>
      <c r="N235" s="464">
        <v>116672.11388181899</v>
      </c>
      <c r="O235" s="465" t="s">
        <v>1290</v>
      </c>
      <c r="P235" s="431" t="s">
        <v>6711</v>
      </c>
    </row>
    <row r="236" spans="1:16" ht="13.5" hidden="1" customHeight="1" outlineLevel="3" x14ac:dyDescent="0.2">
      <c r="A236" s="233">
        <v>0</v>
      </c>
      <c r="B236" s="233">
        <v>4</v>
      </c>
      <c r="C236" s="233">
        <v>3</v>
      </c>
      <c r="D236" s="234">
        <v>11</v>
      </c>
      <c r="E236" s="234">
        <v>5</v>
      </c>
      <c r="G236" s="458" t="s">
        <v>41</v>
      </c>
      <c r="H236" s="459" t="s">
        <v>1238</v>
      </c>
      <c r="I236" s="460" t="s">
        <v>3533</v>
      </c>
      <c r="J236" s="461" t="s">
        <v>2989</v>
      </c>
      <c r="K236" s="462" t="s">
        <v>1105</v>
      </c>
      <c r="L236" s="463">
        <v>14728.201773566565</v>
      </c>
      <c r="M236" s="463">
        <v>8.4849650000000008</v>
      </c>
      <c r="N236" s="464">
        <v>124968.27656165</v>
      </c>
      <c r="O236" s="465" t="s">
        <v>1290</v>
      </c>
      <c r="P236" s="431" t="s">
        <v>6711</v>
      </c>
    </row>
    <row r="237" spans="1:16" ht="13.5" hidden="1" customHeight="1" outlineLevel="3" x14ac:dyDescent="0.2">
      <c r="A237" s="233">
        <v>0</v>
      </c>
      <c r="B237" s="233">
        <v>4</v>
      </c>
      <c r="C237" s="233">
        <v>3</v>
      </c>
      <c r="D237" s="234">
        <v>11</v>
      </c>
      <c r="E237" s="234">
        <v>6</v>
      </c>
      <c r="G237" s="458" t="s">
        <v>41</v>
      </c>
      <c r="H237" s="459" t="s">
        <v>1238</v>
      </c>
      <c r="I237" s="460" t="s">
        <v>3534</v>
      </c>
      <c r="J237" s="461" t="s">
        <v>2990</v>
      </c>
      <c r="K237" s="462" t="s">
        <v>1105</v>
      </c>
      <c r="L237" s="463">
        <v>4935.9738014253335</v>
      </c>
      <c r="M237" s="463">
        <v>8.4849650000000008</v>
      </c>
      <c r="N237" s="464">
        <v>41881.564946010898</v>
      </c>
      <c r="O237" s="465" t="s">
        <v>1290</v>
      </c>
      <c r="P237" s="431" t="s">
        <v>6711</v>
      </c>
    </row>
    <row r="238" spans="1:16" ht="13.5" hidden="1" customHeight="1" outlineLevel="3" x14ac:dyDescent="0.2">
      <c r="A238" s="233">
        <v>0</v>
      </c>
      <c r="B238" s="233">
        <v>4</v>
      </c>
      <c r="C238" s="233">
        <v>3</v>
      </c>
      <c r="D238" s="234">
        <v>11</v>
      </c>
      <c r="E238" s="234">
        <v>7</v>
      </c>
      <c r="G238" s="458" t="s">
        <v>41</v>
      </c>
      <c r="H238" s="459" t="s">
        <v>1238</v>
      </c>
      <c r="I238" s="460" t="s">
        <v>3535</v>
      </c>
      <c r="J238" s="461" t="s">
        <v>2991</v>
      </c>
      <c r="K238" s="462" t="s">
        <v>1105</v>
      </c>
      <c r="L238" s="463">
        <v>18873.622570456751</v>
      </c>
      <c r="M238" s="463">
        <v>8.4849650000000008</v>
      </c>
      <c r="N238" s="464">
        <v>160142.02693353599</v>
      </c>
      <c r="O238" s="465" t="s">
        <v>1290</v>
      </c>
      <c r="P238" s="431" t="s">
        <v>6711</v>
      </c>
    </row>
    <row r="239" spans="1:16" ht="13.5" hidden="1" customHeight="1" outlineLevel="3" x14ac:dyDescent="0.2">
      <c r="A239" s="233">
        <v>0</v>
      </c>
      <c r="B239" s="233">
        <v>4</v>
      </c>
      <c r="C239" s="233">
        <v>3</v>
      </c>
      <c r="D239" s="234">
        <v>11</v>
      </c>
      <c r="E239" s="234">
        <v>8</v>
      </c>
      <c r="G239" s="458" t="s">
        <v>41</v>
      </c>
      <c r="H239" s="459" t="s">
        <v>1238</v>
      </c>
      <c r="I239" s="460" t="s">
        <v>3536</v>
      </c>
      <c r="J239" s="461" t="s">
        <v>2992</v>
      </c>
      <c r="K239" s="462" t="s">
        <v>1105</v>
      </c>
      <c r="L239" s="463">
        <v>89784.234086491706</v>
      </c>
      <c r="M239" s="463">
        <v>8.4849650000000008</v>
      </c>
      <c r="N239" s="464">
        <v>761816.08377568901</v>
      </c>
      <c r="O239" s="465" t="s">
        <v>1290</v>
      </c>
      <c r="P239" s="431" t="s">
        <v>6711</v>
      </c>
    </row>
    <row r="240" spans="1:16" ht="13.5" hidden="1" customHeight="1" outlineLevel="2" x14ac:dyDescent="0.2">
      <c r="A240" s="233">
        <v>0</v>
      </c>
      <c r="B240" s="233">
        <v>4</v>
      </c>
      <c r="C240" s="233">
        <v>3</v>
      </c>
      <c r="D240" s="234">
        <v>12</v>
      </c>
      <c r="E240" s="234">
        <v>0</v>
      </c>
      <c r="G240" s="450"/>
      <c r="H240" s="451" t="s">
        <v>1237</v>
      </c>
      <c r="I240" s="452" t="s">
        <v>3537</v>
      </c>
      <c r="J240" s="453" t="s">
        <v>2207</v>
      </c>
      <c r="K240" s="454"/>
      <c r="L240" s="455"/>
      <c r="M240" s="455"/>
      <c r="N240" s="456">
        <v>2546701.9136381601</v>
      </c>
      <c r="O240" s="457">
        <v>152.04490080330899</v>
      </c>
      <c r="P240" s="430"/>
    </row>
    <row r="241" spans="1:16" ht="13.5" hidden="1" customHeight="1" outlineLevel="3" x14ac:dyDescent="0.2">
      <c r="A241" s="233">
        <v>0</v>
      </c>
      <c r="B241" s="233">
        <v>4</v>
      </c>
      <c r="C241" s="233">
        <v>3</v>
      </c>
      <c r="D241" s="234">
        <v>12</v>
      </c>
      <c r="E241" s="234">
        <v>1</v>
      </c>
      <c r="G241" s="458" t="s">
        <v>41</v>
      </c>
      <c r="H241" s="459" t="s">
        <v>1238</v>
      </c>
      <c r="I241" s="460" t="s">
        <v>3538</v>
      </c>
      <c r="J241" s="461" t="s">
        <v>2985</v>
      </c>
      <c r="K241" s="462" t="s">
        <v>1105</v>
      </c>
      <c r="L241" s="463">
        <v>1668.7710965338531</v>
      </c>
      <c r="M241" s="463">
        <v>8.9649650000000012</v>
      </c>
      <c r="N241" s="464">
        <v>14960.4744734376</v>
      </c>
      <c r="O241" s="465" t="s">
        <v>1290</v>
      </c>
      <c r="P241" s="431" t="s">
        <v>6711</v>
      </c>
    </row>
    <row r="242" spans="1:16" ht="13.5" hidden="1" customHeight="1" outlineLevel="3" x14ac:dyDescent="0.2">
      <c r="A242" s="233">
        <v>0</v>
      </c>
      <c r="B242" s="233">
        <v>4</v>
      </c>
      <c r="C242" s="233">
        <v>3</v>
      </c>
      <c r="D242" s="234">
        <v>12</v>
      </c>
      <c r="E242" s="234">
        <v>2</v>
      </c>
      <c r="G242" s="458" t="s">
        <v>41</v>
      </c>
      <c r="H242" s="459" t="s">
        <v>1238</v>
      </c>
      <c r="I242" s="460" t="s">
        <v>3539</v>
      </c>
      <c r="J242" s="461" t="s">
        <v>2986</v>
      </c>
      <c r="K242" s="462" t="s">
        <v>1105</v>
      </c>
      <c r="L242" s="463">
        <v>18716.648485584705</v>
      </c>
      <c r="M242" s="463">
        <v>8.9649650000000012</v>
      </c>
      <c r="N242" s="464">
        <v>167794.09859057001</v>
      </c>
      <c r="O242" s="465" t="s">
        <v>1290</v>
      </c>
      <c r="P242" s="431" t="s">
        <v>6711</v>
      </c>
    </row>
    <row r="243" spans="1:16" ht="13.5" hidden="1" customHeight="1" outlineLevel="3" x14ac:dyDescent="0.2">
      <c r="A243" s="233">
        <v>0</v>
      </c>
      <c r="B243" s="233">
        <v>4</v>
      </c>
      <c r="C243" s="233">
        <v>3</v>
      </c>
      <c r="D243" s="234">
        <v>12</v>
      </c>
      <c r="E243" s="234">
        <v>3</v>
      </c>
      <c r="G243" s="458" t="s">
        <v>41</v>
      </c>
      <c r="H243" s="459" t="s">
        <v>1238</v>
      </c>
      <c r="I243" s="460" t="s">
        <v>3540</v>
      </c>
      <c r="J243" s="461" t="s">
        <v>2987</v>
      </c>
      <c r="K243" s="462" t="s">
        <v>1105</v>
      </c>
      <c r="L243" s="463">
        <v>20685.558268545497</v>
      </c>
      <c r="M243" s="463">
        <v>8.9649650000000012</v>
      </c>
      <c r="N243" s="464">
        <v>185445.30588297101</v>
      </c>
      <c r="O243" s="465" t="s">
        <v>1290</v>
      </c>
      <c r="P243" s="431" t="s">
        <v>6711</v>
      </c>
    </row>
    <row r="244" spans="1:16" ht="13.5" hidden="1" customHeight="1" outlineLevel="3" x14ac:dyDescent="0.2">
      <c r="A244" s="233">
        <v>0</v>
      </c>
      <c r="B244" s="233">
        <v>4</v>
      </c>
      <c r="C244" s="233">
        <v>3</v>
      </c>
      <c r="D244" s="234">
        <v>12</v>
      </c>
      <c r="E244" s="234">
        <v>4</v>
      </c>
      <c r="G244" s="458" t="s">
        <v>41</v>
      </c>
      <c r="H244" s="459" t="s">
        <v>1238</v>
      </c>
      <c r="I244" s="460" t="s">
        <v>3541</v>
      </c>
      <c r="J244" s="461" t="s">
        <v>2988</v>
      </c>
      <c r="K244" s="462" t="s">
        <v>1105</v>
      </c>
      <c r="L244" s="463">
        <v>23518.867468415934</v>
      </c>
      <c r="M244" s="463">
        <v>8.9649650000000012</v>
      </c>
      <c r="N244" s="464">
        <v>210845.82369398701</v>
      </c>
      <c r="O244" s="465" t="s">
        <v>1290</v>
      </c>
      <c r="P244" s="431" t="s">
        <v>6711</v>
      </c>
    </row>
    <row r="245" spans="1:16" ht="13.5" hidden="1" customHeight="1" outlineLevel="3" x14ac:dyDescent="0.2">
      <c r="A245" s="233">
        <v>0</v>
      </c>
      <c r="B245" s="233">
        <v>4</v>
      </c>
      <c r="C245" s="233">
        <v>3</v>
      </c>
      <c r="D245" s="234">
        <v>12</v>
      </c>
      <c r="E245" s="234">
        <v>5</v>
      </c>
      <c r="G245" s="458" t="s">
        <v>41</v>
      </c>
      <c r="H245" s="459" t="s">
        <v>1238</v>
      </c>
      <c r="I245" s="460" t="s">
        <v>3542</v>
      </c>
      <c r="J245" s="461" t="s">
        <v>2989</v>
      </c>
      <c r="K245" s="462" t="s">
        <v>1105</v>
      </c>
      <c r="L245" s="463">
        <v>26616.298712342083</v>
      </c>
      <c r="M245" s="463">
        <v>8.4849650000000008</v>
      </c>
      <c r="N245" s="464">
        <v>225838.363003768</v>
      </c>
      <c r="O245" s="465" t="s">
        <v>1290</v>
      </c>
      <c r="P245" s="431" t="s">
        <v>6711</v>
      </c>
    </row>
    <row r="246" spans="1:16" ht="13.5" hidden="1" customHeight="1" outlineLevel="3" x14ac:dyDescent="0.2">
      <c r="A246" s="233">
        <v>0</v>
      </c>
      <c r="B246" s="233">
        <v>4</v>
      </c>
      <c r="C246" s="233">
        <v>3</v>
      </c>
      <c r="D246" s="234">
        <v>12</v>
      </c>
      <c r="E246" s="234">
        <v>6</v>
      </c>
      <c r="G246" s="458" t="s">
        <v>41</v>
      </c>
      <c r="H246" s="459" t="s">
        <v>1238</v>
      </c>
      <c r="I246" s="460" t="s">
        <v>3543</v>
      </c>
      <c r="J246" s="461" t="s">
        <v>2990</v>
      </c>
      <c r="K246" s="462" t="s">
        <v>1105</v>
      </c>
      <c r="L246" s="463">
        <v>8920.1217606090067</v>
      </c>
      <c r="M246" s="463">
        <v>8.4849650000000008</v>
      </c>
      <c r="N246" s="464">
        <v>75686.920934505804</v>
      </c>
      <c r="O246" s="465" t="s">
        <v>1290</v>
      </c>
      <c r="P246" s="431" t="s">
        <v>6711</v>
      </c>
    </row>
    <row r="247" spans="1:16" ht="13.5" hidden="1" customHeight="1" outlineLevel="3" x14ac:dyDescent="0.2">
      <c r="A247" s="233">
        <v>0</v>
      </c>
      <c r="B247" s="233">
        <v>4</v>
      </c>
      <c r="C247" s="233">
        <v>3</v>
      </c>
      <c r="D247" s="234">
        <v>12</v>
      </c>
      <c r="E247" s="234">
        <v>7</v>
      </c>
      <c r="G247" s="458" t="s">
        <v>41</v>
      </c>
      <c r="H247" s="459" t="s">
        <v>1238</v>
      </c>
      <c r="I247" s="460" t="s">
        <v>3544</v>
      </c>
      <c r="J247" s="461" t="s">
        <v>2991</v>
      </c>
      <c r="K247" s="462" t="s">
        <v>1105</v>
      </c>
      <c r="L247" s="463">
        <v>34107.760325558782</v>
      </c>
      <c r="M247" s="463">
        <v>8.4849650000000008</v>
      </c>
      <c r="N247" s="464">
        <v>289403.15259075502</v>
      </c>
      <c r="O247" s="465" t="s">
        <v>1290</v>
      </c>
      <c r="P247" s="431" t="s">
        <v>6711</v>
      </c>
    </row>
    <row r="248" spans="1:16" ht="13.5" hidden="1" customHeight="1" outlineLevel="3" x14ac:dyDescent="0.2">
      <c r="A248" s="233">
        <v>0</v>
      </c>
      <c r="B248" s="233">
        <v>4</v>
      </c>
      <c r="C248" s="233">
        <v>3</v>
      </c>
      <c r="D248" s="234">
        <v>12</v>
      </c>
      <c r="E248" s="234">
        <v>8</v>
      </c>
      <c r="G248" s="458" t="s">
        <v>41</v>
      </c>
      <c r="H248" s="459" t="s">
        <v>1238</v>
      </c>
      <c r="I248" s="460" t="s">
        <v>3545</v>
      </c>
      <c r="J248" s="461" t="s">
        <v>2992</v>
      </c>
      <c r="K248" s="462" t="s">
        <v>1105</v>
      </c>
      <c r="L248" s="463">
        <v>162254.97388241006</v>
      </c>
      <c r="M248" s="463">
        <v>8.4849650000000008</v>
      </c>
      <c r="N248" s="464">
        <v>1376727.77446816</v>
      </c>
      <c r="O248" s="465" t="s">
        <v>1290</v>
      </c>
      <c r="P248" s="431" t="s">
        <v>6711</v>
      </c>
    </row>
    <row r="249" spans="1:16" ht="13.5" hidden="1" customHeight="1" outlineLevel="2" x14ac:dyDescent="0.2">
      <c r="A249" s="233">
        <v>0</v>
      </c>
      <c r="B249" s="233">
        <v>4</v>
      </c>
      <c r="C249" s="233">
        <v>3</v>
      </c>
      <c r="D249" s="234">
        <v>13</v>
      </c>
      <c r="E249" s="234">
        <v>0</v>
      </c>
      <c r="G249" s="450"/>
      <c r="H249" s="451" t="s">
        <v>1237</v>
      </c>
      <c r="I249" s="452" t="s">
        <v>3546</v>
      </c>
      <c r="J249" s="453" t="s">
        <v>2838</v>
      </c>
      <c r="K249" s="454"/>
      <c r="L249" s="455"/>
      <c r="M249" s="455"/>
      <c r="N249" s="456">
        <v>80629.941965204096</v>
      </c>
      <c r="O249" s="457">
        <v>4.8138227180120001</v>
      </c>
      <c r="P249" s="430"/>
    </row>
    <row r="250" spans="1:16" ht="13.5" hidden="1" customHeight="1" outlineLevel="3" x14ac:dyDescent="0.2">
      <c r="A250" s="233">
        <v>0</v>
      </c>
      <c r="B250" s="233">
        <v>4</v>
      </c>
      <c r="C250" s="233">
        <v>3</v>
      </c>
      <c r="D250" s="234">
        <v>13</v>
      </c>
      <c r="E250" s="234">
        <v>1</v>
      </c>
      <c r="G250" s="458" t="s">
        <v>41</v>
      </c>
      <c r="H250" s="459" t="s">
        <v>1238</v>
      </c>
      <c r="I250" s="460" t="s">
        <v>3547</v>
      </c>
      <c r="J250" s="461" t="s">
        <v>2985</v>
      </c>
      <c r="K250" s="462" t="s">
        <v>1105</v>
      </c>
      <c r="L250" s="463">
        <v>52.834183673469418</v>
      </c>
      <c r="M250" s="463">
        <v>8.9649650000000012</v>
      </c>
      <c r="N250" s="464">
        <v>473.65660743622499</v>
      </c>
      <c r="O250" s="465" t="s">
        <v>1290</v>
      </c>
      <c r="P250" s="431" t="s">
        <v>6711</v>
      </c>
    </row>
    <row r="251" spans="1:16" ht="13.5" hidden="1" customHeight="1" outlineLevel="3" x14ac:dyDescent="0.2">
      <c r="A251" s="233">
        <v>0</v>
      </c>
      <c r="B251" s="233">
        <v>4</v>
      </c>
      <c r="C251" s="233">
        <v>3</v>
      </c>
      <c r="D251" s="234">
        <v>13</v>
      </c>
      <c r="E251" s="234">
        <v>2</v>
      </c>
      <c r="G251" s="458" t="s">
        <v>41</v>
      </c>
      <c r="H251" s="459" t="s">
        <v>1238</v>
      </c>
      <c r="I251" s="460" t="s">
        <v>3548</v>
      </c>
      <c r="J251" s="461" t="s">
        <v>2986</v>
      </c>
      <c r="K251" s="462" t="s">
        <v>1105</v>
      </c>
      <c r="L251" s="463">
        <v>592.5790816326529</v>
      </c>
      <c r="M251" s="463">
        <v>8.9649650000000012</v>
      </c>
      <c r="N251" s="464">
        <v>5312.4507265688799</v>
      </c>
      <c r="O251" s="465" t="s">
        <v>1290</v>
      </c>
      <c r="P251" s="431" t="s">
        <v>6711</v>
      </c>
    </row>
    <row r="252" spans="1:16" ht="13.5" hidden="1" customHeight="1" outlineLevel="3" x14ac:dyDescent="0.2">
      <c r="A252" s="233">
        <v>0</v>
      </c>
      <c r="B252" s="233">
        <v>4</v>
      </c>
      <c r="C252" s="233">
        <v>3</v>
      </c>
      <c r="D252" s="234">
        <v>13</v>
      </c>
      <c r="E252" s="234">
        <v>3</v>
      </c>
      <c r="G252" s="458" t="s">
        <v>41</v>
      </c>
      <c r="H252" s="459" t="s">
        <v>1238</v>
      </c>
      <c r="I252" s="460" t="s">
        <v>3549</v>
      </c>
      <c r="J252" s="461" t="s">
        <v>2987</v>
      </c>
      <c r="K252" s="462" t="s">
        <v>1105</v>
      </c>
      <c r="L252" s="463">
        <v>654.91581632653049</v>
      </c>
      <c r="M252" s="463">
        <v>8.9649650000000012</v>
      </c>
      <c r="N252" s="464">
        <v>5871.2973713137799</v>
      </c>
      <c r="O252" s="465" t="s">
        <v>1290</v>
      </c>
      <c r="P252" s="431" t="s">
        <v>6711</v>
      </c>
    </row>
    <row r="253" spans="1:16" ht="13.5" hidden="1" customHeight="1" outlineLevel="3" x14ac:dyDescent="0.2">
      <c r="A253" s="233">
        <v>0</v>
      </c>
      <c r="B253" s="233">
        <v>4</v>
      </c>
      <c r="C253" s="233">
        <v>3</v>
      </c>
      <c r="D253" s="234">
        <v>13</v>
      </c>
      <c r="E253" s="234">
        <v>4</v>
      </c>
      <c r="G253" s="458" t="s">
        <v>41</v>
      </c>
      <c r="H253" s="459" t="s">
        <v>1238</v>
      </c>
      <c r="I253" s="460" t="s">
        <v>3550</v>
      </c>
      <c r="J253" s="461" t="s">
        <v>2988</v>
      </c>
      <c r="K253" s="462" t="s">
        <v>1105</v>
      </c>
      <c r="L253" s="463">
        <v>744.61989795918328</v>
      </c>
      <c r="M253" s="463">
        <v>8.9649650000000012</v>
      </c>
      <c r="N253" s="464">
        <v>6675.4913235076501</v>
      </c>
      <c r="O253" s="465" t="s">
        <v>1290</v>
      </c>
      <c r="P253" s="431" t="s">
        <v>6711</v>
      </c>
    </row>
    <row r="254" spans="1:16" ht="13.5" hidden="1" customHeight="1" outlineLevel="3" x14ac:dyDescent="0.2">
      <c r="A254" s="233">
        <v>0</v>
      </c>
      <c r="B254" s="233">
        <v>4</v>
      </c>
      <c r="C254" s="233">
        <v>3</v>
      </c>
      <c r="D254" s="234">
        <v>13</v>
      </c>
      <c r="E254" s="234">
        <v>5</v>
      </c>
      <c r="G254" s="458" t="s">
        <v>41</v>
      </c>
      <c r="H254" s="459" t="s">
        <v>1238</v>
      </c>
      <c r="I254" s="460" t="s">
        <v>3551</v>
      </c>
      <c r="J254" s="461" t="s">
        <v>2989</v>
      </c>
      <c r="K254" s="462" t="s">
        <v>1105</v>
      </c>
      <c r="L254" s="463">
        <v>842.68622448979579</v>
      </c>
      <c r="M254" s="463">
        <v>8.4849650000000008</v>
      </c>
      <c r="N254" s="464">
        <v>7150.1631207780601</v>
      </c>
      <c r="O254" s="465" t="s">
        <v>1290</v>
      </c>
      <c r="P254" s="431" t="s">
        <v>6711</v>
      </c>
    </row>
    <row r="255" spans="1:16" ht="13.5" hidden="1" customHeight="1" outlineLevel="3" x14ac:dyDescent="0.2">
      <c r="A255" s="233">
        <v>0</v>
      </c>
      <c r="B255" s="233">
        <v>4</v>
      </c>
      <c r="C255" s="233">
        <v>3</v>
      </c>
      <c r="D255" s="234">
        <v>13</v>
      </c>
      <c r="E255" s="234">
        <v>6</v>
      </c>
      <c r="G255" s="458" t="s">
        <v>41</v>
      </c>
      <c r="H255" s="459" t="s">
        <v>1238</v>
      </c>
      <c r="I255" s="460" t="s">
        <v>3552</v>
      </c>
      <c r="J255" s="461" t="s">
        <v>2990</v>
      </c>
      <c r="K255" s="462" t="s">
        <v>1105</v>
      </c>
      <c r="L255" s="463">
        <v>282.4158163265306</v>
      </c>
      <c r="M255" s="463">
        <v>8.4849650000000008</v>
      </c>
      <c r="N255" s="464">
        <v>2396.2883169770398</v>
      </c>
      <c r="O255" s="465" t="s">
        <v>1290</v>
      </c>
      <c r="P255" s="431" t="s">
        <v>6711</v>
      </c>
    </row>
    <row r="256" spans="1:16" ht="13.5" hidden="1" customHeight="1" outlineLevel="3" x14ac:dyDescent="0.2">
      <c r="A256" s="233">
        <v>0</v>
      </c>
      <c r="B256" s="233">
        <v>4</v>
      </c>
      <c r="C256" s="233">
        <v>3</v>
      </c>
      <c r="D256" s="234">
        <v>13</v>
      </c>
      <c r="E256" s="234">
        <v>7</v>
      </c>
      <c r="G256" s="458" t="s">
        <v>41</v>
      </c>
      <c r="H256" s="459" t="s">
        <v>1238</v>
      </c>
      <c r="I256" s="460" t="s">
        <v>3553</v>
      </c>
      <c r="J256" s="461" t="s">
        <v>2991</v>
      </c>
      <c r="K256" s="462" t="s">
        <v>1105</v>
      </c>
      <c r="L256" s="463">
        <v>1079.8698979591834</v>
      </c>
      <c r="M256" s="463">
        <v>8.4849650000000008</v>
      </c>
      <c r="N256" s="464">
        <v>9162.6582887372406</v>
      </c>
      <c r="O256" s="465" t="s">
        <v>1290</v>
      </c>
      <c r="P256" s="431" t="s">
        <v>6711</v>
      </c>
    </row>
    <row r="257" spans="1:16" ht="13.5" hidden="1" customHeight="1" outlineLevel="3" x14ac:dyDescent="0.2">
      <c r="A257" s="233">
        <v>0</v>
      </c>
      <c r="B257" s="233">
        <v>4</v>
      </c>
      <c r="C257" s="233">
        <v>3</v>
      </c>
      <c r="D257" s="234">
        <v>13</v>
      </c>
      <c r="E257" s="234">
        <v>8</v>
      </c>
      <c r="G257" s="458" t="s">
        <v>41</v>
      </c>
      <c r="H257" s="459" t="s">
        <v>1238</v>
      </c>
      <c r="I257" s="460" t="s">
        <v>3554</v>
      </c>
      <c r="J257" s="461" t="s">
        <v>2992</v>
      </c>
      <c r="K257" s="462" t="s">
        <v>1105</v>
      </c>
      <c r="L257" s="463">
        <v>5137.0790816326526</v>
      </c>
      <c r="M257" s="463">
        <v>8.4849650000000008</v>
      </c>
      <c r="N257" s="464">
        <v>43587.9362098852</v>
      </c>
      <c r="O257" s="465" t="s">
        <v>1290</v>
      </c>
      <c r="P257" s="431" t="s">
        <v>6711</v>
      </c>
    </row>
    <row r="258" spans="1:16" ht="13.5" hidden="1" customHeight="1" outlineLevel="2" x14ac:dyDescent="0.2">
      <c r="A258" s="233">
        <v>0</v>
      </c>
      <c r="B258" s="233">
        <v>4</v>
      </c>
      <c r="C258" s="233">
        <v>3</v>
      </c>
      <c r="D258" s="234">
        <v>14</v>
      </c>
      <c r="E258" s="234">
        <v>0</v>
      </c>
      <c r="G258" s="450"/>
      <c r="H258" s="451" t="s">
        <v>1237</v>
      </c>
      <c r="I258" s="452" t="s">
        <v>3555</v>
      </c>
      <c r="J258" s="453" t="s">
        <v>2839</v>
      </c>
      <c r="K258" s="454"/>
      <c r="L258" s="455"/>
      <c r="M258" s="455"/>
      <c r="N258" s="456">
        <v>69386.243868639503</v>
      </c>
      <c r="O258" s="457">
        <v>4.1425439348142099</v>
      </c>
      <c r="P258" s="430"/>
    </row>
    <row r="259" spans="1:16" ht="13.5" hidden="1" customHeight="1" outlineLevel="3" x14ac:dyDescent="0.2">
      <c r="A259" s="233">
        <v>0</v>
      </c>
      <c r="B259" s="233">
        <v>4</v>
      </c>
      <c r="C259" s="233">
        <v>3</v>
      </c>
      <c r="D259" s="234">
        <v>14</v>
      </c>
      <c r="E259" s="234">
        <v>1</v>
      </c>
      <c r="G259" s="458" t="s">
        <v>41</v>
      </c>
      <c r="H259" s="459" t="s">
        <v>1238</v>
      </c>
      <c r="I259" s="460" t="s">
        <v>3556</v>
      </c>
      <c r="J259" s="461" t="s">
        <v>2985</v>
      </c>
      <c r="K259" s="462" t="s">
        <v>1105</v>
      </c>
      <c r="L259" s="463">
        <v>45.466553287981888</v>
      </c>
      <c r="M259" s="463">
        <v>8.9649650000000012</v>
      </c>
      <c r="N259" s="464">
        <v>407.60605889739298</v>
      </c>
      <c r="O259" s="465" t="s">
        <v>1290</v>
      </c>
      <c r="P259" s="431" t="s">
        <v>6711</v>
      </c>
    </row>
    <row r="260" spans="1:16" ht="13.5" hidden="1" customHeight="1" outlineLevel="3" x14ac:dyDescent="0.2">
      <c r="A260" s="233">
        <v>0</v>
      </c>
      <c r="B260" s="233">
        <v>4</v>
      </c>
      <c r="C260" s="233">
        <v>3</v>
      </c>
      <c r="D260" s="234">
        <v>14</v>
      </c>
      <c r="E260" s="234">
        <v>2</v>
      </c>
      <c r="G260" s="458" t="s">
        <v>41</v>
      </c>
      <c r="H260" s="459" t="s">
        <v>1238</v>
      </c>
      <c r="I260" s="460" t="s">
        <v>3557</v>
      </c>
      <c r="J260" s="461" t="s">
        <v>2986</v>
      </c>
      <c r="K260" s="462" t="s">
        <v>1105</v>
      </c>
      <c r="L260" s="463">
        <v>509.94501133786838</v>
      </c>
      <c r="M260" s="463">
        <v>8.9649650000000012</v>
      </c>
      <c r="N260" s="464">
        <v>4571.6391785685901</v>
      </c>
      <c r="O260" s="465" t="s">
        <v>1290</v>
      </c>
      <c r="P260" s="431" t="s">
        <v>6711</v>
      </c>
    </row>
    <row r="261" spans="1:16" ht="13.5" hidden="1" customHeight="1" outlineLevel="3" x14ac:dyDescent="0.2">
      <c r="A261" s="233">
        <v>0</v>
      </c>
      <c r="B261" s="233">
        <v>4</v>
      </c>
      <c r="C261" s="233">
        <v>3</v>
      </c>
      <c r="D261" s="234">
        <v>14</v>
      </c>
      <c r="E261" s="234">
        <v>3</v>
      </c>
      <c r="G261" s="458" t="s">
        <v>41</v>
      </c>
      <c r="H261" s="459" t="s">
        <v>1238</v>
      </c>
      <c r="I261" s="460" t="s">
        <v>3558</v>
      </c>
      <c r="J261" s="461" t="s">
        <v>2987</v>
      </c>
      <c r="K261" s="462" t="s">
        <v>1105</v>
      </c>
      <c r="L261" s="463">
        <v>563.58900226757362</v>
      </c>
      <c r="M261" s="463">
        <v>8.9649650000000012</v>
      </c>
      <c r="N261" s="464">
        <v>5052.5556797137197</v>
      </c>
      <c r="O261" s="465" t="s">
        <v>1290</v>
      </c>
      <c r="P261" s="431" t="s">
        <v>6711</v>
      </c>
    </row>
    <row r="262" spans="1:16" ht="13.5" hidden="1" customHeight="1" outlineLevel="3" x14ac:dyDescent="0.2">
      <c r="A262" s="233">
        <v>0</v>
      </c>
      <c r="B262" s="233">
        <v>4</v>
      </c>
      <c r="C262" s="233">
        <v>3</v>
      </c>
      <c r="D262" s="234">
        <v>14</v>
      </c>
      <c r="E262" s="234">
        <v>4</v>
      </c>
      <c r="G262" s="458" t="s">
        <v>41</v>
      </c>
      <c r="H262" s="459" t="s">
        <v>1238</v>
      </c>
      <c r="I262" s="460" t="s">
        <v>3559</v>
      </c>
      <c r="J262" s="461" t="s">
        <v>2988</v>
      </c>
      <c r="K262" s="462" t="s">
        <v>1105</v>
      </c>
      <c r="L262" s="463">
        <v>640.78401360544194</v>
      </c>
      <c r="M262" s="463">
        <v>8.9649650000000012</v>
      </c>
      <c r="N262" s="464">
        <v>5744.6062545323102</v>
      </c>
      <c r="O262" s="465" t="s">
        <v>1290</v>
      </c>
      <c r="P262" s="431" t="s">
        <v>6711</v>
      </c>
    </row>
    <row r="263" spans="1:16" ht="13.5" hidden="1" customHeight="1" outlineLevel="3" x14ac:dyDescent="0.2">
      <c r="A263" s="233">
        <v>0</v>
      </c>
      <c r="B263" s="233">
        <v>4</v>
      </c>
      <c r="C263" s="233">
        <v>3</v>
      </c>
      <c r="D263" s="234">
        <v>14</v>
      </c>
      <c r="E263" s="234">
        <v>5</v>
      </c>
      <c r="G263" s="458" t="s">
        <v>41</v>
      </c>
      <c r="H263" s="459" t="s">
        <v>1238</v>
      </c>
      <c r="I263" s="460" t="s">
        <v>3560</v>
      </c>
      <c r="J263" s="461" t="s">
        <v>2989</v>
      </c>
      <c r="K263" s="462" t="s">
        <v>1105</v>
      </c>
      <c r="L263" s="463">
        <v>725.175170068027</v>
      </c>
      <c r="M263" s="463">
        <v>8.4849650000000008</v>
      </c>
      <c r="N263" s="464">
        <v>6153.0859368962601</v>
      </c>
      <c r="O263" s="465" t="s">
        <v>1290</v>
      </c>
      <c r="P263" s="431" t="s">
        <v>6711</v>
      </c>
    </row>
    <row r="264" spans="1:16" ht="13.5" hidden="1" customHeight="1" outlineLevel="3" x14ac:dyDescent="0.2">
      <c r="A264" s="233">
        <v>0</v>
      </c>
      <c r="B264" s="233">
        <v>4</v>
      </c>
      <c r="C264" s="233">
        <v>3</v>
      </c>
      <c r="D264" s="234">
        <v>14</v>
      </c>
      <c r="E264" s="234">
        <v>6</v>
      </c>
      <c r="G264" s="458" t="s">
        <v>41</v>
      </c>
      <c r="H264" s="459" t="s">
        <v>1238</v>
      </c>
      <c r="I264" s="460" t="s">
        <v>3561</v>
      </c>
      <c r="J264" s="461" t="s">
        <v>2990</v>
      </c>
      <c r="K264" s="462" t="s">
        <v>1105</v>
      </c>
      <c r="L264" s="463">
        <v>243.0334467120181</v>
      </c>
      <c r="M264" s="463">
        <v>8.4849650000000008</v>
      </c>
      <c r="N264" s="464">
        <v>2062.13028918084</v>
      </c>
      <c r="O264" s="465" t="s">
        <v>1290</v>
      </c>
      <c r="P264" s="431" t="s">
        <v>6711</v>
      </c>
    </row>
    <row r="265" spans="1:16" ht="13.5" hidden="1" customHeight="1" outlineLevel="3" x14ac:dyDescent="0.2">
      <c r="A265" s="233">
        <v>0</v>
      </c>
      <c r="B265" s="233">
        <v>4</v>
      </c>
      <c r="C265" s="233">
        <v>3</v>
      </c>
      <c r="D265" s="234">
        <v>14</v>
      </c>
      <c r="E265" s="234">
        <v>7</v>
      </c>
      <c r="G265" s="458" t="s">
        <v>41</v>
      </c>
      <c r="H265" s="459" t="s">
        <v>1238</v>
      </c>
      <c r="I265" s="460" t="s">
        <v>3562</v>
      </c>
      <c r="J265" s="461" t="s">
        <v>2991</v>
      </c>
      <c r="K265" s="462" t="s">
        <v>1105</v>
      </c>
      <c r="L265" s="463">
        <v>929.28401360544194</v>
      </c>
      <c r="M265" s="463">
        <v>8.4849650000000008</v>
      </c>
      <c r="N265" s="464">
        <v>7884.9423305016999</v>
      </c>
      <c r="O265" s="465" t="s">
        <v>1290</v>
      </c>
      <c r="P265" s="431" t="s">
        <v>6711</v>
      </c>
    </row>
    <row r="266" spans="1:16" ht="13.5" hidden="1" customHeight="1" outlineLevel="3" x14ac:dyDescent="0.2">
      <c r="A266" s="233">
        <v>0</v>
      </c>
      <c r="B266" s="233">
        <v>4</v>
      </c>
      <c r="C266" s="233">
        <v>3</v>
      </c>
      <c r="D266" s="234">
        <v>14</v>
      </c>
      <c r="E266" s="234">
        <v>8</v>
      </c>
      <c r="G266" s="458" t="s">
        <v>41</v>
      </c>
      <c r="H266" s="459" t="s">
        <v>1238</v>
      </c>
      <c r="I266" s="460" t="s">
        <v>3563</v>
      </c>
      <c r="J266" s="461" t="s">
        <v>2992</v>
      </c>
      <c r="K266" s="462" t="s">
        <v>1105</v>
      </c>
      <c r="L266" s="463">
        <v>4420.7227891156463</v>
      </c>
      <c r="M266" s="463">
        <v>8.4849650000000008</v>
      </c>
      <c r="N266" s="464">
        <v>37509.678140348602</v>
      </c>
      <c r="O266" s="465" t="s">
        <v>1290</v>
      </c>
      <c r="P266" s="431" t="s">
        <v>6711</v>
      </c>
    </row>
    <row r="267" spans="1:16" ht="13.5" hidden="1" customHeight="1" outlineLevel="2" x14ac:dyDescent="0.2">
      <c r="A267" s="233">
        <v>0</v>
      </c>
      <c r="B267" s="233">
        <v>4</v>
      </c>
      <c r="C267" s="233">
        <v>3</v>
      </c>
      <c r="D267" s="234">
        <v>15</v>
      </c>
      <c r="E267" s="234">
        <v>0</v>
      </c>
      <c r="G267" s="450"/>
      <c r="H267" s="451" t="s">
        <v>1237</v>
      </c>
      <c r="I267" s="452" t="s">
        <v>3564</v>
      </c>
      <c r="J267" s="453" t="s">
        <v>2208</v>
      </c>
      <c r="K267" s="454"/>
      <c r="L267" s="455"/>
      <c r="M267" s="455"/>
      <c r="N267" s="456">
        <v>90253.364795000001</v>
      </c>
      <c r="O267" s="457">
        <v>5.38836674364331</v>
      </c>
      <c r="P267" s="430"/>
    </row>
    <row r="268" spans="1:16" ht="13.5" hidden="1" customHeight="1" outlineLevel="3" x14ac:dyDescent="0.2">
      <c r="A268" s="233">
        <v>0</v>
      </c>
      <c r="B268" s="233">
        <v>4</v>
      </c>
      <c r="C268" s="233">
        <v>3</v>
      </c>
      <c r="D268" s="234">
        <v>15</v>
      </c>
      <c r="E268" s="234">
        <v>1</v>
      </c>
      <c r="G268" s="458" t="s">
        <v>41</v>
      </c>
      <c r="H268" s="459" t="s">
        <v>1238</v>
      </c>
      <c r="I268" s="460" t="s">
        <v>3565</v>
      </c>
      <c r="J268" s="461" t="s">
        <v>2985</v>
      </c>
      <c r="K268" s="462" t="s">
        <v>1105</v>
      </c>
      <c r="L268" s="463">
        <v>1699.3620000000001</v>
      </c>
      <c r="M268" s="463">
        <v>8.9649650000000012</v>
      </c>
      <c r="N268" s="464">
        <v>15234.72085233</v>
      </c>
      <c r="O268" s="465" t="s">
        <v>1290</v>
      </c>
      <c r="P268" s="431" t="s">
        <v>6711</v>
      </c>
    </row>
    <row r="269" spans="1:16" ht="13.5" hidden="1" customHeight="1" outlineLevel="3" x14ac:dyDescent="0.2">
      <c r="A269" s="233">
        <v>0</v>
      </c>
      <c r="B269" s="233">
        <v>4</v>
      </c>
      <c r="C269" s="233">
        <v>3</v>
      </c>
      <c r="D269" s="234">
        <v>15</v>
      </c>
      <c r="E269" s="234">
        <v>2</v>
      </c>
      <c r="G269" s="458" t="s">
        <v>41</v>
      </c>
      <c r="H269" s="459" t="s">
        <v>1238</v>
      </c>
      <c r="I269" s="460" t="s">
        <v>3566</v>
      </c>
      <c r="J269" s="461" t="s">
        <v>2986</v>
      </c>
      <c r="K269" s="462" t="s">
        <v>1105</v>
      </c>
      <c r="L269" s="463">
        <v>862</v>
      </c>
      <c r="M269" s="463">
        <v>8.9649650000000012</v>
      </c>
      <c r="N269" s="464">
        <v>7727.7998299999999</v>
      </c>
      <c r="O269" s="465" t="s">
        <v>1290</v>
      </c>
      <c r="P269" s="431" t="s">
        <v>6711</v>
      </c>
    </row>
    <row r="270" spans="1:16" ht="13.5" hidden="1" customHeight="1" outlineLevel="3" x14ac:dyDescent="0.2">
      <c r="A270" s="233">
        <v>0</v>
      </c>
      <c r="B270" s="233">
        <v>4</v>
      </c>
      <c r="C270" s="233">
        <v>3</v>
      </c>
      <c r="D270" s="234">
        <v>15</v>
      </c>
      <c r="E270" s="234">
        <v>3</v>
      </c>
      <c r="G270" s="458" t="s">
        <v>41</v>
      </c>
      <c r="H270" s="459" t="s">
        <v>1238</v>
      </c>
      <c r="I270" s="460" t="s">
        <v>3567</v>
      </c>
      <c r="J270" s="461" t="s">
        <v>2987</v>
      </c>
      <c r="K270" s="462" t="s">
        <v>1105</v>
      </c>
      <c r="L270" s="463">
        <v>14</v>
      </c>
      <c r="M270" s="463">
        <v>8.9649650000000012</v>
      </c>
      <c r="N270" s="464">
        <v>125.50951000000001</v>
      </c>
      <c r="O270" s="465" t="s">
        <v>1290</v>
      </c>
      <c r="P270" s="431" t="s">
        <v>6711</v>
      </c>
    </row>
    <row r="271" spans="1:16" ht="13.5" hidden="1" customHeight="1" outlineLevel="3" x14ac:dyDescent="0.2">
      <c r="A271" s="233">
        <v>0</v>
      </c>
      <c r="B271" s="233">
        <v>4</v>
      </c>
      <c r="C271" s="233">
        <v>3</v>
      </c>
      <c r="D271" s="234">
        <v>15</v>
      </c>
      <c r="E271" s="234">
        <v>4</v>
      </c>
      <c r="G271" s="458" t="s">
        <v>41</v>
      </c>
      <c r="H271" s="459" t="s">
        <v>1238</v>
      </c>
      <c r="I271" s="460" t="s">
        <v>3568</v>
      </c>
      <c r="J271" s="461" t="s">
        <v>2988</v>
      </c>
      <c r="K271" s="462" t="s">
        <v>1105</v>
      </c>
      <c r="L271" s="463">
        <v>1629.25</v>
      </c>
      <c r="M271" s="463">
        <v>8.9649650000000012</v>
      </c>
      <c r="N271" s="464">
        <v>14606.16922625</v>
      </c>
      <c r="O271" s="465" t="s">
        <v>1290</v>
      </c>
      <c r="P271" s="431" t="s">
        <v>6711</v>
      </c>
    </row>
    <row r="272" spans="1:16" ht="13.5" hidden="1" customHeight="1" outlineLevel="3" x14ac:dyDescent="0.2">
      <c r="A272" s="233">
        <v>0</v>
      </c>
      <c r="B272" s="233">
        <v>4</v>
      </c>
      <c r="C272" s="233">
        <v>3</v>
      </c>
      <c r="D272" s="234">
        <v>15</v>
      </c>
      <c r="E272" s="234">
        <v>5</v>
      </c>
      <c r="G272" s="458" t="s">
        <v>41</v>
      </c>
      <c r="H272" s="459" t="s">
        <v>1238</v>
      </c>
      <c r="I272" s="460" t="s">
        <v>3569</v>
      </c>
      <c r="J272" s="461" t="s">
        <v>2989</v>
      </c>
      <c r="K272" s="462" t="s">
        <v>1105</v>
      </c>
      <c r="L272" s="463">
        <v>5502.3879999999999</v>
      </c>
      <c r="M272" s="463">
        <v>8.4849650000000008</v>
      </c>
      <c r="N272" s="464">
        <v>46687.569596419999</v>
      </c>
      <c r="O272" s="465" t="s">
        <v>1290</v>
      </c>
      <c r="P272" s="431" t="s">
        <v>6711</v>
      </c>
    </row>
    <row r="273" spans="1:16" ht="13.5" hidden="1" customHeight="1" outlineLevel="3" x14ac:dyDescent="0.2">
      <c r="A273" s="233">
        <v>0</v>
      </c>
      <c r="B273" s="233">
        <v>4</v>
      </c>
      <c r="C273" s="233">
        <v>3</v>
      </c>
      <c r="D273" s="234">
        <v>15</v>
      </c>
      <c r="E273" s="234">
        <v>6</v>
      </c>
      <c r="G273" s="458" t="s">
        <v>41</v>
      </c>
      <c r="H273" s="459" t="s">
        <v>1238</v>
      </c>
      <c r="I273" s="460" t="s">
        <v>3570</v>
      </c>
      <c r="J273" s="461" t="s">
        <v>2990</v>
      </c>
      <c r="K273" s="462" t="s">
        <v>1105</v>
      </c>
      <c r="L273" s="463">
        <v>692</v>
      </c>
      <c r="M273" s="463">
        <v>8.4849650000000008</v>
      </c>
      <c r="N273" s="464">
        <v>5871.5957799999996</v>
      </c>
      <c r="O273" s="465" t="s">
        <v>1290</v>
      </c>
      <c r="P273" s="431" t="s">
        <v>6711</v>
      </c>
    </row>
    <row r="274" spans="1:16" ht="13.5" hidden="1" customHeight="1" outlineLevel="2" x14ac:dyDescent="0.2">
      <c r="A274" s="233">
        <v>0</v>
      </c>
      <c r="B274" s="233">
        <v>4</v>
      </c>
      <c r="C274" s="233">
        <v>3</v>
      </c>
      <c r="D274" s="234">
        <v>16</v>
      </c>
      <c r="E274" s="234">
        <v>0</v>
      </c>
      <c r="G274" s="450"/>
      <c r="H274" s="451" t="s">
        <v>1237</v>
      </c>
      <c r="I274" s="452" t="s">
        <v>3571</v>
      </c>
      <c r="J274" s="453" t="s">
        <v>2209</v>
      </c>
      <c r="K274" s="454"/>
      <c r="L274" s="455"/>
      <c r="M274" s="455"/>
      <c r="N274" s="456">
        <v>69302.888120000003</v>
      </c>
      <c r="O274" s="457">
        <v>4.13756737416319</v>
      </c>
      <c r="P274" s="430"/>
    </row>
    <row r="275" spans="1:16" ht="13.5" hidden="1" customHeight="1" outlineLevel="3" x14ac:dyDescent="0.2">
      <c r="A275" s="233">
        <v>0</v>
      </c>
      <c r="B275" s="233">
        <v>4</v>
      </c>
      <c r="C275" s="233">
        <v>3</v>
      </c>
      <c r="D275" s="234">
        <v>16</v>
      </c>
      <c r="E275" s="234">
        <v>1</v>
      </c>
      <c r="G275" s="458" t="s">
        <v>41</v>
      </c>
      <c r="H275" s="459" t="s">
        <v>1238</v>
      </c>
      <c r="I275" s="460" t="s">
        <v>3572</v>
      </c>
      <c r="J275" s="461" t="s">
        <v>2985</v>
      </c>
      <c r="K275" s="462" t="s">
        <v>1105</v>
      </c>
      <c r="L275" s="463">
        <v>1514</v>
      </c>
      <c r="M275" s="463">
        <v>8.9649650000000012</v>
      </c>
      <c r="N275" s="464">
        <v>13572.95701</v>
      </c>
      <c r="O275" s="465" t="s">
        <v>1290</v>
      </c>
      <c r="P275" s="431" t="s">
        <v>6711</v>
      </c>
    </row>
    <row r="276" spans="1:16" ht="13.5" hidden="1" customHeight="1" outlineLevel="3" x14ac:dyDescent="0.2">
      <c r="A276" s="233">
        <v>0</v>
      </c>
      <c r="B276" s="233">
        <v>4</v>
      </c>
      <c r="C276" s="233">
        <v>3</v>
      </c>
      <c r="D276" s="234">
        <v>16</v>
      </c>
      <c r="E276" s="234">
        <v>2</v>
      </c>
      <c r="G276" s="458" t="s">
        <v>41</v>
      </c>
      <c r="H276" s="459" t="s">
        <v>1238</v>
      </c>
      <c r="I276" s="460" t="s">
        <v>3573</v>
      </c>
      <c r="J276" s="461" t="s">
        <v>2986</v>
      </c>
      <c r="K276" s="462" t="s">
        <v>1105</v>
      </c>
      <c r="L276" s="463">
        <v>120</v>
      </c>
      <c r="M276" s="463">
        <v>8.9649650000000012</v>
      </c>
      <c r="N276" s="464">
        <v>1075.7958000000001</v>
      </c>
      <c r="O276" s="465" t="s">
        <v>1290</v>
      </c>
      <c r="P276" s="431" t="s">
        <v>6711</v>
      </c>
    </row>
    <row r="277" spans="1:16" ht="13.5" hidden="1" customHeight="1" outlineLevel="3" x14ac:dyDescent="0.2">
      <c r="A277" s="233">
        <v>0</v>
      </c>
      <c r="B277" s="233">
        <v>4</v>
      </c>
      <c r="C277" s="233">
        <v>3</v>
      </c>
      <c r="D277" s="234">
        <v>16</v>
      </c>
      <c r="E277" s="234">
        <v>3</v>
      </c>
      <c r="G277" s="458" t="s">
        <v>41</v>
      </c>
      <c r="H277" s="459" t="s">
        <v>1238</v>
      </c>
      <c r="I277" s="460" t="s">
        <v>3574</v>
      </c>
      <c r="J277" s="461" t="s">
        <v>2988</v>
      </c>
      <c r="K277" s="462" t="s">
        <v>1105</v>
      </c>
      <c r="L277" s="463">
        <v>5432</v>
      </c>
      <c r="M277" s="463">
        <v>8.9649650000000012</v>
      </c>
      <c r="N277" s="464">
        <v>48697.689879999998</v>
      </c>
      <c r="O277" s="465" t="s">
        <v>1290</v>
      </c>
      <c r="P277" s="431" t="s">
        <v>6711</v>
      </c>
    </row>
    <row r="278" spans="1:16" ht="13.5" hidden="1" customHeight="1" outlineLevel="3" x14ac:dyDescent="0.2">
      <c r="A278" s="233">
        <v>0</v>
      </c>
      <c r="B278" s="233">
        <v>4</v>
      </c>
      <c r="C278" s="233">
        <v>3</v>
      </c>
      <c r="D278" s="234">
        <v>16</v>
      </c>
      <c r="E278" s="234">
        <v>4</v>
      </c>
      <c r="G278" s="458" t="s">
        <v>41</v>
      </c>
      <c r="H278" s="459" t="s">
        <v>1238</v>
      </c>
      <c r="I278" s="460" t="s">
        <v>3575</v>
      </c>
      <c r="J278" s="461" t="s">
        <v>2989</v>
      </c>
      <c r="K278" s="462" t="s">
        <v>1105</v>
      </c>
      <c r="L278" s="463">
        <v>372</v>
      </c>
      <c r="M278" s="463">
        <v>8.4849650000000008</v>
      </c>
      <c r="N278" s="464">
        <v>3156.4069800000002</v>
      </c>
      <c r="O278" s="465" t="s">
        <v>1290</v>
      </c>
      <c r="P278" s="431" t="s">
        <v>6711</v>
      </c>
    </row>
    <row r="279" spans="1:16" ht="13.5" hidden="1" customHeight="1" outlineLevel="3" x14ac:dyDescent="0.2">
      <c r="A279" s="233">
        <v>0</v>
      </c>
      <c r="B279" s="233">
        <v>4</v>
      </c>
      <c r="C279" s="233">
        <v>3</v>
      </c>
      <c r="D279" s="234">
        <v>16</v>
      </c>
      <c r="E279" s="234">
        <v>5</v>
      </c>
      <c r="G279" s="458" t="s">
        <v>41</v>
      </c>
      <c r="H279" s="459" t="s">
        <v>1238</v>
      </c>
      <c r="I279" s="460" t="s">
        <v>3576</v>
      </c>
      <c r="J279" s="461" t="s">
        <v>2990</v>
      </c>
      <c r="K279" s="462" t="s">
        <v>1105</v>
      </c>
      <c r="L279" s="463">
        <v>330</v>
      </c>
      <c r="M279" s="463">
        <v>8.4849650000000008</v>
      </c>
      <c r="N279" s="464">
        <v>2800.03845</v>
      </c>
      <c r="O279" s="465" t="s">
        <v>1290</v>
      </c>
      <c r="P279" s="431" t="s">
        <v>6711</v>
      </c>
    </row>
    <row r="280" spans="1:16" ht="13.5" hidden="1" customHeight="1" outlineLevel="1" x14ac:dyDescent="0.2">
      <c r="A280" s="233">
        <v>0</v>
      </c>
      <c r="B280" s="233">
        <v>4</v>
      </c>
      <c r="C280" s="233">
        <v>4</v>
      </c>
      <c r="D280" s="234">
        <v>0</v>
      </c>
      <c r="E280" s="234">
        <v>5</v>
      </c>
      <c r="G280" s="443"/>
      <c r="H280" s="444" t="s">
        <v>38</v>
      </c>
      <c r="I280" s="445" t="s">
        <v>3577</v>
      </c>
      <c r="J280" s="446" t="s">
        <v>1362</v>
      </c>
      <c r="K280" s="447"/>
      <c r="L280" s="448"/>
      <c r="M280" s="448"/>
      <c r="N280" s="449">
        <v>4228107.6534635704</v>
      </c>
      <c r="O280" s="432">
        <v>252.429310754395</v>
      </c>
      <c r="P280" s="429"/>
    </row>
    <row r="281" spans="1:16" ht="13.5" hidden="1" customHeight="1" outlineLevel="2" x14ac:dyDescent="0.2">
      <c r="A281" s="233">
        <v>0</v>
      </c>
      <c r="B281" s="233">
        <v>4</v>
      </c>
      <c r="C281" s="233">
        <v>4</v>
      </c>
      <c r="D281" s="234">
        <v>1</v>
      </c>
      <c r="E281" s="234">
        <v>0</v>
      </c>
      <c r="G281" s="450"/>
      <c r="H281" s="451" t="s">
        <v>1237</v>
      </c>
      <c r="I281" s="452" t="s">
        <v>3578</v>
      </c>
      <c r="J281" s="453" t="s">
        <v>2182</v>
      </c>
      <c r="K281" s="454"/>
      <c r="L281" s="455"/>
      <c r="M281" s="455"/>
      <c r="N281" s="456">
        <v>141892.47440000001</v>
      </c>
      <c r="O281" s="457">
        <v>8.4713593999165404</v>
      </c>
      <c r="P281" s="430"/>
    </row>
    <row r="282" spans="1:16" ht="12.75" hidden="1" customHeight="1" outlineLevel="3" x14ac:dyDescent="0.2">
      <c r="A282" s="233">
        <v>0</v>
      </c>
      <c r="B282" s="233">
        <v>4</v>
      </c>
      <c r="C282" s="233">
        <v>4</v>
      </c>
      <c r="D282" s="234">
        <v>1</v>
      </c>
      <c r="E282" s="234">
        <v>1</v>
      </c>
      <c r="G282" s="458" t="s">
        <v>41</v>
      </c>
      <c r="H282" s="459" t="s">
        <v>1238</v>
      </c>
      <c r="I282" s="460" t="s">
        <v>3579</v>
      </c>
      <c r="J282" s="461" t="s">
        <v>303</v>
      </c>
      <c r="K282" s="462" t="s">
        <v>1246</v>
      </c>
      <c r="L282" s="463">
        <v>208.4</v>
      </c>
      <c r="M282" s="463">
        <v>680.8660000000001</v>
      </c>
      <c r="N282" s="464">
        <v>141892.47440000001</v>
      </c>
      <c r="O282" s="471"/>
      <c r="P282" s="431" t="s">
        <v>6711</v>
      </c>
    </row>
    <row r="283" spans="1:16" ht="13.5" hidden="1" customHeight="1" outlineLevel="2" x14ac:dyDescent="0.2">
      <c r="A283" s="233">
        <v>0</v>
      </c>
      <c r="B283" s="233">
        <v>4</v>
      </c>
      <c r="C283" s="233">
        <v>4</v>
      </c>
      <c r="D283" s="234">
        <v>2</v>
      </c>
      <c r="E283" s="234">
        <v>0</v>
      </c>
      <c r="G283" s="450"/>
      <c r="H283" s="451" t="s">
        <v>1237</v>
      </c>
      <c r="I283" s="452" t="s">
        <v>3580</v>
      </c>
      <c r="J283" s="453" t="s">
        <v>2840</v>
      </c>
      <c r="K283" s="454"/>
      <c r="L283" s="455"/>
      <c r="M283" s="455"/>
      <c r="N283" s="456">
        <v>166812.17000000001</v>
      </c>
      <c r="O283" s="457">
        <v>9.9591317321475596</v>
      </c>
      <c r="P283" s="430"/>
    </row>
    <row r="284" spans="1:16" ht="12.75" hidden="1" customHeight="1" outlineLevel="3" x14ac:dyDescent="0.2">
      <c r="A284" s="233">
        <v>0</v>
      </c>
      <c r="B284" s="233">
        <v>4</v>
      </c>
      <c r="C284" s="233">
        <v>4</v>
      </c>
      <c r="D284" s="234">
        <v>2</v>
      </c>
      <c r="E284" s="234">
        <v>1</v>
      </c>
      <c r="G284" s="458" t="s">
        <v>41</v>
      </c>
      <c r="H284" s="459" t="s">
        <v>1238</v>
      </c>
      <c r="I284" s="460" t="s">
        <v>3581</v>
      </c>
      <c r="J284" s="461" t="s">
        <v>303</v>
      </c>
      <c r="K284" s="462" t="s">
        <v>1246</v>
      </c>
      <c r="L284" s="463">
        <v>245</v>
      </c>
      <c r="M284" s="463">
        <v>680.8660000000001</v>
      </c>
      <c r="N284" s="464">
        <v>166812.17000000001</v>
      </c>
      <c r="O284" s="471"/>
      <c r="P284" s="431" t="s">
        <v>6711</v>
      </c>
    </row>
    <row r="285" spans="1:16" ht="13.5" hidden="1" customHeight="1" outlineLevel="2" x14ac:dyDescent="0.2">
      <c r="A285" s="233">
        <v>0</v>
      </c>
      <c r="B285" s="233">
        <v>4</v>
      </c>
      <c r="C285" s="233">
        <v>4</v>
      </c>
      <c r="D285" s="234">
        <v>3</v>
      </c>
      <c r="E285" s="234">
        <v>0</v>
      </c>
      <c r="G285" s="450"/>
      <c r="H285" s="451" t="s">
        <v>1237</v>
      </c>
      <c r="I285" s="452" t="s">
        <v>3582</v>
      </c>
      <c r="J285" s="453" t="s">
        <v>2210</v>
      </c>
      <c r="K285" s="454"/>
      <c r="L285" s="455"/>
      <c r="M285" s="455"/>
      <c r="N285" s="456">
        <v>191799.9522</v>
      </c>
      <c r="O285" s="457">
        <v>11.450969016106001</v>
      </c>
      <c r="P285" s="430"/>
    </row>
    <row r="286" spans="1:16" ht="12.75" hidden="1" customHeight="1" outlineLevel="3" x14ac:dyDescent="0.2">
      <c r="A286" s="233">
        <v>0</v>
      </c>
      <c r="B286" s="233">
        <v>4</v>
      </c>
      <c r="C286" s="233">
        <v>4</v>
      </c>
      <c r="D286" s="234">
        <v>3</v>
      </c>
      <c r="E286" s="234">
        <v>1</v>
      </c>
      <c r="G286" s="458" t="s">
        <v>41</v>
      </c>
      <c r="H286" s="459" t="s">
        <v>1238</v>
      </c>
      <c r="I286" s="460" t="s">
        <v>3583</v>
      </c>
      <c r="J286" s="461" t="s">
        <v>303</v>
      </c>
      <c r="K286" s="462" t="s">
        <v>1246</v>
      </c>
      <c r="L286" s="463">
        <v>281.70000000000005</v>
      </c>
      <c r="M286" s="463">
        <v>680.8660000000001</v>
      </c>
      <c r="N286" s="464">
        <v>191799.9522</v>
      </c>
      <c r="O286" s="471"/>
      <c r="P286" s="431" t="s">
        <v>6711</v>
      </c>
    </row>
    <row r="287" spans="1:16" ht="13.5" hidden="1" customHeight="1" outlineLevel="2" x14ac:dyDescent="0.2">
      <c r="A287" s="233">
        <v>0</v>
      </c>
      <c r="B287" s="233">
        <v>4</v>
      </c>
      <c r="C287" s="233">
        <v>4</v>
      </c>
      <c r="D287" s="234">
        <v>4</v>
      </c>
      <c r="E287" s="234">
        <v>0</v>
      </c>
      <c r="G287" s="450"/>
      <c r="H287" s="451" t="s">
        <v>1237</v>
      </c>
      <c r="I287" s="452" t="s">
        <v>3584</v>
      </c>
      <c r="J287" s="453" t="s">
        <v>2211</v>
      </c>
      <c r="K287" s="454"/>
      <c r="L287" s="455"/>
      <c r="M287" s="455"/>
      <c r="N287" s="456">
        <v>193297.85740000001</v>
      </c>
      <c r="O287" s="457">
        <v>11.540397954108901</v>
      </c>
      <c r="P287" s="430"/>
    </row>
    <row r="288" spans="1:16" ht="12.75" hidden="1" customHeight="1" outlineLevel="3" x14ac:dyDescent="0.2">
      <c r="A288" s="233">
        <v>0</v>
      </c>
      <c r="B288" s="233">
        <v>4</v>
      </c>
      <c r="C288" s="233">
        <v>4</v>
      </c>
      <c r="D288" s="234">
        <v>4</v>
      </c>
      <c r="E288" s="234">
        <v>1</v>
      </c>
      <c r="G288" s="458" t="s">
        <v>41</v>
      </c>
      <c r="H288" s="459" t="s">
        <v>1238</v>
      </c>
      <c r="I288" s="460" t="s">
        <v>3585</v>
      </c>
      <c r="J288" s="461" t="s">
        <v>303</v>
      </c>
      <c r="K288" s="462" t="s">
        <v>1246</v>
      </c>
      <c r="L288" s="463">
        <v>283.90000000000003</v>
      </c>
      <c r="M288" s="463">
        <v>680.8660000000001</v>
      </c>
      <c r="N288" s="464">
        <v>193297.85740000001</v>
      </c>
      <c r="O288" s="471"/>
      <c r="P288" s="431" t="s">
        <v>6711</v>
      </c>
    </row>
    <row r="289" spans="1:16" ht="13.5" hidden="1" customHeight="1" outlineLevel="2" x14ac:dyDescent="0.2">
      <c r="A289" s="233">
        <v>0</v>
      </c>
      <c r="B289" s="233">
        <v>4</v>
      </c>
      <c r="C289" s="233">
        <v>4</v>
      </c>
      <c r="D289" s="234">
        <v>5</v>
      </c>
      <c r="E289" s="234">
        <v>0</v>
      </c>
      <c r="G289" s="450"/>
      <c r="H289" s="451" t="s">
        <v>1237</v>
      </c>
      <c r="I289" s="452" t="s">
        <v>3586</v>
      </c>
      <c r="J289" s="453" t="s">
        <v>2841</v>
      </c>
      <c r="K289" s="454"/>
      <c r="L289" s="455"/>
      <c r="M289" s="455"/>
      <c r="N289" s="456">
        <v>193428.436604944</v>
      </c>
      <c r="O289" s="457">
        <v>11.5481938811298</v>
      </c>
      <c r="P289" s="430"/>
    </row>
    <row r="290" spans="1:16" ht="12.75" hidden="1" customHeight="1" outlineLevel="3" x14ac:dyDescent="0.2">
      <c r="A290" s="233">
        <v>0</v>
      </c>
      <c r="B290" s="233">
        <v>4</v>
      </c>
      <c r="C290" s="233">
        <v>4</v>
      </c>
      <c r="D290" s="234">
        <v>5</v>
      </c>
      <c r="E290" s="234">
        <v>1</v>
      </c>
      <c r="G290" s="458" t="s">
        <v>41</v>
      </c>
      <c r="H290" s="459" t="s">
        <v>1238</v>
      </c>
      <c r="I290" s="460" t="s">
        <v>3587</v>
      </c>
      <c r="J290" s="461" t="s">
        <v>303</v>
      </c>
      <c r="K290" s="462" t="s">
        <v>1246</v>
      </c>
      <c r="L290" s="463">
        <v>284.09178400000002</v>
      </c>
      <c r="M290" s="463">
        <v>680.8660000000001</v>
      </c>
      <c r="N290" s="464">
        <v>193428.436604944</v>
      </c>
      <c r="O290" s="471"/>
      <c r="P290" s="431" t="s">
        <v>6711</v>
      </c>
    </row>
    <row r="291" spans="1:16" ht="13.5" hidden="1" customHeight="1" outlineLevel="2" x14ac:dyDescent="0.2">
      <c r="A291" s="233">
        <v>0</v>
      </c>
      <c r="B291" s="233">
        <v>4</v>
      </c>
      <c r="C291" s="233">
        <v>4</v>
      </c>
      <c r="D291" s="234">
        <v>6</v>
      </c>
      <c r="E291" s="234">
        <v>0</v>
      </c>
      <c r="G291" s="450"/>
      <c r="H291" s="451" t="s">
        <v>1237</v>
      </c>
      <c r="I291" s="452" t="s">
        <v>3588</v>
      </c>
      <c r="J291" s="453" t="s">
        <v>2842</v>
      </c>
      <c r="K291" s="454"/>
      <c r="L291" s="455"/>
      <c r="M291" s="455"/>
      <c r="N291" s="456">
        <v>195471.034604944</v>
      </c>
      <c r="O291" s="457">
        <v>11.670142432952099</v>
      </c>
      <c r="P291" s="430"/>
    </row>
    <row r="292" spans="1:16" ht="12.75" hidden="1" customHeight="1" outlineLevel="3" x14ac:dyDescent="0.2">
      <c r="A292" s="233">
        <v>0</v>
      </c>
      <c r="B292" s="233">
        <v>4</v>
      </c>
      <c r="C292" s="233">
        <v>4</v>
      </c>
      <c r="D292" s="234">
        <v>6</v>
      </c>
      <c r="E292" s="234">
        <v>1</v>
      </c>
      <c r="G292" s="458" t="s">
        <v>41</v>
      </c>
      <c r="H292" s="459" t="s">
        <v>1238</v>
      </c>
      <c r="I292" s="460" t="s">
        <v>3589</v>
      </c>
      <c r="J292" s="461" t="s">
        <v>303</v>
      </c>
      <c r="K292" s="462" t="s">
        <v>1246</v>
      </c>
      <c r="L292" s="463">
        <v>287.09178400000002</v>
      </c>
      <c r="M292" s="463">
        <v>680.8660000000001</v>
      </c>
      <c r="N292" s="464">
        <v>195471.034604944</v>
      </c>
      <c r="O292" s="471"/>
      <c r="P292" s="431" t="s">
        <v>6711</v>
      </c>
    </row>
    <row r="293" spans="1:16" ht="13.5" hidden="1" customHeight="1" outlineLevel="2" x14ac:dyDescent="0.2">
      <c r="A293" s="233">
        <v>0</v>
      </c>
      <c r="B293" s="233">
        <v>4</v>
      </c>
      <c r="C293" s="233">
        <v>4</v>
      </c>
      <c r="D293" s="234">
        <v>7</v>
      </c>
      <c r="E293" s="234">
        <v>0</v>
      </c>
      <c r="G293" s="450"/>
      <c r="H293" s="451" t="s">
        <v>1237</v>
      </c>
      <c r="I293" s="452" t="s">
        <v>3590</v>
      </c>
      <c r="J293" s="453" t="s">
        <v>2212</v>
      </c>
      <c r="K293" s="454"/>
      <c r="L293" s="455"/>
      <c r="M293" s="455"/>
      <c r="N293" s="456">
        <v>204118.032804944</v>
      </c>
      <c r="O293" s="457">
        <v>12.186391302332799</v>
      </c>
      <c r="P293" s="430"/>
    </row>
    <row r="294" spans="1:16" ht="12.75" hidden="1" customHeight="1" outlineLevel="3" x14ac:dyDescent="0.2">
      <c r="A294" s="233">
        <v>0</v>
      </c>
      <c r="B294" s="233">
        <v>4</v>
      </c>
      <c r="C294" s="233">
        <v>4</v>
      </c>
      <c r="D294" s="234">
        <v>7</v>
      </c>
      <c r="E294" s="234">
        <v>1</v>
      </c>
      <c r="G294" s="458" t="s">
        <v>41</v>
      </c>
      <c r="H294" s="459" t="s">
        <v>1238</v>
      </c>
      <c r="I294" s="460" t="s">
        <v>3591</v>
      </c>
      <c r="J294" s="461" t="s">
        <v>303</v>
      </c>
      <c r="K294" s="462" t="s">
        <v>1246</v>
      </c>
      <c r="L294" s="463">
        <v>299.79178400000006</v>
      </c>
      <c r="M294" s="463">
        <v>680.8660000000001</v>
      </c>
      <c r="N294" s="464">
        <v>204118.032804944</v>
      </c>
      <c r="O294" s="471"/>
      <c r="P294" s="431" t="s">
        <v>6711</v>
      </c>
    </row>
    <row r="295" spans="1:16" ht="13.5" hidden="1" customHeight="1" outlineLevel="2" x14ac:dyDescent="0.2">
      <c r="A295" s="233">
        <v>0</v>
      </c>
      <c r="B295" s="233">
        <v>4</v>
      </c>
      <c r="C295" s="233">
        <v>4</v>
      </c>
      <c r="D295" s="234">
        <v>8</v>
      </c>
      <c r="E295" s="234">
        <v>0</v>
      </c>
      <c r="G295" s="450"/>
      <c r="H295" s="451" t="s">
        <v>1237</v>
      </c>
      <c r="I295" s="452" t="s">
        <v>3592</v>
      </c>
      <c r="J295" s="453" t="s">
        <v>2843</v>
      </c>
      <c r="K295" s="454"/>
      <c r="L295" s="455"/>
      <c r="M295" s="455"/>
      <c r="N295" s="456">
        <v>55280.725204943999</v>
      </c>
      <c r="O295" s="457">
        <v>3.3004068262207</v>
      </c>
      <c r="P295" s="430"/>
    </row>
    <row r="296" spans="1:16" ht="12.75" hidden="1" customHeight="1" outlineLevel="3" x14ac:dyDescent="0.2">
      <c r="A296" s="233">
        <v>0</v>
      </c>
      <c r="B296" s="233">
        <v>4</v>
      </c>
      <c r="C296" s="233">
        <v>4</v>
      </c>
      <c r="D296" s="234">
        <v>8</v>
      </c>
      <c r="E296" s="234">
        <v>1</v>
      </c>
      <c r="G296" s="458" t="s">
        <v>41</v>
      </c>
      <c r="H296" s="459" t="s">
        <v>1238</v>
      </c>
      <c r="I296" s="460" t="s">
        <v>3593</v>
      </c>
      <c r="J296" s="461" t="s">
        <v>303</v>
      </c>
      <c r="K296" s="462" t="s">
        <v>1246</v>
      </c>
      <c r="L296" s="463">
        <v>81.191784000000013</v>
      </c>
      <c r="M296" s="463">
        <v>680.8660000000001</v>
      </c>
      <c r="N296" s="464">
        <v>55280.725204943999</v>
      </c>
      <c r="O296" s="471"/>
      <c r="P296" s="431" t="s">
        <v>6711</v>
      </c>
    </row>
    <row r="297" spans="1:16" ht="13.5" hidden="1" customHeight="1" outlineLevel="2" x14ac:dyDescent="0.2">
      <c r="A297" s="233">
        <v>0</v>
      </c>
      <c r="B297" s="233">
        <v>4</v>
      </c>
      <c r="C297" s="233">
        <v>4</v>
      </c>
      <c r="D297" s="234">
        <v>9</v>
      </c>
      <c r="E297" s="234">
        <v>0</v>
      </c>
      <c r="G297" s="450"/>
      <c r="H297" s="451" t="s">
        <v>1237</v>
      </c>
      <c r="I297" s="452" t="s">
        <v>3594</v>
      </c>
      <c r="J297" s="453" t="s">
        <v>2213</v>
      </c>
      <c r="K297" s="454"/>
      <c r="L297" s="455"/>
      <c r="M297" s="455"/>
      <c r="N297" s="456">
        <v>148763.62700494399</v>
      </c>
      <c r="O297" s="457">
        <v>8.8815855479507402</v>
      </c>
      <c r="P297" s="430"/>
    </row>
    <row r="298" spans="1:16" ht="12.75" hidden="1" customHeight="1" outlineLevel="3" x14ac:dyDescent="0.2">
      <c r="A298" s="233">
        <v>0</v>
      </c>
      <c r="B298" s="233">
        <v>4</v>
      </c>
      <c r="C298" s="233">
        <v>4</v>
      </c>
      <c r="D298" s="234">
        <v>9</v>
      </c>
      <c r="E298" s="234">
        <v>1</v>
      </c>
      <c r="G298" s="458" t="s">
        <v>41</v>
      </c>
      <c r="H298" s="459" t="s">
        <v>1238</v>
      </c>
      <c r="I298" s="460" t="s">
        <v>3595</v>
      </c>
      <c r="J298" s="461" t="s">
        <v>303</v>
      </c>
      <c r="K298" s="462" t="s">
        <v>1246</v>
      </c>
      <c r="L298" s="463">
        <v>218.491784</v>
      </c>
      <c r="M298" s="463">
        <v>680.8660000000001</v>
      </c>
      <c r="N298" s="464">
        <v>148763.62700494399</v>
      </c>
      <c r="O298" s="471"/>
      <c r="P298" s="431" t="s">
        <v>6711</v>
      </c>
    </row>
    <row r="299" spans="1:16" ht="13.5" hidden="1" customHeight="1" outlineLevel="2" x14ac:dyDescent="0.2">
      <c r="A299" s="233">
        <v>0</v>
      </c>
      <c r="B299" s="233">
        <v>4</v>
      </c>
      <c r="C299" s="233">
        <v>4</v>
      </c>
      <c r="D299" s="234">
        <v>10</v>
      </c>
      <c r="E299" s="234">
        <v>0</v>
      </c>
      <c r="G299" s="450"/>
      <c r="H299" s="451" t="s">
        <v>1237</v>
      </c>
      <c r="I299" s="452" t="s">
        <v>3596</v>
      </c>
      <c r="J299" s="453" t="s">
        <v>2214</v>
      </c>
      <c r="K299" s="454"/>
      <c r="L299" s="455"/>
      <c r="M299" s="455"/>
      <c r="N299" s="456">
        <v>95193.090124944007</v>
      </c>
      <c r="O299" s="457">
        <v>5.6832815288267797</v>
      </c>
      <c r="P299" s="430"/>
    </row>
    <row r="300" spans="1:16" ht="12.75" hidden="1" customHeight="1" outlineLevel="3" x14ac:dyDescent="0.2">
      <c r="A300" s="233">
        <v>0</v>
      </c>
      <c r="B300" s="233">
        <v>4</v>
      </c>
      <c r="C300" s="233">
        <v>4</v>
      </c>
      <c r="D300" s="234">
        <v>10</v>
      </c>
      <c r="E300" s="234">
        <v>1</v>
      </c>
      <c r="G300" s="458" t="s">
        <v>41</v>
      </c>
      <c r="H300" s="459" t="s">
        <v>1238</v>
      </c>
      <c r="I300" s="460" t="s">
        <v>3597</v>
      </c>
      <c r="J300" s="461" t="s">
        <v>303</v>
      </c>
      <c r="K300" s="462" t="s">
        <v>1246</v>
      </c>
      <c r="L300" s="463">
        <v>139.81178399999999</v>
      </c>
      <c r="M300" s="463">
        <v>680.8660000000001</v>
      </c>
      <c r="N300" s="464">
        <v>95193.090124944007</v>
      </c>
      <c r="O300" s="471"/>
      <c r="P300" s="431" t="s">
        <v>6711</v>
      </c>
    </row>
    <row r="301" spans="1:16" ht="13.5" hidden="1" customHeight="1" outlineLevel="2" x14ac:dyDescent="0.2">
      <c r="A301" s="233">
        <v>0</v>
      </c>
      <c r="B301" s="233">
        <v>4</v>
      </c>
      <c r="C301" s="233">
        <v>4</v>
      </c>
      <c r="D301" s="234">
        <v>11</v>
      </c>
      <c r="E301" s="234">
        <v>0</v>
      </c>
      <c r="G301" s="450"/>
      <c r="H301" s="451" t="s">
        <v>1237</v>
      </c>
      <c r="I301" s="452" t="s">
        <v>3598</v>
      </c>
      <c r="J301" s="453" t="s">
        <v>2215</v>
      </c>
      <c r="K301" s="454"/>
      <c r="L301" s="455"/>
      <c r="M301" s="455"/>
      <c r="N301" s="456">
        <v>626754.87041608803</v>
      </c>
      <c r="O301" s="457">
        <v>37.418938427807099</v>
      </c>
      <c r="P301" s="430"/>
    </row>
    <row r="302" spans="1:16" ht="12.75" hidden="1" customHeight="1" outlineLevel="3" x14ac:dyDescent="0.2">
      <c r="A302" s="233">
        <v>0</v>
      </c>
      <c r="B302" s="233">
        <v>4</v>
      </c>
      <c r="C302" s="233">
        <v>4</v>
      </c>
      <c r="D302" s="234">
        <v>11</v>
      </c>
      <c r="E302" s="234">
        <v>1</v>
      </c>
      <c r="G302" s="458" t="s">
        <v>41</v>
      </c>
      <c r="H302" s="459" t="s">
        <v>1238</v>
      </c>
      <c r="I302" s="460" t="s">
        <v>3599</v>
      </c>
      <c r="J302" s="461" t="s">
        <v>2844</v>
      </c>
      <c r="K302" s="462" t="s">
        <v>1246</v>
      </c>
      <c r="L302" s="463">
        <v>1010.2317839999999</v>
      </c>
      <c r="M302" s="463">
        <v>620.40700000000004</v>
      </c>
      <c r="N302" s="464">
        <v>626754.87041608803</v>
      </c>
      <c r="O302" s="471"/>
      <c r="P302" s="431" t="s">
        <v>6711</v>
      </c>
    </row>
    <row r="303" spans="1:16" ht="13.5" hidden="1" customHeight="1" outlineLevel="2" x14ac:dyDescent="0.2">
      <c r="A303" s="233">
        <v>0</v>
      </c>
      <c r="B303" s="233">
        <v>4</v>
      </c>
      <c r="C303" s="233">
        <v>4</v>
      </c>
      <c r="D303" s="234">
        <v>12</v>
      </c>
      <c r="E303" s="234">
        <v>0</v>
      </c>
      <c r="G303" s="450"/>
      <c r="H303" s="451" t="s">
        <v>1237</v>
      </c>
      <c r="I303" s="452" t="s">
        <v>3600</v>
      </c>
      <c r="J303" s="453" t="s">
        <v>2216</v>
      </c>
      <c r="K303" s="454"/>
      <c r="L303" s="455"/>
      <c r="M303" s="455"/>
      <c r="N303" s="456">
        <v>1732746.6518939401</v>
      </c>
      <c r="O303" s="457">
        <v>103.449599418612</v>
      </c>
      <c r="P303" s="430"/>
    </row>
    <row r="304" spans="1:16" ht="12.75" hidden="1" customHeight="1" outlineLevel="3" x14ac:dyDescent="0.2">
      <c r="A304" s="233">
        <v>0</v>
      </c>
      <c r="B304" s="233">
        <v>4</v>
      </c>
      <c r="C304" s="233">
        <v>4</v>
      </c>
      <c r="D304" s="234">
        <v>12</v>
      </c>
      <c r="E304" s="234">
        <v>1</v>
      </c>
      <c r="G304" s="458" t="s">
        <v>41</v>
      </c>
      <c r="H304" s="459" t="s">
        <v>1238</v>
      </c>
      <c r="I304" s="460" t="s">
        <v>3601</v>
      </c>
      <c r="J304" s="461" t="s">
        <v>2844</v>
      </c>
      <c r="K304" s="462" t="s">
        <v>1246</v>
      </c>
      <c r="L304" s="463">
        <v>2792.9192480000002</v>
      </c>
      <c r="M304" s="463">
        <v>620.40700000000004</v>
      </c>
      <c r="N304" s="464">
        <v>1732746.6518939401</v>
      </c>
      <c r="O304" s="471"/>
      <c r="P304" s="431" t="s">
        <v>6711</v>
      </c>
    </row>
    <row r="305" spans="1:16" ht="13.5" hidden="1" customHeight="1" outlineLevel="2" x14ac:dyDescent="0.2">
      <c r="A305" s="233">
        <v>0</v>
      </c>
      <c r="B305" s="233">
        <v>4</v>
      </c>
      <c r="C305" s="233">
        <v>4</v>
      </c>
      <c r="D305" s="234">
        <v>13</v>
      </c>
      <c r="E305" s="234">
        <v>0</v>
      </c>
      <c r="G305" s="450"/>
      <c r="H305" s="451" t="s">
        <v>1237</v>
      </c>
      <c r="I305" s="452" t="s">
        <v>3602</v>
      </c>
      <c r="J305" s="453" t="s">
        <v>2845</v>
      </c>
      <c r="K305" s="454"/>
      <c r="L305" s="455"/>
      <c r="M305" s="455"/>
      <c r="N305" s="456">
        <v>77910.599709903996</v>
      </c>
      <c r="O305" s="457">
        <v>4.6514707280742797</v>
      </c>
      <c r="P305" s="430"/>
    </row>
    <row r="306" spans="1:16" ht="12.75" hidden="1" customHeight="1" outlineLevel="3" x14ac:dyDescent="0.2">
      <c r="A306" s="233">
        <v>0</v>
      </c>
      <c r="B306" s="233">
        <v>4</v>
      </c>
      <c r="C306" s="233">
        <v>4</v>
      </c>
      <c r="D306" s="234">
        <v>13</v>
      </c>
      <c r="E306" s="234">
        <v>1</v>
      </c>
      <c r="G306" s="458" t="s">
        <v>41</v>
      </c>
      <c r="H306" s="459" t="s">
        <v>1238</v>
      </c>
      <c r="I306" s="460" t="s">
        <v>3603</v>
      </c>
      <c r="J306" s="461" t="s">
        <v>301</v>
      </c>
      <c r="K306" s="462" t="s">
        <v>1246</v>
      </c>
      <c r="L306" s="463">
        <v>123.411784</v>
      </c>
      <c r="M306" s="463">
        <v>631.30600000000004</v>
      </c>
      <c r="N306" s="464">
        <v>77910.599709903996</v>
      </c>
      <c r="O306" s="471"/>
      <c r="P306" s="431" t="s">
        <v>6711</v>
      </c>
    </row>
    <row r="307" spans="1:16" ht="13.5" hidden="1" customHeight="1" outlineLevel="2" x14ac:dyDescent="0.2">
      <c r="A307" s="233">
        <v>0</v>
      </c>
      <c r="B307" s="233">
        <v>4</v>
      </c>
      <c r="C307" s="233">
        <v>4</v>
      </c>
      <c r="D307" s="234">
        <v>14</v>
      </c>
      <c r="E307" s="234">
        <v>0</v>
      </c>
      <c r="G307" s="450"/>
      <c r="H307" s="451" t="s">
        <v>1237</v>
      </c>
      <c r="I307" s="452" t="s">
        <v>3604</v>
      </c>
      <c r="J307" s="453" t="s">
        <v>2846</v>
      </c>
      <c r="K307" s="454"/>
      <c r="L307" s="455"/>
      <c r="M307" s="455"/>
      <c r="N307" s="456">
        <v>72127.836749904003</v>
      </c>
      <c r="O307" s="457">
        <v>4.3062243465037797</v>
      </c>
      <c r="P307" s="430"/>
    </row>
    <row r="308" spans="1:16" ht="12.75" hidden="1" customHeight="1" outlineLevel="3" x14ac:dyDescent="0.2">
      <c r="A308" s="233">
        <v>0</v>
      </c>
      <c r="B308" s="233">
        <v>4</v>
      </c>
      <c r="C308" s="233">
        <v>4</v>
      </c>
      <c r="D308" s="234">
        <v>14</v>
      </c>
      <c r="E308" s="234">
        <v>1</v>
      </c>
      <c r="G308" s="458" t="s">
        <v>41</v>
      </c>
      <c r="H308" s="459" t="s">
        <v>1238</v>
      </c>
      <c r="I308" s="460" t="s">
        <v>3605</v>
      </c>
      <c r="J308" s="461" t="s">
        <v>301</v>
      </c>
      <c r="K308" s="462" t="s">
        <v>1246</v>
      </c>
      <c r="L308" s="463">
        <v>114.251784</v>
      </c>
      <c r="M308" s="463">
        <v>631.30600000000004</v>
      </c>
      <c r="N308" s="464">
        <v>72127.836749904003</v>
      </c>
      <c r="O308" s="471"/>
      <c r="P308" s="431" t="s">
        <v>6711</v>
      </c>
    </row>
    <row r="309" spans="1:16" ht="13.5" hidden="1" customHeight="1" outlineLevel="2" x14ac:dyDescent="0.2">
      <c r="A309" s="233">
        <v>0</v>
      </c>
      <c r="B309" s="233">
        <v>4</v>
      </c>
      <c r="C309" s="233">
        <v>4</v>
      </c>
      <c r="D309" s="234">
        <v>15</v>
      </c>
      <c r="E309" s="234">
        <v>0</v>
      </c>
      <c r="G309" s="450"/>
      <c r="H309" s="451" t="s">
        <v>1237</v>
      </c>
      <c r="I309" s="452" t="s">
        <v>3606</v>
      </c>
      <c r="J309" s="453" t="s">
        <v>2217</v>
      </c>
      <c r="K309" s="454"/>
      <c r="L309" s="455"/>
      <c r="M309" s="455"/>
      <c r="N309" s="456">
        <v>85340.529944075999</v>
      </c>
      <c r="O309" s="457">
        <v>5.0950573918218103</v>
      </c>
      <c r="P309" s="430"/>
    </row>
    <row r="310" spans="1:16" ht="12.75" hidden="1" customHeight="1" outlineLevel="3" x14ac:dyDescent="0.2">
      <c r="A310" s="233">
        <v>0</v>
      </c>
      <c r="B310" s="233">
        <v>4</v>
      </c>
      <c r="C310" s="233">
        <v>4</v>
      </c>
      <c r="D310" s="234">
        <v>15</v>
      </c>
      <c r="E310" s="234">
        <v>1</v>
      </c>
      <c r="G310" s="458" t="s">
        <v>41</v>
      </c>
      <c r="H310" s="459" t="s">
        <v>1238</v>
      </c>
      <c r="I310" s="460" t="s">
        <v>3607</v>
      </c>
      <c r="J310" s="461" t="s">
        <v>1699</v>
      </c>
      <c r="K310" s="462" t="s">
        <v>1246</v>
      </c>
      <c r="L310" s="463">
        <v>125.921784</v>
      </c>
      <c r="M310" s="463">
        <v>677.72649999999999</v>
      </c>
      <c r="N310" s="464">
        <v>85340.529944075999</v>
      </c>
      <c r="O310" s="471"/>
      <c r="P310" s="431" t="s">
        <v>6711</v>
      </c>
    </row>
    <row r="311" spans="1:16" ht="13.5" hidden="1" customHeight="1" outlineLevel="2" x14ac:dyDescent="0.2">
      <c r="A311" s="233">
        <v>0</v>
      </c>
      <c r="B311" s="233">
        <v>4</v>
      </c>
      <c r="C311" s="233">
        <v>4</v>
      </c>
      <c r="D311" s="234">
        <v>16</v>
      </c>
      <c r="E311" s="234">
        <v>0</v>
      </c>
      <c r="G311" s="450"/>
      <c r="H311" s="451" t="s">
        <v>1237</v>
      </c>
      <c r="I311" s="452" t="s">
        <v>3608</v>
      </c>
      <c r="J311" s="453" t="s">
        <v>2218</v>
      </c>
      <c r="K311" s="454"/>
      <c r="L311" s="455"/>
      <c r="M311" s="455"/>
      <c r="N311" s="456">
        <v>47169.7644</v>
      </c>
      <c r="O311" s="457">
        <v>2.8161608198848098</v>
      </c>
      <c r="P311" s="430"/>
    </row>
    <row r="312" spans="1:16" ht="12.75" hidden="1" customHeight="1" outlineLevel="3" x14ac:dyDescent="0.2">
      <c r="A312" s="233">
        <v>0</v>
      </c>
      <c r="B312" s="233">
        <v>4</v>
      </c>
      <c r="C312" s="233">
        <v>4</v>
      </c>
      <c r="D312" s="234">
        <v>16</v>
      </c>
      <c r="E312" s="234">
        <v>1</v>
      </c>
      <c r="G312" s="458" t="s">
        <v>41</v>
      </c>
      <c r="H312" s="459" t="s">
        <v>1238</v>
      </c>
      <c r="I312" s="460" t="s">
        <v>3609</v>
      </c>
      <c r="J312" s="461" t="s">
        <v>1699</v>
      </c>
      <c r="K312" s="462" t="s">
        <v>1246</v>
      </c>
      <c r="L312" s="463">
        <v>69.599999999999994</v>
      </c>
      <c r="M312" s="463">
        <v>677.72649999999999</v>
      </c>
      <c r="N312" s="464">
        <v>47169.7644</v>
      </c>
      <c r="O312" s="475"/>
      <c r="P312" s="431" t="s">
        <v>6711</v>
      </c>
    </row>
    <row r="313" spans="1:16" ht="13.5" hidden="1" customHeight="1" outlineLevel="1" x14ac:dyDescent="0.2">
      <c r="A313" s="233">
        <v>0</v>
      </c>
      <c r="B313" s="233">
        <v>4</v>
      </c>
      <c r="C313" s="233">
        <v>5</v>
      </c>
      <c r="D313" s="234">
        <v>0</v>
      </c>
      <c r="E313" s="234">
        <v>1</v>
      </c>
      <c r="G313" s="443"/>
      <c r="H313" s="444" t="s">
        <v>38</v>
      </c>
      <c r="I313" s="445" t="s">
        <v>3610</v>
      </c>
      <c r="J313" s="446" t="s">
        <v>2119</v>
      </c>
      <c r="K313" s="447"/>
      <c r="L313" s="448"/>
      <c r="M313" s="448"/>
      <c r="N313" s="449">
        <v>303185.25295403501</v>
      </c>
      <c r="O313" s="432">
        <v>18.100968732759199</v>
      </c>
      <c r="P313" s="429"/>
    </row>
    <row r="314" spans="1:16" ht="12.6" hidden="1" customHeight="1" outlineLevel="2" x14ac:dyDescent="0.2">
      <c r="A314" s="233">
        <v>0</v>
      </c>
      <c r="B314" s="233">
        <v>4</v>
      </c>
      <c r="C314" s="233">
        <v>5</v>
      </c>
      <c r="D314" s="234">
        <v>1</v>
      </c>
      <c r="E314" s="234">
        <v>0</v>
      </c>
      <c r="G314" s="450"/>
      <c r="H314" s="451" t="s">
        <v>1237</v>
      </c>
      <c r="I314" s="452" t="s">
        <v>3611</v>
      </c>
      <c r="J314" s="453" t="s">
        <v>2183</v>
      </c>
      <c r="K314" s="454"/>
      <c r="L314" s="455"/>
      <c r="M314" s="455"/>
      <c r="N314" s="456">
        <v>14412.694544125099</v>
      </c>
      <c r="O314" s="457">
        <v>0.86047632843662802</v>
      </c>
      <c r="P314" s="430"/>
    </row>
    <row r="315" spans="1:16" ht="12.6" hidden="1" customHeight="1" outlineLevel="3" x14ac:dyDescent="0.2">
      <c r="A315" s="233">
        <v>0</v>
      </c>
      <c r="B315" s="233">
        <v>4</v>
      </c>
      <c r="C315" s="233">
        <v>5</v>
      </c>
      <c r="D315" s="234">
        <v>1</v>
      </c>
      <c r="E315" s="234">
        <v>1</v>
      </c>
      <c r="G315" s="458" t="s">
        <v>41</v>
      </c>
      <c r="H315" s="459" t="s">
        <v>1238</v>
      </c>
      <c r="I315" s="460" t="s">
        <v>3612</v>
      </c>
      <c r="J315" s="461" t="s">
        <v>329</v>
      </c>
      <c r="K315" s="462" t="s">
        <v>641</v>
      </c>
      <c r="L315" s="463">
        <v>784.58</v>
      </c>
      <c r="M315" s="463">
        <v>18.36994894609235</v>
      </c>
      <c r="N315" s="464">
        <v>14412.694544125099</v>
      </c>
      <c r="O315" s="471" t="s">
        <v>2994</v>
      </c>
      <c r="P315" s="431" t="s">
        <v>6711</v>
      </c>
    </row>
    <row r="316" spans="1:16" ht="12.6" hidden="1" customHeight="1" outlineLevel="2" x14ac:dyDescent="0.2">
      <c r="A316" s="233">
        <v>0</v>
      </c>
      <c r="B316" s="233">
        <v>4</v>
      </c>
      <c r="C316" s="233">
        <v>5</v>
      </c>
      <c r="D316" s="234">
        <v>2</v>
      </c>
      <c r="E316" s="234">
        <v>0</v>
      </c>
      <c r="G316" s="450"/>
      <c r="H316" s="451" t="s">
        <v>1237</v>
      </c>
      <c r="I316" s="452" t="s">
        <v>3613</v>
      </c>
      <c r="J316" s="453" t="s">
        <v>2847</v>
      </c>
      <c r="K316" s="454"/>
      <c r="L316" s="455"/>
      <c r="M316" s="455"/>
      <c r="N316" s="456">
        <v>14717.0845981619</v>
      </c>
      <c r="O316" s="457">
        <v>0.87864922700936099</v>
      </c>
      <c r="P316" s="430"/>
    </row>
    <row r="317" spans="1:16" ht="12.6" hidden="1" customHeight="1" outlineLevel="3" x14ac:dyDescent="0.2">
      <c r="A317" s="233">
        <v>0</v>
      </c>
      <c r="B317" s="233">
        <v>4</v>
      </c>
      <c r="C317" s="233">
        <v>5</v>
      </c>
      <c r="D317" s="234">
        <v>2</v>
      </c>
      <c r="E317" s="234">
        <v>1</v>
      </c>
      <c r="G317" s="458" t="s">
        <v>41</v>
      </c>
      <c r="H317" s="459" t="s">
        <v>1238</v>
      </c>
      <c r="I317" s="460" t="s">
        <v>3614</v>
      </c>
      <c r="J317" s="461" t="s">
        <v>329</v>
      </c>
      <c r="K317" s="462" t="s">
        <v>641</v>
      </c>
      <c r="L317" s="463">
        <v>801.15</v>
      </c>
      <c r="M317" s="463">
        <v>18.369948946092357</v>
      </c>
      <c r="N317" s="464">
        <v>14717.0845981619</v>
      </c>
      <c r="O317" s="471" t="s">
        <v>2994</v>
      </c>
      <c r="P317" s="431" t="s">
        <v>6711</v>
      </c>
    </row>
    <row r="318" spans="1:16" ht="12.6" hidden="1" customHeight="1" outlineLevel="2" x14ac:dyDescent="0.2">
      <c r="A318" s="233">
        <v>0</v>
      </c>
      <c r="B318" s="233">
        <v>4</v>
      </c>
      <c r="C318" s="233">
        <v>5</v>
      </c>
      <c r="D318" s="234">
        <v>3</v>
      </c>
      <c r="E318" s="234">
        <v>0</v>
      </c>
      <c r="G318" s="450"/>
      <c r="H318" s="451" t="s">
        <v>1237</v>
      </c>
      <c r="I318" s="452" t="s">
        <v>3615</v>
      </c>
      <c r="J318" s="453" t="s">
        <v>2219</v>
      </c>
      <c r="K318" s="454"/>
      <c r="L318" s="455"/>
      <c r="M318" s="455"/>
      <c r="N318" s="456">
        <v>16138.000149142201</v>
      </c>
      <c r="O318" s="457">
        <v>0.96348167749825397</v>
      </c>
      <c r="P318" s="430"/>
    </row>
    <row r="319" spans="1:16" ht="12.6" hidden="1" customHeight="1" outlineLevel="3" x14ac:dyDescent="0.2">
      <c r="A319" s="233">
        <v>0</v>
      </c>
      <c r="B319" s="233">
        <v>4</v>
      </c>
      <c r="C319" s="233">
        <v>5</v>
      </c>
      <c r="D319" s="234">
        <v>3</v>
      </c>
      <c r="E319" s="234">
        <v>1</v>
      </c>
      <c r="G319" s="458" t="s">
        <v>41</v>
      </c>
      <c r="H319" s="459" t="s">
        <v>1238</v>
      </c>
      <c r="I319" s="460" t="s">
        <v>3616</v>
      </c>
      <c r="J319" s="461" t="s">
        <v>329</v>
      </c>
      <c r="K319" s="462" t="s">
        <v>641</v>
      </c>
      <c r="L319" s="463">
        <v>878.5</v>
      </c>
      <c r="M319" s="463">
        <v>18.369948946092403</v>
      </c>
      <c r="N319" s="464">
        <v>16138.000149142201</v>
      </c>
      <c r="O319" s="471" t="s">
        <v>2994</v>
      </c>
      <c r="P319" s="431" t="s">
        <v>6711</v>
      </c>
    </row>
    <row r="320" spans="1:16" ht="12.6" hidden="1" customHeight="1" outlineLevel="2" x14ac:dyDescent="0.2">
      <c r="A320" s="233">
        <v>0</v>
      </c>
      <c r="B320" s="233">
        <v>4</v>
      </c>
      <c r="C320" s="233">
        <v>5</v>
      </c>
      <c r="D320" s="234">
        <v>4</v>
      </c>
      <c r="E320" s="234">
        <v>0</v>
      </c>
      <c r="G320" s="450"/>
      <c r="H320" s="451" t="s">
        <v>1237</v>
      </c>
      <c r="I320" s="452" t="s">
        <v>3617</v>
      </c>
      <c r="J320" s="453" t="s">
        <v>2220</v>
      </c>
      <c r="K320" s="454"/>
      <c r="L320" s="455"/>
      <c r="M320" s="455"/>
      <c r="N320" s="456">
        <v>16138.000149142201</v>
      </c>
      <c r="O320" s="457">
        <v>0.96348167749825397</v>
      </c>
      <c r="P320" s="430"/>
    </row>
    <row r="321" spans="1:16" ht="12.6" hidden="1" customHeight="1" outlineLevel="3" x14ac:dyDescent="0.2">
      <c r="A321" s="233">
        <v>0</v>
      </c>
      <c r="B321" s="233">
        <v>4</v>
      </c>
      <c r="C321" s="233">
        <v>5</v>
      </c>
      <c r="D321" s="234">
        <v>4</v>
      </c>
      <c r="E321" s="234">
        <v>1</v>
      </c>
      <c r="G321" s="458" t="s">
        <v>41</v>
      </c>
      <c r="H321" s="459" t="s">
        <v>1238</v>
      </c>
      <c r="I321" s="460" t="s">
        <v>3618</v>
      </c>
      <c r="J321" s="461" t="s">
        <v>329</v>
      </c>
      <c r="K321" s="462" t="s">
        <v>641</v>
      </c>
      <c r="L321" s="463">
        <v>878.5</v>
      </c>
      <c r="M321" s="463">
        <v>18.369948946092403</v>
      </c>
      <c r="N321" s="464">
        <v>16138.000149142201</v>
      </c>
      <c r="O321" s="471" t="s">
        <v>2994</v>
      </c>
      <c r="P321" s="431" t="s">
        <v>6711</v>
      </c>
    </row>
    <row r="322" spans="1:16" ht="12.6" hidden="1" customHeight="1" outlineLevel="2" x14ac:dyDescent="0.2">
      <c r="A322" s="233">
        <v>0</v>
      </c>
      <c r="B322" s="233">
        <v>4</v>
      </c>
      <c r="C322" s="233">
        <v>5</v>
      </c>
      <c r="D322" s="234">
        <v>5</v>
      </c>
      <c r="E322" s="234">
        <v>0</v>
      </c>
      <c r="G322" s="450"/>
      <c r="H322" s="451" t="s">
        <v>1237</v>
      </c>
      <c r="I322" s="452" t="s">
        <v>3619</v>
      </c>
      <c r="J322" s="453" t="s">
        <v>2848</v>
      </c>
      <c r="K322" s="454"/>
      <c r="L322" s="455"/>
      <c r="M322" s="455"/>
      <c r="N322" s="456">
        <v>16138.000149142201</v>
      </c>
      <c r="O322" s="457">
        <v>0.96348167749825397</v>
      </c>
      <c r="P322" s="430"/>
    </row>
    <row r="323" spans="1:16" ht="12.6" hidden="1" customHeight="1" outlineLevel="3" x14ac:dyDescent="0.2">
      <c r="A323" s="233">
        <v>0</v>
      </c>
      <c r="B323" s="233">
        <v>4</v>
      </c>
      <c r="C323" s="233">
        <v>5</v>
      </c>
      <c r="D323" s="234">
        <v>5</v>
      </c>
      <c r="E323" s="234">
        <v>1</v>
      </c>
      <c r="G323" s="458" t="s">
        <v>41</v>
      </c>
      <c r="H323" s="459" t="s">
        <v>1238</v>
      </c>
      <c r="I323" s="460" t="s">
        <v>3620</v>
      </c>
      <c r="J323" s="461" t="s">
        <v>329</v>
      </c>
      <c r="K323" s="462" t="s">
        <v>641</v>
      </c>
      <c r="L323" s="463">
        <v>878.5</v>
      </c>
      <c r="M323" s="463">
        <v>18.369948946092403</v>
      </c>
      <c r="N323" s="464">
        <v>16138.000149142201</v>
      </c>
      <c r="O323" s="471" t="s">
        <v>2994</v>
      </c>
      <c r="P323" s="431" t="s">
        <v>6711</v>
      </c>
    </row>
    <row r="324" spans="1:16" ht="12.6" hidden="1" customHeight="1" outlineLevel="2" x14ac:dyDescent="0.2">
      <c r="A324" s="233">
        <v>0</v>
      </c>
      <c r="B324" s="233">
        <v>4</v>
      </c>
      <c r="C324" s="233">
        <v>5</v>
      </c>
      <c r="D324" s="234">
        <v>6</v>
      </c>
      <c r="E324" s="234">
        <v>0</v>
      </c>
      <c r="G324" s="450"/>
      <c r="H324" s="451" t="s">
        <v>1237</v>
      </c>
      <c r="I324" s="452" t="s">
        <v>3621</v>
      </c>
      <c r="J324" s="453" t="s">
        <v>2849</v>
      </c>
      <c r="K324" s="454"/>
      <c r="L324" s="455"/>
      <c r="M324" s="455"/>
      <c r="N324" s="456">
        <v>16394.2609369401</v>
      </c>
      <c r="O324" s="457">
        <v>0.97878113043063697</v>
      </c>
      <c r="P324" s="430"/>
    </row>
    <row r="325" spans="1:16" ht="12.6" hidden="1" customHeight="1" outlineLevel="3" x14ac:dyDescent="0.2">
      <c r="A325" s="233">
        <v>0</v>
      </c>
      <c r="B325" s="233">
        <v>4</v>
      </c>
      <c r="C325" s="233">
        <v>5</v>
      </c>
      <c r="D325" s="234">
        <v>6</v>
      </c>
      <c r="E325" s="234">
        <v>1</v>
      </c>
      <c r="G325" s="458" t="s">
        <v>41</v>
      </c>
      <c r="H325" s="459" t="s">
        <v>1238</v>
      </c>
      <c r="I325" s="460" t="s">
        <v>3622</v>
      </c>
      <c r="J325" s="461" t="s">
        <v>329</v>
      </c>
      <c r="K325" s="462" t="s">
        <v>641</v>
      </c>
      <c r="L325" s="463">
        <v>892.45</v>
      </c>
      <c r="M325" s="463">
        <v>18.369948946092361</v>
      </c>
      <c r="N325" s="464">
        <v>16394.2609369401</v>
      </c>
      <c r="O325" s="471" t="s">
        <v>2994</v>
      </c>
      <c r="P325" s="431" t="s">
        <v>6711</v>
      </c>
    </row>
    <row r="326" spans="1:16" ht="12.6" hidden="1" customHeight="1" outlineLevel="2" x14ac:dyDescent="0.2">
      <c r="A326" s="233">
        <v>0</v>
      </c>
      <c r="B326" s="233">
        <v>4</v>
      </c>
      <c r="C326" s="233">
        <v>5</v>
      </c>
      <c r="D326" s="234">
        <v>7</v>
      </c>
      <c r="E326" s="234">
        <v>0</v>
      </c>
      <c r="G326" s="450"/>
      <c r="H326" s="451" t="s">
        <v>1237</v>
      </c>
      <c r="I326" s="452" t="s">
        <v>3623</v>
      </c>
      <c r="J326" s="453" t="s">
        <v>2221</v>
      </c>
      <c r="K326" s="454"/>
      <c r="L326" s="455"/>
      <c r="M326" s="455"/>
      <c r="N326" s="456">
        <v>714.59101400299403</v>
      </c>
      <c r="O326" s="457">
        <v>4.2662990614322202E-2</v>
      </c>
      <c r="P326" s="430"/>
    </row>
    <row r="327" spans="1:16" ht="12.6" hidden="1" customHeight="1" outlineLevel="3" x14ac:dyDescent="0.2">
      <c r="A327" s="233">
        <v>0</v>
      </c>
      <c r="B327" s="233">
        <v>4</v>
      </c>
      <c r="C327" s="233">
        <v>5</v>
      </c>
      <c r="D327" s="234">
        <v>7</v>
      </c>
      <c r="E327" s="234">
        <v>1</v>
      </c>
      <c r="G327" s="458" t="s">
        <v>41</v>
      </c>
      <c r="H327" s="459" t="s">
        <v>1238</v>
      </c>
      <c r="I327" s="460" t="s">
        <v>3624</v>
      </c>
      <c r="J327" s="461" t="s">
        <v>329</v>
      </c>
      <c r="K327" s="462" t="s">
        <v>641</v>
      </c>
      <c r="L327" s="463">
        <v>38.9</v>
      </c>
      <c r="M327" s="463">
        <v>18.369948946092393</v>
      </c>
      <c r="N327" s="464">
        <v>714.59101400299403</v>
      </c>
      <c r="O327" s="471" t="s">
        <v>2994</v>
      </c>
      <c r="P327" s="431" t="s">
        <v>6711</v>
      </c>
    </row>
    <row r="328" spans="1:16" ht="12.6" hidden="1" customHeight="1" outlineLevel="2" x14ac:dyDescent="0.2">
      <c r="A328" s="233">
        <v>0</v>
      </c>
      <c r="B328" s="233">
        <v>4</v>
      </c>
      <c r="C328" s="233">
        <v>5</v>
      </c>
      <c r="D328" s="234">
        <v>8</v>
      </c>
      <c r="E328" s="234">
        <v>0</v>
      </c>
      <c r="G328" s="450"/>
      <c r="H328" s="451" t="s">
        <v>1237</v>
      </c>
      <c r="I328" s="452" t="s">
        <v>3625</v>
      </c>
      <c r="J328" s="453" t="s">
        <v>2850</v>
      </c>
      <c r="K328" s="454"/>
      <c r="L328" s="455"/>
      <c r="M328" s="455"/>
      <c r="N328" s="456">
        <v>6347.36845934331</v>
      </c>
      <c r="O328" s="457">
        <v>0.37895483668294999</v>
      </c>
      <c r="P328" s="430"/>
    </row>
    <row r="329" spans="1:16" ht="12.6" hidden="1" customHeight="1" outlineLevel="3" x14ac:dyDescent="0.2">
      <c r="A329" s="233">
        <v>0</v>
      </c>
      <c r="B329" s="233">
        <v>4</v>
      </c>
      <c r="C329" s="233">
        <v>5</v>
      </c>
      <c r="D329" s="234">
        <v>8</v>
      </c>
      <c r="E329" s="234">
        <v>1</v>
      </c>
      <c r="G329" s="458" t="s">
        <v>41</v>
      </c>
      <c r="H329" s="459" t="s">
        <v>1238</v>
      </c>
      <c r="I329" s="460" t="s">
        <v>3626</v>
      </c>
      <c r="J329" s="461" t="s">
        <v>329</v>
      </c>
      <c r="K329" s="462" t="s">
        <v>641</v>
      </c>
      <c r="L329" s="463">
        <v>345.53</v>
      </c>
      <c r="M329" s="463">
        <v>18.3699489460924</v>
      </c>
      <c r="N329" s="464">
        <v>6347.36845934331</v>
      </c>
      <c r="O329" s="471" t="s">
        <v>2994</v>
      </c>
      <c r="P329" s="431" t="s">
        <v>6711</v>
      </c>
    </row>
    <row r="330" spans="1:16" ht="12.6" hidden="1" customHeight="1" outlineLevel="2" x14ac:dyDescent="0.2">
      <c r="A330" s="233">
        <v>0</v>
      </c>
      <c r="B330" s="233">
        <v>4</v>
      </c>
      <c r="C330" s="233">
        <v>5</v>
      </c>
      <c r="D330" s="234">
        <v>9</v>
      </c>
      <c r="E330" s="234">
        <v>0</v>
      </c>
      <c r="G330" s="450"/>
      <c r="H330" s="451" t="s">
        <v>1237</v>
      </c>
      <c r="I330" s="452" t="s">
        <v>3627</v>
      </c>
      <c r="J330" s="453" t="s">
        <v>2222</v>
      </c>
      <c r="K330" s="454"/>
      <c r="L330" s="455"/>
      <c r="M330" s="455"/>
      <c r="N330" s="456">
        <v>5700</v>
      </c>
      <c r="O330" s="457">
        <v>0.34030521198328101</v>
      </c>
      <c r="P330" s="430"/>
    </row>
    <row r="331" spans="1:16" ht="12.6" hidden="1" customHeight="1" outlineLevel="3" x14ac:dyDescent="0.2">
      <c r="A331" s="233">
        <v>0</v>
      </c>
      <c r="B331" s="233">
        <v>4</v>
      </c>
      <c r="C331" s="233">
        <v>5</v>
      </c>
      <c r="D331" s="234">
        <v>9</v>
      </c>
      <c r="E331" s="234">
        <v>1</v>
      </c>
      <c r="G331" s="458" t="s">
        <v>41</v>
      </c>
      <c r="H331" s="459" t="s">
        <v>1238</v>
      </c>
      <c r="I331" s="460" t="s">
        <v>3628</v>
      </c>
      <c r="J331" s="461" t="s">
        <v>329</v>
      </c>
      <c r="K331" s="462" t="s">
        <v>641</v>
      </c>
      <c r="L331" s="463">
        <v>499.27</v>
      </c>
      <c r="M331" s="463">
        <v>11.416668335770225</v>
      </c>
      <c r="N331" s="464">
        <v>5700</v>
      </c>
      <c r="O331" s="471" t="s">
        <v>2995</v>
      </c>
      <c r="P331" s="431" t="s">
        <v>6711</v>
      </c>
    </row>
    <row r="332" spans="1:16" ht="12.6" hidden="1" customHeight="1" outlineLevel="2" x14ac:dyDescent="0.2">
      <c r="A332" s="233">
        <v>0</v>
      </c>
      <c r="B332" s="233">
        <v>4</v>
      </c>
      <c r="C332" s="233">
        <v>5</v>
      </c>
      <c r="D332" s="234">
        <v>10</v>
      </c>
      <c r="E332" s="234">
        <v>0</v>
      </c>
      <c r="G332" s="450"/>
      <c r="H332" s="451" t="s">
        <v>1237</v>
      </c>
      <c r="I332" s="452" t="s">
        <v>3629</v>
      </c>
      <c r="J332" s="453" t="s">
        <v>2223</v>
      </c>
      <c r="K332" s="454"/>
      <c r="L332" s="455"/>
      <c r="M332" s="455"/>
      <c r="N332" s="456">
        <v>5700</v>
      </c>
      <c r="O332" s="457">
        <v>0.34030521198328101</v>
      </c>
      <c r="P332" s="430"/>
    </row>
    <row r="333" spans="1:16" ht="12.6" hidden="1" customHeight="1" outlineLevel="3" x14ac:dyDescent="0.2">
      <c r="A333" s="233">
        <v>0</v>
      </c>
      <c r="B333" s="233">
        <v>4</v>
      </c>
      <c r="C333" s="233">
        <v>5</v>
      </c>
      <c r="D333" s="234">
        <v>10</v>
      </c>
      <c r="E333" s="234">
        <v>1</v>
      </c>
      <c r="G333" s="458" t="s">
        <v>41</v>
      </c>
      <c r="H333" s="459" t="s">
        <v>1238</v>
      </c>
      <c r="I333" s="460" t="s">
        <v>3630</v>
      </c>
      <c r="J333" s="461" t="s">
        <v>329</v>
      </c>
      <c r="K333" s="462" t="s">
        <v>641</v>
      </c>
      <c r="L333" s="463">
        <v>345.53</v>
      </c>
      <c r="M333" s="463">
        <v>16.496396839637658</v>
      </c>
      <c r="N333" s="464">
        <v>5700</v>
      </c>
      <c r="O333" s="471" t="s">
        <v>2995</v>
      </c>
      <c r="P333" s="431" t="s">
        <v>6711</v>
      </c>
    </row>
    <row r="334" spans="1:16" ht="12.6" hidden="1" customHeight="1" outlineLevel="2" x14ac:dyDescent="0.2">
      <c r="A334" s="233">
        <v>0</v>
      </c>
      <c r="B334" s="233">
        <v>4</v>
      </c>
      <c r="C334" s="233">
        <v>5</v>
      </c>
      <c r="D334" s="234">
        <v>11</v>
      </c>
      <c r="E334" s="234">
        <v>0</v>
      </c>
      <c r="G334" s="450"/>
      <c r="H334" s="451" t="s">
        <v>1237</v>
      </c>
      <c r="I334" s="452" t="s">
        <v>3631</v>
      </c>
      <c r="J334" s="453" t="s">
        <v>2224</v>
      </c>
      <c r="K334" s="454"/>
      <c r="L334" s="455"/>
      <c r="M334" s="455"/>
      <c r="N334" s="456">
        <v>45600</v>
      </c>
      <c r="O334" s="457">
        <v>2.7224416958662498</v>
      </c>
      <c r="P334" s="430"/>
    </row>
    <row r="335" spans="1:16" ht="12.6" hidden="1" customHeight="1" outlineLevel="3" x14ac:dyDescent="0.2">
      <c r="A335" s="233">
        <v>0</v>
      </c>
      <c r="B335" s="233">
        <v>4</v>
      </c>
      <c r="C335" s="233">
        <v>5</v>
      </c>
      <c r="D335" s="234">
        <v>11</v>
      </c>
      <c r="E335" s="234">
        <v>1</v>
      </c>
      <c r="G335" s="458" t="s">
        <v>41</v>
      </c>
      <c r="H335" s="459" t="s">
        <v>1238</v>
      </c>
      <c r="I335" s="460" t="s">
        <v>3632</v>
      </c>
      <c r="J335" s="461" t="s">
        <v>329</v>
      </c>
      <c r="K335" s="462" t="s">
        <v>641</v>
      </c>
      <c r="L335" s="463">
        <v>2427.2800000000002</v>
      </c>
      <c r="M335" s="463">
        <v>18.786460564912165</v>
      </c>
      <c r="N335" s="464">
        <v>45600</v>
      </c>
      <c r="O335" s="471" t="s">
        <v>2995</v>
      </c>
      <c r="P335" s="431" t="s">
        <v>6711</v>
      </c>
    </row>
    <row r="336" spans="1:16" ht="12.6" hidden="1" customHeight="1" outlineLevel="2" x14ac:dyDescent="0.2">
      <c r="A336" s="233">
        <v>0</v>
      </c>
      <c r="B336" s="233">
        <v>4</v>
      </c>
      <c r="C336" s="233">
        <v>5</v>
      </c>
      <c r="D336" s="234">
        <v>12</v>
      </c>
      <c r="E336" s="234">
        <v>0</v>
      </c>
      <c r="G336" s="450"/>
      <c r="H336" s="451" t="s">
        <v>1237</v>
      </c>
      <c r="I336" s="452" t="s">
        <v>3633</v>
      </c>
      <c r="J336" s="453" t="s">
        <v>2225</v>
      </c>
      <c r="K336" s="454"/>
      <c r="L336" s="455"/>
      <c r="M336" s="455"/>
      <c r="N336" s="456">
        <v>125400</v>
      </c>
      <c r="O336" s="457">
        <v>7.4867146636321804</v>
      </c>
      <c r="P336" s="430"/>
    </row>
    <row r="337" spans="1:16" ht="12.6" hidden="1" customHeight="1" outlineLevel="3" x14ac:dyDescent="0.2">
      <c r="A337" s="233">
        <v>0</v>
      </c>
      <c r="B337" s="233">
        <v>4</v>
      </c>
      <c r="C337" s="233">
        <v>5</v>
      </c>
      <c r="D337" s="234">
        <v>12</v>
      </c>
      <c r="E337" s="234">
        <v>1</v>
      </c>
      <c r="G337" s="458" t="s">
        <v>41</v>
      </c>
      <c r="H337" s="459" t="s">
        <v>1238</v>
      </c>
      <c r="I337" s="460" t="s">
        <v>3634</v>
      </c>
      <c r="J337" s="461" t="s">
        <v>329</v>
      </c>
      <c r="K337" s="462" t="s">
        <v>641</v>
      </c>
      <c r="L337" s="463">
        <v>6374.97</v>
      </c>
      <c r="M337" s="463">
        <v>19.67068080320378</v>
      </c>
      <c r="N337" s="464">
        <v>125400</v>
      </c>
      <c r="O337" s="471" t="s">
        <v>2995</v>
      </c>
      <c r="P337" s="431" t="s">
        <v>6711</v>
      </c>
    </row>
    <row r="338" spans="1:16" ht="12.6" hidden="1" customHeight="1" outlineLevel="2" x14ac:dyDescent="0.2">
      <c r="A338" s="233">
        <v>0</v>
      </c>
      <c r="B338" s="233">
        <v>4</v>
      </c>
      <c r="C338" s="233">
        <v>5</v>
      </c>
      <c r="D338" s="234">
        <v>13</v>
      </c>
      <c r="E338" s="234">
        <v>0</v>
      </c>
      <c r="G338" s="450"/>
      <c r="H338" s="451" t="s">
        <v>1237</v>
      </c>
      <c r="I338" s="452" t="s">
        <v>3635</v>
      </c>
      <c r="J338" s="453" t="s">
        <v>2851</v>
      </c>
      <c r="K338" s="454"/>
      <c r="L338" s="455"/>
      <c r="M338" s="455"/>
      <c r="N338" s="456">
        <v>5700</v>
      </c>
      <c r="O338" s="457">
        <v>0.34030521198328101</v>
      </c>
      <c r="P338" s="430"/>
    </row>
    <row r="339" spans="1:16" ht="12.6" hidden="1" customHeight="1" outlineLevel="3" x14ac:dyDescent="0.2">
      <c r="A339" s="233">
        <v>0</v>
      </c>
      <c r="B339" s="233">
        <v>4</v>
      </c>
      <c r="C339" s="233">
        <v>5</v>
      </c>
      <c r="D339" s="234">
        <v>13</v>
      </c>
      <c r="E339" s="234">
        <v>1</v>
      </c>
      <c r="G339" s="458" t="s">
        <v>41</v>
      </c>
      <c r="H339" s="459" t="s">
        <v>1238</v>
      </c>
      <c r="I339" s="460" t="s">
        <v>3636</v>
      </c>
      <c r="J339" s="461" t="s">
        <v>329</v>
      </c>
      <c r="K339" s="462" t="s">
        <v>641</v>
      </c>
      <c r="L339" s="463">
        <v>303.57</v>
      </c>
      <c r="M339" s="463">
        <v>18.776558948512701</v>
      </c>
      <c r="N339" s="464">
        <v>5700</v>
      </c>
      <c r="O339" s="471" t="s">
        <v>2995</v>
      </c>
      <c r="P339" s="431" t="s">
        <v>6711</v>
      </c>
    </row>
    <row r="340" spans="1:16" ht="12.6" hidden="1" customHeight="1" outlineLevel="2" x14ac:dyDescent="0.2">
      <c r="A340" s="233">
        <v>0</v>
      </c>
      <c r="B340" s="233">
        <v>4</v>
      </c>
      <c r="C340" s="233">
        <v>5</v>
      </c>
      <c r="D340" s="234">
        <v>14</v>
      </c>
      <c r="E340" s="234">
        <v>0</v>
      </c>
      <c r="G340" s="450"/>
      <c r="H340" s="451" t="s">
        <v>1237</v>
      </c>
      <c r="I340" s="452" t="s">
        <v>3637</v>
      </c>
      <c r="J340" s="453" t="s">
        <v>2852</v>
      </c>
      <c r="K340" s="454"/>
      <c r="L340" s="455"/>
      <c r="M340" s="455"/>
      <c r="N340" s="456">
        <v>5700</v>
      </c>
      <c r="O340" s="457">
        <v>0.34030521198328101</v>
      </c>
      <c r="P340" s="430"/>
    </row>
    <row r="341" spans="1:16" ht="12.6" hidden="1" customHeight="1" outlineLevel="3" x14ac:dyDescent="0.2">
      <c r="A341" s="233">
        <v>0</v>
      </c>
      <c r="B341" s="233">
        <v>4</v>
      </c>
      <c r="C341" s="233">
        <v>5</v>
      </c>
      <c r="D341" s="234">
        <v>14</v>
      </c>
      <c r="E341" s="234">
        <v>1</v>
      </c>
      <c r="G341" s="458" t="s">
        <v>41</v>
      </c>
      <c r="H341" s="459" t="s">
        <v>1238</v>
      </c>
      <c r="I341" s="460" t="s">
        <v>3638</v>
      </c>
      <c r="J341" s="461" t="s">
        <v>329</v>
      </c>
      <c r="K341" s="462" t="s">
        <v>641</v>
      </c>
      <c r="L341" s="463">
        <v>292.95999999999998</v>
      </c>
      <c r="M341" s="463">
        <v>19.456581103222284</v>
      </c>
      <c r="N341" s="464">
        <v>5700</v>
      </c>
      <c r="O341" s="471" t="s">
        <v>2995</v>
      </c>
      <c r="P341" s="431" t="s">
        <v>6711</v>
      </c>
    </row>
    <row r="342" spans="1:16" ht="12.6" hidden="1" customHeight="1" outlineLevel="2" x14ac:dyDescent="0.2">
      <c r="A342" s="233">
        <v>0</v>
      </c>
      <c r="B342" s="233">
        <v>4</v>
      </c>
      <c r="C342" s="233">
        <v>5</v>
      </c>
      <c r="D342" s="234">
        <v>15</v>
      </c>
      <c r="E342" s="234">
        <v>0</v>
      </c>
      <c r="G342" s="450"/>
      <c r="H342" s="451" t="s">
        <v>1237</v>
      </c>
      <c r="I342" s="452" t="s">
        <v>3639</v>
      </c>
      <c r="J342" s="453" t="s">
        <v>2226</v>
      </c>
      <c r="K342" s="454"/>
      <c r="L342" s="455"/>
      <c r="M342" s="455"/>
      <c r="N342" s="456">
        <v>5700</v>
      </c>
      <c r="O342" s="457">
        <v>0.34030521198328101</v>
      </c>
      <c r="P342" s="430"/>
    </row>
    <row r="343" spans="1:16" ht="12.6" hidden="1" customHeight="1" outlineLevel="3" x14ac:dyDescent="0.2">
      <c r="A343" s="233">
        <v>0</v>
      </c>
      <c r="B343" s="233">
        <v>4</v>
      </c>
      <c r="C343" s="233">
        <v>5</v>
      </c>
      <c r="D343" s="234">
        <v>15</v>
      </c>
      <c r="E343" s="234">
        <v>1</v>
      </c>
      <c r="G343" s="458" t="s">
        <v>41</v>
      </c>
      <c r="H343" s="459" t="s">
        <v>1238</v>
      </c>
      <c r="I343" s="460" t="s">
        <v>3640</v>
      </c>
      <c r="J343" s="461" t="s">
        <v>329</v>
      </c>
      <c r="K343" s="462" t="s">
        <v>641</v>
      </c>
      <c r="L343" s="463">
        <v>426.24</v>
      </c>
      <c r="M343" s="463">
        <v>13.372747747747747</v>
      </c>
      <c r="N343" s="464">
        <v>5700</v>
      </c>
      <c r="O343" s="471" t="s">
        <v>2995</v>
      </c>
      <c r="P343" s="431" t="s">
        <v>6711</v>
      </c>
    </row>
    <row r="344" spans="1:16" ht="12.6" hidden="1" customHeight="1" outlineLevel="2" x14ac:dyDescent="0.2">
      <c r="A344" s="233">
        <v>0</v>
      </c>
      <c r="B344" s="233">
        <v>4</v>
      </c>
      <c r="C344" s="233">
        <v>5</v>
      </c>
      <c r="D344" s="234">
        <v>16</v>
      </c>
      <c r="E344" s="234">
        <v>0</v>
      </c>
      <c r="G344" s="450"/>
      <c r="H344" s="451" t="s">
        <v>1237</v>
      </c>
      <c r="I344" s="452" t="s">
        <v>3641</v>
      </c>
      <c r="J344" s="453" t="s">
        <v>2227</v>
      </c>
      <c r="K344" s="454"/>
      <c r="L344" s="455"/>
      <c r="M344" s="455"/>
      <c r="N344" s="456">
        <v>2685.2529540349101</v>
      </c>
      <c r="O344" s="457">
        <v>0.16031676767571601</v>
      </c>
      <c r="P344" s="430"/>
    </row>
    <row r="345" spans="1:16" ht="12.6" hidden="1" customHeight="1" outlineLevel="3" x14ac:dyDescent="0.2">
      <c r="A345" s="233">
        <v>0</v>
      </c>
      <c r="B345" s="233">
        <v>4</v>
      </c>
      <c r="C345" s="233">
        <v>5</v>
      </c>
      <c r="D345" s="234">
        <v>16</v>
      </c>
      <c r="E345" s="234">
        <v>1</v>
      </c>
      <c r="G345" s="458" t="s">
        <v>41</v>
      </c>
      <c r="H345" s="459" t="s">
        <v>1238</v>
      </c>
      <c r="I345" s="460" t="s">
        <v>3642</v>
      </c>
      <c r="J345" s="461" t="s">
        <v>329</v>
      </c>
      <c r="K345" s="462" t="s">
        <v>641</v>
      </c>
      <c r="L345" s="463">
        <v>73.72</v>
      </c>
      <c r="M345" s="463">
        <v>36.425026506170724</v>
      </c>
      <c r="N345" s="464">
        <v>2685.2529540349101</v>
      </c>
      <c r="O345" s="465"/>
      <c r="P345" s="431" t="s">
        <v>6711</v>
      </c>
    </row>
    <row r="346" spans="1:16" ht="13.5" hidden="1" customHeight="1" outlineLevel="1" x14ac:dyDescent="0.2">
      <c r="A346" s="233">
        <v>0</v>
      </c>
      <c r="B346" s="233">
        <v>4</v>
      </c>
      <c r="C346" s="233">
        <v>6</v>
      </c>
      <c r="D346" s="234">
        <v>0</v>
      </c>
      <c r="E346" s="234">
        <v>1</v>
      </c>
      <c r="G346" s="443"/>
      <c r="H346" s="444" t="s">
        <v>38</v>
      </c>
      <c r="I346" s="445" t="s">
        <v>3643</v>
      </c>
      <c r="J346" s="446" t="s">
        <v>1423</v>
      </c>
      <c r="K346" s="447"/>
      <c r="L346" s="448"/>
      <c r="M346" s="448"/>
      <c r="N346" s="449"/>
      <c r="O346" s="432"/>
      <c r="P346" s="429"/>
    </row>
    <row r="347" spans="1:16" ht="13.5" hidden="1" customHeight="1" outlineLevel="2" x14ac:dyDescent="0.2">
      <c r="A347" s="233">
        <v>0</v>
      </c>
      <c r="B347" s="233">
        <v>4</v>
      </c>
      <c r="C347" s="233">
        <v>6</v>
      </c>
      <c r="D347" s="234">
        <v>1</v>
      </c>
      <c r="E347" s="234">
        <v>0</v>
      </c>
      <c r="G347" s="450"/>
      <c r="H347" s="451" t="s">
        <v>1237</v>
      </c>
      <c r="I347" s="452" t="s">
        <v>3644</v>
      </c>
      <c r="J347" s="453" t="s">
        <v>2184</v>
      </c>
      <c r="K347" s="454"/>
      <c r="L347" s="455"/>
      <c r="M347" s="455"/>
      <c r="N347" s="456"/>
      <c r="O347" s="457"/>
      <c r="P347" s="430"/>
    </row>
    <row r="348" spans="1:16" ht="12.75" hidden="1" customHeight="1" outlineLevel="3" x14ac:dyDescent="0.2">
      <c r="A348" s="233">
        <v>0</v>
      </c>
      <c r="B348" s="233">
        <v>4</v>
      </c>
      <c r="C348" s="233">
        <v>6</v>
      </c>
      <c r="D348" s="234">
        <v>1</v>
      </c>
      <c r="E348" s="234">
        <v>1</v>
      </c>
      <c r="G348" s="458" t="s">
        <v>41</v>
      </c>
      <c r="H348" s="459" t="s">
        <v>1238</v>
      </c>
      <c r="I348" s="460" t="s">
        <v>3645</v>
      </c>
      <c r="J348" s="461" t="s">
        <v>337</v>
      </c>
      <c r="K348" s="462" t="s">
        <v>1129</v>
      </c>
      <c r="L348" s="463">
        <v>1</v>
      </c>
      <c r="M348" s="463" t="e">
        <v>#REF!</v>
      </c>
      <c r="N348" s="464"/>
      <c r="O348" s="471" t="s">
        <v>2997</v>
      </c>
      <c r="P348" s="431" t="s">
        <v>6711</v>
      </c>
    </row>
    <row r="349" spans="1:16" ht="13.5" hidden="1" customHeight="1" outlineLevel="2" x14ac:dyDescent="0.2">
      <c r="A349" s="233">
        <v>0</v>
      </c>
      <c r="B349" s="233">
        <v>4</v>
      </c>
      <c r="C349" s="233">
        <v>6</v>
      </c>
      <c r="D349" s="234">
        <v>2</v>
      </c>
      <c r="E349" s="234">
        <v>0</v>
      </c>
      <c r="G349" s="450"/>
      <c r="H349" s="451" t="s">
        <v>1237</v>
      </c>
      <c r="I349" s="452" t="s">
        <v>3646</v>
      </c>
      <c r="J349" s="453" t="s">
        <v>2228</v>
      </c>
      <c r="K349" s="454"/>
      <c r="L349" s="455"/>
      <c r="M349" s="455"/>
      <c r="N349" s="456"/>
      <c r="O349" s="457"/>
      <c r="P349" s="430"/>
    </row>
    <row r="350" spans="1:16" ht="12.75" hidden="1" customHeight="1" outlineLevel="3" x14ac:dyDescent="0.2">
      <c r="A350" s="233">
        <v>0</v>
      </c>
      <c r="B350" s="233">
        <v>4</v>
      </c>
      <c r="C350" s="233">
        <v>6</v>
      </c>
      <c r="D350" s="234">
        <v>2</v>
      </c>
      <c r="E350" s="234">
        <v>1</v>
      </c>
      <c r="G350" s="458" t="s">
        <v>41</v>
      </c>
      <c r="H350" s="459" t="s">
        <v>1238</v>
      </c>
      <c r="I350" s="460" t="s">
        <v>3647</v>
      </c>
      <c r="J350" s="461" t="s">
        <v>337</v>
      </c>
      <c r="K350" s="462" t="s">
        <v>1129</v>
      </c>
      <c r="L350" s="463">
        <v>1</v>
      </c>
      <c r="M350" s="463" t="e">
        <v>#REF!</v>
      </c>
      <c r="N350" s="464"/>
      <c r="O350" s="471" t="s">
        <v>2998</v>
      </c>
      <c r="P350" s="431" t="s">
        <v>6711</v>
      </c>
    </row>
    <row r="351" spans="1:16" ht="13.5" hidden="1" customHeight="1" outlineLevel="2" x14ac:dyDescent="0.2">
      <c r="A351" s="233">
        <v>0</v>
      </c>
      <c r="B351" s="233">
        <v>4</v>
      </c>
      <c r="C351" s="233">
        <v>6</v>
      </c>
      <c r="D351" s="234">
        <v>3</v>
      </c>
      <c r="E351" s="234">
        <v>0</v>
      </c>
      <c r="G351" s="450"/>
      <c r="H351" s="451" t="s">
        <v>1237</v>
      </c>
      <c r="I351" s="452" t="s">
        <v>3648</v>
      </c>
      <c r="J351" s="453" t="s">
        <v>2229</v>
      </c>
      <c r="K351" s="454"/>
      <c r="L351" s="455"/>
      <c r="M351" s="455"/>
      <c r="N351" s="456"/>
      <c r="O351" s="457"/>
      <c r="P351" s="430"/>
    </row>
    <row r="352" spans="1:16" ht="12.75" hidden="1" customHeight="1" outlineLevel="3" x14ac:dyDescent="0.2">
      <c r="A352" s="233">
        <v>0</v>
      </c>
      <c r="B352" s="233">
        <v>4</v>
      </c>
      <c r="C352" s="233">
        <v>6</v>
      </c>
      <c r="D352" s="234">
        <v>3</v>
      </c>
      <c r="E352" s="234">
        <v>1</v>
      </c>
      <c r="G352" s="458" t="s">
        <v>41</v>
      </c>
      <c r="H352" s="459" t="s">
        <v>1238</v>
      </c>
      <c r="I352" s="460" t="s">
        <v>3649</v>
      </c>
      <c r="J352" s="461" t="s">
        <v>337</v>
      </c>
      <c r="K352" s="462" t="s">
        <v>1129</v>
      </c>
      <c r="L352" s="463">
        <v>1</v>
      </c>
      <c r="M352" s="463" t="e">
        <v>#REF!</v>
      </c>
      <c r="N352" s="464"/>
      <c r="O352" s="475" t="s">
        <v>2999</v>
      </c>
      <c r="P352" s="431" t="s">
        <v>6711</v>
      </c>
    </row>
    <row r="353" spans="1:16" ht="13.5" hidden="1" customHeight="1" outlineLevel="2" x14ac:dyDescent="0.2">
      <c r="A353" s="233">
        <v>0</v>
      </c>
      <c r="B353" s="233">
        <v>4</v>
      </c>
      <c r="C353" s="233">
        <v>6</v>
      </c>
      <c r="D353" s="234">
        <v>4</v>
      </c>
      <c r="E353" s="234">
        <v>0</v>
      </c>
      <c r="G353" s="450"/>
      <c r="H353" s="451" t="s">
        <v>1237</v>
      </c>
      <c r="I353" s="452" t="s">
        <v>3650</v>
      </c>
      <c r="J353" s="453" t="s">
        <v>2853</v>
      </c>
      <c r="K353" s="454"/>
      <c r="L353" s="455"/>
      <c r="M353" s="455"/>
      <c r="N353" s="456"/>
      <c r="O353" s="457"/>
      <c r="P353" s="430"/>
    </row>
    <row r="354" spans="1:16" ht="12.75" hidden="1" customHeight="1" outlineLevel="3" x14ac:dyDescent="0.2">
      <c r="A354" s="233">
        <v>0</v>
      </c>
      <c r="B354" s="233">
        <v>4</v>
      </c>
      <c r="C354" s="233">
        <v>6</v>
      </c>
      <c r="D354" s="234">
        <v>4</v>
      </c>
      <c r="E354" s="234">
        <v>1</v>
      </c>
      <c r="G354" s="458" t="s">
        <v>41</v>
      </c>
      <c r="H354" s="459" t="s">
        <v>1238</v>
      </c>
      <c r="I354" s="460" t="s">
        <v>3651</v>
      </c>
      <c r="J354" s="461" t="s">
        <v>337</v>
      </c>
      <c r="K354" s="462" t="s">
        <v>1129</v>
      </c>
      <c r="L354" s="463">
        <v>1</v>
      </c>
      <c r="M354" s="463" t="e">
        <v>#REF!</v>
      </c>
      <c r="N354" s="464"/>
      <c r="O354" s="475" t="s">
        <v>2999</v>
      </c>
      <c r="P354" s="431" t="s">
        <v>6711</v>
      </c>
    </row>
    <row r="355" spans="1:16" ht="13.5" hidden="1" customHeight="1" outlineLevel="2" x14ac:dyDescent="0.2">
      <c r="A355" s="233">
        <v>0</v>
      </c>
      <c r="B355" s="233">
        <v>4</v>
      </c>
      <c r="C355" s="233">
        <v>6</v>
      </c>
      <c r="D355" s="234">
        <v>5</v>
      </c>
      <c r="E355" s="234">
        <v>0</v>
      </c>
      <c r="G355" s="450"/>
      <c r="H355" s="451" t="s">
        <v>1237</v>
      </c>
      <c r="I355" s="452" t="s">
        <v>3652</v>
      </c>
      <c r="J355" s="453" t="s">
        <v>2230</v>
      </c>
      <c r="K355" s="454"/>
      <c r="L355" s="455"/>
      <c r="M355" s="455"/>
      <c r="N355" s="456"/>
      <c r="O355" s="457"/>
      <c r="P355" s="430"/>
    </row>
    <row r="356" spans="1:16" ht="12.75" hidden="1" customHeight="1" outlineLevel="3" x14ac:dyDescent="0.2">
      <c r="A356" s="233">
        <v>0</v>
      </c>
      <c r="B356" s="233">
        <v>4</v>
      </c>
      <c r="C356" s="233">
        <v>6</v>
      </c>
      <c r="D356" s="234">
        <v>5</v>
      </c>
      <c r="E356" s="234">
        <v>1</v>
      </c>
      <c r="G356" s="458" t="s">
        <v>41</v>
      </c>
      <c r="H356" s="459" t="s">
        <v>1238</v>
      </c>
      <c r="I356" s="460" t="s">
        <v>3653</v>
      </c>
      <c r="J356" s="461" t="s">
        <v>337</v>
      </c>
      <c r="K356" s="462" t="s">
        <v>1129</v>
      </c>
      <c r="L356" s="463">
        <v>1</v>
      </c>
      <c r="M356" s="463" t="e">
        <v>#REF!</v>
      </c>
      <c r="N356" s="464"/>
      <c r="O356" s="475" t="s">
        <v>2999</v>
      </c>
      <c r="P356" s="431" t="s">
        <v>6711</v>
      </c>
    </row>
    <row r="357" spans="1:16" ht="13.5" hidden="1" customHeight="1" outlineLevel="2" x14ac:dyDescent="0.2">
      <c r="A357" s="233">
        <v>0</v>
      </c>
      <c r="B357" s="233">
        <v>4</v>
      </c>
      <c r="C357" s="233">
        <v>6</v>
      </c>
      <c r="D357" s="234">
        <v>6</v>
      </c>
      <c r="E357" s="234">
        <v>0</v>
      </c>
      <c r="G357" s="450"/>
      <c r="H357" s="451" t="s">
        <v>1237</v>
      </c>
      <c r="I357" s="452" t="s">
        <v>3654</v>
      </c>
      <c r="J357" s="453" t="s">
        <v>2854</v>
      </c>
      <c r="K357" s="454"/>
      <c r="L357" s="455"/>
      <c r="M357" s="455"/>
      <c r="N357" s="456"/>
      <c r="O357" s="457"/>
      <c r="P357" s="430"/>
    </row>
    <row r="358" spans="1:16" ht="12.75" hidden="1" customHeight="1" outlineLevel="3" x14ac:dyDescent="0.2">
      <c r="A358" s="233">
        <v>0</v>
      </c>
      <c r="B358" s="233">
        <v>4</v>
      </c>
      <c r="C358" s="233">
        <v>6</v>
      </c>
      <c r="D358" s="234">
        <v>6</v>
      </c>
      <c r="E358" s="234">
        <v>1</v>
      </c>
      <c r="G358" s="458" t="s">
        <v>41</v>
      </c>
      <c r="H358" s="459" t="s">
        <v>1238</v>
      </c>
      <c r="I358" s="460" t="s">
        <v>3655</v>
      </c>
      <c r="J358" s="461" t="s">
        <v>337</v>
      </c>
      <c r="K358" s="462" t="s">
        <v>1129</v>
      </c>
      <c r="L358" s="463">
        <v>1</v>
      </c>
      <c r="M358" s="463" t="e">
        <v>#REF!</v>
      </c>
      <c r="N358" s="464"/>
      <c r="O358" s="475" t="s">
        <v>2999</v>
      </c>
      <c r="P358" s="431" t="s">
        <v>6711</v>
      </c>
    </row>
    <row r="359" spans="1:16" ht="13.5" hidden="1" customHeight="1" outlineLevel="2" x14ac:dyDescent="0.2">
      <c r="A359" s="233">
        <v>0</v>
      </c>
      <c r="B359" s="233">
        <v>4</v>
      </c>
      <c r="C359" s="233">
        <v>6</v>
      </c>
      <c r="D359" s="234">
        <v>7</v>
      </c>
      <c r="E359" s="234">
        <v>0</v>
      </c>
      <c r="G359" s="450"/>
      <c r="H359" s="451" t="s">
        <v>1237</v>
      </c>
      <c r="I359" s="452" t="s">
        <v>3656</v>
      </c>
      <c r="J359" s="453" t="s">
        <v>2231</v>
      </c>
      <c r="K359" s="454"/>
      <c r="L359" s="455"/>
      <c r="M359" s="455"/>
      <c r="N359" s="456"/>
      <c r="O359" s="457"/>
      <c r="P359" s="430"/>
    </row>
    <row r="360" spans="1:16" ht="12.75" hidden="1" customHeight="1" outlineLevel="3" x14ac:dyDescent="0.2">
      <c r="A360" s="233">
        <v>0</v>
      </c>
      <c r="B360" s="233">
        <v>4</v>
      </c>
      <c r="C360" s="233">
        <v>6</v>
      </c>
      <c r="D360" s="234">
        <v>7</v>
      </c>
      <c r="E360" s="234">
        <v>1</v>
      </c>
      <c r="G360" s="458" t="s">
        <v>41</v>
      </c>
      <c r="H360" s="459" t="s">
        <v>1238</v>
      </c>
      <c r="I360" s="460" t="s">
        <v>3657</v>
      </c>
      <c r="J360" s="461" t="s">
        <v>337</v>
      </c>
      <c r="K360" s="462" t="s">
        <v>1129</v>
      </c>
      <c r="L360" s="463">
        <v>1</v>
      </c>
      <c r="M360" s="463" t="e">
        <v>#REF!</v>
      </c>
      <c r="N360" s="464"/>
      <c r="O360" s="475" t="s">
        <v>2999</v>
      </c>
      <c r="P360" s="431" t="s">
        <v>6711</v>
      </c>
    </row>
    <row r="361" spans="1:16" ht="13.5" hidden="1" customHeight="1" outlineLevel="2" x14ac:dyDescent="0.2">
      <c r="A361" s="233">
        <v>0</v>
      </c>
      <c r="B361" s="233">
        <v>4</v>
      </c>
      <c r="C361" s="233">
        <v>6</v>
      </c>
      <c r="D361" s="234">
        <v>8</v>
      </c>
      <c r="E361" s="234">
        <v>0</v>
      </c>
      <c r="G361" s="450"/>
      <c r="H361" s="451" t="s">
        <v>1237</v>
      </c>
      <c r="I361" s="452" t="s">
        <v>3658</v>
      </c>
      <c r="J361" s="453" t="s">
        <v>2231</v>
      </c>
      <c r="K361" s="454"/>
      <c r="L361" s="455"/>
      <c r="M361" s="455"/>
      <c r="N361" s="456"/>
      <c r="O361" s="457"/>
      <c r="P361" s="430"/>
    </row>
    <row r="362" spans="1:16" ht="12.75" hidden="1" customHeight="1" outlineLevel="3" x14ac:dyDescent="0.2">
      <c r="A362" s="233">
        <v>0</v>
      </c>
      <c r="B362" s="233">
        <v>4</v>
      </c>
      <c r="C362" s="233">
        <v>6</v>
      </c>
      <c r="D362" s="234">
        <v>8</v>
      </c>
      <c r="E362" s="234">
        <v>1</v>
      </c>
      <c r="G362" s="458" t="s">
        <v>41</v>
      </c>
      <c r="H362" s="459" t="s">
        <v>1238</v>
      </c>
      <c r="I362" s="460" t="s">
        <v>3659</v>
      </c>
      <c r="J362" s="461" t="s">
        <v>337</v>
      </c>
      <c r="K362" s="462" t="s">
        <v>1129</v>
      </c>
      <c r="L362" s="463">
        <v>1</v>
      </c>
      <c r="M362" s="463" t="e">
        <v>#REF!</v>
      </c>
      <c r="N362" s="464"/>
      <c r="O362" s="475" t="s">
        <v>2999</v>
      </c>
      <c r="P362" s="431" t="s">
        <v>6711</v>
      </c>
    </row>
    <row r="363" spans="1:16" ht="13.5" hidden="1" customHeight="1" outlineLevel="2" x14ac:dyDescent="0.2">
      <c r="A363" s="233">
        <v>0</v>
      </c>
      <c r="B363" s="233">
        <v>4</v>
      </c>
      <c r="C363" s="233">
        <v>6</v>
      </c>
      <c r="D363" s="234">
        <v>9</v>
      </c>
      <c r="E363" s="234">
        <v>0</v>
      </c>
      <c r="G363" s="450"/>
      <c r="H363" s="451" t="s">
        <v>1237</v>
      </c>
      <c r="I363" s="452" t="s">
        <v>3660</v>
      </c>
      <c r="J363" s="453" t="s">
        <v>2232</v>
      </c>
      <c r="K363" s="454"/>
      <c r="L363" s="455"/>
      <c r="M363" s="455"/>
      <c r="N363" s="456"/>
      <c r="O363" s="457"/>
      <c r="P363" s="430"/>
    </row>
    <row r="364" spans="1:16" ht="12.75" hidden="1" customHeight="1" outlineLevel="3" x14ac:dyDescent="0.2">
      <c r="A364" s="233">
        <v>0</v>
      </c>
      <c r="B364" s="233">
        <v>4</v>
      </c>
      <c r="C364" s="233">
        <v>6</v>
      </c>
      <c r="D364" s="234">
        <v>9</v>
      </c>
      <c r="E364" s="234">
        <v>1</v>
      </c>
      <c r="G364" s="458" t="s">
        <v>41</v>
      </c>
      <c r="H364" s="459" t="s">
        <v>1238</v>
      </c>
      <c r="I364" s="460" t="s">
        <v>3661</v>
      </c>
      <c r="J364" s="461" t="s">
        <v>337</v>
      </c>
      <c r="K364" s="462" t="s">
        <v>1129</v>
      </c>
      <c r="L364" s="463">
        <v>1</v>
      </c>
      <c r="M364" s="463" t="e">
        <v>#REF!</v>
      </c>
      <c r="N364" s="464"/>
      <c r="O364" s="475" t="s">
        <v>2999</v>
      </c>
      <c r="P364" s="431" t="s">
        <v>6711</v>
      </c>
    </row>
    <row r="365" spans="1:16" ht="13.5" hidden="1" customHeight="1" outlineLevel="2" x14ac:dyDescent="0.2">
      <c r="A365" s="233">
        <v>0</v>
      </c>
      <c r="B365" s="233">
        <v>4</v>
      </c>
      <c r="C365" s="233">
        <v>6</v>
      </c>
      <c r="D365" s="234">
        <v>10</v>
      </c>
      <c r="E365" s="234">
        <v>0</v>
      </c>
      <c r="G365" s="450"/>
      <c r="H365" s="451" t="s">
        <v>1237</v>
      </c>
      <c r="I365" s="452" t="s">
        <v>3662</v>
      </c>
      <c r="J365" s="453" t="s">
        <v>2233</v>
      </c>
      <c r="K365" s="454"/>
      <c r="L365" s="455"/>
      <c r="M365" s="455"/>
      <c r="N365" s="456"/>
      <c r="O365" s="457"/>
      <c r="P365" s="430"/>
    </row>
    <row r="366" spans="1:16" ht="12.75" hidden="1" customHeight="1" outlineLevel="3" x14ac:dyDescent="0.2">
      <c r="A366" s="233">
        <v>0</v>
      </c>
      <c r="B366" s="233">
        <v>4</v>
      </c>
      <c r="C366" s="233">
        <v>6</v>
      </c>
      <c r="D366" s="234">
        <v>10</v>
      </c>
      <c r="E366" s="234">
        <v>1</v>
      </c>
      <c r="G366" s="458" t="s">
        <v>41</v>
      </c>
      <c r="H366" s="459" t="s">
        <v>1238</v>
      </c>
      <c r="I366" s="460" t="s">
        <v>3663</v>
      </c>
      <c r="J366" s="461" t="s">
        <v>337</v>
      </c>
      <c r="K366" s="462" t="s">
        <v>1129</v>
      </c>
      <c r="L366" s="463">
        <v>1</v>
      </c>
      <c r="M366" s="463" t="e">
        <v>#REF!</v>
      </c>
      <c r="N366" s="464"/>
      <c r="O366" s="475" t="s">
        <v>2999</v>
      </c>
      <c r="P366" s="431" t="s">
        <v>6711</v>
      </c>
    </row>
    <row r="367" spans="1:16" ht="13.5" hidden="1" customHeight="1" outlineLevel="2" x14ac:dyDescent="0.2">
      <c r="A367" s="233">
        <v>0</v>
      </c>
      <c r="B367" s="233">
        <v>4</v>
      </c>
      <c r="C367" s="233">
        <v>6</v>
      </c>
      <c r="D367" s="234">
        <v>11</v>
      </c>
      <c r="E367" s="234">
        <v>0</v>
      </c>
      <c r="G367" s="450"/>
      <c r="H367" s="451" t="s">
        <v>1237</v>
      </c>
      <c r="I367" s="452" t="s">
        <v>3664</v>
      </c>
      <c r="J367" s="453" t="s">
        <v>2234</v>
      </c>
      <c r="K367" s="454"/>
      <c r="L367" s="455"/>
      <c r="M367" s="455"/>
      <c r="N367" s="456"/>
      <c r="O367" s="457"/>
      <c r="P367" s="430"/>
    </row>
    <row r="368" spans="1:16" ht="12.75" hidden="1" customHeight="1" outlineLevel="3" x14ac:dyDescent="0.2">
      <c r="A368" s="233">
        <v>0</v>
      </c>
      <c r="B368" s="233">
        <v>4</v>
      </c>
      <c r="C368" s="233">
        <v>6</v>
      </c>
      <c r="D368" s="234">
        <v>11</v>
      </c>
      <c r="E368" s="234">
        <v>1</v>
      </c>
      <c r="G368" s="458" t="s">
        <v>41</v>
      </c>
      <c r="H368" s="459" t="s">
        <v>1238</v>
      </c>
      <c r="I368" s="460" t="s">
        <v>3665</v>
      </c>
      <c r="J368" s="461" t="s">
        <v>337</v>
      </c>
      <c r="K368" s="462" t="s">
        <v>1129</v>
      </c>
      <c r="L368" s="463">
        <v>1</v>
      </c>
      <c r="M368" s="463" t="e">
        <v>#REF!</v>
      </c>
      <c r="N368" s="464"/>
      <c r="O368" s="475" t="s">
        <v>2999</v>
      </c>
      <c r="P368" s="431" t="s">
        <v>6711</v>
      </c>
    </row>
    <row r="369" spans="1:16" ht="13.5" hidden="1" customHeight="1" outlineLevel="2" x14ac:dyDescent="0.2">
      <c r="A369" s="233">
        <v>0</v>
      </c>
      <c r="B369" s="233">
        <v>4</v>
      </c>
      <c r="C369" s="233">
        <v>6</v>
      </c>
      <c r="D369" s="234">
        <v>12</v>
      </c>
      <c r="E369" s="234">
        <v>0</v>
      </c>
      <c r="G369" s="450"/>
      <c r="H369" s="451" t="s">
        <v>1237</v>
      </c>
      <c r="I369" s="452" t="s">
        <v>3666</v>
      </c>
      <c r="J369" s="453" t="s">
        <v>2235</v>
      </c>
      <c r="K369" s="454"/>
      <c r="L369" s="455"/>
      <c r="M369" s="455"/>
      <c r="N369" s="456"/>
      <c r="O369" s="457"/>
      <c r="P369" s="430"/>
    </row>
    <row r="370" spans="1:16" ht="12.75" hidden="1" customHeight="1" outlineLevel="3" x14ac:dyDescent="0.2">
      <c r="A370" s="233">
        <v>0</v>
      </c>
      <c r="B370" s="233">
        <v>4</v>
      </c>
      <c r="C370" s="233">
        <v>6</v>
      </c>
      <c r="D370" s="234">
        <v>12</v>
      </c>
      <c r="E370" s="234">
        <v>1</v>
      </c>
      <c r="G370" s="458" t="s">
        <v>41</v>
      </c>
      <c r="H370" s="459" t="s">
        <v>1238</v>
      </c>
      <c r="I370" s="460" t="s">
        <v>3667</v>
      </c>
      <c r="J370" s="461" t="s">
        <v>337</v>
      </c>
      <c r="K370" s="462" t="s">
        <v>1129</v>
      </c>
      <c r="L370" s="463">
        <v>1</v>
      </c>
      <c r="M370" s="463" t="e">
        <v>#REF!</v>
      </c>
      <c r="N370" s="464"/>
      <c r="O370" s="475" t="s">
        <v>2999</v>
      </c>
      <c r="P370" s="431" t="s">
        <v>6711</v>
      </c>
    </row>
    <row r="371" spans="1:16" ht="13.5" hidden="1" customHeight="1" outlineLevel="2" x14ac:dyDescent="0.2">
      <c r="A371" s="233">
        <v>0</v>
      </c>
      <c r="B371" s="233">
        <v>4</v>
      </c>
      <c r="C371" s="233">
        <v>6</v>
      </c>
      <c r="D371" s="234">
        <v>13</v>
      </c>
      <c r="E371" s="234">
        <v>0</v>
      </c>
      <c r="G371" s="450"/>
      <c r="H371" s="451" t="s">
        <v>1237</v>
      </c>
      <c r="I371" s="452" t="s">
        <v>3668</v>
      </c>
      <c r="J371" s="453" t="s">
        <v>2855</v>
      </c>
      <c r="K371" s="454"/>
      <c r="L371" s="455"/>
      <c r="M371" s="455"/>
      <c r="N371" s="456"/>
      <c r="O371" s="457"/>
      <c r="P371" s="430"/>
    </row>
    <row r="372" spans="1:16" ht="12.75" hidden="1" customHeight="1" outlineLevel="3" x14ac:dyDescent="0.2">
      <c r="A372" s="233">
        <v>0</v>
      </c>
      <c r="B372" s="233">
        <v>4</v>
      </c>
      <c r="C372" s="233">
        <v>6</v>
      </c>
      <c r="D372" s="234">
        <v>13</v>
      </c>
      <c r="E372" s="234">
        <v>1</v>
      </c>
      <c r="G372" s="458" t="s">
        <v>41</v>
      </c>
      <c r="H372" s="459" t="s">
        <v>1238</v>
      </c>
      <c r="I372" s="460" t="s">
        <v>3669</v>
      </c>
      <c r="J372" s="461" t="s">
        <v>337</v>
      </c>
      <c r="K372" s="462" t="s">
        <v>1129</v>
      </c>
      <c r="L372" s="463">
        <v>1</v>
      </c>
      <c r="M372" s="463" t="e">
        <v>#REF!</v>
      </c>
      <c r="N372" s="464"/>
      <c r="O372" s="475" t="s">
        <v>2999</v>
      </c>
      <c r="P372" s="431" t="s">
        <v>6711</v>
      </c>
    </row>
    <row r="373" spans="1:16" ht="13.5" hidden="1" customHeight="1" outlineLevel="2" x14ac:dyDescent="0.2">
      <c r="A373" s="233">
        <v>0</v>
      </c>
      <c r="B373" s="233">
        <v>4</v>
      </c>
      <c r="C373" s="233">
        <v>6</v>
      </c>
      <c r="D373" s="234">
        <v>14</v>
      </c>
      <c r="E373" s="234">
        <v>0</v>
      </c>
      <c r="G373" s="450"/>
      <c r="H373" s="451" t="s">
        <v>1237</v>
      </c>
      <c r="I373" s="452" t="s">
        <v>3670</v>
      </c>
      <c r="J373" s="453" t="s">
        <v>2856</v>
      </c>
      <c r="K373" s="454"/>
      <c r="L373" s="455"/>
      <c r="M373" s="455"/>
      <c r="N373" s="456"/>
      <c r="O373" s="457"/>
      <c r="P373" s="430"/>
    </row>
    <row r="374" spans="1:16" ht="12.75" hidden="1" customHeight="1" outlineLevel="3" x14ac:dyDescent="0.2">
      <c r="A374" s="233">
        <v>0</v>
      </c>
      <c r="B374" s="233">
        <v>4</v>
      </c>
      <c r="C374" s="233">
        <v>6</v>
      </c>
      <c r="D374" s="234">
        <v>14</v>
      </c>
      <c r="E374" s="234">
        <v>1</v>
      </c>
      <c r="G374" s="458" t="s">
        <v>41</v>
      </c>
      <c r="H374" s="459" t="s">
        <v>1238</v>
      </c>
      <c r="I374" s="460" t="s">
        <v>3671</v>
      </c>
      <c r="J374" s="461" t="s">
        <v>337</v>
      </c>
      <c r="K374" s="462" t="s">
        <v>1129</v>
      </c>
      <c r="L374" s="463">
        <v>1</v>
      </c>
      <c r="M374" s="463" t="e">
        <v>#REF!</v>
      </c>
      <c r="N374" s="464"/>
      <c r="O374" s="475" t="s">
        <v>2999</v>
      </c>
      <c r="P374" s="431" t="s">
        <v>6711</v>
      </c>
    </row>
    <row r="375" spans="1:16" ht="13.5" hidden="1" customHeight="1" outlineLevel="2" x14ac:dyDescent="0.2">
      <c r="A375" s="233">
        <v>0</v>
      </c>
      <c r="B375" s="233">
        <v>4</v>
      </c>
      <c r="C375" s="233">
        <v>6</v>
      </c>
      <c r="D375" s="234">
        <v>15</v>
      </c>
      <c r="E375" s="234">
        <v>0</v>
      </c>
      <c r="G375" s="450"/>
      <c r="H375" s="451" t="s">
        <v>1237</v>
      </c>
      <c r="I375" s="452" t="s">
        <v>3672</v>
      </c>
      <c r="J375" s="453" t="s">
        <v>2236</v>
      </c>
      <c r="K375" s="454"/>
      <c r="L375" s="455"/>
      <c r="M375" s="455"/>
      <c r="N375" s="456"/>
      <c r="O375" s="457"/>
      <c r="P375" s="430"/>
    </row>
    <row r="376" spans="1:16" ht="12.75" hidden="1" customHeight="1" outlineLevel="3" x14ac:dyDescent="0.2">
      <c r="A376" s="233">
        <v>0</v>
      </c>
      <c r="B376" s="233">
        <v>4</v>
      </c>
      <c r="C376" s="233">
        <v>6</v>
      </c>
      <c r="D376" s="234">
        <v>15</v>
      </c>
      <c r="E376" s="234">
        <v>1</v>
      </c>
      <c r="G376" s="458" t="s">
        <v>41</v>
      </c>
      <c r="H376" s="459" t="s">
        <v>1238</v>
      </c>
      <c r="I376" s="460" t="s">
        <v>3673</v>
      </c>
      <c r="J376" s="461" t="s">
        <v>337</v>
      </c>
      <c r="K376" s="462" t="s">
        <v>1129</v>
      </c>
      <c r="L376" s="463">
        <v>1</v>
      </c>
      <c r="M376" s="463" t="e">
        <v>#REF!</v>
      </c>
      <c r="N376" s="464"/>
      <c r="O376" s="475" t="s">
        <v>2999</v>
      </c>
      <c r="P376" s="431" t="s">
        <v>6711</v>
      </c>
    </row>
    <row r="377" spans="1:16" ht="13.5" hidden="1" customHeight="1" outlineLevel="2" x14ac:dyDescent="0.2">
      <c r="A377" s="233">
        <v>0</v>
      </c>
      <c r="B377" s="233">
        <v>4</v>
      </c>
      <c r="C377" s="233">
        <v>6</v>
      </c>
      <c r="D377" s="234">
        <v>16</v>
      </c>
      <c r="E377" s="234">
        <v>0</v>
      </c>
      <c r="G377" s="450"/>
      <c r="H377" s="451" t="s">
        <v>1237</v>
      </c>
      <c r="I377" s="452" t="s">
        <v>3674</v>
      </c>
      <c r="J377" s="453" t="s">
        <v>2237</v>
      </c>
      <c r="K377" s="454"/>
      <c r="L377" s="455"/>
      <c r="M377" s="455"/>
      <c r="N377" s="456"/>
      <c r="O377" s="457"/>
      <c r="P377" s="430"/>
    </row>
    <row r="378" spans="1:16" ht="12.75" hidden="1" customHeight="1" outlineLevel="3" x14ac:dyDescent="0.2">
      <c r="A378" s="233">
        <v>0</v>
      </c>
      <c r="B378" s="233">
        <v>4</v>
      </c>
      <c r="C378" s="233">
        <v>6</v>
      </c>
      <c r="D378" s="234">
        <v>16</v>
      </c>
      <c r="E378" s="234">
        <v>1</v>
      </c>
      <c r="G378" s="458" t="s">
        <v>41</v>
      </c>
      <c r="H378" s="459" t="s">
        <v>1238</v>
      </c>
      <c r="I378" s="460" t="s">
        <v>3675</v>
      </c>
      <c r="J378" s="461" t="s">
        <v>337</v>
      </c>
      <c r="K378" s="462" t="s">
        <v>1129</v>
      </c>
      <c r="L378" s="463">
        <v>1</v>
      </c>
      <c r="M378" s="463" t="e">
        <v>#REF!</v>
      </c>
      <c r="N378" s="464"/>
      <c r="O378" s="475" t="s">
        <v>2999</v>
      </c>
      <c r="P378" s="431" t="s">
        <v>6711</v>
      </c>
    </row>
    <row r="379" spans="1:16" ht="13.9" customHeight="1" collapsed="1" x14ac:dyDescent="0.2">
      <c r="A379" s="233">
        <v>0</v>
      </c>
      <c r="B379" s="233">
        <v>6</v>
      </c>
      <c r="C379" s="233">
        <v>0</v>
      </c>
      <c r="D379" s="234">
        <v>4</v>
      </c>
      <c r="E379" s="234">
        <v>2</v>
      </c>
      <c r="F379" s="237"/>
      <c r="G379" s="436"/>
      <c r="H379" s="437" t="s">
        <v>1236</v>
      </c>
      <c r="I379" s="438" t="s">
        <v>3916</v>
      </c>
      <c r="J379" s="439" t="s">
        <v>16</v>
      </c>
      <c r="K379" s="440"/>
      <c r="L379" s="441"/>
      <c r="M379" s="441"/>
      <c r="N379" s="442">
        <v>3569163.7245956999</v>
      </c>
      <c r="O379" s="480">
        <v>213.088599631856</v>
      </c>
      <c r="P379" s="434"/>
    </row>
    <row r="380" spans="1:16" ht="13.9" hidden="1" customHeight="1" outlineLevel="1" x14ac:dyDescent="0.2">
      <c r="A380" s="233">
        <v>0</v>
      </c>
      <c r="B380" s="233">
        <v>6</v>
      </c>
      <c r="C380" s="233">
        <v>1</v>
      </c>
      <c r="D380" s="234">
        <v>0</v>
      </c>
      <c r="E380" s="234">
        <v>2</v>
      </c>
      <c r="G380" s="443"/>
      <c r="H380" s="444" t="s">
        <v>38</v>
      </c>
      <c r="I380" s="445" t="s">
        <v>3917</v>
      </c>
      <c r="J380" s="446" t="s">
        <v>2721</v>
      </c>
      <c r="K380" s="447"/>
      <c r="L380" s="448"/>
      <c r="M380" s="448"/>
      <c r="N380" s="449">
        <v>1732378.9793951199</v>
      </c>
      <c r="O380" s="432"/>
      <c r="P380" s="435"/>
    </row>
    <row r="381" spans="1:16" ht="13.9" hidden="1" customHeight="1" outlineLevel="2" x14ac:dyDescent="0.2">
      <c r="A381" s="233">
        <v>0</v>
      </c>
      <c r="B381" s="233">
        <v>6</v>
      </c>
      <c r="C381" s="233">
        <v>1</v>
      </c>
      <c r="D381" s="234">
        <v>1</v>
      </c>
      <c r="E381" s="234">
        <v>0</v>
      </c>
      <c r="G381" s="450"/>
      <c r="H381" s="451" t="s">
        <v>1237</v>
      </c>
      <c r="I381" s="452" t="s">
        <v>3918</v>
      </c>
      <c r="J381" s="453" t="s">
        <v>2321</v>
      </c>
      <c r="K381" s="454"/>
      <c r="L381" s="455"/>
      <c r="M381" s="455"/>
      <c r="N381" s="456">
        <v>443271.64880000002</v>
      </c>
      <c r="O381" s="457"/>
      <c r="P381" s="430"/>
    </row>
    <row r="382" spans="1:16" ht="13.9" hidden="1" customHeight="1" outlineLevel="3" x14ac:dyDescent="0.2">
      <c r="A382" s="233">
        <v>0</v>
      </c>
      <c r="B382" s="233">
        <v>6</v>
      </c>
      <c r="C382" s="233">
        <v>1</v>
      </c>
      <c r="D382" s="234">
        <v>1</v>
      </c>
      <c r="E382" s="234">
        <v>1</v>
      </c>
      <c r="G382" s="500" t="s">
        <v>16</v>
      </c>
      <c r="H382" s="459" t="s">
        <v>1238</v>
      </c>
      <c r="I382" s="460" t="s">
        <v>3919</v>
      </c>
      <c r="J382" s="461" t="s">
        <v>2321</v>
      </c>
      <c r="K382" s="462" t="s">
        <v>1129</v>
      </c>
      <c r="L382" s="463">
        <v>1</v>
      </c>
      <c r="M382" s="463">
        <v>443271.64879999997</v>
      </c>
      <c r="N382" s="464">
        <v>443271.64880000002</v>
      </c>
      <c r="O382" s="465" t="s">
        <v>2736</v>
      </c>
      <c r="P382" s="431" t="s">
        <v>6711</v>
      </c>
    </row>
    <row r="383" spans="1:16" ht="13.9" hidden="1" customHeight="1" outlineLevel="2" x14ac:dyDescent="0.2">
      <c r="A383" s="233">
        <v>0</v>
      </c>
      <c r="B383" s="233">
        <v>6</v>
      </c>
      <c r="C383" s="233">
        <v>1</v>
      </c>
      <c r="D383" s="234">
        <v>2</v>
      </c>
      <c r="E383" s="234">
        <v>0</v>
      </c>
      <c r="G383" s="450"/>
      <c r="H383" s="451" t="s">
        <v>1237</v>
      </c>
      <c r="I383" s="452" t="s">
        <v>3920</v>
      </c>
      <c r="J383" s="453" t="s">
        <v>2720</v>
      </c>
      <c r="K383" s="454"/>
      <c r="L383" s="455"/>
      <c r="M383" s="455"/>
      <c r="N383" s="456">
        <v>641526.71</v>
      </c>
      <c r="O383" s="457"/>
      <c r="P383" s="430"/>
    </row>
    <row r="384" spans="1:16" ht="13.9" hidden="1" customHeight="1" outlineLevel="3" x14ac:dyDescent="0.2">
      <c r="A384" s="233">
        <v>0</v>
      </c>
      <c r="B384" s="233">
        <v>6</v>
      </c>
      <c r="C384" s="233">
        <v>1</v>
      </c>
      <c r="D384" s="234">
        <v>2</v>
      </c>
      <c r="E384" s="234">
        <v>1</v>
      </c>
      <c r="G384" s="500" t="s">
        <v>16</v>
      </c>
      <c r="H384" s="459" t="s">
        <v>1238</v>
      </c>
      <c r="I384" s="460" t="s">
        <v>3921</v>
      </c>
      <c r="J384" s="461" t="s">
        <v>2720</v>
      </c>
      <c r="K384" s="462" t="s">
        <v>1129</v>
      </c>
      <c r="L384" s="463">
        <v>1</v>
      </c>
      <c r="M384" s="463">
        <v>641526.71</v>
      </c>
      <c r="N384" s="464">
        <v>641526.71</v>
      </c>
      <c r="O384" s="465" t="s">
        <v>2736</v>
      </c>
      <c r="P384" s="431" t="s">
        <v>6711</v>
      </c>
    </row>
    <row r="385" spans="1:16" ht="13.9" hidden="1" customHeight="1" outlineLevel="2" x14ac:dyDescent="0.2">
      <c r="A385" s="233">
        <v>0</v>
      </c>
      <c r="B385" s="233">
        <v>6</v>
      </c>
      <c r="C385" s="233">
        <v>1</v>
      </c>
      <c r="D385" s="234">
        <v>3</v>
      </c>
      <c r="E385" s="234">
        <v>0</v>
      </c>
      <c r="G385" s="450"/>
      <c r="H385" s="451" t="s">
        <v>1237</v>
      </c>
      <c r="I385" s="452" t="s">
        <v>3922</v>
      </c>
      <c r="J385" s="453" t="s">
        <v>2238</v>
      </c>
      <c r="K385" s="454"/>
      <c r="L385" s="455"/>
      <c r="M385" s="455"/>
      <c r="N385" s="456">
        <v>249995</v>
      </c>
      <c r="O385" s="457"/>
      <c r="P385" s="430"/>
    </row>
    <row r="386" spans="1:16" ht="13.9" hidden="1" customHeight="1" outlineLevel="3" x14ac:dyDescent="0.2">
      <c r="A386" s="233">
        <v>0</v>
      </c>
      <c r="B386" s="233">
        <v>6</v>
      </c>
      <c r="C386" s="233">
        <v>1</v>
      </c>
      <c r="D386" s="234">
        <v>3</v>
      </c>
      <c r="E386" s="234">
        <v>1</v>
      </c>
      <c r="G386" s="500" t="s">
        <v>16</v>
      </c>
      <c r="H386" s="459" t="s">
        <v>1238</v>
      </c>
      <c r="I386" s="460" t="s">
        <v>3923</v>
      </c>
      <c r="J386" s="461" t="s">
        <v>2238</v>
      </c>
      <c r="K386" s="462" t="s">
        <v>1129</v>
      </c>
      <c r="L386" s="463">
        <v>1</v>
      </c>
      <c r="M386" s="463">
        <v>249995</v>
      </c>
      <c r="N386" s="464">
        <v>249995</v>
      </c>
      <c r="O386" s="465" t="s">
        <v>2736</v>
      </c>
      <c r="P386" s="431" t="s">
        <v>6711</v>
      </c>
    </row>
    <row r="387" spans="1:16" ht="13.9" hidden="1" customHeight="1" outlineLevel="2" x14ac:dyDescent="0.2">
      <c r="A387" s="233">
        <v>0</v>
      </c>
      <c r="B387" s="233">
        <v>6</v>
      </c>
      <c r="C387" s="233">
        <v>1</v>
      </c>
      <c r="D387" s="234">
        <v>4</v>
      </c>
      <c r="E387" s="234">
        <v>0</v>
      </c>
      <c r="G387" s="450"/>
      <c r="H387" s="451" t="s">
        <v>1237</v>
      </c>
      <c r="I387" s="452" t="s">
        <v>3924</v>
      </c>
      <c r="J387" s="453" t="s">
        <v>2322</v>
      </c>
      <c r="K387" s="454"/>
      <c r="L387" s="455"/>
      <c r="M387" s="455"/>
      <c r="N387" s="456">
        <v>6551.71</v>
      </c>
      <c r="O387" s="457"/>
      <c r="P387" s="430"/>
    </row>
    <row r="388" spans="1:16" ht="13.9" hidden="1" customHeight="1" outlineLevel="3" x14ac:dyDescent="0.2">
      <c r="A388" s="233">
        <v>0</v>
      </c>
      <c r="B388" s="233">
        <v>6</v>
      </c>
      <c r="C388" s="233">
        <v>1</v>
      </c>
      <c r="D388" s="234">
        <v>4</v>
      </c>
      <c r="E388" s="234">
        <v>1</v>
      </c>
      <c r="G388" s="500" t="s">
        <v>16</v>
      </c>
      <c r="H388" s="459" t="s">
        <v>1238</v>
      </c>
      <c r="I388" s="460" t="s">
        <v>3925</v>
      </c>
      <c r="J388" s="461" t="s">
        <v>2322</v>
      </c>
      <c r="K388" s="462" t="s">
        <v>1129</v>
      </c>
      <c r="L388" s="463">
        <v>1</v>
      </c>
      <c r="M388" s="463">
        <v>6551.71</v>
      </c>
      <c r="N388" s="464">
        <v>6551.71</v>
      </c>
      <c r="O388" s="465" t="s">
        <v>2736</v>
      </c>
      <c r="P388" s="431" t="s">
        <v>6711</v>
      </c>
    </row>
    <row r="389" spans="1:16" ht="13.9" hidden="1" customHeight="1" outlineLevel="2" x14ac:dyDescent="0.2">
      <c r="A389" s="233">
        <v>0</v>
      </c>
      <c r="B389" s="233">
        <v>6</v>
      </c>
      <c r="C389" s="233">
        <v>1</v>
      </c>
      <c r="D389" s="234">
        <v>5</v>
      </c>
      <c r="E389" s="234">
        <v>0</v>
      </c>
      <c r="G389" s="450"/>
      <c r="H389" s="451" t="s">
        <v>1237</v>
      </c>
      <c r="I389" s="452" t="s">
        <v>3926</v>
      </c>
      <c r="J389" s="453" t="s">
        <v>2324</v>
      </c>
      <c r="K389" s="454"/>
      <c r="L389" s="455"/>
      <c r="M389" s="455"/>
      <c r="N389" s="456">
        <v>2334.0500000000002</v>
      </c>
      <c r="O389" s="457"/>
      <c r="P389" s="430"/>
    </row>
    <row r="390" spans="1:16" ht="13.9" hidden="1" customHeight="1" outlineLevel="3" x14ac:dyDescent="0.2">
      <c r="A390" s="233">
        <v>0</v>
      </c>
      <c r="B390" s="233">
        <v>6</v>
      </c>
      <c r="C390" s="233">
        <v>1</v>
      </c>
      <c r="D390" s="234">
        <v>5</v>
      </c>
      <c r="E390" s="234">
        <v>1</v>
      </c>
      <c r="G390" s="500" t="s">
        <v>16</v>
      </c>
      <c r="H390" s="459" t="s">
        <v>1238</v>
      </c>
      <c r="I390" s="460" t="s">
        <v>3927</v>
      </c>
      <c r="J390" s="461" t="s">
        <v>2324</v>
      </c>
      <c r="K390" s="462" t="s">
        <v>1129</v>
      </c>
      <c r="L390" s="463">
        <v>1</v>
      </c>
      <c r="M390" s="463">
        <v>2334.0500000000002</v>
      </c>
      <c r="N390" s="464">
        <v>2334.0500000000002</v>
      </c>
      <c r="O390" s="465" t="s">
        <v>2736</v>
      </c>
      <c r="P390" s="431" t="s">
        <v>6711</v>
      </c>
    </row>
    <row r="391" spans="1:16" ht="13.9" hidden="1" customHeight="1" outlineLevel="2" x14ac:dyDescent="0.2">
      <c r="A391" s="233">
        <v>0</v>
      </c>
      <c r="B391" s="233">
        <v>6</v>
      </c>
      <c r="C391" s="233">
        <v>1</v>
      </c>
      <c r="D391" s="234">
        <v>6</v>
      </c>
      <c r="E391" s="234">
        <v>0</v>
      </c>
      <c r="G391" s="450"/>
      <c r="H391" s="451" t="s">
        <v>1237</v>
      </c>
      <c r="I391" s="452" t="s">
        <v>3928</v>
      </c>
      <c r="J391" s="453" t="s">
        <v>2325</v>
      </c>
      <c r="K391" s="454"/>
      <c r="L391" s="455"/>
      <c r="M391" s="455"/>
      <c r="N391" s="456">
        <v>247400.663</v>
      </c>
      <c r="O391" s="457"/>
      <c r="P391" s="430"/>
    </row>
    <row r="392" spans="1:16" ht="13.9" hidden="1" customHeight="1" outlineLevel="3" x14ac:dyDescent="0.2">
      <c r="A392" s="233">
        <v>0</v>
      </c>
      <c r="B392" s="233">
        <v>6</v>
      </c>
      <c r="C392" s="233">
        <v>1</v>
      </c>
      <c r="D392" s="234">
        <v>6</v>
      </c>
      <c r="E392" s="234">
        <v>1</v>
      </c>
      <c r="G392" s="500" t="s">
        <v>16</v>
      </c>
      <c r="H392" s="459" t="s">
        <v>1238</v>
      </c>
      <c r="I392" s="460" t="s">
        <v>3929</v>
      </c>
      <c r="J392" s="461" t="s">
        <v>2325</v>
      </c>
      <c r="K392" s="462" t="s">
        <v>1129</v>
      </c>
      <c r="L392" s="463">
        <v>1</v>
      </c>
      <c r="M392" s="463">
        <v>247400.663</v>
      </c>
      <c r="N392" s="464">
        <v>247400.663</v>
      </c>
      <c r="O392" s="465" t="s">
        <v>2736</v>
      </c>
      <c r="P392" s="431" t="s">
        <v>6711</v>
      </c>
    </row>
    <row r="393" spans="1:16" ht="13.9" hidden="1" customHeight="1" outlineLevel="2" x14ac:dyDescent="0.2">
      <c r="A393" s="233">
        <v>0</v>
      </c>
      <c r="B393" s="233">
        <v>6</v>
      </c>
      <c r="C393" s="233">
        <v>1</v>
      </c>
      <c r="D393" s="234">
        <v>7</v>
      </c>
      <c r="E393" s="234">
        <v>0</v>
      </c>
      <c r="G393" s="450"/>
      <c r="H393" s="451" t="s">
        <v>1237</v>
      </c>
      <c r="I393" s="452" t="s">
        <v>3930</v>
      </c>
      <c r="J393" s="453" t="s">
        <v>2326</v>
      </c>
      <c r="K393" s="454"/>
      <c r="L393" s="455"/>
      <c r="M393" s="455"/>
      <c r="N393" s="456">
        <v>3653.25</v>
      </c>
      <c r="O393" s="457"/>
      <c r="P393" s="430"/>
    </row>
    <row r="394" spans="1:16" ht="13.9" hidden="1" customHeight="1" outlineLevel="3" x14ac:dyDescent="0.2">
      <c r="A394" s="233">
        <v>0</v>
      </c>
      <c r="B394" s="233">
        <v>6</v>
      </c>
      <c r="C394" s="233">
        <v>1</v>
      </c>
      <c r="D394" s="234">
        <v>7</v>
      </c>
      <c r="E394" s="234">
        <v>1</v>
      </c>
      <c r="G394" s="500" t="s">
        <v>16</v>
      </c>
      <c r="H394" s="459" t="s">
        <v>1238</v>
      </c>
      <c r="I394" s="460" t="s">
        <v>3931</v>
      </c>
      <c r="J394" s="461" t="s">
        <v>2326</v>
      </c>
      <c r="K394" s="462" t="s">
        <v>1129</v>
      </c>
      <c r="L394" s="463">
        <v>1</v>
      </c>
      <c r="M394" s="463">
        <v>3653.25</v>
      </c>
      <c r="N394" s="464">
        <v>3653.25</v>
      </c>
      <c r="O394" s="465" t="s">
        <v>2736</v>
      </c>
      <c r="P394" s="431" t="s">
        <v>6711</v>
      </c>
    </row>
    <row r="395" spans="1:16" ht="13.9" hidden="1" customHeight="1" outlineLevel="2" x14ac:dyDescent="0.2">
      <c r="A395" s="233">
        <v>0</v>
      </c>
      <c r="B395" s="233">
        <v>6</v>
      </c>
      <c r="C395" s="233">
        <v>1</v>
      </c>
      <c r="D395" s="234">
        <v>8</v>
      </c>
      <c r="E395" s="234">
        <v>0</v>
      </c>
      <c r="G395" s="450"/>
      <c r="H395" s="451" t="s">
        <v>1237</v>
      </c>
      <c r="I395" s="452" t="s">
        <v>3932</v>
      </c>
      <c r="J395" s="453" t="s">
        <v>2327</v>
      </c>
      <c r="K395" s="454"/>
      <c r="L395" s="455"/>
      <c r="M395" s="455"/>
      <c r="N395" s="456">
        <v>8750.9875951209797</v>
      </c>
      <c r="O395" s="457"/>
      <c r="P395" s="430"/>
    </row>
    <row r="396" spans="1:16" ht="13.9" hidden="1" customHeight="1" outlineLevel="3" x14ac:dyDescent="0.2">
      <c r="A396" s="233">
        <v>0</v>
      </c>
      <c r="B396" s="233">
        <v>6</v>
      </c>
      <c r="C396" s="233">
        <v>1</v>
      </c>
      <c r="D396" s="234">
        <v>8</v>
      </c>
      <c r="E396" s="234">
        <v>1</v>
      </c>
      <c r="G396" s="500" t="s">
        <v>16</v>
      </c>
      <c r="H396" s="459" t="s">
        <v>1238</v>
      </c>
      <c r="I396" s="460" t="s">
        <v>3933</v>
      </c>
      <c r="J396" s="461" t="s">
        <v>2327</v>
      </c>
      <c r="K396" s="462" t="s">
        <v>1129</v>
      </c>
      <c r="L396" s="463">
        <v>1</v>
      </c>
      <c r="M396" s="463">
        <v>8750.9875951209779</v>
      </c>
      <c r="N396" s="464">
        <v>8750.9875951209797</v>
      </c>
      <c r="O396" s="465" t="s">
        <v>2735</v>
      </c>
      <c r="P396" s="431" t="s">
        <v>6711</v>
      </c>
    </row>
    <row r="397" spans="1:16" ht="13.9" hidden="1" customHeight="1" outlineLevel="2" x14ac:dyDescent="0.2">
      <c r="A397" s="233">
        <v>0</v>
      </c>
      <c r="B397" s="233">
        <v>6</v>
      </c>
      <c r="C397" s="233">
        <v>1</v>
      </c>
      <c r="D397" s="234">
        <v>9</v>
      </c>
      <c r="E397" s="234">
        <v>0</v>
      </c>
      <c r="G397" s="450"/>
      <c r="H397" s="451" t="s">
        <v>1237</v>
      </c>
      <c r="I397" s="452" t="s">
        <v>3934</v>
      </c>
      <c r="J397" s="453" t="s">
        <v>1252</v>
      </c>
      <c r="K397" s="454"/>
      <c r="L397" s="455"/>
      <c r="M397" s="455"/>
      <c r="N397" s="456">
        <v>128894.96</v>
      </c>
      <c r="O397" s="457"/>
      <c r="P397" s="430"/>
    </row>
    <row r="398" spans="1:16" ht="13.9" hidden="1" customHeight="1" outlineLevel="3" x14ac:dyDescent="0.2">
      <c r="A398" s="233">
        <v>0</v>
      </c>
      <c r="B398" s="233">
        <v>6</v>
      </c>
      <c r="C398" s="233">
        <v>1</v>
      </c>
      <c r="D398" s="234">
        <v>9</v>
      </c>
      <c r="E398" s="234">
        <v>1</v>
      </c>
      <c r="G398" s="500" t="s">
        <v>16</v>
      </c>
      <c r="H398" s="459" t="s">
        <v>1238</v>
      </c>
      <c r="I398" s="460" t="s">
        <v>3935</v>
      </c>
      <c r="J398" s="461" t="s">
        <v>1253</v>
      </c>
      <c r="K398" s="462" t="s">
        <v>1129</v>
      </c>
      <c r="L398" s="463">
        <v>1</v>
      </c>
      <c r="M398" s="463">
        <v>128894.95999999999</v>
      </c>
      <c r="N398" s="464">
        <v>128894.96</v>
      </c>
      <c r="O398" s="465" t="s">
        <v>2719</v>
      </c>
      <c r="P398" s="431" t="s">
        <v>6711</v>
      </c>
    </row>
    <row r="399" spans="1:16" ht="13.9" hidden="1" customHeight="1" outlineLevel="1" x14ac:dyDescent="0.2">
      <c r="A399" s="233">
        <v>0</v>
      </c>
      <c r="B399" s="233">
        <v>6</v>
      </c>
      <c r="C399" s="233">
        <v>2</v>
      </c>
      <c r="D399" s="234">
        <v>0</v>
      </c>
      <c r="E399" s="234">
        <v>1</v>
      </c>
      <c r="G399" s="443"/>
      <c r="H399" s="444" t="s">
        <v>38</v>
      </c>
      <c r="I399" s="445" t="s">
        <v>3936</v>
      </c>
      <c r="J399" s="446" t="s">
        <v>2722</v>
      </c>
      <c r="K399" s="447"/>
      <c r="L399" s="448"/>
      <c r="M399" s="448"/>
      <c r="N399" s="449">
        <v>72484.843776862996</v>
      </c>
      <c r="O399" s="432"/>
      <c r="P399" s="435"/>
    </row>
    <row r="400" spans="1:16" ht="13.9" hidden="1" customHeight="1" outlineLevel="2" x14ac:dyDescent="0.2">
      <c r="A400" s="233">
        <v>0</v>
      </c>
      <c r="B400" s="233">
        <v>6</v>
      </c>
      <c r="C400" s="233">
        <v>2</v>
      </c>
      <c r="D400" s="234">
        <v>1</v>
      </c>
      <c r="E400" s="234">
        <v>0</v>
      </c>
      <c r="G400" s="450"/>
      <c r="H400" s="451" t="s">
        <v>1237</v>
      </c>
      <c r="I400" s="452" t="s">
        <v>3937</v>
      </c>
      <c r="J400" s="453" t="s">
        <v>2322</v>
      </c>
      <c r="K400" s="454"/>
      <c r="L400" s="455"/>
      <c r="M400" s="455"/>
      <c r="N400" s="456">
        <v>973.32</v>
      </c>
      <c r="O400" s="457"/>
      <c r="P400" s="430"/>
    </row>
    <row r="401" spans="1:16" ht="13.9" hidden="1" customHeight="1" outlineLevel="3" x14ac:dyDescent="0.2">
      <c r="A401" s="233">
        <v>0</v>
      </c>
      <c r="B401" s="233">
        <v>6</v>
      </c>
      <c r="C401" s="233">
        <v>2</v>
      </c>
      <c r="D401" s="234">
        <v>1</v>
      </c>
      <c r="E401" s="234">
        <v>1</v>
      </c>
      <c r="G401" s="500" t="s">
        <v>16</v>
      </c>
      <c r="H401" s="459" t="s">
        <v>1238</v>
      </c>
      <c r="I401" s="460" t="s">
        <v>3938</v>
      </c>
      <c r="J401" s="461" t="s">
        <v>2322</v>
      </c>
      <c r="K401" s="462" t="s">
        <v>1129</v>
      </c>
      <c r="L401" s="463">
        <v>1</v>
      </c>
      <c r="M401" s="463">
        <v>973.31999999999994</v>
      </c>
      <c r="N401" s="464">
        <v>973.32</v>
      </c>
      <c r="O401" s="465" t="s">
        <v>2736</v>
      </c>
      <c r="P401" s="431" t="s">
        <v>6711</v>
      </c>
    </row>
    <row r="402" spans="1:16" ht="13.9" hidden="1" customHeight="1" outlineLevel="2" x14ac:dyDescent="0.2">
      <c r="A402" s="233">
        <v>0</v>
      </c>
      <c r="B402" s="233">
        <v>6</v>
      </c>
      <c r="C402" s="233">
        <v>2</v>
      </c>
      <c r="D402" s="234">
        <v>2</v>
      </c>
      <c r="E402" s="234">
        <v>0</v>
      </c>
      <c r="G402" s="450"/>
      <c r="H402" s="451" t="s">
        <v>1237</v>
      </c>
      <c r="I402" s="452" t="s">
        <v>3939</v>
      </c>
      <c r="J402" s="453" t="s">
        <v>2324</v>
      </c>
      <c r="K402" s="454"/>
      <c r="L402" s="455"/>
      <c r="M402" s="455"/>
      <c r="N402" s="456">
        <v>2608.4499999999998</v>
      </c>
      <c r="O402" s="457"/>
      <c r="P402" s="430"/>
    </row>
    <row r="403" spans="1:16" ht="13.9" hidden="1" customHeight="1" outlineLevel="3" x14ac:dyDescent="0.2">
      <c r="A403" s="233">
        <v>0</v>
      </c>
      <c r="B403" s="233">
        <v>6</v>
      </c>
      <c r="C403" s="233">
        <v>2</v>
      </c>
      <c r="D403" s="234">
        <v>2</v>
      </c>
      <c r="E403" s="234">
        <v>1</v>
      </c>
      <c r="G403" s="500" t="s">
        <v>16</v>
      </c>
      <c r="H403" s="459" t="s">
        <v>1238</v>
      </c>
      <c r="I403" s="460" t="s">
        <v>3940</v>
      </c>
      <c r="J403" s="461" t="s">
        <v>2324</v>
      </c>
      <c r="K403" s="462" t="s">
        <v>1129</v>
      </c>
      <c r="L403" s="463">
        <v>1</v>
      </c>
      <c r="M403" s="463">
        <v>2608.4500000000003</v>
      </c>
      <c r="N403" s="464">
        <v>2608.4499999999998</v>
      </c>
      <c r="O403" s="465" t="s">
        <v>2736</v>
      </c>
      <c r="P403" s="431" t="s">
        <v>6711</v>
      </c>
    </row>
    <row r="404" spans="1:16" ht="13.9" hidden="1" customHeight="1" outlineLevel="2" x14ac:dyDescent="0.2">
      <c r="A404" s="233">
        <v>0</v>
      </c>
      <c r="B404" s="233">
        <v>6</v>
      </c>
      <c r="C404" s="233">
        <v>2</v>
      </c>
      <c r="D404" s="234">
        <v>3</v>
      </c>
      <c r="E404" s="234">
        <v>0</v>
      </c>
      <c r="G404" s="450"/>
      <c r="H404" s="451" t="s">
        <v>1237</v>
      </c>
      <c r="I404" s="452" t="s">
        <v>3941</v>
      </c>
      <c r="J404" s="453" t="s">
        <v>2325</v>
      </c>
      <c r="K404" s="454"/>
      <c r="L404" s="455"/>
      <c r="M404" s="455"/>
      <c r="N404" s="456">
        <v>7968.7790000000005</v>
      </c>
      <c r="O404" s="457"/>
      <c r="P404" s="430"/>
    </row>
    <row r="405" spans="1:16" ht="13.9" hidden="1" customHeight="1" outlineLevel="3" x14ac:dyDescent="0.2">
      <c r="A405" s="233">
        <v>0</v>
      </c>
      <c r="B405" s="233">
        <v>6</v>
      </c>
      <c r="C405" s="233">
        <v>2</v>
      </c>
      <c r="D405" s="234">
        <v>3</v>
      </c>
      <c r="E405" s="234">
        <v>1</v>
      </c>
      <c r="G405" s="500" t="s">
        <v>16</v>
      </c>
      <c r="H405" s="459" t="s">
        <v>1238</v>
      </c>
      <c r="I405" s="460" t="s">
        <v>3942</v>
      </c>
      <c r="J405" s="461" t="s">
        <v>2325</v>
      </c>
      <c r="K405" s="462" t="s">
        <v>1129</v>
      </c>
      <c r="L405" s="463">
        <v>1</v>
      </c>
      <c r="M405" s="463">
        <v>7968.7789999999986</v>
      </c>
      <c r="N405" s="464">
        <v>7968.7790000000005</v>
      </c>
      <c r="O405" s="465" t="s">
        <v>2736</v>
      </c>
      <c r="P405" s="431" t="s">
        <v>6711</v>
      </c>
    </row>
    <row r="406" spans="1:16" ht="13.9" hidden="1" customHeight="1" outlineLevel="2" x14ac:dyDescent="0.2">
      <c r="A406" s="233">
        <v>0</v>
      </c>
      <c r="B406" s="233">
        <v>6</v>
      </c>
      <c r="C406" s="233">
        <v>2</v>
      </c>
      <c r="D406" s="234">
        <v>4</v>
      </c>
      <c r="E406" s="234">
        <v>0</v>
      </c>
      <c r="G406" s="450"/>
      <c r="H406" s="451" t="s">
        <v>1237</v>
      </c>
      <c r="I406" s="452" t="s">
        <v>3943</v>
      </c>
      <c r="J406" s="453" t="s">
        <v>2326</v>
      </c>
      <c r="K406" s="454"/>
      <c r="L406" s="455"/>
      <c r="M406" s="455"/>
      <c r="N406" s="456">
        <v>2070.85</v>
      </c>
      <c r="O406" s="457"/>
      <c r="P406" s="430"/>
    </row>
    <row r="407" spans="1:16" ht="13.9" hidden="1" customHeight="1" outlineLevel="3" x14ac:dyDescent="0.2">
      <c r="A407" s="233">
        <v>0</v>
      </c>
      <c r="B407" s="233">
        <v>6</v>
      </c>
      <c r="C407" s="233">
        <v>2</v>
      </c>
      <c r="D407" s="234">
        <v>4</v>
      </c>
      <c r="E407" s="234">
        <v>1</v>
      </c>
      <c r="G407" s="500" t="s">
        <v>16</v>
      </c>
      <c r="H407" s="459" t="s">
        <v>1238</v>
      </c>
      <c r="I407" s="460" t="s">
        <v>3944</v>
      </c>
      <c r="J407" s="461" t="s">
        <v>2326</v>
      </c>
      <c r="K407" s="462" t="s">
        <v>1129</v>
      </c>
      <c r="L407" s="463">
        <v>1</v>
      </c>
      <c r="M407" s="463">
        <v>2070.85</v>
      </c>
      <c r="N407" s="464">
        <v>2070.85</v>
      </c>
      <c r="O407" s="465" t="s">
        <v>2736</v>
      </c>
      <c r="P407" s="431" t="s">
        <v>6711</v>
      </c>
    </row>
    <row r="408" spans="1:16" ht="13.9" hidden="1" customHeight="1" outlineLevel="2" x14ac:dyDescent="0.2">
      <c r="A408" s="233">
        <v>0</v>
      </c>
      <c r="B408" s="233">
        <v>6</v>
      </c>
      <c r="C408" s="233">
        <v>2</v>
      </c>
      <c r="D408" s="234">
        <v>5</v>
      </c>
      <c r="E408" s="234">
        <v>0</v>
      </c>
      <c r="G408" s="450"/>
      <c r="H408" s="451" t="s">
        <v>1237</v>
      </c>
      <c r="I408" s="452" t="s">
        <v>3945</v>
      </c>
      <c r="J408" s="453" t="s">
        <v>2327</v>
      </c>
      <c r="K408" s="454"/>
      <c r="L408" s="455"/>
      <c r="M408" s="455"/>
      <c r="N408" s="456">
        <v>8935.8047768630004</v>
      </c>
      <c r="O408" s="457"/>
      <c r="P408" s="430"/>
    </row>
    <row r="409" spans="1:16" ht="13.9" hidden="1" customHeight="1" outlineLevel="3" x14ac:dyDescent="0.2">
      <c r="A409" s="233">
        <v>0</v>
      </c>
      <c r="B409" s="233">
        <v>6</v>
      </c>
      <c r="C409" s="233">
        <v>2</v>
      </c>
      <c r="D409" s="234">
        <v>5</v>
      </c>
      <c r="E409" s="234">
        <v>1</v>
      </c>
      <c r="G409" s="500" t="s">
        <v>16</v>
      </c>
      <c r="H409" s="459" t="s">
        <v>1238</v>
      </c>
      <c r="I409" s="460" t="s">
        <v>3946</v>
      </c>
      <c r="J409" s="461" t="s">
        <v>2327</v>
      </c>
      <c r="K409" s="462" t="s">
        <v>1129</v>
      </c>
      <c r="L409" s="463">
        <v>1</v>
      </c>
      <c r="M409" s="463">
        <v>8935.8047768629986</v>
      </c>
      <c r="N409" s="464">
        <v>8935.8047768630004</v>
      </c>
      <c r="O409" s="465" t="s">
        <v>2735</v>
      </c>
      <c r="P409" s="431" t="s">
        <v>6711</v>
      </c>
    </row>
    <row r="410" spans="1:16" ht="13.9" hidden="1" customHeight="1" outlineLevel="2" x14ac:dyDescent="0.2">
      <c r="A410" s="233">
        <v>0</v>
      </c>
      <c r="B410" s="233">
        <v>6</v>
      </c>
      <c r="C410" s="233">
        <v>2</v>
      </c>
      <c r="D410" s="234">
        <v>6</v>
      </c>
      <c r="E410" s="234">
        <v>0</v>
      </c>
      <c r="G410" s="450"/>
      <c r="H410" s="451" t="s">
        <v>1237</v>
      </c>
      <c r="I410" s="452" t="s">
        <v>3947</v>
      </c>
      <c r="J410" s="453" t="s">
        <v>1252</v>
      </c>
      <c r="K410" s="454"/>
      <c r="L410" s="455"/>
      <c r="M410" s="455"/>
      <c r="N410" s="456">
        <v>49927.64</v>
      </c>
      <c r="O410" s="457"/>
      <c r="P410" s="430"/>
    </row>
    <row r="411" spans="1:16" ht="13.9" hidden="1" customHeight="1" outlineLevel="3" x14ac:dyDescent="0.2">
      <c r="A411" s="233">
        <v>0</v>
      </c>
      <c r="B411" s="233">
        <v>6</v>
      </c>
      <c r="C411" s="233">
        <v>2</v>
      </c>
      <c r="D411" s="234">
        <v>6</v>
      </c>
      <c r="E411" s="234">
        <v>1</v>
      </c>
      <c r="G411" s="500" t="s">
        <v>16</v>
      </c>
      <c r="H411" s="459" t="s">
        <v>1238</v>
      </c>
      <c r="I411" s="460" t="s">
        <v>3948</v>
      </c>
      <c r="J411" s="461" t="s">
        <v>1253</v>
      </c>
      <c r="K411" s="462" t="s">
        <v>1129</v>
      </c>
      <c r="L411" s="463">
        <v>1</v>
      </c>
      <c r="M411" s="463">
        <v>49927.64</v>
      </c>
      <c r="N411" s="464">
        <v>49927.64</v>
      </c>
      <c r="O411" s="465" t="s">
        <v>2719</v>
      </c>
      <c r="P411" s="431" t="s">
        <v>6711</v>
      </c>
    </row>
    <row r="412" spans="1:16" ht="13.9" hidden="1" customHeight="1" outlineLevel="1" x14ac:dyDescent="0.2">
      <c r="A412" s="233">
        <v>0</v>
      </c>
      <c r="B412" s="233">
        <v>6</v>
      </c>
      <c r="C412" s="233">
        <v>3</v>
      </c>
      <c r="D412" s="234">
        <v>0</v>
      </c>
      <c r="E412" s="234">
        <v>1</v>
      </c>
      <c r="G412" s="443"/>
      <c r="H412" s="444" t="s">
        <v>38</v>
      </c>
      <c r="I412" s="445" t="s">
        <v>3949</v>
      </c>
      <c r="J412" s="446" t="s">
        <v>2723</v>
      </c>
      <c r="K412" s="447"/>
      <c r="L412" s="448"/>
      <c r="M412" s="448"/>
      <c r="N412" s="449">
        <v>69814.526211850694</v>
      </c>
      <c r="O412" s="432"/>
      <c r="P412" s="435"/>
    </row>
    <row r="413" spans="1:16" ht="13.9" hidden="1" customHeight="1" outlineLevel="2" x14ac:dyDescent="0.2">
      <c r="A413" s="233">
        <v>0</v>
      </c>
      <c r="B413" s="233">
        <v>6</v>
      </c>
      <c r="C413" s="233">
        <v>3</v>
      </c>
      <c r="D413" s="234">
        <v>1</v>
      </c>
      <c r="E413" s="234">
        <v>0</v>
      </c>
      <c r="G413" s="450"/>
      <c r="H413" s="451" t="s">
        <v>1237</v>
      </c>
      <c r="I413" s="452" t="s">
        <v>3950</v>
      </c>
      <c r="J413" s="453" t="s">
        <v>2322</v>
      </c>
      <c r="K413" s="454"/>
      <c r="L413" s="455"/>
      <c r="M413" s="455"/>
      <c r="N413" s="456">
        <v>960.27</v>
      </c>
      <c r="O413" s="457"/>
      <c r="P413" s="430"/>
    </row>
    <row r="414" spans="1:16" ht="13.9" hidden="1" customHeight="1" outlineLevel="3" x14ac:dyDescent="0.2">
      <c r="A414" s="233">
        <v>0</v>
      </c>
      <c r="B414" s="233">
        <v>6</v>
      </c>
      <c r="C414" s="233">
        <v>3</v>
      </c>
      <c r="D414" s="234">
        <v>1</v>
      </c>
      <c r="E414" s="234">
        <v>1</v>
      </c>
      <c r="G414" s="500" t="s">
        <v>16</v>
      </c>
      <c r="H414" s="459" t="s">
        <v>1238</v>
      </c>
      <c r="I414" s="460" t="s">
        <v>3951</v>
      </c>
      <c r="J414" s="461" t="s">
        <v>2322</v>
      </c>
      <c r="K414" s="462" t="s">
        <v>1129</v>
      </c>
      <c r="L414" s="463">
        <v>1</v>
      </c>
      <c r="M414" s="463">
        <v>960.27</v>
      </c>
      <c r="N414" s="464">
        <v>960.27</v>
      </c>
      <c r="O414" s="465" t="s">
        <v>2736</v>
      </c>
      <c r="P414" s="431" t="s">
        <v>6711</v>
      </c>
    </row>
    <row r="415" spans="1:16" ht="13.9" hidden="1" customHeight="1" outlineLevel="2" x14ac:dyDescent="0.2">
      <c r="A415" s="233">
        <v>0</v>
      </c>
      <c r="B415" s="233">
        <v>6</v>
      </c>
      <c r="C415" s="233">
        <v>3</v>
      </c>
      <c r="D415" s="234">
        <v>2</v>
      </c>
      <c r="E415" s="234">
        <v>0</v>
      </c>
      <c r="G415" s="450"/>
      <c r="H415" s="451" t="s">
        <v>1237</v>
      </c>
      <c r="I415" s="452" t="s">
        <v>3952</v>
      </c>
      <c r="J415" s="453" t="s">
        <v>2324</v>
      </c>
      <c r="K415" s="454"/>
      <c r="L415" s="455"/>
      <c r="M415" s="455"/>
      <c r="N415" s="456">
        <v>952.95</v>
      </c>
      <c r="O415" s="457"/>
      <c r="P415" s="430"/>
    </row>
    <row r="416" spans="1:16" ht="13.9" hidden="1" customHeight="1" outlineLevel="3" x14ac:dyDescent="0.2">
      <c r="A416" s="233">
        <v>0</v>
      </c>
      <c r="B416" s="233">
        <v>6</v>
      </c>
      <c r="C416" s="233">
        <v>3</v>
      </c>
      <c r="D416" s="234">
        <v>2</v>
      </c>
      <c r="E416" s="234">
        <v>1</v>
      </c>
      <c r="G416" s="500" t="s">
        <v>16</v>
      </c>
      <c r="H416" s="459" t="s">
        <v>1238</v>
      </c>
      <c r="I416" s="460" t="s">
        <v>3953</v>
      </c>
      <c r="J416" s="461" t="s">
        <v>2324</v>
      </c>
      <c r="K416" s="462" t="s">
        <v>1129</v>
      </c>
      <c r="L416" s="463">
        <v>1</v>
      </c>
      <c r="M416" s="463">
        <v>952.94999999999993</v>
      </c>
      <c r="N416" s="464">
        <v>952.95</v>
      </c>
      <c r="O416" s="465" t="s">
        <v>2736</v>
      </c>
      <c r="P416" s="431" t="s">
        <v>6711</v>
      </c>
    </row>
    <row r="417" spans="1:16" ht="13.9" hidden="1" customHeight="1" outlineLevel="2" x14ac:dyDescent="0.2">
      <c r="A417" s="233">
        <v>0</v>
      </c>
      <c r="B417" s="233">
        <v>6</v>
      </c>
      <c r="C417" s="233">
        <v>3</v>
      </c>
      <c r="D417" s="234">
        <v>3</v>
      </c>
      <c r="E417" s="234">
        <v>0</v>
      </c>
      <c r="G417" s="450"/>
      <c r="H417" s="451" t="s">
        <v>1237</v>
      </c>
      <c r="I417" s="452" t="s">
        <v>3954</v>
      </c>
      <c r="J417" s="453" t="s">
        <v>2325</v>
      </c>
      <c r="K417" s="454"/>
      <c r="L417" s="455"/>
      <c r="M417" s="455"/>
      <c r="N417" s="456">
        <v>2280.8510000000001</v>
      </c>
      <c r="O417" s="457"/>
      <c r="P417" s="430"/>
    </row>
    <row r="418" spans="1:16" ht="13.9" hidden="1" customHeight="1" outlineLevel="3" x14ac:dyDescent="0.2">
      <c r="A418" s="233">
        <v>0</v>
      </c>
      <c r="B418" s="233">
        <v>6</v>
      </c>
      <c r="C418" s="233">
        <v>3</v>
      </c>
      <c r="D418" s="234">
        <v>3</v>
      </c>
      <c r="E418" s="234">
        <v>1</v>
      </c>
      <c r="G418" s="500" t="s">
        <v>16</v>
      </c>
      <c r="H418" s="459" t="s">
        <v>1238</v>
      </c>
      <c r="I418" s="460" t="s">
        <v>3955</v>
      </c>
      <c r="J418" s="461" t="s">
        <v>2325</v>
      </c>
      <c r="K418" s="462" t="s">
        <v>1129</v>
      </c>
      <c r="L418" s="463">
        <v>1</v>
      </c>
      <c r="M418" s="463">
        <v>2280.8509999999997</v>
      </c>
      <c r="N418" s="464">
        <v>2280.8510000000001</v>
      </c>
      <c r="O418" s="465" t="s">
        <v>2736</v>
      </c>
      <c r="P418" s="431" t="s">
        <v>6711</v>
      </c>
    </row>
    <row r="419" spans="1:16" ht="13.9" hidden="1" customHeight="1" outlineLevel="2" x14ac:dyDescent="0.2">
      <c r="A419" s="233">
        <v>0</v>
      </c>
      <c r="B419" s="233">
        <v>6</v>
      </c>
      <c r="C419" s="233">
        <v>3</v>
      </c>
      <c r="D419" s="234">
        <v>4</v>
      </c>
      <c r="E419" s="234">
        <v>0</v>
      </c>
      <c r="G419" s="450"/>
      <c r="H419" s="451" t="s">
        <v>1237</v>
      </c>
      <c r="I419" s="452" t="s">
        <v>3956</v>
      </c>
      <c r="J419" s="453" t="s">
        <v>2326</v>
      </c>
      <c r="K419" s="454"/>
      <c r="L419" s="455"/>
      <c r="M419" s="455"/>
      <c r="N419" s="456">
        <v>1073.75</v>
      </c>
      <c r="O419" s="457"/>
      <c r="P419" s="430"/>
    </row>
    <row r="420" spans="1:16" ht="13.9" hidden="1" customHeight="1" outlineLevel="3" x14ac:dyDescent="0.2">
      <c r="A420" s="233">
        <v>0</v>
      </c>
      <c r="B420" s="233">
        <v>6</v>
      </c>
      <c r="C420" s="233">
        <v>3</v>
      </c>
      <c r="D420" s="234">
        <v>4</v>
      </c>
      <c r="E420" s="234">
        <v>1</v>
      </c>
      <c r="G420" s="500" t="s">
        <v>16</v>
      </c>
      <c r="H420" s="459" t="s">
        <v>1238</v>
      </c>
      <c r="I420" s="460" t="s">
        <v>3957</v>
      </c>
      <c r="J420" s="461" t="s">
        <v>2326</v>
      </c>
      <c r="K420" s="462" t="s">
        <v>1129</v>
      </c>
      <c r="L420" s="463">
        <v>1</v>
      </c>
      <c r="M420" s="463">
        <v>1073.75</v>
      </c>
      <c r="N420" s="464">
        <v>1073.75</v>
      </c>
      <c r="O420" s="465" t="s">
        <v>2736</v>
      </c>
      <c r="P420" s="431" t="s">
        <v>6711</v>
      </c>
    </row>
    <row r="421" spans="1:16" ht="13.9" hidden="1" customHeight="1" outlineLevel="2" x14ac:dyDescent="0.2">
      <c r="A421" s="233">
        <v>0</v>
      </c>
      <c r="B421" s="233">
        <v>6</v>
      </c>
      <c r="C421" s="233">
        <v>3</v>
      </c>
      <c r="D421" s="234">
        <v>5</v>
      </c>
      <c r="E421" s="234">
        <v>0</v>
      </c>
      <c r="G421" s="450"/>
      <c r="H421" s="451" t="s">
        <v>1237</v>
      </c>
      <c r="I421" s="452" t="s">
        <v>3958</v>
      </c>
      <c r="J421" s="453" t="s">
        <v>2327</v>
      </c>
      <c r="K421" s="454"/>
      <c r="L421" s="455"/>
      <c r="M421" s="455"/>
      <c r="N421" s="456">
        <v>9798.5452118506491</v>
      </c>
      <c r="O421" s="457"/>
      <c r="P421" s="430"/>
    </row>
    <row r="422" spans="1:16" ht="13.9" hidden="1" customHeight="1" outlineLevel="3" x14ac:dyDescent="0.2">
      <c r="A422" s="233">
        <v>0</v>
      </c>
      <c r="B422" s="233">
        <v>6</v>
      </c>
      <c r="C422" s="233">
        <v>3</v>
      </c>
      <c r="D422" s="234">
        <v>5</v>
      </c>
      <c r="E422" s="234">
        <v>1</v>
      </c>
      <c r="G422" s="500" t="s">
        <v>16</v>
      </c>
      <c r="H422" s="459" t="s">
        <v>1238</v>
      </c>
      <c r="I422" s="460" t="s">
        <v>3959</v>
      </c>
      <c r="J422" s="461" t="s">
        <v>2327</v>
      </c>
      <c r="K422" s="462" t="s">
        <v>1129</v>
      </c>
      <c r="L422" s="463">
        <v>1</v>
      </c>
      <c r="M422" s="463">
        <v>9798.5452118506455</v>
      </c>
      <c r="N422" s="464">
        <v>9798.5452118506491</v>
      </c>
      <c r="O422" s="465" t="s">
        <v>2735</v>
      </c>
      <c r="P422" s="431" t="s">
        <v>6711</v>
      </c>
    </row>
    <row r="423" spans="1:16" ht="13.9" hidden="1" customHeight="1" outlineLevel="2" x14ac:dyDescent="0.2">
      <c r="A423" s="233">
        <v>0</v>
      </c>
      <c r="B423" s="233">
        <v>6</v>
      </c>
      <c r="C423" s="233">
        <v>3</v>
      </c>
      <c r="D423" s="234">
        <v>6</v>
      </c>
      <c r="E423" s="234">
        <v>0</v>
      </c>
      <c r="G423" s="450"/>
      <c r="H423" s="451" t="s">
        <v>1237</v>
      </c>
      <c r="I423" s="452" t="s">
        <v>3960</v>
      </c>
      <c r="J423" s="453" t="s">
        <v>1252</v>
      </c>
      <c r="K423" s="454"/>
      <c r="L423" s="455"/>
      <c r="M423" s="455"/>
      <c r="N423" s="456">
        <v>54748.160000000003</v>
      </c>
      <c r="O423" s="457"/>
      <c r="P423" s="430"/>
    </row>
    <row r="424" spans="1:16" ht="13.9" hidden="1" customHeight="1" outlineLevel="3" x14ac:dyDescent="0.2">
      <c r="A424" s="233">
        <v>0</v>
      </c>
      <c r="B424" s="233">
        <v>6</v>
      </c>
      <c r="C424" s="233">
        <v>3</v>
      </c>
      <c r="D424" s="234">
        <v>6</v>
      </c>
      <c r="E424" s="234">
        <v>1</v>
      </c>
      <c r="G424" s="500" t="s">
        <v>16</v>
      </c>
      <c r="H424" s="459" t="s">
        <v>1238</v>
      </c>
      <c r="I424" s="460" t="s">
        <v>3961</v>
      </c>
      <c r="J424" s="461" t="s">
        <v>1253</v>
      </c>
      <c r="K424" s="462" t="s">
        <v>1129</v>
      </c>
      <c r="L424" s="463">
        <v>1</v>
      </c>
      <c r="M424" s="463">
        <v>54748.160000000003</v>
      </c>
      <c r="N424" s="464">
        <v>54748.160000000003</v>
      </c>
      <c r="O424" s="465" t="s">
        <v>2719</v>
      </c>
      <c r="P424" s="431" t="s">
        <v>6711</v>
      </c>
    </row>
    <row r="425" spans="1:16" ht="13.9" hidden="1" customHeight="1" outlineLevel="1" x14ac:dyDescent="0.2">
      <c r="A425" s="233">
        <v>0</v>
      </c>
      <c r="B425" s="233">
        <v>6</v>
      </c>
      <c r="C425" s="233">
        <v>4</v>
      </c>
      <c r="D425" s="234">
        <v>0</v>
      </c>
      <c r="E425" s="234">
        <v>1</v>
      </c>
      <c r="G425" s="443"/>
      <c r="H425" s="444" t="s">
        <v>38</v>
      </c>
      <c r="I425" s="445" t="s">
        <v>3962</v>
      </c>
      <c r="J425" s="446" t="s">
        <v>2724</v>
      </c>
      <c r="K425" s="447"/>
      <c r="L425" s="448"/>
      <c r="M425" s="448"/>
      <c r="N425" s="449">
        <v>69573.492211850695</v>
      </c>
      <c r="O425" s="432"/>
      <c r="P425" s="435"/>
    </row>
    <row r="426" spans="1:16" ht="13.9" hidden="1" customHeight="1" outlineLevel="2" x14ac:dyDescent="0.2">
      <c r="A426" s="233">
        <v>0</v>
      </c>
      <c r="B426" s="233">
        <v>6</v>
      </c>
      <c r="C426" s="233">
        <v>4</v>
      </c>
      <c r="D426" s="234">
        <v>1</v>
      </c>
      <c r="E426" s="234">
        <v>0</v>
      </c>
      <c r="G426" s="450"/>
      <c r="H426" s="451" t="s">
        <v>1237</v>
      </c>
      <c r="I426" s="452" t="s">
        <v>3963</v>
      </c>
      <c r="J426" s="453" t="s">
        <v>2322</v>
      </c>
      <c r="K426" s="454"/>
      <c r="L426" s="455"/>
      <c r="M426" s="455"/>
      <c r="N426" s="456">
        <v>960.27</v>
      </c>
      <c r="O426" s="457"/>
      <c r="P426" s="430"/>
    </row>
    <row r="427" spans="1:16" ht="13.9" hidden="1" customHeight="1" outlineLevel="3" x14ac:dyDescent="0.2">
      <c r="A427" s="233">
        <v>0</v>
      </c>
      <c r="B427" s="233">
        <v>6</v>
      </c>
      <c r="C427" s="233">
        <v>4</v>
      </c>
      <c r="D427" s="234">
        <v>1</v>
      </c>
      <c r="E427" s="234">
        <v>1</v>
      </c>
      <c r="G427" s="500" t="s">
        <v>16</v>
      </c>
      <c r="H427" s="459" t="s">
        <v>1238</v>
      </c>
      <c r="I427" s="460" t="s">
        <v>3964</v>
      </c>
      <c r="J427" s="461" t="s">
        <v>2322</v>
      </c>
      <c r="K427" s="462" t="s">
        <v>1129</v>
      </c>
      <c r="L427" s="463">
        <v>1</v>
      </c>
      <c r="M427" s="463">
        <v>960.27</v>
      </c>
      <c r="N427" s="464">
        <v>960.27</v>
      </c>
      <c r="O427" s="465" t="s">
        <v>2736</v>
      </c>
      <c r="P427" s="431" t="s">
        <v>6711</v>
      </c>
    </row>
    <row r="428" spans="1:16" ht="13.9" hidden="1" customHeight="1" outlineLevel="2" x14ac:dyDescent="0.2">
      <c r="A428" s="233">
        <v>0</v>
      </c>
      <c r="B428" s="233">
        <v>6</v>
      </c>
      <c r="C428" s="233">
        <v>4</v>
      </c>
      <c r="D428" s="234">
        <v>2</v>
      </c>
      <c r="E428" s="234">
        <v>0</v>
      </c>
      <c r="G428" s="450"/>
      <c r="H428" s="451" t="s">
        <v>1237</v>
      </c>
      <c r="I428" s="452" t="s">
        <v>3965</v>
      </c>
      <c r="J428" s="453" t="s">
        <v>2324</v>
      </c>
      <c r="K428" s="454"/>
      <c r="L428" s="455"/>
      <c r="M428" s="455"/>
      <c r="N428" s="456">
        <v>890.55</v>
      </c>
      <c r="O428" s="457"/>
      <c r="P428" s="430"/>
    </row>
    <row r="429" spans="1:16" ht="13.9" hidden="1" customHeight="1" outlineLevel="3" x14ac:dyDescent="0.2">
      <c r="A429" s="233">
        <v>0</v>
      </c>
      <c r="B429" s="233">
        <v>6</v>
      </c>
      <c r="C429" s="233">
        <v>4</v>
      </c>
      <c r="D429" s="234">
        <v>2</v>
      </c>
      <c r="E429" s="234">
        <v>1</v>
      </c>
      <c r="G429" s="500" t="s">
        <v>16</v>
      </c>
      <c r="H429" s="459" t="s">
        <v>1238</v>
      </c>
      <c r="I429" s="460" t="s">
        <v>3966</v>
      </c>
      <c r="J429" s="461" t="s">
        <v>2324</v>
      </c>
      <c r="K429" s="462" t="s">
        <v>1129</v>
      </c>
      <c r="L429" s="463">
        <v>1</v>
      </c>
      <c r="M429" s="463">
        <v>890.55000000000007</v>
      </c>
      <c r="N429" s="464">
        <v>890.55</v>
      </c>
      <c r="O429" s="465" t="s">
        <v>2736</v>
      </c>
      <c r="P429" s="431" t="s">
        <v>6711</v>
      </c>
    </row>
    <row r="430" spans="1:16" ht="13.9" hidden="1" customHeight="1" outlineLevel="2" x14ac:dyDescent="0.2">
      <c r="A430" s="233">
        <v>0</v>
      </c>
      <c r="B430" s="233">
        <v>6</v>
      </c>
      <c r="C430" s="233">
        <v>4</v>
      </c>
      <c r="D430" s="234">
        <v>3</v>
      </c>
      <c r="E430" s="234">
        <v>0</v>
      </c>
      <c r="G430" s="450"/>
      <c r="H430" s="451" t="s">
        <v>1237</v>
      </c>
      <c r="I430" s="452" t="s">
        <v>3967</v>
      </c>
      <c r="J430" s="453" t="s">
        <v>2325</v>
      </c>
      <c r="K430" s="454"/>
      <c r="L430" s="455"/>
      <c r="M430" s="455"/>
      <c r="N430" s="456">
        <v>2132.0169999999998</v>
      </c>
      <c r="O430" s="457"/>
      <c r="P430" s="430"/>
    </row>
    <row r="431" spans="1:16" ht="13.9" hidden="1" customHeight="1" outlineLevel="3" x14ac:dyDescent="0.2">
      <c r="A431" s="233">
        <v>0</v>
      </c>
      <c r="B431" s="233">
        <v>6</v>
      </c>
      <c r="C431" s="233">
        <v>4</v>
      </c>
      <c r="D431" s="234">
        <v>3</v>
      </c>
      <c r="E431" s="234">
        <v>1</v>
      </c>
      <c r="G431" s="500" t="s">
        <v>16</v>
      </c>
      <c r="H431" s="459" t="s">
        <v>1238</v>
      </c>
      <c r="I431" s="460" t="s">
        <v>3968</v>
      </c>
      <c r="J431" s="461" t="s">
        <v>2325</v>
      </c>
      <c r="K431" s="462" t="s">
        <v>1129</v>
      </c>
      <c r="L431" s="463">
        <v>1</v>
      </c>
      <c r="M431" s="463">
        <v>2132.0169999999998</v>
      </c>
      <c r="N431" s="464">
        <v>2132.0169999999998</v>
      </c>
      <c r="O431" s="465" t="s">
        <v>2736</v>
      </c>
      <c r="P431" s="431" t="s">
        <v>6711</v>
      </c>
    </row>
    <row r="432" spans="1:16" ht="13.9" hidden="1" customHeight="1" outlineLevel="2" x14ac:dyDescent="0.2">
      <c r="A432" s="233">
        <v>0</v>
      </c>
      <c r="B432" s="233">
        <v>6</v>
      </c>
      <c r="C432" s="233">
        <v>4</v>
      </c>
      <c r="D432" s="234">
        <v>4</v>
      </c>
      <c r="E432" s="234">
        <v>0</v>
      </c>
      <c r="G432" s="450"/>
      <c r="H432" s="451" t="s">
        <v>1237</v>
      </c>
      <c r="I432" s="452" t="s">
        <v>3969</v>
      </c>
      <c r="J432" s="453" t="s">
        <v>2326</v>
      </c>
      <c r="K432" s="454"/>
      <c r="L432" s="455"/>
      <c r="M432" s="455"/>
      <c r="N432" s="456">
        <v>1043.95</v>
      </c>
      <c r="O432" s="457"/>
      <c r="P432" s="430"/>
    </row>
    <row r="433" spans="1:16" ht="13.9" hidden="1" customHeight="1" outlineLevel="3" x14ac:dyDescent="0.2">
      <c r="A433" s="233">
        <v>0</v>
      </c>
      <c r="B433" s="233">
        <v>6</v>
      </c>
      <c r="C433" s="233">
        <v>4</v>
      </c>
      <c r="D433" s="234">
        <v>4</v>
      </c>
      <c r="E433" s="234">
        <v>1</v>
      </c>
      <c r="G433" s="500" t="s">
        <v>16</v>
      </c>
      <c r="H433" s="459" t="s">
        <v>1238</v>
      </c>
      <c r="I433" s="460" t="s">
        <v>3970</v>
      </c>
      <c r="J433" s="461" t="s">
        <v>2326</v>
      </c>
      <c r="K433" s="462" t="s">
        <v>1129</v>
      </c>
      <c r="L433" s="463">
        <v>1</v>
      </c>
      <c r="M433" s="463">
        <v>1043.9499999999998</v>
      </c>
      <c r="N433" s="464">
        <v>1043.95</v>
      </c>
      <c r="O433" s="465" t="s">
        <v>2736</v>
      </c>
      <c r="P433" s="431" t="s">
        <v>6711</v>
      </c>
    </row>
    <row r="434" spans="1:16" ht="13.9" hidden="1" customHeight="1" outlineLevel="2" x14ac:dyDescent="0.2">
      <c r="A434" s="233">
        <v>0</v>
      </c>
      <c r="B434" s="233">
        <v>6</v>
      </c>
      <c r="C434" s="233">
        <v>4</v>
      </c>
      <c r="D434" s="234">
        <v>5</v>
      </c>
      <c r="E434" s="234">
        <v>0</v>
      </c>
      <c r="G434" s="450"/>
      <c r="H434" s="451" t="s">
        <v>1237</v>
      </c>
      <c r="I434" s="452" t="s">
        <v>3971</v>
      </c>
      <c r="J434" s="453" t="s">
        <v>2327</v>
      </c>
      <c r="K434" s="454"/>
      <c r="L434" s="455"/>
      <c r="M434" s="455"/>
      <c r="N434" s="456">
        <v>9798.5452118506491</v>
      </c>
      <c r="O434" s="457"/>
      <c r="P434" s="430"/>
    </row>
    <row r="435" spans="1:16" ht="13.9" hidden="1" customHeight="1" outlineLevel="3" x14ac:dyDescent="0.2">
      <c r="A435" s="233">
        <v>0</v>
      </c>
      <c r="B435" s="233">
        <v>6</v>
      </c>
      <c r="C435" s="233">
        <v>4</v>
      </c>
      <c r="D435" s="234">
        <v>5</v>
      </c>
      <c r="E435" s="234">
        <v>1</v>
      </c>
      <c r="G435" s="500" t="s">
        <v>16</v>
      </c>
      <c r="H435" s="459" t="s">
        <v>1238</v>
      </c>
      <c r="I435" s="460" t="s">
        <v>3972</v>
      </c>
      <c r="J435" s="461" t="s">
        <v>2327</v>
      </c>
      <c r="K435" s="462" t="s">
        <v>1129</v>
      </c>
      <c r="L435" s="463">
        <v>1</v>
      </c>
      <c r="M435" s="463">
        <v>9798.5452118506455</v>
      </c>
      <c r="N435" s="464">
        <v>9798.5452118506491</v>
      </c>
      <c r="O435" s="465" t="s">
        <v>2735</v>
      </c>
      <c r="P435" s="431" t="s">
        <v>6711</v>
      </c>
    </row>
    <row r="436" spans="1:16" ht="13.9" hidden="1" customHeight="1" outlineLevel="2" x14ac:dyDescent="0.2">
      <c r="A436" s="233">
        <v>0</v>
      </c>
      <c r="B436" s="233">
        <v>6</v>
      </c>
      <c r="C436" s="233">
        <v>4</v>
      </c>
      <c r="D436" s="234">
        <v>6</v>
      </c>
      <c r="E436" s="234">
        <v>0</v>
      </c>
      <c r="G436" s="450"/>
      <c r="H436" s="451" t="s">
        <v>1237</v>
      </c>
      <c r="I436" s="452" t="s">
        <v>3973</v>
      </c>
      <c r="J436" s="453" t="s">
        <v>1252</v>
      </c>
      <c r="K436" s="454"/>
      <c r="L436" s="455"/>
      <c r="M436" s="455"/>
      <c r="N436" s="456">
        <v>54748.160000000003</v>
      </c>
      <c r="O436" s="457"/>
      <c r="P436" s="430"/>
    </row>
    <row r="437" spans="1:16" ht="13.9" hidden="1" customHeight="1" outlineLevel="3" x14ac:dyDescent="0.2">
      <c r="A437" s="233">
        <v>0</v>
      </c>
      <c r="B437" s="233">
        <v>6</v>
      </c>
      <c r="C437" s="233">
        <v>4</v>
      </c>
      <c r="D437" s="234">
        <v>6</v>
      </c>
      <c r="E437" s="234">
        <v>1</v>
      </c>
      <c r="G437" s="500" t="s">
        <v>16</v>
      </c>
      <c r="H437" s="459" t="s">
        <v>1238</v>
      </c>
      <c r="I437" s="460" t="s">
        <v>3974</v>
      </c>
      <c r="J437" s="461" t="s">
        <v>1253</v>
      </c>
      <c r="K437" s="462" t="s">
        <v>1129</v>
      </c>
      <c r="L437" s="463">
        <v>1</v>
      </c>
      <c r="M437" s="463">
        <v>54748.160000000003</v>
      </c>
      <c r="N437" s="464">
        <v>54748.160000000003</v>
      </c>
      <c r="O437" s="465" t="s">
        <v>2719</v>
      </c>
      <c r="P437" s="431" t="s">
        <v>6711</v>
      </c>
    </row>
    <row r="438" spans="1:16" ht="13.9" hidden="1" customHeight="1" outlineLevel="1" x14ac:dyDescent="0.2">
      <c r="A438" s="233">
        <v>0</v>
      </c>
      <c r="B438" s="233">
        <v>6</v>
      </c>
      <c r="C438" s="233">
        <v>5</v>
      </c>
      <c r="D438" s="234">
        <v>0</v>
      </c>
      <c r="E438" s="234">
        <v>1</v>
      </c>
      <c r="G438" s="443"/>
      <c r="H438" s="444" t="s">
        <v>38</v>
      </c>
      <c r="I438" s="445" t="s">
        <v>3975</v>
      </c>
      <c r="J438" s="446" t="s">
        <v>2725</v>
      </c>
      <c r="K438" s="447"/>
      <c r="L438" s="448"/>
      <c r="M438" s="448"/>
      <c r="N438" s="449">
        <v>70327.788211850697</v>
      </c>
      <c r="O438" s="432"/>
      <c r="P438" s="435"/>
    </row>
    <row r="439" spans="1:16" ht="13.9" hidden="1" customHeight="1" outlineLevel="2" x14ac:dyDescent="0.2">
      <c r="A439" s="233">
        <v>0</v>
      </c>
      <c r="B439" s="233">
        <v>6</v>
      </c>
      <c r="C439" s="233">
        <v>5</v>
      </c>
      <c r="D439" s="234">
        <v>1</v>
      </c>
      <c r="E439" s="234">
        <v>0</v>
      </c>
      <c r="G439" s="450"/>
      <c r="H439" s="451" t="s">
        <v>1237</v>
      </c>
      <c r="I439" s="452" t="s">
        <v>3976</v>
      </c>
      <c r="J439" s="453" t="s">
        <v>2322</v>
      </c>
      <c r="K439" s="454"/>
      <c r="L439" s="455"/>
      <c r="M439" s="455"/>
      <c r="N439" s="456">
        <v>973.32</v>
      </c>
      <c r="O439" s="457"/>
      <c r="P439" s="430"/>
    </row>
    <row r="440" spans="1:16" ht="13.9" hidden="1" customHeight="1" outlineLevel="3" x14ac:dyDescent="0.2">
      <c r="A440" s="233">
        <v>0</v>
      </c>
      <c r="B440" s="233">
        <v>6</v>
      </c>
      <c r="C440" s="233">
        <v>5</v>
      </c>
      <c r="D440" s="234">
        <v>1</v>
      </c>
      <c r="E440" s="234">
        <v>1</v>
      </c>
      <c r="G440" s="500" t="s">
        <v>16</v>
      </c>
      <c r="H440" s="459" t="s">
        <v>1238</v>
      </c>
      <c r="I440" s="460" t="s">
        <v>3977</v>
      </c>
      <c r="J440" s="461" t="s">
        <v>2322</v>
      </c>
      <c r="K440" s="462" t="s">
        <v>1129</v>
      </c>
      <c r="L440" s="463">
        <v>1</v>
      </c>
      <c r="M440" s="463">
        <v>973.31999999999994</v>
      </c>
      <c r="N440" s="464">
        <v>973.32</v>
      </c>
      <c r="O440" s="465" t="s">
        <v>2736</v>
      </c>
      <c r="P440" s="431" t="s">
        <v>6711</v>
      </c>
    </row>
    <row r="441" spans="1:16" ht="13.9" hidden="1" customHeight="1" outlineLevel="2" x14ac:dyDescent="0.2">
      <c r="A441" s="233">
        <v>0</v>
      </c>
      <c r="B441" s="233">
        <v>6</v>
      </c>
      <c r="C441" s="233">
        <v>5</v>
      </c>
      <c r="D441" s="234">
        <v>2</v>
      </c>
      <c r="E441" s="234">
        <v>0</v>
      </c>
      <c r="G441" s="450"/>
      <c r="H441" s="451" t="s">
        <v>1237</v>
      </c>
      <c r="I441" s="452" t="s">
        <v>3978</v>
      </c>
      <c r="J441" s="453" t="s">
        <v>2324</v>
      </c>
      <c r="K441" s="454"/>
      <c r="L441" s="455"/>
      <c r="M441" s="455"/>
      <c r="N441" s="456">
        <v>917.8</v>
      </c>
      <c r="O441" s="457"/>
      <c r="P441" s="430"/>
    </row>
    <row r="442" spans="1:16" ht="13.9" hidden="1" customHeight="1" outlineLevel="3" x14ac:dyDescent="0.2">
      <c r="A442" s="233">
        <v>0</v>
      </c>
      <c r="B442" s="233">
        <v>6</v>
      </c>
      <c r="C442" s="233">
        <v>5</v>
      </c>
      <c r="D442" s="234">
        <v>2</v>
      </c>
      <c r="E442" s="234">
        <v>1</v>
      </c>
      <c r="G442" s="500" t="s">
        <v>16</v>
      </c>
      <c r="H442" s="459" t="s">
        <v>1238</v>
      </c>
      <c r="I442" s="460" t="s">
        <v>3979</v>
      </c>
      <c r="J442" s="461" t="s">
        <v>2324</v>
      </c>
      <c r="K442" s="462" t="s">
        <v>1129</v>
      </c>
      <c r="L442" s="463">
        <v>1</v>
      </c>
      <c r="M442" s="463">
        <v>917.80000000000007</v>
      </c>
      <c r="N442" s="464">
        <v>917.8</v>
      </c>
      <c r="O442" s="465" t="s">
        <v>2736</v>
      </c>
      <c r="P442" s="431" t="s">
        <v>6711</v>
      </c>
    </row>
    <row r="443" spans="1:16" ht="13.9" hidden="1" customHeight="1" outlineLevel="2" x14ac:dyDescent="0.2">
      <c r="A443" s="233">
        <v>0</v>
      </c>
      <c r="B443" s="233">
        <v>6</v>
      </c>
      <c r="C443" s="233">
        <v>5</v>
      </c>
      <c r="D443" s="234">
        <v>3</v>
      </c>
      <c r="E443" s="234">
        <v>0</v>
      </c>
      <c r="G443" s="450"/>
      <c r="H443" s="451" t="s">
        <v>1237</v>
      </c>
      <c r="I443" s="452" t="s">
        <v>3980</v>
      </c>
      <c r="J443" s="453" t="s">
        <v>2325</v>
      </c>
      <c r="K443" s="454"/>
      <c r="L443" s="455"/>
      <c r="M443" s="455"/>
      <c r="N443" s="456">
        <v>2104.623</v>
      </c>
      <c r="O443" s="457"/>
      <c r="P443" s="430"/>
    </row>
    <row r="444" spans="1:16" ht="13.9" hidden="1" customHeight="1" outlineLevel="3" x14ac:dyDescent="0.2">
      <c r="A444" s="233">
        <v>0</v>
      </c>
      <c r="B444" s="233">
        <v>6</v>
      </c>
      <c r="C444" s="233">
        <v>5</v>
      </c>
      <c r="D444" s="234">
        <v>3</v>
      </c>
      <c r="E444" s="234">
        <v>1</v>
      </c>
      <c r="G444" s="500" t="s">
        <v>16</v>
      </c>
      <c r="H444" s="459" t="s">
        <v>1238</v>
      </c>
      <c r="I444" s="460" t="s">
        <v>3981</v>
      </c>
      <c r="J444" s="461" t="s">
        <v>2325</v>
      </c>
      <c r="K444" s="462" t="s">
        <v>1129</v>
      </c>
      <c r="L444" s="463">
        <v>1</v>
      </c>
      <c r="M444" s="463">
        <v>2104.623</v>
      </c>
      <c r="N444" s="464">
        <v>2104.623</v>
      </c>
      <c r="O444" s="465" t="s">
        <v>2736</v>
      </c>
      <c r="P444" s="431" t="s">
        <v>6711</v>
      </c>
    </row>
    <row r="445" spans="1:16" ht="13.9" hidden="1" customHeight="1" outlineLevel="2" x14ac:dyDescent="0.2">
      <c r="A445" s="233">
        <v>0</v>
      </c>
      <c r="B445" s="233">
        <v>6</v>
      </c>
      <c r="C445" s="233">
        <v>5</v>
      </c>
      <c r="D445" s="234">
        <v>4</v>
      </c>
      <c r="E445" s="234">
        <v>0</v>
      </c>
      <c r="G445" s="450"/>
      <c r="H445" s="451" t="s">
        <v>1237</v>
      </c>
      <c r="I445" s="452" t="s">
        <v>3982</v>
      </c>
      <c r="J445" s="453" t="s">
        <v>2326</v>
      </c>
      <c r="K445" s="454"/>
      <c r="L445" s="455"/>
      <c r="M445" s="455"/>
      <c r="N445" s="456">
        <v>1117.7</v>
      </c>
      <c r="O445" s="457"/>
      <c r="P445" s="430"/>
    </row>
    <row r="446" spans="1:16" ht="13.9" hidden="1" customHeight="1" outlineLevel="3" x14ac:dyDescent="0.2">
      <c r="A446" s="233">
        <v>0</v>
      </c>
      <c r="B446" s="233">
        <v>6</v>
      </c>
      <c r="C446" s="233">
        <v>5</v>
      </c>
      <c r="D446" s="234">
        <v>4</v>
      </c>
      <c r="E446" s="234">
        <v>1</v>
      </c>
      <c r="G446" s="500" t="s">
        <v>16</v>
      </c>
      <c r="H446" s="459" t="s">
        <v>1238</v>
      </c>
      <c r="I446" s="460" t="s">
        <v>3983</v>
      </c>
      <c r="J446" s="461" t="s">
        <v>2326</v>
      </c>
      <c r="K446" s="462" t="s">
        <v>1129</v>
      </c>
      <c r="L446" s="463">
        <v>1</v>
      </c>
      <c r="M446" s="463">
        <v>1117.7</v>
      </c>
      <c r="N446" s="464">
        <v>1117.7</v>
      </c>
      <c r="O446" s="465" t="s">
        <v>2736</v>
      </c>
      <c r="P446" s="431" t="s">
        <v>6711</v>
      </c>
    </row>
    <row r="447" spans="1:16" ht="13.9" hidden="1" customHeight="1" outlineLevel="2" x14ac:dyDescent="0.2">
      <c r="A447" s="233">
        <v>0</v>
      </c>
      <c r="B447" s="233">
        <v>6</v>
      </c>
      <c r="C447" s="233">
        <v>5</v>
      </c>
      <c r="D447" s="234">
        <v>5</v>
      </c>
      <c r="E447" s="234">
        <v>0</v>
      </c>
      <c r="G447" s="450"/>
      <c r="H447" s="451" t="s">
        <v>1237</v>
      </c>
      <c r="I447" s="452" t="s">
        <v>3984</v>
      </c>
      <c r="J447" s="453" t="s">
        <v>2327</v>
      </c>
      <c r="K447" s="454"/>
      <c r="L447" s="455"/>
      <c r="M447" s="455"/>
      <c r="N447" s="456">
        <v>9798.5452118506491</v>
      </c>
      <c r="O447" s="457"/>
      <c r="P447" s="430"/>
    </row>
    <row r="448" spans="1:16" ht="13.9" hidden="1" customHeight="1" outlineLevel="3" x14ac:dyDescent="0.2">
      <c r="A448" s="233">
        <v>0</v>
      </c>
      <c r="B448" s="233">
        <v>6</v>
      </c>
      <c r="C448" s="233">
        <v>5</v>
      </c>
      <c r="D448" s="234">
        <v>5</v>
      </c>
      <c r="E448" s="234">
        <v>1</v>
      </c>
      <c r="G448" s="500" t="s">
        <v>16</v>
      </c>
      <c r="H448" s="459" t="s">
        <v>1238</v>
      </c>
      <c r="I448" s="460" t="s">
        <v>3985</v>
      </c>
      <c r="J448" s="461" t="s">
        <v>2327</v>
      </c>
      <c r="K448" s="462" t="s">
        <v>1129</v>
      </c>
      <c r="L448" s="463">
        <v>1</v>
      </c>
      <c r="M448" s="463">
        <v>9798.5452118506455</v>
      </c>
      <c r="N448" s="464">
        <v>9798.5452118506491</v>
      </c>
      <c r="O448" s="465" t="s">
        <v>2735</v>
      </c>
      <c r="P448" s="431" t="s">
        <v>6711</v>
      </c>
    </row>
    <row r="449" spans="1:16" ht="13.9" hidden="1" customHeight="1" outlineLevel="2" x14ac:dyDescent="0.2">
      <c r="A449" s="233">
        <v>0</v>
      </c>
      <c r="B449" s="233">
        <v>6</v>
      </c>
      <c r="C449" s="233">
        <v>5</v>
      </c>
      <c r="D449" s="234">
        <v>6</v>
      </c>
      <c r="E449" s="234">
        <v>0</v>
      </c>
      <c r="G449" s="450"/>
      <c r="H449" s="451" t="s">
        <v>1237</v>
      </c>
      <c r="I449" s="452" t="s">
        <v>3986</v>
      </c>
      <c r="J449" s="453" t="s">
        <v>1252</v>
      </c>
      <c r="K449" s="454"/>
      <c r="L449" s="455"/>
      <c r="M449" s="455"/>
      <c r="N449" s="456">
        <v>55415.8</v>
      </c>
      <c r="O449" s="457"/>
      <c r="P449" s="430"/>
    </row>
    <row r="450" spans="1:16" ht="13.9" hidden="1" customHeight="1" outlineLevel="3" x14ac:dyDescent="0.2">
      <c r="A450" s="233">
        <v>0</v>
      </c>
      <c r="B450" s="233">
        <v>6</v>
      </c>
      <c r="C450" s="233">
        <v>5</v>
      </c>
      <c r="D450" s="234">
        <v>6</v>
      </c>
      <c r="E450" s="234">
        <v>1</v>
      </c>
      <c r="G450" s="500" t="s">
        <v>16</v>
      </c>
      <c r="H450" s="459" t="s">
        <v>1238</v>
      </c>
      <c r="I450" s="460" t="s">
        <v>3987</v>
      </c>
      <c r="J450" s="461" t="s">
        <v>1253</v>
      </c>
      <c r="K450" s="462" t="s">
        <v>1129</v>
      </c>
      <c r="L450" s="463">
        <v>1</v>
      </c>
      <c r="M450" s="463">
        <v>55415.8</v>
      </c>
      <c r="N450" s="464">
        <v>55415.8</v>
      </c>
      <c r="O450" s="465" t="s">
        <v>2719</v>
      </c>
      <c r="P450" s="431" t="s">
        <v>6711</v>
      </c>
    </row>
    <row r="451" spans="1:16" ht="13.9" hidden="1" customHeight="1" outlineLevel="1" x14ac:dyDescent="0.2">
      <c r="A451" s="233">
        <v>0</v>
      </c>
      <c r="B451" s="233">
        <v>6</v>
      </c>
      <c r="C451" s="233">
        <v>6</v>
      </c>
      <c r="D451" s="234">
        <v>0</v>
      </c>
      <c r="E451" s="234">
        <v>1</v>
      </c>
      <c r="G451" s="443"/>
      <c r="H451" s="444" t="s">
        <v>38</v>
      </c>
      <c r="I451" s="445" t="s">
        <v>3988</v>
      </c>
      <c r="J451" s="446" t="s">
        <v>2726</v>
      </c>
      <c r="K451" s="447"/>
      <c r="L451" s="448"/>
      <c r="M451" s="448"/>
      <c r="N451" s="449">
        <v>72359.732640655799</v>
      </c>
      <c r="O451" s="432"/>
      <c r="P451" s="435"/>
    </row>
    <row r="452" spans="1:16" ht="13.9" hidden="1" customHeight="1" outlineLevel="2" x14ac:dyDescent="0.2">
      <c r="A452" s="233">
        <v>0</v>
      </c>
      <c r="B452" s="233">
        <v>6</v>
      </c>
      <c r="C452" s="233">
        <v>6</v>
      </c>
      <c r="D452" s="234">
        <v>1</v>
      </c>
      <c r="E452" s="234">
        <v>0</v>
      </c>
      <c r="G452" s="450"/>
      <c r="H452" s="451" t="s">
        <v>1237</v>
      </c>
      <c r="I452" s="452" t="s">
        <v>3989</v>
      </c>
      <c r="J452" s="453" t="s">
        <v>2322</v>
      </c>
      <c r="K452" s="454"/>
      <c r="L452" s="455"/>
      <c r="M452" s="455"/>
      <c r="N452" s="456">
        <v>929.27</v>
      </c>
      <c r="O452" s="457"/>
      <c r="P452" s="430"/>
    </row>
    <row r="453" spans="1:16" ht="13.9" hidden="1" customHeight="1" outlineLevel="3" x14ac:dyDescent="0.2">
      <c r="A453" s="233">
        <v>0</v>
      </c>
      <c r="B453" s="233">
        <v>6</v>
      </c>
      <c r="C453" s="233">
        <v>6</v>
      </c>
      <c r="D453" s="234">
        <v>1</v>
      </c>
      <c r="E453" s="234">
        <v>1</v>
      </c>
      <c r="G453" s="500" t="s">
        <v>16</v>
      </c>
      <c r="H453" s="459" t="s">
        <v>1238</v>
      </c>
      <c r="I453" s="460" t="s">
        <v>3990</v>
      </c>
      <c r="J453" s="461" t="s">
        <v>2322</v>
      </c>
      <c r="K453" s="462" t="s">
        <v>1129</v>
      </c>
      <c r="L453" s="463">
        <v>1</v>
      </c>
      <c r="M453" s="463">
        <v>929.27</v>
      </c>
      <c r="N453" s="464">
        <v>929.27</v>
      </c>
      <c r="O453" s="465" t="s">
        <v>2736</v>
      </c>
      <c r="P453" s="431" t="s">
        <v>6711</v>
      </c>
    </row>
    <row r="454" spans="1:16" ht="13.9" hidden="1" customHeight="1" outlineLevel="2" x14ac:dyDescent="0.2">
      <c r="A454" s="233">
        <v>0</v>
      </c>
      <c r="B454" s="233">
        <v>6</v>
      </c>
      <c r="C454" s="233">
        <v>6</v>
      </c>
      <c r="D454" s="234">
        <v>2</v>
      </c>
      <c r="E454" s="234">
        <v>0</v>
      </c>
      <c r="G454" s="450"/>
      <c r="H454" s="451" t="s">
        <v>1237</v>
      </c>
      <c r="I454" s="452" t="s">
        <v>3991</v>
      </c>
      <c r="J454" s="453" t="s">
        <v>2324</v>
      </c>
      <c r="K454" s="454"/>
      <c r="L454" s="455"/>
      <c r="M454" s="455"/>
      <c r="N454" s="456">
        <v>1000.55</v>
      </c>
      <c r="O454" s="457"/>
      <c r="P454" s="430"/>
    </row>
    <row r="455" spans="1:16" ht="13.9" hidden="1" customHeight="1" outlineLevel="3" x14ac:dyDescent="0.2">
      <c r="A455" s="233">
        <v>0</v>
      </c>
      <c r="B455" s="233">
        <v>6</v>
      </c>
      <c r="C455" s="233">
        <v>6</v>
      </c>
      <c r="D455" s="234">
        <v>2</v>
      </c>
      <c r="E455" s="234">
        <v>1</v>
      </c>
      <c r="G455" s="500" t="s">
        <v>16</v>
      </c>
      <c r="H455" s="459" t="s">
        <v>1238</v>
      </c>
      <c r="I455" s="460" t="s">
        <v>3992</v>
      </c>
      <c r="J455" s="461" t="s">
        <v>2324</v>
      </c>
      <c r="K455" s="462" t="s">
        <v>1129</v>
      </c>
      <c r="L455" s="463">
        <v>1</v>
      </c>
      <c r="M455" s="463">
        <v>1000.5500000000001</v>
      </c>
      <c r="N455" s="464">
        <v>1000.55</v>
      </c>
      <c r="O455" s="465" t="s">
        <v>2736</v>
      </c>
      <c r="P455" s="431" t="s">
        <v>6711</v>
      </c>
    </row>
    <row r="456" spans="1:16" ht="13.9" hidden="1" customHeight="1" outlineLevel="2" x14ac:dyDescent="0.2">
      <c r="A456" s="233">
        <v>0</v>
      </c>
      <c r="B456" s="233">
        <v>6</v>
      </c>
      <c r="C456" s="233">
        <v>6</v>
      </c>
      <c r="D456" s="234">
        <v>3</v>
      </c>
      <c r="E456" s="234">
        <v>0</v>
      </c>
      <c r="G456" s="450"/>
      <c r="H456" s="451" t="s">
        <v>1237</v>
      </c>
      <c r="I456" s="452" t="s">
        <v>3993</v>
      </c>
      <c r="J456" s="453" t="s">
        <v>2325</v>
      </c>
      <c r="K456" s="454"/>
      <c r="L456" s="455"/>
      <c r="M456" s="455"/>
      <c r="N456" s="456">
        <v>3038.7930000000001</v>
      </c>
      <c r="O456" s="457"/>
      <c r="P456" s="430"/>
    </row>
    <row r="457" spans="1:16" ht="13.9" hidden="1" customHeight="1" outlineLevel="3" x14ac:dyDescent="0.2">
      <c r="A457" s="233">
        <v>0</v>
      </c>
      <c r="B457" s="233">
        <v>6</v>
      </c>
      <c r="C457" s="233">
        <v>6</v>
      </c>
      <c r="D457" s="234">
        <v>3</v>
      </c>
      <c r="E457" s="234">
        <v>1</v>
      </c>
      <c r="G457" s="500" t="s">
        <v>16</v>
      </c>
      <c r="H457" s="459" t="s">
        <v>1238</v>
      </c>
      <c r="I457" s="460" t="s">
        <v>3994</v>
      </c>
      <c r="J457" s="461" t="s">
        <v>2325</v>
      </c>
      <c r="K457" s="462" t="s">
        <v>1129</v>
      </c>
      <c r="L457" s="463">
        <v>1</v>
      </c>
      <c r="M457" s="463">
        <v>3038.7930000000001</v>
      </c>
      <c r="N457" s="464">
        <v>3038.7930000000001</v>
      </c>
      <c r="O457" s="465" t="s">
        <v>2736</v>
      </c>
      <c r="P457" s="431" t="s">
        <v>6711</v>
      </c>
    </row>
    <row r="458" spans="1:16" ht="13.9" hidden="1" customHeight="1" outlineLevel="2" x14ac:dyDescent="0.2">
      <c r="A458" s="233">
        <v>0</v>
      </c>
      <c r="B458" s="233">
        <v>6</v>
      </c>
      <c r="C458" s="233">
        <v>6</v>
      </c>
      <c r="D458" s="234">
        <v>4</v>
      </c>
      <c r="E458" s="234">
        <v>0</v>
      </c>
      <c r="G458" s="450"/>
      <c r="H458" s="451" t="s">
        <v>1237</v>
      </c>
      <c r="I458" s="452" t="s">
        <v>3995</v>
      </c>
      <c r="J458" s="453" t="s">
        <v>2326</v>
      </c>
      <c r="K458" s="454"/>
      <c r="L458" s="455"/>
      <c r="M458" s="455"/>
      <c r="N458" s="456">
        <v>1005.6</v>
      </c>
      <c r="O458" s="457"/>
      <c r="P458" s="430"/>
    </row>
    <row r="459" spans="1:16" ht="13.9" hidden="1" customHeight="1" outlineLevel="3" x14ac:dyDescent="0.2">
      <c r="A459" s="233">
        <v>0</v>
      </c>
      <c r="B459" s="233">
        <v>6</v>
      </c>
      <c r="C459" s="233">
        <v>6</v>
      </c>
      <c r="D459" s="234">
        <v>4</v>
      </c>
      <c r="E459" s="234">
        <v>1</v>
      </c>
      <c r="G459" s="500" t="s">
        <v>16</v>
      </c>
      <c r="H459" s="459" t="s">
        <v>1238</v>
      </c>
      <c r="I459" s="460" t="s">
        <v>3996</v>
      </c>
      <c r="J459" s="461" t="s">
        <v>2326</v>
      </c>
      <c r="K459" s="462" t="s">
        <v>1129</v>
      </c>
      <c r="L459" s="463">
        <v>1</v>
      </c>
      <c r="M459" s="463">
        <v>1005.5999999999999</v>
      </c>
      <c r="N459" s="464">
        <v>1005.6</v>
      </c>
      <c r="O459" s="465" t="s">
        <v>2736</v>
      </c>
      <c r="P459" s="431" t="s">
        <v>6711</v>
      </c>
    </row>
    <row r="460" spans="1:16" ht="13.9" hidden="1" customHeight="1" outlineLevel="2" x14ac:dyDescent="0.2">
      <c r="A460" s="233">
        <v>0</v>
      </c>
      <c r="B460" s="233">
        <v>6</v>
      </c>
      <c r="C460" s="233">
        <v>6</v>
      </c>
      <c r="D460" s="234">
        <v>5</v>
      </c>
      <c r="E460" s="234">
        <v>0</v>
      </c>
      <c r="G460" s="450"/>
      <c r="H460" s="451" t="s">
        <v>1237</v>
      </c>
      <c r="I460" s="452" t="s">
        <v>3997</v>
      </c>
      <c r="J460" s="453" t="s">
        <v>2327</v>
      </c>
      <c r="K460" s="454"/>
      <c r="L460" s="455"/>
      <c r="M460" s="455"/>
      <c r="N460" s="456">
        <v>9954.1396406557906</v>
      </c>
      <c r="O460" s="457"/>
      <c r="P460" s="430"/>
    </row>
    <row r="461" spans="1:16" ht="13.9" hidden="1" customHeight="1" outlineLevel="3" x14ac:dyDescent="0.2">
      <c r="A461" s="233">
        <v>0</v>
      </c>
      <c r="B461" s="233">
        <v>6</v>
      </c>
      <c r="C461" s="233">
        <v>6</v>
      </c>
      <c r="D461" s="234">
        <v>5</v>
      </c>
      <c r="E461" s="234">
        <v>1</v>
      </c>
      <c r="G461" s="500" t="s">
        <v>16</v>
      </c>
      <c r="H461" s="459" t="s">
        <v>1238</v>
      </c>
      <c r="I461" s="460" t="s">
        <v>3998</v>
      </c>
      <c r="J461" s="461" t="s">
        <v>2327</v>
      </c>
      <c r="K461" s="462" t="s">
        <v>1129</v>
      </c>
      <c r="L461" s="463">
        <v>1</v>
      </c>
      <c r="M461" s="463">
        <v>9954.1396406557869</v>
      </c>
      <c r="N461" s="464">
        <v>9954.1396406557906</v>
      </c>
      <c r="O461" s="465" t="s">
        <v>2735</v>
      </c>
      <c r="P461" s="431" t="s">
        <v>6711</v>
      </c>
    </row>
    <row r="462" spans="1:16" ht="13.9" hidden="1" customHeight="1" outlineLevel="2" x14ac:dyDescent="0.2">
      <c r="A462" s="233">
        <v>0</v>
      </c>
      <c r="B462" s="233">
        <v>6</v>
      </c>
      <c r="C462" s="233">
        <v>6</v>
      </c>
      <c r="D462" s="234">
        <v>6</v>
      </c>
      <c r="E462" s="234">
        <v>0</v>
      </c>
      <c r="G462" s="450"/>
      <c r="H462" s="451" t="s">
        <v>1237</v>
      </c>
      <c r="I462" s="452" t="s">
        <v>3999</v>
      </c>
      <c r="J462" s="453" t="s">
        <v>1252</v>
      </c>
      <c r="K462" s="454"/>
      <c r="L462" s="455"/>
      <c r="M462" s="455"/>
      <c r="N462" s="456">
        <v>56431.38</v>
      </c>
      <c r="O462" s="457"/>
      <c r="P462" s="430"/>
    </row>
    <row r="463" spans="1:16" ht="13.9" hidden="1" customHeight="1" outlineLevel="3" x14ac:dyDescent="0.2">
      <c r="A463" s="233">
        <v>0</v>
      </c>
      <c r="B463" s="233">
        <v>6</v>
      </c>
      <c r="C463" s="233">
        <v>6</v>
      </c>
      <c r="D463" s="234">
        <v>6</v>
      </c>
      <c r="E463" s="234">
        <v>1</v>
      </c>
      <c r="G463" s="500" t="s">
        <v>16</v>
      </c>
      <c r="H463" s="459" t="s">
        <v>1238</v>
      </c>
      <c r="I463" s="460" t="s">
        <v>4000</v>
      </c>
      <c r="J463" s="461" t="s">
        <v>1253</v>
      </c>
      <c r="K463" s="462" t="s">
        <v>1129</v>
      </c>
      <c r="L463" s="463">
        <v>1</v>
      </c>
      <c r="M463" s="463">
        <v>56431.38</v>
      </c>
      <c r="N463" s="464">
        <v>56431.38</v>
      </c>
      <c r="O463" s="465" t="s">
        <v>2719</v>
      </c>
      <c r="P463" s="431" t="s">
        <v>6711</v>
      </c>
    </row>
    <row r="464" spans="1:16" ht="13.9" hidden="1" customHeight="1" outlineLevel="1" x14ac:dyDescent="0.2">
      <c r="A464" s="233">
        <v>0</v>
      </c>
      <c r="B464" s="233">
        <v>6</v>
      </c>
      <c r="C464" s="233">
        <v>7</v>
      </c>
      <c r="D464" s="234">
        <v>0</v>
      </c>
      <c r="E464" s="234">
        <v>1</v>
      </c>
      <c r="G464" s="443"/>
      <c r="H464" s="444" t="s">
        <v>38</v>
      </c>
      <c r="I464" s="445" t="s">
        <v>4001</v>
      </c>
      <c r="J464" s="446" t="s">
        <v>2727</v>
      </c>
      <c r="K464" s="447"/>
      <c r="L464" s="448"/>
      <c r="M464" s="448"/>
      <c r="N464" s="449">
        <v>81697.706640655801</v>
      </c>
      <c r="O464" s="432"/>
      <c r="P464" s="435"/>
    </row>
    <row r="465" spans="1:16" ht="13.9" hidden="1" customHeight="1" outlineLevel="2" x14ac:dyDescent="0.2">
      <c r="A465" s="233">
        <v>0</v>
      </c>
      <c r="B465" s="233">
        <v>6</v>
      </c>
      <c r="C465" s="233">
        <v>7</v>
      </c>
      <c r="D465" s="234">
        <v>1</v>
      </c>
      <c r="E465" s="234">
        <v>0</v>
      </c>
      <c r="G465" s="450"/>
      <c r="H465" s="451" t="s">
        <v>1237</v>
      </c>
      <c r="I465" s="452" t="s">
        <v>4002</v>
      </c>
      <c r="J465" s="453" t="s">
        <v>2322</v>
      </c>
      <c r="K465" s="454"/>
      <c r="L465" s="455"/>
      <c r="M465" s="455"/>
      <c r="N465" s="456">
        <v>2807.64</v>
      </c>
      <c r="O465" s="457"/>
      <c r="P465" s="430"/>
    </row>
    <row r="466" spans="1:16" ht="13.9" hidden="1" customHeight="1" outlineLevel="3" x14ac:dyDescent="0.2">
      <c r="A466" s="233">
        <v>0</v>
      </c>
      <c r="B466" s="233">
        <v>6</v>
      </c>
      <c r="C466" s="233">
        <v>7</v>
      </c>
      <c r="D466" s="234">
        <v>1</v>
      </c>
      <c r="E466" s="234">
        <v>1</v>
      </c>
      <c r="G466" s="500" t="s">
        <v>16</v>
      </c>
      <c r="H466" s="459" t="s">
        <v>1238</v>
      </c>
      <c r="I466" s="460" t="s">
        <v>4003</v>
      </c>
      <c r="J466" s="461" t="s">
        <v>2322</v>
      </c>
      <c r="K466" s="462" t="s">
        <v>1129</v>
      </c>
      <c r="L466" s="463">
        <v>1</v>
      </c>
      <c r="M466" s="463">
        <v>2807.6400000000003</v>
      </c>
      <c r="N466" s="464">
        <v>2807.64</v>
      </c>
      <c r="O466" s="465" t="s">
        <v>2736</v>
      </c>
      <c r="P466" s="431" t="s">
        <v>6711</v>
      </c>
    </row>
    <row r="467" spans="1:16" ht="13.9" hidden="1" customHeight="1" outlineLevel="2" x14ac:dyDescent="0.2">
      <c r="A467" s="233">
        <v>0</v>
      </c>
      <c r="B467" s="233">
        <v>6</v>
      </c>
      <c r="C467" s="233">
        <v>7</v>
      </c>
      <c r="D467" s="234">
        <v>2</v>
      </c>
      <c r="E467" s="234">
        <v>0</v>
      </c>
      <c r="G467" s="450"/>
      <c r="H467" s="451" t="s">
        <v>1237</v>
      </c>
      <c r="I467" s="452" t="s">
        <v>4004</v>
      </c>
      <c r="J467" s="453" t="s">
        <v>2324</v>
      </c>
      <c r="K467" s="454"/>
      <c r="L467" s="455"/>
      <c r="M467" s="455"/>
      <c r="N467" s="456">
        <v>2979.55</v>
      </c>
      <c r="O467" s="457"/>
      <c r="P467" s="430"/>
    </row>
    <row r="468" spans="1:16" ht="13.9" hidden="1" customHeight="1" outlineLevel="3" x14ac:dyDescent="0.2">
      <c r="A468" s="233">
        <v>0</v>
      </c>
      <c r="B468" s="233">
        <v>6</v>
      </c>
      <c r="C468" s="233">
        <v>7</v>
      </c>
      <c r="D468" s="234">
        <v>2</v>
      </c>
      <c r="E468" s="234">
        <v>1</v>
      </c>
      <c r="G468" s="500" t="s">
        <v>16</v>
      </c>
      <c r="H468" s="459" t="s">
        <v>1238</v>
      </c>
      <c r="I468" s="460" t="s">
        <v>4005</v>
      </c>
      <c r="J468" s="461" t="s">
        <v>2324</v>
      </c>
      <c r="K468" s="462" t="s">
        <v>1129</v>
      </c>
      <c r="L468" s="463">
        <v>1</v>
      </c>
      <c r="M468" s="463">
        <v>2979.5499999999997</v>
      </c>
      <c r="N468" s="464">
        <v>2979.55</v>
      </c>
      <c r="O468" s="465" t="s">
        <v>2736</v>
      </c>
      <c r="P468" s="431" t="s">
        <v>6711</v>
      </c>
    </row>
    <row r="469" spans="1:16" ht="13.9" hidden="1" customHeight="1" outlineLevel="2" x14ac:dyDescent="0.2">
      <c r="A469" s="233">
        <v>0</v>
      </c>
      <c r="B469" s="233">
        <v>6</v>
      </c>
      <c r="C469" s="233">
        <v>7</v>
      </c>
      <c r="D469" s="234">
        <v>3</v>
      </c>
      <c r="E469" s="234">
        <v>0</v>
      </c>
      <c r="G469" s="450"/>
      <c r="H469" s="451" t="s">
        <v>1237</v>
      </c>
      <c r="I469" s="452" t="s">
        <v>4006</v>
      </c>
      <c r="J469" s="453" t="s">
        <v>2325</v>
      </c>
      <c r="K469" s="454"/>
      <c r="L469" s="455"/>
      <c r="M469" s="455"/>
      <c r="N469" s="456">
        <v>7370.9470000000001</v>
      </c>
      <c r="O469" s="457"/>
      <c r="P469" s="430"/>
    </row>
    <row r="470" spans="1:16" ht="13.9" hidden="1" customHeight="1" outlineLevel="3" x14ac:dyDescent="0.2">
      <c r="A470" s="233">
        <v>0</v>
      </c>
      <c r="B470" s="233">
        <v>6</v>
      </c>
      <c r="C470" s="233">
        <v>7</v>
      </c>
      <c r="D470" s="234">
        <v>3</v>
      </c>
      <c r="E470" s="234">
        <v>1</v>
      </c>
      <c r="G470" s="500" t="s">
        <v>16</v>
      </c>
      <c r="H470" s="459" t="s">
        <v>1238</v>
      </c>
      <c r="I470" s="460" t="s">
        <v>4007</v>
      </c>
      <c r="J470" s="461" t="s">
        <v>2325</v>
      </c>
      <c r="K470" s="462" t="s">
        <v>1129</v>
      </c>
      <c r="L470" s="463">
        <v>1</v>
      </c>
      <c r="M470" s="463">
        <v>7370.9469999999992</v>
      </c>
      <c r="N470" s="464">
        <v>7370.9470000000001</v>
      </c>
      <c r="O470" s="465" t="s">
        <v>2736</v>
      </c>
      <c r="P470" s="431" t="s">
        <v>6711</v>
      </c>
    </row>
    <row r="471" spans="1:16" ht="13.9" hidden="1" customHeight="1" outlineLevel="2" x14ac:dyDescent="0.2">
      <c r="A471" s="233">
        <v>0</v>
      </c>
      <c r="B471" s="233">
        <v>6</v>
      </c>
      <c r="C471" s="233">
        <v>7</v>
      </c>
      <c r="D471" s="234">
        <v>4</v>
      </c>
      <c r="E471" s="234">
        <v>0</v>
      </c>
      <c r="G471" s="450"/>
      <c r="H471" s="451" t="s">
        <v>1237</v>
      </c>
      <c r="I471" s="452" t="s">
        <v>4008</v>
      </c>
      <c r="J471" s="453" t="s">
        <v>2326</v>
      </c>
      <c r="K471" s="454"/>
      <c r="L471" s="455"/>
      <c r="M471" s="455"/>
      <c r="N471" s="456">
        <v>2289.69</v>
      </c>
      <c r="O471" s="457"/>
      <c r="P471" s="430"/>
    </row>
    <row r="472" spans="1:16" ht="13.9" hidden="1" customHeight="1" outlineLevel="3" x14ac:dyDescent="0.2">
      <c r="A472" s="233">
        <v>0</v>
      </c>
      <c r="B472" s="233">
        <v>6</v>
      </c>
      <c r="C472" s="233">
        <v>7</v>
      </c>
      <c r="D472" s="234">
        <v>4</v>
      </c>
      <c r="E472" s="234">
        <v>1</v>
      </c>
      <c r="G472" s="500" t="s">
        <v>16</v>
      </c>
      <c r="H472" s="459" t="s">
        <v>1238</v>
      </c>
      <c r="I472" s="460" t="s">
        <v>4009</v>
      </c>
      <c r="J472" s="461" t="s">
        <v>2326</v>
      </c>
      <c r="K472" s="462" t="s">
        <v>1129</v>
      </c>
      <c r="L472" s="463">
        <v>1</v>
      </c>
      <c r="M472" s="463">
        <v>2289.69</v>
      </c>
      <c r="N472" s="464">
        <v>2289.69</v>
      </c>
      <c r="O472" s="465" t="s">
        <v>2736</v>
      </c>
      <c r="P472" s="431" t="s">
        <v>6711</v>
      </c>
    </row>
    <row r="473" spans="1:16" ht="13.9" hidden="1" customHeight="1" outlineLevel="2" x14ac:dyDescent="0.2">
      <c r="A473" s="233">
        <v>0</v>
      </c>
      <c r="B473" s="233">
        <v>6</v>
      </c>
      <c r="C473" s="233">
        <v>7</v>
      </c>
      <c r="D473" s="234">
        <v>5</v>
      </c>
      <c r="E473" s="234">
        <v>0</v>
      </c>
      <c r="G473" s="450"/>
      <c r="H473" s="451" t="s">
        <v>1237</v>
      </c>
      <c r="I473" s="452" t="s">
        <v>4010</v>
      </c>
      <c r="J473" s="453" t="s">
        <v>2327</v>
      </c>
      <c r="K473" s="454"/>
      <c r="L473" s="455"/>
      <c r="M473" s="455"/>
      <c r="N473" s="456">
        <v>9954.1396406557906</v>
      </c>
      <c r="O473" s="457"/>
      <c r="P473" s="430"/>
    </row>
    <row r="474" spans="1:16" ht="13.9" hidden="1" customHeight="1" outlineLevel="3" x14ac:dyDescent="0.2">
      <c r="A474" s="233">
        <v>0</v>
      </c>
      <c r="B474" s="233">
        <v>6</v>
      </c>
      <c r="C474" s="233">
        <v>7</v>
      </c>
      <c r="D474" s="234">
        <v>5</v>
      </c>
      <c r="E474" s="234">
        <v>1</v>
      </c>
      <c r="G474" s="500" t="s">
        <v>16</v>
      </c>
      <c r="H474" s="459" t="s">
        <v>1238</v>
      </c>
      <c r="I474" s="460" t="s">
        <v>4011</v>
      </c>
      <c r="J474" s="461" t="s">
        <v>2327</v>
      </c>
      <c r="K474" s="462" t="s">
        <v>1129</v>
      </c>
      <c r="L474" s="463">
        <v>1</v>
      </c>
      <c r="M474" s="463">
        <v>9954.1396406557869</v>
      </c>
      <c r="N474" s="464">
        <v>9954.1396406557906</v>
      </c>
      <c r="O474" s="465" t="s">
        <v>2735</v>
      </c>
      <c r="P474" s="431" t="s">
        <v>6711</v>
      </c>
    </row>
    <row r="475" spans="1:16" ht="13.9" hidden="1" customHeight="1" outlineLevel="2" x14ac:dyDescent="0.2">
      <c r="A475" s="233">
        <v>0</v>
      </c>
      <c r="B475" s="233">
        <v>6</v>
      </c>
      <c r="C475" s="233">
        <v>7</v>
      </c>
      <c r="D475" s="234">
        <v>6</v>
      </c>
      <c r="E475" s="234">
        <v>0</v>
      </c>
      <c r="G475" s="450"/>
      <c r="H475" s="451" t="s">
        <v>1237</v>
      </c>
      <c r="I475" s="452" t="s">
        <v>4012</v>
      </c>
      <c r="J475" s="453" t="s">
        <v>1252</v>
      </c>
      <c r="K475" s="454"/>
      <c r="L475" s="455"/>
      <c r="M475" s="455"/>
      <c r="N475" s="456">
        <v>56295.74</v>
      </c>
      <c r="O475" s="457"/>
      <c r="P475" s="430"/>
    </row>
    <row r="476" spans="1:16" ht="13.9" hidden="1" customHeight="1" outlineLevel="3" x14ac:dyDescent="0.2">
      <c r="A476" s="233">
        <v>0</v>
      </c>
      <c r="B476" s="233">
        <v>6</v>
      </c>
      <c r="C476" s="233">
        <v>7</v>
      </c>
      <c r="D476" s="234">
        <v>6</v>
      </c>
      <c r="E476" s="234">
        <v>1</v>
      </c>
      <c r="G476" s="500" t="s">
        <v>16</v>
      </c>
      <c r="H476" s="459" t="s">
        <v>1238</v>
      </c>
      <c r="I476" s="460" t="s">
        <v>4013</v>
      </c>
      <c r="J476" s="461" t="s">
        <v>1253</v>
      </c>
      <c r="K476" s="462" t="s">
        <v>1129</v>
      </c>
      <c r="L476" s="463">
        <v>1</v>
      </c>
      <c r="M476" s="463">
        <v>56295.74</v>
      </c>
      <c r="N476" s="464">
        <v>56295.74</v>
      </c>
      <c r="O476" s="465" t="s">
        <v>2719</v>
      </c>
      <c r="P476" s="431" t="s">
        <v>6711</v>
      </c>
    </row>
    <row r="477" spans="1:16" ht="13.9" hidden="1" customHeight="1" outlineLevel="1" x14ac:dyDescent="0.2">
      <c r="A477" s="233">
        <v>0</v>
      </c>
      <c r="B477" s="233">
        <v>6</v>
      </c>
      <c r="C477" s="233">
        <v>8</v>
      </c>
      <c r="D477" s="234">
        <v>0</v>
      </c>
      <c r="E477" s="234">
        <v>1</v>
      </c>
      <c r="G477" s="443"/>
      <c r="H477" s="444" t="s">
        <v>38</v>
      </c>
      <c r="I477" s="445" t="s">
        <v>4014</v>
      </c>
      <c r="J477" s="446" t="s">
        <v>2728</v>
      </c>
      <c r="K477" s="447"/>
      <c r="L477" s="448"/>
      <c r="M477" s="448"/>
      <c r="N477" s="449">
        <v>59626.110030074698</v>
      </c>
      <c r="O477" s="432"/>
      <c r="P477" s="435"/>
    </row>
    <row r="478" spans="1:16" ht="13.9" hidden="1" customHeight="1" outlineLevel="2" x14ac:dyDescent="0.2">
      <c r="A478" s="233">
        <v>0</v>
      </c>
      <c r="B478" s="233">
        <v>6</v>
      </c>
      <c r="C478" s="233">
        <v>8</v>
      </c>
      <c r="D478" s="234">
        <v>1</v>
      </c>
      <c r="E478" s="234">
        <v>0</v>
      </c>
      <c r="G478" s="450"/>
      <c r="H478" s="451" t="s">
        <v>1237</v>
      </c>
      <c r="I478" s="452" t="s">
        <v>4015</v>
      </c>
      <c r="J478" s="453" t="s">
        <v>2322</v>
      </c>
      <c r="K478" s="454"/>
      <c r="L478" s="455"/>
      <c r="M478" s="455"/>
      <c r="N478" s="456">
        <v>2101.14</v>
      </c>
      <c r="O478" s="457"/>
      <c r="P478" s="430"/>
    </row>
    <row r="479" spans="1:16" ht="13.9" hidden="1" customHeight="1" outlineLevel="3" x14ac:dyDescent="0.2">
      <c r="A479" s="233">
        <v>0</v>
      </c>
      <c r="B479" s="233">
        <v>6</v>
      </c>
      <c r="C479" s="233">
        <v>8</v>
      </c>
      <c r="D479" s="234">
        <v>1</v>
      </c>
      <c r="E479" s="234">
        <v>1</v>
      </c>
      <c r="G479" s="500" t="s">
        <v>16</v>
      </c>
      <c r="H479" s="459" t="s">
        <v>1238</v>
      </c>
      <c r="I479" s="460" t="s">
        <v>4016</v>
      </c>
      <c r="J479" s="461" t="s">
        <v>2322</v>
      </c>
      <c r="K479" s="462" t="s">
        <v>1129</v>
      </c>
      <c r="L479" s="463">
        <v>1</v>
      </c>
      <c r="M479" s="463">
        <v>2101.14</v>
      </c>
      <c r="N479" s="464">
        <v>2101.14</v>
      </c>
      <c r="O479" s="465" t="s">
        <v>2736</v>
      </c>
      <c r="P479" s="431" t="s">
        <v>6711</v>
      </c>
    </row>
    <row r="480" spans="1:16" ht="13.9" hidden="1" customHeight="1" outlineLevel="2" x14ac:dyDescent="0.2">
      <c r="A480" s="233">
        <v>0</v>
      </c>
      <c r="B480" s="233">
        <v>6</v>
      </c>
      <c r="C480" s="233">
        <v>8</v>
      </c>
      <c r="D480" s="234">
        <v>2</v>
      </c>
      <c r="E480" s="234">
        <v>0</v>
      </c>
      <c r="G480" s="450"/>
      <c r="H480" s="451" t="s">
        <v>1237</v>
      </c>
      <c r="I480" s="452" t="s">
        <v>4017</v>
      </c>
      <c r="J480" s="453" t="s">
        <v>2324</v>
      </c>
      <c r="K480" s="454"/>
      <c r="L480" s="455"/>
      <c r="M480" s="455"/>
      <c r="N480" s="456">
        <v>2863.95</v>
      </c>
      <c r="O480" s="457"/>
      <c r="P480" s="430"/>
    </row>
    <row r="481" spans="1:16" ht="13.9" hidden="1" customHeight="1" outlineLevel="3" x14ac:dyDescent="0.2">
      <c r="A481" s="233">
        <v>0</v>
      </c>
      <c r="B481" s="233">
        <v>6</v>
      </c>
      <c r="C481" s="233">
        <v>8</v>
      </c>
      <c r="D481" s="234">
        <v>2</v>
      </c>
      <c r="E481" s="234">
        <v>1</v>
      </c>
      <c r="G481" s="500" t="s">
        <v>16</v>
      </c>
      <c r="H481" s="459" t="s">
        <v>1238</v>
      </c>
      <c r="I481" s="460" t="s">
        <v>4018</v>
      </c>
      <c r="J481" s="461" t="s">
        <v>2324</v>
      </c>
      <c r="K481" s="462" t="s">
        <v>1129</v>
      </c>
      <c r="L481" s="463">
        <v>1</v>
      </c>
      <c r="M481" s="463">
        <v>2863.9500000000003</v>
      </c>
      <c r="N481" s="464">
        <v>2863.95</v>
      </c>
      <c r="O481" s="465" t="s">
        <v>2736</v>
      </c>
      <c r="P481" s="431" t="s">
        <v>6711</v>
      </c>
    </row>
    <row r="482" spans="1:16" ht="13.9" hidden="1" customHeight="1" outlineLevel="2" x14ac:dyDescent="0.2">
      <c r="A482" s="233">
        <v>0</v>
      </c>
      <c r="B482" s="233">
        <v>6</v>
      </c>
      <c r="C482" s="233">
        <v>8</v>
      </c>
      <c r="D482" s="234">
        <v>3</v>
      </c>
      <c r="E482" s="234">
        <v>0</v>
      </c>
      <c r="G482" s="450"/>
      <c r="H482" s="451" t="s">
        <v>1237</v>
      </c>
      <c r="I482" s="452" t="s">
        <v>4019</v>
      </c>
      <c r="J482" s="453" t="s">
        <v>2325</v>
      </c>
      <c r="K482" s="454"/>
      <c r="L482" s="455"/>
      <c r="M482" s="455"/>
      <c r="N482" s="456">
        <v>8164.3810000000003</v>
      </c>
      <c r="O482" s="457"/>
      <c r="P482" s="430"/>
    </row>
    <row r="483" spans="1:16" ht="13.9" hidden="1" customHeight="1" outlineLevel="3" x14ac:dyDescent="0.2">
      <c r="A483" s="233">
        <v>0</v>
      </c>
      <c r="B483" s="233">
        <v>6</v>
      </c>
      <c r="C483" s="233">
        <v>8</v>
      </c>
      <c r="D483" s="234">
        <v>3</v>
      </c>
      <c r="E483" s="234">
        <v>1</v>
      </c>
      <c r="G483" s="500" t="s">
        <v>16</v>
      </c>
      <c r="H483" s="459" t="s">
        <v>1238</v>
      </c>
      <c r="I483" s="460" t="s">
        <v>4020</v>
      </c>
      <c r="J483" s="461" t="s">
        <v>2325</v>
      </c>
      <c r="K483" s="462" t="s">
        <v>1129</v>
      </c>
      <c r="L483" s="463">
        <v>1</v>
      </c>
      <c r="M483" s="463">
        <v>8164.3809999999994</v>
      </c>
      <c r="N483" s="464">
        <v>8164.3810000000003</v>
      </c>
      <c r="O483" s="465" t="s">
        <v>2736</v>
      </c>
      <c r="P483" s="431" t="s">
        <v>6711</v>
      </c>
    </row>
    <row r="484" spans="1:16" ht="13.9" hidden="1" customHeight="1" outlineLevel="2" x14ac:dyDescent="0.2">
      <c r="A484" s="233">
        <v>0</v>
      </c>
      <c r="B484" s="233">
        <v>6</v>
      </c>
      <c r="C484" s="233">
        <v>8</v>
      </c>
      <c r="D484" s="234">
        <v>4</v>
      </c>
      <c r="E484" s="234">
        <v>0</v>
      </c>
      <c r="G484" s="450"/>
      <c r="H484" s="451" t="s">
        <v>1237</v>
      </c>
      <c r="I484" s="452" t="s">
        <v>4021</v>
      </c>
      <c r="J484" s="453" t="s">
        <v>2326</v>
      </c>
      <c r="K484" s="454"/>
      <c r="L484" s="455"/>
      <c r="M484" s="455"/>
      <c r="N484" s="456">
        <v>2983.4</v>
      </c>
      <c r="O484" s="457"/>
      <c r="P484" s="430"/>
    </row>
    <row r="485" spans="1:16" ht="13.9" hidden="1" customHeight="1" outlineLevel="3" x14ac:dyDescent="0.2">
      <c r="A485" s="233">
        <v>0</v>
      </c>
      <c r="B485" s="233">
        <v>6</v>
      </c>
      <c r="C485" s="233">
        <v>8</v>
      </c>
      <c r="D485" s="234">
        <v>4</v>
      </c>
      <c r="E485" s="234">
        <v>1</v>
      </c>
      <c r="G485" s="500" t="s">
        <v>16</v>
      </c>
      <c r="H485" s="459" t="s">
        <v>1238</v>
      </c>
      <c r="I485" s="460" t="s">
        <v>4022</v>
      </c>
      <c r="J485" s="461" t="s">
        <v>2326</v>
      </c>
      <c r="K485" s="462" t="s">
        <v>1129</v>
      </c>
      <c r="L485" s="463">
        <v>1</v>
      </c>
      <c r="M485" s="463">
        <v>2983.4000000000005</v>
      </c>
      <c r="N485" s="464">
        <v>2983.4</v>
      </c>
      <c r="O485" s="465" t="s">
        <v>2736</v>
      </c>
      <c r="P485" s="431" t="s">
        <v>6711</v>
      </c>
    </row>
    <row r="486" spans="1:16" ht="13.9" hidden="1" customHeight="1" outlineLevel="2" x14ac:dyDescent="0.2">
      <c r="A486" s="233">
        <v>0</v>
      </c>
      <c r="B486" s="233">
        <v>6</v>
      </c>
      <c r="C486" s="233">
        <v>8</v>
      </c>
      <c r="D486" s="234">
        <v>5</v>
      </c>
      <c r="E486" s="234">
        <v>0</v>
      </c>
      <c r="G486" s="450"/>
      <c r="H486" s="451" t="s">
        <v>1237</v>
      </c>
      <c r="I486" s="452" t="s">
        <v>4023</v>
      </c>
      <c r="J486" s="453" t="s">
        <v>2327</v>
      </c>
      <c r="K486" s="454"/>
      <c r="L486" s="455"/>
      <c r="M486" s="455"/>
      <c r="N486" s="456">
        <v>5568.7190300747498</v>
      </c>
      <c r="O486" s="457"/>
      <c r="P486" s="430"/>
    </row>
    <row r="487" spans="1:16" ht="13.9" hidden="1" customHeight="1" outlineLevel="3" x14ac:dyDescent="0.2">
      <c r="A487" s="233">
        <v>0</v>
      </c>
      <c r="B487" s="233">
        <v>6</v>
      </c>
      <c r="C487" s="233">
        <v>8</v>
      </c>
      <c r="D487" s="234">
        <v>5</v>
      </c>
      <c r="E487" s="234">
        <v>1</v>
      </c>
      <c r="G487" s="500" t="s">
        <v>16</v>
      </c>
      <c r="H487" s="459" t="s">
        <v>1238</v>
      </c>
      <c r="I487" s="460" t="s">
        <v>4024</v>
      </c>
      <c r="J487" s="461" t="s">
        <v>2327</v>
      </c>
      <c r="K487" s="462" t="s">
        <v>1129</v>
      </c>
      <c r="L487" s="463">
        <v>1</v>
      </c>
      <c r="M487" s="463">
        <v>5568.7190300747534</v>
      </c>
      <c r="N487" s="464">
        <v>5568.7190300747498</v>
      </c>
      <c r="O487" s="465" t="s">
        <v>2735</v>
      </c>
      <c r="P487" s="431" t="s">
        <v>6711</v>
      </c>
    </row>
    <row r="488" spans="1:16" ht="13.9" hidden="1" customHeight="1" outlineLevel="2" x14ac:dyDescent="0.2">
      <c r="A488" s="233">
        <v>0</v>
      </c>
      <c r="B488" s="233">
        <v>6</v>
      </c>
      <c r="C488" s="233">
        <v>8</v>
      </c>
      <c r="D488" s="234">
        <v>6</v>
      </c>
      <c r="E488" s="234">
        <v>0</v>
      </c>
      <c r="G488" s="450"/>
      <c r="H488" s="451" t="s">
        <v>1237</v>
      </c>
      <c r="I488" s="452" t="s">
        <v>4025</v>
      </c>
      <c r="J488" s="453" t="s">
        <v>1252</v>
      </c>
      <c r="K488" s="454"/>
      <c r="L488" s="455"/>
      <c r="M488" s="455"/>
      <c r="N488" s="456">
        <v>37944.519999999997</v>
      </c>
      <c r="O488" s="457"/>
      <c r="P488" s="430"/>
    </row>
    <row r="489" spans="1:16" ht="13.9" hidden="1" customHeight="1" outlineLevel="3" x14ac:dyDescent="0.2">
      <c r="A489" s="233">
        <v>0</v>
      </c>
      <c r="B489" s="233">
        <v>6</v>
      </c>
      <c r="C489" s="233">
        <v>8</v>
      </c>
      <c r="D489" s="234">
        <v>6</v>
      </c>
      <c r="E489" s="234">
        <v>1</v>
      </c>
      <c r="G489" s="500" t="s">
        <v>16</v>
      </c>
      <c r="H489" s="459" t="s">
        <v>1238</v>
      </c>
      <c r="I489" s="460" t="s">
        <v>4026</v>
      </c>
      <c r="J489" s="461" t="s">
        <v>1253</v>
      </c>
      <c r="K489" s="462" t="s">
        <v>1129</v>
      </c>
      <c r="L489" s="463">
        <v>1</v>
      </c>
      <c r="M489" s="463">
        <v>37944.519999999997</v>
      </c>
      <c r="N489" s="464">
        <v>37944.519999999997</v>
      </c>
      <c r="O489" s="465" t="s">
        <v>2719</v>
      </c>
      <c r="P489" s="431" t="s">
        <v>6711</v>
      </c>
    </row>
    <row r="490" spans="1:16" ht="13.9" hidden="1" customHeight="1" outlineLevel="1" x14ac:dyDescent="0.2">
      <c r="A490" s="233">
        <v>0</v>
      </c>
      <c r="B490" s="233">
        <v>6</v>
      </c>
      <c r="C490" s="233">
        <v>9</v>
      </c>
      <c r="D490" s="234">
        <v>0</v>
      </c>
      <c r="E490" s="234">
        <v>1</v>
      </c>
      <c r="G490" s="443"/>
      <c r="H490" s="444" t="s">
        <v>38</v>
      </c>
      <c r="I490" s="445" t="s">
        <v>4027</v>
      </c>
      <c r="J490" s="446" t="s">
        <v>2729</v>
      </c>
      <c r="K490" s="447"/>
      <c r="L490" s="448"/>
      <c r="M490" s="448"/>
      <c r="N490" s="449">
        <v>48631.154733694697</v>
      </c>
      <c r="O490" s="432"/>
      <c r="P490" s="435"/>
    </row>
    <row r="491" spans="1:16" ht="13.9" hidden="1" customHeight="1" outlineLevel="2" x14ac:dyDescent="0.2">
      <c r="A491" s="233">
        <v>0</v>
      </c>
      <c r="B491" s="233">
        <v>6</v>
      </c>
      <c r="C491" s="233">
        <v>9</v>
      </c>
      <c r="D491" s="234">
        <v>1</v>
      </c>
      <c r="E491" s="234">
        <v>0</v>
      </c>
      <c r="G491" s="450"/>
      <c r="H491" s="451" t="s">
        <v>1237</v>
      </c>
      <c r="I491" s="452" t="s">
        <v>4028</v>
      </c>
      <c r="J491" s="453" t="s">
        <v>2322</v>
      </c>
      <c r="K491" s="454"/>
      <c r="L491" s="455"/>
      <c r="M491" s="455"/>
      <c r="N491" s="456">
        <v>3445.31</v>
      </c>
      <c r="O491" s="457"/>
      <c r="P491" s="430"/>
    </row>
    <row r="492" spans="1:16" ht="13.9" hidden="1" customHeight="1" outlineLevel="3" x14ac:dyDescent="0.2">
      <c r="A492" s="233">
        <v>0</v>
      </c>
      <c r="B492" s="233">
        <v>6</v>
      </c>
      <c r="C492" s="233">
        <v>9</v>
      </c>
      <c r="D492" s="234">
        <v>1</v>
      </c>
      <c r="E492" s="234">
        <v>1</v>
      </c>
      <c r="G492" s="500" t="s">
        <v>16</v>
      </c>
      <c r="H492" s="459" t="s">
        <v>1238</v>
      </c>
      <c r="I492" s="460" t="s">
        <v>4029</v>
      </c>
      <c r="J492" s="461" t="s">
        <v>2322</v>
      </c>
      <c r="K492" s="462" t="s">
        <v>1129</v>
      </c>
      <c r="L492" s="463">
        <v>1</v>
      </c>
      <c r="M492" s="463">
        <v>3445.31</v>
      </c>
      <c r="N492" s="464">
        <v>3445.31</v>
      </c>
      <c r="O492" s="465" t="s">
        <v>2736</v>
      </c>
      <c r="P492" s="431" t="s">
        <v>6711</v>
      </c>
    </row>
    <row r="493" spans="1:16" ht="13.9" hidden="1" customHeight="1" outlineLevel="2" x14ac:dyDescent="0.2">
      <c r="A493" s="233">
        <v>0</v>
      </c>
      <c r="B493" s="233">
        <v>6</v>
      </c>
      <c r="C493" s="233">
        <v>9</v>
      </c>
      <c r="D493" s="234">
        <v>2</v>
      </c>
      <c r="E493" s="234">
        <v>0</v>
      </c>
      <c r="G493" s="450"/>
      <c r="H493" s="451" t="s">
        <v>1237</v>
      </c>
      <c r="I493" s="452" t="s">
        <v>4030</v>
      </c>
      <c r="J493" s="453" t="s">
        <v>2324</v>
      </c>
      <c r="K493" s="454"/>
      <c r="L493" s="455"/>
      <c r="M493" s="455"/>
      <c r="N493" s="456">
        <v>2741.05</v>
      </c>
      <c r="O493" s="457"/>
      <c r="P493" s="430"/>
    </row>
    <row r="494" spans="1:16" ht="13.9" hidden="1" customHeight="1" outlineLevel="3" x14ac:dyDescent="0.2">
      <c r="A494" s="233">
        <v>0</v>
      </c>
      <c r="B494" s="233">
        <v>6</v>
      </c>
      <c r="C494" s="233">
        <v>9</v>
      </c>
      <c r="D494" s="234">
        <v>2</v>
      </c>
      <c r="E494" s="234">
        <v>1</v>
      </c>
      <c r="G494" s="500" t="s">
        <v>16</v>
      </c>
      <c r="H494" s="459" t="s">
        <v>1238</v>
      </c>
      <c r="I494" s="460" t="s">
        <v>4031</v>
      </c>
      <c r="J494" s="461" t="s">
        <v>2324</v>
      </c>
      <c r="K494" s="462" t="s">
        <v>1129</v>
      </c>
      <c r="L494" s="463">
        <v>1</v>
      </c>
      <c r="M494" s="463">
        <v>2741.0499999999997</v>
      </c>
      <c r="N494" s="464">
        <v>2741.05</v>
      </c>
      <c r="O494" s="465" t="s">
        <v>2736</v>
      </c>
      <c r="P494" s="431" t="s">
        <v>6711</v>
      </c>
    </row>
    <row r="495" spans="1:16" ht="13.9" hidden="1" customHeight="1" outlineLevel="2" x14ac:dyDescent="0.2">
      <c r="A495" s="233">
        <v>0</v>
      </c>
      <c r="B495" s="233">
        <v>6</v>
      </c>
      <c r="C495" s="233">
        <v>9</v>
      </c>
      <c r="D495" s="234">
        <v>3</v>
      </c>
      <c r="E495" s="234">
        <v>0</v>
      </c>
      <c r="G495" s="450"/>
      <c r="H495" s="451" t="s">
        <v>1237</v>
      </c>
      <c r="I495" s="452" t="s">
        <v>4032</v>
      </c>
      <c r="J495" s="453" t="s">
        <v>2325</v>
      </c>
      <c r="K495" s="454"/>
      <c r="L495" s="455"/>
      <c r="M495" s="455"/>
      <c r="N495" s="456">
        <v>7421.7190000000001</v>
      </c>
      <c r="O495" s="457"/>
      <c r="P495" s="430"/>
    </row>
    <row r="496" spans="1:16" ht="13.9" hidden="1" customHeight="1" outlineLevel="3" x14ac:dyDescent="0.2">
      <c r="A496" s="233">
        <v>0</v>
      </c>
      <c r="B496" s="233">
        <v>6</v>
      </c>
      <c r="C496" s="233">
        <v>9</v>
      </c>
      <c r="D496" s="234">
        <v>3</v>
      </c>
      <c r="E496" s="234">
        <v>1</v>
      </c>
      <c r="G496" s="500" t="s">
        <v>16</v>
      </c>
      <c r="H496" s="459" t="s">
        <v>1238</v>
      </c>
      <c r="I496" s="460" t="s">
        <v>4033</v>
      </c>
      <c r="J496" s="461" t="s">
        <v>2325</v>
      </c>
      <c r="K496" s="462" t="s">
        <v>1129</v>
      </c>
      <c r="L496" s="463">
        <v>1</v>
      </c>
      <c r="M496" s="463">
        <v>7421.7189999999991</v>
      </c>
      <c r="N496" s="464">
        <v>7421.7190000000001</v>
      </c>
      <c r="O496" s="465" t="s">
        <v>2736</v>
      </c>
      <c r="P496" s="431" t="s">
        <v>6711</v>
      </c>
    </row>
    <row r="497" spans="1:16" ht="13.9" hidden="1" customHeight="1" outlineLevel="2" x14ac:dyDescent="0.2">
      <c r="A497" s="233">
        <v>0</v>
      </c>
      <c r="B497" s="233">
        <v>6</v>
      </c>
      <c r="C497" s="233">
        <v>9</v>
      </c>
      <c r="D497" s="234">
        <v>4</v>
      </c>
      <c r="E497" s="234">
        <v>0</v>
      </c>
      <c r="G497" s="450"/>
      <c r="H497" s="451" t="s">
        <v>1237</v>
      </c>
      <c r="I497" s="452" t="s">
        <v>4034</v>
      </c>
      <c r="J497" s="453" t="s">
        <v>2326</v>
      </c>
      <c r="K497" s="454"/>
      <c r="L497" s="455"/>
      <c r="M497" s="455"/>
      <c r="N497" s="456">
        <v>4908.8500000000004</v>
      </c>
      <c r="O497" s="457"/>
      <c r="P497" s="430"/>
    </row>
    <row r="498" spans="1:16" ht="13.9" hidden="1" customHeight="1" outlineLevel="3" x14ac:dyDescent="0.2">
      <c r="A498" s="233">
        <v>0</v>
      </c>
      <c r="B498" s="233">
        <v>6</v>
      </c>
      <c r="C498" s="233">
        <v>9</v>
      </c>
      <c r="D498" s="234">
        <v>4</v>
      </c>
      <c r="E498" s="234">
        <v>1</v>
      </c>
      <c r="G498" s="500" t="s">
        <v>16</v>
      </c>
      <c r="H498" s="459" t="s">
        <v>1238</v>
      </c>
      <c r="I498" s="460" t="s">
        <v>4035</v>
      </c>
      <c r="J498" s="461" t="s">
        <v>2326</v>
      </c>
      <c r="K498" s="462" t="s">
        <v>1129</v>
      </c>
      <c r="L498" s="463">
        <v>1</v>
      </c>
      <c r="M498" s="463">
        <v>4908.8500000000004</v>
      </c>
      <c r="N498" s="464">
        <v>4908.8500000000004</v>
      </c>
      <c r="O498" s="465" t="s">
        <v>2736</v>
      </c>
      <c r="P498" s="431" t="s">
        <v>6711</v>
      </c>
    </row>
    <row r="499" spans="1:16" ht="13.9" hidden="1" customHeight="1" outlineLevel="2" x14ac:dyDescent="0.2">
      <c r="A499" s="233">
        <v>0</v>
      </c>
      <c r="B499" s="233">
        <v>6</v>
      </c>
      <c r="C499" s="233">
        <v>9</v>
      </c>
      <c r="D499" s="234">
        <v>5</v>
      </c>
      <c r="E499" s="234">
        <v>0</v>
      </c>
      <c r="G499" s="450"/>
      <c r="H499" s="451" t="s">
        <v>1237</v>
      </c>
      <c r="I499" s="452" t="s">
        <v>4036</v>
      </c>
      <c r="J499" s="453" t="s">
        <v>2327</v>
      </c>
      <c r="K499" s="454"/>
      <c r="L499" s="455"/>
      <c r="M499" s="455"/>
      <c r="N499" s="456">
        <v>3853.9457336946498</v>
      </c>
      <c r="O499" s="457"/>
      <c r="P499" s="430"/>
    </row>
    <row r="500" spans="1:16" ht="13.9" hidden="1" customHeight="1" outlineLevel="3" x14ac:dyDescent="0.2">
      <c r="A500" s="233">
        <v>0</v>
      </c>
      <c r="B500" s="233">
        <v>6</v>
      </c>
      <c r="C500" s="233">
        <v>9</v>
      </c>
      <c r="D500" s="234">
        <v>5</v>
      </c>
      <c r="E500" s="234">
        <v>1</v>
      </c>
      <c r="G500" s="500" t="s">
        <v>16</v>
      </c>
      <c r="H500" s="459" t="s">
        <v>1238</v>
      </c>
      <c r="I500" s="460" t="s">
        <v>4037</v>
      </c>
      <c r="J500" s="461" t="s">
        <v>2327</v>
      </c>
      <c r="K500" s="462" t="s">
        <v>1129</v>
      </c>
      <c r="L500" s="463">
        <v>1</v>
      </c>
      <c r="M500" s="463">
        <v>3853.9457336946534</v>
      </c>
      <c r="N500" s="464">
        <v>3853.9457336946498</v>
      </c>
      <c r="O500" s="465" t="s">
        <v>2735</v>
      </c>
      <c r="P500" s="431" t="s">
        <v>6711</v>
      </c>
    </row>
    <row r="501" spans="1:16" ht="13.9" hidden="1" customHeight="1" outlineLevel="2" x14ac:dyDescent="0.2">
      <c r="A501" s="233">
        <v>0</v>
      </c>
      <c r="B501" s="233">
        <v>6</v>
      </c>
      <c r="C501" s="233">
        <v>9</v>
      </c>
      <c r="D501" s="234">
        <v>6</v>
      </c>
      <c r="E501" s="234">
        <v>0</v>
      </c>
      <c r="G501" s="450"/>
      <c r="H501" s="451" t="s">
        <v>1237</v>
      </c>
      <c r="I501" s="452" t="s">
        <v>4038</v>
      </c>
      <c r="J501" s="453" t="s">
        <v>1252</v>
      </c>
      <c r="K501" s="454"/>
      <c r="L501" s="455"/>
      <c r="M501" s="455"/>
      <c r="N501" s="456">
        <v>26260.28</v>
      </c>
      <c r="O501" s="457"/>
      <c r="P501" s="430"/>
    </row>
    <row r="502" spans="1:16" ht="13.9" hidden="1" customHeight="1" outlineLevel="3" x14ac:dyDescent="0.2">
      <c r="A502" s="233">
        <v>0</v>
      </c>
      <c r="B502" s="233">
        <v>6</v>
      </c>
      <c r="C502" s="233">
        <v>9</v>
      </c>
      <c r="D502" s="234">
        <v>6</v>
      </c>
      <c r="E502" s="234">
        <v>1</v>
      </c>
      <c r="G502" s="500" t="s">
        <v>16</v>
      </c>
      <c r="H502" s="459" t="s">
        <v>1238</v>
      </c>
      <c r="I502" s="460" t="s">
        <v>4039</v>
      </c>
      <c r="J502" s="461" t="s">
        <v>1253</v>
      </c>
      <c r="K502" s="462" t="s">
        <v>1129</v>
      </c>
      <c r="L502" s="463">
        <v>1</v>
      </c>
      <c r="M502" s="463">
        <v>26260.280000000002</v>
      </c>
      <c r="N502" s="464">
        <v>26260.28</v>
      </c>
      <c r="O502" s="465" t="s">
        <v>2719</v>
      </c>
      <c r="P502" s="431" t="s">
        <v>6711</v>
      </c>
    </row>
    <row r="503" spans="1:16" ht="13.9" hidden="1" customHeight="1" outlineLevel="1" x14ac:dyDescent="0.2">
      <c r="A503" s="233">
        <v>0</v>
      </c>
      <c r="B503" s="233">
        <v>6</v>
      </c>
      <c r="C503" s="233">
        <v>10</v>
      </c>
      <c r="D503" s="234">
        <v>0</v>
      </c>
      <c r="E503" s="234">
        <v>1</v>
      </c>
      <c r="G503" s="443"/>
      <c r="H503" s="444" t="s">
        <v>38</v>
      </c>
      <c r="I503" s="445" t="s">
        <v>4040</v>
      </c>
      <c r="J503" s="446" t="s">
        <v>2730</v>
      </c>
      <c r="K503" s="447"/>
      <c r="L503" s="448"/>
      <c r="M503" s="448"/>
      <c r="N503" s="449">
        <v>337780.159537645</v>
      </c>
      <c r="O503" s="432"/>
      <c r="P503" s="435"/>
    </row>
    <row r="504" spans="1:16" ht="13.9" hidden="1" customHeight="1" outlineLevel="2" x14ac:dyDescent="0.2">
      <c r="A504" s="233">
        <v>0</v>
      </c>
      <c r="B504" s="233">
        <v>6</v>
      </c>
      <c r="C504" s="233">
        <v>10</v>
      </c>
      <c r="D504" s="234">
        <v>1</v>
      </c>
      <c r="E504" s="234">
        <v>0</v>
      </c>
      <c r="G504" s="450"/>
      <c r="H504" s="451" t="s">
        <v>1237</v>
      </c>
      <c r="I504" s="452" t="s">
        <v>4041</v>
      </c>
      <c r="J504" s="453" t="s">
        <v>2322</v>
      </c>
      <c r="K504" s="454"/>
      <c r="L504" s="455"/>
      <c r="M504" s="455"/>
      <c r="N504" s="456">
        <v>19590.34</v>
      </c>
      <c r="O504" s="457"/>
      <c r="P504" s="430"/>
    </row>
    <row r="505" spans="1:16" ht="13.9" hidden="1" customHeight="1" outlineLevel="3" x14ac:dyDescent="0.2">
      <c r="A505" s="233">
        <v>0</v>
      </c>
      <c r="B505" s="233">
        <v>6</v>
      </c>
      <c r="C505" s="233">
        <v>10</v>
      </c>
      <c r="D505" s="234">
        <v>1</v>
      </c>
      <c r="E505" s="234">
        <v>1</v>
      </c>
      <c r="G505" s="500" t="s">
        <v>16</v>
      </c>
      <c r="H505" s="459" t="s">
        <v>1238</v>
      </c>
      <c r="I505" s="460" t="s">
        <v>4042</v>
      </c>
      <c r="J505" s="461" t="s">
        <v>2322</v>
      </c>
      <c r="K505" s="462" t="s">
        <v>1129</v>
      </c>
      <c r="L505" s="463">
        <v>1</v>
      </c>
      <c r="M505" s="463">
        <v>19590.34</v>
      </c>
      <c r="N505" s="464">
        <v>19590.34</v>
      </c>
      <c r="O505" s="465" t="s">
        <v>2736</v>
      </c>
      <c r="P505" s="431" t="s">
        <v>6711</v>
      </c>
    </row>
    <row r="506" spans="1:16" ht="13.9" hidden="1" customHeight="1" outlineLevel="2" x14ac:dyDescent="0.2">
      <c r="A506" s="233">
        <v>0</v>
      </c>
      <c r="B506" s="233">
        <v>6</v>
      </c>
      <c r="C506" s="233">
        <v>10</v>
      </c>
      <c r="D506" s="234">
        <v>2</v>
      </c>
      <c r="E506" s="234">
        <v>0</v>
      </c>
      <c r="G506" s="450"/>
      <c r="H506" s="451" t="s">
        <v>1237</v>
      </c>
      <c r="I506" s="452" t="s">
        <v>4043</v>
      </c>
      <c r="J506" s="453" t="s">
        <v>2324</v>
      </c>
      <c r="K506" s="454"/>
      <c r="L506" s="455"/>
      <c r="M506" s="455"/>
      <c r="N506" s="456">
        <v>18686.150000000001</v>
      </c>
      <c r="O506" s="457"/>
      <c r="P506" s="430"/>
    </row>
    <row r="507" spans="1:16" ht="13.9" hidden="1" customHeight="1" outlineLevel="3" x14ac:dyDescent="0.2">
      <c r="A507" s="233">
        <v>0</v>
      </c>
      <c r="B507" s="233">
        <v>6</v>
      </c>
      <c r="C507" s="233">
        <v>10</v>
      </c>
      <c r="D507" s="234">
        <v>2</v>
      </c>
      <c r="E507" s="234">
        <v>1</v>
      </c>
      <c r="G507" s="500" t="s">
        <v>16</v>
      </c>
      <c r="H507" s="459" t="s">
        <v>1238</v>
      </c>
      <c r="I507" s="460" t="s">
        <v>4044</v>
      </c>
      <c r="J507" s="461" t="s">
        <v>2324</v>
      </c>
      <c r="K507" s="462" t="s">
        <v>1129</v>
      </c>
      <c r="L507" s="463">
        <v>1</v>
      </c>
      <c r="M507" s="463">
        <v>18686.150000000001</v>
      </c>
      <c r="N507" s="464">
        <v>18686.150000000001</v>
      </c>
      <c r="O507" s="465" t="s">
        <v>2736</v>
      </c>
      <c r="P507" s="431" t="s">
        <v>6711</v>
      </c>
    </row>
    <row r="508" spans="1:16" ht="13.9" hidden="1" customHeight="1" outlineLevel="2" x14ac:dyDescent="0.2">
      <c r="A508" s="233">
        <v>0</v>
      </c>
      <c r="B508" s="233">
        <v>6</v>
      </c>
      <c r="C508" s="233">
        <v>10</v>
      </c>
      <c r="D508" s="234">
        <v>3</v>
      </c>
      <c r="E508" s="234">
        <v>0</v>
      </c>
      <c r="G508" s="450"/>
      <c r="H508" s="451" t="s">
        <v>1237</v>
      </c>
      <c r="I508" s="452" t="s">
        <v>4045</v>
      </c>
      <c r="J508" s="453" t="s">
        <v>2325</v>
      </c>
      <c r="K508" s="454"/>
      <c r="L508" s="455"/>
      <c r="M508" s="455"/>
      <c r="N508" s="456">
        <v>54396.061999999998</v>
      </c>
      <c r="O508" s="457"/>
      <c r="P508" s="430"/>
    </row>
    <row r="509" spans="1:16" ht="13.9" hidden="1" customHeight="1" outlineLevel="3" x14ac:dyDescent="0.2">
      <c r="A509" s="233">
        <v>0</v>
      </c>
      <c r="B509" s="233">
        <v>6</v>
      </c>
      <c r="C509" s="233">
        <v>10</v>
      </c>
      <c r="D509" s="234">
        <v>3</v>
      </c>
      <c r="E509" s="234">
        <v>1</v>
      </c>
      <c r="G509" s="500" t="s">
        <v>16</v>
      </c>
      <c r="H509" s="459" t="s">
        <v>1238</v>
      </c>
      <c r="I509" s="460" t="s">
        <v>4046</v>
      </c>
      <c r="J509" s="461" t="s">
        <v>2325</v>
      </c>
      <c r="K509" s="462" t="s">
        <v>1129</v>
      </c>
      <c r="L509" s="463">
        <v>1</v>
      </c>
      <c r="M509" s="463">
        <v>54396.061999999998</v>
      </c>
      <c r="N509" s="464">
        <v>54396.061999999998</v>
      </c>
      <c r="O509" s="465" t="s">
        <v>2736</v>
      </c>
      <c r="P509" s="431" t="s">
        <v>6711</v>
      </c>
    </row>
    <row r="510" spans="1:16" ht="13.9" hidden="1" customHeight="1" outlineLevel="2" x14ac:dyDescent="0.2">
      <c r="A510" s="233">
        <v>0</v>
      </c>
      <c r="B510" s="233">
        <v>6</v>
      </c>
      <c r="C510" s="233">
        <v>10</v>
      </c>
      <c r="D510" s="234">
        <v>4</v>
      </c>
      <c r="E510" s="234">
        <v>0</v>
      </c>
      <c r="G510" s="450"/>
      <c r="H510" s="451" t="s">
        <v>1237</v>
      </c>
      <c r="I510" s="452" t="s">
        <v>4047</v>
      </c>
      <c r="J510" s="453" t="s">
        <v>2326</v>
      </c>
      <c r="K510" s="454"/>
      <c r="L510" s="455"/>
      <c r="M510" s="455"/>
      <c r="N510" s="456">
        <v>33560.800000000003</v>
      </c>
      <c r="O510" s="457"/>
      <c r="P510" s="430"/>
    </row>
    <row r="511" spans="1:16" ht="13.9" hidden="1" customHeight="1" outlineLevel="3" x14ac:dyDescent="0.2">
      <c r="A511" s="233">
        <v>0</v>
      </c>
      <c r="B511" s="233">
        <v>6</v>
      </c>
      <c r="C511" s="233">
        <v>10</v>
      </c>
      <c r="D511" s="234">
        <v>4</v>
      </c>
      <c r="E511" s="234">
        <v>1</v>
      </c>
      <c r="G511" s="500" t="s">
        <v>16</v>
      </c>
      <c r="H511" s="459" t="s">
        <v>1238</v>
      </c>
      <c r="I511" s="460" t="s">
        <v>4048</v>
      </c>
      <c r="J511" s="461" t="s">
        <v>2326</v>
      </c>
      <c r="K511" s="462" t="s">
        <v>1129</v>
      </c>
      <c r="L511" s="463">
        <v>1</v>
      </c>
      <c r="M511" s="463">
        <v>33560.800000000003</v>
      </c>
      <c r="N511" s="464">
        <v>33560.800000000003</v>
      </c>
      <c r="O511" s="465" t="s">
        <v>2736</v>
      </c>
      <c r="P511" s="431" t="s">
        <v>6711</v>
      </c>
    </row>
    <row r="512" spans="1:16" ht="13.9" hidden="1" customHeight="1" outlineLevel="2" x14ac:dyDescent="0.2">
      <c r="A512" s="233">
        <v>0</v>
      </c>
      <c r="B512" s="233">
        <v>6</v>
      </c>
      <c r="C512" s="233">
        <v>10</v>
      </c>
      <c r="D512" s="234">
        <v>5</v>
      </c>
      <c r="E512" s="234">
        <v>0</v>
      </c>
      <c r="G512" s="450"/>
      <c r="H512" s="451" t="s">
        <v>1237</v>
      </c>
      <c r="I512" s="452" t="s">
        <v>4049</v>
      </c>
      <c r="J512" s="453" t="s">
        <v>2327</v>
      </c>
      <c r="K512" s="454"/>
      <c r="L512" s="455"/>
      <c r="M512" s="455"/>
      <c r="N512" s="456">
        <v>27073.207537644699</v>
      </c>
      <c r="O512" s="457"/>
      <c r="P512" s="430"/>
    </row>
    <row r="513" spans="1:16" ht="13.9" hidden="1" customHeight="1" outlineLevel="3" x14ac:dyDescent="0.2">
      <c r="A513" s="233">
        <v>0</v>
      </c>
      <c r="B513" s="233">
        <v>6</v>
      </c>
      <c r="C513" s="233">
        <v>10</v>
      </c>
      <c r="D513" s="234">
        <v>5</v>
      </c>
      <c r="E513" s="234">
        <v>1</v>
      </c>
      <c r="G513" s="500" t="s">
        <v>16</v>
      </c>
      <c r="H513" s="459" t="s">
        <v>1238</v>
      </c>
      <c r="I513" s="460" t="s">
        <v>4050</v>
      </c>
      <c r="J513" s="461" t="s">
        <v>2327</v>
      </c>
      <c r="K513" s="462" t="s">
        <v>1129</v>
      </c>
      <c r="L513" s="463">
        <v>1</v>
      </c>
      <c r="M513" s="463">
        <v>27073.207537644663</v>
      </c>
      <c r="N513" s="464">
        <v>27073.207537644699</v>
      </c>
      <c r="O513" s="465" t="s">
        <v>2735</v>
      </c>
      <c r="P513" s="431" t="s">
        <v>6711</v>
      </c>
    </row>
    <row r="514" spans="1:16" ht="13.9" hidden="1" customHeight="1" outlineLevel="2" x14ac:dyDescent="0.2">
      <c r="A514" s="233">
        <v>0</v>
      </c>
      <c r="B514" s="233">
        <v>6</v>
      </c>
      <c r="C514" s="233">
        <v>10</v>
      </c>
      <c r="D514" s="234">
        <v>6</v>
      </c>
      <c r="E514" s="234">
        <v>0</v>
      </c>
      <c r="G514" s="450"/>
      <c r="H514" s="451" t="s">
        <v>1237</v>
      </c>
      <c r="I514" s="452" t="s">
        <v>4051</v>
      </c>
      <c r="J514" s="453" t="s">
        <v>1252</v>
      </c>
      <c r="K514" s="454"/>
      <c r="L514" s="455"/>
      <c r="M514" s="455"/>
      <c r="N514" s="456">
        <v>184473.60000000001</v>
      </c>
      <c r="O514" s="457"/>
      <c r="P514" s="430"/>
    </row>
    <row r="515" spans="1:16" ht="13.9" hidden="1" customHeight="1" outlineLevel="3" x14ac:dyDescent="0.2">
      <c r="A515" s="233">
        <v>0</v>
      </c>
      <c r="B515" s="233">
        <v>6</v>
      </c>
      <c r="C515" s="233">
        <v>10</v>
      </c>
      <c r="D515" s="234">
        <v>6</v>
      </c>
      <c r="E515" s="234">
        <v>1</v>
      </c>
      <c r="G515" s="500" t="s">
        <v>16</v>
      </c>
      <c r="H515" s="459" t="s">
        <v>1238</v>
      </c>
      <c r="I515" s="460" t="s">
        <v>4052</v>
      </c>
      <c r="J515" s="461" t="s">
        <v>1253</v>
      </c>
      <c r="K515" s="462" t="s">
        <v>1129</v>
      </c>
      <c r="L515" s="463">
        <v>1</v>
      </c>
      <c r="M515" s="463">
        <v>184473.60000000006</v>
      </c>
      <c r="N515" s="464">
        <v>184473.60000000001</v>
      </c>
      <c r="O515" s="465" t="s">
        <v>2719</v>
      </c>
      <c r="P515" s="431" t="s">
        <v>6711</v>
      </c>
    </row>
    <row r="516" spans="1:16" ht="13.9" hidden="1" customHeight="1" outlineLevel="1" x14ac:dyDescent="0.2">
      <c r="A516" s="233">
        <v>0</v>
      </c>
      <c r="B516" s="233">
        <v>6</v>
      </c>
      <c r="C516" s="233">
        <v>11</v>
      </c>
      <c r="D516" s="234">
        <v>0</v>
      </c>
      <c r="E516" s="234">
        <v>1</v>
      </c>
      <c r="G516" s="443"/>
      <c r="H516" s="444" t="s">
        <v>38</v>
      </c>
      <c r="I516" s="445" t="s">
        <v>4053</v>
      </c>
      <c r="J516" s="446" t="s">
        <v>2731</v>
      </c>
      <c r="K516" s="447"/>
      <c r="L516" s="448"/>
      <c r="M516" s="448"/>
      <c r="N516" s="449">
        <v>857673.05429390003</v>
      </c>
      <c r="O516" s="432"/>
      <c r="P516" s="435"/>
    </row>
    <row r="517" spans="1:16" ht="13.9" hidden="1" customHeight="1" outlineLevel="2" x14ac:dyDescent="0.2">
      <c r="A517" s="233">
        <v>0</v>
      </c>
      <c r="B517" s="233">
        <v>6</v>
      </c>
      <c r="C517" s="233">
        <v>11</v>
      </c>
      <c r="D517" s="234">
        <v>1</v>
      </c>
      <c r="E517" s="234">
        <v>0</v>
      </c>
      <c r="G517" s="450"/>
      <c r="H517" s="451" t="s">
        <v>1237</v>
      </c>
      <c r="I517" s="452" t="s">
        <v>4054</v>
      </c>
      <c r="J517" s="453" t="s">
        <v>2322</v>
      </c>
      <c r="K517" s="454"/>
      <c r="L517" s="455"/>
      <c r="M517" s="455"/>
      <c r="N517" s="456">
        <v>40511.230000000003</v>
      </c>
      <c r="O517" s="457"/>
      <c r="P517" s="430"/>
    </row>
    <row r="518" spans="1:16" ht="13.9" hidden="1" customHeight="1" outlineLevel="3" x14ac:dyDescent="0.2">
      <c r="A518" s="233">
        <v>0</v>
      </c>
      <c r="B518" s="233">
        <v>6</v>
      </c>
      <c r="C518" s="233">
        <v>11</v>
      </c>
      <c r="D518" s="234">
        <v>1</v>
      </c>
      <c r="E518" s="234">
        <v>1</v>
      </c>
      <c r="G518" s="500" t="s">
        <v>16</v>
      </c>
      <c r="H518" s="459" t="s">
        <v>1238</v>
      </c>
      <c r="I518" s="460" t="s">
        <v>4055</v>
      </c>
      <c r="J518" s="461" t="s">
        <v>2322</v>
      </c>
      <c r="K518" s="462" t="s">
        <v>1129</v>
      </c>
      <c r="L518" s="463">
        <v>1</v>
      </c>
      <c r="M518" s="463">
        <v>40511.229999999996</v>
      </c>
      <c r="N518" s="464">
        <v>40511.230000000003</v>
      </c>
      <c r="O518" s="465" t="s">
        <v>2736</v>
      </c>
      <c r="P518" s="431" t="s">
        <v>6711</v>
      </c>
    </row>
    <row r="519" spans="1:16" ht="13.9" hidden="1" customHeight="1" outlineLevel="2" x14ac:dyDescent="0.2">
      <c r="A519" s="233">
        <v>0</v>
      </c>
      <c r="B519" s="233">
        <v>6</v>
      </c>
      <c r="C519" s="233">
        <v>11</v>
      </c>
      <c r="D519" s="234">
        <v>2</v>
      </c>
      <c r="E519" s="234">
        <v>0</v>
      </c>
      <c r="G519" s="450"/>
      <c r="H519" s="451" t="s">
        <v>1237</v>
      </c>
      <c r="I519" s="452" t="s">
        <v>4056</v>
      </c>
      <c r="J519" s="453" t="s">
        <v>2324</v>
      </c>
      <c r="K519" s="454"/>
      <c r="L519" s="455"/>
      <c r="M519" s="455"/>
      <c r="N519" s="456">
        <v>44290.7</v>
      </c>
      <c r="O519" s="457"/>
      <c r="P519" s="430"/>
    </row>
    <row r="520" spans="1:16" ht="13.9" hidden="1" customHeight="1" outlineLevel="3" x14ac:dyDescent="0.2">
      <c r="A520" s="233">
        <v>0</v>
      </c>
      <c r="B520" s="233">
        <v>6</v>
      </c>
      <c r="C520" s="233">
        <v>11</v>
      </c>
      <c r="D520" s="234">
        <v>2</v>
      </c>
      <c r="E520" s="234">
        <v>1</v>
      </c>
      <c r="G520" s="500" t="s">
        <v>16</v>
      </c>
      <c r="H520" s="459" t="s">
        <v>1238</v>
      </c>
      <c r="I520" s="460" t="s">
        <v>4057</v>
      </c>
      <c r="J520" s="461" t="s">
        <v>2324</v>
      </c>
      <c r="K520" s="462" t="s">
        <v>1129</v>
      </c>
      <c r="L520" s="463">
        <v>1</v>
      </c>
      <c r="M520" s="463">
        <v>44290.7</v>
      </c>
      <c r="N520" s="464">
        <v>44290.7</v>
      </c>
      <c r="O520" s="465" t="s">
        <v>2736</v>
      </c>
      <c r="P520" s="431" t="s">
        <v>6711</v>
      </c>
    </row>
    <row r="521" spans="1:16" ht="13.9" hidden="1" customHeight="1" outlineLevel="2" x14ac:dyDescent="0.2">
      <c r="A521" s="233">
        <v>0</v>
      </c>
      <c r="B521" s="233">
        <v>6</v>
      </c>
      <c r="C521" s="233">
        <v>11</v>
      </c>
      <c r="D521" s="234">
        <v>3</v>
      </c>
      <c r="E521" s="234">
        <v>0</v>
      </c>
      <c r="G521" s="450"/>
      <c r="H521" s="451" t="s">
        <v>1237</v>
      </c>
      <c r="I521" s="452" t="s">
        <v>4058</v>
      </c>
      <c r="J521" s="453" t="s">
        <v>2325</v>
      </c>
      <c r="K521" s="454"/>
      <c r="L521" s="455"/>
      <c r="M521" s="455"/>
      <c r="N521" s="456">
        <v>121966.558</v>
      </c>
      <c r="O521" s="457"/>
      <c r="P521" s="430"/>
    </row>
    <row r="522" spans="1:16" ht="13.9" hidden="1" customHeight="1" outlineLevel="3" x14ac:dyDescent="0.2">
      <c r="A522" s="233">
        <v>0</v>
      </c>
      <c r="B522" s="233">
        <v>6</v>
      </c>
      <c r="C522" s="233">
        <v>11</v>
      </c>
      <c r="D522" s="234">
        <v>3</v>
      </c>
      <c r="E522" s="234">
        <v>1</v>
      </c>
      <c r="G522" s="500" t="s">
        <v>16</v>
      </c>
      <c r="H522" s="459" t="s">
        <v>1238</v>
      </c>
      <c r="I522" s="460" t="s">
        <v>4059</v>
      </c>
      <c r="J522" s="461" t="s">
        <v>2325</v>
      </c>
      <c r="K522" s="462" t="s">
        <v>1129</v>
      </c>
      <c r="L522" s="463">
        <v>1</v>
      </c>
      <c r="M522" s="463">
        <v>121966.55800000002</v>
      </c>
      <c r="N522" s="464">
        <v>121966.558</v>
      </c>
      <c r="O522" s="465" t="s">
        <v>2736</v>
      </c>
      <c r="P522" s="431" t="s">
        <v>6711</v>
      </c>
    </row>
    <row r="523" spans="1:16" ht="13.9" hidden="1" customHeight="1" outlineLevel="2" x14ac:dyDescent="0.2">
      <c r="A523" s="233">
        <v>0</v>
      </c>
      <c r="B523" s="233">
        <v>6</v>
      </c>
      <c r="C523" s="233">
        <v>11</v>
      </c>
      <c r="D523" s="234">
        <v>4</v>
      </c>
      <c r="E523" s="234">
        <v>0</v>
      </c>
      <c r="G523" s="450"/>
      <c r="H523" s="451" t="s">
        <v>1237</v>
      </c>
      <c r="I523" s="452" t="s">
        <v>4060</v>
      </c>
      <c r="J523" s="453" t="s">
        <v>2326</v>
      </c>
      <c r="K523" s="454"/>
      <c r="L523" s="455"/>
      <c r="M523" s="455"/>
      <c r="N523" s="456">
        <v>72230.44</v>
      </c>
      <c r="O523" s="457"/>
      <c r="P523" s="430"/>
    </row>
    <row r="524" spans="1:16" ht="13.9" hidden="1" customHeight="1" outlineLevel="3" x14ac:dyDescent="0.2">
      <c r="A524" s="233">
        <v>0</v>
      </c>
      <c r="B524" s="233">
        <v>6</v>
      </c>
      <c r="C524" s="233">
        <v>11</v>
      </c>
      <c r="D524" s="234">
        <v>4</v>
      </c>
      <c r="E524" s="234">
        <v>1</v>
      </c>
      <c r="G524" s="500" t="s">
        <v>16</v>
      </c>
      <c r="H524" s="459" t="s">
        <v>1238</v>
      </c>
      <c r="I524" s="460" t="s">
        <v>4061</v>
      </c>
      <c r="J524" s="461" t="s">
        <v>2326</v>
      </c>
      <c r="K524" s="462" t="s">
        <v>1129</v>
      </c>
      <c r="L524" s="463">
        <v>1</v>
      </c>
      <c r="M524" s="463">
        <v>72230.44</v>
      </c>
      <c r="N524" s="464">
        <v>72230.44</v>
      </c>
      <c r="O524" s="465" t="s">
        <v>2736</v>
      </c>
      <c r="P524" s="431" t="s">
        <v>6711</v>
      </c>
    </row>
    <row r="525" spans="1:16" ht="13.9" hidden="1" customHeight="1" outlineLevel="2" x14ac:dyDescent="0.2">
      <c r="A525" s="233">
        <v>0</v>
      </c>
      <c r="B525" s="233">
        <v>6</v>
      </c>
      <c r="C525" s="233">
        <v>11</v>
      </c>
      <c r="D525" s="234">
        <v>5</v>
      </c>
      <c r="E525" s="234">
        <v>0</v>
      </c>
      <c r="G525" s="450"/>
      <c r="H525" s="451" t="s">
        <v>1237</v>
      </c>
      <c r="I525" s="452" t="s">
        <v>4062</v>
      </c>
      <c r="J525" s="453" t="s">
        <v>2327</v>
      </c>
      <c r="K525" s="454"/>
      <c r="L525" s="455"/>
      <c r="M525" s="455"/>
      <c r="N525" s="456">
        <v>71104.646293900398</v>
      </c>
      <c r="O525" s="457"/>
      <c r="P525" s="430"/>
    </row>
    <row r="526" spans="1:16" ht="13.9" hidden="1" customHeight="1" outlineLevel="3" x14ac:dyDescent="0.2">
      <c r="A526" s="233">
        <v>0</v>
      </c>
      <c r="B526" s="233">
        <v>6</v>
      </c>
      <c r="C526" s="233">
        <v>11</v>
      </c>
      <c r="D526" s="234">
        <v>5</v>
      </c>
      <c r="E526" s="234">
        <v>1</v>
      </c>
      <c r="G526" s="500" t="s">
        <v>16</v>
      </c>
      <c r="H526" s="459" t="s">
        <v>1238</v>
      </c>
      <c r="I526" s="460" t="s">
        <v>4063</v>
      </c>
      <c r="J526" s="461" t="s">
        <v>2327</v>
      </c>
      <c r="K526" s="462" t="s">
        <v>1129</v>
      </c>
      <c r="L526" s="463">
        <v>1</v>
      </c>
      <c r="M526" s="463">
        <v>71104.646293900412</v>
      </c>
      <c r="N526" s="464">
        <v>71104.646293900398</v>
      </c>
      <c r="O526" s="465" t="s">
        <v>2735</v>
      </c>
      <c r="P526" s="431" t="s">
        <v>6711</v>
      </c>
    </row>
    <row r="527" spans="1:16" ht="13.9" hidden="1" customHeight="1" outlineLevel="2" x14ac:dyDescent="0.2">
      <c r="A527" s="233">
        <v>0</v>
      </c>
      <c r="B527" s="233">
        <v>6</v>
      </c>
      <c r="C527" s="233">
        <v>11</v>
      </c>
      <c r="D527" s="234">
        <v>6</v>
      </c>
      <c r="E527" s="234">
        <v>0</v>
      </c>
      <c r="G527" s="450"/>
      <c r="H527" s="451" t="s">
        <v>1237</v>
      </c>
      <c r="I527" s="452" t="s">
        <v>4064</v>
      </c>
      <c r="J527" s="453" t="s">
        <v>1252</v>
      </c>
      <c r="K527" s="454"/>
      <c r="L527" s="455"/>
      <c r="M527" s="455"/>
      <c r="N527" s="456">
        <v>507569.48</v>
      </c>
      <c r="O527" s="457"/>
      <c r="P527" s="430"/>
    </row>
    <row r="528" spans="1:16" ht="13.9" hidden="1" customHeight="1" outlineLevel="3" x14ac:dyDescent="0.2">
      <c r="A528" s="233">
        <v>0</v>
      </c>
      <c r="B528" s="233">
        <v>6</v>
      </c>
      <c r="C528" s="233">
        <v>11</v>
      </c>
      <c r="D528" s="234">
        <v>6</v>
      </c>
      <c r="E528" s="234">
        <v>1</v>
      </c>
      <c r="G528" s="500" t="s">
        <v>16</v>
      </c>
      <c r="H528" s="459" t="s">
        <v>1238</v>
      </c>
      <c r="I528" s="460" t="s">
        <v>4065</v>
      </c>
      <c r="J528" s="461" t="s">
        <v>1253</v>
      </c>
      <c r="K528" s="462" t="s">
        <v>1129</v>
      </c>
      <c r="L528" s="463">
        <v>1</v>
      </c>
      <c r="M528" s="463">
        <v>507569.47999999963</v>
      </c>
      <c r="N528" s="464">
        <v>507569.48</v>
      </c>
      <c r="O528" s="465" t="s">
        <v>2719</v>
      </c>
      <c r="P528" s="431" t="s">
        <v>6711</v>
      </c>
    </row>
    <row r="529" spans="1:16" ht="13.9" hidden="1" customHeight="1" outlineLevel="1" x14ac:dyDescent="0.2">
      <c r="A529" s="233">
        <v>0</v>
      </c>
      <c r="B529" s="233">
        <v>6</v>
      </c>
      <c r="C529" s="233">
        <v>12</v>
      </c>
      <c r="D529" s="234">
        <v>0</v>
      </c>
      <c r="E529" s="234">
        <v>1</v>
      </c>
      <c r="G529" s="443"/>
      <c r="H529" s="444" t="s">
        <v>38</v>
      </c>
      <c r="I529" s="445" t="s">
        <v>4066</v>
      </c>
      <c r="J529" s="446" t="s">
        <v>2732</v>
      </c>
      <c r="K529" s="447"/>
      <c r="L529" s="448"/>
      <c r="M529" s="448"/>
      <c r="N529" s="449">
        <v>38786.3015378048</v>
      </c>
      <c r="O529" s="432"/>
      <c r="P529" s="435"/>
    </row>
    <row r="530" spans="1:16" ht="13.9" hidden="1" customHeight="1" outlineLevel="2" x14ac:dyDescent="0.2">
      <c r="A530" s="233">
        <v>0</v>
      </c>
      <c r="B530" s="233">
        <v>6</v>
      </c>
      <c r="C530" s="233">
        <v>12</v>
      </c>
      <c r="D530" s="234">
        <v>1</v>
      </c>
      <c r="E530" s="234">
        <v>0</v>
      </c>
      <c r="G530" s="450"/>
      <c r="H530" s="451" t="s">
        <v>1237</v>
      </c>
      <c r="I530" s="452" t="s">
        <v>4067</v>
      </c>
      <c r="J530" s="453" t="s">
        <v>2322</v>
      </c>
      <c r="K530" s="454"/>
      <c r="L530" s="455"/>
      <c r="M530" s="455"/>
      <c r="N530" s="456">
        <v>1688.57</v>
      </c>
      <c r="O530" s="457"/>
      <c r="P530" s="430"/>
    </row>
    <row r="531" spans="1:16" ht="13.9" hidden="1" customHeight="1" outlineLevel="3" x14ac:dyDescent="0.2">
      <c r="A531" s="233">
        <v>0</v>
      </c>
      <c r="B531" s="233">
        <v>6</v>
      </c>
      <c r="C531" s="233">
        <v>12</v>
      </c>
      <c r="D531" s="234">
        <v>1</v>
      </c>
      <c r="E531" s="234">
        <v>1</v>
      </c>
      <c r="G531" s="500" t="s">
        <v>16</v>
      </c>
      <c r="H531" s="459" t="s">
        <v>1238</v>
      </c>
      <c r="I531" s="460" t="s">
        <v>4068</v>
      </c>
      <c r="J531" s="461" t="s">
        <v>2322</v>
      </c>
      <c r="K531" s="462" t="s">
        <v>1129</v>
      </c>
      <c r="L531" s="463">
        <v>1</v>
      </c>
      <c r="M531" s="463">
        <v>1688.5700000000002</v>
      </c>
      <c r="N531" s="464">
        <v>1688.57</v>
      </c>
      <c r="O531" s="465" t="s">
        <v>2736</v>
      </c>
      <c r="P531" s="431" t="s">
        <v>6711</v>
      </c>
    </row>
    <row r="532" spans="1:16" ht="13.9" hidden="1" customHeight="1" outlineLevel="2" x14ac:dyDescent="0.2">
      <c r="A532" s="233">
        <v>0</v>
      </c>
      <c r="B532" s="233">
        <v>6</v>
      </c>
      <c r="C532" s="233">
        <v>12</v>
      </c>
      <c r="D532" s="234">
        <v>2</v>
      </c>
      <c r="E532" s="234">
        <v>0</v>
      </c>
      <c r="G532" s="450"/>
      <c r="H532" s="451" t="s">
        <v>1237</v>
      </c>
      <c r="I532" s="452" t="s">
        <v>4069</v>
      </c>
      <c r="J532" s="453" t="s">
        <v>2324</v>
      </c>
      <c r="K532" s="454"/>
      <c r="L532" s="455"/>
      <c r="M532" s="455"/>
      <c r="N532" s="456">
        <v>2018.1</v>
      </c>
      <c r="O532" s="457"/>
      <c r="P532" s="430"/>
    </row>
    <row r="533" spans="1:16" ht="13.9" hidden="1" customHeight="1" outlineLevel="3" x14ac:dyDescent="0.2">
      <c r="A533" s="233">
        <v>0</v>
      </c>
      <c r="B533" s="233">
        <v>6</v>
      </c>
      <c r="C533" s="233">
        <v>12</v>
      </c>
      <c r="D533" s="234">
        <v>2</v>
      </c>
      <c r="E533" s="234">
        <v>1</v>
      </c>
      <c r="G533" s="500" t="s">
        <v>16</v>
      </c>
      <c r="H533" s="459" t="s">
        <v>1238</v>
      </c>
      <c r="I533" s="460" t="s">
        <v>4070</v>
      </c>
      <c r="J533" s="461" t="s">
        <v>2324</v>
      </c>
      <c r="K533" s="462" t="s">
        <v>1129</v>
      </c>
      <c r="L533" s="463">
        <v>1</v>
      </c>
      <c r="M533" s="463">
        <v>2018.1000000000001</v>
      </c>
      <c r="N533" s="464">
        <v>2018.1</v>
      </c>
      <c r="O533" s="465" t="s">
        <v>2736</v>
      </c>
      <c r="P533" s="431" t="s">
        <v>6711</v>
      </c>
    </row>
    <row r="534" spans="1:16" ht="13.9" hidden="1" customHeight="1" outlineLevel="2" x14ac:dyDescent="0.2">
      <c r="A534" s="233">
        <v>0</v>
      </c>
      <c r="B534" s="233">
        <v>6</v>
      </c>
      <c r="C534" s="233">
        <v>12</v>
      </c>
      <c r="D534" s="234">
        <v>3</v>
      </c>
      <c r="E534" s="234">
        <v>0</v>
      </c>
      <c r="G534" s="450"/>
      <c r="H534" s="451" t="s">
        <v>1237</v>
      </c>
      <c r="I534" s="452" t="s">
        <v>4071</v>
      </c>
      <c r="J534" s="453" t="s">
        <v>2325</v>
      </c>
      <c r="K534" s="454"/>
      <c r="L534" s="455"/>
      <c r="M534" s="455"/>
      <c r="N534" s="456">
        <v>6066.4459999999999</v>
      </c>
      <c r="O534" s="457"/>
      <c r="P534" s="430"/>
    </row>
    <row r="535" spans="1:16" ht="13.9" hidden="1" customHeight="1" outlineLevel="3" x14ac:dyDescent="0.2">
      <c r="A535" s="233">
        <v>0</v>
      </c>
      <c r="B535" s="233">
        <v>6</v>
      </c>
      <c r="C535" s="233">
        <v>12</v>
      </c>
      <c r="D535" s="234">
        <v>3</v>
      </c>
      <c r="E535" s="234">
        <v>1</v>
      </c>
      <c r="G535" s="500" t="s">
        <v>16</v>
      </c>
      <c r="H535" s="459" t="s">
        <v>1238</v>
      </c>
      <c r="I535" s="460" t="s">
        <v>4072</v>
      </c>
      <c r="J535" s="461" t="s">
        <v>2325</v>
      </c>
      <c r="K535" s="462" t="s">
        <v>1129</v>
      </c>
      <c r="L535" s="463">
        <v>1</v>
      </c>
      <c r="M535" s="463">
        <v>6066.4460000000008</v>
      </c>
      <c r="N535" s="464">
        <v>6066.4459999999999</v>
      </c>
      <c r="O535" s="465" t="s">
        <v>2736</v>
      </c>
      <c r="P535" s="431" t="s">
        <v>6711</v>
      </c>
    </row>
    <row r="536" spans="1:16" ht="13.9" hidden="1" customHeight="1" outlineLevel="2" x14ac:dyDescent="0.2">
      <c r="A536" s="233">
        <v>0</v>
      </c>
      <c r="B536" s="233">
        <v>6</v>
      </c>
      <c r="C536" s="233">
        <v>12</v>
      </c>
      <c r="D536" s="234">
        <v>4</v>
      </c>
      <c r="E536" s="234">
        <v>0</v>
      </c>
      <c r="G536" s="450"/>
      <c r="H536" s="451" t="s">
        <v>1237</v>
      </c>
      <c r="I536" s="452" t="s">
        <v>4073</v>
      </c>
      <c r="J536" s="453" t="s">
        <v>2326</v>
      </c>
      <c r="K536" s="454"/>
      <c r="L536" s="455"/>
      <c r="M536" s="455"/>
      <c r="N536" s="456">
        <v>3362.31</v>
      </c>
      <c r="O536" s="457"/>
      <c r="P536" s="430"/>
    </row>
    <row r="537" spans="1:16" ht="13.9" hidden="1" customHeight="1" outlineLevel="3" x14ac:dyDescent="0.2">
      <c r="A537" s="233">
        <v>0</v>
      </c>
      <c r="B537" s="233">
        <v>6</v>
      </c>
      <c r="C537" s="233">
        <v>12</v>
      </c>
      <c r="D537" s="234">
        <v>4</v>
      </c>
      <c r="E537" s="234">
        <v>1</v>
      </c>
      <c r="G537" s="500" t="s">
        <v>16</v>
      </c>
      <c r="H537" s="459" t="s">
        <v>1238</v>
      </c>
      <c r="I537" s="460" t="s">
        <v>4074</v>
      </c>
      <c r="J537" s="461" t="s">
        <v>2326</v>
      </c>
      <c r="K537" s="462" t="s">
        <v>1129</v>
      </c>
      <c r="L537" s="463">
        <v>1</v>
      </c>
      <c r="M537" s="463">
        <v>3362.3100000000004</v>
      </c>
      <c r="N537" s="464">
        <v>3362.31</v>
      </c>
      <c r="O537" s="465" t="s">
        <v>2736</v>
      </c>
      <c r="P537" s="431" t="s">
        <v>6711</v>
      </c>
    </row>
    <row r="538" spans="1:16" ht="13.9" hidden="1" customHeight="1" outlineLevel="2" x14ac:dyDescent="0.2">
      <c r="A538" s="233">
        <v>0</v>
      </c>
      <c r="B538" s="233">
        <v>6</v>
      </c>
      <c r="C538" s="233">
        <v>12</v>
      </c>
      <c r="D538" s="234">
        <v>5</v>
      </c>
      <c r="E538" s="234">
        <v>0</v>
      </c>
      <c r="G538" s="450"/>
      <c r="H538" s="451" t="s">
        <v>1237</v>
      </c>
      <c r="I538" s="452" t="s">
        <v>4075</v>
      </c>
      <c r="J538" s="453" t="s">
        <v>2327</v>
      </c>
      <c r="K538" s="454"/>
      <c r="L538" s="455"/>
      <c r="M538" s="455"/>
      <c r="N538" s="456">
        <v>3385.9355378047799</v>
      </c>
      <c r="O538" s="457"/>
      <c r="P538" s="430"/>
    </row>
    <row r="539" spans="1:16" ht="13.9" hidden="1" customHeight="1" outlineLevel="3" x14ac:dyDescent="0.2">
      <c r="A539" s="233">
        <v>0</v>
      </c>
      <c r="B539" s="233">
        <v>6</v>
      </c>
      <c r="C539" s="233">
        <v>12</v>
      </c>
      <c r="D539" s="234">
        <v>5</v>
      </c>
      <c r="E539" s="234">
        <v>1</v>
      </c>
      <c r="G539" s="500" t="s">
        <v>16</v>
      </c>
      <c r="H539" s="459" t="s">
        <v>1238</v>
      </c>
      <c r="I539" s="460" t="s">
        <v>4076</v>
      </c>
      <c r="J539" s="461" t="s">
        <v>2327</v>
      </c>
      <c r="K539" s="462" t="s">
        <v>1129</v>
      </c>
      <c r="L539" s="463">
        <v>1</v>
      </c>
      <c r="M539" s="463">
        <v>3385.9355378047812</v>
      </c>
      <c r="N539" s="464">
        <v>3385.9355378047799</v>
      </c>
      <c r="O539" s="465" t="s">
        <v>2735</v>
      </c>
      <c r="P539" s="431" t="s">
        <v>6711</v>
      </c>
    </row>
    <row r="540" spans="1:16" ht="13.9" hidden="1" customHeight="1" outlineLevel="2" x14ac:dyDescent="0.2">
      <c r="A540" s="233">
        <v>0</v>
      </c>
      <c r="B540" s="233">
        <v>6</v>
      </c>
      <c r="C540" s="233">
        <v>12</v>
      </c>
      <c r="D540" s="234">
        <v>6</v>
      </c>
      <c r="E540" s="234">
        <v>0</v>
      </c>
      <c r="G540" s="450"/>
      <c r="H540" s="451" t="s">
        <v>1237</v>
      </c>
      <c r="I540" s="452" t="s">
        <v>4077</v>
      </c>
      <c r="J540" s="453" t="s">
        <v>1252</v>
      </c>
      <c r="K540" s="454"/>
      <c r="L540" s="455"/>
      <c r="M540" s="455"/>
      <c r="N540" s="456">
        <v>22264.94</v>
      </c>
      <c r="O540" s="457"/>
      <c r="P540" s="430"/>
    </row>
    <row r="541" spans="1:16" ht="13.9" hidden="1" customHeight="1" outlineLevel="3" x14ac:dyDescent="0.2">
      <c r="A541" s="233">
        <v>0</v>
      </c>
      <c r="B541" s="233">
        <v>6</v>
      </c>
      <c r="C541" s="233">
        <v>12</v>
      </c>
      <c r="D541" s="234">
        <v>6</v>
      </c>
      <c r="E541" s="234">
        <v>1</v>
      </c>
      <c r="G541" s="500" t="s">
        <v>16</v>
      </c>
      <c r="H541" s="459" t="s">
        <v>1238</v>
      </c>
      <c r="I541" s="460" t="s">
        <v>4078</v>
      </c>
      <c r="J541" s="461" t="s">
        <v>1253</v>
      </c>
      <c r="K541" s="462" t="s">
        <v>1129</v>
      </c>
      <c r="L541" s="463">
        <v>1</v>
      </c>
      <c r="M541" s="463">
        <v>22264.94</v>
      </c>
      <c r="N541" s="464">
        <v>22264.94</v>
      </c>
      <c r="O541" s="465" t="s">
        <v>2719</v>
      </c>
      <c r="P541" s="431" t="s">
        <v>6711</v>
      </c>
    </row>
    <row r="542" spans="1:16" ht="13.9" hidden="1" customHeight="1" outlineLevel="1" x14ac:dyDescent="0.2">
      <c r="A542" s="233">
        <v>0</v>
      </c>
      <c r="B542" s="233">
        <v>6</v>
      </c>
      <c r="C542" s="233">
        <v>13</v>
      </c>
      <c r="D542" s="234">
        <v>0</v>
      </c>
      <c r="E542" s="234">
        <v>1</v>
      </c>
      <c r="G542" s="443"/>
      <c r="H542" s="444" t="s">
        <v>38</v>
      </c>
      <c r="I542" s="445" t="s">
        <v>4079</v>
      </c>
      <c r="J542" s="446" t="s">
        <v>2733</v>
      </c>
      <c r="K542" s="447"/>
      <c r="L542" s="448"/>
      <c r="M542" s="448"/>
      <c r="N542" s="449">
        <v>35206.863542132902</v>
      </c>
      <c r="O542" s="432"/>
      <c r="P542" s="435"/>
    </row>
    <row r="543" spans="1:16" ht="13.9" hidden="1" customHeight="1" outlineLevel="2" x14ac:dyDescent="0.2">
      <c r="A543" s="233">
        <v>0</v>
      </c>
      <c r="B543" s="233">
        <v>6</v>
      </c>
      <c r="C543" s="233">
        <v>13</v>
      </c>
      <c r="D543" s="234">
        <v>1</v>
      </c>
      <c r="E543" s="234">
        <v>0</v>
      </c>
      <c r="G543" s="450"/>
      <c r="H543" s="451" t="s">
        <v>1237</v>
      </c>
      <c r="I543" s="452" t="s">
        <v>4080</v>
      </c>
      <c r="J543" s="453" t="s">
        <v>2322</v>
      </c>
      <c r="K543" s="454"/>
      <c r="L543" s="455"/>
      <c r="M543" s="455"/>
      <c r="N543" s="456">
        <v>1914.35</v>
      </c>
      <c r="O543" s="457"/>
      <c r="P543" s="430"/>
    </row>
    <row r="544" spans="1:16" ht="13.9" hidden="1" customHeight="1" outlineLevel="3" x14ac:dyDescent="0.2">
      <c r="A544" s="233">
        <v>0</v>
      </c>
      <c r="B544" s="233">
        <v>6</v>
      </c>
      <c r="C544" s="233">
        <v>13</v>
      </c>
      <c r="D544" s="234">
        <v>1</v>
      </c>
      <c r="E544" s="234">
        <v>1</v>
      </c>
      <c r="G544" s="500" t="s">
        <v>16</v>
      </c>
      <c r="H544" s="459" t="s">
        <v>1238</v>
      </c>
      <c r="I544" s="460" t="s">
        <v>4081</v>
      </c>
      <c r="J544" s="461" t="s">
        <v>2322</v>
      </c>
      <c r="K544" s="462" t="s">
        <v>1129</v>
      </c>
      <c r="L544" s="463">
        <v>1</v>
      </c>
      <c r="M544" s="463">
        <v>1914.35</v>
      </c>
      <c r="N544" s="464">
        <v>1914.35</v>
      </c>
      <c r="O544" s="465" t="s">
        <v>2736</v>
      </c>
      <c r="P544" s="431" t="s">
        <v>6711</v>
      </c>
    </row>
    <row r="545" spans="1:16" ht="13.9" hidden="1" customHeight="1" outlineLevel="2" x14ac:dyDescent="0.2">
      <c r="A545" s="233">
        <v>0</v>
      </c>
      <c r="B545" s="233">
        <v>6</v>
      </c>
      <c r="C545" s="233">
        <v>13</v>
      </c>
      <c r="D545" s="234">
        <v>2</v>
      </c>
      <c r="E545" s="234">
        <v>0</v>
      </c>
      <c r="G545" s="450"/>
      <c r="H545" s="451" t="s">
        <v>1237</v>
      </c>
      <c r="I545" s="452" t="s">
        <v>4082</v>
      </c>
      <c r="J545" s="453" t="s">
        <v>2324</v>
      </c>
      <c r="K545" s="454"/>
      <c r="L545" s="455"/>
      <c r="M545" s="455"/>
      <c r="N545" s="456">
        <v>1498.65</v>
      </c>
      <c r="O545" s="457"/>
      <c r="P545" s="430"/>
    </row>
    <row r="546" spans="1:16" ht="13.9" hidden="1" customHeight="1" outlineLevel="3" x14ac:dyDescent="0.2">
      <c r="A546" s="233">
        <v>0</v>
      </c>
      <c r="B546" s="233">
        <v>6</v>
      </c>
      <c r="C546" s="233">
        <v>13</v>
      </c>
      <c r="D546" s="234">
        <v>2</v>
      </c>
      <c r="E546" s="234">
        <v>1</v>
      </c>
      <c r="G546" s="500" t="s">
        <v>16</v>
      </c>
      <c r="H546" s="459" t="s">
        <v>1238</v>
      </c>
      <c r="I546" s="460" t="s">
        <v>4083</v>
      </c>
      <c r="J546" s="461" t="s">
        <v>2324</v>
      </c>
      <c r="K546" s="462" t="s">
        <v>1129</v>
      </c>
      <c r="L546" s="463">
        <v>1</v>
      </c>
      <c r="M546" s="463">
        <v>1498.6499999999999</v>
      </c>
      <c r="N546" s="464">
        <v>1498.65</v>
      </c>
      <c r="O546" s="465" t="s">
        <v>2736</v>
      </c>
      <c r="P546" s="431" t="s">
        <v>6711</v>
      </c>
    </row>
    <row r="547" spans="1:16" ht="13.9" hidden="1" customHeight="1" outlineLevel="2" x14ac:dyDescent="0.2">
      <c r="A547" s="233">
        <v>0</v>
      </c>
      <c r="B547" s="233">
        <v>6</v>
      </c>
      <c r="C547" s="233">
        <v>13</v>
      </c>
      <c r="D547" s="234">
        <v>3</v>
      </c>
      <c r="E547" s="234">
        <v>0</v>
      </c>
      <c r="G547" s="450"/>
      <c r="H547" s="451" t="s">
        <v>1237</v>
      </c>
      <c r="I547" s="452" t="s">
        <v>4084</v>
      </c>
      <c r="J547" s="453" t="s">
        <v>2325</v>
      </c>
      <c r="K547" s="454"/>
      <c r="L547" s="455"/>
      <c r="M547" s="455"/>
      <c r="N547" s="456">
        <v>5058.5389999999998</v>
      </c>
      <c r="O547" s="457"/>
      <c r="P547" s="430"/>
    </row>
    <row r="548" spans="1:16" ht="13.9" hidden="1" customHeight="1" outlineLevel="3" x14ac:dyDescent="0.2">
      <c r="A548" s="233">
        <v>0</v>
      </c>
      <c r="B548" s="233">
        <v>6</v>
      </c>
      <c r="C548" s="233">
        <v>13</v>
      </c>
      <c r="D548" s="234">
        <v>3</v>
      </c>
      <c r="E548" s="234">
        <v>1</v>
      </c>
      <c r="G548" s="500" t="s">
        <v>16</v>
      </c>
      <c r="H548" s="459" t="s">
        <v>1238</v>
      </c>
      <c r="I548" s="460" t="s">
        <v>4085</v>
      </c>
      <c r="J548" s="461" t="s">
        <v>2325</v>
      </c>
      <c r="K548" s="462" t="s">
        <v>1129</v>
      </c>
      <c r="L548" s="463">
        <v>1</v>
      </c>
      <c r="M548" s="463">
        <v>5058.5390000000025</v>
      </c>
      <c r="N548" s="464">
        <v>5058.5389999999998</v>
      </c>
      <c r="O548" s="465" t="s">
        <v>2736</v>
      </c>
      <c r="P548" s="431" t="s">
        <v>6711</v>
      </c>
    </row>
    <row r="549" spans="1:16" ht="13.9" hidden="1" customHeight="1" outlineLevel="2" x14ac:dyDescent="0.2">
      <c r="A549" s="233">
        <v>0</v>
      </c>
      <c r="B549" s="233">
        <v>6</v>
      </c>
      <c r="C549" s="233">
        <v>13</v>
      </c>
      <c r="D549" s="234">
        <v>4</v>
      </c>
      <c r="E549" s="234">
        <v>0</v>
      </c>
      <c r="G549" s="450"/>
      <c r="H549" s="451" t="s">
        <v>1237</v>
      </c>
      <c r="I549" s="452" t="s">
        <v>4086</v>
      </c>
      <c r="J549" s="453" t="s">
        <v>2326</v>
      </c>
      <c r="K549" s="454"/>
      <c r="L549" s="455"/>
      <c r="M549" s="455"/>
      <c r="N549" s="456">
        <v>2278.9299999999998</v>
      </c>
      <c r="O549" s="457"/>
      <c r="P549" s="430"/>
    </row>
    <row r="550" spans="1:16" ht="13.9" hidden="1" customHeight="1" outlineLevel="3" x14ac:dyDescent="0.2">
      <c r="A550" s="233">
        <v>0</v>
      </c>
      <c r="B550" s="233">
        <v>6</v>
      </c>
      <c r="C550" s="233">
        <v>13</v>
      </c>
      <c r="D550" s="234">
        <v>4</v>
      </c>
      <c r="E550" s="234">
        <v>1</v>
      </c>
      <c r="G550" s="500" t="s">
        <v>16</v>
      </c>
      <c r="H550" s="459" t="s">
        <v>1238</v>
      </c>
      <c r="I550" s="460" t="s">
        <v>4087</v>
      </c>
      <c r="J550" s="461" t="s">
        <v>2326</v>
      </c>
      <c r="K550" s="462" t="s">
        <v>1129</v>
      </c>
      <c r="L550" s="463">
        <v>1</v>
      </c>
      <c r="M550" s="463">
        <v>2278.9300000000003</v>
      </c>
      <c r="N550" s="464">
        <v>2278.9299999999998</v>
      </c>
      <c r="O550" s="465" t="s">
        <v>2736</v>
      </c>
      <c r="P550" s="431" t="s">
        <v>6711</v>
      </c>
    </row>
    <row r="551" spans="1:16" ht="13.9" hidden="1" customHeight="1" outlineLevel="2" x14ac:dyDescent="0.2">
      <c r="A551" s="233">
        <v>0</v>
      </c>
      <c r="B551" s="233">
        <v>6</v>
      </c>
      <c r="C551" s="233">
        <v>13</v>
      </c>
      <c r="D551" s="234">
        <v>5</v>
      </c>
      <c r="E551" s="234">
        <v>0</v>
      </c>
      <c r="G551" s="450"/>
      <c r="H551" s="451" t="s">
        <v>1237</v>
      </c>
      <c r="I551" s="452" t="s">
        <v>4088</v>
      </c>
      <c r="J551" s="453" t="s">
        <v>2327</v>
      </c>
      <c r="K551" s="454"/>
      <c r="L551" s="455"/>
      <c r="M551" s="455"/>
      <c r="N551" s="456">
        <v>3267.5945421329102</v>
      </c>
      <c r="O551" s="457"/>
      <c r="P551" s="430"/>
    </row>
    <row r="552" spans="1:16" ht="13.9" hidden="1" customHeight="1" outlineLevel="3" x14ac:dyDescent="0.2">
      <c r="A552" s="233">
        <v>0</v>
      </c>
      <c r="B552" s="233">
        <v>6</v>
      </c>
      <c r="C552" s="233">
        <v>13</v>
      </c>
      <c r="D552" s="234">
        <v>5</v>
      </c>
      <c r="E552" s="234">
        <v>1</v>
      </c>
      <c r="G552" s="500" t="s">
        <v>16</v>
      </c>
      <c r="H552" s="459" t="s">
        <v>1238</v>
      </c>
      <c r="I552" s="460" t="s">
        <v>4089</v>
      </c>
      <c r="J552" s="461" t="s">
        <v>2327</v>
      </c>
      <c r="K552" s="462" t="s">
        <v>1129</v>
      </c>
      <c r="L552" s="463">
        <v>1</v>
      </c>
      <c r="M552" s="463">
        <v>3267.5945421329138</v>
      </c>
      <c r="N552" s="464">
        <v>3267.5945421329102</v>
      </c>
      <c r="O552" s="465" t="s">
        <v>2735</v>
      </c>
      <c r="P552" s="431" t="s">
        <v>6711</v>
      </c>
    </row>
    <row r="553" spans="1:16" ht="13.9" hidden="1" customHeight="1" outlineLevel="2" x14ac:dyDescent="0.2">
      <c r="A553" s="233">
        <v>0</v>
      </c>
      <c r="B553" s="233">
        <v>6</v>
      </c>
      <c r="C553" s="233">
        <v>13</v>
      </c>
      <c r="D553" s="234">
        <v>6</v>
      </c>
      <c r="E553" s="234">
        <v>0</v>
      </c>
      <c r="G553" s="450"/>
      <c r="H553" s="451" t="s">
        <v>1237</v>
      </c>
      <c r="I553" s="452" t="s">
        <v>4090</v>
      </c>
      <c r="J553" s="453" t="s">
        <v>1252</v>
      </c>
      <c r="K553" s="454"/>
      <c r="L553" s="455"/>
      <c r="M553" s="455"/>
      <c r="N553" s="456">
        <v>21188.799999999999</v>
      </c>
      <c r="O553" s="457"/>
      <c r="P553" s="430"/>
    </row>
    <row r="554" spans="1:16" ht="13.9" hidden="1" customHeight="1" outlineLevel="3" x14ac:dyDescent="0.2">
      <c r="A554" s="233">
        <v>0</v>
      </c>
      <c r="B554" s="233">
        <v>6</v>
      </c>
      <c r="C554" s="233">
        <v>13</v>
      </c>
      <c r="D554" s="234">
        <v>6</v>
      </c>
      <c r="E554" s="234">
        <v>1</v>
      </c>
      <c r="G554" s="500" t="s">
        <v>16</v>
      </c>
      <c r="H554" s="459" t="s">
        <v>1238</v>
      </c>
      <c r="I554" s="460" t="s">
        <v>4091</v>
      </c>
      <c r="J554" s="461" t="s">
        <v>1253</v>
      </c>
      <c r="K554" s="462" t="s">
        <v>1129</v>
      </c>
      <c r="L554" s="463">
        <v>1</v>
      </c>
      <c r="M554" s="463">
        <v>21188.799999999999</v>
      </c>
      <c r="N554" s="464">
        <v>21188.799999999999</v>
      </c>
      <c r="O554" s="465" t="s">
        <v>2719</v>
      </c>
      <c r="P554" s="431" t="s">
        <v>6711</v>
      </c>
    </row>
    <row r="555" spans="1:16" ht="13.9" hidden="1" customHeight="1" outlineLevel="1" x14ac:dyDescent="0.2">
      <c r="A555" s="233">
        <v>0</v>
      </c>
      <c r="B555" s="233">
        <v>6</v>
      </c>
      <c r="C555" s="233">
        <v>14</v>
      </c>
      <c r="D555" s="234">
        <v>0</v>
      </c>
      <c r="E555" s="234">
        <v>1</v>
      </c>
      <c r="G555" s="443"/>
      <c r="H555" s="444" t="s">
        <v>38</v>
      </c>
      <c r="I555" s="445" t="s">
        <v>4092</v>
      </c>
      <c r="J555" s="446" t="s">
        <v>2734</v>
      </c>
      <c r="K555" s="447"/>
      <c r="L555" s="448"/>
      <c r="M555" s="448"/>
      <c r="N555" s="449">
        <v>22823.011831603799</v>
      </c>
      <c r="O555" s="432"/>
      <c r="P555" s="435"/>
    </row>
    <row r="556" spans="1:16" ht="13.9" hidden="1" customHeight="1" outlineLevel="2" x14ac:dyDescent="0.2">
      <c r="A556" s="233">
        <v>0</v>
      </c>
      <c r="B556" s="233">
        <v>6</v>
      </c>
      <c r="C556" s="233">
        <v>14</v>
      </c>
      <c r="D556" s="234">
        <v>1</v>
      </c>
      <c r="E556" s="234">
        <v>0</v>
      </c>
      <c r="G556" s="450"/>
      <c r="H556" s="451" t="s">
        <v>1237</v>
      </c>
      <c r="I556" s="452" t="s">
        <v>4093</v>
      </c>
      <c r="J556" s="453" t="s">
        <v>2322</v>
      </c>
      <c r="K556" s="454"/>
      <c r="L556" s="455"/>
      <c r="M556" s="455"/>
      <c r="N556" s="456">
        <v>949.52</v>
      </c>
      <c r="O556" s="457"/>
      <c r="P556" s="430"/>
    </row>
    <row r="557" spans="1:16" ht="13.9" hidden="1" customHeight="1" outlineLevel="3" x14ac:dyDescent="0.2">
      <c r="A557" s="233">
        <v>0</v>
      </c>
      <c r="B557" s="233">
        <v>6</v>
      </c>
      <c r="C557" s="233">
        <v>14</v>
      </c>
      <c r="D557" s="234">
        <v>1</v>
      </c>
      <c r="E557" s="234">
        <v>1</v>
      </c>
      <c r="G557" s="500" t="s">
        <v>16</v>
      </c>
      <c r="H557" s="459" t="s">
        <v>1238</v>
      </c>
      <c r="I557" s="460" t="s">
        <v>4094</v>
      </c>
      <c r="J557" s="461" t="s">
        <v>2322</v>
      </c>
      <c r="K557" s="462" t="s">
        <v>1129</v>
      </c>
      <c r="L557" s="463">
        <v>1</v>
      </c>
      <c r="M557" s="463">
        <v>949.52</v>
      </c>
      <c r="N557" s="464">
        <v>949.52</v>
      </c>
      <c r="O557" s="465" t="s">
        <v>2736</v>
      </c>
      <c r="P557" s="431" t="s">
        <v>6711</v>
      </c>
    </row>
    <row r="558" spans="1:16" ht="13.9" hidden="1" customHeight="1" outlineLevel="2" x14ac:dyDescent="0.2">
      <c r="A558" s="233">
        <v>0</v>
      </c>
      <c r="B558" s="233">
        <v>6</v>
      </c>
      <c r="C558" s="233">
        <v>14</v>
      </c>
      <c r="D558" s="234">
        <v>2</v>
      </c>
      <c r="E558" s="234">
        <v>0</v>
      </c>
      <c r="G558" s="450"/>
      <c r="H558" s="451" t="s">
        <v>1237</v>
      </c>
      <c r="I558" s="452" t="s">
        <v>4095</v>
      </c>
      <c r="J558" s="453" t="s">
        <v>2324</v>
      </c>
      <c r="K558" s="454"/>
      <c r="L558" s="455"/>
      <c r="M558" s="455"/>
      <c r="N558" s="456">
        <v>353.1</v>
      </c>
      <c r="O558" s="457"/>
      <c r="P558" s="430"/>
    </row>
    <row r="559" spans="1:16" ht="13.9" hidden="1" customHeight="1" outlineLevel="3" x14ac:dyDescent="0.2">
      <c r="A559" s="233">
        <v>0</v>
      </c>
      <c r="B559" s="233">
        <v>6</v>
      </c>
      <c r="C559" s="233">
        <v>14</v>
      </c>
      <c r="D559" s="234">
        <v>2</v>
      </c>
      <c r="E559" s="234">
        <v>1</v>
      </c>
      <c r="G559" s="500" t="s">
        <v>16</v>
      </c>
      <c r="H559" s="459" t="s">
        <v>1238</v>
      </c>
      <c r="I559" s="460" t="s">
        <v>4096</v>
      </c>
      <c r="J559" s="461" t="s">
        <v>2324</v>
      </c>
      <c r="K559" s="462" t="s">
        <v>1129</v>
      </c>
      <c r="L559" s="463">
        <v>1</v>
      </c>
      <c r="M559" s="463">
        <v>353.09999999999997</v>
      </c>
      <c r="N559" s="464">
        <v>353.1</v>
      </c>
      <c r="O559" s="465" t="s">
        <v>2736</v>
      </c>
      <c r="P559" s="431" t="s">
        <v>6711</v>
      </c>
    </row>
    <row r="560" spans="1:16" ht="13.9" hidden="1" customHeight="1" outlineLevel="2" x14ac:dyDescent="0.2">
      <c r="A560" s="233">
        <v>0</v>
      </c>
      <c r="B560" s="233">
        <v>6</v>
      </c>
      <c r="C560" s="233">
        <v>14</v>
      </c>
      <c r="D560" s="234">
        <v>3</v>
      </c>
      <c r="E560" s="234">
        <v>0</v>
      </c>
      <c r="G560" s="450"/>
      <c r="H560" s="451" t="s">
        <v>1237</v>
      </c>
      <c r="I560" s="452" t="s">
        <v>4097</v>
      </c>
      <c r="J560" s="453" t="s">
        <v>2325</v>
      </c>
      <c r="K560" s="454"/>
      <c r="L560" s="455"/>
      <c r="M560" s="455"/>
      <c r="N560" s="456">
        <v>1230.2239999999999</v>
      </c>
      <c r="O560" s="457"/>
      <c r="P560" s="430"/>
    </row>
    <row r="561" spans="1:16" ht="13.9" hidden="1" customHeight="1" outlineLevel="3" x14ac:dyDescent="0.2">
      <c r="A561" s="233">
        <v>0</v>
      </c>
      <c r="B561" s="233">
        <v>6</v>
      </c>
      <c r="C561" s="233">
        <v>14</v>
      </c>
      <c r="D561" s="234">
        <v>3</v>
      </c>
      <c r="E561" s="234">
        <v>1</v>
      </c>
      <c r="G561" s="500" t="s">
        <v>16</v>
      </c>
      <c r="H561" s="459" t="s">
        <v>1238</v>
      </c>
      <c r="I561" s="460" t="s">
        <v>4098</v>
      </c>
      <c r="J561" s="461" t="s">
        <v>2325</v>
      </c>
      <c r="K561" s="462" t="s">
        <v>1129</v>
      </c>
      <c r="L561" s="463">
        <v>1</v>
      </c>
      <c r="M561" s="463">
        <v>1230.2239999999999</v>
      </c>
      <c r="N561" s="464">
        <v>1230.2239999999999</v>
      </c>
      <c r="O561" s="465" t="s">
        <v>2736</v>
      </c>
      <c r="P561" s="431" t="s">
        <v>6711</v>
      </c>
    </row>
    <row r="562" spans="1:16" ht="13.9" hidden="1" customHeight="1" outlineLevel="2" x14ac:dyDescent="0.2">
      <c r="A562" s="233">
        <v>0</v>
      </c>
      <c r="B562" s="233">
        <v>6</v>
      </c>
      <c r="C562" s="233">
        <v>14</v>
      </c>
      <c r="D562" s="234">
        <v>4</v>
      </c>
      <c r="E562" s="234">
        <v>0</v>
      </c>
      <c r="G562" s="450"/>
      <c r="H562" s="451" t="s">
        <v>1237</v>
      </c>
      <c r="I562" s="452" t="s">
        <v>4099</v>
      </c>
      <c r="J562" s="453" t="s">
        <v>2326</v>
      </c>
      <c r="K562" s="454"/>
      <c r="L562" s="455"/>
      <c r="M562" s="455"/>
      <c r="N562" s="456">
        <v>369.05</v>
      </c>
      <c r="O562" s="457"/>
      <c r="P562" s="430"/>
    </row>
    <row r="563" spans="1:16" ht="13.9" hidden="1" customHeight="1" outlineLevel="3" x14ac:dyDescent="0.2">
      <c r="A563" s="233">
        <v>0</v>
      </c>
      <c r="B563" s="233">
        <v>6</v>
      </c>
      <c r="C563" s="233">
        <v>14</v>
      </c>
      <c r="D563" s="234">
        <v>4</v>
      </c>
      <c r="E563" s="234">
        <v>1</v>
      </c>
      <c r="G563" s="500" t="s">
        <v>16</v>
      </c>
      <c r="H563" s="459" t="s">
        <v>1238</v>
      </c>
      <c r="I563" s="460" t="s">
        <v>4100</v>
      </c>
      <c r="J563" s="461" t="s">
        <v>2326</v>
      </c>
      <c r="K563" s="462" t="s">
        <v>1129</v>
      </c>
      <c r="L563" s="463">
        <v>1</v>
      </c>
      <c r="M563" s="463">
        <v>369.04999999999995</v>
      </c>
      <c r="N563" s="464">
        <v>369.05</v>
      </c>
      <c r="O563" s="465" t="s">
        <v>2736</v>
      </c>
      <c r="P563" s="431" t="s">
        <v>6711</v>
      </c>
    </row>
    <row r="564" spans="1:16" ht="13.9" hidden="1" customHeight="1" outlineLevel="2" x14ac:dyDescent="0.2">
      <c r="A564" s="233">
        <v>0</v>
      </c>
      <c r="B564" s="233">
        <v>6</v>
      </c>
      <c r="C564" s="233">
        <v>14</v>
      </c>
      <c r="D564" s="234">
        <v>5</v>
      </c>
      <c r="E564" s="234">
        <v>0</v>
      </c>
      <c r="G564" s="450"/>
      <c r="H564" s="451" t="s">
        <v>1237</v>
      </c>
      <c r="I564" s="452" t="s">
        <v>4101</v>
      </c>
      <c r="J564" s="453" t="s">
        <v>2327</v>
      </c>
      <c r="K564" s="454"/>
      <c r="L564" s="455"/>
      <c r="M564" s="455"/>
      <c r="N564" s="456">
        <v>3109.6578316038199</v>
      </c>
      <c r="O564" s="457"/>
      <c r="P564" s="430"/>
    </row>
    <row r="565" spans="1:16" ht="13.9" hidden="1" customHeight="1" outlineLevel="3" x14ac:dyDescent="0.2">
      <c r="A565" s="233">
        <v>0</v>
      </c>
      <c r="B565" s="233">
        <v>6</v>
      </c>
      <c r="C565" s="233">
        <v>14</v>
      </c>
      <c r="D565" s="234">
        <v>5</v>
      </c>
      <c r="E565" s="234">
        <v>1</v>
      </c>
      <c r="G565" s="500" t="s">
        <v>16</v>
      </c>
      <c r="H565" s="459" t="s">
        <v>1238</v>
      </c>
      <c r="I565" s="460" t="s">
        <v>4102</v>
      </c>
      <c r="J565" s="461" t="s">
        <v>2327</v>
      </c>
      <c r="K565" s="462" t="s">
        <v>1129</v>
      </c>
      <c r="L565" s="463">
        <v>1</v>
      </c>
      <c r="M565" s="463">
        <v>3109.6578316038244</v>
      </c>
      <c r="N565" s="464">
        <v>3109.6578316038199</v>
      </c>
      <c r="O565" s="465" t="s">
        <v>2735</v>
      </c>
      <c r="P565" s="431" t="s">
        <v>6711</v>
      </c>
    </row>
    <row r="566" spans="1:16" ht="13.9" hidden="1" customHeight="1" outlineLevel="2" x14ac:dyDescent="0.2">
      <c r="A566" s="233">
        <v>0</v>
      </c>
      <c r="B566" s="233">
        <v>6</v>
      </c>
      <c r="C566" s="233">
        <v>14</v>
      </c>
      <c r="D566" s="234">
        <v>6</v>
      </c>
      <c r="E566" s="234">
        <v>0</v>
      </c>
      <c r="G566" s="450"/>
      <c r="H566" s="451" t="s">
        <v>1237</v>
      </c>
      <c r="I566" s="452" t="s">
        <v>4103</v>
      </c>
      <c r="J566" s="453" t="s">
        <v>1252</v>
      </c>
      <c r="K566" s="454"/>
      <c r="L566" s="455"/>
      <c r="M566" s="455"/>
      <c r="N566" s="456">
        <v>16811.46</v>
      </c>
      <c r="O566" s="457"/>
      <c r="P566" s="430"/>
    </row>
    <row r="567" spans="1:16" ht="13.9" hidden="1" customHeight="1" outlineLevel="3" x14ac:dyDescent="0.2">
      <c r="A567" s="233">
        <v>0</v>
      </c>
      <c r="B567" s="233">
        <v>6</v>
      </c>
      <c r="C567" s="233">
        <v>14</v>
      </c>
      <c r="D567" s="234">
        <v>6</v>
      </c>
      <c r="E567" s="234">
        <v>1</v>
      </c>
      <c r="G567" s="500" t="s">
        <v>16</v>
      </c>
      <c r="H567" s="459" t="s">
        <v>1238</v>
      </c>
      <c r="I567" s="460" t="s">
        <v>4104</v>
      </c>
      <c r="J567" s="461" t="s">
        <v>1253</v>
      </c>
      <c r="K567" s="462" t="s">
        <v>1129</v>
      </c>
      <c r="L567" s="463">
        <v>1</v>
      </c>
      <c r="M567" s="463">
        <v>16811.46</v>
      </c>
      <c r="N567" s="464">
        <v>16811.46</v>
      </c>
      <c r="O567" s="465" t="s">
        <v>2719</v>
      </c>
      <c r="P567" s="431" t="s">
        <v>6711</v>
      </c>
    </row>
    <row r="568" spans="1:16" ht="13.9" customHeight="1" collapsed="1" x14ac:dyDescent="0.2">
      <c r="A568" s="233">
        <v>0</v>
      </c>
      <c r="B568" s="233">
        <v>7</v>
      </c>
      <c r="C568" s="233">
        <v>0</v>
      </c>
      <c r="D568" s="234">
        <v>6</v>
      </c>
      <c r="E568" s="234">
        <v>1</v>
      </c>
      <c r="F568" s="237"/>
      <c r="G568" s="501"/>
      <c r="H568" s="437" t="s">
        <v>1236</v>
      </c>
      <c r="I568" s="438" t="s">
        <v>4105</v>
      </c>
      <c r="J568" s="439" t="s">
        <v>17</v>
      </c>
      <c r="K568" s="440"/>
      <c r="L568" s="441"/>
      <c r="M568" s="441"/>
      <c r="N568" s="442">
        <v>2801537.89336211</v>
      </c>
      <c r="O568" s="480">
        <v>167.25928889119101</v>
      </c>
      <c r="P568" s="434"/>
    </row>
    <row r="569" spans="1:16" ht="13.9" hidden="1" customHeight="1" outlineLevel="1" x14ac:dyDescent="0.2">
      <c r="A569" s="233">
        <v>0</v>
      </c>
      <c r="B569" s="233">
        <v>7</v>
      </c>
      <c r="C569" s="233">
        <v>1</v>
      </c>
      <c r="D569" s="234">
        <v>0</v>
      </c>
      <c r="E569" s="234">
        <v>1</v>
      </c>
      <c r="G569" s="443"/>
      <c r="H569" s="444" t="s">
        <v>38</v>
      </c>
      <c r="I569" s="445" t="s">
        <v>4106</v>
      </c>
      <c r="J569" s="446" t="s">
        <v>2737</v>
      </c>
      <c r="K569" s="447"/>
      <c r="L569" s="448"/>
      <c r="M569" s="448"/>
      <c r="N569" s="449">
        <v>299058.90349076298</v>
      </c>
      <c r="O569" s="432"/>
      <c r="P569" s="435"/>
    </row>
    <row r="570" spans="1:16" ht="13.9" hidden="1" customHeight="1" outlineLevel="2" x14ac:dyDescent="0.2">
      <c r="A570" s="233">
        <v>0</v>
      </c>
      <c r="B570" s="233">
        <v>7</v>
      </c>
      <c r="C570" s="233">
        <v>1</v>
      </c>
      <c r="D570" s="234">
        <v>1</v>
      </c>
      <c r="E570" s="234">
        <v>0</v>
      </c>
      <c r="G570" s="474"/>
      <c r="H570" s="451" t="s">
        <v>1237</v>
      </c>
      <c r="I570" s="452" t="s">
        <v>4107</v>
      </c>
      <c r="J570" s="453" t="s">
        <v>2239</v>
      </c>
      <c r="K570" s="454"/>
      <c r="L570" s="455"/>
      <c r="M570" s="455"/>
      <c r="N570" s="456">
        <v>139834.96731661999</v>
      </c>
      <c r="O570" s="457"/>
      <c r="P570" s="430"/>
    </row>
    <row r="571" spans="1:16" ht="13.9" hidden="1" customHeight="1" outlineLevel="3" x14ac:dyDescent="0.2">
      <c r="A571" s="233">
        <v>0</v>
      </c>
      <c r="B571" s="233">
        <v>7</v>
      </c>
      <c r="C571" s="233">
        <v>1</v>
      </c>
      <c r="D571" s="234">
        <v>1</v>
      </c>
      <c r="E571" s="234">
        <v>1</v>
      </c>
      <c r="G571" s="458" t="s">
        <v>17</v>
      </c>
      <c r="H571" s="459" t="s">
        <v>1238</v>
      </c>
      <c r="I571" s="460" t="s">
        <v>4108</v>
      </c>
      <c r="J571" s="461" t="s">
        <v>2738</v>
      </c>
      <c r="K571" s="462" t="s">
        <v>1129</v>
      </c>
      <c r="L571" s="463">
        <v>1</v>
      </c>
      <c r="M571" s="463">
        <v>139834.96731661988</v>
      </c>
      <c r="N571" s="464">
        <v>139834.96731661999</v>
      </c>
      <c r="O571" s="465" t="s">
        <v>2736</v>
      </c>
      <c r="P571" s="431" t="s">
        <v>6711</v>
      </c>
    </row>
    <row r="572" spans="1:16" ht="13.9" hidden="1" customHeight="1" outlineLevel="2" x14ac:dyDescent="0.2">
      <c r="A572" s="233">
        <v>0</v>
      </c>
      <c r="B572" s="233">
        <v>7</v>
      </c>
      <c r="C572" s="233">
        <v>1</v>
      </c>
      <c r="D572" s="234">
        <v>2</v>
      </c>
      <c r="E572" s="234">
        <v>0</v>
      </c>
      <c r="G572" s="474"/>
      <c r="H572" s="451" t="s">
        <v>1237</v>
      </c>
      <c r="I572" s="452" t="s">
        <v>4109</v>
      </c>
      <c r="J572" s="453" t="s">
        <v>2328</v>
      </c>
      <c r="K572" s="454"/>
      <c r="L572" s="455"/>
      <c r="M572" s="455"/>
      <c r="N572" s="456">
        <v>40168.446174143297</v>
      </c>
      <c r="O572" s="457"/>
      <c r="P572" s="430"/>
    </row>
    <row r="573" spans="1:16" ht="13.9" hidden="1" customHeight="1" outlineLevel="3" x14ac:dyDescent="0.2">
      <c r="A573" s="233">
        <v>0</v>
      </c>
      <c r="B573" s="233">
        <v>7</v>
      </c>
      <c r="C573" s="233">
        <v>1</v>
      </c>
      <c r="D573" s="234">
        <v>2</v>
      </c>
      <c r="E573" s="234">
        <v>1</v>
      </c>
      <c r="G573" s="458" t="s">
        <v>17</v>
      </c>
      <c r="H573" s="459" t="s">
        <v>1238</v>
      </c>
      <c r="I573" s="460" t="s">
        <v>4110</v>
      </c>
      <c r="J573" s="461" t="s">
        <v>2328</v>
      </c>
      <c r="K573" s="462" t="s">
        <v>1129</v>
      </c>
      <c r="L573" s="463">
        <v>1</v>
      </c>
      <c r="M573" s="463">
        <v>40168.446174143312</v>
      </c>
      <c r="N573" s="464">
        <v>40168.446174143297</v>
      </c>
      <c r="O573" s="465" t="s">
        <v>2736</v>
      </c>
      <c r="P573" s="431" t="s">
        <v>6711</v>
      </c>
    </row>
    <row r="574" spans="1:16" ht="13.9" hidden="1" customHeight="1" outlineLevel="2" x14ac:dyDescent="0.2">
      <c r="A574" s="233">
        <v>0</v>
      </c>
      <c r="B574" s="233">
        <v>7</v>
      </c>
      <c r="C574" s="233">
        <v>1</v>
      </c>
      <c r="D574" s="234">
        <v>3</v>
      </c>
      <c r="E574" s="234">
        <v>0</v>
      </c>
      <c r="G574" s="474"/>
      <c r="H574" s="451" t="s">
        <v>1237</v>
      </c>
      <c r="I574" s="452" t="s">
        <v>4111</v>
      </c>
      <c r="J574" s="453" t="s">
        <v>2329</v>
      </c>
      <c r="K574" s="454"/>
      <c r="L574" s="455"/>
      <c r="M574" s="455"/>
      <c r="N574" s="456">
        <v>252</v>
      </c>
      <c r="O574" s="457"/>
      <c r="P574" s="430"/>
    </row>
    <row r="575" spans="1:16" ht="13.9" hidden="1" customHeight="1" outlineLevel="3" x14ac:dyDescent="0.2">
      <c r="A575" s="233">
        <v>0</v>
      </c>
      <c r="B575" s="233">
        <v>7</v>
      </c>
      <c r="C575" s="233">
        <v>1</v>
      </c>
      <c r="D575" s="234">
        <v>3</v>
      </c>
      <c r="E575" s="234">
        <v>1</v>
      </c>
      <c r="G575" s="458" t="s">
        <v>17</v>
      </c>
      <c r="H575" s="459" t="s">
        <v>1238</v>
      </c>
      <c r="I575" s="460" t="s">
        <v>4112</v>
      </c>
      <c r="J575" s="461" t="s">
        <v>2329</v>
      </c>
      <c r="K575" s="462" t="s">
        <v>1129</v>
      </c>
      <c r="L575" s="463">
        <v>1</v>
      </c>
      <c r="M575" s="463">
        <v>252</v>
      </c>
      <c r="N575" s="464">
        <v>252</v>
      </c>
      <c r="O575" s="465" t="s">
        <v>2739</v>
      </c>
      <c r="P575" s="431" t="s">
        <v>6711</v>
      </c>
    </row>
    <row r="576" spans="1:16" ht="13.9" hidden="1" customHeight="1" outlineLevel="2" x14ac:dyDescent="0.2">
      <c r="A576" s="233">
        <v>0</v>
      </c>
      <c r="B576" s="233">
        <v>7</v>
      </c>
      <c r="C576" s="233">
        <v>1</v>
      </c>
      <c r="D576" s="234">
        <v>4</v>
      </c>
      <c r="E576" s="234">
        <v>0</v>
      </c>
      <c r="G576" s="474"/>
      <c r="H576" s="451" t="s">
        <v>1237</v>
      </c>
      <c r="I576" s="452" t="s">
        <v>4113</v>
      </c>
      <c r="J576" s="453" t="s">
        <v>2240</v>
      </c>
      <c r="K576" s="454"/>
      <c r="L576" s="455"/>
      <c r="M576" s="455"/>
      <c r="N576" s="456">
        <v>73297.850000000006</v>
      </c>
      <c r="O576" s="457"/>
      <c r="P576" s="430"/>
    </row>
    <row r="577" spans="1:16" ht="13.9" hidden="1" customHeight="1" outlineLevel="3" x14ac:dyDescent="0.2">
      <c r="A577" s="233">
        <v>0</v>
      </c>
      <c r="B577" s="233">
        <v>7</v>
      </c>
      <c r="C577" s="233">
        <v>1</v>
      </c>
      <c r="D577" s="234">
        <v>4</v>
      </c>
      <c r="E577" s="234">
        <v>1</v>
      </c>
      <c r="G577" s="458" t="s">
        <v>17</v>
      </c>
      <c r="H577" s="459" t="s">
        <v>1238</v>
      </c>
      <c r="I577" s="460" t="s">
        <v>4114</v>
      </c>
      <c r="J577" s="461" t="s">
        <v>2240</v>
      </c>
      <c r="K577" s="462" t="s">
        <v>1129</v>
      </c>
      <c r="L577" s="463">
        <v>1</v>
      </c>
      <c r="M577" s="463">
        <v>73297.850000000006</v>
      </c>
      <c r="N577" s="464">
        <v>73297.850000000006</v>
      </c>
      <c r="O577" s="465" t="s">
        <v>2740</v>
      </c>
      <c r="P577" s="431" t="s">
        <v>6711</v>
      </c>
    </row>
    <row r="578" spans="1:16" ht="13.9" hidden="1" customHeight="1" outlineLevel="2" x14ac:dyDescent="0.2">
      <c r="A578" s="233">
        <v>0</v>
      </c>
      <c r="B578" s="233">
        <v>7</v>
      </c>
      <c r="C578" s="233">
        <v>1</v>
      </c>
      <c r="D578" s="234">
        <v>5</v>
      </c>
      <c r="E578" s="234">
        <v>0</v>
      </c>
      <c r="G578" s="474"/>
      <c r="H578" s="451" t="s">
        <v>1237</v>
      </c>
      <c r="I578" s="452" t="s">
        <v>4115</v>
      </c>
      <c r="J578" s="453" t="s">
        <v>1254</v>
      </c>
      <c r="K578" s="454"/>
      <c r="L578" s="455"/>
      <c r="M578" s="455"/>
      <c r="N578" s="456">
        <v>45505.64</v>
      </c>
      <c r="O578" s="457"/>
      <c r="P578" s="430"/>
    </row>
    <row r="579" spans="1:16" ht="13.9" hidden="1" customHeight="1" outlineLevel="3" x14ac:dyDescent="0.2">
      <c r="A579" s="233">
        <v>0</v>
      </c>
      <c r="B579" s="233">
        <v>7</v>
      </c>
      <c r="C579" s="233">
        <v>1</v>
      </c>
      <c r="D579" s="234">
        <v>5</v>
      </c>
      <c r="E579" s="234">
        <v>1</v>
      </c>
      <c r="G579" s="458" t="s">
        <v>17</v>
      </c>
      <c r="H579" s="459" t="s">
        <v>1238</v>
      </c>
      <c r="I579" s="460" t="s">
        <v>4116</v>
      </c>
      <c r="J579" s="461" t="s">
        <v>1255</v>
      </c>
      <c r="K579" s="462" t="s">
        <v>1129</v>
      </c>
      <c r="L579" s="463">
        <v>1</v>
      </c>
      <c r="M579" s="463">
        <v>45505.64</v>
      </c>
      <c r="N579" s="464">
        <v>45505.64</v>
      </c>
      <c r="O579" s="471" t="s">
        <v>3018</v>
      </c>
      <c r="P579" s="431" t="s">
        <v>6711</v>
      </c>
    </row>
    <row r="580" spans="1:16" ht="13.9" hidden="1" customHeight="1" outlineLevel="1" x14ac:dyDescent="0.2">
      <c r="A580" s="233">
        <v>0</v>
      </c>
      <c r="B580" s="233">
        <v>7</v>
      </c>
      <c r="C580" s="233">
        <v>2</v>
      </c>
      <c r="D580" s="234">
        <v>0</v>
      </c>
      <c r="E580" s="234">
        <v>1</v>
      </c>
      <c r="G580" s="443"/>
      <c r="H580" s="444" t="s">
        <v>38</v>
      </c>
      <c r="I580" s="445" t="s">
        <v>4117</v>
      </c>
      <c r="J580" s="446" t="s">
        <v>2741</v>
      </c>
      <c r="K580" s="447"/>
      <c r="L580" s="448"/>
      <c r="M580" s="448"/>
      <c r="N580" s="449">
        <v>56495.390199930902</v>
      </c>
      <c r="O580" s="432"/>
      <c r="P580" s="435"/>
    </row>
    <row r="581" spans="1:16" ht="13.9" hidden="1" customHeight="1" outlineLevel="2" x14ac:dyDescent="0.2">
      <c r="A581" s="233">
        <v>0</v>
      </c>
      <c r="B581" s="233">
        <v>7</v>
      </c>
      <c r="C581" s="233">
        <v>2</v>
      </c>
      <c r="D581" s="234">
        <v>1</v>
      </c>
      <c r="E581" s="234">
        <v>0</v>
      </c>
      <c r="G581" s="474"/>
      <c r="H581" s="451" t="s">
        <v>1237</v>
      </c>
      <c r="I581" s="452" t="s">
        <v>4118</v>
      </c>
      <c r="J581" s="453" t="s">
        <v>2239</v>
      </c>
      <c r="K581" s="454"/>
      <c r="L581" s="455"/>
      <c r="M581" s="455"/>
      <c r="N581" s="456">
        <v>1924.7411999999999</v>
      </c>
      <c r="O581" s="457"/>
      <c r="P581" s="430"/>
    </row>
    <row r="582" spans="1:16" ht="13.9" hidden="1" customHeight="1" outlineLevel="3" x14ac:dyDescent="0.2">
      <c r="A582" s="233">
        <v>0</v>
      </c>
      <c r="B582" s="233">
        <v>7</v>
      </c>
      <c r="C582" s="233">
        <v>2</v>
      </c>
      <c r="D582" s="234">
        <v>1</v>
      </c>
      <c r="E582" s="234">
        <v>1</v>
      </c>
      <c r="G582" s="458" t="s">
        <v>17</v>
      </c>
      <c r="H582" s="459" t="s">
        <v>1238</v>
      </c>
      <c r="I582" s="460" t="s">
        <v>4119</v>
      </c>
      <c r="J582" s="461" t="s">
        <v>2738</v>
      </c>
      <c r="K582" s="462" t="s">
        <v>1129</v>
      </c>
      <c r="L582" s="463">
        <v>1</v>
      </c>
      <c r="M582" s="463">
        <v>1924.7411999999999</v>
      </c>
      <c r="N582" s="464">
        <v>1924.7411999999999</v>
      </c>
      <c r="O582" s="465" t="s">
        <v>2736</v>
      </c>
      <c r="P582" s="431" t="s">
        <v>6711</v>
      </c>
    </row>
    <row r="583" spans="1:16" ht="13.9" hidden="1" customHeight="1" outlineLevel="2" x14ac:dyDescent="0.2">
      <c r="A583" s="233">
        <v>0</v>
      </c>
      <c r="B583" s="233">
        <v>7</v>
      </c>
      <c r="C583" s="233">
        <v>2</v>
      </c>
      <c r="D583" s="234">
        <v>2</v>
      </c>
      <c r="E583" s="234">
        <v>0</v>
      </c>
      <c r="G583" s="474"/>
      <c r="H583" s="451" t="s">
        <v>1237</v>
      </c>
      <c r="I583" s="452" t="s">
        <v>4120</v>
      </c>
      <c r="J583" s="453" t="s">
        <v>2328</v>
      </c>
      <c r="K583" s="454"/>
      <c r="L583" s="455"/>
      <c r="M583" s="455"/>
      <c r="N583" s="456">
        <v>7851.9489999308698</v>
      </c>
      <c r="O583" s="457"/>
      <c r="P583" s="430"/>
    </row>
    <row r="584" spans="1:16" ht="13.9" hidden="1" customHeight="1" outlineLevel="3" x14ac:dyDescent="0.2">
      <c r="A584" s="233">
        <v>0</v>
      </c>
      <c r="B584" s="233">
        <v>7</v>
      </c>
      <c r="C584" s="233">
        <v>2</v>
      </c>
      <c r="D584" s="234">
        <v>2</v>
      </c>
      <c r="E584" s="234">
        <v>1</v>
      </c>
      <c r="G584" s="458" t="s">
        <v>17</v>
      </c>
      <c r="H584" s="459" t="s">
        <v>1238</v>
      </c>
      <c r="I584" s="460" t="s">
        <v>4121</v>
      </c>
      <c r="J584" s="461" t="s">
        <v>2328</v>
      </c>
      <c r="K584" s="462" t="s">
        <v>1129</v>
      </c>
      <c r="L584" s="463">
        <v>1</v>
      </c>
      <c r="M584" s="463">
        <v>7851.9489999308698</v>
      </c>
      <c r="N584" s="464">
        <v>7851.9489999308698</v>
      </c>
      <c r="O584" s="465" t="s">
        <v>2736</v>
      </c>
      <c r="P584" s="431" t="s">
        <v>6711</v>
      </c>
    </row>
    <row r="585" spans="1:16" ht="13.9" hidden="1" customHeight="1" outlineLevel="2" x14ac:dyDescent="0.2">
      <c r="A585" s="233">
        <v>0</v>
      </c>
      <c r="B585" s="233">
        <v>7</v>
      </c>
      <c r="C585" s="233">
        <v>2</v>
      </c>
      <c r="D585" s="234">
        <v>3</v>
      </c>
      <c r="E585" s="234">
        <v>0</v>
      </c>
      <c r="G585" s="474"/>
      <c r="H585" s="451" t="s">
        <v>1237</v>
      </c>
      <c r="I585" s="452" t="s">
        <v>4122</v>
      </c>
      <c r="J585" s="453" t="s">
        <v>2329</v>
      </c>
      <c r="K585" s="454"/>
      <c r="L585" s="455"/>
      <c r="M585" s="455"/>
      <c r="N585" s="456">
        <v>252</v>
      </c>
      <c r="O585" s="457"/>
      <c r="P585" s="430"/>
    </row>
    <row r="586" spans="1:16" ht="13.9" hidden="1" customHeight="1" outlineLevel="3" x14ac:dyDescent="0.2">
      <c r="A586" s="233">
        <v>0</v>
      </c>
      <c r="B586" s="233">
        <v>7</v>
      </c>
      <c r="C586" s="233">
        <v>2</v>
      </c>
      <c r="D586" s="234">
        <v>3</v>
      </c>
      <c r="E586" s="234">
        <v>1</v>
      </c>
      <c r="G586" s="458" t="s">
        <v>17</v>
      </c>
      <c r="H586" s="459" t="s">
        <v>1238</v>
      </c>
      <c r="I586" s="460" t="s">
        <v>4123</v>
      </c>
      <c r="J586" s="461" t="s">
        <v>2329</v>
      </c>
      <c r="K586" s="462" t="s">
        <v>1129</v>
      </c>
      <c r="L586" s="463">
        <v>1</v>
      </c>
      <c r="M586" s="463">
        <v>252</v>
      </c>
      <c r="N586" s="464">
        <v>252</v>
      </c>
      <c r="O586" s="465" t="s">
        <v>2739</v>
      </c>
      <c r="P586" s="431" t="s">
        <v>6711</v>
      </c>
    </row>
    <row r="587" spans="1:16" ht="13.9" hidden="1" customHeight="1" outlineLevel="2" x14ac:dyDescent="0.2">
      <c r="A587" s="233">
        <v>0</v>
      </c>
      <c r="B587" s="233">
        <v>7</v>
      </c>
      <c r="C587" s="233">
        <v>2</v>
      </c>
      <c r="D587" s="234">
        <v>4</v>
      </c>
      <c r="E587" s="234">
        <v>0</v>
      </c>
      <c r="G587" s="474"/>
      <c r="H587" s="451" t="s">
        <v>1237</v>
      </c>
      <c r="I587" s="452" t="s">
        <v>4124</v>
      </c>
      <c r="J587" s="453" t="s">
        <v>1254</v>
      </c>
      <c r="K587" s="454"/>
      <c r="L587" s="455"/>
      <c r="M587" s="455"/>
      <c r="N587" s="456">
        <v>46466.7</v>
      </c>
      <c r="O587" s="457"/>
      <c r="P587" s="430"/>
    </row>
    <row r="588" spans="1:16" ht="13.9" hidden="1" customHeight="1" outlineLevel="3" x14ac:dyDescent="0.2">
      <c r="A588" s="233">
        <v>0</v>
      </c>
      <c r="B588" s="233">
        <v>7</v>
      </c>
      <c r="C588" s="233">
        <v>2</v>
      </c>
      <c r="D588" s="234">
        <v>4</v>
      </c>
      <c r="E588" s="234">
        <v>1</v>
      </c>
      <c r="G588" s="458" t="s">
        <v>17</v>
      </c>
      <c r="H588" s="459" t="s">
        <v>1238</v>
      </c>
      <c r="I588" s="460" t="s">
        <v>4125</v>
      </c>
      <c r="J588" s="461" t="s">
        <v>1255</v>
      </c>
      <c r="K588" s="462" t="s">
        <v>1129</v>
      </c>
      <c r="L588" s="463">
        <v>1</v>
      </c>
      <c r="M588" s="463">
        <v>46466.7</v>
      </c>
      <c r="N588" s="464">
        <v>46466.7</v>
      </c>
      <c r="O588" s="471" t="s">
        <v>3018</v>
      </c>
      <c r="P588" s="431" t="s">
        <v>6711</v>
      </c>
    </row>
    <row r="589" spans="1:16" ht="13.9" hidden="1" customHeight="1" outlineLevel="1" x14ac:dyDescent="0.2">
      <c r="A589" s="233">
        <v>0</v>
      </c>
      <c r="B589" s="233">
        <v>7</v>
      </c>
      <c r="C589" s="233">
        <v>3</v>
      </c>
      <c r="D589" s="234">
        <v>0</v>
      </c>
      <c r="E589" s="234">
        <v>1</v>
      </c>
      <c r="G589" s="443"/>
      <c r="H589" s="444" t="s">
        <v>38</v>
      </c>
      <c r="I589" s="445" t="s">
        <v>4126</v>
      </c>
      <c r="J589" s="446" t="s">
        <v>2742</v>
      </c>
      <c r="K589" s="447"/>
      <c r="L589" s="448"/>
      <c r="M589" s="448"/>
      <c r="N589" s="449">
        <v>58401.67</v>
      </c>
      <c r="O589" s="432"/>
      <c r="P589" s="435"/>
    </row>
    <row r="590" spans="1:16" ht="13.9" hidden="1" customHeight="1" outlineLevel="2" x14ac:dyDescent="0.2">
      <c r="A590" s="233">
        <v>0</v>
      </c>
      <c r="B590" s="233">
        <v>7</v>
      </c>
      <c r="C590" s="233">
        <v>3</v>
      </c>
      <c r="D590" s="234">
        <v>1</v>
      </c>
      <c r="E590" s="234">
        <v>0</v>
      </c>
      <c r="G590" s="474"/>
      <c r="H590" s="451" t="s">
        <v>1237</v>
      </c>
      <c r="I590" s="452" t="s">
        <v>4127</v>
      </c>
      <c r="J590" s="453" t="s">
        <v>2239</v>
      </c>
      <c r="K590" s="454"/>
      <c r="L590" s="455"/>
      <c r="M590" s="455"/>
      <c r="N590" s="456">
        <v>5667.7969999999996</v>
      </c>
      <c r="O590" s="457"/>
      <c r="P590" s="430"/>
    </row>
    <row r="591" spans="1:16" ht="13.9" hidden="1" customHeight="1" outlineLevel="3" x14ac:dyDescent="0.2">
      <c r="A591" s="233">
        <v>0</v>
      </c>
      <c r="B591" s="233">
        <v>7</v>
      </c>
      <c r="C591" s="233">
        <v>3</v>
      </c>
      <c r="D591" s="234">
        <v>1</v>
      </c>
      <c r="E591" s="234">
        <v>1</v>
      </c>
      <c r="G591" s="458" t="s">
        <v>17</v>
      </c>
      <c r="H591" s="459" t="s">
        <v>1238</v>
      </c>
      <c r="I591" s="460" t="s">
        <v>4128</v>
      </c>
      <c r="J591" s="461" t="s">
        <v>2738</v>
      </c>
      <c r="K591" s="462" t="s">
        <v>1129</v>
      </c>
      <c r="L591" s="463">
        <v>1</v>
      </c>
      <c r="M591" s="463">
        <v>5667.7970000000005</v>
      </c>
      <c r="N591" s="464">
        <v>5667.7969999999996</v>
      </c>
      <c r="O591" s="465" t="s">
        <v>2736</v>
      </c>
      <c r="P591" s="431" t="s">
        <v>6711</v>
      </c>
    </row>
    <row r="592" spans="1:16" ht="13.9" hidden="1" customHeight="1" outlineLevel="2" x14ac:dyDescent="0.2">
      <c r="A592" s="233">
        <v>0</v>
      </c>
      <c r="B592" s="233">
        <v>7</v>
      </c>
      <c r="C592" s="233">
        <v>3</v>
      </c>
      <c r="D592" s="234">
        <v>2</v>
      </c>
      <c r="E592" s="234">
        <v>0</v>
      </c>
      <c r="G592" s="474"/>
      <c r="H592" s="451" t="s">
        <v>1237</v>
      </c>
      <c r="I592" s="452" t="s">
        <v>4129</v>
      </c>
      <c r="J592" s="453" t="s">
        <v>2328</v>
      </c>
      <c r="K592" s="454"/>
      <c r="L592" s="455"/>
      <c r="M592" s="455"/>
      <c r="N592" s="456">
        <v>1528.873</v>
      </c>
      <c r="O592" s="457"/>
      <c r="P592" s="430"/>
    </row>
    <row r="593" spans="1:16" ht="13.9" hidden="1" customHeight="1" outlineLevel="3" x14ac:dyDescent="0.2">
      <c r="A593" s="233">
        <v>0</v>
      </c>
      <c r="B593" s="233">
        <v>7</v>
      </c>
      <c r="C593" s="233">
        <v>3</v>
      </c>
      <c r="D593" s="234">
        <v>2</v>
      </c>
      <c r="E593" s="234">
        <v>1</v>
      </c>
      <c r="G593" s="458" t="s">
        <v>17</v>
      </c>
      <c r="H593" s="459" t="s">
        <v>1238</v>
      </c>
      <c r="I593" s="460" t="s">
        <v>4130</v>
      </c>
      <c r="J593" s="461" t="s">
        <v>2328</v>
      </c>
      <c r="K593" s="462" t="s">
        <v>1129</v>
      </c>
      <c r="L593" s="463">
        <v>1</v>
      </c>
      <c r="M593" s="463">
        <v>1528.8729999999998</v>
      </c>
      <c r="N593" s="464">
        <v>1528.873</v>
      </c>
      <c r="O593" s="465" t="s">
        <v>2736</v>
      </c>
      <c r="P593" s="431" t="s">
        <v>6711</v>
      </c>
    </row>
    <row r="594" spans="1:16" ht="13.9" hidden="1" customHeight="1" outlineLevel="2" x14ac:dyDescent="0.2">
      <c r="A594" s="233">
        <v>0</v>
      </c>
      <c r="B594" s="233">
        <v>7</v>
      </c>
      <c r="C594" s="233">
        <v>3</v>
      </c>
      <c r="D594" s="234">
        <v>3</v>
      </c>
      <c r="E594" s="234">
        <v>0</v>
      </c>
      <c r="G594" s="474"/>
      <c r="H594" s="451" t="s">
        <v>1237</v>
      </c>
      <c r="I594" s="452" t="s">
        <v>4131</v>
      </c>
      <c r="J594" s="453" t="s">
        <v>2329</v>
      </c>
      <c r="K594" s="454"/>
      <c r="L594" s="455"/>
      <c r="M594" s="455"/>
      <c r="N594" s="456">
        <v>252</v>
      </c>
      <c r="O594" s="457"/>
      <c r="P594" s="430"/>
    </row>
    <row r="595" spans="1:16" ht="13.9" hidden="1" customHeight="1" outlineLevel="3" x14ac:dyDescent="0.2">
      <c r="A595" s="233">
        <v>0</v>
      </c>
      <c r="B595" s="233">
        <v>7</v>
      </c>
      <c r="C595" s="233">
        <v>3</v>
      </c>
      <c r="D595" s="234">
        <v>3</v>
      </c>
      <c r="E595" s="234">
        <v>1</v>
      </c>
      <c r="G595" s="458" t="s">
        <v>17</v>
      </c>
      <c r="H595" s="459" t="s">
        <v>1238</v>
      </c>
      <c r="I595" s="460" t="s">
        <v>4132</v>
      </c>
      <c r="J595" s="461" t="s">
        <v>2329</v>
      </c>
      <c r="K595" s="462" t="s">
        <v>1129</v>
      </c>
      <c r="L595" s="463">
        <v>1</v>
      </c>
      <c r="M595" s="463">
        <v>252</v>
      </c>
      <c r="N595" s="464">
        <v>252</v>
      </c>
      <c r="O595" s="465" t="s">
        <v>2739</v>
      </c>
      <c r="P595" s="431" t="s">
        <v>6711</v>
      </c>
    </row>
    <row r="596" spans="1:16" ht="13.9" hidden="1" customHeight="1" outlineLevel="2" x14ac:dyDescent="0.2">
      <c r="A596" s="233">
        <v>0</v>
      </c>
      <c r="B596" s="233">
        <v>7</v>
      </c>
      <c r="C596" s="233">
        <v>3</v>
      </c>
      <c r="D596" s="234">
        <v>4</v>
      </c>
      <c r="E596" s="234">
        <v>0</v>
      </c>
      <c r="G596" s="474"/>
      <c r="H596" s="451" t="s">
        <v>1237</v>
      </c>
      <c r="I596" s="452" t="s">
        <v>4133</v>
      </c>
      <c r="J596" s="453" t="s">
        <v>1254</v>
      </c>
      <c r="K596" s="454"/>
      <c r="L596" s="455"/>
      <c r="M596" s="455"/>
      <c r="N596" s="456">
        <v>50953</v>
      </c>
      <c r="O596" s="457"/>
      <c r="P596" s="430"/>
    </row>
    <row r="597" spans="1:16" ht="13.9" hidden="1" customHeight="1" outlineLevel="3" x14ac:dyDescent="0.2">
      <c r="A597" s="233">
        <v>0</v>
      </c>
      <c r="B597" s="233">
        <v>7</v>
      </c>
      <c r="C597" s="233">
        <v>3</v>
      </c>
      <c r="D597" s="234">
        <v>4</v>
      </c>
      <c r="E597" s="234">
        <v>1</v>
      </c>
      <c r="G597" s="458" t="s">
        <v>17</v>
      </c>
      <c r="H597" s="459" t="s">
        <v>1238</v>
      </c>
      <c r="I597" s="460" t="s">
        <v>4134</v>
      </c>
      <c r="J597" s="461" t="s">
        <v>1255</v>
      </c>
      <c r="K597" s="462" t="s">
        <v>1129</v>
      </c>
      <c r="L597" s="463">
        <v>1</v>
      </c>
      <c r="M597" s="463">
        <v>50953</v>
      </c>
      <c r="N597" s="464">
        <v>50953</v>
      </c>
      <c r="O597" s="471" t="s">
        <v>3018</v>
      </c>
      <c r="P597" s="431" t="s">
        <v>6711</v>
      </c>
    </row>
    <row r="598" spans="1:16" ht="13.9" hidden="1" customHeight="1" outlineLevel="1" x14ac:dyDescent="0.2">
      <c r="A598" s="233">
        <v>0</v>
      </c>
      <c r="B598" s="233">
        <v>7</v>
      </c>
      <c r="C598" s="233">
        <v>4</v>
      </c>
      <c r="D598" s="234">
        <v>0</v>
      </c>
      <c r="E598" s="234">
        <v>1</v>
      </c>
      <c r="G598" s="443"/>
      <c r="H598" s="444" t="s">
        <v>38</v>
      </c>
      <c r="I598" s="445" t="s">
        <v>4135</v>
      </c>
      <c r="J598" s="446" t="s">
        <v>2743</v>
      </c>
      <c r="K598" s="447"/>
      <c r="L598" s="448"/>
      <c r="M598" s="448"/>
      <c r="N598" s="449">
        <v>62749.544399999999</v>
      </c>
      <c r="O598" s="432"/>
      <c r="P598" s="435"/>
    </row>
    <row r="599" spans="1:16" ht="13.9" hidden="1" customHeight="1" outlineLevel="2" x14ac:dyDescent="0.2">
      <c r="A599" s="233">
        <v>0</v>
      </c>
      <c r="B599" s="233">
        <v>7</v>
      </c>
      <c r="C599" s="233">
        <v>4</v>
      </c>
      <c r="D599" s="234">
        <v>1</v>
      </c>
      <c r="E599" s="234">
        <v>0</v>
      </c>
      <c r="G599" s="474"/>
      <c r="H599" s="451" t="s">
        <v>1237</v>
      </c>
      <c r="I599" s="452" t="s">
        <v>4136</v>
      </c>
      <c r="J599" s="453" t="s">
        <v>2239</v>
      </c>
      <c r="K599" s="454"/>
      <c r="L599" s="455"/>
      <c r="M599" s="455"/>
      <c r="N599" s="456">
        <v>5933.3770000000004</v>
      </c>
      <c r="O599" s="457"/>
      <c r="P599" s="430"/>
    </row>
    <row r="600" spans="1:16" ht="13.9" hidden="1" customHeight="1" outlineLevel="3" x14ac:dyDescent="0.2">
      <c r="A600" s="233">
        <v>0</v>
      </c>
      <c r="B600" s="233">
        <v>7</v>
      </c>
      <c r="C600" s="233">
        <v>4</v>
      </c>
      <c r="D600" s="234">
        <v>1</v>
      </c>
      <c r="E600" s="234">
        <v>1</v>
      </c>
      <c r="G600" s="458" t="s">
        <v>17</v>
      </c>
      <c r="H600" s="459" t="s">
        <v>1238</v>
      </c>
      <c r="I600" s="460" t="s">
        <v>4137</v>
      </c>
      <c r="J600" s="461" t="s">
        <v>2738</v>
      </c>
      <c r="K600" s="462" t="s">
        <v>1129</v>
      </c>
      <c r="L600" s="463">
        <v>1</v>
      </c>
      <c r="M600" s="463">
        <v>5933.3770000000004</v>
      </c>
      <c r="N600" s="464">
        <v>5933.3770000000004</v>
      </c>
      <c r="O600" s="465" t="s">
        <v>2736</v>
      </c>
      <c r="P600" s="431" t="s">
        <v>6711</v>
      </c>
    </row>
    <row r="601" spans="1:16" ht="13.9" hidden="1" customHeight="1" outlineLevel="2" x14ac:dyDescent="0.2">
      <c r="A601" s="233">
        <v>0</v>
      </c>
      <c r="B601" s="233">
        <v>7</v>
      </c>
      <c r="C601" s="233">
        <v>4</v>
      </c>
      <c r="D601" s="234">
        <v>2</v>
      </c>
      <c r="E601" s="234">
        <v>0</v>
      </c>
      <c r="G601" s="474"/>
      <c r="H601" s="451" t="s">
        <v>1237</v>
      </c>
      <c r="I601" s="452" t="s">
        <v>4138</v>
      </c>
      <c r="J601" s="453" t="s">
        <v>2328</v>
      </c>
      <c r="K601" s="454"/>
      <c r="L601" s="455"/>
      <c r="M601" s="455"/>
      <c r="N601" s="456">
        <v>5611.1674000000003</v>
      </c>
      <c r="O601" s="457"/>
      <c r="P601" s="430"/>
    </row>
    <row r="602" spans="1:16" ht="13.9" hidden="1" customHeight="1" outlineLevel="3" x14ac:dyDescent="0.2">
      <c r="A602" s="233">
        <v>0</v>
      </c>
      <c r="B602" s="233">
        <v>7</v>
      </c>
      <c r="C602" s="233">
        <v>4</v>
      </c>
      <c r="D602" s="234">
        <v>2</v>
      </c>
      <c r="E602" s="234">
        <v>1</v>
      </c>
      <c r="G602" s="458" t="s">
        <v>17</v>
      </c>
      <c r="H602" s="459" t="s">
        <v>1238</v>
      </c>
      <c r="I602" s="460" t="s">
        <v>4139</v>
      </c>
      <c r="J602" s="461" t="s">
        <v>2328</v>
      </c>
      <c r="K602" s="462" t="s">
        <v>1129</v>
      </c>
      <c r="L602" s="463">
        <v>1</v>
      </c>
      <c r="M602" s="463">
        <v>5611.1674000000003</v>
      </c>
      <c r="N602" s="464">
        <v>5611.1674000000003</v>
      </c>
      <c r="O602" s="465" t="s">
        <v>2736</v>
      </c>
      <c r="P602" s="431" t="s">
        <v>6711</v>
      </c>
    </row>
    <row r="603" spans="1:16" ht="13.9" hidden="1" customHeight="1" outlineLevel="2" x14ac:dyDescent="0.2">
      <c r="A603" s="233">
        <v>0</v>
      </c>
      <c r="B603" s="233">
        <v>7</v>
      </c>
      <c r="C603" s="233">
        <v>4</v>
      </c>
      <c r="D603" s="234">
        <v>3</v>
      </c>
      <c r="E603" s="234">
        <v>0</v>
      </c>
      <c r="G603" s="474"/>
      <c r="H603" s="451" t="s">
        <v>1237</v>
      </c>
      <c r="I603" s="452" t="s">
        <v>4140</v>
      </c>
      <c r="J603" s="453" t="s">
        <v>2329</v>
      </c>
      <c r="K603" s="454"/>
      <c r="L603" s="455"/>
      <c r="M603" s="455"/>
      <c r="N603" s="456">
        <v>252</v>
      </c>
      <c r="O603" s="457"/>
      <c r="P603" s="430"/>
    </row>
    <row r="604" spans="1:16" ht="13.9" hidden="1" customHeight="1" outlineLevel="3" x14ac:dyDescent="0.2">
      <c r="A604" s="233">
        <v>0</v>
      </c>
      <c r="B604" s="233">
        <v>7</v>
      </c>
      <c r="C604" s="233">
        <v>4</v>
      </c>
      <c r="D604" s="234">
        <v>3</v>
      </c>
      <c r="E604" s="234">
        <v>1</v>
      </c>
      <c r="G604" s="458" t="s">
        <v>17</v>
      </c>
      <c r="H604" s="459" t="s">
        <v>1238</v>
      </c>
      <c r="I604" s="460" t="s">
        <v>4141</v>
      </c>
      <c r="J604" s="461" t="s">
        <v>2329</v>
      </c>
      <c r="K604" s="462" t="s">
        <v>1129</v>
      </c>
      <c r="L604" s="463">
        <v>1</v>
      </c>
      <c r="M604" s="463">
        <v>252</v>
      </c>
      <c r="N604" s="464">
        <v>252</v>
      </c>
      <c r="O604" s="465" t="s">
        <v>2739</v>
      </c>
      <c r="P604" s="431" t="s">
        <v>6711</v>
      </c>
    </row>
    <row r="605" spans="1:16" ht="13.9" hidden="1" customHeight="1" outlineLevel="2" x14ac:dyDescent="0.2">
      <c r="A605" s="233">
        <v>0</v>
      </c>
      <c r="B605" s="233">
        <v>7</v>
      </c>
      <c r="C605" s="233">
        <v>4</v>
      </c>
      <c r="D605" s="234">
        <v>4</v>
      </c>
      <c r="E605" s="234">
        <v>0</v>
      </c>
      <c r="G605" s="474"/>
      <c r="H605" s="451" t="s">
        <v>1237</v>
      </c>
      <c r="I605" s="452" t="s">
        <v>4142</v>
      </c>
      <c r="J605" s="453" t="s">
        <v>1254</v>
      </c>
      <c r="K605" s="454"/>
      <c r="L605" s="455"/>
      <c r="M605" s="455"/>
      <c r="N605" s="456">
        <v>50953</v>
      </c>
      <c r="O605" s="457"/>
      <c r="P605" s="430"/>
    </row>
    <row r="606" spans="1:16" ht="13.9" hidden="1" customHeight="1" outlineLevel="3" x14ac:dyDescent="0.2">
      <c r="A606" s="233">
        <v>0</v>
      </c>
      <c r="B606" s="233">
        <v>7</v>
      </c>
      <c r="C606" s="233">
        <v>4</v>
      </c>
      <c r="D606" s="234">
        <v>4</v>
      </c>
      <c r="E606" s="234">
        <v>1</v>
      </c>
      <c r="G606" s="458" t="s">
        <v>17</v>
      </c>
      <c r="H606" s="459" t="s">
        <v>1238</v>
      </c>
      <c r="I606" s="460" t="s">
        <v>4143</v>
      </c>
      <c r="J606" s="461" t="s">
        <v>1255</v>
      </c>
      <c r="K606" s="462" t="s">
        <v>1129</v>
      </c>
      <c r="L606" s="463">
        <v>1</v>
      </c>
      <c r="M606" s="463">
        <v>50953</v>
      </c>
      <c r="N606" s="464">
        <v>50953</v>
      </c>
      <c r="O606" s="471" t="s">
        <v>3018</v>
      </c>
      <c r="P606" s="431" t="s">
        <v>6711</v>
      </c>
    </row>
    <row r="607" spans="1:16" ht="13.9" hidden="1" customHeight="1" outlineLevel="1" x14ac:dyDescent="0.2">
      <c r="A607" s="233">
        <v>0</v>
      </c>
      <c r="B607" s="233">
        <v>7</v>
      </c>
      <c r="C607" s="233">
        <v>5</v>
      </c>
      <c r="D607" s="234">
        <v>0</v>
      </c>
      <c r="E607" s="234">
        <v>1</v>
      </c>
      <c r="G607" s="443"/>
      <c r="H607" s="444" t="s">
        <v>38</v>
      </c>
      <c r="I607" s="445" t="s">
        <v>4144</v>
      </c>
      <c r="J607" s="446" t="s">
        <v>2744</v>
      </c>
      <c r="K607" s="447"/>
      <c r="L607" s="448"/>
      <c r="M607" s="448"/>
      <c r="N607" s="449">
        <v>54662.768300000003</v>
      </c>
      <c r="O607" s="432"/>
      <c r="P607" s="435"/>
    </row>
    <row r="608" spans="1:16" ht="13.9" hidden="1" customHeight="1" outlineLevel="2" x14ac:dyDescent="0.2">
      <c r="A608" s="233">
        <v>0</v>
      </c>
      <c r="B608" s="233">
        <v>7</v>
      </c>
      <c r="C608" s="233">
        <v>5</v>
      </c>
      <c r="D608" s="234">
        <v>1</v>
      </c>
      <c r="E608" s="234">
        <v>0</v>
      </c>
      <c r="G608" s="474"/>
      <c r="H608" s="451" t="s">
        <v>1237</v>
      </c>
      <c r="I608" s="452" t="s">
        <v>4145</v>
      </c>
      <c r="J608" s="453" t="s">
        <v>2239</v>
      </c>
      <c r="K608" s="454"/>
      <c r="L608" s="455"/>
      <c r="M608" s="455"/>
      <c r="N608" s="456">
        <v>943.60789999999997</v>
      </c>
      <c r="O608" s="457"/>
      <c r="P608" s="430"/>
    </row>
    <row r="609" spans="1:16" ht="13.9" hidden="1" customHeight="1" outlineLevel="3" x14ac:dyDescent="0.2">
      <c r="A609" s="233">
        <v>0</v>
      </c>
      <c r="B609" s="233">
        <v>7</v>
      </c>
      <c r="C609" s="233">
        <v>5</v>
      </c>
      <c r="D609" s="234">
        <v>1</v>
      </c>
      <c r="E609" s="234">
        <v>1</v>
      </c>
      <c r="G609" s="458" t="s">
        <v>17</v>
      </c>
      <c r="H609" s="459" t="s">
        <v>1238</v>
      </c>
      <c r="I609" s="460" t="s">
        <v>4146</v>
      </c>
      <c r="J609" s="461" t="s">
        <v>2738</v>
      </c>
      <c r="K609" s="462" t="s">
        <v>1129</v>
      </c>
      <c r="L609" s="463">
        <v>1</v>
      </c>
      <c r="M609" s="463">
        <v>943.60789999999997</v>
      </c>
      <c r="N609" s="464">
        <v>943.60789999999997</v>
      </c>
      <c r="O609" s="465" t="s">
        <v>2736</v>
      </c>
      <c r="P609" s="431" t="s">
        <v>6711</v>
      </c>
    </row>
    <row r="610" spans="1:16" ht="13.9" hidden="1" customHeight="1" outlineLevel="2" x14ac:dyDescent="0.2">
      <c r="A610" s="233">
        <v>0</v>
      </c>
      <c r="B610" s="233">
        <v>7</v>
      </c>
      <c r="C610" s="233">
        <v>5</v>
      </c>
      <c r="D610" s="234">
        <v>2</v>
      </c>
      <c r="E610" s="234">
        <v>0</v>
      </c>
      <c r="G610" s="474"/>
      <c r="H610" s="451" t="s">
        <v>1237</v>
      </c>
      <c r="I610" s="452" t="s">
        <v>4147</v>
      </c>
      <c r="J610" s="453" t="s">
        <v>2328</v>
      </c>
      <c r="K610" s="454"/>
      <c r="L610" s="455"/>
      <c r="M610" s="455"/>
      <c r="N610" s="456">
        <v>2514.1604000000002</v>
      </c>
      <c r="O610" s="457"/>
      <c r="P610" s="430"/>
    </row>
    <row r="611" spans="1:16" ht="13.9" hidden="1" customHeight="1" outlineLevel="3" x14ac:dyDescent="0.2">
      <c r="A611" s="233">
        <v>0</v>
      </c>
      <c r="B611" s="233">
        <v>7</v>
      </c>
      <c r="C611" s="233">
        <v>5</v>
      </c>
      <c r="D611" s="234">
        <v>2</v>
      </c>
      <c r="E611" s="234">
        <v>1</v>
      </c>
      <c r="G611" s="458" t="s">
        <v>17</v>
      </c>
      <c r="H611" s="459" t="s">
        <v>1238</v>
      </c>
      <c r="I611" s="460" t="s">
        <v>4148</v>
      </c>
      <c r="J611" s="461" t="s">
        <v>2328</v>
      </c>
      <c r="K611" s="462" t="s">
        <v>1129</v>
      </c>
      <c r="L611" s="463">
        <v>1</v>
      </c>
      <c r="M611" s="463">
        <v>2514.1604000000002</v>
      </c>
      <c r="N611" s="464">
        <v>2514.1604000000002</v>
      </c>
      <c r="O611" s="465" t="s">
        <v>2736</v>
      </c>
      <c r="P611" s="431" t="s">
        <v>6711</v>
      </c>
    </row>
    <row r="612" spans="1:16" ht="13.9" hidden="1" customHeight="1" outlineLevel="2" x14ac:dyDescent="0.2">
      <c r="A612" s="233">
        <v>0</v>
      </c>
      <c r="B612" s="233">
        <v>7</v>
      </c>
      <c r="C612" s="233">
        <v>5</v>
      </c>
      <c r="D612" s="234">
        <v>3</v>
      </c>
      <c r="E612" s="234">
        <v>0</v>
      </c>
      <c r="G612" s="474"/>
      <c r="H612" s="451" t="s">
        <v>1237</v>
      </c>
      <c r="I612" s="452" t="s">
        <v>4149</v>
      </c>
      <c r="J612" s="453" t="s">
        <v>2329</v>
      </c>
      <c r="K612" s="454"/>
      <c r="L612" s="455"/>
      <c r="M612" s="455"/>
      <c r="N612" s="456">
        <v>252</v>
      </c>
      <c r="O612" s="457"/>
      <c r="P612" s="430"/>
    </row>
    <row r="613" spans="1:16" ht="13.9" hidden="1" customHeight="1" outlineLevel="3" x14ac:dyDescent="0.2">
      <c r="A613" s="233">
        <v>0</v>
      </c>
      <c r="B613" s="233">
        <v>7</v>
      </c>
      <c r="C613" s="233">
        <v>5</v>
      </c>
      <c r="D613" s="234">
        <v>3</v>
      </c>
      <c r="E613" s="234">
        <v>1</v>
      </c>
      <c r="G613" s="458" t="s">
        <v>17</v>
      </c>
      <c r="H613" s="459" t="s">
        <v>1238</v>
      </c>
      <c r="I613" s="460" t="s">
        <v>4150</v>
      </c>
      <c r="J613" s="461" t="s">
        <v>2329</v>
      </c>
      <c r="K613" s="462" t="s">
        <v>1129</v>
      </c>
      <c r="L613" s="463">
        <v>1</v>
      </c>
      <c r="M613" s="463">
        <v>252</v>
      </c>
      <c r="N613" s="464">
        <v>252</v>
      </c>
      <c r="O613" s="465" t="s">
        <v>2739</v>
      </c>
      <c r="P613" s="431" t="s">
        <v>6711</v>
      </c>
    </row>
    <row r="614" spans="1:16" ht="13.9" hidden="1" customHeight="1" outlineLevel="2" x14ac:dyDescent="0.2">
      <c r="A614" s="233">
        <v>0</v>
      </c>
      <c r="B614" s="233">
        <v>7</v>
      </c>
      <c r="C614" s="233">
        <v>5</v>
      </c>
      <c r="D614" s="234">
        <v>4</v>
      </c>
      <c r="E614" s="234">
        <v>0</v>
      </c>
      <c r="G614" s="474"/>
      <c r="H614" s="451" t="s">
        <v>1237</v>
      </c>
      <c r="I614" s="452" t="s">
        <v>4151</v>
      </c>
      <c r="J614" s="453" t="s">
        <v>1254</v>
      </c>
      <c r="K614" s="454"/>
      <c r="L614" s="455"/>
      <c r="M614" s="455"/>
      <c r="N614" s="456">
        <v>50953</v>
      </c>
      <c r="O614" s="457"/>
      <c r="P614" s="430"/>
    </row>
    <row r="615" spans="1:16" ht="13.9" hidden="1" customHeight="1" outlineLevel="3" x14ac:dyDescent="0.2">
      <c r="A615" s="233">
        <v>0</v>
      </c>
      <c r="B615" s="233">
        <v>7</v>
      </c>
      <c r="C615" s="233">
        <v>5</v>
      </c>
      <c r="D615" s="234">
        <v>4</v>
      </c>
      <c r="E615" s="234">
        <v>1</v>
      </c>
      <c r="G615" s="458" t="s">
        <v>17</v>
      </c>
      <c r="H615" s="459" t="s">
        <v>1238</v>
      </c>
      <c r="I615" s="460" t="s">
        <v>4152</v>
      </c>
      <c r="J615" s="461" t="s">
        <v>1255</v>
      </c>
      <c r="K615" s="462" t="s">
        <v>1129</v>
      </c>
      <c r="L615" s="463">
        <v>1</v>
      </c>
      <c r="M615" s="463">
        <v>50953</v>
      </c>
      <c r="N615" s="464">
        <v>50953</v>
      </c>
      <c r="O615" s="471" t="s">
        <v>3018</v>
      </c>
      <c r="P615" s="431" t="s">
        <v>6711</v>
      </c>
    </row>
    <row r="616" spans="1:16" ht="13.9" hidden="1" customHeight="1" outlineLevel="1" x14ac:dyDescent="0.2">
      <c r="A616" s="233">
        <v>0</v>
      </c>
      <c r="B616" s="233">
        <v>7</v>
      </c>
      <c r="C616" s="233">
        <v>6</v>
      </c>
      <c r="D616" s="234">
        <v>0</v>
      </c>
      <c r="E616" s="234">
        <v>1</v>
      </c>
      <c r="G616" s="443"/>
      <c r="H616" s="444" t="s">
        <v>38</v>
      </c>
      <c r="I616" s="445" t="s">
        <v>4153</v>
      </c>
      <c r="J616" s="446" t="s">
        <v>2745</v>
      </c>
      <c r="K616" s="447"/>
      <c r="L616" s="448"/>
      <c r="M616" s="448"/>
      <c r="N616" s="449">
        <v>62630.867707647398</v>
      </c>
      <c r="O616" s="432"/>
      <c r="P616" s="435"/>
    </row>
    <row r="617" spans="1:16" ht="13.9" hidden="1" customHeight="1" outlineLevel="2" x14ac:dyDescent="0.2">
      <c r="A617" s="233">
        <v>0</v>
      </c>
      <c r="B617" s="233">
        <v>7</v>
      </c>
      <c r="C617" s="233">
        <v>6</v>
      </c>
      <c r="D617" s="234">
        <v>1</v>
      </c>
      <c r="E617" s="234">
        <v>0</v>
      </c>
      <c r="G617" s="474"/>
      <c r="H617" s="451" t="s">
        <v>1237</v>
      </c>
      <c r="I617" s="452" t="s">
        <v>4154</v>
      </c>
      <c r="J617" s="453" t="s">
        <v>2239</v>
      </c>
      <c r="K617" s="454"/>
      <c r="L617" s="455"/>
      <c r="M617" s="455"/>
      <c r="N617" s="456">
        <v>2324.1990000000001</v>
      </c>
      <c r="O617" s="457"/>
      <c r="P617" s="430"/>
    </row>
    <row r="618" spans="1:16" ht="13.9" hidden="1" customHeight="1" outlineLevel="3" x14ac:dyDescent="0.2">
      <c r="A618" s="233">
        <v>0</v>
      </c>
      <c r="B618" s="233">
        <v>7</v>
      </c>
      <c r="C618" s="233">
        <v>6</v>
      </c>
      <c r="D618" s="234">
        <v>1</v>
      </c>
      <c r="E618" s="234">
        <v>1</v>
      </c>
      <c r="G618" s="458" t="s">
        <v>17</v>
      </c>
      <c r="H618" s="459" t="s">
        <v>1238</v>
      </c>
      <c r="I618" s="460" t="s">
        <v>4155</v>
      </c>
      <c r="J618" s="461" t="s">
        <v>2738</v>
      </c>
      <c r="K618" s="462" t="s">
        <v>1129</v>
      </c>
      <c r="L618" s="463">
        <v>1</v>
      </c>
      <c r="M618" s="463">
        <v>2324.1989999999996</v>
      </c>
      <c r="N618" s="464">
        <v>2324.1990000000001</v>
      </c>
      <c r="O618" s="465" t="s">
        <v>2736</v>
      </c>
      <c r="P618" s="431" t="s">
        <v>6711</v>
      </c>
    </row>
    <row r="619" spans="1:16" ht="13.9" hidden="1" customHeight="1" outlineLevel="2" x14ac:dyDescent="0.2">
      <c r="A619" s="233">
        <v>0</v>
      </c>
      <c r="B619" s="233">
        <v>7</v>
      </c>
      <c r="C619" s="233">
        <v>6</v>
      </c>
      <c r="D619" s="234">
        <v>2</v>
      </c>
      <c r="E619" s="234">
        <v>0</v>
      </c>
      <c r="G619" s="474"/>
      <c r="H619" s="451" t="s">
        <v>1237</v>
      </c>
      <c r="I619" s="452" t="s">
        <v>4156</v>
      </c>
      <c r="J619" s="453" t="s">
        <v>2328</v>
      </c>
      <c r="K619" s="454"/>
      <c r="L619" s="455"/>
      <c r="M619" s="455"/>
      <c r="N619" s="456">
        <v>8292.5687076473696</v>
      </c>
      <c r="O619" s="457"/>
      <c r="P619" s="430"/>
    </row>
    <row r="620" spans="1:16" ht="13.9" hidden="1" customHeight="1" outlineLevel="3" x14ac:dyDescent="0.2">
      <c r="A620" s="233">
        <v>0</v>
      </c>
      <c r="B620" s="233">
        <v>7</v>
      </c>
      <c r="C620" s="233">
        <v>6</v>
      </c>
      <c r="D620" s="234">
        <v>2</v>
      </c>
      <c r="E620" s="234">
        <v>1</v>
      </c>
      <c r="G620" s="458" t="s">
        <v>17</v>
      </c>
      <c r="H620" s="459" t="s">
        <v>1238</v>
      </c>
      <c r="I620" s="460" t="s">
        <v>4157</v>
      </c>
      <c r="J620" s="461" t="s">
        <v>2328</v>
      </c>
      <c r="K620" s="462" t="s">
        <v>1129</v>
      </c>
      <c r="L620" s="463">
        <v>1</v>
      </c>
      <c r="M620" s="463">
        <v>8292.5687076473714</v>
      </c>
      <c r="N620" s="464">
        <v>8292.5687076473696</v>
      </c>
      <c r="O620" s="465" t="s">
        <v>2736</v>
      </c>
      <c r="P620" s="431" t="s">
        <v>6711</v>
      </c>
    </row>
    <row r="621" spans="1:16" ht="13.9" hidden="1" customHeight="1" outlineLevel="2" x14ac:dyDescent="0.2">
      <c r="A621" s="233">
        <v>0</v>
      </c>
      <c r="B621" s="233">
        <v>7</v>
      </c>
      <c r="C621" s="233">
        <v>6</v>
      </c>
      <c r="D621" s="234">
        <v>3</v>
      </c>
      <c r="E621" s="234">
        <v>0</v>
      </c>
      <c r="G621" s="474"/>
      <c r="H621" s="451" t="s">
        <v>1237</v>
      </c>
      <c r="I621" s="452" t="s">
        <v>4158</v>
      </c>
      <c r="J621" s="453" t="s">
        <v>2329</v>
      </c>
      <c r="K621" s="454"/>
      <c r="L621" s="455"/>
      <c r="M621" s="455"/>
      <c r="N621" s="456">
        <v>252</v>
      </c>
      <c r="O621" s="457"/>
      <c r="P621" s="430"/>
    </row>
    <row r="622" spans="1:16" ht="13.9" hidden="1" customHeight="1" outlineLevel="3" x14ac:dyDescent="0.2">
      <c r="A622" s="233">
        <v>0</v>
      </c>
      <c r="B622" s="233">
        <v>7</v>
      </c>
      <c r="C622" s="233">
        <v>6</v>
      </c>
      <c r="D622" s="234">
        <v>3</v>
      </c>
      <c r="E622" s="234">
        <v>1</v>
      </c>
      <c r="G622" s="458" t="s">
        <v>17</v>
      </c>
      <c r="H622" s="459" t="s">
        <v>1238</v>
      </c>
      <c r="I622" s="460" t="s">
        <v>4159</v>
      </c>
      <c r="J622" s="461" t="s">
        <v>2329</v>
      </c>
      <c r="K622" s="462" t="s">
        <v>1129</v>
      </c>
      <c r="L622" s="463">
        <v>1</v>
      </c>
      <c r="M622" s="463">
        <v>252</v>
      </c>
      <c r="N622" s="464">
        <v>252</v>
      </c>
      <c r="O622" s="465" t="s">
        <v>2739</v>
      </c>
      <c r="P622" s="431" t="s">
        <v>6711</v>
      </c>
    </row>
    <row r="623" spans="1:16" ht="13.9" hidden="1" customHeight="1" outlineLevel="2" x14ac:dyDescent="0.2">
      <c r="A623" s="233">
        <v>0</v>
      </c>
      <c r="B623" s="233">
        <v>7</v>
      </c>
      <c r="C623" s="233">
        <v>6</v>
      </c>
      <c r="D623" s="234">
        <v>4</v>
      </c>
      <c r="E623" s="234">
        <v>0</v>
      </c>
      <c r="G623" s="474"/>
      <c r="H623" s="451" t="s">
        <v>1237</v>
      </c>
      <c r="I623" s="452" t="s">
        <v>4160</v>
      </c>
      <c r="J623" s="453" t="s">
        <v>1254</v>
      </c>
      <c r="K623" s="454"/>
      <c r="L623" s="455"/>
      <c r="M623" s="455"/>
      <c r="N623" s="456">
        <v>51762.1</v>
      </c>
      <c r="O623" s="457"/>
      <c r="P623" s="430"/>
    </row>
    <row r="624" spans="1:16" ht="13.9" hidden="1" customHeight="1" outlineLevel="3" x14ac:dyDescent="0.2">
      <c r="A624" s="233">
        <v>0</v>
      </c>
      <c r="B624" s="233">
        <v>7</v>
      </c>
      <c r="C624" s="233">
        <v>6</v>
      </c>
      <c r="D624" s="234">
        <v>4</v>
      </c>
      <c r="E624" s="234">
        <v>1</v>
      </c>
      <c r="G624" s="458" t="s">
        <v>17</v>
      </c>
      <c r="H624" s="459" t="s">
        <v>1238</v>
      </c>
      <c r="I624" s="460" t="s">
        <v>4161</v>
      </c>
      <c r="J624" s="461" t="s">
        <v>1255</v>
      </c>
      <c r="K624" s="462" t="s">
        <v>1129</v>
      </c>
      <c r="L624" s="463">
        <v>1</v>
      </c>
      <c r="M624" s="463">
        <v>51762.100000000006</v>
      </c>
      <c r="N624" s="464">
        <v>51762.1</v>
      </c>
      <c r="O624" s="471" t="s">
        <v>3018</v>
      </c>
      <c r="P624" s="431" t="s">
        <v>6711</v>
      </c>
    </row>
    <row r="625" spans="1:16" ht="13.9" hidden="1" customHeight="1" outlineLevel="1" x14ac:dyDescent="0.2">
      <c r="A625" s="233">
        <v>0</v>
      </c>
      <c r="B625" s="233">
        <v>7</v>
      </c>
      <c r="C625" s="233">
        <v>7</v>
      </c>
      <c r="D625" s="234">
        <v>0</v>
      </c>
      <c r="E625" s="234">
        <v>1</v>
      </c>
      <c r="G625" s="443"/>
      <c r="H625" s="444" t="s">
        <v>38</v>
      </c>
      <c r="I625" s="445" t="s">
        <v>4162</v>
      </c>
      <c r="J625" s="446" t="s">
        <v>2746</v>
      </c>
      <c r="K625" s="447"/>
      <c r="L625" s="448"/>
      <c r="M625" s="448"/>
      <c r="N625" s="449">
        <v>68292.702774485297</v>
      </c>
      <c r="O625" s="432"/>
      <c r="P625" s="435"/>
    </row>
    <row r="626" spans="1:16" ht="13.9" hidden="1" customHeight="1" outlineLevel="2" x14ac:dyDescent="0.2">
      <c r="A626" s="233">
        <v>0</v>
      </c>
      <c r="B626" s="233">
        <v>7</v>
      </c>
      <c r="C626" s="233">
        <v>7</v>
      </c>
      <c r="D626" s="234">
        <v>1</v>
      </c>
      <c r="E626" s="234">
        <v>0</v>
      </c>
      <c r="G626" s="474"/>
      <c r="H626" s="451" t="s">
        <v>1237</v>
      </c>
      <c r="I626" s="452" t="s">
        <v>4163</v>
      </c>
      <c r="J626" s="453" t="s">
        <v>2239</v>
      </c>
      <c r="K626" s="454"/>
      <c r="L626" s="455"/>
      <c r="M626" s="455"/>
      <c r="N626" s="456">
        <v>1836.40446821347</v>
      </c>
      <c r="O626" s="457"/>
      <c r="P626" s="430"/>
    </row>
    <row r="627" spans="1:16" ht="13.9" hidden="1" customHeight="1" outlineLevel="3" x14ac:dyDescent="0.2">
      <c r="A627" s="233">
        <v>0</v>
      </c>
      <c r="B627" s="233">
        <v>7</v>
      </c>
      <c r="C627" s="233">
        <v>7</v>
      </c>
      <c r="D627" s="234">
        <v>1</v>
      </c>
      <c r="E627" s="234">
        <v>1</v>
      </c>
      <c r="G627" s="458" t="s">
        <v>17</v>
      </c>
      <c r="H627" s="459" t="s">
        <v>1238</v>
      </c>
      <c r="I627" s="460" t="s">
        <v>4164</v>
      </c>
      <c r="J627" s="461" t="s">
        <v>2738</v>
      </c>
      <c r="K627" s="462" t="s">
        <v>1129</v>
      </c>
      <c r="L627" s="463">
        <v>1</v>
      </c>
      <c r="M627" s="463">
        <v>1836.404468213474</v>
      </c>
      <c r="N627" s="464">
        <v>1836.40446821347</v>
      </c>
      <c r="O627" s="465" t="s">
        <v>2736</v>
      </c>
      <c r="P627" s="431" t="s">
        <v>6711</v>
      </c>
    </row>
    <row r="628" spans="1:16" ht="13.9" hidden="1" customHeight="1" outlineLevel="2" x14ac:dyDescent="0.2">
      <c r="A628" s="233">
        <v>0</v>
      </c>
      <c r="B628" s="233">
        <v>7</v>
      </c>
      <c r="C628" s="233">
        <v>7</v>
      </c>
      <c r="D628" s="234">
        <v>2</v>
      </c>
      <c r="E628" s="234">
        <v>0</v>
      </c>
      <c r="G628" s="474"/>
      <c r="H628" s="451" t="s">
        <v>1237</v>
      </c>
      <c r="I628" s="452" t="s">
        <v>4165</v>
      </c>
      <c r="J628" s="453" t="s">
        <v>2328</v>
      </c>
      <c r="K628" s="454"/>
      <c r="L628" s="455"/>
      <c r="M628" s="455"/>
      <c r="N628" s="456">
        <v>14442.198306271801</v>
      </c>
      <c r="O628" s="457"/>
      <c r="P628" s="430"/>
    </row>
    <row r="629" spans="1:16" ht="13.9" hidden="1" customHeight="1" outlineLevel="3" x14ac:dyDescent="0.2">
      <c r="A629" s="233">
        <v>0</v>
      </c>
      <c r="B629" s="233">
        <v>7</v>
      </c>
      <c r="C629" s="233">
        <v>7</v>
      </c>
      <c r="D629" s="234">
        <v>2</v>
      </c>
      <c r="E629" s="234">
        <v>1</v>
      </c>
      <c r="G629" s="458" t="s">
        <v>17</v>
      </c>
      <c r="H629" s="459" t="s">
        <v>1238</v>
      </c>
      <c r="I629" s="460" t="s">
        <v>4166</v>
      </c>
      <c r="J629" s="461" t="s">
        <v>2328</v>
      </c>
      <c r="K629" s="462" t="s">
        <v>1129</v>
      </c>
      <c r="L629" s="463">
        <v>1</v>
      </c>
      <c r="M629" s="463">
        <v>14442.198306271848</v>
      </c>
      <c r="N629" s="464">
        <v>14442.198306271801</v>
      </c>
      <c r="O629" s="465" t="s">
        <v>2736</v>
      </c>
      <c r="P629" s="431" t="s">
        <v>6711</v>
      </c>
    </row>
    <row r="630" spans="1:16" ht="13.9" hidden="1" customHeight="1" outlineLevel="2" x14ac:dyDescent="0.2">
      <c r="A630" s="233">
        <v>0</v>
      </c>
      <c r="B630" s="233">
        <v>7</v>
      </c>
      <c r="C630" s="233">
        <v>7</v>
      </c>
      <c r="D630" s="234">
        <v>3</v>
      </c>
      <c r="E630" s="234">
        <v>0</v>
      </c>
      <c r="G630" s="474"/>
      <c r="H630" s="451" t="s">
        <v>1237</v>
      </c>
      <c r="I630" s="452" t="s">
        <v>4167</v>
      </c>
      <c r="J630" s="453" t="s">
        <v>2329</v>
      </c>
      <c r="K630" s="454"/>
      <c r="L630" s="455"/>
      <c r="M630" s="455"/>
      <c r="N630" s="456">
        <v>252</v>
      </c>
      <c r="O630" s="457"/>
      <c r="P630" s="430"/>
    </row>
    <row r="631" spans="1:16" ht="13.9" hidden="1" customHeight="1" outlineLevel="3" x14ac:dyDescent="0.2">
      <c r="A631" s="233">
        <v>0</v>
      </c>
      <c r="B631" s="233">
        <v>7</v>
      </c>
      <c r="C631" s="233">
        <v>7</v>
      </c>
      <c r="D631" s="234">
        <v>3</v>
      </c>
      <c r="E631" s="234">
        <v>1</v>
      </c>
      <c r="G631" s="458" t="s">
        <v>17</v>
      </c>
      <c r="H631" s="459" t="s">
        <v>1238</v>
      </c>
      <c r="I631" s="460" t="s">
        <v>4168</v>
      </c>
      <c r="J631" s="461" t="s">
        <v>2329</v>
      </c>
      <c r="K631" s="462" t="s">
        <v>1129</v>
      </c>
      <c r="L631" s="463">
        <v>1</v>
      </c>
      <c r="M631" s="463">
        <v>252</v>
      </c>
      <c r="N631" s="464">
        <v>252</v>
      </c>
      <c r="O631" s="465" t="s">
        <v>2739</v>
      </c>
      <c r="P631" s="431" t="s">
        <v>6711</v>
      </c>
    </row>
    <row r="632" spans="1:16" ht="13.9" hidden="1" customHeight="1" outlineLevel="2" x14ac:dyDescent="0.2">
      <c r="A632" s="233">
        <v>0</v>
      </c>
      <c r="B632" s="233">
        <v>7</v>
      </c>
      <c r="C632" s="233">
        <v>7</v>
      </c>
      <c r="D632" s="234">
        <v>4</v>
      </c>
      <c r="E632" s="234">
        <v>0</v>
      </c>
      <c r="G632" s="474"/>
      <c r="H632" s="451" t="s">
        <v>1237</v>
      </c>
      <c r="I632" s="452" t="s">
        <v>4169</v>
      </c>
      <c r="J632" s="453" t="s">
        <v>1254</v>
      </c>
      <c r="K632" s="454"/>
      <c r="L632" s="455"/>
      <c r="M632" s="455"/>
      <c r="N632" s="456">
        <v>51762.1</v>
      </c>
      <c r="O632" s="457"/>
      <c r="P632" s="430"/>
    </row>
    <row r="633" spans="1:16" ht="13.9" hidden="1" customHeight="1" outlineLevel="3" x14ac:dyDescent="0.2">
      <c r="A633" s="233">
        <v>0</v>
      </c>
      <c r="B633" s="233">
        <v>7</v>
      </c>
      <c r="C633" s="233">
        <v>7</v>
      </c>
      <c r="D633" s="234">
        <v>4</v>
      </c>
      <c r="E633" s="234">
        <v>1</v>
      </c>
      <c r="G633" s="458" t="s">
        <v>17</v>
      </c>
      <c r="H633" s="459" t="s">
        <v>1238</v>
      </c>
      <c r="I633" s="460" t="s">
        <v>4170</v>
      </c>
      <c r="J633" s="461" t="s">
        <v>1255</v>
      </c>
      <c r="K633" s="462" t="s">
        <v>1129</v>
      </c>
      <c r="L633" s="463">
        <v>1</v>
      </c>
      <c r="M633" s="463">
        <v>51762.100000000006</v>
      </c>
      <c r="N633" s="464">
        <v>51762.1</v>
      </c>
      <c r="O633" s="471" t="s">
        <v>3018</v>
      </c>
      <c r="P633" s="431" t="s">
        <v>6711</v>
      </c>
    </row>
    <row r="634" spans="1:16" ht="13.9" hidden="1" customHeight="1" outlineLevel="1" x14ac:dyDescent="0.2">
      <c r="A634" s="233">
        <v>0</v>
      </c>
      <c r="B634" s="233">
        <v>7</v>
      </c>
      <c r="C634" s="233">
        <v>8</v>
      </c>
      <c r="D634" s="234">
        <v>0</v>
      </c>
      <c r="E634" s="234">
        <v>1</v>
      </c>
      <c r="G634" s="443"/>
      <c r="H634" s="444" t="s">
        <v>38</v>
      </c>
      <c r="I634" s="445" t="s">
        <v>4171</v>
      </c>
      <c r="J634" s="446" t="s">
        <v>2747</v>
      </c>
      <c r="K634" s="447"/>
      <c r="L634" s="448"/>
      <c r="M634" s="448"/>
      <c r="N634" s="449">
        <v>105736.117348628</v>
      </c>
      <c r="O634" s="432"/>
      <c r="P634" s="435"/>
    </row>
    <row r="635" spans="1:16" ht="13.9" hidden="1" customHeight="1" outlineLevel="2" x14ac:dyDescent="0.2">
      <c r="A635" s="233">
        <v>0</v>
      </c>
      <c r="B635" s="233">
        <v>7</v>
      </c>
      <c r="C635" s="233">
        <v>8</v>
      </c>
      <c r="D635" s="234">
        <v>1</v>
      </c>
      <c r="E635" s="234">
        <v>0</v>
      </c>
      <c r="G635" s="474"/>
      <c r="H635" s="451" t="s">
        <v>1237</v>
      </c>
      <c r="I635" s="452" t="s">
        <v>4172</v>
      </c>
      <c r="J635" s="453" t="s">
        <v>2239</v>
      </c>
      <c r="K635" s="454"/>
      <c r="L635" s="455"/>
      <c r="M635" s="455"/>
      <c r="N635" s="456">
        <v>1549.0139525003301</v>
      </c>
      <c r="O635" s="457"/>
      <c r="P635" s="430"/>
    </row>
    <row r="636" spans="1:16" ht="13.9" hidden="1" customHeight="1" outlineLevel="3" x14ac:dyDescent="0.2">
      <c r="A636" s="233">
        <v>0</v>
      </c>
      <c r="B636" s="233">
        <v>7</v>
      </c>
      <c r="C636" s="233">
        <v>8</v>
      </c>
      <c r="D636" s="234">
        <v>1</v>
      </c>
      <c r="E636" s="234">
        <v>1</v>
      </c>
      <c r="G636" s="458" t="s">
        <v>17</v>
      </c>
      <c r="H636" s="459" t="s">
        <v>1238</v>
      </c>
      <c r="I636" s="460" t="s">
        <v>4173</v>
      </c>
      <c r="J636" s="461" t="s">
        <v>2738</v>
      </c>
      <c r="K636" s="462" t="s">
        <v>1129</v>
      </c>
      <c r="L636" s="463">
        <v>1</v>
      </c>
      <c r="M636" s="463">
        <v>1549.0139525003278</v>
      </c>
      <c r="N636" s="464">
        <v>1549.0139525003301</v>
      </c>
      <c r="O636" s="465" t="s">
        <v>2736</v>
      </c>
      <c r="P636" s="431" t="s">
        <v>6711</v>
      </c>
    </row>
    <row r="637" spans="1:16" ht="13.9" hidden="1" customHeight="1" outlineLevel="2" x14ac:dyDescent="0.2">
      <c r="A637" s="233">
        <v>0</v>
      </c>
      <c r="B637" s="233">
        <v>7</v>
      </c>
      <c r="C637" s="233">
        <v>8</v>
      </c>
      <c r="D637" s="234">
        <v>2</v>
      </c>
      <c r="E637" s="234">
        <v>0</v>
      </c>
      <c r="G637" s="474"/>
      <c r="H637" s="451" t="s">
        <v>1237</v>
      </c>
      <c r="I637" s="452" t="s">
        <v>4174</v>
      </c>
      <c r="J637" s="453" t="s">
        <v>2328</v>
      </c>
      <c r="K637" s="454"/>
      <c r="L637" s="455"/>
      <c r="M637" s="455"/>
      <c r="N637" s="456">
        <v>74977.443396127797</v>
      </c>
      <c r="O637" s="457"/>
      <c r="P637" s="430"/>
    </row>
    <row r="638" spans="1:16" ht="13.9" hidden="1" customHeight="1" outlineLevel="3" x14ac:dyDescent="0.2">
      <c r="A638" s="233">
        <v>0</v>
      </c>
      <c r="B638" s="233">
        <v>7</v>
      </c>
      <c r="C638" s="233">
        <v>8</v>
      </c>
      <c r="D638" s="234">
        <v>2</v>
      </c>
      <c r="E638" s="234">
        <v>1</v>
      </c>
      <c r="G638" s="458" t="s">
        <v>17</v>
      </c>
      <c r="H638" s="459" t="s">
        <v>1238</v>
      </c>
      <c r="I638" s="460" t="s">
        <v>4175</v>
      </c>
      <c r="J638" s="461" t="s">
        <v>2328</v>
      </c>
      <c r="K638" s="462" t="s">
        <v>1129</v>
      </c>
      <c r="L638" s="463">
        <v>1</v>
      </c>
      <c r="M638" s="463">
        <v>74977.443396127797</v>
      </c>
      <c r="N638" s="464">
        <v>74977.443396127797</v>
      </c>
      <c r="O638" s="465" t="s">
        <v>2736</v>
      </c>
      <c r="P638" s="431" t="s">
        <v>6711</v>
      </c>
    </row>
    <row r="639" spans="1:16" ht="13.9" hidden="1" customHeight="1" outlineLevel="2" x14ac:dyDescent="0.2">
      <c r="A639" s="233">
        <v>0</v>
      </c>
      <c r="B639" s="233">
        <v>7</v>
      </c>
      <c r="C639" s="233">
        <v>8</v>
      </c>
      <c r="D639" s="234">
        <v>3</v>
      </c>
      <c r="E639" s="234">
        <v>0</v>
      </c>
      <c r="G639" s="474"/>
      <c r="H639" s="451" t="s">
        <v>1237</v>
      </c>
      <c r="I639" s="452" t="s">
        <v>4176</v>
      </c>
      <c r="J639" s="453" t="s">
        <v>2329</v>
      </c>
      <c r="K639" s="454"/>
      <c r="L639" s="455"/>
      <c r="M639" s="455"/>
      <c r="N639" s="456">
        <v>252</v>
      </c>
      <c r="O639" s="457"/>
      <c r="P639" s="430"/>
    </row>
    <row r="640" spans="1:16" ht="13.9" hidden="1" customHeight="1" outlineLevel="3" x14ac:dyDescent="0.2">
      <c r="A640" s="233">
        <v>0</v>
      </c>
      <c r="B640" s="233">
        <v>7</v>
      </c>
      <c r="C640" s="233">
        <v>8</v>
      </c>
      <c r="D640" s="234">
        <v>3</v>
      </c>
      <c r="E640" s="234">
        <v>1</v>
      </c>
      <c r="G640" s="458" t="s">
        <v>17</v>
      </c>
      <c r="H640" s="459" t="s">
        <v>1238</v>
      </c>
      <c r="I640" s="460" t="s">
        <v>4177</v>
      </c>
      <c r="J640" s="461" t="s">
        <v>2329</v>
      </c>
      <c r="K640" s="462" t="s">
        <v>1129</v>
      </c>
      <c r="L640" s="463">
        <v>1</v>
      </c>
      <c r="M640" s="463">
        <v>252</v>
      </c>
      <c r="N640" s="464">
        <v>252</v>
      </c>
      <c r="O640" s="465" t="s">
        <v>2739</v>
      </c>
      <c r="P640" s="431" t="s">
        <v>6711</v>
      </c>
    </row>
    <row r="641" spans="1:16" ht="13.9" hidden="1" customHeight="1" outlineLevel="2" x14ac:dyDescent="0.2">
      <c r="A641" s="233">
        <v>0</v>
      </c>
      <c r="B641" s="233">
        <v>7</v>
      </c>
      <c r="C641" s="233">
        <v>8</v>
      </c>
      <c r="D641" s="234">
        <v>4</v>
      </c>
      <c r="E641" s="234">
        <v>0</v>
      </c>
      <c r="G641" s="474"/>
      <c r="H641" s="451" t="s">
        <v>1237</v>
      </c>
      <c r="I641" s="452" t="s">
        <v>4178</v>
      </c>
      <c r="J641" s="453" t="s">
        <v>1254</v>
      </c>
      <c r="K641" s="454"/>
      <c r="L641" s="455"/>
      <c r="M641" s="455"/>
      <c r="N641" s="456">
        <v>28957.66</v>
      </c>
      <c r="O641" s="457"/>
      <c r="P641" s="430"/>
    </row>
    <row r="642" spans="1:16" ht="13.9" hidden="1" customHeight="1" outlineLevel="3" x14ac:dyDescent="0.2">
      <c r="A642" s="233">
        <v>0</v>
      </c>
      <c r="B642" s="233">
        <v>7</v>
      </c>
      <c r="C642" s="233">
        <v>8</v>
      </c>
      <c r="D642" s="234">
        <v>4</v>
      </c>
      <c r="E642" s="234">
        <v>1</v>
      </c>
      <c r="G642" s="458" t="s">
        <v>17</v>
      </c>
      <c r="H642" s="459" t="s">
        <v>1238</v>
      </c>
      <c r="I642" s="460" t="s">
        <v>4179</v>
      </c>
      <c r="J642" s="461" t="s">
        <v>1255</v>
      </c>
      <c r="K642" s="462" t="s">
        <v>1129</v>
      </c>
      <c r="L642" s="463">
        <v>1</v>
      </c>
      <c r="M642" s="463">
        <v>28957.66</v>
      </c>
      <c r="N642" s="464">
        <v>28957.66</v>
      </c>
      <c r="O642" s="471" t="s">
        <v>3018</v>
      </c>
      <c r="P642" s="431" t="s">
        <v>6711</v>
      </c>
    </row>
    <row r="643" spans="1:16" ht="13.9" hidden="1" customHeight="1" outlineLevel="1" x14ac:dyDescent="0.2">
      <c r="A643" s="233">
        <v>0</v>
      </c>
      <c r="B643" s="233">
        <v>7</v>
      </c>
      <c r="C643" s="233">
        <v>9</v>
      </c>
      <c r="D643" s="234">
        <v>0</v>
      </c>
      <c r="E643" s="234">
        <v>1</v>
      </c>
      <c r="G643" s="443"/>
      <c r="H643" s="444" t="s">
        <v>38</v>
      </c>
      <c r="I643" s="445" t="s">
        <v>4180</v>
      </c>
      <c r="J643" s="446" t="s">
        <v>2748</v>
      </c>
      <c r="K643" s="447"/>
      <c r="L643" s="448"/>
      <c r="M643" s="448"/>
      <c r="N643" s="449">
        <v>161488.91655904599</v>
      </c>
      <c r="O643" s="432"/>
      <c r="P643" s="435"/>
    </row>
    <row r="644" spans="1:16" ht="13.9" hidden="1" customHeight="1" outlineLevel="2" x14ac:dyDescent="0.2">
      <c r="A644" s="233">
        <v>0</v>
      </c>
      <c r="B644" s="233">
        <v>7</v>
      </c>
      <c r="C644" s="233">
        <v>9</v>
      </c>
      <c r="D644" s="234">
        <v>1</v>
      </c>
      <c r="E644" s="234">
        <v>0</v>
      </c>
      <c r="G644" s="474"/>
      <c r="H644" s="451" t="s">
        <v>1237</v>
      </c>
      <c r="I644" s="452" t="s">
        <v>4181</v>
      </c>
      <c r="J644" s="453" t="s">
        <v>2239</v>
      </c>
      <c r="K644" s="454"/>
      <c r="L644" s="455"/>
      <c r="M644" s="455"/>
      <c r="N644" s="456">
        <v>75503.946584484002</v>
      </c>
      <c r="O644" s="457"/>
      <c r="P644" s="430"/>
    </row>
    <row r="645" spans="1:16" ht="13.9" hidden="1" customHeight="1" outlineLevel="3" x14ac:dyDescent="0.2">
      <c r="A645" s="233">
        <v>0</v>
      </c>
      <c r="B645" s="233">
        <v>7</v>
      </c>
      <c r="C645" s="233">
        <v>9</v>
      </c>
      <c r="D645" s="234">
        <v>1</v>
      </c>
      <c r="E645" s="234">
        <v>1</v>
      </c>
      <c r="G645" s="458" t="s">
        <v>17</v>
      </c>
      <c r="H645" s="459" t="s">
        <v>1238</v>
      </c>
      <c r="I645" s="460" t="s">
        <v>4182</v>
      </c>
      <c r="J645" s="461" t="s">
        <v>2738</v>
      </c>
      <c r="K645" s="462" t="s">
        <v>1129</v>
      </c>
      <c r="L645" s="463">
        <v>1</v>
      </c>
      <c r="M645" s="463">
        <v>75503.946584484002</v>
      </c>
      <c r="N645" s="464">
        <v>75503.946584484002</v>
      </c>
      <c r="O645" s="465" t="s">
        <v>2736</v>
      </c>
      <c r="P645" s="431" t="s">
        <v>6711</v>
      </c>
    </row>
    <row r="646" spans="1:16" ht="13.9" hidden="1" customHeight="1" outlineLevel="2" x14ac:dyDescent="0.2">
      <c r="A646" s="233">
        <v>0</v>
      </c>
      <c r="B646" s="233">
        <v>7</v>
      </c>
      <c r="C646" s="233">
        <v>9</v>
      </c>
      <c r="D646" s="234">
        <v>2</v>
      </c>
      <c r="E646" s="234">
        <v>0</v>
      </c>
      <c r="G646" s="474"/>
      <c r="H646" s="451" t="s">
        <v>1237</v>
      </c>
      <c r="I646" s="452" t="s">
        <v>4183</v>
      </c>
      <c r="J646" s="453" t="s">
        <v>2328</v>
      </c>
      <c r="K646" s="454"/>
      <c r="L646" s="455"/>
      <c r="M646" s="455"/>
      <c r="N646" s="456">
        <v>65692.2299745622</v>
      </c>
      <c r="O646" s="457"/>
      <c r="P646" s="430"/>
    </row>
    <row r="647" spans="1:16" ht="13.9" hidden="1" customHeight="1" outlineLevel="3" x14ac:dyDescent="0.2">
      <c r="A647" s="233">
        <v>0</v>
      </c>
      <c r="B647" s="233">
        <v>7</v>
      </c>
      <c r="C647" s="233">
        <v>9</v>
      </c>
      <c r="D647" s="234">
        <v>2</v>
      </c>
      <c r="E647" s="234">
        <v>1</v>
      </c>
      <c r="G647" s="458" t="s">
        <v>17</v>
      </c>
      <c r="H647" s="459" t="s">
        <v>1238</v>
      </c>
      <c r="I647" s="460" t="s">
        <v>4184</v>
      </c>
      <c r="J647" s="461" t="s">
        <v>2328</v>
      </c>
      <c r="K647" s="462" t="s">
        <v>1129</v>
      </c>
      <c r="L647" s="463">
        <v>1</v>
      </c>
      <c r="M647" s="463">
        <v>65692.229974562186</v>
      </c>
      <c r="N647" s="464">
        <v>65692.2299745622</v>
      </c>
      <c r="O647" s="465" t="s">
        <v>2736</v>
      </c>
      <c r="P647" s="431" t="s">
        <v>6711</v>
      </c>
    </row>
    <row r="648" spans="1:16" ht="13.9" hidden="1" customHeight="1" outlineLevel="2" x14ac:dyDescent="0.2">
      <c r="A648" s="233">
        <v>0</v>
      </c>
      <c r="B648" s="233">
        <v>7</v>
      </c>
      <c r="C648" s="233">
        <v>9</v>
      </c>
      <c r="D648" s="234">
        <v>3</v>
      </c>
      <c r="E648" s="234">
        <v>0</v>
      </c>
      <c r="G648" s="474"/>
      <c r="H648" s="451" t="s">
        <v>1237</v>
      </c>
      <c r="I648" s="452" t="s">
        <v>4185</v>
      </c>
      <c r="J648" s="453" t="s">
        <v>2329</v>
      </c>
      <c r="K648" s="454"/>
      <c r="L648" s="455"/>
      <c r="M648" s="455"/>
      <c r="N648" s="456">
        <v>252</v>
      </c>
      <c r="O648" s="457"/>
      <c r="P648" s="430"/>
    </row>
    <row r="649" spans="1:16" ht="13.9" hidden="1" customHeight="1" outlineLevel="3" x14ac:dyDescent="0.2">
      <c r="A649" s="233">
        <v>0</v>
      </c>
      <c r="B649" s="233">
        <v>7</v>
      </c>
      <c r="C649" s="233">
        <v>9</v>
      </c>
      <c r="D649" s="234">
        <v>3</v>
      </c>
      <c r="E649" s="234">
        <v>1</v>
      </c>
      <c r="G649" s="458" t="s">
        <v>17</v>
      </c>
      <c r="H649" s="459" t="s">
        <v>1238</v>
      </c>
      <c r="I649" s="460" t="s">
        <v>4186</v>
      </c>
      <c r="J649" s="461" t="s">
        <v>2329</v>
      </c>
      <c r="K649" s="462" t="s">
        <v>1129</v>
      </c>
      <c r="L649" s="463">
        <v>1</v>
      </c>
      <c r="M649" s="463">
        <v>252</v>
      </c>
      <c r="N649" s="464">
        <v>252</v>
      </c>
      <c r="O649" s="465" t="s">
        <v>2739</v>
      </c>
      <c r="P649" s="431" t="s">
        <v>6711</v>
      </c>
    </row>
    <row r="650" spans="1:16" ht="13.9" hidden="1" customHeight="1" outlineLevel="2" x14ac:dyDescent="0.2">
      <c r="A650" s="233">
        <v>0</v>
      </c>
      <c r="B650" s="233">
        <v>7</v>
      </c>
      <c r="C650" s="233">
        <v>9</v>
      </c>
      <c r="D650" s="234">
        <v>4</v>
      </c>
      <c r="E650" s="234">
        <v>0</v>
      </c>
      <c r="G650" s="474"/>
      <c r="H650" s="451" t="s">
        <v>1237</v>
      </c>
      <c r="I650" s="452" t="s">
        <v>4187</v>
      </c>
      <c r="J650" s="453" t="s">
        <v>1254</v>
      </c>
      <c r="K650" s="454"/>
      <c r="L650" s="455"/>
      <c r="M650" s="455"/>
      <c r="N650" s="456">
        <v>20040.740000000002</v>
      </c>
      <c r="O650" s="457"/>
      <c r="P650" s="430"/>
    </row>
    <row r="651" spans="1:16" ht="13.9" hidden="1" customHeight="1" outlineLevel="3" x14ac:dyDescent="0.2">
      <c r="A651" s="233">
        <v>0</v>
      </c>
      <c r="B651" s="233">
        <v>7</v>
      </c>
      <c r="C651" s="233">
        <v>9</v>
      </c>
      <c r="D651" s="234">
        <v>4</v>
      </c>
      <c r="E651" s="234">
        <v>1</v>
      </c>
      <c r="G651" s="458" t="s">
        <v>17</v>
      </c>
      <c r="H651" s="459" t="s">
        <v>1238</v>
      </c>
      <c r="I651" s="460" t="s">
        <v>4188</v>
      </c>
      <c r="J651" s="461" t="s">
        <v>1255</v>
      </c>
      <c r="K651" s="462" t="s">
        <v>1129</v>
      </c>
      <c r="L651" s="463">
        <v>1</v>
      </c>
      <c r="M651" s="463">
        <v>20040.739999999998</v>
      </c>
      <c r="N651" s="464">
        <v>20040.740000000002</v>
      </c>
      <c r="O651" s="471" t="s">
        <v>3018</v>
      </c>
      <c r="P651" s="431" t="s">
        <v>6711</v>
      </c>
    </row>
    <row r="652" spans="1:16" ht="13.9" hidden="1" customHeight="1" outlineLevel="1" x14ac:dyDescent="0.2">
      <c r="A652" s="233">
        <v>0</v>
      </c>
      <c r="B652" s="233">
        <v>7</v>
      </c>
      <c r="C652" s="233">
        <v>10</v>
      </c>
      <c r="D652" s="234">
        <v>0</v>
      </c>
      <c r="E652" s="234">
        <v>1</v>
      </c>
      <c r="G652" s="443"/>
      <c r="H652" s="444" t="s">
        <v>38</v>
      </c>
      <c r="I652" s="445" t="s">
        <v>4189</v>
      </c>
      <c r="J652" s="446" t="s">
        <v>2749</v>
      </c>
      <c r="K652" s="447"/>
      <c r="L652" s="448"/>
      <c r="M652" s="448"/>
      <c r="N652" s="449">
        <v>615624.03766277805</v>
      </c>
      <c r="O652" s="432"/>
      <c r="P652" s="435"/>
    </row>
    <row r="653" spans="1:16" ht="13.9" hidden="1" customHeight="1" outlineLevel="2" x14ac:dyDescent="0.2">
      <c r="A653" s="233">
        <v>0</v>
      </c>
      <c r="B653" s="233">
        <v>7</v>
      </c>
      <c r="C653" s="233">
        <v>10</v>
      </c>
      <c r="D653" s="234">
        <v>1</v>
      </c>
      <c r="E653" s="234">
        <v>0</v>
      </c>
      <c r="G653" s="474"/>
      <c r="H653" s="451" t="s">
        <v>1237</v>
      </c>
      <c r="I653" s="452" t="s">
        <v>4190</v>
      </c>
      <c r="J653" s="453" t="s">
        <v>2239</v>
      </c>
      <c r="K653" s="454"/>
      <c r="L653" s="455"/>
      <c r="M653" s="455"/>
      <c r="N653" s="456">
        <v>201471.08802380101</v>
      </c>
      <c r="O653" s="457"/>
      <c r="P653" s="430"/>
    </row>
    <row r="654" spans="1:16" ht="13.9" hidden="1" customHeight="1" outlineLevel="3" x14ac:dyDescent="0.2">
      <c r="A654" s="233">
        <v>0</v>
      </c>
      <c r="B654" s="233">
        <v>7</v>
      </c>
      <c r="C654" s="233">
        <v>10</v>
      </c>
      <c r="D654" s="234">
        <v>1</v>
      </c>
      <c r="E654" s="234">
        <v>1</v>
      </c>
      <c r="G654" s="458" t="s">
        <v>17</v>
      </c>
      <c r="H654" s="459" t="s">
        <v>1238</v>
      </c>
      <c r="I654" s="460" t="s">
        <v>4191</v>
      </c>
      <c r="J654" s="461" t="s">
        <v>2738</v>
      </c>
      <c r="K654" s="462" t="s">
        <v>1129</v>
      </c>
      <c r="L654" s="463">
        <v>1</v>
      </c>
      <c r="M654" s="463">
        <v>201471.08802380069</v>
      </c>
      <c r="N654" s="464">
        <v>201471.08802380101</v>
      </c>
      <c r="O654" s="465" t="s">
        <v>2736</v>
      </c>
      <c r="P654" s="431" t="s">
        <v>6711</v>
      </c>
    </row>
    <row r="655" spans="1:16" ht="13.9" hidden="1" customHeight="1" outlineLevel="2" x14ac:dyDescent="0.2">
      <c r="A655" s="233">
        <v>0</v>
      </c>
      <c r="B655" s="233">
        <v>7</v>
      </c>
      <c r="C655" s="233">
        <v>10</v>
      </c>
      <c r="D655" s="234">
        <v>2</v>
      </c>
      <c r="E655" s="234">
        <v>0</v>
      </c>
      <c r="G655" s="474"/>
      <c r="H655" s="451" t="s">
        <v>1237</v>
      </c>
      <c r="I655" s="452" t="s">
        <v>4192</v>
      </c>
      <c r="J655" s="453" t="s">
        <v>2328</v>
      </c>
      <c r="K655" s="454"/>
      <c r="L655" s="455"/>
      <c r="M655" s="455"/>
      <c r="N655" s="456">
        <v>270753.84963897802</v>
      </c>
      <c r="O655" s="457"/>
      <c r="P655" s="430"/>
    </row>
    <row r="656" spans="1:16" ht="13.9" hidden="1" customHeight="1" outlineLevel="3" x14ac:dyDescent="0.2">
      <c r="A656" s="233">
        <v>0</v>
      </c>
      <c r="B656" s="233">
        <v>7</v>
      </c>
      <c r="C656" s="233">
        <v>10</v>
      </c>
      <c r="D656" s="234">
        <v>2</v>
      </c>
      <c r="E656" s="234">
        <v>1</v>
      </c>
      <c r="G656" s="458" t="s">
        <v>17</v>
      </c>
      <c r="H656" s="459" t="s">
        <v>1238</v>
      </c>
      <c r="I656" s="460" t="s">
        <v>4193</v>
      </c>
      <c r="J656" s="461" t="s">
        <v>2328</v>
      </c>
      <c r="K656" s="462" t="s">
        <v>1129</v>
      </c>
      <c r="L656" s="463">
        <v>1</v>
      </c>
      <c r="M656" s="463">
        <v>270753.84963897767</v>
      </c>
      <c r="N656" s="464">
        <v>270753.84963897802</v>
      </c>
      <c r="O656" s="465" t="s">
        <v>2736</v>
      </c>
      <c r="P656" s="431" t="s">
        <v>6711</v>
      </c>
    </row>
    <row r="657" spans="1:16" ht="13.9" hidden="1" customHeight="1" outlineLevel="2" x14ac:dyDescent="0.2">
      <c r="A657" s="233">
        <v>0</v>
      </c>
      <c r="B657" s="233">
        <v>7</v>
      </c>
      <c r="C657" s="233">
        <v>10</v>
      </c>
      <c r="D657" s="234">
        <v>3</v>
      </c>
      <c r="E657" s="234">
        <v>0</v>
      </c>
      <c r="G657" s="474"/>
      <c r="H657" s="451" t="s">
        <v>1237</v>
      </c>
      <c r="I657" s="452" t="s">
        <v>4194</v>
      </c>
      <c r="J657" s="453" t="s">
        <v>2329</v>
      </c>
      <c r="K657" s="454"/>
      <c r="L657" s="455"/>
      <c r="M657" s="455"/>
      <c r="N657" s="456">
        <v>2016</v>
      </c>
      <c r="O657" s="457"/>
      <c r="P657" s="430"/>
    </row>
    <row r="658" spans="1:16" ht="13.9" hidden="1" customHeight="1" outlineLevel="3" x14ac:dyDescent="0.2">
      <c r="A658" s="233">
        <v>0</v>
      </c>
      <c r="B658" s="233">
        <v>7</v>
      </c>
      <c r="C658" s="233">
        <v>10</v>
      </c>
      <c r="D658" s="234">
        <v>3</v>
      </c>
      <c r="E658" s="234">
        <v>1</v>
      </c>
      <c r="G658" s="458" t="s">
        <v>17</v>
      </c>
      <c r="H658" s="459" t="s">
        <v>1238</v>
      </c>
      <c r="I658" s="460" t="s">
        <v>4195</v>
      </c>
      <c r="J658" s="461" t="s">
        <v>2329</v>
      </c>
      <c r="K658" s="462" t="s">
        <v>1129</v>
      </c>
      <c r="L658" s="463">
        <v>1</v>
      </c>
      <c r="M658" s="463">
        <v>2016</v>
      </c>
      <c r="N658" s="464">
        <v>2016</v>
      </c>
      <c r="O658" s="465" t="s">
        <v>2739</v>
      </c>
      <c r="P658" s="431" t="s">
        <v>6711</v>
      </c>
    </row>
    <row r="659" spans="1:16" ht="13.9" hidden="1" customHeight="1" outlineLevel="2" x14ac:dyDescent="0.2">
      <c r="A659" s="233">
        <v>0</v>
      </c>
      <c r="B659" s="233">
        <v>7</v>
      </c>
      <c r="C659" s="233">
        <v>10</v>
      </c>
      <c r="D659" s="234">
        <v>4</v>
      </c>
      <c r="E659" s="234">
        <v>0</v>
      </c>
      <c r="G659" s="474"/>
      <c r="H659" s="451" t="s">
        <v>1237</v>
      </c>
      <c r="I659" s="452" t="s">
        <v>4196</v>
      </c>
      <c r="J659" s="453" t="s">
        <v>2240</v>
      </c>
      <c r="K659" s="454"/>
      <c r="L659" s="455"/>
      <c r="M659" s="455"/>
      <c r="N659" s="456">
        <v>600.86</v>
      </c>
      <c r="O659" s="457"/>
      <c r="P659" s="430"/>
    </row>
    <row r="660" spans="1:16" ht="13.9" hidden="1" customHeight="1" outlineLevel="3" x14ac:dyDescent="0.2">
      <c r="A660" s="233">
        <v>0</v>
      </c>
      <c r="B660" s="233">
        <v>7</v>
      </c>
      <c r="C660" s="233">
        <v>10</v>
      </c>
      <c r="D660" s="234">
        <v>4</v>
      </c>
      <c r="E660" s="234">
        <v>1</v>
      </c>
      <c r="G660" s="458" t="s">
        <v>17</v>
      </c>
      <c r="H660" s="459" t="s">
        <v>1238</v>
      </c>
      <c r="I660" s="460" t="s">
        <v>4197</v>
      </c>
      <c r="J660" s="461" t="s">
        <v>2240</v>
      </c>
      <c r="K660" s="462" t="s">
        <v>1129</v>
      </c>
      <c r="L660" s="463">
        <v>1</v>
      </c>
      <c r="M660" s="463">
        <v>600.86</v>
      </c>
      <c r="N660" s="464">
        <v>600.86</v>
      </c>
      <c r="O660" s="465" t="s">
        <v>2740</v>
      </c>
      <c r="P660" s="431" t="s">
        <v>6711</v>
      </c>
    </row>
    <row r="661" spans="1:16" ht="13.9" hidden="1" customHeight="1" outlineLevel="2" x14ac:dyDescent="0.2">
      <c r="A661" s="233">
        <v>0</v>
      </c>
      <c r="B661" s="233">
        <v>7</v>
      </c>
      <c r="C661" s="233">
        <v>10</v>
      </c>
      <c r="D661" s="234">
        <v>5</v>
      </c>
      <c r="E661" s="234">
        <v>0</v>
      </c>
      <c r="G661" s="474"/>
      <c r="H661" s="451" t="s">
        <v>1237</v>
      </c>
      <c r="I661" s="452" t="s">
        <v>4198</v>
      </c>
      <c r="J661" s="453" t="s">
        <v>1254</v>
      </c>
      <c r="K661" s="454"/>
      <c r="L661" s="455"/>
      <c r="M661" s="455"/>
      <c r="N661" s="456">
        <v>140782.24</v>
      </c>
      <c r="O661" s="457"/>
      <c r="P661" s="430"/>
    </row>
    <row r="662" spans="1:16" ht="13.9" hidden="1" customHeight="1" outlineLevel="3" x14ac:dyDescent="0.2">
      <c r="A662" s="233">
        <v>0</v>
      </c>
      <c r="B662" s="233">
        <v>7</v>
      </c>
      <c r="C662" s="233">
        <v>10</v>
      </c>
      <c r="D662" s="234">
        <v>5</v>
      </c>
      <c r="E662" s="234">
        <v>1</v>
      </c>
      <c r="G662" s="458" t="s">
        <v>17</v>
      </c>
      <c r="H662" s="459" t="s">
        <v>1238</v>
      </c>
      <c r="I662" s="460" t="s">
        <v>4199</v>
      </c>
      <c r="J662" s="461" t="s">
        <v>1255</v>
      </c>
      <c r="K662" s="462" t="s">
        <v>1129</v>
      </c>
      <c r="L662" s="463">
        <v>1</v>
      </c>
      <c r="M662" s="463">
        <v>140782.24000000002</v>
      </c>
      <c r="N662" s="464">
        <v>140782.24</v>
      </c>
      <c r="O662" s="471" t="s">
        <v>3018</v>
      </c>
      <c r="P662" s="431" t="s">
        <v>6711</v>
      </c>
    </row>
    <row r="663" spans="1:16" ht="13.9" hidden="1" customHeight="1" outlineLevel="1" x14ac:dyDescent="0.2">
      <c r="A663" s="233">
        <v>0</v>
      </c>
      <c r="B663" s="233">
        <v>7</v>
      </c>
      <c r="C663" s="233">
        <v>11</v>
      </c>
      <c r="D663" s="234">
        <v>0</v>
      </c>
      <c r="E663" s="234">
        <v>1</v>
      </c>
      <c r="G663" s="443"/>
      <c r="H663" s="444" t="s">
        <v>38</v>
      </c>
      <c r="I663" s="445" t="s">
        <v>4200</v>
      </c>
      <c r="J663" s="446" t="s">
        <v>2750</v>
      </c>
      <c r="K663" s="447"/>
      <c r="L663" s="448"/>
      <c r="M663" s="448"/>
      <c r="N663" s="449">
        <v>578435.10566785198</v>
      </c>
      <c r="O663" s="432"/>
      <c r="P663" s="435"/>
    </row>
    <row r="664" spans="1:16" ht="13.9" hidden="1" customHeight="1" outlineLevel="2" x14ac:dyDescent="0.2">
      <c r="A664" s="233">
        <v>0</v>
      </c>
      <c r="B664" s="233">
        <v>7</v>
      </c>
      <c r="C664" s="233">
        <v>11</v>
      </c>
      <c r="D664" s="234">
        <v>1</v>
      </c>
      <c r="E664" s="234">
        <v>0</v>
      </c>
      <c r="G664" s="474"/>
      <c r="H664" s="451" t="s">
        <v>1237</v>
      </c>
      <c r="I664" s="452" t="s">
        <v>4201</v>
      </c>
      <c r="J664" s="453" t="s">
        <v>2239</v>
      </c>
      <c r="K664" s="454"/>
      <c r="L664" s="455"/>
      <c r="M664" s="455"/>
      <c r="N664" s="456">
        <v>116667.34070267501</v>
      </c>
      <c r="O664" s="457"/>
      <c r="P664" s="430"/>
    </row>
    <row r="665" spans="1:16" ht="13.9" hidden="1" customHeight="1" outlineLevel="3" x14ac:dyDescent="0.2">
      <c r="A665" s="233">
        <v>0</v>
      </c>
      <c r="B665" s="233">
        <v>7</v>
      </c>
      <c r="C665" s="233">
        <v>11</v>
      </c>
      <c r="D665" s="234">
        <v>1</v>
      </c>
      <c r="E665" s="234">
        <v>1</v>
      </c>
      <c r="G665" s="458" t="s">
        <v>17</v>
      </c>
      <c r="H665" s="459" t="s">
        <v>1238</v>
      </c>
      <c r="I665" s="460" t="s">
        <v>4202</v>
      </c>
      <c r="J665" s="461" t="s">
        <v>2738</v>
      </c>
      <c r="K665" s="462" t="s">
        <v>1129</v>
      </c>
      <c r="L665" s="463">
        <v>1</v>
      </c>
      <c r="M665" s="463">
        <v>116667.34070267536</v>
      </c>
      <c r="N665" s="464">
        <v>116667.34070267501</v>
      </c>
      <c r="O665" s="465" t="s">
        <v>2736</v>
      </c>
      <c r="P665" s="431" t="s">
        <v>6711</v>
      </c>
    </row>
    <row r="666" spans="1:16" ht="13.9" hidden="1" customHeight="1" outlineLevel="2" x14ac:dyDescent="0.2">
      <c r="A666" s="233">
        <v>0</v>
      </c>
      <c r="B666" s="233">
        <v>7</v>
      </c>
      <c r="C666" s="233">
        <v>11</v>
      </c>
      <c r="D666" s="234">
        <v>2</v>
      </c>
      <c r="E666" s="234">
        <v>0</v>
      </c>
      <c r="G666" s="474"/>
      <c r="H666" s="451" t="s">
        <v>1237</v>
      </c>
      <c r="I666" s="452" t="s">
        <v>4203</v>
      </c>
      <c r="J666" s="453" t="s">
        <v>2328</v>
      </c>
      <c r="K666" s="454"/>
      <c r="L666" s="455"/>
      <c r="M666" s="455"/>
      <c r="N666" s="456">
        <v>67666.724965176807</v>
      </c>
      <c r="O666" s="457"/>
      <c r="P666" s="430"/>
    </row>
    <row r="667" spans="1:16" ht="13.9" hidden="1" customHeight="1" outlineLevel="3" x14ac:dyDescent="0.2">
      <c r="A667" s="233">
        <v>0</v>
      </c>
      <c r="B667" s="233">
        <v>7</v>
      </c>
      <c r="C667" s="233">
        <v>11</v>
      </c>
      <c r="D667" s="234">
        <v>2</v>
      </c>
      <c r="E667" s="234">
        <v>1</v>
      </c>
      <c r="G667" s="458" t="s">
        <v>17</v>
      </c>
      <c r="H667" s="459" t="s">
        <v>1238</v>
      </c>
      <c r="I667" s="460" t="s">
        <v>4204</v>
      </c>
      <c r="J667" s="461" t="s">
        <v>2328</v>
      </c>
      <c r="K667" s="462" t="s">
        <v>1129</v>
      </c>
      <c r="L667" s="463">
        <v>1</v>
      </c>
      <c r="M667" s="463">
        <v>67666.724965176836</v>
      </c>
      <c r="N667" s="464">
        <v>67666.724965176807</v>
      </c>
      <c r="O667" s="465" t="s">
        <v>2736</v>
      </c>
      <c r="P667" s="431" t="s">
        <v>6711</v>
      </c>
    </row>
    <row r="668" spans="1:16" ht="13.9" hidden="1" customHeight="1" outlineLevel="2" x14ac:dyDescent="0.2">
      <c r="A668" s="233">
        <v>0</v>
      </c>
      <c r="B668" s="233">
        <v>7</v>
      </c>
      <c r="C668" s="233">
        <v>11</v>
      </c>
      <c r="D668" s="234">
        <v>3</v>
      </c>
      <c r="E668" s="234">
        <v>0</v>
      </c>
      <c r="G668" s="474"/>
      <c r="H668" s="451" t="s">
        <v>1237</v>
      </c>
      <c r="I668" s="452" t="s">
        <v>4205</v>
      </c>
      <c r="J668" s="453" t="s">
        <v>2329</v>
      </c>
      <c r="K668" s="454"/>
      <c r="L668" s="455"/>
      <c r="M668" s="455"/>
      <c r="N668" s="456">
        <v>5544</v>
      </c>
      <c r="O668" s="457"/>
      <c r="P668" s="430"/>
    </row>
    <row r="669" spans="1:16" ht="13.9" hidden="1" customHeight="1" outlineLevel="3" x14ac:dyDescent="0.2">
      <c r="A669" s="233">
        <v>0</v>
      </c>
      <c r="B669" s="233">
        <v>7</v>
      </c>
      <c r="C669" s="233">
        <v>11</v>
      </c>
      <c r="D669" s="234">
        <v>3</v>
      </c>
      <c r="E669" s="234">
        <v>1</v>
      </c>
      <c r="G669" s="458" t="s">
        <v>17</v>
      </c>
      <c r="H669" s="459" t="s">
        <v>1238</v>
      </c>
      <c r="I669" s="460" t="s">
        <v>4206</v>
      </c>
      <c r="J669" s="461" t="s">
        <v>2329</v>
      </c>
      <c r="K669" s="462" t="s">
        <v>1129</v>
      </c>
      <c r="L669" s="463">
        <v>1</v>
      </c>
      <c r="M669" s="463">
        <v>5544</v>
      </c>
      <c r="N669" s="464">
        <v>5544</v>
      </c>
      <c r="O669" s="465" t="s">
        <v>2739</v>
      </c>
      <c r="P669" s="431" t="s">
        <v>6711</v>
      </c>
    </row>
    <row r="670" spans="1:16" ht="13.9" hidden="1" customHeight="1" outlineLevel="2" x14ac:dyDescent="0.2">
      <c r="A670" s="233">
        <v>0</v>
      </c>
      <c r="B670" s="233">
        <v>7</v>
      </c>
      <c r="C670" s="233">
        <v>11</v>
      </c>
      <c r="D670" s="234">
        <v>4</v>
      </c>
      <c r="E670" s="234">
        <v>0</v>
      </c>
      <c r="G670" s="474"/>
      <c r="H670" s="451" t="s">
        <v>1237</v>
      </c>
      <c r="I670" s="452" t="s">
        <v>4207</v>
      </c>
      <c r="J670" s="453" t="s">
        <v>2240</v>
      </c>
      <c r="K670" s="454"/>
      <c r="L670" s="455"/>
      <c r="M670" s="455"/>
      <c r="N670" s="456">
        <v>1201.72</v>
      </c>
      <c r="O670" s="457"/>
      <c r="P670" s="430"/>
    </row>
    <row r="671" spans="1:16" ht="13.9" hidden="1" customHeight="1" outlineLevel="3" x14ac:dyDescent="0.2">
      <c r="A671" s="233">
        <v>0</v>
      </c>
      <c r="B671" s="233">
        <v>7</v>
      </c>
      <c r="C671" s="233">
        <v>11</v>
      </c>
      <c r="D671" s="234">
        <v>4</v>
      </c>
      <c r="E671" s="234">
        <v>1</v>
      </c>
      <c r="G671" s="458" t="s">
        <v>17</v>
      </c>
      <c r="H671" s="459" t="s">
        <v>1238</v>
      </c>
      <c r="I671" s="460" t="s">
        <v>4208</v>
      </c>
      <c r="J671" s="461" t="s">
        <v>2240</v>
      </c>
      <c r="K671" s="462" t="s">
        <v>1129</v>
      </c>
      <c r="L671" s="463">
        <v>1</v>
      </c>
      <c r="M671" s="463">
        <v>1201.72</v>
      </c>
      <c r="N671" s="464">
        <v>1201.72</v>
      </c>
      <c r="O671" s="465" t="s">
        <v>2740</v>
      </c>
      <c r="P671" s="431" t="s">
        <v>6711</v>
      </c>
    </row>
    <row r="672" spans="1:16" ht="13.9" hidden="1" customHeight="1" outlineLevel="2" x14ac:dyDescent="0.2">
      <c r="A672" s="233">
        <v>0</v>
      </c>
      <c r="B672" s="233">
        <v>7</v>
      </c>
      <c r="C672" s="233">
        <v>11</v>
      </c>
      <c r="D672" s="234">
        <v>5</v>
      </c>
      <c r="E672" s="234">
        <v>0</v>
      </c>
      <c r="G672" s="474"/>
      <c r="H672" s="451" t="s">
        <v>1237</v>
      </c>
      <c r="I672" s="452" t="s">
        <v>4209</v>
      </c>
      <c r="J672" s="453" t="s">
        <v>1254</v>
      </c>
      <c r="K672" s="454"/>
      <c r="L672" s="455"/>
      <c r="M672" s="455"/>
      <c r="N672" s="456">
        <v>387355.32</v>
      </c>
      <c r="O672" s="457"/>
      <c r="P672" s="430"/>
    </row>
    <row r="673" spans="1:16" ht="13.9" hidden="1" customHeight="1" outlineLevel="3" x14ac:dyDescent="0.2">
      <c r="A673" s="233">
        <v>0</v>
      </c>
      <c r="B673" s="233">
        <v>7</v>
      </c>
      <c r="C673" s="233">
        <v>11</v>
      </c>
      <c r="D673" s="234">
        <v>5</v>
      </c>
      <c r="E673" s="234">
        <v>1</v>
      </c>
      <c r="G673" s="458" t="s">
        <v>17</v>
      </c>
      <c r="H673" s="459" t="s">
        <v>1238</v>
      </c>
      <c r="I673" s="460" t="s">
        <v>4210</v>
      </c>
      <c r="J673" s="461" t="s">
        <v>1255</v>
      </c>
      <c r="K673" s="462" t="s">
        <v>1129</v>
      </c>
      <c r="L673" s="463">
        <v>1</v>
      </c>
      <c r="M673" s="463">
        <v>387355.32</v>
      </c>
      <c r="N673" s="464">
        <v>387355.32</v>
      </c>
      <c r="O673" s="471" t="s">
        <v>3018</v>
      </c>
      <c r="P673" s="431" t="s">
        <v>6711</v>
      </c>
    </row>
    <row r="674" spans="1:16" ht="13.9" hidden="1" customHeight="1" outlineLevel="1" x14ac:dyDescent="0.2">
      <c r="A674" s="233">
        <v>0</v>
      </c>
      <c r="B674" s="233">
        <v>7</v>
      </c>
      <c r="C674" s="233">
        <v>12</v>
      </c>
      <c r="D674" s="234">
        <v>0</v>
      </c>
      <c r="E674" s="234">
        <v>1</v>
      </c>
      <c r="G674" s="443"/>
      <c r="H674" s="444" t="s">
        <v>38</v>
      </c>
      <c r="I674" s="445" t="s">
        <v>4211</v>
      </c>
      <c r="J674" s="446" t="s">
        <v>2751</v>
      </c>
      <c r="K674" s="447"/>
      <c r="L674" s="448"/>
      <c r="M674" s="448"/>
      <c r="N674" s="449">
        <v>108194.941435812</v>
      </c>
      <c r="O674" s="432"/>
      <c r="P674" s="435"/>
    </row>
    <row r="675" spans="1:16" ht="13.9" hidden="1" customHeight="1" outlineLevel="2" x14ac:dyDescent="0.2">
      <c r="A675" s="233">
        <v>0</v>
      </c>
      <c r="B675" s="233">
        <v>7</v>
      </c>
      <c r="C675" s="233">
        <v>12</v>
      </c>
      <c r="D675" s="234">
        <v>1</v>
      </c>
      <c r="E675" s="234">
        <v>0</v>
      </c>
      <c r="G675" s="474"/>
      <c r="H675" s="451" t="s">
        <v>1237</v>
      </c>
      <c r="I675" s="452" t="s">
        <v>4212</v>
      </c>
      <c r="J675" s="453" t="s">
        <v>2239</v>
      </c>
      <c r="K675" s="454"/>
      <c r="L675" s="455"/>
      <c r="M675" s="455"/>
      <c r="N675" s="456">
        <v>60914.022071385298</v>
      </c>
      <c r="O675" s="457"/>
      <c r="P675" s="430"/>
    </row>
    <row r="676" spans="1:16" ht="13.9" hidden="1" customHeight="1" outlineLevel="3" x14ac:dyDescent="0.2">
      <c r="A676" s="233">
        <v>0</v>
      </c>
      <c r="B676" s="233">
        <v>7</v>
      </c>
      <c r="C676" s="233">
        <v>12</v>
      </c>
      <c r="D676" s="234">
        <v>1</v>
      </c>
      <c r="E676" s="234">
        <v>1</v>
      </c>
      <c r="G676" s="458" t="s">
        <v>17</v>
      </c>
      <c r="H676" s="459" t="s">
        <v>1238</v>
      </c>
      <c r="I676" s="460" t="s">
        <v>4213</v>
      </c>
      <c r="J676" s="461" t="s">
        <v>2738</v>
      </c>
      <c r="K676" s="462" t="s">
        <v>1129</v>
      </c>
      <c r="L676" s="463">
        <v>1</v>
      </c>
      <c r="M676" s="463">
        <v>60914.022071385312</v>
      </c>
      <c r="N676" s="464">
        <v>60914.022071385298</v>
      </c>
      <c r="O676" s="465" t="s">
        <v>2736</v>
      </c>
      <c r="P676" s="431" t="s">
        <v>6711</v>
      </c>
    </row>
    <row r="677" spans="1:16" ht="13.9" hidden="1" customHeight="1" outlineLevel="2" x14ac:dyDescent="0.2">
      <c r="A677" s="233">
        <v>0</v>
      </c>
      <c r="B677" s="233">
        <v>7</v>
      </c>
      <c r="C677" s="233">
        <v>12</v>
      </c>
      <c r="D677" s="234">
        <v>2</v>
      </c>
      <c r="E677" s="234">
        <v>0</v>
      </c>
      <c r="G677" s="474"/>
      <c r="H677" s="451" t="s">
        <v>1237</v>
      </c>
      <c r="I677" s="452" t="s">
        <v>4214</v>
      </c>
      <c r="J677" s="453" t="s">
        <v>2328</v>
      </c>
      <c r="K677" s="454"/>
      <c r="L677" s="455"/>
      <c r="M677" s="455"/>
      <c r="N677" s="456">
        <v>30037.239364426601</v>
      </c>
      <c r="O677" s="457"/>
      <c r="P677" s="430"/>
    </row>
    <row r="678" spans="1:16" ht="13.9" hidden="1" customHeight="1" outlineLevel="3" x14ac:dyDescent="0.2">
      <c r="A678" s="233">
        <v>0</v>
      </c>
      <c r="B678" s="233">
        <v>7</v>
      </c>
      <c r="C678" s="233">
        <v>12</v>
      </c>
      <c r="D678" s="234">
        <v>2</v>
      </c>
      <c r="E678" s="234">
        <v>1</v>
      </c>
      <c r="G678" s="458" t="s">
        <v>17</v>
      </c>
      <c r="H678" s="459" t="s">
        <v>1238</v>
      </c>
      <c r="I678" s="460" t="s">
        <v>4215</v>
      </c>
      <c r="J678" s="461" t="s">
        <v>2328</v>
      </c>
      <c r="K678" s="462" t="s">
        <v>1129</v>
      </c>
      <c r="L678" s="463">
        <v>1</v>
      </c>
      <c r="M678" s="463">
        <v>30037.239364426649</v>
      </c>
      <c r="N678" s="464">
        <v>30037.239364426601</v>
      </c>
      <c r="O678" s="465" t="s">
        <v>2736</v>
      </c>
      <c r="P678" s="431" t="s">
        <v>6711</v>
      </c>
    </row>
    <row r="679" spans="1:16" ht="13.9" hidden="1" customHeight="1" outlineLevel="2" x14ac:dyDescent="0.2">
      <c r="A679" s="233">
        <v>0</v>
      </c>
      <c r="B679" s="233">
        <v>7</v>
      </c>
      <c r="C679" s="233">
        <v>12</v>
      </c>
      <c r="D679" s="234">
        <v>3</v>
      </c>
      <c r="E679" s="234">
        <v>0</v>
      </c>
      <c r="G679" s="474"/>
      <c r="H679" s="451" t="s">
        <v>1237</v>
      </c>
      <c r="I679" s="452" t="s">
        <v>4216</v>
      </c>
      <c r="J679" s="453" t="s">
        <v>2329</v>
      </c>
      <c r="K679" s="454"/>
      <c r="L679" s="455"/>
      <c r="M679" s="455"/>
      <c r="N679" s="456">
        <v>252</v>
      </c>
      <c r="O679" s="457"/>
      <c r="P679" s="430"/>
    </row>
    <row r="680" spans="1:16" ht="13.9" hidden="1" customHeight="1" outlineLevel="3" x14ac:dyDescent="0.2">
      <c r="A680" s="233">
        <v>0</v>
      </c>
      <c r="B680" s="233">
        <v>7</v>
      </c>
      <c r="C680" s="233">
        <v>12</v>
      </c>
      <c r="D680" s="234">
        <v>3</v>
      </c>
      <c r="E680" s="234">
        <v>1</v>
      </c>
      <c r="G680" s="458" t="s">
        <v>17</v>
      </c>
      <c r="H680" s="459" t="s">
        <v>1238</v>
      </c>
      <c r="I680" s="460" t="s">
        <v>4217</v>
      </c>
      <c r="J680" s="461" t="s">
        <v>2329</v>
      </c>
      <c r="K680" s="462" t="s">
        <v>1129</v>
      </c>
      <c r="L680" s="463">
        <v>1</v>
      </c>
      <c r="M680" s="463">
        <v>252</v>
      </c>
      <c r="N680" s="464">
        <v>252</v>
      </c>
      <c r="O680" s="465" t="s">
        <v>2739</v>
      </c>
      <c r="P680" s="431" t="s">
        <v>6711</v>
      </c>
    </row>
    <row r="681" spans="1:16" ht="13.9" hidden="1" customHeight="1" outlineLevel="2" x14ac:dyDescent="0.2">
      <c r="A681" s="233">
        <v>0</v>
      </c>
      <c r="B681" s="233">
        <v>7</v>
      </c>
      <c r="C681" s="233">
        <v>12</v>
      </c>
      <c r="D681" s="234">
        <v>4</v>
      </c>
      <c r="E681" s="234">
        <v>0</v>
      </c>
      <c r="G681" s="474"/>
      <c r="H681" s="451" t="s">
        <v>1237</v>
      </c>
      <c r="I681" s="452" t="s">
        <v>4218</v>
      </c>
      <c r="J681" s="453" t="s">
        <v>1254</v>
      </c>
      <c r="K681" s="454"/>
      <c r="L681" s="455"/>
      <c r="M681" s="455"/>
      <c r="N681" s="456">
        <v>16991.68</v>
      </c>
      <c r="O681" s="457"/>
      <c r="P681" s="430"/>
    </row>
    <row r="682" spans="1:16" ht="13.9" hidden="1" customHeight="1" outlineLevel="3" x14ac:dyDescent="0.2">
      <c r="A682" s="233">
        <v>0</v>
      </c>
      <c r="B682" s="233">
        <v>7</v>
      </c>
      <c r="C682" s="233">
        <v>12</v>
      </c>
      <c r="D682" s="234">
        <v>4</v>
      </c>
      <c r="E682" s="234">
        <v>1</v>
      </c>
      <c r="G682" s="458" t="s">
        <v>17</v>
      </c>
      <c r="H682" s="459" t="s">
        <v>1238</v>
      </c>
      <c r="I682" s="460" t="s">
        <v>4219</v>
      </c>
      <c r="J682" s="461" t="s">
        <v>1255</v>
      </c>
      <c r="K682" s="462" t="s">
        <v>1129</v>
      </c>
      <c r="L682" s="463">
        <v>1</v>
      </c>
      <c r="M682" s="463">
        <v>16991.68</v>
      </c>
      <c r="N682" s="464">
        <v>16991.68</v>
      </c>
      <c r="O682" s="471" t="s">
        <v>3018</v>
      </c>
      <c r="P682" s="431" t="s">
        <v>6711</v>
      </c>
    </row>
    <row r="683" spans="1:16" ht="13.9" hidden="1" customHeight="1" outlineLevel="1" x14ac:dyDescent="0.2">
      <c r="A683" s="233">
        <v>0</v>
      </c>
      <c r="B683" s="233">
        <v>7</v>
      </c>
      <c r="C683" s="233">
        <v>13</v>
      </c>
      <c r="D683" s="234">
        <v>0</v>
      </c>
      <c r="E683" s="234">
        <v>1</v>
      </c>
      <c r="G683" s="443"/>
      <c r="H683" s="444" t="s">
        <v>38</v>
      </c>
      <c r="I683" s="445" t="s">
        <v>4220</v>
      </c>
      <c r="J683" s="446" t="s">
        <v>2752</v>
      </c>
      <c r="K683" s="447"/>
      <c r="L683" s="448"/>
      <c r="M683" s="448"/>
      <c r="N683" s="449">
        <v>61518.190304438598</v>
      </c>
      <c r="O683" s="432"/>
      <c r="P683" s="435"/>
    </row>
    <row r="684" spans="1:16" ht="13.9" hidden="1" customHeight="1" outlineLevel="2" x14ac:dyDescent="0.2">
      <c r="A684" s="233">
        <v>0</v>
      </c>
      <c r="B684" s="233">
        <v>7</v>
      </c>
      <c r="C684" s="233">
        <v>13</v>
      </c>
      <c r="D684" s="234">
        <v>1</v>
      </c>
      <c r="E684" s="234">
        <v>0</v>
      </c>
      <c r="G684" s="474"/>
      <c r="H684" s="451" t="s">
        <v>1237</v>
      </c>
      <c r="I684" s="452" t="s">
        <v>4221</v>
      </c>
      <c r="J684" s="453" t="s">
        <v>2239</v>
      </c>
      <c r="K684" s="454"/>
      <c r="L684" s="455"/>
      <c r="M684" s="455"/>
      <c r="N684" s="456">
        <v>25503.495244944301</v>
      </c>
      <c r="O684" s="457"/>
      <c r="P684" s="430"/>
    </row>
    <row r="685" spans="1:16" ht="13.9" hidden="1" customHeight="1" outlineLevel="3" x14ac:dyDescent="0.2">
      <c r="A685" s="233">
        <v>0</v>
      </c>
      <c r="B685" s="233">
        <v>7</v>
      </c>
      <c r="C685" s="233">
        <v>13</v>
      </c>
      <c r="D685" s="234">
        <v>1</v>
      </c>
      <c r="E685" s="234">
        <v>1</v>
      </c>
      <c r="G685" s="458" t="s">
        <v>17</v>
      </c>
      <c r="H685" s="459" t="s">
        <v>1238</v>
      </c>
      <c r="I685" s="460" t="s">
        <v>4222</v>
      </c>
      <c r="J685" s="461" t="s">
        <v>2738</v>
      </c>
      <c r="K685" s="462" t="s">
        <v>1129</v>
      </c>
      <c r="L685" s="463">
        <v>1</v>
      </c>
      <c r="M685" s="463">
        <v>25503.495244944253</v>
      </c>
      <c r="N685" s="464">
        <v>25503.495244944301</v>
      </c>
      <c r="O685" s="465" t="s">
        <v>2736</v>
      </c>
      <c r="P685" s="431" t="s">
        <v>6711</v>
      </c>
    </row>
    <row r="686" spans="1:16" ht="13.9" hidden="1" customHeight="1" outlineLevel="2" x14ac:dyDescent="0.2">
      <c r="A686" s="233">
        <v>0</v>
      </c>
      <c r="B686" s="233">
        <v>7</v>
      </c>
      <c r="C686" s="233">
        <v>13</v>
      </c>
      <c r="D686" s="234">
        <v>2</v>
      </c>
      <c r="E686" s="234">
        <v>0</v>
      </c>
      <c r="G686" s="474"/>
      <c r="H686" s="451" t="s">
        <v>1237</v>
      </c>
      <c r="I686" s="452" t="s">
        <v>4223</v>
      </c>
      <c r="J686" s="453" t="s">
        <v>2328</v>
      </c>
      <c r="K686" s="454"/>
      <c r="L686" s="455"/>
      <c r="M686" s="455"/>
      <c r="N686" s="456">
        <v>19592.295059494299</v>
      </c>
      <c r="O686" s="457"/>
      <c r="P686" s="430"/>
    </row>
    <row r="687" spans="1:16" ht="13.9" hidden="1" customHeight="1" outlineLevel="3" x14ac:dyDescent="0.2">
      <c r="A687" s="233">
        <v>0</v>
      </c>
      <c r="B687" s="233">
        <v>7</v>
      </c>
      <c r="C687" s="233">
        <v>13</v>
      </c>
      <c r="D687" s="234">
        <v>2</v>
      </c>
      <c r="E687" s="234">
        <v>1</v>
      </c>
      <c r="G687" s="458" t="s">
        <v>17</v>
      </c>
      <c r="H687" s="459" t="s">
        <v>1238</v>
      </c>
      <c r="I687" s="460" t="s">
        <v>4224</v>
      </c>
      <c r="J687" s="461" t="s">
        <v>2328</v>
      </c>
      <c r="K687" s="462" t="s">
        <v>1129</v>
      </c>
      <c r="L687" s="463">
        <v>1</v>
      </c>
      <c r="M687" s="463">
        <v>19592.295059494318</v>
      </c>
      <c r="N687" s="464">
        <v>19592.295059494299</v>
      </c>
      <c r="O687" s="465" t="s">
        <v>2736</v>
      </c>
      <c r="P687" s="431" t="s">
        <v>6711</v>
      </c>
    </row>
    <row r="688" spans="1:16" ht="13.9" hidden="1" customHeight="1" outlineLevel="2" x14ac:dyDescent="0.2">
      <c r="A688" s="233">
        <v>0</v>
      </c>
      <c r="B688" s="233">
        <v>7</v>
      </c>
      <c r="C688" s="233">
        <v>13</v>
      </c>
      <c r="D688" s="234">
        <v>3</v>
      </c>
      <c r="E688" s="234">
        <v>0</v>
      </c>
      <c r="G688" s="474"/>
      <c r="H688" s="451" t="s">
        <v>1237</v>
      </c>
      <c r="I688" s="452" t="s">
        <v>4225</v>
      </c>
      <c r="J688" s="453" t="s">
        <v>2329</v>
      </c>
      <c r="K688" s="454"/>
      <c r="L688" s="455"/>
      <c r="M688" s="455"/>
      <c r="N688" s="456">
        <v>252</v>
      </c>
      <c r="O688" s="457"/>
      <c r="P688" s="430"/>
    </row>
    <row r="689" spans="1:16" ht="13.9" hidden="1" customHeight="1" outlineLevel="3" x14ac:dyDescent="0.2">
      <c r="A689" s="233">
        <v>0</v>
      </c>
      <c r="B689" s="233">
        <v>7</v>
      </c>
      <c r="C689" s="233">
        <v>13</v>
      </c>
      <c r="D689" s="234">
        <v>3</v>
      </c>
      <c r="E689" s="234">
        <v>1</v>
      </c>
      <c r="G689" s="458" t="s">
        <v>17</v>
      </c>
      <c r="H689" s="459" t="s">
        <v>1238</v>
      </c>
      <c r="I689" s="460" t="s">
        <v>4226</v>
      </c>
      <c r="J689" s="461" t="s">
        <v>2329</v>
      </c>
      <c r="K689" s="462" t="s">
        <v>1129</v>
      </c>
      <c r="L689" s="463">
        <v>1</v>
      </c>
      <c r="M689" s="463">
        <v>252</v>
      </c>
      <c r="N689" s="464">
        <v>252</v>
      </c>
      <c r="O689" s="465" t="s">
        <v>2739</v>
      </c>
      <c r="P689" s="431" t="s">
        <v>6711</v>
      </c>
    </row>
    <row r="690" spans="1:16" ht="13.9" hidden="1" customHeight="1" outlineLevel="2" x14ac:dyDescent="0.2">
      <c r="A690" s="233">
        <v>0</v>
      </c>
      <c r="B690" s="233">
        <v>7</v>
      </c>
      <c r="C690" s="233">
        <v>13</v>
      </c>
      <c r="D690" s="234">
        <v>4</v>
      </c>
      <c r="E690" s="234">
        <v>0</v>
      </c>
      <c r="G690" s="474"/>
      <c r="H690" s="451" t="s">
        <v>1237</v>
      </c>
      <c r="I690" s="452" t="s">
        <v>4227</v>
      </c>
      <c r="J690" s="453" t="s">
        <v>1254</v>
      </c>
      <c r="K690" s="454"/>
      <c r="L690" s="455"/>
      <c r="M690" s="455"/>
      <c r="N690" s="456">
        <v>16170.4</v>
      </c>
      <c r="O690" s="457"/>
      <c r="P690" s="430"/>
    </row>
    <row r="691" spans="1:16" ht="13.9" hidden="1" customHeight="1" outlineLevel="3" x14ac:dyDescent="0.2">
      <c r="A691" s="233">
        <v>0</v>
      </c>
      <c r="B691" s="233">
        <v>7</v>
      </c>
      <c r="C691" s="233">
        <v>13</v>
      </c>
      <c r="D691" s="234">
        <v>4</v>
      </c>
      <c r="E691" s="234">
        <v>1</v>
      </c>
      <c r="G691" s="458" t="s">
        <v>17</v>
      </c>
      <c r="H691" s="459" t="s">
        <v>1238</v>
      </c>
      <c r="I691" s="460" t="s">
        <v>4228</v>
      </c>
      <c r="J691" s="461" t="s">
        <v>1255</v>
      </c>
      <c r="K691" s="462" t="s">
        <v>1129</v>
      </c>
      <c r="L691" s="463">
        <v>1</v>
      </c>
      <c r="M691" s="463">
        <v>16170.400000000001</v>
      </c>
      <c r="N691" s="464">
        <v>16170.4</v>
      </c>
      <c r="O691" s="471" t="s">
        <v>3018</v>
      </c>
      <c r="P691" s="431" t="s">
        <v>6711</v>
      </c>
    </row>
    <row r="692" spans="1:16" ht="13.9" hidden="1" customHeight="1" outlineLevel="1" x14ac:dyDescent="0.2">
      <c r="A692" s="233">
        <v>0</v>
      </c>
      <c r="B692" s="233">
        <v>7</v>
      </c>
      <c r="C692" s="233">
        <v>14</v>
      </c>
      <c r="D692" s="234">
        <v>0</v>
      </c>
      <c r="E692" s="234">
        <v>1</v>
      </c>
      <c r="G692" s="443"/>
      <c r="H692" s="444" t="s">
        <v>38</v>
      </c>
      <c r="I692" s="445" t="s">
        <v>4229</v>
      </c>
      <c r="J692" s="446" t="s">
        <v>2753</v>
      </c>
      <c r="K692" s="447"/>
      <c r="L692" s="448"/>
      <c r="M692" s="448"/>
      <c r="N692" s="449">
        <v>508248.73751072597</v>
      </c>
      <c r="O692" s="432"/>
      <c r="P692" s="435"/>
    </row>
    <row r="693" spans="1:16" ht="13.9" hidden="1" customHeight="1" outlineLevel="2" x14ac:dyDescent="0.2">
      <c r="A693" s="233">
        <v>0</v>
      </c>
      <c r="B693" s="233">
        <v>7</v>
      </c>
      <c r="C693" s="233">
        <v>14</v>
      </c>
      <c r="D693" s="234">
        <v>1</v>
      </c>
      <c r="E693" s="234">
        <v>0</v>
      </c>
      <c r="G693" s="474"/>
      <c r="H693" s="451" t="s">
        <v>1237</v>
      </c>
      <c r="I693" s="452" t="s">
        <v>4230</v>
      </c>
      <c r="J693" s="453" t="s">
        <v>2239</v>
      </c>
      <c r="K693" s="454"/>
      <c r="L693" s="455"/>
      <c r="M693" s="455"/>
      <c r="N693" s="456">
        <v>165838.40289917501</v>
      </c>
      <c r="O693" s="457"/>
      <c r="P693" s="430"/>
    </row>
    <row r="694" spans="1:16" ht="13.9" hidden="1" customHeight="1" outlineLevel="3" x14ac:dyDescent="0.2">
      <c r="A694" s="233">
        <v>0</v>
      </c>
      <c r="B694" s="233">
        <v>7</v>
      </c>
      <c r="C694" s="233">
        <v>14</v>
      </c>
      <c r="D694" s="234">
        <v>1</v>
      </c>
      <c r="E694" s="234">
        <v>1</v>
      </c>
      <c r="G694" s="458" t="s">
        <v>17</v>
      </c>
      <c r="H694" s="459" t="s">
        <v>1238</v>
      </c>
      <c r="I694" s="460" t="s">
        <v>4231</v>
      </c>
      <c r="J694" s="461" t="s">
        <v>2738</v>
      </c>
      <c r="K694" s="462" t="s">
        <v>1129</v>
      </c>
      <c r="L694" s="463">
        <v>1</v>
      </c>
      <c r="M694" s="463">
        <v>165838.40289917515</v>
      </c>
      <c r="N694" s="464">
        <v>165838.40289917501</v>
      </c>
      <c r="O694" s="465" t="s">
        <v>2736</v>
      </c>
      <c r="P694" s="431" t="s">
        <v>6711</v>
      </c>
    </row>
    <row r="695" spans="1:16" ht="13.9" hidden="1" customHeight="1" outlineLevel="2" x14ac:dyDescent="0.2">
      <c r="A695" s="233">
        <v>0</v>
      </c>
      <c r="B695" s="233">
        <v>7</v>
      </c>
      <c r="C695" s="233">
        <v>14</v>
      </c>
      <c r="D695" s="234">
        <v>2</v>
      </c>
      <c r="E695" s="234">
        <v>0</v>
      </c>
      <c r="G695" s="474"/>
      <c r="H695" s="451" t="s">
        <v>1237</v>
      </c>
      <c r="I695" s="452" t="s">
        <v>4232</v>
      </c>
      <c r="J695" s="453" t="s">
        <v>2328</v>
      </c>
      <c r="K695" s="454"/>
      <c r="L695" s="455"/>
      <c r="M695" s="455"/>
      <c r="N695" s="456">
        <v>277434.45461155102</v>
      </c>
      <c r="O695" s="457"/>
      <c r="P695" s="430"/>
    </row>
    <row r="696" spans="1:16" ht="13.9" hidden="1" customHeight="1" outlineLevel="3" x14ac:dyDescent="0.2">
      <c r="A696" s="233">
        <v>0</v>
      </c>
      <c r="B696" s="233">
        <v>7</v>
      </c>
      <c r="C696" s="233">
        <v>14</v>
      </c>
      <c r="D696" s="234">
        <v>2</v>
      </c>
      <c r="E696" s="234">
        <v>1</v>
      </c>
      <c r="G696" s="458" t="s">
        <v>17</v>
      </c>
      <c r="H696" s="459" t="s">
        <v>1238</v>
      </c>
      <c r="I696" s="460" t="s">
        <v>4233</v>
      </c>
      <c r="J696" s="461" t="s">
        <v>2328</v>
      </c>
      <c r="K696" s="462" t="s">
        <v>1129</v>
      </c>
      <c r="L696" s="463">
        <v>1</v>
      </c>
      <c r="M696" s="463">
        <v>277434.45461155119</v>
      </c>
      <c r="N696" s="464">
        <v>277434.45461155102</v>
      </c>
      <c r="O696" s="465" t="s">
        <v>2736</v>
      </c>
      <c r="P696" s="431" t="s">
        <v>6711</v>
      </c>
    </row>
    <row r="697" spans="1:16" ht="13.9" hidden="1" customHeight="1" outlineLevel="2" x14ac:dyDescent="0.2">
      <c r="A697" s="233">
        <v>0</v>
      </c>
      <c r="B697" s="233">
        <v>7</v>
      </c>
      <c r="C697" s="233">
        <v>14</v>
      </c>
      <c r="D697" s="234">
        <v>3</v>
      </c>
      <c r="E697" s="234">
        <v>0</v>
      </c>
      <c r="G697" s="474"/>
      <c r="H697" s="451" t="s">
        <v>1237</v>
      </c>
      <c r="I697" s="452" t="s">
        <v>4234</v>
      </c>
      <c r="J697" s="453" t="s">
        <v>2329</v>
      </c>
      <c r="K697" s="454"/>
      <c r="L697" s="455"/>
      <c r="M697" s="455"/>
      <c r="N697" s="456">
        <v>252</v>
      </c>
      <c r="O697" s="457"/>
      <c r="P697" s="430"/>
    </row>
    <row r="698" spans="1:16" ht="13.9" hidden="1" customHeight="1" outlineLevel="3" x14ac:dyDescent="0.2">
      <c r="A698" s="233">
        <v>0</v>
      </c>
      <c r="B698" s="233">
        <v>7</v>
      </c>
      <c r="C698" s="233">
        <v>14</v>
      </c>
      <c r="D698" s="234">
        <v>3</v>
      </c>
      <c r="E698" s="234">
        <v>1</v>
      </c>
      <c r="G698" s="458" t="s">
        <v>17</v>
      </c>
      <c r="H698" s="459" t="s">
        <v>1238</v>
      </c>
      <c r="I698" s="460" t="s">
        <v>4235</v>
      </c>
      <c r="J698" s="461" t="s">
        <v>2329</v>
      </c>
      <c r="K698" s="462" t="s">
        <v>1129</v>
      </c>
      <c r="L698" s="463">
        <v>1</v>
      </c>
      <c r="M698" s="463">
        <v>252</v>
      </c>
      <c r="N698" s="464">
        <v>252</v>
      </c>
      <c r="O698" s="465" t="s">
        <v>2739</v>
      </c>
      <c r="P698" s="431" t="s">
        <v>6711</v>
      </c>
    </row>
    <row r="699" spans="1:16" ht="13.9" hidden="1" customHeight="1" outlineLevel="2" x14ac:dyDescent="0.2">
      <c r="A699" s="233">
        <v>0</v>
      </c>
      <c r="B699" s="233">
        <v>7</v>
      </c>
      <c r="C699" s="233">
        <v>14</v>
      </c>
      <c r="D699" s="234">
        <v>4</v>
      </c>
      <c r="E699" s="234">
        <v>0</v>
      </c>
      <c r="G699" s="474"/>
      <c r="H699" s="451" t="s">
        <v>1237</v>
      </c>
      <c r="I699" s="452" t="s">
        <v>4236</v>
      </c>
      <c r="J699" s="453" t="s">
        <v>2240</v>
      </c>
      <c r="K699" s="454"/>
      <c r="L699" s="455"/>
      <c r="M699" s="455"/>
      <c r="N699" s="456">
        <v>60448.12</v>
      </c>
      <c r="O699" s="457"/>
      <c r="P699" s="430"/>
    </row>
    <row r="700" spans="1:16" ht="13.9" hidden="1" customHeight="1" outlineLevel="3" x14ac:dyDescent="0.2">
      <c r="A700" s="233">
        <v>0</v>
      </c>
      <c r="B700" s="233">
        <v>7</v>
      </c>
      <c r="C700" s="233">
        <v>14</v>
      </c>
      <c r="D700" s="234">
        <v>4</v>
      </c>
      <c r="E700" s="234">
        <v>1</v>
      </c>
      <c r="G700" s="458" t="s">
        <v>17</v>
      </c>
      <c r="H700" s="459" t="s">
        <v>1238</v>
      </c>
      <c r="I700" s="460" t="s">
        <v>4237</v>
      </c>
      <c r="J700" s="461" t="s">
        <v>2240</v>
      </c>
      <c r="K700" s="462" t="s">
        <v>1129</v>
      </c>
      <c r="L700" s="463">
        <v>1</v>
      </c>
      <c r="M700" s="463">
        <v>60448.12</v>
      </c>
      <c r="N700" s="464">
        <v>60448.12</v>
      </c>
      <c r="O700" s="465" t="s">
        <v>2740</v>
      </c>
      <c r="P700" s="431" t="s">
        <v>6711</v>
      </c>
    </row>
    <row r="701" spans="1:16" ht="13.9" hidden="1" customHeight="1" outlineLevel="2" x14ac:dyDescent="0.2">
      <c r="A701" s="233">
        <v>0</v>
      </c>
      <c r="B701" s="233">
        <v>7</v>
      </c>
      <c r="C701" s="233">
        <v>14</v>
      </c>
      <c r="D701" s="234">
        <v>5</v>
      </c>
      <c r="E701" s="234">
        <v>0</v>
      </c>
      <c r="G701" s="474"/>
      <c r="H701" s="451" t="s">
        <v>1237</v>
      </c>
      <c r="I701" s="452" t="s">
        <v>4238</v>
      </c>
      <c r="J701" s="453" t="s">
        <v>1254</v>
      </c>
      <c r="K701" s="454"/>
      <c r="L701" s="455"/>
      <c r="M701" s="455"/>
      <c r="N701" s="456">
        <v>4275.76</v>
      </c>
      <c r="O701" s="457"/>
      <c r="P701" s="430"/>
    </row>
    <row r="702" spans="1:16" ht="13.9" hidden="1" customHeight="1" outlineLevel="3" x14ac:dyDescent="0.2">
      <c r="A702" s="233">
        <v>0</v>
      </c>
      <c r="B702" s="233">
        <v>7</v>
      </c>
      <c r="C702" s="233">
        <v>14</v>
      </c>
      <c r="D702" s="234">
        <v>5</v>
      </c>
      <c r="E702" s="234">
        <v>1</v>
      </c>
      <c r="G702" s="458" t="s">
        <v>17</v>
      </c>
      <c r="H702" s="459" t="s">
        <v>1238</v>
      </c>
      <c r="I702" s="460" t="s">
        <v>4239</v>
      </c>
      <c r="J702" s="461" t="s">
        <v>1255</v>
      </c>
      <c r="K702" s="462" t="s">
        <v>1129</v>
      </c>
      <c r="L702" s="463">
        <v>1</v>
      </c>
      <c r="M702" s="463">
        <v>4275.76</v>
      </c>
      <c r="N702" s="464">
        <v>4275.76</v>
      </c>
      <c r="O702" s="471" t="s">
        <v>3018</v>
      </c>
      <c r="P702" s="431" t="s">
        <v>6711</v>
      </c>
    </row>
    <row r="703" spans="1:16" ht="13.9" customHeight="1" collapsed="1" x14ac:dyDescent="0.2">
      <c r="A703" s="233">
        <v>0</v>
      </c>
      <c r="B703" s="233">
        <v>8</v>
      </c>
      <c r="C703" s="233">
        <v>0</v>
      </c>
      <c r="D703" s="234">
        <v>5</v>
      </c>
      <c r="E703" s="234">
        <v>1</v>
      </c>
      <c r="F703" s="237"/>
      <c r="G703" s="501"/>
      <c r="H703" s="437" t="s">
        <v>1236</v>
      </c>
      <c r="I703" s="438" t="s">
        <v>4240</v>
      </c>
      <c r="J703" s="439" t="s">
        <v>1256</v>
      </c>
      <c r="K703" s="440"/>
      <c r="L703" s="441"/>
      <c r="M703" s="441"/>
      <c r="N703" s="442">
        <v>2726218.0507999999</v>
      </c>
      <c r="O703" s="480">
        <v>162.76249327897199</v>
      </c>
      <c r="P703" s="433"/>
    </row>
    <row r="704" spans="1:16" ht="13.9" hidden="1" customHeight="1" outlineLevel="1" x14ac:dyDescent="0.2">
      <c r="A704" s="233">
        <v>0</v>
      </c>
      <c r="B704" s="233">
        <v>8</v>
      </c>
      <c r="C704" s="233">
        <v>1</v>
      </c>
      <c r="D704" s="234">
        <v>0</v>
      </c>
      <c r="E704" s="234">
        <v>1</v>
      </c>
      <c r="G704" s="443"/>
      <c r="H704" s="444" t="s">
        <v>38</v>
      </c>
      <c r="I704" s="445" t="s">
        <v>4241</v>
      </c>
      <c r="J704" s="446" t="s">
        <v>2785</v>
      </c>
      <c r="K704" s="447"/>
      <c r="L704" s="448"/>
      <c r="M704" s="448"/>
      <c r="N704" s="449">
        <v>95954.486999999994</v>
      </c>
      <c r="O704" s="432"/>
      <c r="P704" s="435"/>
    </row>
    <row r="705" spans="1:16" ht="13.9" hidden="1" customHeight="1" outlineLevel="2" x14ac:dyDescent="0.2">
      <c r="A705" s="233">
        <v>0</v>
      </c>
      <c r="B705" s="233">
        <v>8</v>
      </c>
      <c r="C705" s="233">
        <v>1</v>
      </c>
      <c r="D705" s="234">
        <v>1</v>
      </c>
      <c r="E705" s="234">
        <v>0</v>
      </c>
      <c r="G705" s="450"/>
      <c r="H705" s="451" t="s">
        <v>1237</v>
      </c>
      <c r="I705" s="452" t="s">
        <v>4242</v>
      </c>
      <c r="J705" s="453" t="s">
        <v>2330</v>
      </c>
      <c r="K705" s="454"/>
      <c r="L705" s="455"/>
      <c r="M705" s="455"/>
      <c r="N705" s="456">
        <v>16802</v>
      </c>
      <c r="O705" s="457"/>
      <c r="P705" s="430"/>
    </row>
    <row r="706" spans="1:16" ht="13.9" hidden="1" customHeight="1" outlineLevel="3" x14ac:dyDescent="0.2">
      <c r="A706" s="233">
        <v>0</v>
      </c>
      <c r="B706" s="233">
        <v>8</v>
      </c>
      <c r="C706" s="233">
        <v>1</v>
      </c>
      <c r="D706" s="234">
        <v>1</v>
      </c>
      <c r="E706" s="234">
        <v>1</v>
      </c>
      <c r="G706" s="500" t="s">
        <v>1256</v>
      </c>
      <c r="H706" s="459" t="s">
        <v>1238</v>
      </c>
      <c r="I706" s="460" t="s">
        <v>4243</v>
      </c>
      <c r="J706" s="461" t="s">
        <v>2330</v>
      </c>
      <c r="K706" s="462" t="s">
        <v>1129</v>
      </c>
      <c r="L706" s="463">
        <v>1</v>
      </c>
      <c r="M706" s="463">
        <v>16802</v>
      </c>
      <c r="N706" s="464">
        <v>16802</v>
      </c>
      <c r="O706" s="465" t="s">
        <v>2323</v>
      </c>
      <c r="P706" s="431" t="s">
        <v>6711</v>
      </c>
    </row>
    <row r="707" spans="1:16" ht="13.9" hidden="1" customHeight="1" outlineLevel="2" x14ac:dyDescent="0.2">
      <c r="A707" s="233">
        <v>0</v>
      </c>
      <c r="B707" s="233">
        <v>8</v>
      </c>
      <c r="C707" s="233">
        <v>1</v>
      </c>
      <c r="D707" s="234">
        <v>2</v>
      </c>
      <c r="E707" s="234">
        <v>0</v>
      </c>
      <c r="G707" s="450"/>
      <c r="H707" s="451" t="s">
        <v>1237</v>
      </c>
      <c r="I707" s="452" t="s">
        <v>4244</v>
      </c>
      <c r="J707" s="453" t="s">
        <v>2331</v>
      </c>
      <c r="K707" s="454"/>
      <c r="L707" s="455"/>
      <c r="M707" s="455"/>
      <c r="N707" s="456">
        <v>2892.59</v>
      </c>
      <c r="O707" s="457"/>
      <c r="P707" s="430"/>
    </row>
    <row r="708" spans="1:16" ht="13.9" hidden="1" customHeight="1" outlineLevel="3" x14ac:dyDescent="0.2">
      <c r="A708" s="233">
        <v>0</v>
      </c>
      <c r="B708" s="233">
        <v>8</v>
      </c>
      <c r="C708" s="233">
        <v>1</v>
      </c>
      <c r="D708" s="234">
        <v>2</v>
      </c>
      <c r="E708" s="234">
        <v>1</v>
      </c>
      <c r="G708" s="500" t="s">
        <v>1256</v>
      </c>
      <c r="H708" s="459" t="s">
        <v>1238</v>
      </c>
      <c r="I708" s="460" t="s">
        <v>4245</v>
      </c>
      <c r="J708" s="461" t="s">
        <v>2331</v>
      </c>
      <c r="K708" s="462" t="s">
        <v>1129</v>
      </c>
      <c r="L708" s="463">
        <v>1</v>
      </c>
      <c r="M708" s="463">
        <v>2892.59</v>
      </c>
      <c r="N708" s="464">
        <v>2892.59</v>
      </c>
      <c r="O708" s="465" t="s">
        <v>2323</v>
      </c>
      <c r="P708" s="431" t="s">
        <v>6711</v>
      </c>
    </row>
    <row r="709" spans="1:16" ht="13.9" hidden="1" customHeight="1" outlineLevel="2" x14ac:dyDescent="0.2">
      <c r="A709" s="233">
        <v>0</v>
      </c>
      <c r="B709" s="233">
        <v>8</v>
      </c>
      <c r="C709" s="233">
        <v>1</v>
      </c>
      <c r="D709" s="234">
        <v>3</v>
      </c>
      <c r="E709" s="234">
        <v>0</v>
      </c>
      <c r="G709" s="450"/>
      <c r="H709" s="451" t="s">
        <v>1237</v>
      </c>
      <c r="I709" s="452" t="s">
        <v>4246</v>
      </c>
      <c r="J709" s="453" t="s">
        <v>2801</v>
      </c>
      <c r="K709" s="454"/>
      <c r="L709" s="455"/>
      <c r="M709" s="455"/>
      <c r="N709" s="456">
        <v>66734.2</v>
      </c>
      <c r="O709" s="457"/>
      <c r="P709" s="430"/>
    </row>
    <row r="710" spans="1:16" ht="13.9" hidden="1" customHeight="1" outlineLevel="3" x14ac:dyDescent="0.2">
      <c r="A710" s="233">
        <v>0</v>
      </c>
      <c r="B710" s="233">
        <v>8</v>
      </c>
      <c r="C710" s="233">
        <v>1</v>
      </c>
      <c r="D710" s="234">
        <v>3</v>
      </c>
      <c r="E710" s="234">
        <v>1</v>
      </c>
      <c r="G710" s="500" t="s">
        <v>1256</v>
      </c>
      <c r="H710" s="459" t="s">
        <v>1238</v>
      </c>
      <c r="I710" s="460" t="s">
        <v>4247</v>
      </c>
      <c r="J710" s="461" t="s">
        <v>2801</v>
      </c>
      <c r="K710" s="462" t="s">
        <v>1129</v>
      </c>
      <c r="L710" s="463">
        <v>1</v>
      </c>
      <c r="M710" s="463">
        <v>66734.2</v>
      </c>
      <c r="N710" s="464">
        <v>66734.2</v>
      </c>
      <c r="O710" s="465" t="s">
        <v>2323</v>
      </c>
      <c r="P710" s="431" t="s">
        <v>6711</v>
      </c>
    </row>
    <row r="711" spans="1:16" ht="13.9" hidden="1" customHeight="1" outlineLevel="2" x14ac:dyDescent="0.2">
      <c r="A711" s="233">
        <v>0</v>
      </c>
      <c r="B711" s="233">
        <v>8</v>
      </c>
      <c r="C711" s="233">
        <v>1</v>
      </c>
      <c r="D711" s="234">
        <v>4</v>
      </c>
      <c r="E711" s="234">
        <v>0</v>
      </c>
      <c r="G711" s="450"/>
      <c r="H711" s="451" t="s">
        <v>1237</v>
      </c>
      <c r="I711" s="452" t="s">
        <v>4248</v>
      </c>
      <c r="J711" s="453" t="s">
        <v>2332</v>
      </c>
      <c r="K711" s="454"/>
      <c r="L711" s="455"/>
      <c r="M711" s="455"/>
      <c r="N711" s="456">
        <v>0</v>
      </c>
      <c r="O711" s="457"/>
      <c r="P711" s="430"/>
    </row>
    <row r="712" spans="1:16" ht="13.9" hidden="1" customHeight="1" outlineLevel="3" x14ac:dyDescent="0.2">
      <c r="A712" s="233">
        <v>0</v>
      </c>
      <c r="B712" s="233">
        <v>8</v>
      </c>
      <c r="C712" s="233">
        <v>1</v>
      </c>
      <c r="D712" s="234">
        <v>4</v>
      </c>
      <c r="E712" s="234">
        <v>1</v>
      </c>
      <c r="G712" s="500" t="s">
        <v>1256</v>
      </c>
      <c r="H712" s="459" t="s">
        <v>1238</v>
      </c>
      <c r="I712" s="460" t="s">
        <v>4249</v>
      </c>
      <c r="J712" s="461" t="s">
        <v>2332</v>
      </c>
      <c r="K712" s="462" t="s">
        <v>1129</v>
      </c>
      <c r="L712" s="463">
        <v>1</v>
      </c>
      <c r="M712" s="463">
        <v>0</v>
      </c>
      <c r="N712" s="464">
        <v>0</v>
      </c>
      <c r="O712" s="465" t="s">
        <v>2799</v>
      </c>
      <c r="P712" s="431" t="s">
        <v>6711</v>
      </c>
    </row>
    <row r="713" spans="1:16" ht="13.9" hidden="1" customHeight="1" outlineLevel="2" x14ac:dyDescent="0.2">
      <c r="A713" s="233">
        <v>0</v>
      </c>
      <c r="B713" s="233">
        <v>8</v>
      </c>
      <c r="C713" s="233">
        <v>1</v>
      </c>
      <c r="D713" s="234">
        <v>5</v>
      </c>
      <c r="E713" s="234">
        <v>0</v>
      </c>
      <c r="G713" s="450"/>
      <c r="H713" s="451" t="s">
        <v>1237</v>
      </c>
      <c r="I713" s="452" t="s">
        <v>4250</v>
      </c>
      <c r="J713" s="453" t="s">
        <v>2241</v>
      </c>
      <c r="K713" s="454"/>
      <c r="L713" s="455"/>
      <c r="M713" s="455"/>
      <c r="N713" s="456">
        <v>5602.7969999999996</v>
      </c>
      <c r="O713" s="457"/>
      <c r="P713" s="430"/>
    </row>
    <row r="714" spans="1:16" ht="13.9" hidden="1" customHeight="1" outlineLevel="3" x14ac:dyDescent="0.2">
      <c r="A714" s="233">
        <v>0</v>
      </c>
      <c r="B714" s="233">
        <v>8</v>
      </c>
      <c r="C714" s="233">
        <v>1</v>
      </c>
      <c r="D714" s="234">
        <v>5</v>
      </c>
      <c r="E714" s="234">
        <v>1</v>
      </c>
      <c r="G714" s="500" t="s">
        <v>1256</v>
      </c>
      <c r="H714" s="459" t="s">
        <v>1238</v>
      </c>
      <c r="I714" s="460" t="s">
        <v>4251</v>
      </c>
      <c r="J714" s="461" t="s">
        <v>2241</v>
      </c>
      <c r="K714" s="462" t="s">
        <v>1129</v>
      </c>
      <c r="L714" s="463">
        <v>1</v>
      </c>
      <c r="M714" s="463">
        <v>5602.7970000000005</v>
      </c>
      <c r="N714" s="464">
        <v>5602.7969999999996</v>
      </c>
      <c r="O714" s="465" t="s">
        <v>2323</v>
      </c>
      <c r="P714" s="431" t="s">
        <v>6711</v>
      </c>
    </row>
    <row r="715" spans="1:16" ht="13.9" hidden="1" customHeight="1" outlineLevel="2" x14ac:dyDescent="0.2">
      <c r="A715" s="233">
        <v>0</v>
      </c>
      <c r="B715" s="233">
        <v>8</v>
      </c>
      <c r="C715" s="233">
        <v>1</v>
      </c>
      <c r="D715" s="234">
        <v>6</v>
      </c>
      <c r="E715" s="234">
        <v>0</v>
      </c>
      <c r="G715" s="450"/>
      <c r="H715" s="451" t="s">
        <v>1237</v>
      </c>
      <c r="I715" s="452" t="s">
        <v>4252</v>
      </c>
      <c r="J715" s="453" t="s">
        <v>2240</v>
      </c>
      <c r="K715" s="454"/>
      <c r="L715" s="455"/>
      <c r="M715" s="455"/>
      <c r="N715" s="456">
        <v>0</v>
      </c>
      <c r="O715" s="457"/>
      <c r="P715" s="430"/>
    </row>
    <row r="716" spans="1:16" ht="13.9" hidden="1" customHeight="1" outlineLevel="3" x14ac:dyDescent="0.2">
      <c r="A716" s="233">
        <v>0</v>
      </c>
      <c r="B716" s="233">
        <v>8</v>
      </c>
      <c r="C716" s="233">
        <v>1</v>
      </c>
      <c r="D716" s="234">
        <v>6</v>
      </c>
      <c r="E716" s="234">
        <v>1</v>
      </c>
      <c r="G716" s="500" t="s">
        <v>1256</v>
      </c>
      <c r="H716" s="459" t="s">
        <v>1238</v>
      </c>
      <c r="I716" s="460" t="s">
        <v>4253</v>
      </c>
      <c r="J716" s="461" t="s">
        <v>2240</v>
      </c>
      <c r="K716" s="462" t="s">
        <v>1129</v>
      </c>
      <c r="L716" s="463">
        <v>1</v>
      </c>
      <c r="M716" s="463">
        <v>0</v>
      </c>
      <c r="N716" s="464">
        <v>0</v>
      </c>
      <c r="O716" s="465" t="s">
        <v>2323</v>
      </c>
      <c r="P716" s="431" t="s">
        <v>6711</v>
      </c>
    </row>
    <row r="717" spans="1:16" ht="13.9" hidden="1" customHeight="1" outlineLevel="2" x14ac:dyDescent="0.2">
      <c r="A717" s="233">
        <v>0</v>
      </c>
      <c r="B717" s="233">
        <v>8</v>
      </c>
      <c r="C717" s="233">
        <v>1</v>
      </c>
      <c r="D717" s="234">
        <v>7</v>
      </c>
      <c r="E717" s="234">
        <v>0</v>
      </c>
      <c r="G717" s="450"/>
      <c r="H717" s="451" t="s">
        <v>1237</v>
      </c>
      <c r="I717" s="452" t="s">
        <v>4254</v>
      </c>
      <c r="J717" s="453" t="s">
        <v>14</v>
      </c>
      <c r="K717" s="454"/>
      <c r="L717" s="455"/>
      <c r="M717" s="455"/>
      <c r="N717" s="456">
        <v>3922.9</v>
      </c>
      <c r="O717" s="457"/>
      <c r="P717" s="430"/>
    </row>
    <row r="718" spans="1:16" ht="13.9" hidden="1" customHeight="1" outlineLevel="3" x14ac:dyDescent="0.2">
      <c r="A718" s="233">
        <v>0</v>
      </c>
      <c r="B718" s="233">
        <v>8</v>
      </c>
      <c r="C718" s="233">
        <v>1</v>
      </c>
      <c r="D718" s="234">
        <v>7</v>
      </c>
      <c r="E718" s="234">
        <v>1</v>
      </c>
      <c r="G718" s="500" t="s">
        <v>1256</v>
      </c>
      <c r="H718" s="459" t="s">
        <v>1238</v>
      </c>
      <c r="I718" s="460" t="s">
        <v>4255</v>
      </c>
      <c r="J718" s="461" t="s">
        <v>1257</v>
      </c>
      <c r="K718" s="462" t="s">
        <v>1129</v>
      </c>
      <c r="L718" s="463">
        <v>1</v>
      </c>
      <c r="M718" s="463">
        <v>3922.9</v>
      </c>
      <c r="N718" s="464">
        <v>3922.9</v>
      </c>
      <c r="O718" s="475" t="s">
        <v>2333</v>
      </c>
      <c r="P718" s="431" t="s">
        <v>6711</v>
      </c>
    </row>
    <row r="719" spans="1:16" ht="13.9" hidden="1" customHeight="1" outlineLevel="1" x14ac:dyDescent="0.2">
      <c r="A719" s="233">
        <v>0</v>
      </c>
      <c r="B719" s="233">
        <v>8</v>
      </c>
      <c r="C719" s="233">
        <v>2</v>
      </c>
      <c r="D719" s="234">
        <v>0</v>
      </c>
      <c r="E719" s="234">
        <v>1</v>
      </c>
      <c r="G719" s="443"/>
      <c r="H719" s="444" t="s">
        <v>38</v>
      </c>
      <c r="I719" s="445" t="s">
        <v>4256</v>
      </c>
      <c r="J719" s="446" t="s">
        <v>2786</v>
      </c>
      <c r="K719" s="447"/>
      <c r="L719" s="448"/>
      <c r="M719" s="448"/>
      <c r="N719" s="449">
        <v>138596.63500000001</v>
      </c>
      <c r="O719" s="432"/>
      <c r="P719" s="435"/>
    </row>
    <row r="720" spans="1:16" ht="13.9" hidden="1" customHeight="1" outlineLevel="2" x14ac:dyDescent="0.2">
      <c r="A720" s="233">
        <v>0</v>
      </c>
      <c r="B720" s="233">
        <v>8</v>
      </c>
      <c r="C720" s="233">
        <v>2</v>
      </c>
      <c r="D720" s="234">
        <v>1</v>
      </c>
      <c r="E720" s="234">
        <v>0</v>
      </c>
      <c r="G720" s="450"/>
      <c r="H720" s="451" t="s">
        <v>1237</v>
      </c>
      <c r="I720" s="452" t="s">
        <v>4257</v>
      </c>
      <c r="J720" s="453" t="s">
        <v>2330</v>
      </c>
      <c r="K720" s="454"/>
      <c r="L720" s="455"/>
      <c r="M720" s="455"/>
      <c r="N720" s="456">
        <v>6776</v>
      </c>
      <c r="O720" s="457"/>
      <c r="P720" s="430"/>
    </row>
    <row r="721" spans="1:16" ht="13.9" hidden="1" customHeight="1" outlineLevel="3" x14ac:dyDescent="0.2">
      <c r="A721" s="233">
        <v>0</v>
      </c>
      <c r="B721" s="233">
        <v>8</v>
      </c>
      <c r="C721" s="233">
        <v>2</v>
      </c>
      <c r="D721" s="234">
        <v>1</v>
      </c>
      <c r="E721" s="234">
        <v>1</v>
      </c>
      <c r="G721" s="500" t="s">
        <v>1256</v>
      </c>
      <c r="H721" s="459" t="s">
        <v>1238</v>
      </c>
      <c r="I721" s="460" t="s">
        <v>4258</v>
      </c>
      <c r="J721" s="461" t="s">
        <v>2330</v>
      </c>
      <c r="K721" s="462" t="s">
        <v>1129</v>
      </c>
      <c r="L721" s="463">
        <v>1</v>
      </c>
      <c r="M721" s="463">
        <v>6776</v>
      </c>
      <c r="N721" s="464">
        <v>6776</v>
      </c>
      <c r="O721" s="465" t="s">
        <v>2323</v>
      </c>
      <c r="P721" s="431" t="s">
        <v>6711</v>
      </c>
    </row>
    <row r="722" spans="1:16" ht="13.9" hidden="1" customHeight="1" outlineLevel="2" x14ac:dyDescent="0.2">
      <c r="A722" s="233">
        <v>0</v>
      </c>
      <c r="B722" s="233">
        <v>8</v>
      </c>
      <c r="C722" s="233">
        <v>2</v>
      </c>
      <c r="D722" s="234">
        <v>2</v>
      </c>
      <c r="E722" s="234">
        <v>0</v>
      </c>
      <c r="G722" s="450"/>
      <c r="H722" s="451" t="s">
        <v>1237</v>
      </c>
      <c r="I722" s="452" t="s">
        <v>4259</v>
      </c>
      <c r="J722" s="453" t="s">
        <v>2331</v>
      </c>
      <c r="K722" s="454"/>
      <c r="L722" s="455"/>
      <c r="M722" s="455"/>
      <c r="N722" s="456">
        <v>2329.23</v>
      </c>
      <c r="O722" s="457"/>
      <c r="P722" s="430"/>
    </row>
    <row r="723" spans="1:16" ht="13.9" hidden="1" customHeight="1" outlineLevel="3" x14ac:dyDescent="0.2">
      <c r="A723" s="233">
        <v>0</v>
      </c>
      <c r="B723" s="233">
        <v>8</v>
      </c>
      <c r="C723" s="233">
        <v>2</v>
      </c>
      <c r="D723" s="234">
        <v>2</v>
      </c>
      <c r="E723" s="234">
        <v>1</v>
      </c>
      <c r="G723" s="500" t="s">
        <v>1256</v>
      </c>
      <c r="H723" s="459" t="s">
        <v>1238</v>
      </c>
      <c r="I723" s="460" t="s">
        <v>4260</v>
      </c>
      <c r="J723" s="461" t="s">
        <v>2331</v>
      </c>
      <c r="K723" s="462" t="s">
        <v>1129</v>
      </c>
      <c r="L723" s="463">
        <v>1</v>
      </c>
      <c r="M723" s="463">
        <v>2329.23</v>
      </c>
      <c r="N723" s="464">
        <v>2329.23</v>
      </c>
      <c r="O723" s="465" t="s">
        <v>2323</v>
      </c>
      <c r="P723" s="431" t="s">
        <v>6711</v>
      </c>
    </row>
    <row r="724" spans="1:16" ht="13.9" hidden="1" customHeight="1" outlineLevel="2" x14ac:dyDescent="0.2">
      <c r="A724" s="233">
        <v>0</v>
      </c>
      <c r="B724" s="233">
        <v>8</v>
      </c>
      <c r="C724" s="233">
        <v>2</v>
      </c>
      <c r="D724" s="234">
        <v>3</v>
      </c>
      <c r="E724" s="234">
        <v>0</v>
      </c>
      <c r="G724" s="450"/>
      <c r="H724" s="451" t="s">
        <v>1237</v>
      </c>
      <c r="I724" s="452" t="s">
        <v>4261</v>
      </c>
      <c r="J724" s="453" t="s">
        <v>2801</v>
      </c>
      <c r="K724" s="454"/>
      <c r="L724" s="455"/>
      <c r="M724" s="455"/>
      <c r="N724" s="456">
        <v>116980.6</v>
      </c>
      <c r="O724" s="457"/>
      <c r="P724" s="430"/>
    </row>
    <row r="725" spans="1:16" ht="13.9" hidden="1" customHeight="1" outlineLevel="3" x14ac:dyDescent="0.2">
      <c r="A725" s="233">
        <v>0</v>
      </c>
      <c r="B725" s="233">
        <v>8</v>
      </c>
      <c r="C725" s="233">
        <v>2</v>
      </c>
      <c r="D725" s="234">
        <v>3</v>
      </c>
      <c r="E725" s="234">
        <v>1</v>
      </c>
      <c r="G725" s="500" t="s">
        <v>1256</v>
      </c>
      <c r="H725" s="459" t="s">
        <v>1238</v>
      </c>
      <c r="I725" s="460" t="s">
        <v>4262</v>
      </c>
      <c r="J725" s="461" t="s">
        <v>2801</v>
      </c>
      <c r="K725" s="462" t="s">
        <v>1129</v>
      </c>
      <c r="L725" s="463">
        <v>1</v>
      </c>
      <c r="M725" s="463">
        <v>116980.6</v>
      </c>
      <c r="N725" s="464">
        <v>116980.6</v>
      </c>
      <c r="O725" s="465" t="s">
        <v>2323</v>
      </c>
      <c r="P725" s="431" t="s">
        <v>6711</v>
      </c>
    </row>
    <row r="726" spans="1:16" ht="13.9" hidden="1" customHeight="1" outlineLevel="2" x14ac:dyDescent="0.2">
      <c r="A726" s="233">
        <v>0</v>
      </c>
      <c r="B726" s="233">
        <v>8</v>
      </c>
      <c r="C726" s="233">
        <v>2</v>
      </c>
      <c r="D726" s="234">
        <v>4</v>
      </c>
      <c r="E726" s="234">
        <v>0</v>
      </c>
      <c r="G726" s="450"/>
      <c r="H726" s="451" t="s">
        <v>1237</v>
      </c>
      <c r="I726" s="452" t="s">
        <v>4263</v>
      </c>
      <c r="J726" s="453" t="s">
        <v>2332</v>
      </c>
      <c r="K726" s="454"/>
      <c r="L726" s="455"/>
      <c r="M726" s="455"/>
      <c r="N726" s="456">
        <v>0</v>
      </c>
      <c r="O726" s="457"/>
      <c r="P726" s="430"/>
    </row>
    <row r="727" spans="1:16" ht="13.9" hidden="1" customHeight="1" outlineLevel="3" x14ac:dyDescent="0.2">
      <c r="A727" s="233">
        <v>0</v>
      </c>
      <c r="B727" s="233">
        <v>8</v>
      </c>
      <c r="C727" s="233">
        <v>2</v>
      </c>
      <c r="D727" s="234">
        <v>4</v>
      </c>
      <c r="E727" s="234">
        <v>1</v>
      </c>
      <c r="G727" s="500" t="s">
        <v>1256</v>
      </c>
      <c r="H727" s="459" t="s">
        <v>1238</v>
      </c>
      <c r="I727" s="460" t="s">
        <v>4264</v>
      </c>
      <c r="J727" s="461" t="s">
        <v>2332</v>
      </c>
      <c r="K727" s="462" t="s">
        <v>1129</v>
      </c>
      <c r="L727" s="463">
        <v>1</v>
      </c>
      <c r="M727" s="463"/>
      <c r="N727" s="464">
        <v>0</v>
      </c>
      <c r="O727" s="465" t="s">
        <v>2799</v>
      </c>
      <c r="P727" s="431" t="s">
        <v>6711</v>
      </c>
    </row>
    <row r="728" spans="1:16" ht="13.9" hidden="1" customHeight="1" outlineLevel="2" x14ac:dyDescent="0.2">
      <c r="A728" s="233">
        <v>0</v>
      </c>
      <c r="B728" s="233">
        <v>8</v>
      </c>
      <c r="C728" s="233">
        <v>2</v>
      </c>
      <c r="D728" s="234">
        <v>5</v>
      </c>
      <c r="E728" s="234">
        <v>0</v>
      </c>
      <c r="G728" s="450"/>
      <c r="H728" s="451" t="s">
        <v>1237</v>
      </c>
      <c r="I728" s="452" t="s">
        <v>4265</v>
      </c>
      <c r="J728" s="453" t="s">
        <v>2241</v>
      </c>
      <c r="K728" s="454"/>
      <c r="L728" s="455"/>
      <c r="M728" s="455"/>
      <c r="N728" s="456">
        <v>8505.0550000000003</v>
      </c>
      <c r="O728" s="457"/>
      <c r="P728" s="430"/>
    </row>
    <row r="729" spans="1:16" ht="13.9" hidden="1" customHeight="1" outlineLevel="3" x14ac:dyDescent="0.2">
      <c r="A729" s="233">
        <v>0</v>
      </c>
      <c r="B729" s="233">
        <v>8</v>
      </c>
      <c r="C729" s="233">
        <v>2</v>
      </c>
      <c r="D729" s="234">
        <v>5</v>
      </c>
      <c r="E729" s="234">
        <v>1</v>
      </c>
      <c r="G729" s="500" t="s">
        <v>1256</v>
      </c>
      <c r="H729" s="459" t="s">
        <v>1238</v>
      </c>
      <c r="I729" s="460" t="s">
        <v>4266</v>
      </c>
      <c r="J729" s="461" t="s">
        <v>2241</v>
      </c>
      <c r="K729" s="462" t="s">
        <v>1129</v>
      </c>
      <c r="L729" s="463">
        <v>1</v>
      </c>
      <c r="M729" s="463">
        <v>8505.0550000000003</v>
      </c>
      <c r="N729" s="464">
        <v>8505.0550000000003</v>
      </c>
      <c r="O729" s="465" t="s">
        <v>2323</v>
      </c>
      <c r="P729" s="431" t="s">
        <v>6711</v>
      </c>
    </row>
    <row r="730" spans="1:16" ht="13.9" hidden="1" customHeight="1" outlineLevel="2" x14ac:dyDescent="0.2">
      <c r="A730" s="233">
        <v>0</v>
      </c>
      <c r="B730" s="233">
        <v>8</v>
      </c>
      <c r="C730" s="233">
        <v>2</v>
      </c>
      <c r="D730" s="234">
        <v>6</v>
      </c>
      <c r="E730" s="234">
        <v>0</v>
      </c>
      <c r="G730" s="450"/>
      <c r="H730" s="451" t="s">
        <v>1237</v>
      </c>
      <c r="I730" s="452" t="s">
        <v>4267</v>
      </c>
      <c r="J730" s="453" t="s">
        <v>2240</v>
      </c>
      <c r="K730" s="454"/>
      <c r="L730" s="455"/>
      <c r="M730" s="455"/>
      <c r="N730" s="456">
        <v>0</v>
      </c>
      <c r="O730" s="457"/>
      <c r="P730" s="430"/>
    </row>
    <row r="731" spans="1:16" ht="13.9" hidden="1" customHeight="1" outlineLevel="3" x14ac:dyDescent="0.2">
      <c r="A731" s="233">
        <v>0</v>
      </c>
      <c r="B731" s="233">
        <v>8</v>
      </c>
      <c r="C731" s="233">
        <v>2</v>
      </c>
      <c r="D731" s="234">
        <v>6</v>
      </c>
      <c r="E731" s="234">
        <v>1</v>
      </c>
      <c r="G731" s="500" t="s">
        <v>1256</v>
      </c>
      <c r="H731" s="459" t="s">
        <v>1238</v>
      </c>
      <c r="I731" s="460" t="s">
        <v>4268</v>
      </c>
      <c r="J731" s="461" t="s">
        <v>2240</v>
      </c>
      <c r="K731" s="462" t="s">
        <v>1129</v>
      </c>
      <c r="L731" s="463">
        <v>1</v>
      </c>
      <c r="M731" s="463"/>
      <c r="N731" s="464">
        <v>0</v>
      </c>
      <c r="O731" s="465" t="s">
        <v>2323</v>
      </c>
      <c r="P731" s="431" t="s">
        <v>6711</v>
      </c>
    </row>
    <row r="732" spans="1:16" ht="13.9" hidden="1" customHeight="1" outlineLevel="2" x14ac:dyDescent="0.2">
      <c r="A732" s="233">
        <v>0</v>
      </c>
      <c r="B732" s="233">
        <v>8</v>
      </c>
      <c r="C732" s="233">
        <v>2</v>
      </c>
      <c r="D732" s="234">
        <v>7</v>
      </c>
      <c r="E732" s="234">
        <v>0</v>
      </c>
      <c r="G732" s="450"/>
      <c r="H732" s="451" t="s">
        <v>1237</v>
      </c>
      <c r="I732" s="452" t="s">
        <v>4269</v>
      </c>
      <c r="J732" s="453" t="s">
        <v>14</v>
      </c>
      <c r="K732" s="454"/>
      <c r="L732" s="455"/>
      <c r="M732" s="455"/>
      <c r="N732" s="456">
        <v>4005.75</v>
      </c>
      <c r="O732" s="457"/>
      <c r="P732" s="430"/>
    </row>
    <row r="733" spans="1:16" ht="13.9" hidden="1" customHeight="1" outlineLevel="3" x14ac:dyDescent="0.2">
      <c r="A733" s="233">
        <v>0</v>
      </c>
      <c r="B733" s="233">
        <v>8</v>
      </c>
      <c r="C733" s="233">
        <v>2</v>
      </c>
      <c r="D733" s="234">
        <v>7</v>
      </c>
      <c r="E733" s="234">
        <v>1</v>
      </c>
      <c r="G733" s="500" t="s">
        <v>1256</v>
      </c>
      <c r="H733" s="459" t="s">
        <v>1238</v>
      </c>
      <c r="I733" s="460" t="s">
        <v>4270</v>
      </c>
      <c r="J733" s="461" t="s">
        <v>1257</v>
      </c>
      <c r="K733" s="462" t="s">
        <v>1129</v>
      </c>
      <c r="L733" s="463">
        <v>1</v>
      </c>
      <c r="M733" s="463">
        <v>4005.75</v>
      </c>
      <c r="N733" s="464">
        <v>4005.75</v>
      </c>
      <c r="O733" s="475" t="s">
        <v>2333</v>
      </c>
      <c r="P733" s="431" t="s">
        <v>6711</v>
      </c>
    </row>
    <row r="734" spans="1:16" ht="13.9" hidden="1" customHeight="1" outlineLevel="1" x14ac:dyDescent="0.2">
      <c r="A734" s="233">
        <v>0</v>
      </c>
      <c r="B734" s="233">
        <v>8</v>
      </c>
      <c r="C734" s="233">
        <v>3</v>
      </c>
      <c r="D734" s="234">
        <v>0</v>
      </c>
      <c r="E734" s="234">
        <v>1</v>
      </c>
      <c r="G734" s="443"/>
      <c r="H734" s="444" t="s">
        <v>38</v>
      </c>
      <c r="I734" s="445" t="s">
        <v>4271</v>
      </c>
      <c r="J734" s="446" t="s">
        <v>2787</v>
      </c>
      <c r="K734" s="447"/>
      <c r="L734" s="448"/>
      <c r="M734" s="448"/>
      <c r="N734" s="449">
        <v>206623.302</v>
      </c>
      <c r="O734" s="432"/>
      <c r="P734" s="435"/>
    </row>
    <row r="735" spans="1:16" ht="13.9" hidden="1" customHeight="1" outlineLevel="2" x14ac:dyDescent="0.2">
      <c r="A735" s="233">
        <v>0</v>
      </c>
      <c r="B735" s="233">
        <v>8</v>
      </c>
      <c r="C735" s="233">
        <v>3</v>
      </c>
      <c r="D735" s="234">
        <v>1</v>
      </c>
      <c r="E735" s="234">
        <v>0</v>
      </c>
      <c r="G735" s="450"/>
      <c r="H735" s="451" t="s">
        <v>1237</v>
      </c>
      <c r="I735" s="452" t="s">
        <v>4272</v>
      </c>
      <c r="J735" s="453" t="s">
        <v>2330</v>
      </c>
      <c r="K735" s="454"/>
      <c r="L735" s="455"/>
      <c r="M735" s="455"/>
      <c r="N735" s="456">
        <v>5453.5</v>
      </c>
      <c r="O735" s="457"/>
      <c r="P735" s="430"/>
    </row>
    <row r="736" spans="1:16" ht="13.9" hidden="1" customHeight="1" outlineLevel="3" x14ac:dyDescent="0.2">
      <c r="A736" s="233">
        <v>0</v>
      </c>
      <c r="B736" s="233">
        <v>8</v>
      </c>
      <c r="C736" s="233">
        <v>3</v>
      </c>
      <c r="D736" s="234">
        <v>1</v>
      </c>
      <c r="E736" s="234">
        <v>1</v>
      </c>
      <c r="G736" s="500" t="s">
        <v>1256</v>
      </c>
      <c r="H736" s="459" t="s">
        <v>1238</v>
      </c>
      <c r="I736" s="460" t="s">
        <v>4273</v>
      </c>
      <c r="J736" s="461" t="s">
        <v>2330</v>
      </c>
      <c r="K736" s="462" t="s">
        <v>1129</v>
      </c>
      <c r="L736" s="463">
        <v>1</v>
      </c>
      <c r="M736" s="463">
        <v>5453.5</v>
      </c>
      <c r="N736" s="464">
        <v>5453.5</v>
      </c>
      <c r="O736" s="465" t="s">
        <v>2323</v>
      </c>
      <c r="P736" s="431" t="s">
        <v>6711</v>
      </c>
    </row>
    <row r="737" spans="1:16" ht="13.9" hidden="1" customHeight="1" outlineLevel="2" x14ac:dyDescent="0.2">
      <c r="A737" s="233">
        <v>0</v>
      </c>
      <c r="B737" s="233">
        <v>8</v>
      </c>
      <c r="C737" s="233">
        <v>3</v>
      </c>
      <c r="D737" s="234">
        <v>2</v>
      </c>
      <c r="E737" s="234">
        <v>0</v>
      </c>
      <c r="G737" s="450"/>
      <c r="H737" s="451" t="s">
        <v>1237</v>
      </c>
      <c r="I737" s="452" t="s">
        <v>4274</v>
      </c>
      <c r="J737" s="453" t="s">
        <v>2331</v>
      </c>
      <c r="K737" s="454"/>
      <c r="L737" s="455"/>
      <c r="M737" s="455"/>
      <c r="N737" s="456">
        <v>2033.84</v>
      </c>
      <c r="O737" s="457"/>
      <c r="P737" s="430"/>
    </row>
    <row r="738" spans="1:16" ht="13.9" hidden="1" customHeight="1" outlineLevel="3" x14ac:dyDescent="0.2">
      <c r="A738" s="233">
        <v>0</v>
      </c>
      <c r="B738" s="233">
        <v>8</v>
      </c>
      <c r="C738" s="233">
        <v>3</v>
      </c>
      <c r="D738" s="234">
        <v>2</v>
      </c>
      <c r="E738" s="234">
        <v>1</v>
      </c>
      <c r="G738" s="500" t="s">
        <v>1256</v>
      </c>
      <c r="H738" s="459" t="s">
        <v>1238</v>
      </c>
      <c r="I738" s="460" t="s">
        <v>4275</v>
      </c>
      <c r="J738" s="461" t="s">
        <v>2331</v>
      </c>
      <c r="K738" s="462" t="s">
        <v>1129</v>
      </c>
      <c r="L738" s="463">
        <v>1</v>
      </c>
      <c r="M738" s="463">
        <v>2033.84</v>
      </c>
      <c r="N738" s="464">
        <v>2033.84</v>
      </c>
      <c r="O738" s="465" t="s">
        <v>2323</v>
      </c>
      <c r="P738" s="431" t="s">
        <v>6711</v>
      </c>
    </row>
    <row r="739" spans="1:16" ht="13.9" hidden="1" customHeight="1" outlineLevel="2" x14ac:dyDescent="0.2">
      <c r="A739" s="233">
        <v>0</v>
      </c>
      <c r="B739" s="233">
        <v>8</v>
      </c>
      <c r="C739" s="233">
        <v>3</v>
      </c>
      <c r="D739" s="234">
        <v>3</v>
      </c>
      <c r="E739" s="234">
        <v>0</v>
      </c>
      <c r="G739" s="450"/>
      <c r="H739" s="451" t="s">
        <v>1237</v>
      </c>
      <c r="I739" s="452" t="s">
        <v>4276</v>
      </c>
      <c r="J739" s="453" t="s">
        <v>2801</v>
      </c>
      <c r="K739" s="454"/>
      <c r="L739" s="455"/>
      <c r="M739" s="455"/>
      <c r="N739" s="456">
        <v>187329.8</v>
      </c>
      <c r="O739" s="457"/>
      <c r="P739" s="430"/>
    </row>
    <row r="740" spans="1:16" ht="13.9" hidden="1" customHeight="1" outlineLevel="3" x14ac:dyDescent="0.2">
      <c r="A740" s="233">
        <v>0</v>
      </c>
      <c r="B740" s="233">
        <v>8</v>
      </c>
      <c r="C740" s="233">
        <v>3</v>
      </c>
      <c r="D740" s="234">
        <v>3</v>
      </c>
      <c r="E740" s="234">
        <v>1</v>
      </c>
      <c r="G740" s="500" t="s">
        <v>1256</v>
      </c>
      <c r="H740" s="459" t="s">
        <v>1238</v>
      </c>
      <c r="I740" s="460" t="s">
        <v>4277</v>
      </c>
      <c r="J740" s="461" t="s">
        <v>2801</v>
      </c>
      <c r="K740" s="462" t="s">
        <v>1129</v>
      </c>
      <c r="L740" s="463">
        <v>1</v>
      </c>
      <c r="M740" s="463">
        <v>187329.8</v>
      </c>
      <c r="N740" s="464">
        <v>187329.8</v>
      </c>
      <c r="O740" s="465" t="s">
        <v>2323</v>
      </c>
      <c r="P740" s="431" t="s">
        <v>6711</v>
      </c>
    </row>
    <row r="741" spans="1:16" ht="13.9" hidden="1" customHeight="1" outlineLevel="2" x14ac:dyDescent="0.2">
      <c r="A741" s="233">
        <v>0</v>
      </c>
      <c r="B741" s="233">
        <v>8</v>
      </c>
      <c r="C741" s="233">
        <v>3</v>
      </c>
      <c r="D741" s="234">
        <v>4</v>
      </c>
      <c r="E741" s="234">
        <v>0</v>
      </c>
      <c r="G741" s="450"/>
      <c r="H741" s="451" t="s">
        <v>1237</v>
      </c>
      <c r="I741" s="452" t="s">
        <v>4278</v>
      </c>
      <c r="J741" s="453" t="s">
        <v>2332</v>
      </c>
      <c r="K741" s="454"/>
      <c r="L741" s="455"/>
      <c r="M741" s="455"/>
      <c r="N741" s="456">
        <v>0</v>
      </c>
      <c r="O741" s="457"/>
      <c r="P741" s="430"/>
    </row>
    <row r="742" spans="1:16" ht="13.9" hidden="1" customHeight="1" outlineLevel="3" x14ac:dyDescent="0.2">
      <c r="A742" s="233">
        <v>0</v>
      </c>
      <c r="B742" s="233">
        <v>8</v>
      </c>
      <c r="C742" s="233">
        <v>3</v>
      </c>
      <c r="D742" s="234">
        <v>4</v>
      </c>
      <c r="E742" s="234">
        <v>1</v>
      </c>
      <c r="G742" s="500" t="s">
        <v>1256</v>
      </c>
      <c r="H742" s="459" t="s">
        <v>1238</v>
      </c>
      <c r="I742" s="460" t="s">
        <v>4279</v>
      </c>
      <c r="J742" s="461" t="s">
        <v>2332</v>
      </c>
      <c r="K742" s="462" t="s">
        <v>1129</v>
      </c>
      <c r="L742" s="463">
        <v>1</v>
      </c>
      <c r="M742" s="463">
        <v>0</v>
      </c>
      <c r="N742" s="464">
        <v>0</v>
      </c>
      <c r="O742" s="465" t="s">
        <v>2799</v>
      </c>
      <c r="P742" s="431" t="s">
        <v>6711</v>
      </c>
    </row>
    <row r="743" spans="1:16" ht="13.9" hidden="1" customHeight="1" outlineLevel="2" x14ac:dyDescent="0.2">
      <c r="A743" s="233">
        <v>0</v>
      </c>
      <c r="B743" s="233">
        <v>8</v>
      </c>
      <c r="C743" s="233">
        <v>3</v>
      </c>
      <c r="D743" s="234">
        <v>5</v>
      </c>
      <c r="E743" s="234">
        <v>0</v>
      </c>
      <c r="G743" s="450"/>
      <c r="H743" s="451" t="s">
        <v>1237</v>
      </c>
      <c r="I743" s="452" t="s">
        <v>4280</v>
      </c>
      <c r="J743" s="453" t="s">
        <v>2241</v>
      </c>
      <c r="K743" s="454"/>
      <c r="L743" s="455"/>
      <c r="M743" s="455"/>
      <c r="N743" s="456">
        <v>7413.6620000000003</v>
      </c>
      <c r="O743" s="457"/>
      <c r="P743" s="430"/>
    </row>
    <row r="744" spans="1:16" ht="13.9" hidden="1" customHeight="1" outlineLevel="3" x14ac:dyDescent="0.2">
      <c r="A744" s="233">
        <v>0</v>
      </c>
      <c r="B744" s="233">
        <v>8</v>
      </c>
      <c r="C744" s="233">
        <v>3</v>
      </c>
      <c r="D744" s="234">
        <v>5</v>
      </c>
      <c r="E744" s="234">
        <v>1</v>
      </c>
      <c r="G744" s="500" t="s">
        <v>1256</v>
      </c>
      <c r="H744" s="459" t="s">
        <v>1238</v>
      </c>
      <c r="I744" s="460" t="s">
        <v>4281</v>
      </c>
      <c r="J744" s="461" t="s">
        <v>2241</v>
      </c>
      <c r="K744" s="462" t="s">
        <v>1129</v>
      </c>
      <c r="L744" s="463">
        <v>1</v>
      </c>
      <c r="M744" s="463">
        <v>7413.6620000000012</v>
      </c>
      <c r="N744" s="464">
        <v>7413.6620000000003</v>
      </c>
      <c r="O744" s="465" t="s">
        <v>2323</v>
      </c>
      <c r="P744" s="431" t="s">
        <v>6711</v>
      </c>
    </row>
    <row r="745" spans="1:16" ht="13.9" hidden="1" customHeight="1" outlineLevel="2" x14ac:dyDescent="0.2">
      <c r="A745" s="233">
        <v>0</v>
      </c>
      <c r="B745" s="233">
        <v>8</v>
      </c>
      <c r="C745" s="233">
        <v>3</v>
      </c>
      <c r="D745" s="234">
        <v>6</v>
      </c>
      <c r="E745" s="234">
        <v>0</v>
      </c>
      <c r="G745" s="450"/>
      <c r="H745" s="451" t="s">
        <v>1237</v>
      </c>
      <c r="I745" s="452" t="s">
        <v>4282</v>
      </c>
      <c r="J745" s="453" t="s">
        <v>2240</v>
      </c>
      <c r="K745" s="454"/>
      <c r="L745" s="455"/>
      <c r="M745" s="455"/>
      <c r="N745" s="456">
        <v>0</v>
      </c>
      <c r="O745" s="457"/>
      <c r="P745" s="430"/>
    </row>
    <row r="746" spans="1:16" ht="13.9" hidden="1" customHeight="1" outlineLevel="3" x14ac:dyDescent="0.2">
      <c r="A746" s="233">
        <v>0</v>
      </c>
      <c r="B746" s="233">
        <v>8</v>
      </c>
      <c r="C746" s="233">
        <v>3</v>
      </c>
      <c r="D746" s="234">
        <v>6</v>
      </c>
      <c r="E746" s="234">
        <v>1</v>
      </c>
      <c r="G746" s="500" t="s">
        <v>1256</v>
      </c>
      <c r="H746" s="459" t="s">
        <v>1238</v>
      </c>
      <c r="I746" s="460" t="s">
        <v>4283</v>
      </c>
      <c r="J746" s="461" t="s">
        <v>2240</v>
      </c>
      <c r="K746" s="462" t="s">
        <v>1129</v>
      </c>
      <c r="L746" s="463">
        <v>1</v>
      </c>
      <c r="M746" s="463">
        <v>0</v>
      </c>
      <c r="N746" s="464">
        <v>0</v>
      </c>
      <c r="O746" s="465" t="s">
        <v>2323</v>
      </c>
      <c r="P746" s="431" t="s">
        <v>6711</v>
      </c>
    </row>
    <row r="747" spans="1:16" ht="13.9" hidden="1" customHeight="1" outlineLevel="2" x14ac:dyDescent="0.2">
      <c r="A747" s="233">
        <v>0</v>
      </c>
      <c r="B747" s="233">
        <v>8</v>
      </c>
      <c r="C747" s="233">
        <v>3</v>
      </c>
      <c r="D747" s="234">
        <v>7</v>
      </c>
      <c r="E747" s="234">
        <v>0</v>
      </c>
      <c r="G747" s="450"/>
      <c r="H747" s="451" t="s">
        <v>1237</v>
      </c>
      <c r="I747" s="452" t="s">
        <v>4284</v>
      </c>
      <c r="J747" s="453" t="s">
        <v>14</v>
      </c>
      <c r="K747" s="454"/>
      <c r="L747" s="455"/>
      <c r="M747" s="455"/>
      <c r="N747" s="456">
        <v>4392.5</v>
      </c>
      <c r="O747" s="457"/>
      <c r="P747" s="430"/>
    </row>
    <row r="748" spans="1:16" ht="13.9" hidden="1" customHeight="1" outlineLevel="3" x14ac:dyDescent="0.2">
      <c r="A748" s="233">
        <v>0</v>
      </c>
      <c r="B748" s="233">
        <v>8</v>
      </c>
      <c r="C748" s="233">
        <v>3</v>
      </c>
      <c r="D748" s="234">
        <v>7</v>
      </c>
      <c r="E748" s="234">
        <v>1</v>
      </c>
      <c r="G748" s="500" t="s">
        <v>1256</v>
      </c>
      <c r="H748" s="459" t="s">
        <v>1238</v>
      </c>
      <c r="I748" s="460" t="s">
        <v>4285</v>
      </c>
      <c r="J748" s="461" t="s">
        <v>1257</v>
      </c>
      <c r="K748" s="462" t="s">
        <v>1129</v>
      </c>
      <c r="L748" s="463">
        <v>1</v>
      </c>
      <c r="M748" s="463">
        <v>4392.5</v>
      </c>
      <c r="N748" s="464">
        <v>4392.5</v>
      </c>
      <c r="O748" s="475" t="s">
        <v>2333</v>
      </c>
      <c r="P748" s="431" t="s">
        <v>6711</v>
      </c>
    </row>
    <row r="749" spans="1:16" ht="13.9" hidden="1" customHeight="1" outlineLevel="1" x14ac:dyDescent="0.2">
      <c r="A749" s="233">
        <v>0</v>
      </c>
      <c r="B749" s="233">
        <v>8</v>
      </c>
      <c r="C749" s="233">
        <v>4</v>
      </c>
      <c r="D749" s="234">
        <v>0</v>
      </c>
      <c r="E749" s="234">
        <v>1</v>
      </c>
      <c r="G749" s="443"/>
      <c r="H749" s="444" t="s">
        <v>38</v>
      </c>
      <c r="I749" s="445" t="s">
        <v>4286</v>
      </c>
      <c r="J749" s="446" t="s">
        <v>2788</v>
      </c>
      <c r="K749" s="447"/>
      <c r="L749" s="448"/>
      <c r="M749" s="448"/>
      <c r="N749" s="449">
        <v>219050.859</v>
      </c>
      <c r="O749" s="432"/>
      <c r="P749" s="435"/>
    </row>
    <row r="750" spans="1:16" ht="13.9" hidden="1" customHeight="1" outlineLevel="2" x14ac:dyDescent="0.2">
      <c r="A750" s="233">
        <v>0</v>
      </c>
      <c r="B750" s="233">
        <v>8</v>
      </c>
      <c r="C750" s="233">
        <v>4</v>
      </c>
      <c r="D750" s="234">
        <v>1</v>
      </c>
      <c r="E750" s="234">
        <v>0</v>
      </c>
      <c r="G750" s="450"/>
      <c r="H750" s="451" t="s">
        <v>1237</v>
      </c>
      <c r="I750" s="452" t="s">
        <v>4287</v>
      </c>
      <c r="J750" s="453" t="s">
        <v>2330</v>
      </c>
      <c r="K750" s="454"/>
      <c r="L750" s="455"/>
      <c r="M750" s="455"/>
      <c r="N750" s="456">
        <v>5453.5</v>
      </c>
      <c r="O750" s="457"/>
      <c r="P750" s="430"/>
    </row>
    <row r="751" spans="1:16" ht="13.9" hidden="1" customHeight="1" outlineLevel="3" x14ac:dyDescent="0.2">
      <c r="A751" s="233">
        <v>0</v>
      </c>
      <c r="B751" s="233">
        <v>8</v>
      </c>
      <c r="C751" s="233">
        <v>4</v>
      </c>
      <c r="D751" s="234">
        <v>1</v>
      </c>
      <c r="E751" s="234">
        <v>1</v>
      </c>
      <c r="G751" s="500" t="s">
        <v>1256</v>
      </c>
      <c r="H751" s="459" t="s">
        <v>1238</v>
      </c>
      <c r="I751" s="460" t="s">
        <v>4288</v>
      </c>
      <c r="J751" s="461" t="s">
        <v>2330</v>
      </c>
      <c r="K751" s="462" t="s">
        <v>1129</v>
      </c>
      <c r="L751" s="463">
        <v>1</v>
      </c>
      <c r="M751" s="463">
        <v>5453.5</v>
      </c>
      <c r="N751" s="464">
        <v>5453.5</v>
      </c>
      <c r="O751" s="465" t="s">
        <v>2323</v>
      </c>
      <c r="P751" s="431" t="s">
        <v>6711</v>
      </c>
    </row>
    <row r="752" spans="1:16" ht="13.9" hidden="1" customHeight="1" outlineLevel="2" x14ac:dyDescent="0.2">
      <c r="A752" s="233">
        <v>0</v>
      </c>
      <c r="B752" s="233">
        <v>8</v>
      </c>
      <c r="C752" s="233">
        <v>4</v>
      </c>
      <c r="D752" s="234">
        <v>2</v>
      </c>
      <c r="E752" s="234">
        <v>0</v>
      </c>
      <c r="G752" s="450"/>
      <c r="H752" s="451" t="s">
        <v>1237</v>
      </c>
      <c r="I752" s="452" t="s">
        <v>4289</v>
      </c>
      <c r="J752" s="453" t="s">
        <v>2331</v>
      </c>
      <c r="K752" s="454"/>
      <c r="L752" s="455"/>
      <c r="M752" s="455"/>
      <c r="N752" s="456">
        <v>2028.04</v>
      </c>
      <c r="O752" s="457"/>
      <c r="P752" s="430"/>
    </row>
    <row r="753" spans="1:16" ht="13.9" hidden="1" customHeight="1" outlineLevel="3" x14ac:dyDescent="0.2">
      <c r="A753" s="233">
        <v>0</v>
      </c>
      <c r="B753" s="233">
        <v>8</v>
      </c>
      <c r="C753" s="233">
        <v>4</v>
      </c>
      <c r="D753" s="234">
        <v>2</v>
      </c>
      <c r="E753" s="234">
        <v>1</v>
      </c>
      <c r="G753" s="500" t="s">
        <v>1256</v>
      </c>
      <c r="H753" s="459" t="s">
        <v>1238</v>
      </c>
      <c r="I753" s="460" t="s">
        <v>4290</v>
      </c>
      <c r="J753" s="461" t="s">
        <v>2331</v>
      </c>
      <c r="K753" s="462" t="s">
        <v>1129</v>
      </c>
      <c r="L753" s="463">
        <v>1</v>
      </c>
      <c r="M753" s="463">
        <v>2028.04</v>
      </c>
      <c r="N753" s="464">
        <v>2028.04</v>
      </c>
      <c r="O753" s="465" t="s">
        <v>2323</v>
      </c>
      <c r="P753" s="431" t="s">
        <v>6711</v>
      </c>
    </row>
    <row r="754" spans="1:16" ht="13.9" hidden="1" customHeight="1" outlineLevel="2" x14ac:dyDescent="0.2">
      <c r="A754" s="233">
        <v>0</v>
      </c>
      <c r="B754" s="233">
        <v>8</v>
      </c>
      <c r="C754" s="233">
        <v>4</v>
      </c>
      <c r="D754" s="234">
        <v>3</v>
      </c>
      <c r="E754" s="234">
        <v>0</v>
      </c>
      <c r="G754" s="450"/>
      <c r="H754" s="451" t="s">
        <v>1237</v>
      </c>
      <c r="I754" s="452" t="s">
        <v>4291</v>
      </c>
      <c r="J754" s="453" t="s">
        <v>2801</v>
      </c>
      <c r="K754" s="454"/>
      <c r="L754" s="455"/>
      <c r="M754" s="455"/>
      <c r="N754" s="456">
        <v>199625.60000000001</v>
      </c>
      <c r="O754" s="457"/>
      <c r="P754" s="430"/>
    </row>
    <row r="755" spans="1:16" ht="13.9" hidden="1" customHeight="1" outlineLevel="3" x14ac:dyDescent="0.2">
      <c r="A755" s="233">
        <v>0</v>
      </c>
      <c r="B755" s="233">
        <v>8</v>
      </c>
      <c r="C755" s="233">
        <v>4</v>
      </c>
      <c r="D755" s="234">
        <v>3</v>
      </c>
      <c r="E755" s="234">
        <v>1</v>
      </c>
      <c r="G755" s="500" t="s">
        <v>1256</v>
      </c>
      <c r="H755" s="459" t="s">
        <v>1238</v>
      </c>
      <c r="I755" s="460" t="s">
        <v>4292</v>
      </c>
      <c r="J755" s="461" t="s">
        <v>2801</v>
      </c>
      <c r="K755" s="462" t="s">
        <v>1129</v>
      </c>
      <c r="L755" s="463">
        <v>1</v>
      </c>
      <c r="M755" s="463">
        <v>199625.60000000001</v>
      </c>
      <c r="N755" s="464">
        <v>199625.60000000001</v>
      </c>
      <c r="O755" s="465" t="s">
        <v>2323</v>
      </c>
      <c r="P755" s="431" t="s">
        <v>6711</v>
      </c>
    </row>
    <row r="756" spans="1:16" ht="13.9" hidden="1" customHeight="1" outlineLevel="2" x14ac:dyDescent="0.2">
      <c r="A756" s="233">
        <v>0</v>
      </c>
      <c r="B756" s="233">
        <v>8</v>
      </c>
      <c r="C756" s="233">
        <v>4</v>
      </c>
      <c r="D756" s="234">
        <v>4</v>
      </c>
      <c r="E756" s="234">
        <v>0</v>
      </c>
      <c r="G756" s="450"/>
      <c r="H756" s="451" t="s">
        <v>1237</v>
      </c>
      <c r="I756" s="452" t="s">
        <v>4293</v>
      </c>
      <c r="J756" s="453" t="s">
        <v>2332</v>
      </c>
      <c r="K756" s="454"/>
      <c r="L756" s="455"/>
      <c r="M756" s="455"/>
      <c r="N756" s="456">
        <v>0</v>
      </c>
      <c r="O756" s="457"/>
      <c r="P756" s="430"/>
    </row>
    <row r="757" spans="1:16" ht="13.9" hidden="1" customHeight="1" outlineLevel="3" x14ac:dyDescent="0.2">
      <c r="A757" s="233">
        <v>0</v>
      </c>
      <c r="B757" s="233">
        <v>8</v>
      </c>
      <c r="C757" s="233">
        <v>4</v>
      </c>
      <c r="D757" s="234">
        <v>4</v>
      </c>
      <c r="E757" s="234">
        <v>1</v>
      </c>
      <c r="G757" s="500" t="s">
        <v>1256</v>
      </c>
      <c r="H757" s="459" t="s">
        <v>1238</v>
      </c>
      <c r="I757" s="460" t="s">
        <v>4294</v>
      </c>
      <c r="J757" s="461" t="s">
        <v>2332</v>
      </c>
      <c r="K757" s="462" t="s">
        <v>1129</v>
      </c>
      <c r="L757" s="463">
        <v>1</v>
      </c>
      <c r="M757" s="463"/>
      <c r="N757" s="464">
        <v>0</v>
      </c>
      <c r="O757" s="465" t="s">
        <v>2799</v>
      </c>
      <c r="P757" s="431" t="s">
        <v>6711</v>
      </c>
    </row>
    <row r="758" spans="1:16" ht="13.9" hidden="1" customHeight="1" outlineLevel="2" x14ac:dyDescent="0.2">
      <c r="A758" s="233">
        <v>0</v>
      </c>
      <c r="B758" s="233">
        <v>8</v>
      </c>
      <c r="C758" s="233">
        <v>4</v>
      </c>
      <c r="D758" s="234">
        <v>5</v>
      </c>
      <c r="E758" s="234">
        <v>0</v>
      </c>
      <c r="G758" s="450"/>
      <c r="H758" s="451" t="s">
        <v>1237</v>
      </c>
      <c r="I758" s="452" t="s">
        <v>4295</v>
      </c>
      <c r="J758" s="453" t="s">
        <v>2241</v>
      </c>
      <c r="K758" s="454"/>
      <c r="L758" s="455"/>
      <c r="M758" s="455"/>
      <c r="N758" s="456">
        <v>7551.2190000000001</v>
      </c>
      <c r="O758" s="457"/>
      <c r="P758" s="430"/>
    </row>
    <row r="759" spans="1:16" ht="13.9" hidden="1" customHeight="1" outlineLevel="3" x14ac:dyDescent="0.2">
      <c r="A759" s="233">
        <v>0</v>
      </c>
      <c r="B759" s="233">
        <v>8</v>
      </c>
      <c r="C759" s="233">
        <v>4</v>
      </c>
      <c r="D759" s="234">
        <v>5</v>
      </c>
      <c r="E759" s="234">
        <v>1</v>
      </c>
      <c r="G759" s="500" t="s">
        <v>1256</v>
      </c>
      <c r="H759" s="459" t="s">
        <v>1238</v>
      </c>
      <c r="I759" s="460" t="s">
        <v>4296</v>
      </c>
      <c r="J759" s="461" t="s">
        <v>2241</v>
      </c>
      <c r="K759" s="462" t="s">
        <v>1129</v>
      </c>
      <c r="L759" s="463">
        <v>1</v>
      </c>
      <c r="M759" s="463">
        <v>7551.2189999999982</v>
      </c>
      <c r="N759" s="464">
        <v>7551.2190000000001</v>
      </c>
      <c r="O759" s="465" t="s">
        <v>2323</v>
      </c>
      <c r="P759" s="431" t="s">
        <v>6711</v>
      </c>
    </row>
    <row r="760" spans="1:16" ht="13.9" hidden="1" customHeight="1" outlineLevel="2" x14ac:dyDescent="0.2">
      <c r="A760" s="233">
        <v>0</v>
      </c>
      <c r="B760" s="233">
        <v>8</v>
      </c>
      <c r="C760" s="233">
        <v>4</v>
      </c>
      <c r="D760" s="234">
        <v>6</v>
      </c>
      <c r="E760" s="234">
        <v>0</v>
      </c>
      <c r="G760" s="450"/>
      <c r="H760" s="451" t="s">
        <v>1237</v>
      </c>
      <c r="I760" s="452" t="s">
        <v>4297</v>
      </c>
      <c r="J760" s="453" t="s">
        <v>2240</v>
      </c>
      <c r="K760" s="454"/>
      <c r="L760" s="455"/>
      <c r="M760" s="455"/>
      <c r="N760" s="456">
        <v>0</v>
      </c>
      <c r="O760" s="457"/>
      <c r="P760" s="430"/>
    </row>
    <row r="761" spans="1:16" ht="13.9" hidden="1" customHeight="1" outlineLevel="3" x14ac:dyDescent="0.2">
      <c r="A761" s="233">
        <v>0</v>
      </c>
      <c r="B761" s="233">
        <v>8</v>
      </c>
      <c r="C761" s="233">
        <v>4</v>
      </c>
      <c r="D761" s="234">
        <v>6</v>
      </c>
      <c r="E761" s="234">
        <v>1</v>
      </c>
      <c r="G761" s="500" t="s">
        <v>1256</v>
      </c>
      <c r="H761" s="459" t="s">
        <v>1238</v>
      </c>
      <c r="I761" s="460" t="s">
        <v>4298</v>
      </c>
      <c r="J761" s="461" t="s">
        <v>2240</v>
      </c>
      <c r="K761" s="462" t="s">
        <v>1129</v>
      </c>
      <c r="L761" s="463">
        <v>1</v>
      </c>
      <c r="M761" s="463"/>
      <c r="N761" s="464">
        <v>0</v>
      </c>
      <c r="O761" s="465" t="s">
        <v>2323</v>
      </c>
      <c r="P761" s="431" t="s">
        <v>6711</v>
      </c>
    </row>
    <row r="762" spans="1:16" ht="13.9" hidden="1" customHeight="1" outlineLevel="2" x14ac:dyDescent="0.2">
      <c r="A762" s="233">
        <v>0</v>
      </c>
      <c r="B762" s="233">
        <v>8</v>
      </c>
      <c r="C762" s="233">
        <v>4</v>
      </c>
      <c r="D762" s="234">
        <v>7</v>
      </c>
      <c r="E762" s="234">
        <v>0</v>
      </c>
      <c r="G762" s="450"/>
      <c r="H762" s="451" t="s">
        <v>1237</v>
      </c>
      <c r="I762" s="452" t="s">
        <v>4299</v>
      </c>
      <c r="J762" s="453" t="s">
        <v>14</v>
      </c>
      <c r="K762" s="454"/>
      <c r="L762" s="455"/>
      <c r="M762" s="455"/>
      <c r="N762" s="456">
        <v>4392.5</v>
      </c>
      <c r="O762" s="457"/>
      <c r="P762" s="430"/>
    </row>
    <row r="763" spans="1:16" ht="13.9" hidden="1" customHeight="1" outlineLevel="3" x14ac:dyDescent="0.2">
      <c r="A763" s="233">
        <v>0</v>
      </c>
      <c r="B763" s="233">
        <v>8</v>
      </c>
      <c r="C763" s="233">
        <v>4</v>
      </c>
      <c r="D763" s="234">
        <v>7</v>
      </c>
      <c r="E763" s="234">
        <v>1</v>
      </c>
      <c r="G763" s="500" t="s">
        <v>1256</v>
      </c>
      <c r="H763" s="459" t="s">
        <v>1238</v>
      </c>
      <c r="I763" s="460" t="s">
        <v>4300</v>
      </c>
      <c r="J763" s="461" t="s">
        <v>1257</v>
      </c>
      <c r="K763" s="462" t="s">
        <v>1129</v>
      </c>
      <c r="L763" s="463">
        <v>1</v>
      </c>
      <c r="M763" s="463">
        <v>4392.5</v>
      </c>
      <c r="N763" s="464">
        <v>4392.5</v>
      </c>
      <c r="O763" s="475" t="s">
        <v>2333</v>
      </c>
      <c r="P763" s="431" t="s">
        <v>6711</v>
      </c>
    </row>
    <row r="764" spans="1:16" ht="13.9" hidden="1" customHeight="1" outlineLevel="1" x14ac:dyDescent="0.2">
      <c r="A764" s="233">
        <v>0</v>
      </c>
      <c r="B764" s="233">
        <v>8</v>
      </c>
      <c r="C764" s="233">
        <v>5</v>
      </c>
      <c r="D764" s="234">
        <v>0</v>
      </c>
      <c r="E764" s="234">
        <v>1</v>
      </c>
      <c r="G764" s="443"/>
      <c r="H764" s="444" t="s">
        <v>38</v>
      </c>
      <c r="I764" s="445" t="s">
        <v>4301</v>
      </c>
      <c r="J764" s="446" t="s">
        <v>2789</v>
      </c>
      <c r="K764" s="447"/>
      <c r="L764" s="448"/>
      <c r="M764" s="448"/>
      <c r="N764" s="449">
        <v>228438.611</v>
      </c>
      <c r="O764" s="432"/>
      <c r="P764" s="435"/>
    </row>
    <row r="765" spans="1:16" ht="13.9" hidden="1" customHeight="1" outlineLevel="2" x14ac:dyDescent="0.2">
      <c r="A765" s="233">
        <v>0</v>
      </c>
      <c r="B765" s="233">
        <v>8</v>
      </c>
      <c r="C765" s="233">
        <v>5</v>
      </c>
      <c r="D765" s="234">
        <v>1</v>
      </c>
      <c r="E765" s="234">
        <v>0</v>
      </c>
      <c r="G765" s="450"/>
      <c r="H765" s="451" t="s">
        <v>1237</v>
      </c>
      <c r="I765" s="452" t="s">
        <v>4302</v>
      </c>
      <c r="J765" s="453" t="s">
        <v>2330</v>
      </c>
      <c r="K765" s="454"/>
      <c r="L765" s="455"/>
      <c r="M765" s="455"/>
      <c r="N765" s="456">
        <v>18467.89</v>
      </c>
      <c r="O765" s="457"/>
      <c r="P765" s="430"/>
    </row>
    <row r="766" spans="1:16" ht="13.9" hidden="1" customHeight="1" outlineLevel="3" x14ac:dyDescent="0.2">
      <c r="A766" s="233">
        <v>0</v>
      </c>
      <c r="B766" s="233">
        <v>8</v>
      </c>
      <c r="C766" s="233">
        <v>5</v>
      </c>
      <c r="D766" s="234">
        <v>1</v>
      </c>
      <c r="E766" s="234">
        <v>1</v>
      </c>
      <c r="G766" s="500" t="s">
        <v>1256</v>
      </c>
      <c r="H766" s="459" t="s">
        <v>1238</v>
      </c>
      <c r="I766" s="460" t="s">
        <v>4303</v>
      </c>
      <c r="J766" s="461" t="s">
        <v>2330</v>
      </c>
      <c r="K766" s="462" t="s">
        <v>1129</v>
      </c>
      <c r="L766" s="463">
        <v>1</v>
      </c>
      <c r="M766" s="463">
        <v>18467.89</v>
      </c>
      <c r="N766" s="464">
        <v>18467.89</v>
      </c>
      <c r="O766" s="465" t="s">
        <v>2323</v>
      </c>
      <c r="P766" s="431" t="s">
        <v>6711</v>
      </c>
    </row>
    <row r="767" spans="1:16" ht="13.9" hidden="1" customHeight="1" outlineLevel="2" x14ac:dyDescent="0.2">
      <c r="A767" s="233">
        <v>0</v>
      </c>
      <c r="B767" s="233">
        <v>8</v>
      </c>
      <c r="C767" s="233">
        <v>5</v>
      </c>
      <c r="D767" s="234">
        <v>2</v>
      </c>
      <c r="E767" s="234">
        <v>0</v>
      </c>
      <c r="G767" s="450"/>
      <c r="H767" s="451" t="s">
        <v>1237</v>
      </c>
      <c r="I767" s="452" t="s">
        <v>4304</v>
      </c>
      <c r="J767" s="453" t="s">
        <v>2331</v>
      </c>
      <c r="K767" s="454"/>
      <c r="L767" s="455"/>
      <c r="M767" s="455"/>
      <c r="N767" s="456">
        <v>2092.54</v>
      </c>
      <c r="O767" s="457"/>
      <c r="P767" s="430"/>
    </row>
    <row r="768" spans="1:16" ht="13.9" hidden="1" customHeight="1" outlineLevel="3" x14ac:dyDescent="0.2">
      <c r="A768" s="233">
        <v>0</v>
      </c>
      <c r="B768" s="233">
        <v>8</v>
      </c>
      <c r="C768" s="233">
        <v>5</v>
      </c>
      <c r="D768" s="234">
        <v>2</v>
      </c>
      <c r="E768" s="234">
        <v>1</v>
      </c>
      <c r="G768" s="500" t="s">
        <v>1256</v>
      </c>
      <c r="H768" s="459" t="s">
        <v>1238</v>
      </c>
      <c r="I768" s="460" t="s">
        <v>4305</v>
      </c>
      <c r="J768" s="461" t="s">
        <v>2331</v>
      </c>
      <c r="K768" s="462" t="s">
        <v>1129</v>
      </c>
      <c r="L768" s="463">
        <v>1</v>
      </c>
      <c r="M768" s="463">
        <v>2092.54</v>
      </c>
      <c r="N768" s="464">
        <v>2092.54</v>
      </c>
      <c r="O768" s="465" t="s">
        <v>2323</v>
      </c>
      <c r="P768" s="431" t="s">
        <v>6711</v>
      </c>
    </row>
    <row r="769" spans="1:16" ht="13.9" hidden="1" customHeight="1" outlineLevel="2" x14ac:dyDescent="0.2">
      <c r="A769" s="233">
        <v>0</v>
      </c>
      <c r="B769" s="233">
        <v>8</v>
      </c>
      <c r="C769" s="233">
        <v>5</v>
      </c>
      <c r="D769" s="234">
        <v>3</v>
      </c>
      <c r="E769" s="234">
        <v>0</v>
      </c>
      <c r="G769" s="450"/>
      <c r="H769" s="451" t="s">
        <v>1237</v>
      </c>
      <c r="I769" s="452" t="s">
        <v>4306</v>
      </c>
      <c r="J769" s="453" t="s">
        <v>2801</v>
      </c>
      <c r="K769" s="454"/>
      <c r="L769" s="455"/>
      <c r="M769" s="455"/>
      <c r="N769" s="456">
        <v>195429.9</v>
      </c>
      <c r="O769" s="457"/>
      <c r="P769" s="430"/>
    </row>
    <row r="770" spans="1:16" ht="13.9" hidden="1" customHeight="1" outlineLevel="3" x14ac:dyDescent="0.2">
      <c r="A770" s="233">
        <v>0</v>
      </c>
      <c r="B770" s="233">
        <v>8</v>
      </c>
      <c r="C770" s="233">
        <v>5</v>
      </c>
      <c r="D770" s="234">
        <v>3</v>
      </c>
      <c r="E770" s="234">
        <v>1</v>
      </c>
      <c r="G770" s="500" t="s">
        <v>1256</v>
      </c>
      <c r="H770" s="459" t="s">
        <v>1238</v>
      </c>
      <c r="I770" s="460" t="s">
        <v>4307</v>
      </c>
      <c r="J770" s="461" t="s">
        <v>2801</v>
      </c>
      <c r="K770" s="462" t="s">
        <v>1129</v>
      </c>
      <c r="L770" s="463">
        <v>1</v>
      </c>
      <c r="M770" s="463">
        <v>195429.9</v>
      </c>
      <c r="N770" s="464">
        <v>195429.9</v>
      </c>
      <c r="O770" s="465" t="s">
        <v>2323</v>
      </c>
      <c r="P770" s="431" t="s">
        <v>6711</v>
      </c>
    </row>
    <row r="771" spans="1:16" ht="13.9" hidden="1" customHeight="1" outlineLevel="2" x14ac:dyDescent="0.2">
      <c r="A771" s="233">
        <v>0</v>
      </c>
      <c r="B771" s="233">
        <v>8</v>
      </c>
      <c r="C771" s="233">
        <v>5</v>
      </c>
      <c r="D771" s="234">
        <v>4</v>
      </c>
      <c r="E771" s="234">
        <v>0</v>
      </c>
      <c r="G771" s="450"/>
      <c r="H771" s="451" t="s">
        <v>1237</v>
      </c>
      <c r="I771" s="452" t="s">
        <v>4308</v>
      </c>
      <c r="J771" s="453" t="s">
        <v>2332</v>
      </c>
      <c r="K771" s="454"/>
      <c r="L771" s="455"/>
      <c r="M771" s="455"/>
      <c r="N771" s="456">
        <v>0</v>
      </c>
      <c r="O771" s="457"/>
      <c r="P771" s="430"/>
    </row>
    <row r="772" spans="1:16" ht="13.9" hidden="1" customHeight="1" outlineLevel="3" x14ac:dyDescent="0.2">
      <c r="A772" s="233">
        <v>0</v>
      </c>
      <c r="B772" s="233">
        <v>8</v>
      </c>
      <c r="C772" s="233">
        <v>5</v>
      </c>
      <c r="D772" s="234">
        <v>4</v>
      </c>
      <c r="E772" s="234">
        <v>1</v>
      </c>
      <c r="G772" s="500" t="s">
        <v>1256</v>
      </c>
      <c r="H772" s="459" t="s">
        <v>1238</v>
      </c>
      <c r="I772" s="460" t="s">
        <v>4309</v>
      </c>
      <c r="J772" s="461" t="s">
        <v>2332</v>
      </c>
      <c r="K772" s="462" t="s">
        <v>1129</v>
      </c>
      <c r="L772" s="463">
        <v>1</v>
      </c>
      <c r="M772" s="463"/>
      <c r="N772" s="464">
        <v>0</v>
      </c>
      <c r="O772" s="465" t="s">
        <v>2799</v>
      </c>
      <c r="P772" s="431" t="s">
        <v>6711</v>
      </c>
    </row>
    <row r="773" spans="1:16" ht="13.9" hidden="1" customHeight="1" outlineLevel="2" x14ac:dyDescent="0.2">
      <c r="A773" s="233">
        <v>0</v>
      </c>
      <c r="B773" s="233">
        <v>8</v>
      </c>
      <c r="C773" s="233">
        <v>5</v>
      </c>
      <c r="D773" s="234">
        <v>5</v>
      </c>
      <c r="E773" s="234">
        <v>0</v>
      </c>
      <c r="G773" s="450"/>
      <c r="H773" s="451" t="s">
        <v>1237</v>
      </c>
      <c r="I773" s="452" t="s">
        <v>4310</v>
      </c>
      <c r="J773" s="453" t="s">
        <v>2241</v>
      </c>
      <c r="K773" s="454"/>
      <c r="L773" s="455"/>
      <c r="M773" s="455"/>
      <c r="N773" s="456">
        <v>8055.7809999999999</v>
      </c>
      <c r="O773" s="457"/>
      <c r="P773" s="430"/>
    </row>
    <row r="774" spans="1:16" ht="13.9" hidden="1" customHeight="1" outlineLevel="3" x14ac:dyDescent="0.2">
      <c r="A774" s="233">
        <v>0</v>
      </c>
      <c r="B774" s="233">
        <v>8</v>
      </c>
      <c r="C774" s="233">
        <v>5</v>
      </c>
      <c r="D774" s="234">
        <v>5</v>
      </c>
      <c r="E774" s="234">
        <v>1</v>
      </c>
      <c r="G774" s="500" t="s">
        <v>1256</v>
      </c>
      <c r="H774" s="459" t="s">
        <v>1238</v>
      </c>
      <c r="I774" s="460" t="s">
        <v>4311</v>
      </c>
      <c r="J774" s="461" t="s">
        <v>2241</v>
      </c>
      <c r="K774" s="462" t="s">
        <v>1129</v>
      </c>
      <c r="L774" s="463">
        <v>1</v>
      </c>
      <c r="M774" s="463">
        <v>8055.7810000000009</v>
      </c>
      <c r="N774" s="464">
        <v>8055.7809999999999</v>
      </c>
      <c r="O774" s="465" t="s">
        <v>2323</v>
      </c>
      <c r="P774" s="431" t="s">
        <v>6711</v>
      </c>
    </row>
    <row r="775" spans="1:16" ht="13.9" hidden="1" customHeight="1" outlineLevel="2" x14ac:dyDescent="0.2">
      <c r="A775" s="233">
        <v>0</v>
      </c>
      <c r="B775" s="233">
        <v>8</v>
      </c>
      <c r="C775" s="233">
        <v>5</v>
      </c>
      <c r="D775" s="234">
        <v>6</v>
      </c>
      <c r="E775" s="234">
        <v>0</v>
      </c>
      <c r="G775" s="450"/>
      <c r="H775" s="451" t="s">
        <v>1237</v>
      </c>
      <c r="I775" s="452" t="s">
        <v>4312</v>
      </c>
      <c r="J775" s="453" t="s">
        <v>2240</v>
      </c>
      <c r="K775" s="454"/>
      <c r="L775" s="455"/>
      <c r="M775" s="455"/>
      <c r="N775" s="456">
        <v>0</v>
      </c>
      <c r="O775" s="457"/>
      <c r="P775" s="430"/>
    </row>
    <row r="776" spans="1:16" ht="13.9" hidden="1" customHeight="1" outlineLevel="3" x14ac:dyDescent="0.2">
      <c r="A776" s="233">
        <v>0</v>
      </c>
      <c r="B776" s="233">
        <v>8</v>
      </c>
      <c r="C776" s="233">
        <v>5</v>
      </c>
      <c r="D776" s="234">
        <v>6</v>
      </c>
      <c r="E776" s="234">
        <v>1</v>
      </c>
      <c r="G776" s="500" t="s">
        <v>1256</v>
      </c>
      <c r="H776" s="459" t="s">
        <v>1238</v>
      </c>
      <c r="I776" s="460" t="s">
        <v>4313</v>
      </c>
      <c r="J776" s="461" t="s">
        <v>2240</v>
      </c>
      <c r="K776" s="462" t="s">
        <v>1129</v>
      </c>
      <c r="L776" s="463">
        <v>1</v>
      </c>
      <c r="M776" s="463"/>
      <c r="N776" s="464">
        <v>0</v>
      </c>
      <c r="O776" s="465" t="s">
        <v>2323</v>
      </c>
      <c r="P776" s="431" t="s">
        <v>6711</v>
      </c>
    </row>
    <row r="777" spans="1:16" ht="13.9" hidden="1" customHeight="1" outlineLevel="2" x14ac:dyDescent="0.2">
      <c r="A777" s="233">
        <v>0</v>
      </c>
      <c r="B777" s="233">
        <v>8</v>
      </c>
      <c r="C777" s="233">
        <v>5</v>
      </c>
      <c r="D777" s="234">
        <v>7</v>
      </c>
      <c r="E777" s="234">
        <v>0</v>
      </c>
      <c r="G777" s="450"/>
      <c r="H777" s="451" t="s">
        <v>1237</v>
      </c>
      <c r="I777" s="452" t="s">
        <v>4314</v>
      </c>
      <c r="J777" s="453" t="s">
        <v>14</v>
      </c>
      <c r="K777" s="454"/>
      <c r="L777" s="455"/>
      <c r="M777" s="455"/>
      <c r="N777" s="456">
        <v>4392.5</v>
      </c>
      <c r="O777" s="457"/>
      <c r="P777" s="430"/>
    </row>
    <row r="778" spans="1:16" ht="13.9" hidden="1" customHeight="1" outlineLevel="3" x14ac:dyDescent="0.2">
      <c r="A778" s="233">
        <v>0</v>
      </c>
      <c r="B778" s="233">
        <v>8</v>
      </c>
      <c r="C778" s="233">
        <v>5</v>
      </c>
      <c r="D778" s="234">
        <v>7</v>
      </c>
      <c r="E778" s="234">
        <v>1</v>
      </c>
      <c r="G778" s="500" t="s">
        <v>1256</v>
      </c>
      <c r="H778" s="459" t="s">
        <v>1238</v>
      </c>
      <c r="I778" s="460" t="s">
        <v>4315</v>
      </c>
      <c r="J778" s="461" t="s">
        <v>1257</v>
      </c>
      <c r="K778" s="462" t="s">
        <v>1129</v>
      </c>
      <c r="L778" s="463">
        <v>1</v>
      </c>
      <c r="M778" s="463">
        <v>4392.5</v>
      </c>
      <c r="N778" s="464">
        <v>4392.5</v>
      </c>
      <c r="O778" s="475" t="s">
        <v>2333</v>
      </c>
      <c r="P778" s="431" t="s">
        <v>6711</v>
      </c>
    </row>
    <row r="779" spans="1:16" ht="13.9" hidden="1" customHeight="1" outlineLevel="1" x14ac:dyDescent="0.2">
      <c r="A779" s="233">
        <v>0</v>
      </c>
      <c r="B779" s="233">
        <v>8</v>
      </c>
      <c r="C779" s="233">
        <v>6</v>
      </c>
      <c r="D779" s="234">
        <v>0</v>
      </c>
      <c r="E779" s="234">
        <v>1</v>
      </c>
      <c r="G779" s="443"/>
      <c r="H779" s="444" t="s">
        <v>38</v>
      </c>
      <c r="I779" s="445" t="s">
        <v>4316</v>
      </c>
      <c r="J779" s="446" t="s">
        <v>2790</v>
      </c>
      <c r="K779" s="447"/>
      <c r="L779" s="448"/>
      <c r="M779" s="448"/>
      <c r="N779" s="449">
        <v>258084.546</v>
      </c>
      <c r="O779" s="432"/>
      <c r="P779" s="435"/>
    </row>
    <row r="780" spans="1:16" ht="13.9" hidden="1" customHeight="1" outlineLevel="2" x14ac:dyDescent="0.2">
      <c r="A780" s="233">
        <v>0</v>
      </c>
      <c r="B780" s="233">
        <v>8</v>
      </c>
      <c r="C780" s="233">
        <v>6</v>
      </c>
      <c r="D780" s="234">
        <v>1</v>
      </c>
      <c r="E780" s="234">
        <v>0</v>
      </c>
      <c r="G780" s="450"/>
      <c r="H780" s="451" t="s">
        <v>1237</v>
      </c>
      <c r="I780" s="452" t="s">
        <v>4317</v>
      </c>
      <c r="J780" s="453" t="s">
        <v>2330</v>
      </c>
      <c r="K780" s="454"/>
      <c r="L780" s="455"/>
      <c r="M780" s="455"/>
      <c r="N780" s="456">
        <v>5145</v>
      </c>
      <c r="O780" s="457"/>
      <c r="P780" s="430"/>
    </row>
    <row r="781" spans="1:16" ht="13.9" hidden="1" customHeight="1" outlineLevel="3" x14ac:dyDescent="0.2">
      <c r="A781" s="233">
        <v>0</v>
      </c>
      <c r="B781" s="233">
        <v>8</v>
      </c>
      <c r="C781" s="233">
        <v>6</v>
      </c>
      <c r="D781" s="234">
        <v>1</v>
      </c>
      <c r="E781" s="234">
        <v>1</v>
      </c>
      <c r="G781" s="500" t="s">
        <v>1256</v>
      </c>
      <c r="H781" s="459" t="s">
        <v>1238</v>
      </c>
      <c r="I781" s="460" t="s">
        <v>4318</v>
      </c>
      <c r="J781" s="461" t="s">
        <v>2330</v>
      </c>
      <c r="K781" s="462" t="s">
        <v>1129</v>
      </c>
      <c r="L781" s="463">
        <v>1</v>
      </c>
      <c r="M781" s="463">
        <v>5145</v>
      </c>
      <c r="N781" s="464">
        <v>5145</v>
      </c>
      <c r="O781" s="465" t="s">
        <v>2323</v>
      </c>
      <c r="P781" s="431" t="s">
        <v>6711</v>
      </c>
    </row>
    <row r="782" spans="1:16" ht="13.9" hidden="1" customHeight="1" outlineLevel="2" x14ac:dyDescent="0.2">
      <c r="A782" s="233">
        <v>0</v>
      </c>
      <c r="B782" s="233">
        <v>8</v>
      </c>
      <c r="C782" s="233">
        <v>6</v>
      </c>
      <c r="D782" s="234">
        <v>2</v>
      </c>
      <c r="E782" s="234">
        <v>0</v>
      </c>
      <c r="G782" s="450"/>
      <c r="H782" s="451" t="s">
        <v>1237</v>
      </c>
      <c r="I782" s="452" t="s">
        <v>4319</v>
      </c>
      <c r="J782" s="453" t="s">
        <v>2331</v>
      </c>
      <c r="K782" s="454"/>
      <c r="L782" s="455"/>
      <c r="M782" s="455"/>
      <c r="N782" s="456">
        <v>2712.84</v>
      </c>
      <c r="O782" s="457"/>
      <c r="P782" s="430"/>
    </row>
    <row r="783" spans="1:16" ht="13.9" hidden="1" customHeight="1" outlineLevel="3" x14ac:dyDescent="0.2">
      <c r="A783" s="233">
        <v>0</v>
      </c>
      <c r="B783" s="233">
        <v>8</v>
      </c>
      <c r="C783" s="233">
        <v>6</v>
      </c>
      <c r="D783" s="234">
        <v>2</v>
      </c>
      <c r="E783" s="234">
        <v>1</v>
      </c>
      <c r="G783" s="500" t="s">
        <v>1256</v>
      </c>
      <c r="H783" s="459" t="s">
        <v>1238</v>
      </c>
      <c r="I783" s="460" t="s">
        <v>4320</v>
      </c>
      <c r="J783" s="461" t="s">
        <v>2331</v>
      </c>
      <c r="K783" s="462" t="s">
        <v>1129</v>
      </c>
      <c r="L783" s="463">
        <v>1</v>
      </c>
      <c r="M783" s="463">
        <v>2712.84</v>
      </c>
      <c r="N783" s="464">
        <v>2712.84</v>
      </c>
      <c r="O783" s="465" t="s">
        <v>2323</v>
      </c>
      <c r="P783" s="431" t="s">
        <v>6711</v>
      </c>
    </row>
    <row r="784" spans="1:16" ht="13.9" hidden="1" customHeight="1" outlineLevel="2" x14ac:dyDescent="0.2">
      <c r="A784" s="233">
        <v>0</v>
      </c>
      <c r="B784" s="233">
        <v>8</v>
      </c>
      <c r="C784" s="233">
        <v>6</v>
      </c>
      <c r="D784" s="234">
        <v>3</v>
      </c>
      <c r="E784" s="234">
        <v>0</v>
      </c>
      <c r="G784" s="450"/>
      <c r="H784" s="451" t="s">
        <v>1237</v>
      </c>
      <c r="I784" s="452" t="s">
        <v>4321</v>
      </c>
      <c r="J784" s="453" t="s">
        <v>2801</v>
      </c>
      <c r="K784" s="454"/>
      <c r="L784" s="455"/>
      <c r="M784" s="455"/>
      <c r="N784" s="456">
        <v>237305.2</v>
      </c>
      <c r="O784" s="457"/>
      <c r="P784" s="430"/>
    </row>
    <row r="785" spans="1:16" ht="13.9" hidden="1" customHeight="1" outlineLevel="3" x14ac:dyDescent="0.2">
      <c r="A785" s="233">
        <v>0</v>
      </c>
      <c r="B785" s="233">
        <v>8</v>
      </c>
      <c r="C785" s="233">
        <v>6</v>
      </c>
      <c r="D785" s="234">
        <v>3</v>
      </c>
      <c r="E785" s="234">
        <v>1</v>
      </c>
      <c r="G785" s="500" t="s">
        <v>1256</v>
      </c>
      <c r="H785" s="459" t="s">
        <v>1238</v>
      </c>
      <c r="I785" s="460" t="s">
        <v>4322</v>
      </c>
      <c r="J785" s="461" t="s">
        <v>2801</v>
      </c>
      <c r="K785" s="462" t="s">
        <v>1129</v>
      </c>
      <c r="L785" s="463">
        <v>1</v>
      </c>
      <c r="M785" s="463">
        <v>237305.2</v>
      </c>
      <c r="N785" s="464">
        <v>237305.2</v>
      </c>
      <c r="O785" s="465" t="s">
        <v>2323</v>
      </c>
      <c r="P785" s="431" t="s">
        <v>6711</v>
      </c>
    </row>
    <row r="786" spans="1:16" ht="13.9" hidden="1" customHeight="1" outlineLevel="2" x14ac:dyDescent="0.2">
      <c r="A786" s="233">
        <v>0</v>
      </c>
      <c r="B786" s="233">
        <v>8</v>
      </c>
      <c r="C786" s="233">
        <v>6</v>
      </c>
      <c r="D786" s="234">
        <v>4</v>
      </c>
      <c r="E786" s="234">
        <v>0</v>
      </c>
      <c r="G786" s="450"/>
      <c r="H786" s="451" t="s">
        <v>1237</v>
      </c>
      <c r="I786" s="452" t="s">
        <v>4323</v>
      </c>
      <c r="J786" s="453" t="s">
        <v>2332</v>
      </c>
      <c r="K786" s="454"/>
      <c r="L786" s="455"/>
      <c r="M786" s="455"/>
      <c r="N786" s="456">
        <v>0</v>
      </c>
      <c r="O786" s="457"/>
      <c r="P786" s="430"/>
    </row>
    <row r="787" spans="1:16" ht="13.9" hidden="1" customHeight="1" outlineLevel="3" x14ac:dyDescent="0.2">
      <c r="A787" s="233">
        <v>0</v>
      </c>
      <c r="B787" s="233">
        <v>8</v>
      </c>
      <c r="C787" s="233">
        <v>6</v>
      </c>
      <c r="D787" s="234">
        <v>4</v>
      </c>
      <c r="E787" s="234">
        <v>1</v>
      </c>
      <c r="G787" s="500" t="s">
        <v>1256</v>
      </c>
      <c r="H787" s="459" t="s">
        <v>1238</v>
      </c>
      <c r="I787" s="460" t="s">
        <v>4324</v>
      </c>
      <c r="J787" s="461" t="s">
        <v>2332</v>
      </c>
      <c r="K787" s="462" t="s">
        <v>1129</v>
      </c>
      <c r="L787" s="463">
        <v>1</v>
      </c>
      <c r="M787" s="463"/>
      <c r="N787" s="464">
        <v>0</v>
      </c>
      <c r="O787" s="465" t="s">
        <v>2799</v>
      </c>
      <c r="P787" s="431" t="s">
        <v>6711</v>
      </c>
    </row>
    <row r="788" spans="1:16" ht="13.9" hidden="1" customHeight="1" outlineLevel="2" x14ac:dyDescent="0.2">
      <c r="A788" s="233">
        <v>0</v>
      </c>
      <c r="B788" s="233">
        <v>8</v>
      </c>
      <c r="C788" s="233">
        <v>6</v>
      </c>
      <c r="D788" s="234">
        <v>5</v>
      </c>
      <c r="E788" s="234">
        <v>0</v>
      </c>
      <c r="G788" s="450"/>
      <c r="H788" s="451" t="s">
        <v>1237</v>
      </c>
      <c r="I788" s="452" t="s">
        <v>4325</v>
      </c>
      <c r="J788" s="453" t="s">
        <v>2241</v>
      </c>
      <c r="K788" s="454"/>
      <c r="L788" s="455"/>
      <c r="M788" s="455"/>
      <c r="N788" s="456">
        <v>8459.2559999999994</v>
      </c>
      <c r="O788" s="457"/>
      <c r="P788" s="430"/>
    </row>
    <row r="789" spans="1:16" ht="13.9" hidden="1" customHeight="1" outlineLevel="3" x14ac:dyDescent="0.2">
      <c r="A789" s="233">
        <v>0</v>
      </c>
      <c r="B789" s="233">
        <v>8</v>
      </c>
      <c r="C789" s="233">
        <v>6</v>
      </c>
      <c r="D789" s="234">
        <v>5</v>
      </c>
      <c r="E789" s="234">
        <v>1</v>
      </c>
      <c r="G789" s="500" t="s">
        <v>1256</v>
      </c>
      <c r="H789" s="459" t="s">
        <v>1238</v>
      </c>
      <c r="I789" s="460" t="s">
        <v>4326</v>
      </c>
      <c r="J789" s="461" t="s">
        <v>2241</v>
      </c>
      <c r="K789" s="462" t="s">
        <v>1129</v>
      </c>
      <c r="L789" s="463">
        <v>1</v>
      </c>
      <c r="M789" s="463">
        <v>8459.2559999999976</v>
      </c>
      <c r="N789" s="464">
        <v>8459.2559999999994</v>
      </c>
      <c r="O789" s="465" t="s">
        <v>2323</v>
      </c>
      <c r="P789" s="431" t="s">
        <v>6711</v>
      </c>
    </row>
    <row r="790" spans="1:16" ht="13.9" hidden="1" customHeight="1" outlineLevel="2" x14ac:dyDescent="0.2">
      <c r="A790" s="233">
        <v>0</v>
      </c>
      <c r="B790" s="233">
        <v>8</v>
      </c>
      <c r="C790" s="233">
        <v>6</v>
      </c>
      <c r="D790" s="234">
        <v>6</v>
      </c>
      <c r="E790" s="234">
        <v>0</v>
      </c>
      <c r="G790" s="450"/>
      <c r="H790" s="451" t="s">
        <v>1237</v>
      </c>
      <c r="I790" s="452" t="s">
        <v>4327</v>
      </c>
      <c r="J790" s="453" t="s">
        <v>2240</v>
      </c>
      <c r="K790" s="454"/>
      <c r="L790" s="455"/>
      <c r="M790" s="455"/>
      <c r="N790" s="456">
        <v>0</v>
      </c>
      <c r="O790" s="457"/>
      <c r="P790" s="430"/>
    </row>
    <row r="791" spans="1:16" ht="13.9" hidden="1" customHeight="1" outlineLevel="3" x14ac:dyDescent="0.2">
      <c r="A791" s="233">
        <v>0</v>
      </c>
      <c r="B791" s="233">
        <v>8</v>
      </c>
      <c r="C791" s="233">
        <v>6</v>
      </c>
      <c r="D791" s="234">
        <v>6</v>
      </c>
      <c r="E791" s="234">
        <v>1</v>
      </c>
      <c r="G791" s="500" t="s">
        <v>1256</v>
      </c>
      <c r="H791" s="459" t="s">
        <v>1238</v>
      </c>
      <c r="I791" s="460" t="s">
        <v>4328</v>
      </c>
      <c r="J791" s="461" t="s">
        <v>2240</v>
      </c>
      <c r="K791" s="462" t="s">
        <v>1129</v>
      </c>
      <c r="L791" s="463">
        <v>1</v>
      </c>
      <c r="M791" s="463"/>
      <c r="N791" s="464">
        <v>0</v>
      </c>
      <c r="O791" s="465" t="s">
        <v>2323</v>
      </c>
      <c r="P791" s="431" t="s">
        <v>6711</v>
      </c>
    </row>
    <row r="792" spans="1:16" ht="13.9" hidden="1" customHeight="1" outlineLevel="2" x14ac:dyDescent="0.2">
      <c r="A792" s="233">
        <v>0</v>
      </c>
      <c r="B792" s="233">
        <v>8</v>
      </c>
      <c r="C792" s="233">
        <v>6</v>
      </c>
      <c r="D792" s="234">
        <v>7</v>
      </c>
      <c r="E792" s="234">
        <v>0</v>
      </c>
      <c r="G792" s="450"/>
      <c r="H792" s="451" t="s">
        <v>1237</v>
      </c>
      <c r="I792" s="452" t="s">
        <v>4329</v>
      </c>
      <c r="J792" s="453" t="s">
        <v>14</v>
      </c>
      <c r="K792" s="454"/>
      <c r="L792" s="455"/>
      <c r="M792" s="455"/>
      <c r="N792" s="456">
        <v>4462.25</v>
      </c>
      <c r="O792" s="457"/>
      <c r="P792" s="430"/>
    </row>
    <row r="793" spans="1:16" ht="13.9" hidden="1" customHeight="1" outlineLevel="3" x14ac:dyDescent="0.2">
      <c r="A793" s="233">
        <v>0</v>
      </c>
      <c r="B793" s="233">
        <v>8</v>
      </c>
      <c r="C793" s="233">
        <v>6</v>
      </c>
      <c r="D793" s="234">
        <v>7</v>
      </c>
      <c r="E793" s="234">
        <v>1</v>
      </c>
      <c r="G793" s="500" t="s">
        <v>1256</v>
      </c>
      <c r="H793" s="459" t="s">
        <v>1238</v>
      </c>
      <c r="I793" s="460" t="s">
        <v>4330</v>
      </c>
      <c r="J793" s="461" t="s">
        <v>1257</v>
      </c>
      <c r="K793" s="462" t="s">
        <v>1129</v>
      </c>
      <c r="L793" s="463">
        <v>1</v>
      </c>
      <c r="M793" s="463">
        <v>4462.25</v>
      </c>
      <c r="N793" s="464">
        <v>4462.25</v>
      </c>
      <c r="O793" s="475" t="s">
        <v>2333</v>
      </c>
      <c r="P793" s="431" t="s">
        <v>6711</v>
      </c>
    </row>
    <row r="794" spans="1:16" ht="13.9" hidden="1" customHeight="1" outlineLevel="1" x14ac:dyDescent="0.2">
      <c r="A794" s="233">
        <v>0</v>
      </c>
      <c r="B794" s="233">
        <v>8</v>
      </c>
      <c r="C794" s="233">
        <v>7</v>
      </c>
      <c r="D794" s="234">
        <v>0</v>
      </c>
      <c r="E794" s="234">
        <v>1</v>
      </c>
      <c r="G794" s="443"/>
      <c r="H794" s="444" t="s">
        <v>38</v>
      </c>
      <c r="I794" s="445" t="s">
        <v>4331</v>
      </c>
      <c r="J794" s="446" t="s">
        <v>2791</v>
      </c>
      <c r="K794" s="447"/>
      <c r="L794" s="448"/>
      <c r="M794" s="448"/>
      <c r="N794" s="449">
        <v>187448.41</v>
      </c>
      <c r="O794" s="432"/>
      <c r="P794" s="435"/>
    </row>
    <row r="795" spans="1:16" ht="13.9" hidden="1" customHeight="1" outlineLevel="2" x14ac:dyDescent="0.2">
      <c r="A795" s="233">
        <v>0</v>
      </c>
      <c r="B795" s="233">
        <v>8</v>
      </c>
      <c r="C795" s="233">
        <v>7</v>
      </c>
      <c r="D795" s="234">
        <v>1</v>
      </c>
      <c r="E795" s="234">
        <v>0</v>
      </c>
      <c r="G795" s="450"/>
      <c r="H795" s="451" t="s">
        <v>1237</v>
      </c>
      <c r="I795" s="452" t="s">
        <v>4332</v>
      </c>
      <c r="J795" s="453" t="s">
        <v>2330</v>
      </c>
      <c r="K795" s="454"/>
      <c r="L795" s="455"/>
      <c r="M795" s="455"/>
      <c r="N795" s="456">
        <v>8801</v>
      </c>
      <c r="O795" s="457"/>
      <c r="P795" s="430"/>
    </row>
    <row r="796" spans="1:16" ht="13.9" hidden="1" customHeight="1" outlineLevel="3" x14ac:dyDescent="0.2">
      <c r="A796" s="233">
        <v>0</v>
      </c>
      <c r="B796" s="233">
        <v>8</v>
      </c>
      <c r="C796" s="233">
        <v>7</v>
      </c>
      <c r="D796" s="234">
        <v>1</v>
      </c>
      <c r="E796" s="234">
        <v>1</v>
      </c>
      <c r="G796" s="500" t="s">
        <v>1256</v>
      </c>
      <c r="H796" s="459" t="s">
        <v>1238</v>
      </c>
      <c r="I796" s="460" t="s">
        <v>4333</v>
      </c>
      <c r="J796" s="461" t="s">
        <v>2330</v>
      </c>
      <c r="K796" s="462" t="s">
        <v>1129</v>
      </c>
      <c r="L796" s="463">
        <v>1</v>
      </c>
      <c r="M796" s="463">
        <v>8801</v>
      </c>
      <c r="N796" s="464">
        <v>8801</v>
      </c>
      <c r="O796" s="465" t="s">
        <v>2323</v>
      </c>
      <c r="P796" s="431" t="s">
        <v>6711</v>
      </c>
    </row>
    <row r="797" spans="1:16" ht="13.9" hidden="1" customHeight="1" outlineLevel="2" x14ac:dyDescent="0.2">
      <c r="A797" s="233">
        <v>0</v>
      </c>
      <c r="B797" s="233">
        <v>8</v>
      </c>
      <c r="C797" s="233">
        <v>7</v>
      </c>
      <c r="D797" s="234">
        <v>2</v>
      </c>
      <c r="E797" s="234">
        <v>0</v>
      </c>
      <c r="G797" s="450"/>
      <c r="H797" s="451" t="s">
        <v>1237</v>
      </c>
      <c r="I797" s="452" t="s">
        <v>4334</v>
      </c>
      <c r="J797" s="453" t="s">
        <v>2331</v>
      </c>
      <c r="K797" s="454"/>
      <c r="L797" s="455"/>
      <c r="M797" s="455"/>
      <c r="N797" s="456">
        <v>2298.5700000000002</v>
      </c>
      <c r="O797" s="457"/>
      <c r="P797" s="430"/>
    </row>
    <row r="798" spans="1:16" ht="13.9" hidden="1" customHeight="1" outlineLevel="3" x14ac:dyDescent="0.2">
      <c r="A798" s="233">
        <v>0</v>
      </c>
      <c r="B798" s="233">
        <v>8</v>
      </c>
      <c r="C798" s="233">
        <v>7</v>
      </c>
      <c r="D798" s="234">
        <v>2</v>
      </c>
      <c r="E798" s="234">
        <v>1</v>
      </c>
      <c r="G798" s="500" t="s">
        <v>1256</v>
      </c>
      <c r="H798" s="459" t="s">
        <v>1238</v>
      </c>
      <c r="I798" s="460" t="s">
        <v>4335</v>
      </c>
      <c r="J798" s="461" t="s">
        <v>2331</v>
      </c>
      <c r="K798" s="462" t="s">
        <v>1129</v>
      </c>
      <c r="L798" s="463">
        <v>1</v>
      </c>
      <c r="M798" s="463">
        <v>2298.5699999999997</v>
      </c>
      <c r="N798" s="464">
        <v>2298.5700000000002</v>
      </c>
      <c r="O798" s="465" t="s">
        <v>2323</v>
      </c>
      <c r="P798" s="431" t="s">
        <v>6711</v>
      </c>
    </row>
    <row r="799" spans="1:16" ht="13.9" hidden="1" customHeight="1" outlineLevel="2" x14ac:dyDescent="0.2">
      <c r="A799" s="233">
        <v>0</v>
      </c>
      <c r="B799" s="233">
        <v>8</v>
      </c>
      <c r="C799" s="233">
        <v>7</v>
      </c>
      <c r="D799" s="234">
        <v>3</v>
      </c>
      <c r="E799" s="234">
        <v>0</v>
      </c>
      <c r="G799" s="450"/>
      <c r="H799" s="451" t="s">
        <v>1237</v>
      </c>
      <c r="I799" s="452" t="s">
        <v>4336</v>
      </c>
      <c r="J799" s="453" t="s">
        <v>2801</v>
      </c>
      <c r="K799" s="454"/>
      <c r="L799" s="455"/>
      <c r="M799" s="455"/>
      <c r="N799" s="456">
        <v>163725.9</v>
      </c>
      <c r="O799" s="457"/>
      <c r="P799" s="430"/>
    </row>
    <row r="800" spans="1:16" ht="13.9" hidden="1" customHeight="1" outlineLevel="3" x14ac:dyDescent="0.2">
      <c r="A800" s="233">
        <v>0</v>
      </c>
      <c r="B800" s="233">
        <v>8</v>
      </c>
      <c r="C800" s="233">
        <v>7</v>
      </c>
      <c r="D800" s="234">
        <v>3</v>
      </c>
      <c r="E800" s="234">
        <v>1</v>
      </c>
      <c r="G800" s="500" t="s">
        <v>1256</v>
      </c>
      <c r="H800" s="459" t="s">
        <v>1238</v>
      </c>
      <c r="I800" s="460" t="s">
        <v>4337</v>
      </c>
      <c r="J800" s="461" t="s">
        <v>2801</v>
      </c>
      <c r="K800" s="462" t="s">
        <v>1129</v>
      </c>
      <c r="L800" s="463">
        <v>1</v>
      </c>
      <c r="M800" s="463">
        <v>163725.9</v>
      </c>
      <c r="N800" s="464">
        <v>163725.9</v>
      </c>
      <c r="O800" s="465" t="s">
        <v>2323</v>
      </c>
      <c r="P800" s="431" t="s">
        <v>6711</v>
      </c>
    </row>
    <row r="801" spans="1:16" ht="13.9" hidden="1" customHeight="1" outlineLevel="2" x14ac:dyDescent="0.2">
      <c r="A801" s="233">
        <v>0</v>
      </c>
      <c r="B801" s="233">
        <v>8</v>
      </c>
      <c r="C801" s="233">
        <v>7</v>
      </c>
      <c r="D801" s="234">
        <v>4</v>
      </c>
      <c r="E801" s="234">
        <v>0</v>
      </c>
      <c r="G801" s="450"/>
      <c r="H801" s="451" t="s">
        <v>1237</v>
      </c>
      <c r="I801" s="452" t="s">
        <v>4338</v>
      </c>
      <c r="J801" s="453" t="s">
        <v>2332</v>
      </c>
      <c r="K801" s="454"/>
      <c r="L801" s="455"/>
      <c r="M801" s="455"/>
      <c r="N801" s="456">
        <v>0</v>
      </c>
      <c r="O801" s="457"/>
      <c r="P801" s="430"/>
    </row>
    <row r="802" spans="1:16" ht="13.9" hidden="1" customHeight="1" outlineLevel="3" x14ac:dyDescent="0.2">
      <c r="A802" s="233">
        <v>0</v>
      </c>
      <c r="B802" s="233">
        <v>8</v>
      </c>
      <c r="C802" s="233">
        <v>7</v>
      </c>
      <c r="D802" s="234">
        <v>4</v>
      </c>
      <c r="E802" s="234">
        <v>1</v>
      </c>
      <c r="G802" s="500" t="s">
        <v>1256</v>
      </c>
      <c r="H802" s="459" t="s">
        <v>1238</v>
      </c>
      <c r="I802" s="460" t="s">
        <v>4339</v>
      </c>
      <c r="J802" s="461" t="s">
        <v>2332</v>
      </c>
      <c r="K802" s="462" t="s">
        <v>1129</v>
      </c>
      <c r="L802" s="463">
        <v>1</v>
      </c>
      <c r="M802" s="463"/>
      <c r="N802" s="464">
        <v>0</v>
      </c>
      <c r="O802" s="465" t="s">
        <v>2799</v>
      </c>
      <c r="P802" s="431" t="s">
        <v>6711</v>
      </c>
    </row>
    <row r="803" spans="1:16" ht="13.9" hidden="1" customHeight="1" outlineLevel="2" x14ac:dyDescent="0.2">
      <c r="A803" s="233">
        <v>0</v>
      </c>
      <c r="B803" s="233">
        <v>8</v>
      </c>
      <c r="C803" s="233">
        <v>7</v>
      </c>
      <c r="D803" s="234">
        <v>5</v>
      </c>
      <c r="E803" s="234">
        <v>0</v>
      </c>
      <c r="G803" s="450"/>
      <c r="H803" s="451" t="s">
        <v>1237</v>
      </c>
      <c r="I803" s="452" t="s">
        <v>4340</v>
      </c>
      <c r="J803" s="453" t="s">
        <v>2241</v>
      </c>
      <c r="K803" s="454"/>
      <c r="L803" s="455"/>
      <c r="M803" s="455"/>
      <c r="N803" s="456">
        <v>8160.69</v>
      </c>
      <c r="O803" s="457"/>
      <c r="P803" s="430"/>
    </row>
    <row r="804" spans="1:16" ht="13.9" hidden="1" customHeight="1" outlineLevel="3" x14ac:dyDescent="0.2">
      <c r="A804" s="233">
        <v>0</v>
      </c>
      <c r="B804" s="233">
        <v>8</v>
      </c>
      <c r="C804" s="233">
        <v>7</v>
      </c>
      <c r="D804" s="234">
        <v>5</v>
      </c>
      <c r="E804" s="234">
        <v>1</v>
      </c>
      <c r="G804" s="500" t="s">
        <v>1256</v>
      </c>
      <c r="H804" s="459" t="s">
        <v>1238</v>
      </c>
      <c r="I804" s="460" t="s">
        <v>4341</v>
      </c>
      <c r="J804" s="461" t="s">
        <v>2241</v>
      </c>
      <c r="K804" s="462" t="s">
        <v>1129</v>
      </c>
      <c r="L804" s="463">
        <v>1</v>
      </c>
      <c r="M804" s="463">
        <v>8160.6900000000005</v>
      </c>
      <c r="N804" s="464">
        <v>8160.69</v>
      </c>
      <c r="O804" s="465" t="s">
        <v>2323</v>
      </c>
      <c r="P804" s="431" t="s">
        <v>6711</v>
      </c>
    </row>
    <row r="805" spans="1:16" ht="13.9" hidden="1" customHeight="1" outlineLevel="2" x14ac:dyDescent="0.2">
      <c r="A805" s="233">
        <v>0</v>
      </c>
      <c r="B805" s="233">
        <v>8</v>
      </c>
      <c r="C805" s="233">
        <v>7</v>
      </c>
      <c r="D805" s="234">
        <v>6</v>
      </c>
      <c r="E805" s="234">
        <v>0</v>
      </c>
      <c r="G805" s="450"/>
      <c r="H805" s="451" t="s">
        <v>1237</v>
      </c>
      <c r="I805" s="452" t="s">
        <v>4342</v>
      </c>
      <c r="J805" s="453" t="s">
        <v>2240</v>
      </c>
      <c r="K805" s="454"/>
      <c r="L805" s="455"/>
      <c r="M805" s="455"/>
      <c r="N805" s="456">
        <v>0</v>
      </c>
      <c r="O805" s="457"/>
      <c r="P805" s="430"/>
    </row>
    <row r="806" spans="1:16" ht="13.9" hidden="1" customHeight="1" outlineLevel="3" x14ac:dyDescent="0.2">
      <c r="A806" s="233">
        <v>0</v>
      </c>
      <c r="B806" s="233">
        <v>8</v>
      </c>
      <c r="C806" s="233">
        <v>7</v>
      </c>
      <c r="D806" s="234">
        <v>6</v>
      </c>
      <c r="E806" s="234">
        <v>1</v>
      </c>
      <c r="G806" s="500" t="s">
        <v>1256</v>
      </c>
      <c r="H806" s="459" t="s">
        <v>1238</v>
      </c>
      <c r="I806" s="460" t="s">
        <v>4343</v>
      </c>
      <c r="J806" s="461" t="s">
        <v>2240</v>
      </c>
      <c r="K806" s="462" t="s">
        <v>1129</v>
      </c>
      <c r="L806" s="463">
        <v>1</v>
      </c>
      <c r="M806" s="463"/>
      <c r="N806" s="464">
        <v>0</v>
      </c>
      <c r="O806" s="465" t="s">
        <v>2323</v>
      </c>
      <c r="P806" s="431" t="s">
        <v>6711</v>
      </c>
    </row>
    <row r="807" spans="1:16" ht="13.9" hidden="1" customHeight="1" outlineLevel="2" x14ac:dyDescent="0.2">
      <c r="A807" s="233">
        <v>0</v>
      </c>
      <c r="B807" s="233">
        <v>8</v>
      </c>
      <c r="C807" s="233">
        <v>7</v>
      </c>
      <c r="D807" s="234">
        <v>7</v>
      </c>
      <c r="E807" s="234">
        <v>0</v>
      </c>
      <c r="G807" s="450"/>
      <c r="H807" s="451" t="s">
        <v>1237</v>
      </c>
      <c r="I807" s="452" t="s">
        <v>4344</v>
      </c>
      <c r="J807" s="453" t="s">
        <v>14</v>
      </c>
      <c r="K807" s="454"/>
      <c r="L807" s="455"/>
      <c r="M807" s="455"/>
      <c r="N807" s="456">
        <v>4462.25</v>
      </c>
      <c r="O807" s="457"/>
      <c r="P807" s="430"/>
    </row>
    <row r="808" spans="1:16" ht="13.9" hidden="1" customHeight="1" outlineLevel="3" x14ac:dyDescent="0.2">
      <c r="A808" s="233">
        <v>0</v>
      </c>
      <c r="B808" s="233">
        <v>8</v>
      </c>
      <c r="C808" s="233">
        <v>7</v>
      </c>
      <c r="D808" s="234">
        <v>7</v>
      </c>
      <c r="E808" s="234">
        <v>1</v>
      </c>
      <c r="G808" s="500" t="s">
        <v>1256</v>
      </c>
      <c r="H808" s="459" t="s">
        <v>1238</v>
      </c>
      <c r="I808" s="460" t="s">
        <v>4345</v>
      </c>
      <c r="J808" s="461" t="s">
        <v>1257</v>
      </c>
      <c r="K808" s="462" t="s">
        <v>1129</v>
      </c>
      <c r="L808" s="463">
        <v>1</v>
      </c>
      <c r="M808" s="463">
        <v>4462.25</v>
      </c>
      <c r="N808" s="464">
        <v>4462.25</v>
      </c>
      <c r="O808" s="475" t="s">
        <v>2333</v>
      </c>
      <c r="P808" s="431" t="s">
        <v>6711</v>
      </c>
    </row>
    <row r="809" spans="1:16" ht="13.9" hidden="1" customHeight="1" outlineLevel="1" x14ac:dyDescent="0.2">
      <c r="A809" s="233">
        <v>0</v>
      </c>
      <c r="B809" s="233">
        <v>8</v>
      </c>
      <c r="C809" s="233">
        <v>8</v>
      </c>
      <c r="D809" s="234">
        <v>0</v>
      </c>
      <c r="E809" s="234">
        <v>1</v>
      </c>
      <c r="G809" s="443"/>
      <c r="H809" s="444" t="s">
        <v>38</v>
      </c>
      <c r="I809" s="445" t="s">
        <v>4346</v>
      </c>
      <c r="J809" s="446" t="s">
        <v>2792</v>
      </c>
      <c r="K809" s="447"/>
      <c r="L809" s="448"/>
      <c r="M809" s="448"/>
      <c r="N809" s="449">
        <v>44273.483999999997</v>
      </c>
      <c r="O809" s="432"/>
      <c r="P809" s="435"/>
    </row>
    <row r="810" spans="1:16" ht="13.9" hidden="1" customHeight="1" outlineLevel="2" x14ac:dyDescent="0.2">
      <c r="A810" s="233">
        <v>0</v>
      </c>
      <c r="B810" s="233">
        <v>8</v>
      </c>
      <c r="C810" s="233">
        <v>8</v>
      </c>
      <c r="D810" s="234">
        <v>1</v>
      </c>
      <c r="E810" s="234">
        <v>0</v>
      </c>
      <c r="G810" s="450"/>
      <c r="H810" s="451" t="s">
        <v>1237</v>
      </c>
      <c r="I810" s="452" t="s">
        <v>4347</v>
      </c>
      <c r="J810" s="453" t="s">
        <v>2330</v>
      </c>
      <c r="K810" s="454"/>
      <c r="L810" s="455"/>
      <c r="M810" s="455"/>
      <c r="N810" s="456">
        <v>3982.75</v>
      </c>
      <c r="O810" s="457"/>
      <c r="P810" s="430"/>
    </row>
    <row r="811" spans="1:16" ht="13.9" hidden="1" customHeight="1" outlineLevel="3" x14ac:dyDescent="0.2">
      <c r="A811" s="233">
        <v>0</v>
      </c>
      <c r="B811" s="233">
        <v>8</v>
      </c>
      <c r="C811" s="233">
        <v>8</v>
      </c>
      <c r="D811" s="234">
        <v>1</v>
      </c>
      <c r="E811" s="234">
        <v>1</v>
      </c>
      <c r="G811" s="500" t="s">
        <v>1256</v>
      </c>
      <c r="H811" s="459" t="s">
        <v>1238</v>
      </c>
      <c r="I811" s="460" t="s">
        <v>4348</v>
      </c>
      <c r="J811" s="461" t="s">
        <v>2330</v>
      </c>
      <c r="K811" s="462" t="s">
        <v>1129</v>
      </c>
      <c r="L811" s="463">
        <v>1</v>
      </c>
      <c r="M811" s="463">
        <v>3982.75</v>
      </c>
      <c r="N811" s="464">
        <v>3982.75</v>
      </c>
      <c r="O811" s="465" t="s">
        <v>2323</v>
      </c>
      <c r="P811" s="431" t="s">
        <v>6711</v>
      </c>
    </row>
    <row r="812" spans="1:16" ht="13.9" hidden="1" customHeight="1" outlineLevel="2" x14ac:dyDescent="0.2">
      <c r="A812" s="233">
        <v>0</v>
      </c>
      <c r="B812" s="233">
        <v>8</v>
      </c>
      <c r="C812" s="233">
        <v>8</v>
      </c>
      <c r="D812" s="234">
        <v>2</v>
      </c>
      <c r="E812" s="234">
        <v>0</v>
      </c>
      <c r="G812" s="450"/>
      <c r="H812" s="451" t="s">
        <v>1237</v>
      </c>
      <c r="I812" s="452" t="s">
        <v>4349</v>
      </c>
      <c r="J812" s="453" t="s">
        <v>2331</v>
      </c>
      <c r="K812" s="454"/>
      <c r="L812" s="455"/>
      <c r="M812" s="455"/>
      <c r="N812" s="456">
        <v>1517.74</v>
      </c>
      <c r="O812" s="457"/>
      <c r="P812" s="430"/>
    </row>
    <row r="813" spans="1:16" ht="13.9" hidden="1" customHeight="1" outlineLevel="3" x14ac:dyDescent="0.2">
      <c r="A813" s="233">
        <v>0</v>
      </c>
      <c r="B813" s="233">
        <v>8</v>
      </c>
      <c r="C813" s="233">
        <v>8</v>
      </c>
      <c r="D813" s="234">
        <v>2</v>
      </c>
      <c r="E813" s="234">
        <v>1</v>
      </c>
      <c r="G813" s="500" t="s">
        <v>1256</v>
      </c>
      <c r="H813" s="459" t="s">
        <v>1238</v>
      </c>
      <c r="I813" s="460" t="s">
        <v>4350</v>
      </c>
      <c r="J813" s="461" t="s">
        <v>2331</v>
      </c>
      <c r="K813" s="462" t="s">
        <v>1129</v>
      </c>
      <c r="L813" s="463">
        <v>1</v>
      </c>
      <c r="M813" s="463">
        <v>1517.74</v>
      </c>
      <c r="N813" s="464">
        <v>1517.74</v>
      </c>
      <c r="O813" s="465" t="s">
        <v>2323</v>
      </c>
      <c r="P813" s="431" t="s">
        <v>6711</v>
      </c>
    </row>
    <row r="814" spans="1:16" ht="13.9" hidden="1" customHeight="1" outlineLevel="2" x14ac:dyDescent="0.2">
      <c r="A814" s="233">
        <v>0</v>
      </c>
      <c r="B814" s="233">
        <v>8</v>
      </c>
      <c r="C814" s="233">
        <v>8</v>
      </c>
      <c r="D814" s="234">
        <v>3</v>
      </c>
      <c r="E814" s="234">
        <v>0</v>
      </c>
      <c r="G814" s="450"/>
      <c r="H814" s="451" t="s">
        <v>1237</v>
      </c>
      <c r="I814" s="452" t="s">
        <v>4351</v>
      </c>
      <c r="J814" s="453" t="s">
        <v>2801</v>
      </c>
      <c r="K814" s="454"/>
      <c r="L814" s="455"/>
      <c r="M814" s="455"/>
      <c r="N814" s="456">
        <v>30559.1</v>
      </c>
      <c r="O814" s="457"/>
      <c r="P814" s="430"/>
    </row>
    <row r="815" spans="1:16" ht="13.9" hidden="1" customHeight="1" outlineLevel="3" x14ac:dyDescent="0.2">
      <c r="A815" s="233">
        <v>0</v>
      </c>
      <c r="B815" s="233">
        <v>8</v>
      </c>
      <c r="C815" s="233">
        <v>8</v>
      </c>
      <c r="D815" s="234">
        <v>3</v>
      </c>
      <c r="E815" s="234">
        <v>1</v>
      </c>
      <c r="G815" s="500" t="s">
        <v>1256</v>
      </c>
      <c r="H815" s="459" t="s">
        <v>1238</v>
      </c>
      <c r="I815" s="460" t="s">
        <v>4352</v>
      </c>
      <c r="J815" s="461" t="s">
        <v>2801</v>
      </c>
      <c r="K815" s="462" t="s">
        <v>1129</v>
      </c>
      <c r="L815" s="463">
        <v>1</v>
      </c>
      <c r="M815" s="463">
        <v>30559.1</v>
      </c>
      <c r="N815" s="464">
        <v>30559.1</v>
      </c>
      <c r="O815" s="465" t="s">
        <v>2323</v>
      </c>
      <c r="P815" s="431" t="s">
        <v>6711</v>
      </c>
    </row>
    <row r="816" spans="1:16" ht="13.9" hidden="1" customHeight="1" outlineLevel="2" x14ac:dyDescent="0.2">
      <c r="A816" s="233">
        <v>0</v>
      </c>
      <c r="B816" s="233">
        <v>8</v>
      </c>
      <c r="C816" s="233">
        <v>8</v>
      </c>
      <c r="D816" s="234">
        <v>4</v>
      </c>
      <c r="E816" s="234">
        <v>0</v>
      </c>
      <c r="G816" s="450"/>
      <c r="H816" s="451" t="s">
        <v>1237</v>
      </c>
      <c r="I816" s="452" t="s">
        <v>4353</v>
      </c>
      <c r="J816" s="453" t="s">
        <v>2332</v>
      </c>
      <c r="K816" s="454"/>
      <c r="L816" s="455"/>
      <c r="M816" s="455"/>
      <c r="N816" s="456">
        <v>0</v>
      </c>
      <c r="O816" s="457"/>
      <c r="P816" s="430"/>
    </row>
    <row r="817" spans="1:16" ht="13.9" hidden="1" customHeight="1" outlineLevel="3" x14ac:dyDescent="0.2">
      <c r="A817" s="233">
        <v>0</v>
      </c>
      <c r="B817" s="233">
        <v>8</v>
      </c>
      <c r="C817" s="233">
        <v>8</v>
      </c>
      <c r="D817" s="234">
        <v>4</v>
      </c>
      <c r="E817" s="234">
        <v>1</v>
      </c>
      <c r="G817" s="500" t="s">
        <v>1256</v>
      </c>
      <c r="H817" s="459" t="s">
        <v>1238</v>
      </c>
      <c r="I817" s="460" t="s">
        <v>4354</v>
      </c>
      <c r="J817" s="461" t="s">
        <v>2332</v>
      </c>
      <c r="K817" s="462" t="s">
        <v>1129</v>
      </c>
      <c r="L817" s="463">
        <v>1</v>
      </c>
      <c r="M817" s="463"/>
      <c r="N817" s="464">
        <v>0</v>
      </c>
      <c r="O817" s="465" t="s">
        <v>2799</v>
      </c>
      <c r="P817" s="431" t="s">
        <v>6711</v>
      </c>
    </row>
    <row r="818" spans="1:16" ht="13.9" hidden="1" customHeight="1" outlineLevel="2" x14ac:dyDescent="0.2">
      <c r="A818" s="233">
        <v>0</v>
      </c>
      <c r="B818" s="233">
        <v>8</v>
      </c>
      <c r="C818" s="233">
        <v>8</v>
      </c>
      <c r="D818" s="234">
        <v>5</v>
      </c>
      <c r="E818" s="234">
        <v>0</v>
      </c>
      <c r="G818" s="450"/>
      <c r="H818" s="451" t="s">
        <v>1237</v>
      </c>
      <c r="I818" s="452" t="s">
        <v>4355</v>
      </c>
      <c r="J818" s="453" t="s">
        <v>2241</v>
      </c>
      <c r="K818" s="454"/>
      <c r="L818" s="455"/>
      <c r="M818" s="455"/>
      <c r="N818" s="456">
        <v>5717.5439999999999</v>
      </c>
      <c r="O818" s="457"/>
      <c r="P818" s="430"/>
    </row>
    <row r="819" spans="1:16" ht="13.9" hidden="1" customHeight="1" outlineLevel="3" x14ac:dyDescent="0.2">
      <c r="A819" s="233">
        <v>0</v>
      </c>
      <c r="B819" s="233">
        <v>8</v>
      </c>
      <c r="C819" s="233">
        <v>8</v>
      </c>
      <c r="D819" s="234">
        <v>5</v>
      </c>
      <c r="E819" s="234">
        <v>1</v>
      </c>
      <c r="G819" s="500" t="s">
        <v>1256</v>
      </c>
      <c r="H819" s="459" t="s">
        <v>1238</v>
      </c>
      <c r="I819" s="460" t="s">
        <v>4356</v>
      </c>
      <c r="J819" s="461" t="s">
        <v>2241</v>
      </c>
      <c r="K819" s="462" t="s">
        <v>1129</v>
      </c>
      <c r="L819" s="463">
        <v>1</v>
      </c>
      <c r="M819" s="463">
        <v>5717.5439999999999</v>
      </c>
      <c r="N819" s="464">
        <v>5717.5439999999999</v>
      </c>
      <c r="O819" s="465" t="s">
        <v>2323</v>
      </c>
      <c r="P819" s="431" t="s">
        <v>6711</v>
      </c>
    </row>
    <row r="820" spans="1:16" ht="13.9" hidden="1" customHeight="1" outlineLevel="2" x14ac:dyDescent="0.2">
      <c r="A820" s="233">
        <v>0</v>
      </c>
      <c r="B820" s="233">
        <v>8</v>
      </c>
      <c r="C820" s="233">
        <v>8</v>
      </c>
      <c r="D820" s="234">
        <v>6</v>
      </c>
      <c r="E820" s="234">
        <v>0</v>
      </c>
      <c r="G820" s="450"/>
      <c r="H820" s="451" t="s">
        <v>1237</v>
      </c>
      <c r="I820" s="452" t="s">
        <v>4357</v>
      </c>
      <c r="J820" s="453" t="s">
        <v>2240</v>
      </c>
      <c r="K820" s="454"/>
      <c r="L820" s="455"/>
      <c r="M820" s="455"/>
      <c r="N820" s="456">
        <v>0</v>
      </c>
      <c r="O820" s="457"/>
      <c r="P820" s="430"/>
    </row>
    <row r="821" spans="1:16" ht="13.9" hidden="1" customHeight="1" outlineLevel="3" x14ac:dyDescent="0.2">
      <c r="A821" s="233">
        <v>0</v>
      </c>
      <c r="B821" s="233">
        <v>8</v>
      </c>
      <c r="C821" s="233">
        <v>8</v>
      </c>
      <c r="D821" s="234">
        <v>6</v>
      </c>
      <c r="E821" s="234">
        <v>1</v>
      </c>
      <c r="G821" s="500" t="s">
        <v>1256</v>
      </c>
      <c r="H821" s="459" t="s">
        <v>1238</v>
      </c>
      <c r="I821" s="460" t="s">
        <v>4358</v>
      </c>
      <c r="J821" s="461" t="s">
        <v>2240</v>
      </c>
      <c r="K821" s="462" t="s">
        <v>1129</v>
      </c>
      <c r="L821" s="463">
        <v>1</v>
      </c>
      <c r="M821" s="463"/>
      <c r="N821" s="464">
        <v>0</v>
      </c>
      <c r="O821" s="465" t="s">
        <v>2323</v>
      </c>
      <c r="P821" s="431" t="s">
        <v>6711</v>
      </c>
    </row>
    <row r="822" spans="1:16" ht="13.9" hidden="1" customHeight="1" outlineLevel="2" x14ac:dyDescent="0.2">
      <c r="A822" s="233">
        <v>0</v>
      </c>
      <c r="B822" s="233">
        <v>8</v>
      </c>
      <c r="C822" s="233">
        <v>8</v>
      </c>
      <c r="D822" s="234">
        <v>7</v>
      </c>
      <c r="E822" s="234">
        <v>0</v>
      </c>
      <c r="G822" s="450"/>
      <c r="H822" s="451" t="s">
        <v>1237</v>
      </c>
      <c r="I822" s="452" t="s">
        <v>4359</v>
      </c>
      <c r="J822" s="453" t="s">
        <v>14</v>
      </c>
      <c r="K822" s="454"/>
      <c r="L822" s="455"/>
      <c r="M822" s="455"/>
      <c r="N822" s="456">
        <v>2496.35</v>
      </c>
      <c r="O822" s="457"/>
      <c r="P822" s="430"/>
    </row>
    <row r="823" spans="1:16" ht="13.9" hidden="1" customHeight="1" outlineLevel="3" x14ac:dyDescent="0.2">
      <c r="A823" s="233">
        <v>0</v>
      </c>
      <c r="B823" s="233">
        <v>8</v>
      </c>
      <c r="C823" s="233">
        <v>8</v>
      </c>
      <c r="D823" s="234">
        <v>7</v>
      </c>
      <c r="E823" s="234">
        <v>1</v>
      </c>
      <c r="G823" s="500" t="s">
        <v>1256</v>
      </c>
      <c r="H823" s="459" t="s">
        <v>1238</v>
      </c>
      <c r="I823" s="460" t="s">
        <v>4360</v>
      </c>
      <c r="J823" s="461" t="s">
        <v>1257</v>
      </c>
      <c r="K823" s="462" t="s">
        <v>1129</v>
      </c>
      <c r="L823" s="463">
        <v>1</v>
      </c>
      <c r="M823" s="463">
        <v>2496.35</v>
      </c>
      <c r="N823" s="464">
        <v>2496.35</v>
      </c>
      <c r="O823" s="475" t="s">
        <v>2333</v>
      </c>
      <c r="P823" s="431" t="s">
        <v>6711</v>
      </c>
    </row>
    <row r="824" spans="1:16" ht="13.9" hidden="1" customHeight="1" outlineLevel="1" x14ac:dyDescent="0.2">
      <c r="A824" s="233">
        <v>0</v>
      </c>
      <c r="B824" s="233">
        <v>8</v>
      </c>
      <c r="C824" s="233">
        <v>9</v>
      </c>
      <c r="D824" s="234">
        <v>0</v>
      </c>
      <c r="E824" s="234">
        <v>1</v>
      </c>
      <c r="G824" s="443"/>
      <c r="H824" s="444" t="s">
        <v>38</v>
      </c>
      <c r="I824" s="445" t="s">
        <v>4361</v>
      </c>
      <c r="J824" s="446" t="s">
        <v>2794</v>
      </c>
      <c r="K824" s="447"/>
      <c r="L824" s="448"/>
      <c r="M824" s="448"/>
      <c r="N824" s="449">
        <v>32959.947200000002</v>
      </c>
      <c r="O824" s="432"/>
      <c r="P824" s="435"/>
    </row>
    <row r="825" spans="1:16" ht="13.9" hidden="1" customHeight="1" outlineLevel="2" x14ac:dyDescent="0.2">
      <c r="A825" s="233">
        <v>0</v>
      </c>
      <c r="B825" s="233">
        <v>8</v>
      </c>
      <c r="C825" s="233">
        <v>9</v>
      </c>
      <c r="D825" s="234">
        <v>1</v>
      </c>
      <c r="E825" s="234">
        <v>0</v>
      </c>
      <c r="G825" s="450"/>
      <c r="H825" s="451" t="s">
        <v>1237</v>
      </c>
      <c r="I825" s="452" t="s">
        <v>4362</v>
      </c>
      <c r="J825" s="453" t="s">
        <v>2330</v>
      </c>
      <c r="K825" s="454"/>
      <c r="L825" s="455"/>
      <c r="M825" s="455"/>
      <c r="N825" s="456">
        <v>3346.25</v>
      </c>
      <c r="O825" s="457"/>
      <c r="P825" s="430"/>
    </row>
    <row r="826" spans="1:16" ht="13.9" hidden="1" customHeight="1" outlineLevel="3" x14ac:dyDescent="0.2">
      <c r="A826" s="233">
        <v>0</v>
      </c>
      <c r="B826" s="233">
        <v>8</v>
      </c>
      <c r="C826" s="233">
        <v>9</v>
      </c>
      <c r="D826" s="234">
        <v>1</v>
      </c>
      <c r="E826" s="234">
        <v>1</v>
      </c>
      <c r="G826" s="500" t="s">
        <v>1256</v>
      </c>
      <c r="H826" s="459" t="s">
        <v>1238</v>
      </c>
      <c r="I826" s="460" t="s">
        <v>4363</v>
      </c>
      <c r="J826" s="461" t="s">
        <v>2330</v>
      </c>
      <c r="K826" s="462" t="s">
        <v>1129</v>
      </c>
      <c r="L826" s="463">
        <v>1</v>
      </c>
      <c r="M826" s="463">
        <v>3346.25</v>
      </c>
      <c r="N826" s="464">
        <v>3346.25</v>
      </c>
      <c r="O826" s="465" t="s">
        <v>2323</v>
      </c>
      <c r="P826" s="431" t="s">
        <v>6711</v>
      </c>
    </row>
    <row r="827" spans="1:16" ht="13.9" hidden="1" customHeight="1" outlineLevel="2" x14ac:dyDescent="0.2">
      <c r="A827" s="233">
        <v>0</v>
      </c>
      <c r="B827" s="233">
        <v>8</v>
      </c>
      <c r="C827" s="233">
        <v>9</v>
      </c>
      <c r="D827" s="234">
        <v>2</v>
      </c>
      <c r="E827" s="234">
        <v>0</v>
      </c>
      <c r="G827" s="450"/>
      <c r="H827" s="451" t="s">
        <v>1237</v>
      </c>
      <c r="I827" s="452" t="s">
        <v>4364</v>
      </c>
      <c r="J827" s="453" t="s">
        <v>2331</v>
      </c>
      <c r="K827" s="454"/>
      <c r="L827" s="455"/>
      <c r="M827" s="455"/>
      <c r="N827" s="456">
        <v>600.45000000000005</v>
      </c>
      <c r="O827" s="457"/>
      <c r="P827" s="430"/>
    </row>
    <row r="828" spans="1:16" ht="13.9" hidden="1" customHeight="1" outlineLevel="3" x14ac:dyDescent="0.2">
      <c r="A828" s="233">
        <v>0</v>
      </c>
      <c r="B828" s="233">
        <v>8</v>
      </c>
      <c r="C828" s="233">
        <v>9</v>
      </c>
      <c r="D828" s="234">
        <v>2</v>
      </c>
      <c r="E828" s="234">
        <v>1</v>
      </c>
      <c r="G828" s="500" t="s">
        <v>1256</v>
      </c>
      <c r="H828" s="459" t="s">
        <v>1238</v>
      </c>
      <c r="I828" s="460" t="s">
        <v>4365</v>
      </c>
      <c r="J828" s="461" t="s">
        <v>2331</v>
      </c>
      <c r="K828" s="462" t="s">
        <v>1129</v>
      </c>
      <c r="L828" s="463">
        <v>1</v>
      </c>
      <c r="M828" s="463">
        <v>600.45000000000005</v>
      </c>
      <c r="N828" s="464">
        <v>600.45000000000005</v>
      </c>
      <c r="O828" s="465" t="s">
        <v>2323</v>
      </c>
      <c r="P828" s="431" t="s">
        <v>6711</v>
      </c>
    </row>
    <row r="829" spans="1:16" ht="13.9" hidden="1" customHeight="1" outlineLevel="2" x14ac:dyDescent="0.2">
      <c r="A829" s="233">
        <v>0</v>
      </c>
      <c r="B829" s="233">
        <v>8</v>
      </c>
      <c r="C829" s="233">
        <v>9</v>
      </c>
      <c r="D829" s="234">
        <v>3</v>
      </c>
      <c r="E829" s="234">
        <v>0</v>
      </c>
      <c r="G829" s="450"/>
      <c r="H829" s="451" t="s">
        <v>1237</v>
      </c>
      <c r="I829" s="452" t="s">
        <v>4366</v>
      </c>
      <c r="J829" s="453" t="s">
        <v>2801</v>
      </c>
      <c r="K829" s="454"/>
      <c r="L829" s="455"/>
      <c r="M829" s="455"/>
      <c r="N829" s="456">
        <v>24380.45</v>
      </c>
      <c r="O829" s="457"/>
      <c r="P829" s="430"/>
    </row>
    <row r="830" spans="1:16" ht="13.9" hidden="1" customHeight="1" outlineLevel="3" x14ac:dyDescent="0.2">
      <c r="A830" s="233">
        <v>0</v>
      </c>
      <c r="B830" s="233">
        <v>8</v>
      </c>
      <c r="C830" s="233">
        <v>9</v>
      </c>
      <c r="D830" s="234">
        <v>3</v>
      </c>
      <c r="E830" s="234">
        <v>1</v>
      </c>
      <c r="G830" s="500" t="s">
        <v>1256</v>
      </c>
      <c r="H830" s="459" t="s">
        <v>1238</v>
      </c>
      <c r="I830" s="460" t="s">
        <v>4367</v>
      </c>
      <c r="J830" s="461" t="s">
        <v>2801</v>
      </c>
      <c r="K830" s="462" t="s">
        <v>1129</v>
      </c>
      <c r="L830" s="463">
        <v>1</v>
      </c>
      <c r="M830" s="463">
        <v>24380.45</v>
      </c>
      <c r="N830" s="464">
        <v>24380.45</v>
      </c>
      <c r="O830" s="465" t="s">
        <v>2323</v>
      </c>
      <c r="P830" s="431" t="s">
        <v>6711</v>
      </c>
    </row>
    <row r="831" spans="1:16" ht="13.9" hidden="1" customHeight="1" outlineLevel="2" x14ac:dyDescent="0.2">
      <c r="A831" s="233">
        <v>0</v>
      </c>
      <c r="B831" s="233">
        <v>8</v>
      </c>
      <c r="C831" s="233">
        <v>9</v>
      </c>
      <c r="D831" s="234">
        <v>4</v>
      </c>
      <c r="E831" s="234">
        <v>0</v>
      </c>
      <c r="G831" s="450"/>
      <c r="H831" s="451" t="s">
        <v>1237</v>
      </c>
      <c r="I831" s="452" t="s">
        <v>4368</v>
      </c>
      <c r="J831" s="453" t="s">
        <v>2332</v>
      </c>
      <c r="K831" s="454"/>
      <c r="L831" s="455"/>
      <c r="M831" s="455"/>
      <c r="N831" s="456">
        <v>0</v>
      </c>
      <c r="O831" s="457"/>
      <c r="P831" s="430"/>
    </row>
    <row r="832" spans="1:16" ht="13.9" hidden="1" customHeight="1" outlineLevel="3" x14ac:dyDescent="0.2">
      <c r="A832" s="233">
        <v>0</v>
      </c>
      <c r="B832" s="233">
        <v>8</v>
      </c>
      <c r="C832" s="233">
        <v>9</v>
      </c>
      <c r="D832" s="234">
        <v>4</v>
      </c>
      <c r="E832" s="234">
        <v>1</v>
      </c>
      <c r="G832" s="500" t="s">
        <v>1256</v>
      </c>
      <c r="H832" s="459" t="s">
        <v>1238</v>
      </c>
      <c r="I832" s="460" t="s">
        <v>4369</v>
      </c>
      <c r="J832" s="461" t="s">
        <v>2332</v>
      </c>
      <c r="K832" s="462" t="s">
        <v>1129</v>
      </c>
      <c r="L832" s="463">
        <v>1</v>
      </c>
      <c r="M832" s="463"/>
      <c r="N832" s="464">
        <v>0</v>
      </c>
      <c r="O832" s="465" t="s">
        <v>2799</v>
      </c>
      <c r="P832" s="431" t="s">
        <v>6711</v>
      </c>
    </row>
    <row r="833" spans="1:16" ht="13.9" hidden="1" customHeight="1" outlineLevel="2" x14ac:dyDescent="0.2">
      <c r="A833" s="233">
        <v>0</v>
      </c>
      <c r="B833" s="233">
        <v>8</v>
      </c>
      <c r="C833" s="233">
        <v>9</v>
      </c>
      <c r="D833" s="234">
        <v>5</v>
      </c>
      <c r="E833" s="234">
        <v>0</v>
      </c>
      <c r="G833" s="450"/>
      <c r="H833" s="451" t="s">
        <v>1237</v>
      </c>
      <c r="I833" s="452" t="s">
        <v>4370</v>
      </c>
      <c r="J833" s="453" t="s">
        <v>2241</v>
      </c>
      <c r="K833" s="454"/>
      <c r="L833" s="455"/>
      <c r="M833" s="455"/>
      <c r="N833" s="456">
        <v>2905.1471999999999</v>
      </c>
      <c r="O833" s="457"/>
      <c r="P833" s="430"/>
    </row>
    <row r="834" spans="1:16" ht="13.9" hidden="1" customHeight="1" outlineLevel="3" x14ac:dyDescent="0.2">
      <c r="A834" s="233">
        <v>0</v>
      </c>
      <c r="B834" s="233">
        <v>8</v>
      </c>
      <c r="C834" s="233">
        <v>9</v>
      </c>
      <c r="D834" s="234">
        <v>5</v>
      </c>
      <c r="E834" s="234">
        <v>1</v>
      </c>
      <c r="G834" s="500" t="s">
        <v>1256</v>
      </c>
      <c r="H834" s="459" t="s">
        <v>1238</v>
      </c>
      <c r="I834" s="460" t="s">
        <v>4371</v>
      </c>
      <c r="J834" s="461" t="s">
        <v>2241</v>
      </c>
      <c r="K834" s="462" t="s">
        <v>1129</v>
      </c>
      <c r="L834" s="463">
        <v>1</v>
      </c>
      <c r="M834" s="463">
        <v>2905.1472000000003</v>
      </c>
      <c r="N834" s="464">
        <v>2905.1471999999999</v>
      </c>
      <c r="O834" s="465" t="s">
        <v>2323</v>
      </c>
      <c r="P834" s="431" t="s">
        <v>6711</v>
      </c>
    </row>
    <row r="835" spans="1:16" ht="13.9" hidden="1" customHeight="1" outlineLevel="2" x14ac:dyDescent="0.2">
      <c r="A835" s="233">
        <v>0</v>
      </c>
      <c r="B835" s="233">
        <v>8</v>
      </c>
      <c r="C835" s="233">
        <v>9</v>
      </c>
      <c r="D835" s="234">
        <v>6</v>
      </c>
      <c r="E835" s="234">
        <v>0</v>
      </c>
      <c r="G835" s="450"/>
      <c r="H835" s="451" t="s">
        <v>1237</v>
      </c>
      <c r="I835" s="452" t="s">
        <v>4372</v>
      </c>
      <c r="J835" s="453" t="s">
        <v>2240</v>
      </c>
      <c r="K835" s="454"/>
      <c r="L835" s="455"/>
      <c r="M835" s="455"/>
      <c r="N835" s="456">
        <v>0</v>
      </c>
      <c r="O835" s="457"/>
      <c r="P835" s="430"/>
    </row>
    <row r="836" spans="1:16" ht="13.9" hidden="1" customHeight="1" outlineLevel="3" x14ac:dyDescent="0.2">
      <c r="A836" s="233">
        <v>0</v>
      </c>
      <c r="B836" s="233">
        <v>8</v>
      </c>
      <c r="C836" s="233">
        <v>9</v>
      </c>
      <c r="D836" s="234">
        <v>6</v>
      </c>
      <c r="E836" s="234">
        <v>1</v>
      </c>
      <c r="G836" s="500" t="s">
        <v>1256</v>
      </c>
      <c r="H836" s="459" t="s">
        <v>1238</v>
      </c>
      <c r="I836" s="460" t="s">
        <v>4373</v>
      </c>
      <c r="J836" s="461" t="s">
        <v>2240</v>
      </c>
      <c r="K836" s="462" t="s">
        <v>1129</v>
      </c>
      <c r="L836" s="463">
        <v>1</v>
      </c>
      <c r="M836" s="463"/>
      <c r="N836" s="464">
        <v>0</v>
      </c>
      <c r="O836" s="465" t="s">
        <v>2323</v>
      </c>
      <c r="P836" s="431" t="s">
        <v>6711</v>
      </c>
    </row>
    <row r="837" spans="1:16" ht="13.9" hidden="1" customHeight="1" outlineLevel="2" x14ac:dyDescent="0.2">
      <c r="A837" s="233">
        <v>0</v>
      </c>
      <c r="B837" s="233">
        <v>8</v>
      </c>
      <c r="C837" s="233">
        <v>9</v>
      </c>
      <c r="D837" s="234">
        <v>7</v>
      </c>
      <c r="E837" s="234">
        <v>0</v>
      </c>
      <c r="G837" s="450"/>
      <c r="H837" s="451" t="s">
        <v>1237</v>
      </c>
      <c r="I837" s="452" t="s">
        <v>4374</v>
      </c>
      <c r="J837" s="453" t="s">
        <v>14</v>
      </c>
      <c r="K837" s="454"/>
      <c r="L837" s="455"/>
      <c r="M837" s="455"/>
      <c r="N837" s="456">
        <v>1727.65</v>
      </c>
      <c r="O837" s="457"/>
      <c r="P837" s="430"/>
    </row>
    <row r="838" spans="1:16" ht="13.9" hidden="1" customHeight="1" outlineLevel="3" x14ac:dyDescent="0.2">
      <c r="A838" s="233">
        <v>0</v>
      </c>
      <c r="B838" s="233">
        <v>8</v>
      </c>
      <c r="C838" s="233">
        <v>9</v>
      </c>
      <c r="D838" s="234">
        <v>7</v>
      </c>
      <c r="E838" s="234">
        <v>1</v>
      </c>
      <c r="G838" s="500" t="s">
        <v>1256</v>
      </c>
      <c r="H838" s="459" t="s">
        <v>1238</v>
      </c>
      <c r="I838" s="460" t="s">
        <v>4375</v>
      </c>
      <c r="J838" s="461" t="s">
        <v>1257</v>
      </c>
      <c r="K838" s="462" t="s">
        <v>1129</v>
      </c>
      <c r="L838" s="463">
        <v>1</v>
      </c>
      <c r="M838" s="463">
        <v>1727.6499999999999</v>
      </c>
      <c r="N838" s="464">
        <v>1727.65</v>
      </c>
      <c r="O838" s="475" t="s">
        <v>2333</v>
      </c>
      <c r="P838" s="431" t="s">
        <v>6711</v>
      </c>
    </row>
    <row r="839" spans="1:16" ht="13.9" hidden="1" customHeight="1" outlineLevel="1" x14ac:dyDescent="0.2">
      <c r="A839" s="233">
        <v>0</v>
      </c>
      <c r="B839" s="233">
        <v>8</v>
      </c>
      <c r="C839" s="233">
        <v>10</v>
      </c>
      <c r="D839" s="234">
        <v>0</v>
      </c>
      <c r="E839" s="234">
        <v>1</v>
      </c>
      <c r="G839" s="443"/>
      <c r="H839" s="444" t="s">
        <v>38</v>
      </c>
      <c r="I839" s="445" t="s">
        <v>4376</v>
      </c>
      <c r="J839" s="446" t="s">
        <v>2793</v>
      </c>
      <c r="K839" s="447"/>
      <c r="L839" s="448"/>
      <c r="M839" s="448"/>
      <c r="N839" s="449">
        <v>291075.56679999997</v>
      </c>
      <c r="O839" s="432"/>
      <c r="P839" s="435"/>
    </row>
    <row r="840" spans="1:16" ht="13.9" hidden="1" customHeight="1" outlineLevel="2" x14ac:dyDescent="0.2">
      <c r="A840" s="233">
        <v>0</v>
      </c>
      <c r="B840" s="233">
        <v>8</v>
      </c>
      <c r="C840" s="233">
        <v>10</v>
      </c>
      <c r="D840" s="234">
        <v>1</v>
      </c>
      <c r="E840" s="234">
        <v>0</v>
      </c>
      <c r="G840" s="450"/>
      <c r="H840" s="451" t="s">
        <v>1237</v>
      </c>
      <c r="I840" s="452" t="s">
        <v>4377</v>
      </c>
      <c r="J840" s="453" t="s">
        <v>2330</v>
      </c>
      <c r="K840" s="454"/>
      <c r="L840" s="455"/>
      <c r="M840" s="455"/>
      <c r="N840" s="456">
        <v>27689.795999999998</v>
      </c>
      <c r="O840" s="457"/>
      <c r="P840" s="430"/>
    </row>
    <row r="841" spans="1:16" ht="13.9" hidden="1" customHeight="1" outlineLevel="3" x14ac:dyDescent="0.2">
      <c r="A841" s="233">
        <v>0</v>
      </c>
      <c r="B841" s="233">
        <v>8</v>
      </c>
      <c r="C841" s="233">
        <v>10</v>
      </c>
      <c r="D841" s="234">
        <v>1</v>
      </c>
      <c r="E841" s="234">
        <v>1</v>
      </c>
      <c r="G841" s="500" t="s">
        <v>1256</v>
      </c>
      <c r="H841" s="459" t="s">
        <v>1238</v>
      </c>
      <c r="I841" s="460" t="s">
        <v>4378</v>
      </c>
      <c r="J841" s="461" t="s">
        <v>2330</v>
      </c>
      <c r="K841" s="462" t="s">
        <v>1129</v>
      </c>
      <c r="L841" s="463">
        <v>1</v>
      </c>
      <c r="M841" s="463">
        <v>27689.796000000002</v>
      </c>
      <c r="N841" s="464">
        <v>27689.795999999998</v>
      </c>
      <c r="O841" s="465" t="s">
        <v>2323</v>
      </c>
      <c r="P841" s="431" t="s">
        <v>6711</v>
      </c>
    </row>
    <row r="842" spans="1:16" ht="13.9" hidden="1" customHeight="1" outlineLevel="2" x14ac:dyDescent="0.2">
      <c r="A842" s="233">
        <v>0</v>
      </c>
      <c r="B842" s="233">
        <v>8</v>
      </c>
      <c r="C842" s="233">
        <v>10</v>
      </c>
      <c r="D842" s="234">
        <v>2</v>
      </c>
      <c r="E842" s="234">
        <v>0</v>
      </c>
      <c r="G842" s="450"/>
      <c r="H842" s="451" t="s">
        <v>1237</v>
      </c>
      <c r="I842" s="452" t="s">
        <v>4379</v>
      </c>
      <c r="J842" s="453" t="s">
        <v>2331</v>
      </c>
      <c r="K842" s="454"/>
      <c r="L842" s="455"/>
      <c r="M842" s="455"/>
      <c r="N842" s="456">
        <v>6153.6</v>
      </c>
      <c r="O842" s="457"/>
      <c r="P842" s="430"/>
    </row>
    <row r="843" spans="1:16" ht="13.9" hidden="1" customHeight="1" outlineLevel="3" x14ac:dyDescent="0.2">
      <c r="A843" s="233">
        <v>0</v>
      </c>
      <c r="B843" s="233">
        <v>8</v>
      </c>
      <c r="C843" s="233">
        <v>10</v>
      </c>
      <c r="D843" s="234">
        <v>2</v>
      </c>
      <c r="E843" s="234">
        <v>1</v>
      </c>
      <c r="G843" s="500" t="s">
        <v>1256</v>
      </c>
      <c r="H843" s="459" t="s">
        <v>1238</v>
      </c>
      <c r="I843" s="460" t="s">
        <v>4380</v>
      </c>
      <c r="J843" s="461" t="s">
        <v>2331</v>
      </c>
      <c r="K843" s="462" t="s">
        <v>1129</v>
      </c>
      <c r="L843" s="463">
        <v>1</v>
      </c>
      <c r="M843" s="463">
        <v>6153.6</v>
      </c>
      <c r="N843" s="464">
        <v>6153.6</v>
      </c>
      <c r="O843" s="465" t="s">
        <v>2323</v>
      </c>
      <c r="P843" s="431" t="s">
        <v>6711</v>
      </c>
    </row>
    <row r="844" spans="1:16" ht="13.9" hidden="1" customHeight="1" outlineLevel="2" x14ac:dyDescent="0.2">
      <c r="A844" s="233">
        <v>0</v>
      </c>
      <c r="B844" s="233">
        <v>8</v>
      </c>
      <c r="C844" s="233">
        <v>10</v>
      </c>
      <c r="D844" s="234">
        <v>3</v>
      </c>
      <c r="E844" s="234">
        <v>0</v>
      </c>
      <c r="G844" s="450"/>
      <c r="H844" s="451" t="s">
        <v>1237</v>
      </c>
      <c r="I844" s="452" t="s">
        <v>4381</v>
      </c>
      <c r="J844" s="453" t="s">
        <v>2801</v>
      </c>
      <c r="K844" s="454"/>
      <c r="L844" s="455"/>
      <c r="M844" s="455"/>
      <c r="N844" s="456">
        <v>219912.65</v>
      </c>
      <c r="O844" s="457"/>
      <c r="P844" s="430"/>
    </row>
    <row r="845" spans="1:16" ht="13.9" hidden="1" customHeight="1" outlineLevel="3" x14ac:dyDescent="0.2">
      <c r="A845" s="233">
        <v>0</v>
      </c>
      <c r="B845" s="233">
        <v>8</v>
      </c>
      <c r="C845" s="233">
        <v>10</v>
      </c>
      <c r="D845" s="234">
        <v>3</v>
      </c>
      <c r="E845" s="234">
        <v>1</v>
      </c>
      <c r="G845" s="500" t="s">
        <v>1256</v>
      </c>
      <c r="H845" s="459" t="s">
        <v>1238</v>
      </c>
      <c r="I845" s="460" t="s">
        <v>4382</v>
      </c>
      <c r="J845" s="461" t="s">
        <v>2801</v>
      </c>
      <c r="K845" s="462" t="s">
        <v>1129</v>
      </c>
      <c r="L845" s="463">
        <v>1</v>
      </c>
      <c r="M845" s="463">
        <v>219912.65</v>
      </c>
      <c r="N845" s="464">
        <v>219912.65</v>
      </c>
      <c r="O845" s="465" t="s">
        <v>2323</v>
      </c>
      <c r="P845" s="431" t="s">
        <v>6711</v>
      </c>
    </row>
    <row r="846" spans="1:16" ht="13.9" hidden="1" customHeight="1" outlineLevel="2" x14ac:dyDescent="0.2">
      <c r="A846" s="233">
        <v>0</v>
      </c>
      <c r="B846" s="233">
        <v>8</v>
      </c>
      <c r="C846" s="233">
        <v>10</v>
      </c>
      <c r="D846" s="234">
        <v>4</v>
      </c>
      <c r="E846" s="234">
        <v>0</v>
      </c>
      <c r="G846" s="450"/>
      <c r="H846" s="451" t="s">
        <v>1237</v>
      </c>
      <c r="I846" s="452" t="s">
        <v>4383</v>
      </c>
      <c r="J846" s="453" t="s">
        <v>2332</v>
      </c>
      <c r="K846" s="454"/>
      <c r="L846" s="455"/>
      <c r="M846" s="455"/>
      <c r="N846" s="456">
        <v>0</v>
      </c>
      <c r="O846" s="457"/>
      <c r="P846" s="430"/>
    </row>
    <row r="847" spans="1:16" ht="13.9" hidden="1" customHeight="1" outlineLevel="3" x14ac:dyDescent="0.2">
      <c r="A847" s="233">
        <v>0</v>
      </c>
      <c r="B847" s="233">
        <v>8</v>
      </c>
      <c r="C847" s="233">
        <v>10</v>
      </c>
      <c r="D847" s="234">
        <v>4</v>
      </c>
      <c r="E847" s="234">
        <v>1</v>
      </c>
      <c r="G847" s="500" t="s">
        <v>1256</v>
      </c>
      <c r="H847" s="459" t="s">
        <v>1238</v>
      </c>
      <c r="I847" s="460" t="s">
        <v>4384</v>
      </c>
      <c r="J847" s="461" t="s">
        <v>2332</v>
      </c>
      <c r="K847" s="462" t="s">
        <v>1129</v>
      </c>
      <c r="L847" s="463">
        <v>1</v>
      </c>
      <c r="M847" s="463"/>
      <c r="N847" s="464">
        <v>0</v>
      </c>
      <c r="O847" s="465" t="s">
        <v>2799</v>
      </c>
      <c r="P847" s="431" t="s">
        <v>6711</v>
      </c>
    </row>
    <row r="848" spans="1:16" ht="13.9" hidden="1" customHeight="1" outlineLevel="2" x14ac:dyDescent="0.2">
      <c r="A848" s="233">
        <v>0</v>
      </c>
      <c r="B848" s="233">
        <v>8</v>
      </c>
      <c r="C848" s="233">
        <v>10</v>
      </c>
      <c r="D848" s="234">
        <v>5</v>
      </c>
      <c r="E848" s="234">
        <v>0</v>
      </c>
      <c r="G848" s="450"/>
      <c r="H848" s="451" t="s">
        <v>1237</v>
      </c>
      <c r="I848" s="452" t="s">
        <v>4385</v>
      </c>
      <c r="J848" s="453" t="s">
        <v>2241</v>
      </c>
      <c r="K848" s="454"/>
      <c r="L848" s="455"/>
      <c r="M848" s="455"/>
      <c r="N848" s="456">
        <v>25183.120800000001</v>
      </c>
      <c r="O848" s="457"/>
      <c r="P848" s="430"/>
    </row>
    <row r="849" spans="1:16" ht="13.9" hidden="1" customHeight="1" outlineLevel="3" x14ac:dyDescent="0.2">
      <c r="A849" s="233">
        <v>0</v>
      </c>
      <c r="B849" s="233">
        <v>8</v>
      </c>
      <c r="C849" s="233">
        <v>10</v>
      </c>
      <c r="D849" s="234">
        <v>5</v>
      </c>
      <c r="E849" s="234">
        <v>1</v>
      </c>
      <c r="G849" s="500" t="s">
        <v>1256</v>
      </c>
      <c r="H849" s="459" t="s">
        <v>1238</v>
      </c>
      <c r="I849" s="460" t="s">
        <v>4386</v>
      </c>
      <c r="J849" s="461" t="s">
        <v>2241</v>
      </c>
      <c r="K849" s="462" t="s">
        <v>1129</v>
      </c>
      <c r="L849" s="463">
        <v>1</v>
      </c>
      <c r="M849" s="463">
        <v>25183.120800000001</v>
      </c>
      <c r="N849" s="464">
        <v>25183.120800000001</v>
      </c>
      <c r="O849" s="465" t="s">
        <v>2323</v>
      </c>
      <c r="P849" s="431" t="s">
        <v>6711</v>
      </c>
    </row>
    <row r="850" spans="1:16" ht="13.9" hidden="1" customHeight="1" outlineLevel="2" x14ac:dyDescent="0.2">
      <c r="A850" s="233">
        <v>0</v>
      </c>
      <c r="B850" s="233">
        <v>8</v>
      </c>
      <c r="C850" s="233">
        <v>10</v>
      </c>
      <c r="D850" s="234">
        <v>6</v>
      </c>
      <c r="E850" s="234">
        <v>0</v>
      </c>
      <c r="G850" s="450"/>
      <c r="H850" s="451" t="s">
        <v>1237</v>
      </c>
      <c r="I850" s="452" t="s">
        <v>4387</v>
      </c>
      <c r="J850" s="453" t="s">
        <v>2240</v>
      </c>
      <c r="K850" s="454"/>
      <c r="L850" s="455"/>
      <c r="M850" s="455"/>
      <c r="N850" s="456">
        <v>0</v>
      </c>
      <c r="O850" s="457"/>
      <c r="P850" s="430"/>
    </row>
    <row r="851" spans="1:16" ht="13.9" hidden="1" customHeight="1" outlineLevel="3" x14ac:dyDescent="0.2">
      <c r="A851" s="233">
        <v>0</v>
      </c>
      <c r="B851" s="233">
        <v>8</v>
      </c>
      <c r="C851" s="233">
        <v>10</v>
      </c>
      <c r="D851" s="234">
        <v>6</v>
      </c>
      <c r="E851" s="234">
        <v>1</v>
      </c>
      <c r="G851" s="500" t="s">
        <v>1256</v>
      </c>
      <c r="H851" s="459" t="s">
        <v>1238</v>
      </c>
      <c r="I851" s="460" t="s">
        <v>4388</v>
      </c>
      <c r="J851" s="461" t="s">
        <v>2240</v>
      </c>
      <c r="K851" s="462" t="s">
        <v>1129</v>
      </c>
      <c r="L851" s="463">
        <v>1</v>
      </c>
      <c r="M851" s="463"/>
      <c r="N851" s="464">
        <v>0</v>
      </c>
      <c r="O851" s="465" t="s">
        <v>2323</v>
      </c>
      <c r="P851" s="431" t="s">
        <v>6711</v>
      </c>
    </row>
    <row r="852" spans="1:16" ht="13.9" hidden="1" customHeight="1" outlineLevel="2" x14ac:dyDescent="0.2">
      <c r="A852" s="233">
        <v>0</v>
      </c>
      <c r="B852" s="233">
        <v>8</v>
      </c>
      <c r="C852" s="233">
        <v>10</v>
      </c>
      <c r="D852" s="234">
        <v>7</v>
      </c>
      <c r="E852" s="234">
        <v>0</v>
      </c>
      <c r="G852" s="450"/>
      <c r="H852" s="451" t="s">
        <v>1237</v>
      </c>
      <c r="I852" s="452" t="s">
        <v>4389</v>
      </c>
      <c r="J852" s="453" t="s">
        <v>14</v>
      </c>
      <c r="K852" s="454"/>
      <c r="L852" s="455"/>
      <c r="M852" s="455"/>
      <c r="N852" s="456">
        <v>12136.4</v>
      </c>
      <c r="O852" s="457"/>
      <c r="P852" s="430"/>
    </row>
    <row r="853" spans="1:16" ht="13.9" hidden="1" customHeight="1" outlineLevel="3" x14ac:dyDescent="0.2">
      <c r="A853" s="233">
        <v>0</v>
      </c>
      <c r="B853" s="233">
        <v>8</v>
      </c>
      <c r="C853" s="233">
        <v>10</v>
      </c>
      <c r="D853" s="234">
        <v>7</v>
      </c>
      <c r="E853" s="234">
        <v>1</v>
      </c>
      <c r="G853" s="500" t="s">
        <v>1256</v>
      </c>
      <c r="H853" s="459" t="s">
        <v>1238</v>
      </c>
      <c r="I853" s="460" t="s">
        <v>4390</v>
      </c>
      <c r="J853" s="461" t="s">
        <v>1257</v>
      </c>
      <c r="K853" s="462" t="s">
        <v>1129</v>
      </c>
      <c r="L853" s="463">
        <v>1</v>
      </c>
      <c r="M853" s="463">
        <v>12136.400000000001</v>
      </c>
      <c r="N853" s="464">
        <v>12136.4</v>
      </c>
      <c r="O853" s="475" t="s">
        <v>2333</v>
      </c>
      <c r="P853" s="431" t="s">
        <v>6711</v>
      </c>
    </row>
    <row r="854" spans="1:16" ht="13.9" hidden="1" customHeight="1" outlineLevel="1" x14ac:dyDescent="0.2">
      <c r="A854" s="233">
        <v>0</v>
      </c>
      <c r="B854" s="233">
        <v>8</v>
      </c>
      <c r="C854" s="233">
        <v>11</v>
      </c>
      <c r="D854" s="234">
        <v>0</v>
      </c>
      <c r="E854" s="234">
        <v>1</v>
      </c>
      <c r="G854" s="443"/>
      <c r="H854" s="444" t="s">
        <v>38</v>
      </c>
      <c r="I854" s="445" t="s">
        <v>4391</v>
      </c>
      <c r="J854" s="446" t="s">
        <v>2795</v>
      </c>
      <c r="K854" s="447"/>
      <c r="L854" s="448"/>
      <c r="M854" s="448"/>
      <c r="N854" s="449">
        <v>705113.91929999995</v>
      </c>
      <c r="O854" s="432"/>
      <c r="P854" s="435"/>
    </row>
    <row r="855" spans="1:16" ht="13.9" hidden="1" customHeight="1" outlineLevel="2" x14ac:dyDescent="0.2">
      <c r="A855" s="233">
        <v>0</v>
      </c>
      <c r="B855" s="233">
        <v>8</v>
      </c>
      <c r="C855" s="233">
        <v>11</v>
      </c>
      <c r="D855" s="234">
        <v>1</v>
      </c>
      <c r="E855" s="234">
        <v>0</v>
      </c>
      <c r="G855" s="450"/>
      <c r="H855" s="451" t="s">
        <v>1237</v>
      </c>
      <c r="I855" s="452" t="s">
        <v>4392</v>
      </c>
      <c r="J855" s="453" t="s">
        <v>2330</v>
      </c>
      <c r="K855" s="454"/>
      <c r="L855" s="455"/>
      <c r="M855" s="455"/>
      <c r="N855" s="456">
        <v>62099.82</v>
      </c>
      <c r="O855" s="457"/>
      <c r="P855" s="430"/>
    </row>
    <row r="856" spans="1:16" ht="13.9" hidden="1" customHeight="1" outlineLevel="3" x14ac:dyDescent="0.2">
      <c r="A856" s="233">
        <v>0</v>
      </c>
      <c r="B856" s="233">
        <v>8</v>
      </c>
      <c r="C856" s="233">
        <v>11</v>
      </c>
      <c r="D856" s="234">
        <v>1</v>
      </c>
      <c r="E856" s="234">
        <v>1</v>
      </c>
      <c r="G856" s="500" t="s">
        <v>1256</v>
      </c>
      <c r="H856" s="459" t="s">
        <v>1238</v>
      </c>
      <c r="I856" s="460" t="s">
        <v>4393</v>
      </c>
      <c r="J856" s="461" t="s">
        <v>2330</v>
      </c>
      <c r="K856" s="462" t="s">
        <v>1129</v>
      </c>
      <c r="L856" s="463">
        <v>1</v>
      </c>
      <c r="M856" s="463">
        <v>62099.82</v>
      </c>
      <c r="N856" s="464">
        <v>62099.82</v>
      </c>
      <c r="O856" s="465" t="s">
        <v>2323</v>
      </c>
      <c r="P856" s="431" t="s">
        <v>6711</v>
      </c>
    </row>
    <row r="857" spans="1:16" ht="13.9" hidden="1" customHeight="1" outlineLevel="2" x14ac:dyDescent="0.2">
      <c r="A857" s="233">
        <v>0</v>
      </c>
      <c r="B857" s="233">
        <v>8</v>
      </c>
      <c r="C857" s="233">
        <v>11</v>
      </c>
      <c r="D857" s="234">
        <v>2</v>
      </c>
      <c r="E857" s="234">
        <v>0</v>
      </c>
      <c r="G857" s="450"/>
      <c r="H857" s="451" t="s">
        <v>1237</v>
      </c>
      <c r="I857" s="452" t="s">
        <v>4394</v>
      </c>
      <c r="J857" s="453" t="s">
        <v>2331</v>
      </c>
      <c r="K857" s="454"/>
      <c r="L857" s="455"/>
      <c r="M857" s="455"/>
      <c r="N857" s="456">
        <v>14952.7</v>
      </c>
      <c r="O857" s="457"/>
      <c r="P857" s="430"/>
    </row>
    <row r="858" spans="1:16" ht="13.9" hidden="1" customHeight="1" outlineLevel="3" x14ac:dyDescent="0.2">
      <c r="A858" s="233">
        <v>0</v>
      </c>
      <c r="B858" s="233">
        <v>8</v>
      </c>
      <c r="C858" s="233">
        <v>11</v>
      </c>
      <c r="D858" s="234">
        <v>2</v>
      </c>
      <c r="E858" s="234">
        <v>1</v>
      </c>
      <c r="G858" s="500" t="s">
        <v>1256</v>
      </c>
      <c r="H858" s="459" t="s">
        <v>1238</v>
      </c>
      <c r="I858" s="460" t="s">
        <v>4395</v>
      </c>
      <c r="J858" s="461" t="s">
        <v>2331</v>
      </c>
      <c r="K858" s="462" t="s">
        <v>1129</v>
      </c>
      <c r="L858" s="463">
        <v>1</v>
      </c>
      <c r="M858" s="463">
        <v>14952.7</v>
      </c>
      <c r="N858" s="464">
        <v>14952.7</v>
      </c>
      <c r="O858" s="465" t="s">
        <v>2323</v>
      </c>
      <c r="P858" s="431" t="s">
        <v>6711</v>
      </c>
    </row>
    <row r="859" spans="1:16" ht="13.9" hidden="1" customHeight="1" outlineLevel="2" x14ac:dyDescent="0.2">
      <c r="A859" s="233">
        <v>0</v>
      </c>
      <c r="B859" s="233">
        <v>8</v>
      </c>
      <c r="C859" s="233">
        <v>11</v>
      </c>
      <c r="D859" s="234">
        <v>3</v>
      </c>
      <c r="E859" s="234">
        <v>0</v>
      </c>
      <c r="G859" s="450"/>
      <c r="H859" s="451" t="s">
        <v>1237</v>
      </c>
      <c r="I859" s="452" t="s">
        <v>4396</v>
      </c>
      <c r="J859" s="453" t="s">
        <v>2801</v>
      </c>
      <c r="K859" s="454"/>
      <c r="L859" s="455"/>
      <c r="M859" s="455"/>
      <c r="N859" s="456">
        <v>511713.1</v>
      </c>
      <c r="O859" s="457"/>
      <c r="P859" s="430"/>
    </row>
    <row r="860" spans="1:16" ht="13.9" hidden="1" customHeight="1" outlineLevel="3" x14ac:dyDescent="0.2">
      <c r="A860" s="233">
        <v>0</v>
      </c>
      <c r="B860" s="233">
        <v>8</v>
      </c>
      <c r="C860" s="233">
        <v>11</v>
      </c>
      <c r="D860" s="234">
        <v>3</v>
      </c>
      <c r="E860" s="234">
        <v>1</v>
      </c>
      <c r="G860" s="500" t="s">
        <v>1256</v>
      </c>
      <c r="H860" s="459" t="s">
        <v>1238</v>
      </c>
      <c r="I860" s="460" t="s">
        <v>4397</v>
      </c>
      <c r="J860" s="461" t="s">
        <v>2801</v>
      </c>
      <c r="K860" s="462" t="s">
        <v>1129</v>
      </c>
      <c r="L860" s="463">
        <v>1</v>
      </c>
      <c r="M860" s="463">
        <v>511713.10000000003</v>
      </c>
      <c r="N860" s="464">
        <v>511713.1</v>
      </c>
      <c r="O860" s="465" t="s">
        <v>2323</v>
      </c>
      <c r="P860" s="431" t="s">
        <v>6711</v>
      </c>
    </row>
    <row r="861" spans="1:16" ht="13.9" hidden="1" customHeight="1" outlineLevel="2" x14ac:dyDescent="0.2">
      <c r="A861" s="233">
        <v>0</v>
      </c>
      <c r="B861" s="233">
        <v>8</v>
      </c>
      <c r="C861" s="233">
        <v>11</v>
      </c>
      <c r="D861" s="234">
        <v>4</v>
      </c>
      <c r="E861" s="234">
        <v>0</v>
      </c>
      <c r="G861" s="450"/>
      <c r="H861" s="451" t="s">
        <v>1237</v>
      </c>
      <c r="I861" s="452" t="s">
        <v>4398</v>
      </c>
      <c r="J861" s="453" t="s">
        <v>2332</v>
      </c>
      <c r="K861" s="454"/>
      <c r="L861" s="455"/>
      <c r="M861" s="455"/>
      <c r="N861" s="456">
        <v>0</v>
      </c>
      <c r="O861" s="457"/>
      <c r="P861" s="430"/>
    </row>
    <row r="862" spans="1:16" ht="13.9" hidden="1" customHeight="1" outlineLevel="3" x14ac:dyDescent="0.2">
      <c r="A862" s="233">
        <v>0</v>
      </c>
      <c r="B862" s="233">
        <v>8</v>
      </c>
      <c r="C862" s="233">
        <v>11</v>
      </c>
      <c r="D862" s="234">
        <v>4</v>
      </c>
      <c r="E862" s="234">
        <v>1</v>
      </c>
      <c r="G862" s="500" t="s">
        <v>1256</v>
      </c>
      <c r="H862" s="459" t="s">
        <v>1238</v>
      </c>
      <c r="I862" s="460" t="s">
        <v>4399</v>
      </c>
      <c r="J862" s="461" t="s">
        <v>2332</v>
      </c>
      <c r="K862" s="462" t="s">
        <v>1129</v>
      </c>
      <c r="L862" s="463">
        <v>1</v>
      </c>
      <c r="M862" s="463"/>
      <c r="N862" s="464">
        <v>0</v>
      </c>
      <c r="O862" s="465" t="s">
        <v>2799</v>
      </c>
      <c r="P862" s="431" t="s">
        <v>6711</v>
      </c>
    </row>
    <row r="863" spans="1:16" ht="13.9" hidden="1" customHeight="1" outlineLevel="2" x14ac:dyDescent="0.2">
      <c r="A863" s="233">
        <v>0</v>
      </c>
      <c r="B863" s="233">
        <v>8</v>
      </c>
      <c r="C863" s="233">
        <v>11</v>
      </c>
      <c r="D863" s="234">
        <v>5</v>
      </c>
      <c r="E863" s="234">
        <v>0</v>
      </c>
      <c r="G863" s="450"/>
      <c r="H863" s="451" t="s">
        <v>1237</v>
      </c>
      <c r="I863" s="452" t="s">
        <v>4400</v>
      </c>
      <c r="J863" s="453" t="s">
        <v>2241</v>
      </c>
      <c r="K863" s="454"/>
      <c r="L863" s="455"/>
      <c r="M863" s="455"/>
      <c r="N863" s="456">
        <v>84473.449299999993</v>
      </c>
      <c r="O863" s="457"/>
      <c r="P863" s="430"/>
    </row>
    <row r="864" spans="1:16" ht="13.9" hidden="1" customHeight="1" outlineLevel="3" x14ac:dyDescent="0.2">
      <c r="A864" s="233">
        <v>0</v>
      </c>
      <c r="B864" s="233">
        <v>8</v>
      </c>
      <c r="C864" s="233">
        <v>11</v>
      </c>
      <c r="D864" s="234">
        <v>5</v>
      </c>
      <c r="E864" s="234">
        <v>1</v>
      </c>
      <c r="G864" s="500" t="s">
        <v>1256</v>
      </c>
      <c r="H864" s="459" t="s">
        <v>1238</v>
      </c>
      <c r="I864" s="460" t="s">
        <v>4401</v>
      </c>
      <c r="J864" s="461" t="s">
        <v>2241</v>
      </c>
      <c r="K864" s="462" t="s">
        <v>1129</v>
      </c>
      <c r="L864" s="463">
        <v>1</v>
      </c>
      <c r="M864" s="463">
        <v>84473.449300000007</v>
      </c>
      <c r="N864" s="464">
        <v>84473.449299999993</v>
      </c>
      <c r="O864" s="465" t="s">
        <v>2323</v>
      </c>
      <c r="P864" s="431" t="s">
        <v>6711</v>
      </c>
    </row>
    <row r="865" spans="1:16" ht="13.9" hidden="1" customHeight="1" outlineLevel="2" x14ac:dyDescent="0.2">
      <c r="A865" s="233">
        <v>0</v>
      </c>
      <c r="B865" s="233">
        <v>8</v>
      </c>
      <c r="C865" s="233">
        <v>11</v>
      </c>
      <c r="D865" s="234">
        <v>6</v>
      </c>
      <c r="E865" s="234">
        <v>0</v>
      </c>
      <c r="G865" s="450"/>
      <c r="H865" s="451" t="s">
        <v>1237</v>
      </c>
      <c r="I865" s="452" t="s">
        <v>4402</v>
      </c>
      <c r="J865" s="453" t="s">
        <v>2240</v>
      </c>
      <c r="K865" s="454"/>
      <c r="L865" s="455"/>
      <c r="M865" s="455"/>
      <c r="N865" s="456">
        <v>0</v>
      </c>
      <c r="O865" s="457"/>
      <c r="P865" s="430"/>
    </row>
    <row r="866" spans="1:16" ht="13.9" hidden="1" customHeight="1" outlineLevel="3" x14ac:dyDescent="0.2">
      <c r="A866" s="233">
        <v>0</v>
      </c>
      <c r="B866" s="233">
        <v>8</v>
      </c>
      <c r="C866" s="233">
        <v>11</v>
      </c>
      <c r="D866" s="234">
        <v>6</v>
      </c>
      <c r="E866" s="234">
        <v>1</v>
      </c>
      <c r="G866" s="500" t="s">
        <v>1256</v>
      </c>
      <c r="H866" s="459" t="s">
        <v>1238</v>
      </c>
      <c r="I866" s="460" t="s">
        <v>4403</v>
      </c>
      <c r="J866" s="461" t="s">
        <v>2240</v>
      </c>
      <c r="K866" s="462" t="s">
        <v>1129</v>
      </c>
      <c r="L866" s="463">
        <v>1</v>
      </c>
      <c r="M866" s="463"/>
      <c r="N866" s="464">
        <v>0</v>
      </c>
      <c r="O866" s="465" t="s">
        <v>2323</v>
      </c>
      <c r="P866" s="431" t="s">
        <v>6711</v>
      </c>
    </row>
    <row r="867" spans="1:16" ht="13.9" hidden="1" customHeight="1" outlineLevel="2" x14ac:dyDescent="0.2">
      <c r="A867" s="233">
        <v>0</v>
      </c>
      <c r="B867" s="233">
        <v>8</v>
      </c>
      <c r="C867" s="233">
        <v>11</v>
      </c>
      <c r="D867" s="234">
        <v>7</v>
      </c>
      <c r="E867" s="234">
        <v>0</v>
      </c>
      <c r="G867" s="450"/>
      <c r="H867" s="451" t="s">
        <v>1237</v>
      </c>
      <c r="I867" s="452" t="s">
        <v>4404</v>
      </c>
      <c r="J867" s="453" t="s">
        <v>14</v>
      </c>
      <c r="K867" s="454"/>
      <c r="L867" s="455"/>
      <c r="M867" s="455"/>
      <c r="N867" s="456">
        <v>31874.85</v>
      </c>
      <c r="O867" s="457"/>
      <c r="P867" s="430"/>
    </row>
    <row r="868" spans="1:16" ht="13.9" hidden="1" customHeight="1" outlineLevel="3" x14ac:dyDescent="0.2">
      <c r="A868" s="233">
        <v>0</v>
      </c>
      <c r="B868" s="233">
        <v>8</v>
      </c>
      <c r="C868" s="233">
        <v>11</v>
      </c>
      <c r="D868" s="234">
        <v>7</v>
      </c>
      <c r="E868" s="234">
        <v>1</v>
      </c>
      <c r="G868" s="500" t="s">
        <v>1256</v>
      </c>
      <c r="H868" s="459" t="s">
        <v>1238</v>
      </c>
      <c r="I868" s="460" t="s">
        <v>4405</v>
      </c>
      <c r="J868" s="461" t="s">
        <v>1257</v>
      </c>
      <c r="K868" s="462" t="s">
        <v>1129</v>
      </c>
      <c r="L868" s="463">
        <v>1</v>
      </c>
      <c r="M868" s="463">
        <v>31874.850000000002</v>
      </c>
      <c r="N868" s="464">
        <v>31874.85</v>
      </c>
      <c r="O868" s="475" t="s">
        <v>2333</v>
      </c>
      <c r="P868" s="431" t="s">
        <v>6711</v>
      </c>
    </row>
    <row r="869" spans="1:16" ht="13.9" hidden="1" customHeight="1" outlineLevel="1" x14ac:dyDescent="0.2">
      <c r="A869" s="233">
        <v>0</v>
      </c>
      <c r="B869" s="233">
        <v>8</v>
      </c>
      <c r="C869" s="233">
        <v>12</v>
      </c>
      <c r="D869" s="234">
        <v>0</v>
      </c>
      <c r="E869" s="234">
        <v>1</v>
      </c>
      <c r="G869" s="443"/>
      <c r="H869" s="444" t="s">
        <v>38</v>
      </c>
      <c r="I869" s="445" t="s">
        <v>4406</v>
      </c>
      <c r="J869" s="446" t="s">
        <v>2796</v>
      </c>
      <c r="K869" s="447"/>
      <c r="L869" s="448"/>
      <c r="M869" s="448"/>
      <c r="N869" s="449">
        <v>30016.770199999999</v>
      </c>
      <c r="O869" s="432"/>
      <c r="P869" s="435"/>
    </row>
    <row r="870" spans="1:16" ht="13.9" hidden="1" customHeight="1" outlineLevel="2" x14ac:dyDescent="0.2">
      <c r="A870" s="233">
        <v>0</v>
      </c>
      <c r="B870" s="233">
        <v>8</v>
      </c>
      <c r="C870" s="233">
        <v>12</v>
      </c>
      <c r="D870" s="234">
        <v>1</v>
      </c>
      <c r="E870" s="234">
        <v>0</v>
      </c>
      <c r="G870" s="450"/>
      <c r="H870" s="451" t="s">
        <v>1237</v>
      </c>
      <c r="I870" s="452" t="s">
        <v>4407</v>
      </c>
      <c r="J870" s="453" t="s">
        <v>2330</v>
      </c>
      <c r="K870" s="454"/>
      <c r="L870" s="455"/>
      <c r="M870" s="455"/>
      <c r="N870" s="456">
        <v>3267.2</v>
      </c>
      <c r="O870" s="457"/>
      <c r="P870" s="430"/>
    </row>
    <row r="871" spans="1:16" ht="13.9" hidden="1" customHeight="1" outlineLevel="3" x14ac:dyDescent="0.2">
      <c r="A871" s="233">
        <v>0</v>
      </c>
      <c r="B871" s="233">
        <v>8</v>
      </c>
      <c r="C871" s="233">
        <v>12</v>
      </c>
      <c r="D871" s="234">
        <v>1</v>
      </c>
      <c r="E871" s="234">
        <v>1</v>
      </c>
      <c r="G871" s="500" t="s">
        <v>1256</v>
      </c>
      <c r="H871" s="459" t="s">
        <v>1238</v>
      </c>
      <c r="I871" s="460" t="s">
        <v>4408</v>
      </c>
      <c r="J871" s="461" t="s">
        <v>2330</v>
      </c>
      <c r="K871" s="462" t="s">
        <v>1129</v>
      </c>
      <c r="L871" s="463">
        <v>1</v>
      </c>
      <c r="M871" s="463">
        <v>3267.2</v>
      </c>
      <c r="N871" s="464">
        <v>3267.2</v>
      </c>
      <c r="O871" s="465" t="s">
        <v>2323</v>
      </c>
      <c r="P871" s="431" t="s">
        <v>6711</v>
      </c>
    </row>
    <row r="872" spans="1:16" ht="13.9" hidden="1" customHeight="1" outlineLevel="2" x14ac:dyDescent="0.2">
      <c r="A872" s="233">
        <v>0</v>
      </c>
      <c r="B872" s="233">
        <v>8</v>
      </c>
      <c r="C872" s="233">
        <v>12</v>
      </c>
      <c r="D872" s="234">
        <v>2</v>
      </c>
      <c r="E872" s="234">
        <v>0</v>
      </c>
      <c r="G872" s="450"/>
      <c r="H872" s="451" t="s">
        <v>1237</v>
      </c>
      <c r="I872" s="452" t="s">
        <v>4409</v>
      </c>
      <c r="J872" s="453" t="s">
        <v>2331</v>
      </c>
      <c r="K872" s="454"/>
      <c r="L872" s="455"/>
      <c r="M872" s="455"/>
      <c r="N872" s="456">
        <v>600.45000000000005</v>
      </c>
      <c r="O872" s="457"/>
      <c r="P872" s="430"/>
    </row>
    <row r="873" spans="1:16" ht="13.9" hidden="1" customHeight="1" outlineLevel="3" x14ac:dyDescent="0.2">
      <c r="A873" s="233">
        <v>0</v>
      </c>
      <c r="B873" s="233">
        <v>8</v>
      </c>
      <c r="C873" s="233">
        <v>12</v>
      </c>
      <c r="D873" s="234">
        <v>2</v>
      </c>
      <c r="E873" s="234">
        <v>1</v>
      </c>
      <c r="G873" s="500" t="s">
        <v>1256</v>
      </c>
      <c r="H873" s="459" t="s">
        <v>1238</v>
      </c>
      <c r="I873" s="460" t="s">
        <v>4410</v>
      </c>
      <c r="J873" s="461" t="s">
        <v>2331</v>
      </c>
      <c r="K873" s="462" t="s">
        <v>1129</v>
      </c>
      <c r="L873" s="463">
        <v>1</v>
      </c>
      <c r="M873" s="463">
        <v>600.45000000000005</v>
      </c>
      <c r="N873" s="464">
        <v>600.45000000000005</v>
      </c>
      <c r="O873" s="465" t="s">
        <v>2323</v>
      </c>
      <c r="P873" s="431" t="s">
        <v>6711</v>
      </c>
    </row>
    <row r="874" spans="1:16" ht="13.9" hidden="1" customHeight="1" outlineLevel="2" x14ac:dyDescent="0.2">
      <c r="A874" s="233">
        <v>0</v>
      </c>
      <c r="B874" s="233">
        <v>8</v>
      </c>
      <c r="C874" s="233">
        <v>12</v>
      </c>
      <c r="D874" s="234">
        <v>3</v>
      </c>
      <c r="E874" s="234">
        <v>0</v>
      </c>
      <c r="G874" s="450"/>
      <c r="H874" s="451" t="s">
        <v>1237</v>
      </c>
      <c r="I874" s="452" t="s">
        <v>4411</v>
      </c>
      <c r="J874" s="453" t="s">
        <v>2801</v>
      </c>
      <c r="K874" s="454"/>
      <c r="L874" s="455"/>
      <c r="M874" s="455"/>
      <c r="N874" s="456">
        <v>21722</v>
      </c>
      <c r="O874" s="457"/>
      <c r="P874" s="430"/>
    </row>
    <row r="875" spans="1:16" ht="13.9" hidden="1" customHeight="1" outlineLevel="3" x14ac:dyDescent="0.2">
      <c r="A875" s="233">
        <v>0</v>
      </c>
      <c r="B875" s="233">
        <v>8</v>
      </c>
      <c r="C875" s="233">
        <v>12</v>
      </c>
      <c r="D875" s="234">
        <v>3</v>
      </c>
      <c r="E875" s="234">
        <v>1</v>
      </c>
      <c r="G875" s="500" t="s">
        <v>1256</v>
      </c>
      <c r="H875" s="459" t="s">
        <v>1238</v>
      </c>
      <c r="I875" s="460" t="s">
        <v>4412</v>
      </c>
      <c r="J875" s="461" t="s">
        <v>2801</v>
      </c>
      <c r="K875" s="462" t="s">
        <v>1129</v>
      </c>
      <c r="L875" s="463">
        <v>1</v>
      </c>
      <c r="M875" s="463">
        <v>21722</v>
      </c>
      <c r="N875" s="464">
        <v>21722</v>
      </c>
      <c r="O875" s="465" t="s">
        <v>2323</v>
      </c>
      <c r="P875" s="431" t="s">
        <v>6711</v>
      </c>
    </row>
    <row r="876" spans="1:16" ht="13.9" hidden="1" customHeight="1" outlineLevel="2" x14ac:dyDescent="0.2">
      <c r="A876" s="233">
        <v>0</v>
      </c>
      <c r="B876" s="233">
        <v>8</v>
      </c>
      <c r="C876" s="233">
        <v>12</v>
      </c>
      <c r="D876" s="234">
        <v>4</v>
      </c>
      <c r="E876" s="234">
        <v>0</v>
      </c>
      <c r="G876" s="450"/>
      <c r="H876" s="451" t="s">
        <v>1237</v>
      </c>
      <c r="I876" s="452" t="s">
        <v>4413</v>
      </c>
      <c r="J876" s="453" t="s">
        <v>2332</v>
      </c>
      <c r="K876" s="454"/>
      <c r="L876" s="455"/>
      <c r="M876" s="455"/>
      <c r="N876" s="456">
        <v>0</v>
      </c>
      <c r="O876" s="457"/>
      <c r="P876" s="430"/>
    </row>
    <row r="877" spans="1:16" ht="13.9" hidden="1" customHeight="1" outlineLevel="3" x14ac:dyDescent="0.2">
      <c r="A877" s="233">
        <v>0</v>
      </c>
      <c r="B877" s="233">
        <v>8</v>
      </c>
      <c r="C877" s="233">
        <v>12</v>
      </c>
      <c r="D877" s="234">
        <v>4</v>
      </c>
      <c r="E877" s="234">
        <v>1</v>
      </c>
      <c r="G877" s="500" t="s">
        <v>1256</v>
      </c>
      <c r="H877" s="459" t="s">
        <v>1238</v>
      </c>
      <c r="I877" s="460" t="s">
        <v>4414</v>
      </c>
      <c r="J877" s="461" t="s">
        <v>2332</v>
      </c>
      <c r="K877" s="462" t="s">
        <v>1129</v>
      </c>
      <c r="L877" s="463">
        <v>1</v>
      </c>
      <c r="M877" s="463"/>
      <c r="N877" s="464">
        <v>0</v>
      </c>
      <c r="O877" s="465" t="s">
        <v>2799</v>
      </c>
      <c r="P877" s="431" t="s">
        <v>6711</v>
      </c>
    </row>
    <row r="878" spans="1:16" ht="13.9" hidden="1" customHeight="1" outlineLevel="2" x14ac:dyDescent="0.2">
      <c r="A878" s="233">
        <v>0</v>
      </c>
      <c r="B878" s="233">
        <v>8</v>
      </c>
      <c r="C878" s="233">
        <v>12</v>
      </c>
      <c r="D878" s="234">
        <v>5</v>
      </c>
      <c r="E878" s="234">
        <v>0</v>
      </c>
      <c r="G878" s="450"/>
      <c r="H878" s="451" t="s">
        <v>1237</v>
      </c>
      <c r="I878" s="452" t="s">
        <v>4415</v>
      </c>
      <c r="J878" s="453" t="s">
        <v>2241</v>
      </c>
      <c r="K878" s="454"/>
      <c r="L878" s="455"/>
      <c r="M878" s="455"/>
      <c r="N878" s="456">
        <v>2909.2701999999999</v>
      </c>
      <c r="O878" s="457"/>
      <c r="P878" s="430"/>
    </row>
    <row r="879" spans="1:16" ht="13.9" hidden="1" customHeight="1" outlineLevel="3" x14ac:dyDescent="0.2">
      <c r="A879" s="233">
        <v>0</v>
      </c>
      <c r="B879" s="233">
        <v>8</v>
      </c>
      <c r="C879" s="233">
        <v>12</v>
      </c>
      <c r="D879" s="234">
        <v>5</v>
      </c>
      <c r="E879" s="234">
        <v>1</v>
      </c>
      <c r="G879" s="500" t="s">
        <v>1256</v>
      </c>
      <c r="H879" s="459" t="s">
        <v>1238</v>
      </c>
      <c r="I879" s="460" t="s">
        <v>4416</v>
      </c>
      <c r="J879" s="461" t="s">
        <v>2241</v>
      </c>
      <c r="K879" s="462" t="s">
        <v>1129</v>
      </c>
      <c r="L879" s="463">
        <v>1</v>
      </c>
      <c r="M879" s="463">
        <v>2909.2701999999999</v>
      </c>
      <c r="N879" s="464">
        <v>2909.2701999999999</v>
      </c>
      <c r="O879" s="465" t="s">
        <v>2323</v>
      </c>
      <c r="P879" s="431" t="s">
        <v>6711</v>
      </c>
    </row>
    <row r="880" spans="1:16" ht="13.9" hidden="1" customHeight="1" outlineLevel="2" x14ac:dyDescent="0.2">
      <c r="A880" s="233">
        <v>0</v>
      </c>
      <c r="B880" s="233">
        <v>8</v>
      </c>
      <c r="C880" s="233">
        <v>12</v>
      </c>
      <c r="D880" s="234">
        <v>6</v>
      </c>
      <c r="E880" s="234">
        <v>0</v>
      </c>
      <c r="G880" s="450"/>
      <c r="H880" s="451" t="s">
        <v>1237</v>
      </c>
      <c r="I880" s="452" t="s">
        <v>4417</v>
      </c>
      <c r="J880" s="453" t="s">
        <v>2240</v>
      </c>
      <c r="K880" s="454"/>
      <c r="L880" s="455"/>
      <c r="M880" s="455"/>
      <c r="N880" s="456">
        <v>0</v>
      </c>
      <c r="O880" s="457"/>
      <c r="P880" s="430"/>
    </row>
    <row r="881" spans="1:16" ht="13.9" hidden="1" customHeight="1" outlineLevel="3" x14ac:dyDescent="0.2">
      <c r="A881" s="233">
        <v>0</v>
      </c>
      <c r="B881" s="233">
        <v>8</v>
      </c>
      <c r="C881" s="233">
        <v>12</v>
      </c>
      <c r="D881" s="234">
        <v>6</v>
      </c>
      <c r="E881" s="234">
        <v>1</v>
      </c>
      <c r="G881" s="500" t="s">
        <v>1256</v>
      </c>
      <c r="H881" s="459" t="s">
        <v>1238</v>
      </c>
      <c r="I881" s="460" t="s">
        <v>4418</v>
      </c>
      <c r="J881" s="461" t="s">
        <v>2240</v>
      </c>
      <c r="K881" s="462" t="s">
        <v>1129</v>
      </c>
      <c r="L881" s="463">
        <v>1</v>
      </c>
      <c r="M881" s="463"/>
      <c r="N881" s="464">
        <v>0</v>
      </c>
      <c r="O881" s="465" t="s">
        <v>2323</v>
      </c>
      <c r="P881" s="431" t="s">
        <v>6711</v>
      </c>
    </row>
    <row r="882" spans="1:16" ht="13.9" hidden="1" customHeight="1" outlineLevel="2" x14ac:dyDescent="0.2">
      <c r="A882" s="233">
        <v>0</v>
      </c>
      <c r="B882" s="233">
        <v>8</v>
      </c>
      <c r="C882" s="233">
        <v>12</v>
      </c>
      <c r="D882" s="234">
        <v>7</v>
      </c>
      <c r="E882" s="234">
        <v>0</v>
      </c>
      <c r="G882" s="450"/>
      <c r="H882" s="451" t="s">
        <v>1237</v>
      </c>
      <c r="I882" s="452" t="s">
        <v>4419</v>
      </c>
      <c r="J882" s="453" t="s">
        <v>14</v>
      </c>
      <c r="K882" s="454"/>
      <c r="L882" s="455"/>
      <c r="M882" s="455"/>
      <c r="N882" s="456">
        <v>1517.85</v>
      </c>
      <c r="O882" s="457"/>
      <c r="P882" s="430"/>
    </row>
    <row r="883" spans="1:16" ht="13.9" hidden="1" customHeight="1" outlineLevel="3" x14ac:dyDescent="0.2">
      <c r="A883" s="233">
        <v>0</v>
      </c>
      <c r="B883" s="233">
        <v>8</v>
      </c>
      <c r="C883" s="233">
        <v>12</v>
      </c>
      <c r="D883" s="234">
        <v>7</v>
      </c>
      <c r="E883" s="234">
        <v>1</v>
      </c>
      <c r="G883" s="500" t="s">
        <v>1256</v>
      </c>
      <c r="H883" s="459" t="s">
        <v>1238</v>
      </c>
      <c r="I883" s="460" t="s">
        <v>4420</v>
      </c>
      <c r="J883" s="461" t="s">
        <v>1257</v>
      </c>
      <c r="K883" s="462" t="s">
        <v>1129</v>
      </c>
      <c r="L883" s="463">
        <v>1</v>
      </c>
      <c r="M883" s="463">
        <v>1517.85</v>
      </c>
      <c r="N883" s="464">
        <v>1517.85</v>
      </c>
      <c r="O883" s="475" t="s">
        <v>2333</v>
      </c>
      <c r="P883" s="431" t="s">
        <v>6711</v>
      </c>
    </row>
    <row r="884" spans="1:16" ht="13.9" hidden="1" customHeight="1" outlineLevel="1" x14ac:dyDescent="0.2">
      <c r="A884" s="233">
        <v>0</v>
      </c>
      <c r="B884" s="233">
        <v>8</v>
      </c>
      <c r="C884" s="233">
        <v>13</v>
      </c>
      <c r="D884" s="234">
        <v>0</v>
      </c>
      <c r="E884" s="234">
        <v>1</v>
      </c>
      <c r="G884" s="443"/>
      <c r="H884" s="444" t="s">
        <v>38</v>
      </c>
      <c r="I884" s="445" t="s">
        <v>4421</v>
      </c>
      <c r="J884" s="446" t="s">
        <v>2797</v>
      </c>
      <c r="K884" s="447"/>
      <c r="L884" s="448"/>
      <c r="M884" s="448"/>
      <c r="N884" s="449">
        <v>36851.269999999997</v>
      </c>
      <c r="O884" s="432"/>
      <c r="P884" s="435"/>
    </row>
    <row r="885" spans="1:16" ht="13.9" hidden="1" customHeight="1" outlineLevel="2" x14ac:dyDescent="0.2">
      <c r="A885" s="233">
        <v>0</v>
      </c>
      <c r="B885" s="233">
        <v>8</v>
      </c>
      <c r="C885" s="233">
        <v>13</v>
      </c>
      <c r="D885" s="234">
        <v>1</v>
      </c>
      <c r="E885" s="234">
        <v>0</v>
      </c>
      <c r="G885" s="450"/>
      <c r="H885" s="451" t="s">
        <v>1237</v>
      </c>
      <c r="I885" s="452" t="s">
        <v>4422</v>
      </c>
      <c r="J885" s="453" t="s">
        <v>2330</v>
      </c>
      <c r="K885" s="454"/>
      <c r="L885" s="455"/>
      <c r="M885" s="455"/>
      <c r="N885" s="456">
        <v>4400.41</v>
      </c>
      <c r="O885" s="457"/>
      <c r="P885" s="430"/>
    </row>
    <row r="886" spans="1:16" ht="13.9" hidden="1" customHeight="1" outlineLevel="3" x14ac:dyDescent="0.2">
      <c r="A886" s="233">
        <v>0</v>
      </c>
      <c r="B886" s="233">
        <v>8</v>
      </c>
      <c r="C886" s="233">
        <v>13</v>
      </c>
      <c r="D886" s="234">
        <v>1</v>
      </c>
      <c r="E886" s="234">
        <v>1</v>
      </c>
      <c r="G886" s="500" t="s">
        <v>1256</v>
      </c>
      <c r="H886" s="459" t="s">
        <v>1238</v>
      </c>
      <c r="I886" s="460" t="s">
        <v>4423</v>
      </c>
      <c r="J886" s="461" t="s">
        <v>2330</v>
      </c>
      <c r="K886" s="462" t="s">
        <v>1129</v>
      </c>
      <c r="L886" s="463">
        <v>1</v>
      </c>
      <c r="M886" s="463">
        <v>4400.41</v>
      </c>
      <c r="N886" s="464">
        <v>4400.41</v>
      </c>
      <c r="O886" s="465" t="s">
        <v>2323</v>
      </c>
      <c r="P886" s="431" t="s">
        <v>6711</v>
      </c>
    </row>
    <row r="887" spans="1:16" ht="13.9" hidden="1" customHeight="1" outlineLevel="2" x14ac:dyDescent="0.2">
      <c r="A887" s="233">
        <v>0</v>
      </c>
      <c r="B887" s="233">
        <v>8</v>
      </c>
      <c r="C887" s="233">
        <v>13</v>
      </c>
      <c r="D887" s="234">
        <v>2</v>
      </c>
      <c r="E887" s="234">
        <v>0</v>
      </c>
      <c r="G887" s="450"/>
      <c r="H887" s="451" t="s">
        <v>1237</v>
      </c>
      <c r="I887" s="452" t="s">
        <v>4424</v>
      </c>
      <c r="J887" s="453" t="s">
        <v>2331</v>
      </c>
      <c r="K887" s="454"/>
      <c r="L887" s="455"/>
      <c r="M887" s="455"/>
      <c r="N887" s="456">
        <v>538.95000000000005</v>
      </c>
      <c r="O887" s="457"/>
      <c r="P887" s="430"/>
    </row>
    <row r="888" spans="1:16" ht="13.9" hidden="1" customHeight="1" outlineLevel="3" x14ac:dyDescent="0.2">
      <c r="A888" s="233">
        <v>0</v>
      </c>
      <c r="B888" s="233">
        <v>8</v>
      </c>
      <c r="C888" s="233">
        <v>13</v>
      </c>
      <c r="D888" s="234">
        <v>2</v>
      </c>
      <c r="E888" s="234">
        <v>1</v>
      </c>
      <c r="G888" s="500" t="s">
        <v>1256</v>
      </c>
      <c r="H888" s="459" t="s">
        <v>1238</v>
      </c>
      <c r="I888" s="460" t="s">
        <v>4425</v>
      </c>
      <c r="J888" s="461" t="s">
        <v>2331</v>
      </c>
      <c r="K888" s="462" t="s">
        <v>1129</v>
      </c>
      <c r="L888" s="463">
        <v>1</v>
      </c>
      <c r="M888" s="463">
        <v>538.95000000000005</v>
      </c>
      <c r="N888" s="464">
        <v>538.95000000000005</v>
      </c>
      <c r="O888" s="465" t="s">
        <v>2323</v>
      </c>
      <c r="P888" s="431" t="s">
        <v>6711</v>
      </c>
    </row>
    <row r="889" spans="1:16" ht="13.9" hidden="1" customHeight="1" outlineLevel="2" x14ac:dyDescent="0.2">
      <c r="A889" s="233">
        <v>0</v>
      </c>
      <c r="B889" s="233">
        <v>8</v>
      </c>
      <c r="C889" s="233">
        <v>13</v>
      </c>
      <c r="D889" s="234">
        <v>3</v>
      </c>
      <c r="E889" s="234">
        <v>0</v>
      </c>
      <c r="G889" s="450"/>
      <c r="H889" s="451" t="s">
        <v>1237</v>
      </c>
      <c r="I889" s="452" t="s">
        <v>4426</v>
      </c>
      <c r="J889" s="453" t="s">
        <v>2801</v>
      </c>
      <c r="K889" s="454"/>
      <c r="L889" s="455"/>
      <c r="M889" s="455"/>
      <c r="N889" s="456">
        <v>28146.2</v>
      </c>
      <c r="O889" s="457"/>
      <c r="P889" s="430"/>
    </row>
    <row r="890" spans="1:16" ht="13.9" hidden="1" customHeight="1" outlineLevel="3" x14ac:dyDescent="0.2">
      <c r="A890" s="233">
        <v>0</v>
      </c>
      <c r="B890" s="233">
        <v>8</v>
      </c>
      <c r="C890" s="233">
        <v>13</v>
      </c>
      <c r="D890" s="234">
        <v>3</v>
      </c>
      <c r="E890" s="234">
        <v>1</v>
      </c>
      <c r="G890" s="500" t="s">
        <v>1256</v>
      </c>
      <c r="H890" s="459" t="s">
        <v>1238</v>
      </c>
      <c r="I890" s="460" t="s">
        <v>4427</v>
      </c>
      <c r="J890" s="461" t="s">
        <v>2801</v>
      </c>
      <c r="K890" s="462" t="s">
        <v>1129</v>
      </c>
      <c r="L890" s="463">
        <v>1</v>
      </c>
      <c r="M890" s="463">
        <v>28146.2</v>
      </c>
      <c r="N890" s="464">
        <v>28146.2</v>
      </c>
      <c r="O890" s="465" t="s">
        <v>2323</v>
      </c>
      <c r="P890" s="431" t="s">
        <v>6711</v>
      </c>
    </row>
    <row r="891" spans="1:16" ht="13.9" hidden="1" customHeight="1" outlineLevel="2" x14ac:dyDescent="0.2">
      <c r="A891" s="233">
        <v>0</v>
      </c>
      <c r="B891" s="233">
        <v>8</v>
      </c>
      <c r="C891" s="233">
        <v>13</v>
      </c>
      <c r="D891" s="234">
        <v>4</v>
      </c>
      <c r="E891" s="234">
        <v>0</v>
      </c>
      <c r="G891" s="450"/>
      <c r="H891" s="451" t="s">
        <v>1237</v>
      </c>
      <c r="I891" s="452" t="s">
        <v>4428</v>
      </c>
      <c r="J891" s="453" t="s">
        <v>2332</v>
      </c>
      <c r="K891" s="454"/>
      <c r="L891" s="455"/>
      <c r="M891" s="455"/>
      <c r="N891" s="456">
        <v>0</v>
      </c>
      <c r="O891" s="457"/>
      <c r="P891" s="430"/>
    </row>
    <row r="892" spans="1:16" ht="13.9" hidden="1" customHeight="1" outlineLevel="3" x14ac:dyDescent="0.2">
      <c r="A892" s="233">
        <v>0</v>
      </c>
      <c r="B892" s="233">
        <v>8</v>
      </c>
      <c r="C892" s="233">
        <v>13</v>
      </c>
      <c r="D892" s="234">
        <v>4</v>
      </c>
      <c r="E892" s="234">
        <v>1</v>
      </c>
      <c r="G892" s="500" t="s">
        <v>1256</v>
      </c>
      <c r="H892" s="459" t="s">
        <v>1238</v>
      </c>
      <c r="I892" s="460" t="s">
        <v>4429</v>
      </c>
      <c r="J892" s="461" t="s">
        <v>2332</v>
      </c>
      <c r="K892" s="462" t="s">
        <v>1129</v>
      </c>
      <c r="L892" s="463">
        <v>1</v>
      </c>
      <c r="M892" s="463"/>
      <c r="N892" s="464">
        <v>0</v>
      </c>
      <c r="O892" s="465" t="s">
        <v>2799</v>
      </c>
      <c r="P892" s="431" t="s">
        <v>6711</v>
      </c>
    </row>
    <row r="893" spans="1:16" ht="13.9" hidden="1" customHeight="1" outlineLevel="2" x14ac:dyDescent="0.2">
      <c r="A893" s="233">
        <v>0</v>
      </c>
      <c r="B893" s="233">
        <v>8</v>
      </c>
      <c r="C893" s="233">
        <v>13</v>
      </c>
      <c r="D893" s="234">
        <v>5</v>
      </c>
      <c r="E893" s="234">
        <v>0</v>
      </c>
      <c r="G893" s="450"/>
      <c r="H893" s="451" t="s">
        <v>1237</v>
      </c>
      <c r="I893" s="452" t="s">
        <v>4430</v>
      </c>
      <c r="J893" s="453" t="s">
        <v>2241</v>
      </c>
      <c r="K893" s="454"/>
      <c r="L893" s="455"/>
      <c r="M893" s="455"/>
      <c r="N893" s="456">
        <v>2300.91</v>
      </c>
      <c r="O893" s="457"/>
      <c r="P893" s="430"/>
    </row>
    <row r="894" spans="1:16" ht="13.9" hidden="1" customHeight="1" outlineLevel="3" x14ac:dyDescent="0.2">
      <c r="A894" s="233">
        <v>0</v>
      </c>
      <c r="B894" s="233">
        <v>8</v>
      </c>
      <c r="C894" s="233">
        <v>13</v>
      </c>
      <c r="D894" s="234">
        <v>5</v>
      </c>
      <c r="E894" s="234">
        <v>1</v>
      </c>
      <c r="G894" s="500" t="s">
        <v>1256</v>
      </c>
      <c r="H894" s="459" t="s">
        <v>1238</v>
      </c>
      <c r="I894" s="460" t="s">
        <v>4431</v>
      </c>
      <c r="J894" s="461" t="s">
        <v>2241</v>
      </c>
      <c r="K894" s="462" t="s">
        <v>1129</v>
      </c>
      <c r="L894" s="463">
        <v>1</v>
      </c>
      <c r="M894" s="463">
        <v>2300.9100000000008</v>
      </c>
      <c r="N894" s="464">
        <v>2300.91</v>
      </c>
      <c r="O894" s="465" t="s">
        <v>2323</v>
      </c>
      <c r="P894" s="431" t="s">
        <v>6711</v>
      </c>
    </row>
    <row r="895" spans="1:16" ht="13.9" hidden="1" customHeight="1" outlineLevel="2" x14ac:dyDescent="0.2">
      <c r="A895" s="233">
        <v>0</v>
      </c>
      <c r="B895" s="233">
        <v>8</v>
      </c>
      <c r="C895" s="233">
        <v>13</v>
      </c>
      <c r="D895" s="234">
        <v>6</v>
      </c>
      <c r="E895" s="234">
        <v>0</v>
      </c>
      <c r="G895" s="450"/>
      <c r="H895" s="451" t="s">
        <v>1237</v>
      </c>
      <c r="I895" s="452" t="s">
        <v>4432</v>
      </c>
      <c r="J895" s="453" t="s">
        <v>2240</v>
      </c>
      <c r="K895" s="454"/>
      <c r="L895" s="455"/>
      <c r="M895" s="455"/>
      <c r="N895" s="456">
        <v>0</v>
      </c>
      <c r="O895" s="457"/>
      <c r="P895" s="430"/>
    </row>
    <row r="896" spans="1:16" ht="13.9" hidden="1" customHeight="1" outlineLevel="3" x14ac:dyDescent="0.2">
      <c r="A896" s="233">
        <v>0</v>
      </c>
      <c r="B896" s="233">
        <v>8</v>
      </c>
      <c r="C896" s="233">
        <v>13</v>
      </c>
      <c r="D896" s="234">
        <v>6</v>
      </c>
      <c r="E896" s="234">
        <v>1</v>
      </c>
      <c r="G896" s="500" t="s">
        <v>1256</v>
      </c>
      <c r="H896" s="459" t="s">
        <v>1238</v>
      </c>
      <c r="I896" s="460" t="s">
        <v>4433</v>
      </c>
      <c r="J896" s="461" t="s">
        <v>2240</v>
      </c>
      <c r="K896" s="462" t="s">
        <v>1129</v>
      </c>
      <c r="L896" s="463">
        <v>1</v>
      </c>
      <c r="M896" s="463"/>
      <c r="N896" s="464">
        <v>0</v>
      </c>
      <c r="O896" s="465" t="s">
        <v>2323</v>
      </c>
      <c r="P896" s="431" t="s">
        <v>6711</v>
      </c>
    </row>
    <row r="897" spans="1:16" ht="13.9" hidden="1" customHeight="1" outlineLevel="2" x14ac:dyDescent="0.2">
      <c r="A897" s="233">
        <v>0</v>
      </c>
      <c r="B897" s="233">
        <v>8</v>
      </c>
      <c r="C897" s="233">
        <v>13</v>
      </c>
      <c r="D897" s="234">
        <v>7</v>
      </c>
      <c r="E897" s="234">
        <v>0</v>
      </c>
      <c r="G897" s="450"/>
      <c r="H897" s="451" t="s">
        <v>1237</v>
      </c>
      <c r="I897" s="452" t="s">
        <v>4434</v>
      </c>
      <c r="J897" s="453" t="s">
        <v>14</v>
      </c>
      <c r="K897" s="454"/>
      <c r="L897" s="455"/>
      <c r="M897" s="455"/>
      <c r="N897" s="456">
        <v>1464.8</v>
      </c>
      <c r="O897" s="457"/>
      <c r="P897" s="430"/>
    </row>
    <row r="898" spans="1:16" ht="13.9" hidden="1" customHeight="1" outlineLevel="3" x14ac:dyDescent="0.2">
      <c r="A898" s="233">
        <v>0</v>
      </c>
      <c r="B898" s="233">
        <v>8</v>
      </c>
      <c r="C898" s="233">
        <v>13</v>
      </c>
      <c r="D898" s="234">
        <v>7</v>
      </c>
      <c r="E898" s="234">
        <v>1</v>
      </c>
      <c r="G898" s="500" t="s">
        <v>1256</v>
      </c>
      <c r="H898" s="459" t="s">
        <v>1238</v>
      </c>
      <c r="I898" s="460" t="s">
        <v>4435</v>
      </c>
      <c r="J898" s="461" t="s">
        <v>1257</v>
      </c>
      <c r="K898" s="462" t="s">
        <v>1129</v>
      </c>
      <c r="L898" s="463">
        <v>1</v>
      </c>
      <c r="M898" s="463">
        <v>1464.8</v>
      </c>
      <c r="N898" s="464">
        <v>1464.8</v>
      </c>
      <c r="O898" s="475" t="s">
        <v>2333</v>
      </c>
      <c r="P898" s="431" t="s">
        <v>6711</v>
      </c>
    </row>
    <row r="899" spans="1:16" ht="13.9" hidden="1" customHeight="1" outlineLevel="1" x14ac:dyDescent="0.2">
      <c r="A899" s="233">
        <v>0</v>
      </c>
      <c r="B899" s="233">
        <v>8</v>
      </c>
      <c r="C899" s="233">
        <v>14</v>
      </c>
      <c r="D899" s="234">
        <v>0</v>
      </c>
      <c r="E899" s="234">
        <v>1</v>
      </c>
      <c r="G899" s="443"/>
      <c r="H899" s="444" t="s">
        <v>38</v>
      </c>
      <c r="I899" s="445" t="s">
        <v>4436</v>
      </c>
      <c r="J899" s="446" t="s">
        <v>2798</v>
      </c>
      <c r="K899" s="447"/>
      <c r="L899" s="448"/>
      <c r="M899" s="448"/>
      <c r="N899" s="449">
        <v>251730.2433</v>
      </c>
      <c r="O899" s="432"/>
      <c r="P899" s="435"/>
    </row>
    <row r="900" spans="1:16" ht="13.9" hidden="1" customHeight="1" outlineLevel="2" x14ac:dyDescent="0.2">
      <c r="A900" s="233">
        <v>0</v>
      </c>
      <c r="B900" s="233">
        <v>8</v>
      </c>
      <c r="C900" s="233">
        <v>14</v>
      </c>
      <c r="D900" s="234">
        <v>1</v>
      </c>
      <c r="E900" s="234">
        <v>0</v>
      </c>
      <c r="G900" s="450"/>
      <c r="H900" s="451" t="s">
        <v>1237</v>
      </c>
      <c r="I900" s="452" t="s">
        <v>4437</v>
      </c>
      <c r="J900" s="453" t="s">
        <v>2330</v>
      </c>
      <c r="K900" s="454"/>
      <c r="L900" s="455"/>
      <c r="M900" s="455"/>
      <c r="N900" s="456">
        <v>27210.58</v>
      </c>
      <c r="O900" s="457"/>
      <c r="P900" s="430"/>
    </row>
    <row r="901" spans="1:16" ht="13.9" hidden="1" customHeight="1" outlineLevel="3" x14ac:dyDescent="0.2">
      <c r="A901" s="233">
        <v>0</v>
      </c>
      <c r="B901" s="233">
        <v>8</v>
      </c>
      <c r="C901" s="233">
        <v>14</v>
      </c>
      <c r="D901" s="234">
        <v>1</v>
      </c>
      <c r="E901" s="234">
        <v>1</v>
      </c>
      <c r="G901" s="500" t="s">
        <v>1256</v>
      </c>
      <c r="H901" s="459" t="s">
        <v>1238</v>
      </c>
      <c r="I901" s="460" t="s">
        <v>4438</v>
      </c>
      <c r="J901" s="461" t="s">
        <v>2330</v>
      </c>
      <c r="K901" s="462" t="s">
        <v>1129</v>
      </c>
      <c r="L901" s="463">
        <v>1</v>
      </c>
      <c r="M901" s="463">
        <v>27210.58</v>
      </c>
      <c r="N901" s="464">
        <v>27210.58</v>
      </c>
      <c r="O901" s="465" t="s">
        <v>2323</v>
      </c>
      <c r="P901" s="431" t="s">
        <v>6711</v>
      </c>
    </row>
    <row r="902" spans="1:16" ht="13.9" hidden="1" customHeight="1" outlineLevel="2" x14ac:dyDescent="0.2">
      <c r="A902" s="233">
        <v>0</v>
      </c>
      <c r="B902" s="233">
        <v>8</v>
      </c>
      <c r="C902" s="233">
        <v>14</v>
      </c>
      <c r="D902" s="234">
        <v>2</v>
      </c>
      <c r="E902" s="234">
        <v>0</v>
      </c>
      <c r="G902" s="450"/>
      <c r="H902" s="451" t="s">
        <v>1237</v>
      </c>
      <c r="I902" s="452" t="s">
        <v>4439</v>
      </c>
      <c r="J902" s="453" t="s">
        <v>2331</v>
      </c>
      <c r="K902" s="454"/>
      <c r="L902" s="455"/>
      <c r="M902" s="455"/>
      <c r="N902" s="456">
        <v>1445.66</v>
      </c>
      <c r="O902" s="457"/>
      <c r="P902" s="430"/>
    </row>
    <row r="903" spans="1:16" ht="13.9" hidden="1" customHeight="1" outlineLevel="3" x14ac:dyDescent="0.2">
      <c r="A903" s="233">
        <v>0</v>
      </c>
      <c r="B903" s="233">
        <v>8</v>
      </c>
      <c r="C903" s="233">
        <v>14</v>
      </c>
      <c r="D903" s="234">
        <v>2</v>
      </c>
      <c r="E903" s="234">
        <v>1</v>
      </c>
      <c r="G903" s="500" t="s">
        <v>1256</v>
      </c>
      <c r="H903" s="459" t="s">
        <v>1238</v>
      </c>
      <c r="I903" s="460" t="s">
        <v>4440</v>
      </c>
      <c r="J903" s="461" t="s">
        <v>2331</v>
      </c>
      <c r="K903" s="462" t="s">
        <v>1129</v>
      </c>
      <c r="L903" s="463">
        <v>1</v>
      </c>
      <c r="M903" s="463">
        <v>1445.6599999999999</v>
      </c>
      <c r="N903" s="464">
        <v>1445.66</v>
      </c>
      <c r="O903" s="465" t="s">
        <v>2323</v>
      </c>
      <c r="P903" s="431" t="s">
        <v>6711</v>
      </c>
    </row>
    <row r="904" spans="1:16" ht="13.9" hidden="1" customHeight="1" outlineLevel="2" x14ac:dyDescent="0.2">
      <c r="A904" s="233">
        <v>0</v>
      </c>
      <c r="B904" s="233">
        <v>8</v>
      </c>
      <c r="C904" s="233">
        <v>14</v>
      </c>
      <c r="D904" s="234">
        <v>3</v>
      </c>
      <c r="E904" s="234">
        <v>0</v>
      </c>
      <c r="G904" s="450"/>
      <c r="H904" s="451" t="s">
        <v>1237</v>
      </c>
      <c r="I904" s="452" t="s">
        <v>4441</v>
      </c>
      <c r="J904" s="453" t="s">
        <v>2801</v>
      </c>
      <c r="K904" s="454"/>
      <c r="L904" s="455"/>
      <c r="M904" s="455"/>
      <c r="N904" s="456">
        <v>75139.7</v>
      </c>
      <c r="O904" s="457"/>
      <c r="P904" s="430"/>
    </row>
    <row r="905" spans="1:16" ht="13.9" hidden="1" customHeight="1" outlineLevel="3" x14ac:dyDescent="0.2">
      <c r="A905" s="233">
        <v>0</v>
      </c>
      <c r="B905" s="233">
        <v>8</v>
      </c>
      <c r="C905" s="233">
        <v>14</v>
      </c>
      <c r="D905" s="234">
        <v>3</v>
      </c>
      <c r="E905" s="234">
        <v>1</v>
      </c>
      <c r="G905" s="500" t="s">
        <v>1256</v>
      </c>
      <c r="H905" s="459" t="s">
        <v>1238</v>
      </c>
      <c r="I905" s="460" t="s">
        <v>4442</v>
      </c>
      <c r="J905" s="461" t="s">
        <v>2801</v>
      </c>
      <c r="K905" s="462" t="s">
        <v>1129</v>
      </c>
      <c r="L905" s="463">
        <v>1</v>
      </c>
      <c r="M905" s="463">
        <v>75139.7</v>
      </c>
      <c r="N905" s="464">
        <v>75139.7</v>
      </c>
      <c r="O905" s="465" t="s">
        <v>2323</v>
      </c>
      <c r="P905" s="431" t="s">
        <v>6711</v>
      </c>
    </row>
    <row r="906" spans="1:16" ht="13.9" hidden="1" customHeight="1" outlineLevel="2" x14ac:dyDescent="0.2">
      <c r="A906" s="233">
        <v>0</v>
      </c>
      <c r="B906" s="233">
        <v>8</v>
      </c>
      <c r="C906" s="233">
        <v>14</v>
      </c>
      <c r="D906" s="234">
        <v>4</v>
      </c>
      <c r="E906" s="234">
        <v>0</v>
      </c>
      <c r="G906" s="450"/>
      <c r="H906" s="451" t="s">
        <v>1237</v>
      </c>
      <c r="I906" s="452" t="s">
        <v>4443</v>
      </c>
      <c r="J906" s="453" t="s">
        <v>2332</v>
      </c>
      <c r="K906" s="454"/>
      <c r="L906" s="455"/>
      <c r="M906" s="455"/>
      <c r="N906" s="456">
        <v>133997.35999999999</v>
      </c>
      <c r="O906" s="457"/>
      <c r="P906" s="430"/>
    </row>
    <row r="907" spans="1:16" ht="13.9" hidden="1" customHeight="1" outlineLevel="3" x14ac:dyDescent="0.2">
      <c r="A907" s="233">
        <v>0</v>
      </c>
      <c r="B907" s="233">
        <v>8</v>
      </c>
      <c r="C907" s="233">
        <v>14</v>
      </c>
      <c r="D907" s="234">
        <v>4</v>
      </c>
      <c r="E907" s="234">
        <v>1</v>
      </c>
      <c r="G907" s="500" t="s">
        <v>1256</v>
      </c>
      <c r="H907" s="459" t="s">
        <v>1238</v>
      </c>
      <c r="I907" s="460" t="s">
        <v>4444</v>
      </c>
      <c r="J907" s="461" t="s">
        <v>2332</v>
      </c>
      <c r="K907" s="462" t="s">
        <v>1129</v>
      </c>
      <c r="L907" s="463">
        <v>1</v>
      </c>
      <c r="M907" s="463">
        <v>133997.36000000002</v>
      </c>
      <c r="N907" s="464">
        <v>133997.35999999999</v>
      </c>
      <c r="O907" s="465" t="s">
        <v>2799</v>
      </c>
      <c r="P907" s="431" t="s">
        <v>6711</v>
      </c>
    </row>
    <row r="908" spans="1:16" ht="13.9" hidden="1" customHeight="1" outlineLevel="2" x14ac:dyDescent="0.2">
      <c r="A908" s="233">
        <v>0</v>
      </c>
      <c r="B908" s="233">
        <v>8</v>
      </c>
      <c r="C908" s="233">
        <v>14</v>
      </c>
      <c r="D908" s="234">
        <v>5</v>
      </c>
      <c r="E908" s="234">
        <v>0</v>
      </c>
      <c r="G908" s="450"/>
      <c r="H908" s="451" t="s">
        <v>1237</v>
      </c>
      <c r="I908" s="452" t="s">
        <v>4445</v>
      </c>
      <c r="J908" s="453" t="s">
        <v>2241</v>
      </c>
      <c r="K908" s="454"/>
      <c r="L908" s="455"/>
      <c r="M908" s="455"/>
      <c r="N908" s="456">
        <v>3782.9432999999999</v>
      </c>
      <c r="O908" s="457"/>
      <c r="P908" s="430"/>
    </row>
    <row r="909" spans="1:16" ht="13.9" hidden="1" customHeight="1" outlineLevel="3" x14ac:dyDescent="0.2">
      <c r="A909" s="233">
        <v>0</v>
      </c>
      <c r="B909" s="233">
        <v>8</v>
      </c>
      <c r="C909" s="233">
        <v>14</v>
      </c>
      <c r="D909" s="234">
        <v>5</v>
      </c>
      <c r="E909" s="234">
        <v>1</v>
      </c>
      <c r="G909" s="500" t="s">
        <v>1256</v>
      </c>
      <c r="H909" s="459" t="s">
        <v>1238</v>
      </c>
      <c r="I909" s="460" t="s">
        <v>4446</v>
      </c>
      <c r="J909" s="461" t="s">
        <v>2241</v>
      </c>
      <c r="K909" s="462" t="s">
        <v>1129</v>
      </c>
      <c r="L909" s="463">
        <v>1</v>
      </c>
      <c r="M909" s="463">
        <v>3782.9432999999999</v>
      </c>
      <c r="N909" s="464">
        <v>3782.9432999999999</v>
      </c>
      <c r="O909" s="465" t="s">
        <v>2323</v>
      </c>
      <c r="P909" s="431" t="s">
        <v>6711</v>
      </c>
    </row>
    <row r="910" spans="1:16" ht="13.9" hidden="1" customHeight="1" outlineLevel="2" x14ac:dyDescent="0.2">
      <c r="A910" s="233">
        <v>0</v>
      </c>
      <c r="B910" s="233">
        <v>8</v>
      </c>
      <c r="C910" s="233">
        <v>14</v>
      </c>
      <c r="D910" s="234">
        <v>6</v>
      </c>
      <c r="E910" s="234">
        <v>0</v>
      </c>
      <c r="G910" s="450"/>
      <c r="H910" s="451" t="s">
        <v>1237</v>
      </c>
      <c r="I910" s="452" t="s">
        <v>4447</v>
      </c>
      <c r="J910" s="453" t="s">
        <v>2240</v>
      </c>
      <c r="K910" s="454"/>
      <c r="L910" s="455"/>
      <c r="M910" s="455"/>
      <c r="N910" s="456">
        <v>8760</v>
      </c>
      <c r="O910" s="457"/>
      <c r="P910" s="430"/>
    </row>
    <row r="911" spans="1:16" ht="13.9" hidden="1" customHeight="1" outlineLevel="3" x14ac:dyDescent="0.2">
      <c r="A911" s="233">
        <v>0</v>
      </c>
      <c r="B911" s="233">
        <v>8</v>
      </c>
      <c r="C911" s="233">
        <v>14</v>
      </c>
      <c r="D911" s="234">
        <v>6</v>
      </c>
      <c r="E911" s="234">
        <v>1</v>
      </c>
      <c r="G911" s="500" t="s">
        <v>1256</v>
      </c>
      <c r="H911" s="459" t="s">
        <v>1238</v>
      </c>
      <c r="I911" s="460" t="s">
        <v>4448</v>
      </c>
      <c r="J911" s="461" t="s">
        <v>2240</v>
      </c>
      <c r="K911" s="462" t="s">
        <v>1129</v>
      </c>
      <c r="L911" s="463">
        <v>1</v>
      </c>
      <c r="M911" s="463">
        <v>8760</v>
      </c>
      <c r="N911" s="464">
        <v>8760</v>
      </c>
      <c r="O911" s="465" t="s">
        <v>2323</v>
      </c>
      <c r="P911" s="431" t="s">
        <v>6711</v>
      </c>
    </row>
    <row r="912" spans="1:16" ht="13.9" hidden="1" customHeight="1" outlineLevel="2" x14ac:dyDescent="0.2">
      <c r="A912" s="233">
        <v>0</v>
      </c>
      <c r="B912" s="233">
        <v>8</v>
      </c>
      <c r="C912" s="233">
        <v>14</v>
      </c>
      <c r="D912" s="234">
        <v>7</v>
      </c>
      <c r="E912" s="234">
        <v>0</v>
      </c>
      <c r="G912" s="450"/>
      <c r="H912" s="451" t="s">
        <v>1237</v>
      </c>
      <c r="I912" s="452" t="s">
        <v>4449</v>
      </c>
      <c r="J912" s="453" t="s">
        <v>14</v>
      </c>
      <c r="K912" s="454"/>
      <c r="L912" s="455"/>
      <c r="M912" s="455"/>
      <c r="N912" s="456">
        <v>1394</v>
      </c>
      <c r="O912" s="457"/>
      <c r="P912" s="430"/>
    </row>
    <row r="913" spans="1:16" ht="13.9" hidden="1" customHeight="1" outlineLevel="3" x14ac:dyDescent="0.2">
      <c r="A913" s="233">
        <v>0</v>
      </c>
      <c r="B913" s="233">
        <v>8</v>
      </c>
      <c r="C913" s="233">
        <v>14</v>
      </c>
      <c r="D913" s="234">
        <v>7</v>
      </c>
      <c r="E913" s="234">
        <v>1</v>
      </c>
      <c r="G913" s="500" t="s">
        <v>1256</v>
      </c>
      <c r="H913" s="459" t="s">
        <v>1238</v>
      </c>
      <c r="I913" s="460" t="s">
        <v>4450</v>
      </c>
      <c r="J913" s="461" t="s">
        <v>1257</v>
      </c>
      <c r="K913" s="462" t="s">
        <v>1129</v>
      </c>
      <c r="L913" s="463">
        <v>1</v>
      </c>
      <c r="M913" s="463">
        <v>1394</v>
      </c>
      <c r="N913" s="464">
        <v>1394</v>
      </c>
      <c r="O913" s="475" t="s">
        <v>2333</v>
      </c>
      <c r="P913" s="431" t="s">
        <v>6711</v>
      </c>
    </row>
    <row r="914" spans="1:16" ht="13.9" customHeight="1" collapsed="1" x14ac:dyDescent="0.2">
      <c r="A914" s="233">
        <v>0</v>
      </c>
      <c r="B914" s="233">
        <v>9</v>
      </c>
      <c r="C914" s="233">
        <v>0</v>
      </c>
      <c r="D914" s="234">
        <v>7</v>
      </c>
      <c r="E914" s="234">
        <v>1</v>
      </c>
      <c r="F914" s="237"/>
      <c r="G914" s="436"/>
      <c r="H914" s="437" t="s">
        <v>1236</v>
      </c>
      <c r="I914" s="438" t="s">
        <v>4451</v>
      </c>
      <c r="J914" s="439" t="s">
        <v>18</v>
      </c>
      <c r="K914" s="440"/>
      <c r="L914" s="441"/>
      <c r="M914" s="441"/>
      <c r="N914" s="442">
        <v>250000</v>
      </c>
      <c r="O914" s="480">
        <v>14.9256671922492</v>
      </c>
      <c r="P914" s="433"/>
    </row>
    <row r="915" spans="1:16" ht="13.9" hidden="1" customHeight="1" outlineLevel="1" x14ac:dyDescent="0.2">
      <c r="A915" s="233">
        <v>0</v>
      </c>
      <c r="B915" s="233">
        <v>9</v>
      </c>
      <c r="C915" s="233">
        <v>1</v>
      </c>
      <c r="D915" s="234">
        <v>0</v>
      </c>
      <c r="E915" s="234">
        <v>1</v>
      </c>
      <c r="G915" s="443"/>
      <c r="H915" s="444" t="s">
        <v>38</v>
      </c>
      <c r="I915" s="445" t="s">
        <v>4452</v>
      </c>
      <c r="J915" s="446" t="s">
        <v>2756</v>
      </c>
      <c r="K915" s="447"/>
      <c r="L915" s="448"/>
      <c r="M915" s="448"/>
      <c r="N915" s="449">
        <v>26282.604474772699</v>
      </c>
      <c r="O915" s="502"/>
      <c r="P915" s="435"/>
    </row>
    <row r="916" spans="1:16" ht="13.9" hidden="1" customHeight="1" outlineLevel="2" x14ac:dyDescent="0.2">
      <c r="A916" s="233">
        <v>0</v>
      </c>
      <c r="B916" s="233">
        <v>9</v>
      </c>
      <c r="C916" s="233">
        <v>1</v>
      </c>
      <c r="D916" s="234">
        <v>1</v>
      </c>
      <c r="E916" s="234">
        <v>0</v>
      </c>
      <c r="G916" s="474"/>
      <c r="H916" s="451" t="s">
        <v>1237</v>
      </c>
      <c r="I916" s="452" t="s">
        <v>4453</v>
      </c>
      <c r="J916" s="453" t="s">
        <v>2334</v>
      </c>
      <c r="K916" s="454"/>
      <c r="L916" s="455"/>
      <c r="M916" s="455"/>
      <c r="N916" s="456">
        <v>1013.3124919985401</v>
      </c>
      <c r="O916" s="472"/>
      <c r="P916" s="430"/>
    </row>
    <row r="917" spans="1:16" ht="13.9" hidden="1" customHeight="1" outlineLevel="3" x14ac:dyDescent="0.2">
      <c r="A917" s="233">
        <v>0</v>
      </c>
      <c r="B917" s="233">
        <v>9</v>
      </c>
      <c r="C917" s="233">
        <v>1</v>
      </c>
      <c r="D917" s="234">
        <v>1</v>
      </c>
      <c r="E917" s="234">
        <v>1</v>
      </c>
      <c r="G917" s="458" t="s">
        <v>18</v>
      </c>
      <c r="H917" s="459" t="s">
        <v>1238</v>
      </c>
      <c r="I917" s="460" t="s">
        <v>4454</v>
      </c>
      <c r="J917" s="461" t="s">
        <v>2334</v>
      </c>
      <c r="K917" s="462" t="s">
        <v>1129</v>
      </c>
      <c r="L917" s="463">
        <v>1</v>
      </c>
      <c r="M917" s="463">
        <v>1013.3124919985378</v>
      </c>
      <c r="N917" s="464">
        <v>1013.3124919985401</v>
      </c>
      <c r="O917" s="471" t="s">
        <v>3000</v>
      </c>
      <c r="P917" s="431" t="s">
        <v>6711</v>
      </c>
    </row>
    <row r="918" spans="1:16" ht="13.9" hidden="1" customHeight="1" outlineLevel="2" x14ac:dyDescent="0.2">
      <c r="A918" s="233">
        <v>0</v>
      </c>
      <c r="B918" s="233">
        <v>9</v>
      </c>
      <c r="C918" s="233">
        <v>1</v>
      </c>
      <c r="D918" s="234">
        <v>2</v>
      </c>
      <c r="E918" s="234">
        <v>0</v>
      </c>
      <c r="G918" s="474"/>
      <c r="H918" s="451" t="s">
        <v>1237</v>
      </c>
      <c r="I918" s="452" t="s">
        <v>4455</v>
      </c>
      <c r="J918" s="453" t="s">
        <v>2755</v>
      </c>
      <c r="K918" s="454"/>
      <c r="L918" s="455"/>
      <c r="M918" s="455"/>
      <c r="N918" s="456">
        <v>22367.255954230201</v>
      </c>
      <c r="O918" s="472"/>
      <c r="P918" s="430"/>
    </row>
    <row r="919" spans="1:16" ht="13.9" hidden="1" customHeight="1" outlineLevel="3" x14ac:dyDescent="0.2">
      <c r="A919" s="233">
        <v>0</v>
      </c>
      <c r="B919" s="233">
        <v>9</v>
      </c>
      <c r="C919" s="233">
        <v>1</v>
      </c>
      <c r="D919" s="234">
        <v>2</v>
      </c>
      <c r="E919" s="234">
        <v>1</v>
      </c>
      <c r="G919" s="458" t="s">
        <v>18</v>
      </c>
      <c r="H919" s="459" t="s">
        <v>1238</v>
      </c>
      <c r="I919" s="460" t="s">
        <v>4456</v>
      </c>
      <c r="J919" s="461" t="s">
        <v>2755</v>
      </c>
      <c r="K919" s="462" t="s">
        <v>1129</v>
      </c>
      <c r="L919" s="463">
        <v>1</v>
      </c>
      <c r="M919" s="463">
        <v>22367.255954230244</v>
      </c>
      <c r="N919" s="464">
        <v>22367.255954230201</v>
      </c>
      <c r="O919" s="471" t="s">
        <v>3000</v>
      </c>
      <c r="P919" s="431" t="s">
        <v>6711</v>
      </c>
    </row>
    <row r="920" spans="1:16" ht="13.9" hidden="1" customHeight="1" outlineLevel="2" x14ac:dyDescent="0.2">
      <c r="A920" s="233">
        <v>0</v>
      </c>
      <c r="B920" s="233">
        <v>9</v>
      </c>
      <c r="C920" s="233">
        <v>1</v>
      </c>
      <c r="D920" s="234">
        <v>3</v>
      </c>
      <c r="E920" s="234">
        <v>0</v>
      </c>
      <c r="G920" s="474"/>
      <c r="H920" s="451" t="s">
        <v>1237</v>
      </c>
      <c r="I920" s="452" t="s">
        <v>4457</v>
      </c>
      <c r="J920" s="453" t="s">
        <v>14</v>
      </c>
      <c r="K920" s="454"/>
      <c r="L920" s="455"/>
      <c r="M920" s="455"/>
      <c r="N920" s="456">
        <v>2902.0360285438901</v>
      </c>
      <c r="O920" s="472"/>
      <c r="P920" s="430"/>
    </row>
    <row r="921" spans="1:16" ht="13.9" hidden="1" customHeight="1" outlineLevel="3" x14ac:dyDescent="0.2">
      <c r="A921" s="233">
        <v>0</v>
      </c>
      <c r="B921" s="233">
        <v>9</v>
      </c>
      <c r="C921" s="233">
        <v>1</v>
      </c>
      <c r="D921" s="234">
        <v>3</v>
      </c>
      <c r="E921" s="234">
        <v>1</v>
      </c>
      <c r="G921" s="458" t="s">
        <v>18</v>
      </c>
      <c r="H921" s="459" t="s">
        <v>1238</v>
      </c>
      <c r="I921" s="460" t="s">
        <v>4458</v>
      </c>
      <c r="J921" s="461" t="s">
        <v>1258</v>
      </c>
      <c r="K921" s="462" t="s">
        <v>1129</v>
      </c>
      <c r="L921" s="463">
        <v>1</v>
      </c>
      <c r="M921" s="463">
        <v>2902.0360285438901</v>
      </c>
      <c r="N921" s="464">
        <v>2902.0360285438901</v>
      </c>
      <c r="O921" s="471" t="s">
        <v>3000</v>
      </c>
      <c r="P921" s="431" t="s">
        <v>6711</v>
      </c>
    </row>
    <row r="922" spans="1:16" ht="13.9" hidden="1" customHeight="1" outlineLevel="1" x14ac:dyDescent="0.2">
      <c r="A922" s="233">
        <v>0</v>
      </c>
      <c r="B922" s="233">
        <v>9</v>
      </c>
      <c r="C922" s="233">
        <v>2</v>
      </c>
      <c r="D922" s="234">
        <v>0</v>
      </c>
      <c r="E922" s="234">
        <v>1</v>
      </c>
      <c r="G922" s="443"/>
      <c r="H922" s="444" t="s">
        <v>38</v>
      </c>
      <c r="I922" s="445" t="s">
        <v>4459</v>
      </c>
      <c r="J922" s="446" t="s">
        <v>2757</v>
      </c>
      <c r="K922" s="447"/>
      <c r="L922" s="448"/>
      <c r="M922" s="448"/>
      <c r="N922" s="449">
        <v>5591.4490962267</v>
      </c>
      <c r="O922" s="502"/>
      <c r="P922" s="435"/>
    </row>
    <row r="923" spans="1:16" ht="13.9" hidden="1" customHeight="1" outlineLevel="2" x14ac:dyDescent="0.2">
      <c r="A923" s="233">
        <v>0</v>
      </c>
      <c r="B923" s="233">
        <v>9</v>
      </c>
      <c r="C923" s="233">
        <v>2</v>
      </c>
      <c r="D923" s="234">
        <v>1</v>
      </c>
      <c r="E923" s="234">
        <v>0</v>
      </c>
      <c r="G923" s="474"/>
      <c r="H923" s="451" t="s">
        <v>1237</v>
      </c>
      <c r="I923" s="452" t="s">
        <v>4460</v>
      </c>
      <c r="J923" s="453" t="s">
        <v>2755</v>
      </c>
      <c r="K923" s="454"/>
      <c r="L923" s="455"/>
      <c r="M923" s="455"/>
      <c r="N923" s="456">
        <v>2628.12328589769</v>
      </c>
      <c r="O923" s="472"/>
      <c r="P923" s="430"/>
    </row>
    <row r="924" spans="1:16" ht="13.9" hidden="1" customHeight="1" outlineLevel="3" x14ac:dyDescent="0.2">
      <c r="A924" s="233">
        <v>0</v>
      </c>
      <c r="B924" s="233">
        <v>9</v>
      </c>
      <c r="C924" s="233">
        <v>2</v>
      </c>
      <c r="D924" s="234">
        <v>1</v>
      </c>
      <c r="E924" s="234">
        <v>1</v>
      </c>
      <c r="G924" s="458" t="s">
        <v>18</v>
      </c>
      <c r="H924" s="459" t="s">
        <v>1238</v>
      </c>
      <c r="I924" s="460" t="s">
        <v>4461</v>
      </c>
      <c r="J924" s="461" t="s">
        <v>2755</v>
      </c>
      <c r="K924" s="462" t="s">
        <v>1129</v>
      </c>
      <c r="L924" s="463">
        <v>1</v>
      </c>
      <c r="M924" s="463">
        <v>2628.1232858976855</v>
      </c>
      <c r="N924" s="464">
        <v>2628.12328589769</v>
      </c>
      <c r="O924" s="471" t="s">
        <v>3000</v>
      </c>
      <c r="P924" s="431" t="s">
        <v>6711</v>
      </c>
    </row>
    <row r="925" spans="1:16" ht="13.9" hidden="1" customHeight="1" outlineLevel="2" x14ac:dyDescent="0.2">
      <c r="A925" s="233">
        <v>0</v>
      </c>
      <c r="B925" s="233">
        <v>9</v>
      </c>
      <c r="C925" s="233">
        <v>2</v>
      </c>
      <c r="D925" s="234">
        <v>2</v>
      </c>
      <c r="E925" s="234">
        <v>0</v>
      </c>
      <c r="G925" s="474"/>
      <c r="H925" s="451" t="s">
        <v>1237</v>
      </c>
      <c r="I925" s="452" t="s">
        <v>4462</v>
      </c>
      <c r="J925" s="453" t="s">
        <v>14</v>
      </c>
      <c r="K925" s="454"/>
      <c r="L925" s="455"/>
      <c r="M925" s="455"/>
      <c r="N925" s="456">
        <v>2963.32581032901</v>
      </c>
      <c r="O925" s="472"/>
      <c r="P925" s="430"/>
    </row>
    <row r="926" spans="1:16" ht="13.9" hidden="1" customHeight="1" outlineLevel="3" x14ac:dyDescent="0.2">
      <c r="A926" s="233">
        <v>0</v>
      </c>
      <c r="B926" s="233">
        <v>9</v>
      </c>
      <c r="C926" s="233">
        <v>2</v>
      </c>
      <c r="D926" s="234">
        <v>2</v>
      </c>
      <c r="E926" s="234">
        <v>1</v>
      </c>
      <c r="G926" s="458" t="s">
        <v>18</v>
      </c>
      <c r="H926" s="459" t="s">
        <v>1238</v>
      </c>
      <c r="I926" s="460" t="s">
        <v>4463</v>
      </c>
      <c r="J926" s="461" t="s">
        <v>1258</v>
      </c>
      <c r="K926" s="462" t="s">
        <v>1129</v>
      </c>
      <c r="L926" s="463">
        <v>1</v>
      </c>
      <c r="M926" s="463">
        <v>2963.3258103290132</v>
      </c>
      <c r="N926" s="464">
        <v>2963.32581032901</v>
      </c>
      <c r="O926" s="471" t="s">
        <v>3000</v>
      </c>
      <c r="P926" s="431" t="s">
        <v>6711</v>
      </c>
    </row>
    <row r="927" spans="1:16" ht="13.9" hidden="1" customHeight="1" outlineLevel="1" x14ac:dyDescent="0.2">
      <c r="A927" s="233">
        <v>0</v>
      </c>
      <c r="B927" s="233">
        <v>9</v>
      </c>
      <c r="C927" s="233">
        <v>3</v>
      </c>
      <c r="D927" s="234">
        <v>0</v>
      </c>
      <c r="E927" s="234">
        <v>1</v>
      </c>
      <c r="G927" s="443"/>
      <c r="H927" s="444" t="s">
        <v>38</v>
      </c>
      <c r="I927" s="445" t="s">
        <v>4464</v>
      </c>
      <c r="J927" s="446" t="s">
        <v>2758</v>
      </c>
      <c r="K927" s="447"/>
      <c r="L927" s="448"/>
      <c r="M927" s="448"/>
      <c r="N927" s="449">
        <v>27552.957507340099</v>
      </c>
      <c r="O927" s="502"/>
      <c r="P927" s="435"/>
    </row>
    <row r="928" spans="1:16" ht="13.9" hidden="1" customHeight="1" outlineLevel="2" x14ac:dyDescent="0.2">
      <c r="A928" s="233">
        <v>0</v>
      </c>
      <c r="B928" s="233">
        <v>9</v>
      </c>
      <c r="C928" s="233">
        <v>3</v>
      </c>
      <c r="D928" s="234">
        <v>1</v>
      </c>
      <c r="E928" s="234">
        <v>0</v>
      </c>
      <c r="G928" s="474"/>
      <c r="H928" s="451" t="s">
        <v>1237</v>
      </c>
      <c r="I928" s="452" t="s">
        <v>4465</v>
      </c>
      <c r="J928" s="453" t="s">
        <v>2755</v>
      </c>
      <c r="K928" s="454"/>
      <c r="L928" s="455"/>
      <c r="M928" s="455"/>
      <c r="N928" s="456">
        <v>24303.526409076301</v>
      </c>
      <c r="O928" s="472"/>
      <c r="P928" s="430"/>
    </row>
    <row r="929" spans="1:16" ht="13.9" hidden="1" customHeight="1" outlineLevel="3" x14ac:dyDescent="0.2">
      <c r="A929" s="233">
        <v>0</v>
      </c>
      <c r="B929" s="233">
        <v>9</v>
      </c>
      <c r="C929" s="233">
        <v>3</v>
      </c>
      <c r="D929" s="234">
        <v>1</v>
      </c>
      <c r="E929" s="234">
        <v>1</v>
      </c>
      <c r="G929" s="458" t="s">
        <v>18</v>
      </c>
      <c r="H929" s="459" t="s">
        <v>1238</v>
      </c>
      <c r="I929" s="460" t="s">
        <v>4466</v>
      </c>
      <c r="J929" s="461" t="s">
        <v>2755</v>
      </c>
      <c r="K929" s="462" t="s">
        <v>1129</v>
      </c>
      <c r="L929" s="463">
        <v>1</v>
      </c>
      <c r="M929" s="463">
        <v>24303.526409076258</v>
      </c>
      <c r="N929" s="464">
        <v>24303.526409076301</v>
      </c>
      <c r="O929" s="471" t="s">
        <v>3000</v>
      </c>
      <c r="P929" s="431" t="s">
        <v>6711</v>
      </c>
    </row>
    <row r="930" spans="1:16" ht="13.9" hidden="1" customHeight="1" outlineLevel="2" x14ac:dyDescent="0.2">
      <c r="A930" s="233">
        <v>0</v>
      </c>
      <c r="B930" s="233">
        <v>9</v>
      </c>
      <c r="C930" s="233">
        <v>3</v>
      </c>
      <c r="D930" s="234">
        <v>2</v>
      </c>
      <c r="E930" s="234">
        <v>0</v>
      </c>
      <c r="G930" s="474"/>
      <c r="H930" s="451" t="s">
        <v>1237</v>
      </c>
      <c r="I930" s="452" t="s">
        <v>4467</v>
      </c>
      <c r="J930" s="453" t="s">
        <v>14</v>
      </c>
      <c r="K930" s="454"/>
      <c r="L930" s="455"/>
      <c r="M930" s="455"/>
      <c r="N930" s="456">
        <v>3249.4310982637899</v>
      </c>
      <c r="O930" s="472"/>
      <c r="P930" s="430"/>
    </row>
    <row r="931" spans="1:16" ht="13.9" hidden="1" customHeight="1" outlineLevel="3" x14ac:dyDescent="0.2">
      <c r="A931" s="233">
        <v>0</v>
      </c>
      <c r="B931" s="233">
        <v>9</v>
      </c>
      <c r="C931" s="233">
        <v>3</v>
      </c>
      <c r="D931" s="234">
        <v>2</v>
      </c>
      <c r="E931" s="234">
        <v>1</v>
      </c>
      <c r="G931" s="458" t="s">
        <v>18</v>
      </c>
      <c r="H931" s="459" t="s">
        <v>1238</v>
      </c>
      <c r="I931" s="460" t="s">
        <v>4468</v>
      </c>
      <c r="J931" s="461" t="s">
        <v>1258</v>
      </c>
      <c r="K931" s="462" t="s">
        <v>1129</v>
      </c>
      <c r="L931" s="463">
        <v>1</v>
      </c>
      <c r="M931" s="463">
        <v>3249.431098263794</v>
      </c>
      <c r="N931" s="464">
        <v>3249.4310982637899</v>
      </c>
      <c r="O931" s="471" t="s">
        <v>3000</v>
      </c>
      <c r="P931" s="431" t="s">
        <v>6711</v>
      </c>
    </row>
    <row r="932" spans="1:16" ht="13.9" hidden="1" customHeight="1" outlineLevel="1" x14ac:dyDescent="0.2">
      <c r="A932" s="233">
        <v>0</v>
      </c>
      <c r="B932" s="233">
        <v>9</v>
      </c>
      <c r="C932" s="233">
        <v>4</v>
      </c>
      <c r="D932" s="234">
        <v>0</v>
      </c>
      <c r="E932" s="234">
        <v>1</v>
      </c>
      <c r="G932" s="443"/>
      <c r="H932" s="444" t="s">
        <v>38</v>
      </c>
      <c r="I932" s="445" t="s">
        <v>4469</v>
      </c>
      <c r="J932" s="446" t="s">
        <v>2759</v>
      </c>
      <c r="K932" s="447"/>
      <c r="L932" s="448"/>
      <c r="M932" s="448"/>
      <c r="N932" s="449">
        <v>4125.4721935630196</v>
      </c>
      <c r="O932" s="502"/>
      <c r="P932" s="435"/>
    </row>
    <row r="933" spans="1:16" ht="13.9" hidden="1" customHeight="1" outlineLevel="2" x14ac:dyDescent="0.2">
      <c r="A933" s="233">
        <v>0</v>
      </c>
      <c r="B933" s="233">
        <v>9</v>
      </c>
      <c r="C933" s="233">
        <v>4</v>
      </c>
      <c r="D933" s="234">
        <v>1</v>
      </c>
      <c r="E933" s="234">
        <v>0</v>
      </c>
      <c r="G933" s="474"/>
      <c r="H933" s="451" t="s">
        <v>1237</v>
      </c>
      <c r="I933" s="452" t="s">
        <v>4470</v>
      </c>
      <c r="J933" s="453" t="s">
        <v>2755</v>
      </c>
      <c r="K933" s="454"/>
      <c r="L933" s="455"/>
      <c r="M933" s="455"/>
      <c r="N933" s="456">
        <v>876.04109529922903</v>
      </c>
      <c r="O933" s="472"/>
      <c r="P933" s="430"/>
    </row>
    <row r="934" spans="1:16" ht="13.9" hidden="1" customHeight="1" outlineLevel="3" x14ac:dyDescent="0.2">
      <c r="A934" s="233">
        <v>0</v>
      </c>
      <c r="B934" s="233">
        <v>9</v>
      </c>
      <c r="C934" s="233">
        <v>4</v>
      </c>
      <c r="D934" s="234">
        <v>1</v>
      </c>
      <c r="E934" s="234">
        <v>1</v>
      </c>
      <c r="G934" s="458" t="s">
        <v>18</v>
      </c>
      <c r="H934" s="459" t="s">
        <v>1238</v>
      </c>
      <c r="I934" s="460" t="s">
        <v>4471</v>
      </c>
      <c r="J934" s="461" t="s">
        <v>2755</v>
      </c>
      <c r="K934" s="462" t="s">
        <v>1129</v>
      </c>
      <c r="L934" s="463">
        <v>1</v>
      </c>
      <c r="M934" s="463">
        <v>876.04109529922857</v>
      </c>
      <c r="N934" s="464">
        <v>876.04109529922903</v>
      </c>
      <c r="O934" s="471" t="s">
        <v>3000</v>
      </c>
      <c r="P934" s="431" t="s">
        <v>6711</v>
      </c>
    </row>
    <row r="935" spans="1:16" ht="13.9" hidden="1" customHeight="1" outlineLevel="2" x14ac:dyDescent="0.2">
      <c r="A935" s="233">
        <v>0</v>
      </c>
      <c r="B935" s="233">
        <v>9</v>
      </c>
      <c r="C935" s="233">
        <v>4</v>
      </c>
      <c r="D935" s="234">
        <v>2</v>
      </c>
      <c r="E935" s="234">
        <v>0</v>
      </c>
      <c r="G935" s="474"/>
      <c r="H935" s="451" t="s">
        <v>1237</v>
      </c>
      <c r="I935" s="452" t="s">
        <v>4472</v>
      </c>
      <c r="J935" s="453" t="s">
        <v>14</v>
      </c>
      <c r="K935" s="454"/>
      <c r="L935" s="455"/>
      <c r="M935" s="455"/>
      <c r="N935" s="456">
        <v>3249.4310982637899</v>
      </c>
      <c r="O935" s="472"/>
      <c r="P935" s="430"/>
    </row>
    <row r="936" spans="1:16" ht="13.9" hidden="1" customHeight="1" outlineLevel="3" x14ac:dyDescent="0.2">
      <c r="A936" s="233">
        <v>0</v>
      </c>
      <c r="B936" s="233">
        <v>9</v>
      </c>
      <c r="C936" s="233">
        <v>4</v>
      </c>
      <c r="D936" s="234">
        <v>2</v>
      </c>
      <c r="E936" s="234">
        <v>1</v>
      </c>
      <c r="G936" s="458" t="s">
        <v>18</v>
      </c>
      <c r="H936" s="459" t="s">
        <v>1238</v>
      </c>
      <c r="I936" s="460" t="s">
        <v>4473</v>
      </c>
      <c r="J936" s="461" t="s">
        <v>1258</v>
      </c>
      <c r="K936" s="462" t="s">
        <v>1129</v>
      </c>
      <c r="L936" s="463">
        <v>1</v>
      </c>
      <c r="M936" s="463">
        <v>3249.431098263794</v>
      </c>
      <c r="N936" s="464">
        <v>3249.4310982637899</v>
      </c>
      <c r="O936" s="471" t="s">
        <v>3000</v>
      </c>
      <c r="P936" s="431" t="s">
        <v>6711</v>
      </c>
    </row>
    <row r="937" spans="1:16" ht="13.9" hidden="1" customHeight="1" outlineLevel="1" x14ac:dyDescent="0.2">
      <c r="A937" s="233">
        <v>0</v>
      </c>
      <c r="B937" s="233">
        <v>9</v>
      </c>
      <c r="C937" s="233">
        <v>5</v>
      </c>
      <c r="D937" s="234">
        <v>0</v>
      </c>
      <c r="E937" s="234">
        <v>1</v>
      </c>
      <c r="G937" s="443"/>
      <c r="H937" s="444" t="s">
        <v>38</v>
      </c>
      <c r="I937" s="445" t="s">
        <v>4474</v>
      </c>
      <c r="J937" s="446" t="s">
        <v>2760</v>
      </c>
      <c r="K937" s="447"/>
      <c r="L937" s="448"/>
      <c r="M937" s="448"/>
      <c r="N937" s="449">
        <v>4178.22933507993</v>
      </c>
      <c r="O937" s="502"/>
      <c r="P937" s="435"/>
    </row>
    <row r="938" spans="1:16" ht="13.9" hidden="1" customHeight="1" outlineLevel="2" x14ac:dyDescent="0.2">
      <c r="A938" s="233">
        <v>0</v>
      </c>
      <c r="B938" s="233">
        <v>9</v>
      </c>
      <c r="C938" s="233">
        <v>5</v>
      </c>
      <c r="D938" s="234">
        <v>1</v>
      </c>
      <c r="E938" s="234">
        <v>0</v>
      </c>
      <c r="G938" s="474"/>
      <c r="H938" s="451" t="s">
        <v>1237</v>
      </c>
      <c r="I938" s="452" t="s">
        <v>4475</v>
      </c>
      <c r="J938" s="453" t="s">
        <v>2755</v>
      </c>
      <c r="K938" s="454"/>
      <c r="L938" s="455"/>
      <c r="M938" s="455"/>
      <c r="N938" s="456">
        <v>928.798236816138</v>
      </c>
      <c r="O938" s="472"/>
      <c r="P938" s="430"/>
    </row>
    <row r="939" spans="1:16" ht="13.9" hidden="1" customHeight="1" outlineLevel="3" x14ac:dyDescent="0.2">
      <c r="A939" s="233">
        <v>0</v>
      </c>
      <c r="B939" s="233">
        <v>9</v>
      </c>
      <c r="C939" s="233">
        <v>5</v>
      </c>
      <c r="D939" s="234">
        <v>1</v>
      </c>
      <c r="E939" s="234">
        <v>1</v>
      </c>
      <c r="G939" s="458" t="s">
        <v>18</v>
      </c>
      <c r="H939" s="459" t="s">
        <v>1238</v>
      </c>
      <c r="I939" s="460" t="s">
        <v>4476</v>
      </c>
      <c r="J939" s="461" t="s">
        <v>2755</v>
      </c>
      <c r="K939" s="462" t="s">
        <v>1129</v>
      </c>
      <c r="L939" s="463">
        <v>1</v>
      </c>
      <c r="M939" s="463">
        <v>928.79823681613755</v>
      </c>
      <c r="N939" s="464">
        <v>928.798236816138</v>
      </c>
      <c r="O939" s="471" t="s">
        <v>3000</v>
      </c>
      <c r="P939" s="431" t="s">
        <v>6711</v>
      </c>
    </row>
    <row r="940" spans="1:16" ht="13.9" hidden="1" customHeight="1" outlineLevel="2" x14ac:dyDescent="0.2">
      <c r="A940" s="233">
        <v>0</v>
      </c>
      <c r="B940" s="233">
        <v>9</v>
      </c>
      <c r="C940" s="233">
        <v>5</v>
      </c>
      <c r="D940" s="234">
        <v>2</v>
      </c>
      <c r="E940" s="234">
        <v>0</v>
      </c>
      <c r="G940" s="474"/>
      <c r="H940" s="451" t="s">
        <v>1237</v>
      </c>
      <c r="I940" s="452" t="s">
        <v>4477</v>
      </c>
      <c r="J940" s="453" t="s">
        <v>14</v>
      </c>
      <c r="K940" s="454"/>
      <c r="L940" s="455"/>
      <c r="M940" s="455"/>
      <c r="N940" s="456">
        <v>3249.4310982637899</v>
      </c>
      <c r="O940" s="472"/>
      <c r="P940" s="430"/>
    </row>
    <row r="941" spans="1:16" ht="13.9" hidden="1" customHeight="1" outlineLevel="3" x14ac:dyDescent="0.2">
      <c r="A941" s="233">
        <v>0</v>
      </c>
      <c r="B941" s="233">
        <v>9</v>
      </c>
      <c r="C941" s="233">
        <v>5</v>
      </c>
      <c r="D941" s="234">
        <v>2</v>
      </c>
      <c r="E941" s="234">
        <v>1</v>
      </c>
      <c r="G941" s="458" t="s">
        <v>18</v>
      </c>
      <c r="H941" s="459" t="s">
        <v>1238</v>
      </c>
      <c r="I941" s="460" t="s">
        <v>4478</v>
      </c>
      <c r="J941" s="461" t="s">
        <v>1258</v>
      </c>
      <c r="K941" s="462" t="s">
        <v>1129</v>
      </c>
      <c r="L941" s="463">
        <v>1</v>
      </c>
      <c r="M941" s="463">
        <v>3249.431098263794</v>
      </c>
      <c r="N941" s="464">
        <v>3249.4310982637899</v>
      </c>
      <c r="O941" s="471" t="s">
        <v>3000</v>
      </c>
      <c r="P941" s="431" t="s">
        <v>6711</v>
      </c>
    </row>
    <row r="942" spans="1:16" ht="13.9" hidden="1" customHeight="1" outlineLevel="1" x14ac:dyDescent="0.2">
      <c r="A942" s="233">
        <v>0</v>
      </c>
      <c r="B942" s="233">
        <v>9</v>
      </c>
      <c r="C942" s="233">
        <v>6</v>
      </c>
      <c r="D942" s="234">
        <v>0</v>
      </c>
      <c r="E942" s="234">
        <v>1</v>
      </c>
      <c r="G942" s="443"/>
      <c r="H942" s="444" t="s">
        <v>38</v>
      </c>
      <c r="I942" s="445" t="s">
        <v>4479</v>
      </c>
      <c r="J942" s="446" t="s">
        <v>2761</v>
      </c>
      <c r="K942" s="447"/>
      <c r="L942" s="448"/>
      <c r="M942" s="448"/>
      <c r="N942" s="449">
        <v>4298.3190950152803</v>
      </c>
      <c r="O942" s="502"/>
      <c r="P942" s="435"/>
    </row>
    <row r="943" spans="1:16" ht="13.9" hidden="1" customHeight="1" outlineLevel="2" x14ac:dyDescent="0.2">
      <c r="A943" s="233">
        <v>0</v>
      </c>
      <c r="B943" s="233">
        <v>9</v>
      </c>
      <c r="C943" s="233">
        <v>6</v>
      </c>
      <c r="D943" s="234">
        <v>1</v>
      </c>
      <c r="E943" s="234">
        <v>0</v>
      </c>
      <c r="G943" s="474"/>
      <c r="H943" s="451" t="s">
        <v>1237</v>
      </c>
      <c r="I943" s="452" t="s">
        <v>4480</v>
      </c>
      <c r="J943" s="453" t="s">
        <v>2755</v>
      </c>
      <c r="K943" s="454"/>
      <c r="L943" s="455"/>
      <c r="M943" s="455"/>
      <c r="N943" s="456">
        <v>997.28917623836401</v>
      </c>
      <c r="O943" s="472"/>
      <c r="P943" s="430"/>
    </row>
    <row r="944" spans="1:16" ht="13.9" hidden="1" customHeight="1" outlineLevel="3" x14ac:dyDescent="0.2">
      <c r="A944" s="233">
        <v>0</v>
      </c>
      <c r="B944" s="233">
        <v>9</v>
      </c>
      <c r="C944" s="233">
        <v>6</v>
      </c>
      <c r="D944" s="234">
        <v>1</v>
      </c>
      <c r="E944" s="234">
        <v>1</v>
      </c>
      <c r="G944" s="458" t="s">
        <v>18</v>
      </c>
      <c r="H944" s="459" t="s">
        <v>1238</v>
      </c>
      <c r="I944" s="460" t="s">
        <v>4481</v>
      </c>
      <c r="J944" s="461" t="s">
        <v>2755</v>
      </c>
      <c r="K944" s="462" t="s">
        <v>1129</v>
      </c>
      <c r="L944" s="463">
        <v>1</v>
      </c>
      <c r="M944" s="463">
        <v>997.28917623836389</v>
      </c>
      <c r="N944" s="464">
        <v>997.28917623836401</v>
      </c>
      <c r="O944" s="471" t="s">
        <v>3000</v>
      </c>
      <c r="P944" s="431" t="s">
        <v>6711</v>
      </c>
    </row>
    <row r="945" spans="1:16" ht="13.9" hidden="1" customHeight="1" outlineLevel="2" x14ac:dyDescent="0.2">
      <c r="A945" s="233">
        <v>0</v>
      </c>
      <c r="B945" s="233">
        <v>9</v>
      </c>
      <c r="C945" s="233">
        <v>6</v>
      </c>
      <c r="D945" s="234">
        <v>2</v>
      </c>
      <c r="E945" s="234">
        <v>0</v>
      </c>
      <c r="G945" s="474"/>
      <c r="H945" s="451" t="s">
        <v>1237</v>
      </c>
      <c r="I945" s="452" t="s">
        <v>4482</v>
      </c>
      <c r="J945" s="453" t="s">
        <v>14</v>
      </c>
      <c r="K945" s="454"/>
      <c r="L945" s="455"/>
      <c r="M945" s="455"/>
      <c r="N945" s="456">
        <v>3301.0299187769201</v>
      </c>
      <c r="O945" s="472"/>
      <c r="P945" s="430"/>
    </row>
    <row r="946" spans="1:16" ht="13.9" hidden="1" customHeight="1" outlineLevel="3" x14ac:dyDescent="0.2">
      <c r="A946" s="233">
        <v>0</v>
      </c>
      <c r="B946" s="233">
        <v>9</v>
      </c>
      <c r="C946" s="233">
        <v>6</v>
      </c>
      <c r="D946" s="234">
        <v>2</v>
      </c>
      <c r="E946" s="234">
        <v>1</v>
      </c>
      <c r="G946" s="458" t="s">
        <v>18</v>
      </c>
      <c r="H946" s="459" t="s">
        <v>1238</v>
      </c>
      <c r="I946" s="460" t="s">
        <v>4483</v>
      </c>
      <c r="J946" s="461" t="s">
        <v>1258</v>
      </c>
      <c r="K946" s="462" t="s">
        <v>1129</v>
      </c>
      <c r="L946" s="463">
        <v>1</v>
      </c>
      <c r="M946" s="463">
        <v>3301.0299187769183</v>
      </c>
      <c r="N946" s="464">
        <v>3301.0299187769201</v>
      </c>
      <c r="O946" s="471" t="s">
        <v>3000</v>
      </c>
      <c r="P946" s="431" t="s">
        <v>6711</v>
      </c>
    </row>
    <row r="947" spans="1:16" ht="13.9" hidden="1" customHeight="1" outlineLevel="1" x14ac:dyDescent="0.2">
      <c r="A947" s="233">
        <v>0</v>
      </c>
      <c r="B947" s="233">
        <v>9</v>
      </c>
      <c r="C947" s="233">
        <v>7</v>
      </c>
      <c r="D947" s="234">
        <v>0</v>
      </c>
      <c r="E947" s="234">
        <v>1</v>
      </c>
      <c r="G947" s="443"/>
      <c r="H947" s="444" t="s">
        <v>38</v>
      </c>
      <c r="I947" s="445" t="s">
        <v>4484</v>
      </c>
      <c r="J947" s="446" t="s">
        <v>2762</v>
      </c>
      <c r="K947" s="447"/>
      <c r="L947" s="448"/>
      <c r="M947" s="448"/>
      <c r="N947" s="449">
        <v>6612.36043357779</v>
      </c>
      <c r="O947" s="502"/>
      <c r="P947" s="435"/>
    </row>
    <row r="948" spans="1:16" ht="13.9" hidden="1" customHeight="1" outlineLevel="2" x14ac:dyDescent="0.2">
      <c r="A948" s="233">
        <v>0</v>
      </c>
      <c r="B948" s="233">
        <v>9</v>
      </c>
      <c r="C948" s="233">
        <v>7</v>
      </c>
      <c r="D948" s="234">
        <v>1</v>
      </c>
      <c r="E948" s="234">
        <v>0</v>
      </c>
      <c r="G948" s="474"/>
      <c r="H948" s="451" t="s">
        <v>1237</v>
      </c>
      <c r="I948" s="452" t="s">
        <v>4485</v>
      </c>
      <c r="J948" s="453" t="s">
        <v>2334</v>
      </c>
      <c r="K948" s="454"/>
      <c r="L948" s="455"/>
      <c r="M948" s="455"/>
      <c r="N948" s="456">
        <v>202.662498399708</v>
      </c>
      <c r="O948" s="472"/>
      <c r="P948" s="430"/>
    </row>
    <row r="949" spans="1:16" ht="13.9" hidden="1" customHeight="1" outlineLevel="3" x14ac:dyDescent="0.2">
      <c r="A949" s="233">
        <v>0</v>
      </c>
      <c r="B949" s="233">
        <v>9</v>
      </c>
      <c r="C949" s="233">
        <v>7</v>
      </c>
      <c r="D949" s="234">
        <v>1</v>
      </c>
      <c r="E949" s="234">
        <v>1</v>
      </c>
      <c r="G949" s="458" t="s">
        <v>18</v>
      </c>
      <c r="H949" s="459" t="s">
        <v>1238</v>
      </c>
      <c r="I949" s="460" t="s">
        <v>4486</v>
      </c>
      <c r="J949" s="461" t="s">
        <v>2334</v>
      </c>
      <c r="K949" s="462" t="s">
        <v>1129</v>
      </c>
      <c r="L949" s="463">
        <v>1</v>
      </c>
      <c r="M949" s="463">
        <v>202.66249839970757</v>
      </c>
      <c r="N949" s="464">
        <v>202.662498399708</v>
      </c>
      <c r="O949" s="471" t="s">
        <v>3000</v>
      </c>
      <c r="P949" s="431" t="s">
        <v>6711</v>
      </c>
    </row>
    <row r="950" spans="1:16" ht="13.9" hidden="1" customHeight="1" outlineLevel="2" x14ac:dyDescent="0.2">
      <c r="A950" s="233">
        <v>0</v>
      </c>
      <c r="B950" s="233">
        <v>9</v>
      </c>
      <c r="C950" s="233">
        <v>7</v>
      </c>
      <c r="D950" s="234">
        <v>2</v>
      </c>
      <c r="E950" s="234">
        <v>0</v>
      </c>
      <c r="G950" s="474"/>
      <c r="H950" s="451" t="s">
        <v>1237</v>
      </c>
      <c r="I950" s="452" t="s">
        <v>4487</v>
      </c>
      <c r="J950" s="453" t="s">
        <v>2755</v>
      </c>
      <c r="K950" s="454"/>
      <c r="L950" s="455"/>
      <c r="M950" s="455"/>
      <c r="N950" s="456">
        <v>3108.66801640117</v>
      </c>
      <c r="O950" s="472"/>
      <c r="P950" s="430"/>
    </row>
    <row r="951" spans="1:16" ht="13.9" hidden="1" customHeight="1" outlineLevel="3" x14ac:dyDescent="0.2">
      <c r="A951" s="233">
        <v>0</v>
      </c>
      <c r="B951" s="233">
        <v>9</v>
      </c>
      <c r="C951" s="233">
        <v>7</v>
      </c>
      <c r="D951" s="234">
        <v>2</v>
      </c>
      <c r="E951" s="234">
        <v>1</v>
      </c>
      <c r="G951" s="458" t="s">
        <v>18</v>
      </c>
      <c r="H951" s="459" t="s">
        <v>1238</v>
      </c>
      <c r="I951" s="460" t="s">
        <v>4488</v>
      </c>
      <c r="J951" s="461" t="s">
        <v>2755</v>
      </c>
      <c r="K951" s="462" t="s">
        <v>1129</v>
      </c>
      <c r="L951" s="463">
        <v>1</v>
      </c>
      <c r="M951" s="463">
        <v>3108.6680164011691</v>
      </c>
      <c r="N951" s="464">
        <v>3108.66801640117</v>
      </c>
      <c r="O951" s="471" t="s">
        <v>3000</v>
      </c>
      <c r="P951" s="431" t="s">
        <v>6711</v>
      </c>
    </row>
    <row r="952" spans="1:16" ht="13.9" hidden="1" customHeight="1" outlineLevel="2" x14ac:dyDescent="0.2">
      <c r="A952" s="233">
        <v>0</v>
      </c>
      <c r="B952" s="233">
        <v>9</v>
      </c>
      <c r="C952" s="233">
        <v>7</v>
      </c>
      <c r="D952" s="234">
        <v>3</v>
      </c>
      <c r="E952" s="234">
        <v>0</v>
      </c>
      <c r="G952" s="474"/>
      <c r="H952" s="451" t="s">
        <v>1237</v>
      </c>
      <c r="I952" s="452" t="s">
        <v>4489</v>
      </c>
      <c r="J952" s="453" t="s">
        <v>14</v>
      </c>
      <c r="K952" s="454"/>
      <c r="L952" s="455"/>
      <c r="M952" s="455"/>
      <c r="N952" s="456">
        <v>3301.0299187769201</v>
      </c>
      <c r="O952" s="472"/>
      <c r="P952" s="430"/>
    </row>
    <row r="953" spans="1:16" ht="13.9" hidden="1" customHeight="1" outlineLevel="3" x14ac:dyDescent="0.2">
      <c r="A953" s="233">
        <v>0</v>
      </c>
      <c r="B953" s="233">
        <v>9</v>
      </c>
      <c r="C953" s="233">
        <v>7</v>
      </c>
      <c r="D953" s="234">
        <v>3</v>
      </c>
      <c r="E953" s="234">
        <v>1</v>
      </c>
      <c r="G953" s="458" t="s">
        <v>18</v>
      </c>
      <c r="H953" s="459" t="s">
        <v>1238</v>
      </c>
      <c r="I953" s="460" t="s">
        <v>4490</v>
      </c>
      <c r="J953" s="461" t="s">
        <v>1258</v>
      </c>
      <c r="K953" s="462" t="s">
        <v>1129</v>
      </c>
      <c r="L953" s="463">
        <v>1</v>
      </c>
      <c r="M953" s="463">
        <v>3301.0299187769183</v>
      </c>
      <c r="N953" s="464">
        <v>3301.0299187769201</v>
      </c>
      <c r="O953" s="471" t="s">
        <v>3000</v>
      </c>
      <c r="P953" s="431" t="s">
        <v>6711</v>
      </c>
    </row>
    <row r="954" spans="1:16" ht="13.9" hidden="1" customHeight="1" outlineLevel="1" x14ac:dyDescent="0.2">
      <c r="A954" s="233">
        <v>0</v>
      </c>
      <c r="B954" s="233">
        <v>9</v>
      </c>
      <c r="C954" s="233">
        <v>8</v>
      </c>
      <c r="D954" s="234">
        <v>0</v>
      </c>
      <c r="E954" s="234">
        <v>1</v>
      </c>
      <c r="G954" s="443"/>
      <c r="H954" s="444" t="s">
        <v>38</v>
      </c>
      <c r="I954" s="445" t="s">
        <v>4491</v>
      </c>
      <c r="J954" s="446" t="s">
        <v>2763</v>
      </c>
      <c r="K954" s="447"/>
      <c r="L954" s="448"/>
      <c r="M954" s="448"/>
      <c r="N954" s="449">
        <v>5977.5606898403903</v>
      </c>
      <c r="O954" s="502"/>
      <c r="P954" s="435"/>
    </row>
    <row r="955" spans="1:16" ht="13.9" hidden="1" customHeight="1" outlineLevel="2" x14ac:dyDescent="0.2">
      <c r="A955" s="233">
        <v>0</v>
      </c>
      <c r="B955" s="233">
        <v>9</v>
      </c>
      <c r="C955" s="233">
        <v>8</v>
      </c>
      <c r="D955" s="234">
        <v>1</v>
      </c>
      <c r="E955" s="234">
        <v>0</v>
      </c>
      <c r="G955" s="474"/>
      <c r="H955" s="451" t="s">
        <v>1237</v>
      </c>
      <c r="I955" s="452" t="s">
        <v>4492</v>
      </c>
      <c r="J955" s="453" t="s">
        <v>2334</v>
      </c>
      <c r="K955" s="454"/>
      <c r="L955" s="455"/>
      <c r="M955" s="455"/>
      <c r="N955" s="456">
        <v>333.94387051577399</v>
      </c>
      <c r="O955" s="472"/>
      <c r="P955" s="430"/>
    </row>
    <row r="956" spans="1:16" ht="13.9" hidden="1" customHeight="1" outlineLevel="3" x14ac:dyDescent="0.2">
      <c r="A956" s="233">
        <v>0</v>
      </c>
      <c r="B956" s="233">
        <v>9</v>
      </c>
      <c r="C956" s="233">
        <v>8</v>
      </c>
      <c r="D956" s="234">
        <v>1</v>
      </c>
      <c r="E956" s="234">
        <v>1</v>
      </c>
      <c r="G956" s="458" t="s">
        <v>18</v>
      </c>
      <c r="H956" s="459" t="s">
        <v>1238</v>
      </c>
      <c r="I956" s="460" t="s">
        <v>4493</v>
      </c>
      <c r="J956" s="461" t="s">
        <v>2334</v>
      </c>
      <c r="K956" s="462" t="s">
        <v>1129</v>
      </c>
      <c r="L956" s="463">
        <v>1</v>
      </c>
      <c r="M956" s="463">
        <v>333.94387051577428</v>
      </c>
      <c r="N956" s="464">
        <v>333.94387051577399</v>
      </c>
      <c r="O956" s="471" t="s">
        <v>3000</v>
      </c>
      <c r="P956" s="431" t="s">
        <v>6711</v>
      </c>
    </row>
    <row r="957" spans="1:16" ht="13.9" hidden="1" customHeight="1" outlineLevel="2" x14ac:dyDescent="0.2">
      <c r="A957" s="233">
        <v>0</v>
      </c>
      <c r="B957" s="233">
        <v>9</v>
      </c>
      <c r="C957" s="233">
        <v>8</v>
      </c>
      <c r="D957" s="234">
        <v>2</v>
      </c>
      <c r="E957" s="234">
        <v>0</v>
      </c>
      <c r="G957" s="474"/>
      <c r="H957" s="451" t="s">
        <v>1237</v>
      </c>
      <c r="I957" s="452" t="s">
        <v>4494</v>
      </c>
      <c r="J957" s="453" t="s">
        <v>2755</v>
      </c>
      <c r="K957" s="454"/>
      <c r="L957" s="455"/>
      <c r="M957" s="455"/>
      <c r="N957" s="456">
        <v>3796.8968825799798</v>
      </c>
      <c r="O957" s="472"/>
      <c r="P957" s="430"/>
    </row>
    <row r="958" spans="1:16" ht="13.9" hidden="1" customHeight="1" outlineLevel="3" x14ac:dyDescent="0.2">
      <c r="A958" s="233">
        <v>0</v>
      </c>
      <c r="B958" s="233">
        <v>9</v>
      </c>
      <c r="C958" s="233">
        <v>8</v>
      </c>
      <c r="D958" s="234">
        <v>2</v>
      </c>
      <c r="E958" s="234">
        <v>1</v>
      </c>
      <c r="G958" s="458" t="s">
        <v>18</v>
      </c>
      <c r="H958" s="459" t="s">
        <v>1238</v>
      </c>
      <c r="I958" s="460" t="s">
        <v>4495</v>
      </c>
      <c r="J958" s="461" t="s">
        <v>2755</v>
      </c>
      <c r="K958" s="462" t="s">
        <v>1129</v>
      </c>
      <c r="L958" s="463">
        <v>1</v>
      </c>
      <c r="M958" s="463">
        <v>3796.8968825799784</v>
      </c>
      <c r="N958" s="464">
        <v>3796.8968825799798</v>
      </c>
      <c r="O958" s="471" t="s">
        <v>3000</v>
      </c>
      <c r="P958" s="431" t="s">
        <v>6711</v>
      </c>
    </row>
    <row r="959" spans="1:16" ht="13.9" hidden="1" customHeight="1" outlineLevel="2" x14ac:dyDescent="0.2">
      <c r="A959" s="233">
        <v>0</v>
      </c>
      <c r="B959" s="233">
        <v>9</v>
      </c>
      <c r="C959" s="233">
        <v>8</v>
      </c>
      <c r="D959" s="234">
        <v>3</v>
      </c>
      <c r="E959" s="234">
        <v>0</v>
      </c>
      <c r="G959" s="474"/>
      <c r="H959" s="451" t="s">
        <v>1237</v>
      </c>
      <c r="I959" s="452" t="s">
        <v>4496</v>
      </c>
      <c r="J959" s="453" t="s">
        <v>14</v>
      </c>
      <c r="K959" s="454"/>
      <c r="L959" s="455"/>
      <c r="M959" s="455"/>
      <c r="N959" s="456">
        <v>1846.7199367446401</v>
      </c>
      <c r="O959" s="472"/>
      <c r="P959" s="430"/>
    </row>
    <row r="960" spans="1:16" ht="13.9" hidden="1" customHeight="1" outlineLevel="3" x14ac:dyDescent="0.2">
      <c r="A960" s="233">
        <v>0</v>
      </c>
      <c r="B960" s="233">
        <v>9</v>
      </c>
      <c r="C960" s="233">
        <v>8</v>
      </c>
      <c r="D960" s="234">
        <v>3</v>
      </c>
      <c r="E960" s="234">
        <v>1</v>
      </c>
      <c r="G960" s="458" t="s">
        <v>18</v>
      </c>
      <c r="H960" s="459" t="s">
        <v>1238</v>
      </c>
      <c r="I960" s="460" t="s">
        <v>4497</v>
      </c>
      <c r="J960" s="461" t="s">
        <v>1258</v>
      </c>
      <c r="K960" s="462" t="s">
        <v>1129</v>
      </c>
      <c r="L960" s="463">
        <v>1</v>
      </c>
      <c r="M960" s="463">
        <v>1846.7199367446378</v>
      </c>
      <c r="N960" s="464">
        <v>1846.7199367446401</v>
      </c>
      <c r="O960" s="471" t="s">
        <v>3000</v>
      </c>
      <c r="P960" s="431" t="s">
        <v>6711</v>
      </c>
    </row>
    <row r="961" spans="1:16" ht="13.9" hidden="1" customHeight="1" outlineLevel="1" x14ac:dyDescent="0.2">
      <c r="A961" s="233">
        <v>0</v>
      </c>
      <c r="B961" s="233">
        <v>9</v>
      </c>
      <c r="C961" s="233">
        <v>9</v>
      </c>
      <c r="D961" s="234">
        <v>0</v>
      </c>
      <c r="E961" s="234">
        <v>1</v>
      </c>
      <c r="G961" s="443"/>
      <c r="H961" s="444" t="s">
        <v>38</v>
      </c>
      <c r="I961" s="445" t="s">
        <v>4498</v>
      </c>
      <c r="J961" s="446" t="s">
        <v>2764</v>
      </c>
      <c r="K961" s="447"/>
      <c r="L961" s="448"/>
      <c r="M961" s="448"/>
      <c r="N961" s="449">
        <v>5891.4923227798699</v>
      </c>
      <c r="O961" s="502"/>
      <c r="P961" s="435"/>
    </row>
    <row r="962" spans="1:16" ht="13.9" hidden="1" customHeight="1" outlineLevel="2" x14ac:dyDescent="0.2">
      <c r="A962" s="233">
        <v>0</v>
      </c>
      <c r="B962" s="233">
        <v>9</v>
      </c>
      <c r="C962" s="233">
        <v>9</v>
      </c>
      <c r="D962" s="234">
        <v>1</v>
      </c>
      <c r="E962" s="234">
        <v>0</v>
      </c>
      <c r="G962" s="474"/>
      <c r="H962" s="451" t="s">
        <v>1237</v>
      </c>
      <c r="I962" s="452" t="s">
        <v>4499</v>
      </c>
      <c r="J962" s="453" t="s">
        <v>2334</v>
      </c>
      <c r="K962" s="454"/>
      <c r="L962" s="455"/>
      <c r="M962" s="455"/>
      <c r="N962" s="456">
        <v>703.82788853100396</v>
      </c>
      <c r="O962" s="472"/>
      <c r="P962" s="430"/>
    </row>
    <row r="963" spans="1:16" ht="13.9" hidden="1" customHeight="1" outlineLevel="3" x14ac:dyDescent="0.2">
      <c r="A963" s="233">
        <v>0</v>
      </c>
      <c r="B963" s="233">
        <v>9</v>
      </c>
      <c r="C963" s="233">
        <v>9</v>
      </c>
      <c r="D963" s="234">
        <v>1</v>
      </c>
      <c r="E963" s="234">
        <v>1</v>
      </c>
      <c r="G963" s="458" t="s">
        <v>18</v>
      </c>
      <c r="H963" s="459" t="s">
        <v>1238</v>
      </c>
      <c r="I963" s="460" t="s">
        <v>4500</v>
      </c>
      <c r="J963" s="461" t="s">
        <v>2334</v>
      </c>
      <c r="K963" s="462" t="s">
        <v>1129</v>
      </c>
      <c r="L963" s="463">
        <v>1</v>
      </c>
      <c r="M963" s="463">
        <v>703.82788853100408</v>
      </c>
      <c r="N963" s="464">
        <v>703.82788853100396</v>
      </c>
      <c r="O963" s="471" t="s">
        <v>3000</v>
      </c>
      <c r="P963" s="431" t="s">
        <v>6711</v>
      </c>
    </row>
    <row r="964" spans="1:16" ht="13.9" hidden="1" customHeight="1" outlineLevel="2" x14ac:dyDescent="0.2">
      <c r="A964" s="233">
        <v>0</v>
      </c>
      <c r="B964" s="233">
        <v>9</v>
      </c>
      <c r="C964" s="233">
        <v>9</v>
      </c>
      <c r="D964" s="234">
        <v>2</v>
      </c>
      <c r="E964" s="234">
        <v>0</v>
      </c>
      <c r="G964" s="474"/>
      <c r="H964" s="451" t="s">
        <v>1237</v>
      </c>
      <c r="I964" s="452" t="s">
        <v>4501</v>
      </c>
      <c r="J964" s="453" t="s">
        <v>2755</v>
      </c>
      <c r="K964" s="454"/>
      <c r="L964" s="455"/>
      <c r="M964" s="455"/>
      <c r="N964" s="456">
        <v>3909.6041868008401</v>
      </c>
      <c r="O964" s="472"/>
      <c r="P964" s="430"/>
    </row>
    <row r="965" spans="1:16" ht="13.9" hidden="1" customHeight="1" outlineLevel="3" x14ac:dyDescent="0.2">
      <c r="A965" s="233">
        <v>0</v>
      </c>
      <c r="B965" s="233">
        <v>9</v>
      </c>
      <c r="C965" s="233">
        <v>9</v>
      </c>
      <c r="D965" s="234">
        <v>2</v>
      </c>
      <c r="E965" s="234">
        <v>1</v>
      </c>
      <c r="G965" s="458" t="s">
        <v>18</v>
      </c>
      <c r="H965" s="459" t="s">
        <v>1238</v>
      </c>
      <c r="I965" s="460" t="s">
        <v>4502</v>
      </c>
      <c r="J965" s="461" t="s">
        <v>2755</v>
      </c>
      <c r="K965" s="462" t="s">
        <v>1129</v>
      </c>
      <c r="L965" s="463">
        <v>1</v>
      </c>
      <c r="M965" s="463">
        <v>3909.6041868008401</v>
      </c>
      <c r="N965" s="464">
        <v>3909.6041868008401</v>
      </c>
      <c r="O965" s="471" t="s">
        <v>3000</v>
      </c>
      <c r="P965" s="431" t="s">
        <v>6711</v>
      </c>
    </row>
    <row r="966" spans="1:16" ht="13.9" hidden="1" customHeight="1" outlineLevel="2" x14ac:dyDescent="0.2">
      <c r="A966" s="233">
        <v>0</v>
      </c>
      <c r="B966" s="233">
        <v>9</v>
      </c>
      <c r="C966" s="233">
        <v>9</v>
      </c>
      <c r="D966" s="234">
        <v>3</v>
      </c>
      <c r="E966" s="234">
        <v>0</v>
      </c>
      <c r="G966" s="474"/>
      <c r="H966" s="451" t="s">
        <v>1237</v>
      </c>
      <c r="I966" s="452" t="s">
        <v>4503</v>
      </c>
      <c r="J966" s="453" t="s">
        <v>14</v>
      </c>
      <c r="K966" s="454"/>
      <c r="L966" s="455"/>
      <c r="M966" s="455"/>
      <c r="N966" s="456">
        <v>1278.0602474480199</v>
      </c>
      <c r="O966" s="472"/>
      <c r="P966" s="430"/>
    </row>
    <row r="967" spans="1:16" ht="13.9" hidden="1" customHeight="1" outlineLevel="3" x14ac:dyDescent="0.2">
      <c r="A967" s="233">
        <v>0</v>
      </c>
      <c r="B967" s="233">
        <v>9</v>
      </c>
      <c r="C967" s="233">
        <v>9</v>
      </c>
      <c r="D967" s="234">
        <v>3</v>
      </c>
      <c r="E967" s="234">
        <v>1</v>
      </c>
      <c r="G967" s="458" t="s">
        <v>18</v>
      </c>
      <c r="H967" s="459" t="s">
        <v>1238</v>
      </c>
      <c r="I967" s="460" t="s">
        <v>4504</v>
      </c>
      <c r="J967" s="461" t="s">
        <v>1258</v>
      </c>
      <c r="K967" s="462" t="s">
        <v>1129</v>
      </c>
      <c r="L967" s="463">
        <v>1</v>
      </c>
      <c r="M967" s="463">
        <v>1278.0602474480233</v>
      </c>
      <c r="N967" s="464">
        <v>1278.0602474480199</v>
      </c>
      <c r="O967" s="471" t="s">
        <v>3000</v>
      </c>
      <c r="P967" s="431" t="s">
        <v>6711</v>
      </c>
    </row>
    <row r="968" spans="1:16" ht="13.9" hidden="1" customHeight="1" outlineLevel="1" x14ac:dyDescent="0.2">
      <c r="A968" s="233">
        <v>0</v>
      </c>
      <c r="B968" s="233">
        <v>9</v>
      </c>
      <c r="C968" s="233">
        <v>10</v>
      </c>
      <c r="D968" s="234">
        <v>0</v>
      </c>
      <c r="E968" s="234">
        <v>1</v>
      </c>
      <c r="G968" s="443"/>
      <c r="H968" s="444" t="s">
        <v>38</v>
      </c>
      <c r="I968" s="445" t="s">
        <v>4505</v>
      </c>
      <c r="J968" s="446" t="s">
        <v>2765</v>
      </c>
      <c r="K968" s="447"/>
      <c r="L968" s="448"/>
      <c r="M968" s="448"/>
      <c r="N968" s="449">
        <v>48047.017865752103</v>
      </c>
      <c r="O968" s="502"/>
      <c r="P968" s="435"/>
    </row>
    <row r="969" spans="1:16" ht="13.9" hidden="1" customHeight="1" outlineLevel="2" x14ac:dyDescent="0.2">
      <c r="A969" s="233">
        <v>0</v>
      </c>
      <c r="B969" s="233">
        <v>9</v>
      </c>
      <c r="C969" s="233">
        <v>10</v>
      </c>
      <c r="D969" s="234">
        <v>1</v>
      </c>
      <c r="E969" s="234">
        <v>0</v>
      </c>
      <c r="G969" s="474"/>
      <c r="H969" s="451" t="s">
        <v>1237</v>
      </c>
      <c r="I969" s="452" t="s">
        <v>4506</v>
      </c>
      <c r="J969" s="453" t="s">
        <v>2334</v>
      </c>
      <c r="K969" s="454"/>
      <c r="L969" s="455"/>
      <c r="M969" s="455"/>
      <c r="N969" s="456">
        <v>5982.5370525135304</v>
      </c>
      <c r="O969" s="472"/>
      <c r="P969" s="430"/>
    </row>
    <row r="970" spans="1:16" ht="13.9" hidden="1" customHeight="1" outlineLevel="3" x14ac:dyDescent="0.2">
      <c r="A970" s="233">
        <v>0</v>
      </c>
      <c r="B970" s="233">
        <v>9</v>
      </c>
      <c r="C970" s="233">
        <v>10</v>
      </c>
      <c r="D970" s="234">
        <v>1</v>
      </c>
      <c r="E970" s="234">
        <v>1</v>
      </c>
      <c r="G970" s="458" t="s">
        <v>18</v>
      </c>
      <c r="H970" s="459" t="s">
        <v>1238</v>
      </c>
      <c r="I970" s="460" t="s">
        <v>4507</v>
      </c>
      <c r="J970" s="461" t="s">
        <v>2334</v>
      </c>
      <c r="K970" s="462" t="s">
        <v>1129</v>
      </c>
      <c r="L970" s="463">
        <v>1</v>
      </c>
      <c r="M970" s="463">
        <v>5982.5370525135349</v>
      </c>
      <c r="N970" s="464">
        <v>5982.5370525135304</v>
      </c>
      <c r="O970" s="471" t="s">
        <v>3000</v>
      </c>
      <c r="P970" s="431" t="s">
        <v>6711</v>
      </c>
    </row>
    <row r="971" spans="1:16" ht="13.9" hidden="1" customHeight="1" outlineLevel="2" x14ac:dyDescent="0.2">
      <c r="A971" s="233">
        <v>0</v>
      </c>
      <c r="B971" s="233">
        <v>9</v>
      </c>
      <c r="C971" s="233">
        <v>10</v>
      </c>
      <c r="D971" s="234">
        <v>2</v>
      </c>
      <c r="E971" s="234">
        <v>0</v>
      </c>
      <c r="G971" s="474"/>
      <c r="H971" s="451" t="s">
        <v>1237</v>
      </c>
      <c r="I971" s="452" t="s">
        <v>4508</v>
      </c>
      <c r="J971" s="453" t="s">
        <v>2755</v>
      </c>
      <c r="K971" s="454"/>
      <c r="L971" s="455"/>
      <c r="M971" s="455"/>
      <c r="N971" s="456">
        <v>33086.360020758497</v>
      </c>
      <c r="O971" s="472"/>
      <c r="P971" s="430"/>
    </row>
    <row r="972" spans="1:16" ht="13.9" hidden="1" customHeight="1" outlineLevel="3" x14ac:dyDescent="0.2">
      <c r="A972" s="233">
        <v>0</v>
      </c>
      <c r="B972" s="233">
        <v>9</v>
      </c>
      <c r="C972" s="233">
        <v>10</v>
      </c>
      <c r="D972" s="234">
        <v>2</v>
      </c>
      <c r="E972" s="234">
        <v>1</v>
      </c>
      <c r="G972" s="458" t="s">
        <v>18</v>
      </c>
      <c r="H972" s="459" t="s">
        <v>1238</v>
      </c>
      <c r="I972" s="460" t="s">
        <v>4509</v>
      </c>
      <c r="J972" s="461" t="s">
        <v>2755</v>
      </c>
      <c r="K972" s="462" t="s">
        <v>1129</v>
      </c>
      <c r="L972" s="463">
        <v>1</v>
      </c>
      <c r="M972" s="463">
        <v>33086.360020758475</v>
      </c>
      <c r="N972" s="464">
        <v>33086.360020758497</v>
      </c>
      <c r="O972" s="471" t="s">
        <v>3000</v>
      </c>
      <c r="P972" s="431" t="s">
        <v>6711</v>
      </c>
    </row>
    <row r="973" spans="1:16" ht="13.9" hidden="1" customHeight="1" outlineLevel="2" x14ac:dyDescent="0.2">
      <c r="A973" s="233">
        <v>0</v>
      </c>
      <c r="B973" s="233">
        <v>9</v>
      </c>
      <c r="C973" s="233">
        <v>10</v>
      </c>
      <c r="D973" s="234">
        <v>3</v>
      </c>
      <c r="E973" s="234">
        <v>0</v>
      </c>
      <c r="G973" s="474"/>
      <c r="H973" s="451" t="s">
        <v>1237</v>
      </c>
      <c r="I973" s="452" t="s">
        <v>4510</v>
      </c>
      <c r="J973" s="453" t="s">
        <v>14</v>
      </c>
      <c r="K973" s="454"/>
      <c r="L973" s="455"/>
      <c r="M973" s="455"/>
      <c r="N973" s="456">
        <v>8978.1207924800692</v>
      </c>
      <c r="O973" s="472"/>
      <c r="P973" s="430"/>
    </row>
    <row r="974" spans="1:16" ht="13.9" hidden="1" customHeight="1" outlineLevel="3" x14ac:dyDescent="0.2">
      <c r="A974" s="233">
        <v>0</v>
      </c>
      <c r="B974" s="233">
        <v>9</v>
      </c>
      <c r="C974" s="233">
        <v>10</v>
      </c>
      <c r="D974" s="234">
        <v>3</v>
      </c>
      <c r="E974" s="234">
        <v>1</v>
      </c>
      <c r="G974" s="458" t="s">
        <v>18</v>
      </c>
      <c r="H974" s="459" t="s">
        <v>1238</v>
      </c>
      <c r="I974" s="460" t="s">
        <v>4511</v>
      </c>
      <c r="J974" s="461" t="s">
        <v>1258</v>
      </c>
      <c r="K974" s="462" t="s">
        <v>1129</v>
      </c>
      <c r="L974" s="463">
        <v>1</v>
      </c>
      <c r="M974" s="463">
        <v>8978.120792480071</v>
      </c>
      <c r="N974" s="464">
        <v>8978.1207924800692</v>
      </c>
      <c r="O974" s="471" t="s">
        <v>3000</v>
      </c>
      <c r="P974" s="431" t="s">
        <v>6711</v>
      </c>
    </row>
    <row r="975" spans="1:16" ht="13.9" hidden="1" customHeight="1" outlineLevel="1" x14ac:dyDescent="0.2">
      <c r="A975" s="233">
        <v>0</v>
      </c>
      <c r="B975" s="233">
        <v>9</v>
      </c>
      <c r="C975" s="233">
        <v>11</v>
      </c>
      <c r="D975" s="234">
        <v>0</v>
      </c>
      <c r="E975" s="234">
        <v>1</v>
      </c>
      <c r="G975" s="443"/>
      <c r="H975" s="444" t="s">
        <v>38</v>
      </c>
      <c r="I975" s="445" t="s">
        <v>4512</v>
      </c>
      <c r="J975" s="446" t="s">
        <v>2766</v>
      </c>
      <c r="K975" s="447"/>
      <c r="L975" s="448"/>
      <c r="M975" s="448"/>
      <c r="N975" s="449">
        <v>102824.42640481501</v>
      </c>
      <c r="O975" s="502"/>
      <c r="P975" s="435"/>
    </row>
    <row r="976" spans="1:16" ht="13.9" hidden="1" customHeight="1" outlineLevel="2" x14ac:dyDescent="0.2">
      <c r="A976" s="233">
        <v>0</v>
      </c>
      <c r="B976" s="233">
        <v>9</v>
      </c>
      <c r="C976" s="233">
        <v>11</v>
      </c>
      <c r="D976" s="234">
        <v>1</v>
      </c>
      <c r="E976" s="234">
        <v>0</v>
      </c>
      <c r="G976" s="474"/>
      <c r="H976" s="451" t="s">
        <v>1237</v>
      </c>
      <c r="I976" s="452" t="s">
        <v>4513</v>
      </c>
      <c r="J976" s="453" t="s">
        <v>2334</v>
      </c>
      <c r="K976" s="454"/>
      <c r="L976" s="455"/>
      <c r="M976" s="455"/>
      <c r="N976" s="456">
        <v>7390.1928295755397</v>
      </c>
      <c r="O976" s="472"/>
      <c r="P976" s="430"/>
    </row>
    <row r="977" spans="1:16" ht="13.9" hidden="1" customHeight="1" outlineLevel="3" x14ac:dyDescent="0.2">
      <c r="A977" s="233">
        <v>0</v>
      </c>
      <c r="B977" s="233">
        <v>9</v>
      </c>
      <c r="C977" s="233">
        <v>11</v>
      </c>
      <c r="D977" s="234">
        <v>1</v>
      </c>
      <c r="E977" s="234">
        <v>1</v>
      </c>
      <c r="G977" s="458" t="s">
        <v>18</v>
      </c>
      <c r="H977" s="459" t="s">
        <v>1238</v>
      </c>
      <c r="I977" s="460" t="s">
        <v>4514</v>
      </c>
      <c r="J977" s="461" t="s">
        <v>2334</v>
      </c>
      <c r="K977" s="462" t="s">
        <v>1129</v>
      </c>
      <c r="L977" s="463">
        <v>1</v>
      </c>
      <c r="M977" s="463">
        <v>7390.1928295755424</v>
      </c>
      <c r="N977" s="464">
        <v>7390.1928295755397</v>
      </c>
      <c r="O977" s="471" t="s">
        <v>3000</v>
      </c>
      <c r="P977" s="431" t="s">
        <v>6711</v>
      </c>
    </row>
    <row r="978" spans="1:16" ht="13.9" hidden="1" customHeight="1" outlineLevel="2" x14ac:dyDescent="0.2">
      <c r="A978" s="233">
        <v>0</v>
      </c>
      <c r="B978" s="233">
        <v>9</v>
      </c>
      <c r="C978" s="233">
        <v>11</v>
      </c>
      <c r="D978" s="234">
        <v>2</v>
      </c>
      <c r="E978" s="234">
        <v>0</v>
      </c>
      <c r="G978" s="474"/>
      <c r="H978" s="451" t="s">
        <v>1237</v>
      </c>
      <c r="I978" s="452" t="s">
        <v>4515</v>
      </c>
      <c r="J978" s="453" t="s">
        <v>2755</v>
      </c>
      <c r="K978" s="454"/>
      <c r="L978" s="455"/>
      <c r="M978" s="455"/>
      <c r="N978" s="456">
        <v>71854.238391973995</v>
      </c>
      <c r="O978" s="472"/>
      <c r="P978" s="430"/>
    </row>
    <row r="979" spans="1:16" ht="13.9" hidden="1" customHeight="1" outlineLevel="3" x14ac:dyDescent="0.2">
      <c r="A979" s="233">
        <v>0</v>
      </c>
      <c r="B979" s="233">
        <v>9</v>
      </c>
      <c r="C979" s="233">
        <v>11</v>
      </c>
      <c r="D979" s="234">
        <v>2</v>
      </c>
      <c r="E979" s="234">
        <v>1</v>
      </c>
      <c r="G979" s="458" t="s">
        <v>18</v>
      </c>
      <c r="H979" s="459" t="s">
        <v>1238</v>
      </c>
      <c r="I979" s="460" t="s">
        <v>4516</v>
      </c>
      <c r="J979" s="461" t="s">
        <v>2755</v>
      </c>
      <c r="K979" s="462" t="s">
        <v>1129</v>
      </c>
      <c r="L979" s="463">
        <v>1</v>
      </c>
      <c r="M979" s="463">
        <v>71854.238391973951</v>
      </c>
      <c r="N979" s="464">
        <v>71854.238391973995</v>
      </c>
      <c r="O979" s="471" t="s">
        <v>3000</v>
      </c>
      <c r="P979" s="431" t="s">
        <v>6711</v>
      </c>
    </row>
    <row r="980" spans="1:16" ht="13.9" hidden="1" customHeight="1" outlineLevel="2" x14ac:dyDescent="0.2">
      <c r="A980" s="233">
        <v>0</v>
      </c>
      <c r="B980" s="233">
        <v>9</v>
      </c>
      <c r="C980" s="233">
        <v>11</v>
      </c>
      <c r="D980" s="234">
        <v>3</v>
      </c>
      <c r="E980" s="234">
        <v>0</v>
      </c>
      <c r="G980" s="474"/>
      <c r="H980" s="451" t="s">
        <v>1237</v>
      </c>
      <c r="I980" s="452" t="s">
        <v>4517</v>
      </c>
      <c r="J980" s="453" t="s">
        <v>14</v>
      </c>
      <c r="K980" s="454"/>
      <c r="L980" s="455"/>
      <c r="M980" s="455"/>
      <c r="N980" s="456">
        <v>23579.995183265499</v>
      </c>
      <c r="O980" s="472"/>
      <c r="P980" s="430"/>
    </row>
    <row r="981" spans="1:16" ht="13.9" hidden="1" customHeight="1" outlineLevel="3" x14ac:dyDescent="0.2">
      <c r="A981" s="233">
        <v>0</v>
      </c>
      <c r="B981" s="233">
        <v>9</v>
      </c>
      <c r="C981" s="233">
        <v>11</v>
      </c>
      <c r="D981" s="234">
        <v>3</v>
      </c>
      <c r="E981" s="234">
        <v>1</v>
      </c>
      <c r="G981" s="458" t="s">
        <v>18</v>
      </c>
      <c r="H981" s="459" t="s">
        <v>1238</v>
      </c>
      <c r="I981" s="460" t="s">
        <v>4518</v>
      </c>
      <c r="J981" s="461" t="s">
        <v>1258</v>
      </c>
      <c r="K981" s="462" t="s">
        <v>1129</v>
      </c>
      <c r="L981" s="463">
        <v>1</v>
      </c>
      <c r="M981" s="463">
        <v>23579.995183265499</v>
      </c>
      <c r="N981" s="464">
        <v>23579.995183265499</v>
      </c>
      <c r="O981" s="471" t="s">
        <v>3000</v>
      </c>
      <c r="P981" s="431" t="s">
        <v>6711</v>
      </c>
    </row>
    <row r="982" spans="1:16" ht="13.9" hidden="1" customHeight="1" outlineLevel="1" x14ac:dyDescent="0.2">
      <c r="A982" s="233">
        <v>0</v>
      </c>
      <c r="B982" s="233">
        <v>9</v>
      </c>
      <c r="C982" s="233">
        <v>12</v>
      </c>
      <c r="D982" s="234">
        <v>0</v>
      </c>
      <c r="E982" s="234">
        <v>1</v>
      </c>
      <c r="G982" s="443"/>
      <c r="H982" s="444" t="s">
        <v>38</v>
      </c>
      <c r="I982" s="445" t="s">
        <v>4519</v>
      </c>
      <c r="J982" s="446" t="s">
        <v>2767</v>
      </c>
      <c r="K982" s="447"/>
      <c r="L982" s="448"/>
      <c r="M982" s="448"/>
      <c r="N982" s="449">
        <v>1612.90082464391</v>
      </c>
      <c r="O982" s="502"/>
      <c r="P982" s="435"/>
    </row>
    <row r="983" spans="1:16" ht="13.9" hidden="1" customHeight="1" outlineLevel="2" x14ac:dyDescent="0.2">
      <c r="A983" s="233">
        <v>0</v>
      </c>
      <c r="B983" s="233">
        <v>9</v>
      </c>
      <c r="C983" s="233">
        <v>12</v>
      </c>
      <c r="D983" s="234">
        <v>1</v>
      </c>
      <c r="E983" s="234">
        <v>0</v>
      </c>
      <c r="G983" s="474"/>
      <c r="H983" s="451" t="s">
        <v>1237</v>
      </c>
      <c r="I983" s="452" t="s">
        <v>4520</v>
      </c>
      <c r="J983" s="453" t="s">
        <v>2755</v>
      </c>
      <c r="K983" s="454"/>
      <c r="L983" s="455"/>
      <c r="M983" s="455"/>
      <c r="N983" s="456">
        <v>490.04391115507599</v>
      </c>
      <c r="O983" s="472"/>
      <c r="P983" s="430"/>
    </row>
    <row r="984" spans="1:16" ht="13.9" hidden="1" customHeight="1" outlineLevel="3" x14ac:dyDescent="0.2">
      <c r="A984" s="233">
        <v>0</v>
      </c>
      <c r="B984" s="233">
        <v>9</v>
      </c>
      <c r="C984" s="233">
        <v>12</v>
      </c>
      <c r="D984" s="234">
        <v>1</v>
      </c>
      <c r="E984" s="234">
        <v>1</v>
      </c>
      <c r="G984" s="458" t="s">
        <v>18</v>
      </c>
      <c r="H984" s="459" t="s">
        <v>1238</v>
      </c>
      <c r="I984" s="460" t="s">
        <v>4521</v>
      </c>
      <c r="J984" s="461" t="s">
        <v>2755</v>
      </c>
      <c r="K984" s="462" t="s">
        <v>1129</v>
      </c>
      <c r="L984" s="463">
        <v>1</v>
      </c>
      <c r="M984" s="463">
        <v>490.0439111550761</v>
      </c>
      <c r="N984" s="464">
        <v>490.04391115507599</v>
      </c>
      <c r="O984" s="471" t="s">
        <v>3000</v>
      </c>
      <c r="P984" s="431" t="s">
        <v>6711</v>
      </c>
    </row>
    <row r="985" spans="1:16" ht="13.9" hidden="1" customHeight="1" outlineLevel="2" x14ac:dyDescent="0.2">
      <c r="A985" s="233">
        <v>0</v>
      </c>
      <c r="B985" s="233">
        <v>9</v>
      </c>
      <c r="C985" s="233">
        <v>12</v>
      </c>
      <c r="D985" s="234">
        <v>2</v>
      </c>
      <c r="E985" s="234">
        <v>0</v>
      </c>
      <c r="G985" s="474"/>
      <c r="H985" s="451" t="s">
        <v>1237</v>
      </c>
      <c r="I985" s="452" t="s">
        <v>4522</v>
      </c>
      <c r="J985" s="453" t="s">
        <v>14</v>
      </c>
      <c r="K985" s="454"/>
      <c r="L985" s="455"/>
      <c r="M985" s="455"/>
      <c r="N985" s="456">
        <v>1122.8569134888301</v>
      </c>
      <c r="O985" s="472"/>
      <c r="P985" s="430"/>
    </row>
    <row r="986" spans="1:16" ht="13.9" hidden="1" customHeight="1" outlineLevel="3" x14ac:dyDescent="0.2">
      <c r="A986" s="233">
        <v>0</v>
      </c>
      <c r="B986" s="233">
        <v>9</v>
      </c>
      <c r="C986" s="233">
        <v>12</v>
      </c>
      <c r="D986" s="234">
        <v>2</v>
      </c>
      <c r="E986" s="234">
        <v>1</v>
      </c>
      <c r="G986" s="458" t="s">
        <v>18</v>
      </c>
      <c r="H986" s="459" t="s">
        <v>1238</v>
      </c>
      <c r="I986" s="460" t="s">
        <v>4523</v>
      </c>
      <c r="J986" s="461" t="s">
        <v>1258</v>
      </c>
      <c r="K986" s="462" t="s">
        <v>1129</v>
      </c>
      <c r="L986" s="463">
        <v>1</v>
      </c>
      <c r="M986" s="463">
        <v>1122.8569134888332</v>
      </c>
      <c r="N986" s="464">
        <v>1122.8569134888301</v>
      </c>
      <c r="O986" s="471" t="s">
        <v>3000</v>
      </c>
      <c r="P986" s="431" t="s">
        <v>6711</v>
      </c>
    </row>
    <row r="987" spans="1:16" ht="13.9" hidden="1" customHeight="1" outlineLevel="1" x14ac:dyDescent="0.2">
      <c r="A987" s="233">
        <v>0</v>
      </c>
      <c r="B987" s="233">
        <v>9</v>
      </c>
      <c r="C987" s="233">
        <v>13</v>
      </c>
      <c r="D987" s="234">
        <v>0</v>
      </c>
      <c r="E987" s="234">
        <v>1</v>
      </c>
      <c r="G987" s="443"/>
      <c r="H987" s="444" t="s">
        <v>38</v>
      </c>
      <c r="I987" s="445" t="s">
        <v>4524</v>
      </c>
      <c r="J987" s="446" t="s">
        <v>2768</v>
      </c>
      <c r="K987" s="447"/>
      <c r="L987" s="448"/>
      <c r="M987" s="448"/>
      <c r="N987" s="449">
        <v>5893.8765023146198</v>
      </c>
      <c r="O987" s="502"/>
      <c r="P987" s="435"/>
    </row>
    <row r="988" spans="1:16" ht="13.9" hidden="1" customHeight="1" outlineLevel="2" x14ac:dyDescent="0.2">
      <c r="A988" s="233">
        <v>0</v>
      </c>
      <c r="B988" s="233">
        <v>9</v>
      </c>
      <c r="C988" s="233">
        <v>13</v>
      </c>
      <c r="D988" s="234">
        <v>1</v>
      </c>
      <c r="E988" s="234">
        <v>0</v>
      </c>
      <c r="G988" s="474"/>
      <c r="H988" s="451" t="s">
        <v>1237</v>
      </c>
      <c r="I988" s="452" t="s">
        <v>4525</v>
      </c>
      <c r="J988" s="453" t="s">
        <v>2334</v>
      </c>
      <c r="K988" s="454"/>
      <c r="L988" s="455"/>
      <c r="M988" s="455"/>
      <c r="N988" s="456">
        <v>351.91394426550198</v>
      </c>
      <c r="O988" s="472"/>
      <c r="P988" s="430"/>
    </row>
    <row r="989" spans="1:16" ht="13.9" hidden="1" customHeight="1" outlineLevel="3" x14ac:dyDescent="0.2">
      <c r="A989" s="233">
        <v>0</v>
      </c>
      <c r="B989" s="233">
        <v>9</v>
      </c>
      <c r="C989" s="233">
        <v>13</v>
      </c>
      <c r="D989" s="234">
        <v>1</v>
      </c>
      <c r="E989" s="234">
        <v>1</v>
      </c>
      <c r="G989" s="458" t="s">
        <v>18</v>
      </c>
      <c r="H989" s="459" t="s">
        <v>1238</v>
      </c>
      <c r="I989" s="460" t="s">
        <v>4526</v>
      </c>
      <c r="J989" s="461" t="s">
        <v>2334</v>
      </c>
      <c r="K989" s="462" t="s">
        <v>1129</v>
      </c>
      <c r="L989" s="463">
        <v>1</v>
      </c>
      <c r="M989" s="463">
        <v>351.91394426550204</v>
      </c>
      <c r="N989" s="464">
        <v>351.91394426550198</v>
      </c>
      <c r="O989" s="471" t="s">
        <v>3000</v>
      </c>
      <c r="P989" s="431" t="s">
        <v>6711</v>
      </c>
    </row>
    <row r="990" spans="1:16" ht="13.9" hidden="1" customHeight="1" outlineLevel="2" x14ac:dyDescent="0.2">
      <c r="A990" s="233">
        <v>0</v>
      </c>
      <c r="B990" s="233">
        <v>9</v>
      </c>
      <c r="C990" s="233">
        <v>13</v>
      </c>
      <c r="D990" s="234">
        <v>2</v>
      </c>
      <c r="E990" s="234">
        <v>0</v>
      </c>
      <c r="G990" s="474"/>
      <c r="H990" s="451" t="s">
        <v>1237</v>
      </c>
      <c r="I990" s="452" t="s">
        <v>4527</v>
      </c>
      <c r="J990" s="453" t="s">
        <v>2755</v>
      </c>
      <c r="K990" s="454"/>
      <c r="L990" s="455"/>
      <c r="M990" s="455"/>
      <c r="N990" s="456">
        <v>4458.3503388716999</v>
      </c>
      <c r="O990" s="472"/>
      <c r="P990" s="430"/>
    </row>
    <row r="991" spans="1:16" ht="13.9" hidden="1" customHeight="1" outlineLevel="3" x14ac:dyDescent="0.2">
      <c r="A991" s="233">
        <v>0</v>
      </c>
      <c r="B991" s="233">
        <v>9</v>
      </c>
      <c r="C991" s="233">
        <v>13</v>
      </c>
      <c r="D991" s="234">
        <v>2</v>
      </c>
      <c r="E991" s="234">
        <v>1</v>
      </c>
      <c r="G991" s="458" t="s">
        <v>18</v>
      </c>
      <c r="H991" s="459" t="s">
        <v>1238</v>
      </c>
      <c r="I991" s="460" t="s">
        <v>4528</v>
      </c>
      <c r="J991" s="461" t="s">
        <v>2755</v>
      </c>
      <c r="K991" s="462" t="s">
        <v>1129</v>
      </c>
      <c r="L991" s="463">
        <v>1</v>
      </c>
      <c r="M991" s="463">
        <v>4458.3503388716954</v>
      </c>
      <c r="N991" s="464">
        <v>4458.3503388716999</v>
      </c>
      <c r="O991" s="471" t="s">
        <v>3000</v>
      </c>
      <c r="P991" s="431" t="s">
        <v>6711</v>
      </c>
    </row>
    <row r="992" spans="1:16" ht="13.9" hidden="1" customHeight="1" outlineLevel="2" x14ac:dyDescent="0.2">
      <c r="A992" s="233">
        <v>0</v>
      </c>
      <c r="B992" s="233">
        <v>9</v>
      </c>
      <c r="C992" s="233">
        <v>13</v>
      </c>
      <c r="D992" s="234">
        <v>3</v>
      </c>
      <c r="E992" s="234">
        <v>0</v>
      </c>
      <c r="G992" s="474"/>
      <c r="H992" s="451" t="s">
        <v>1237</v>
      </c>
      <c r="I992" s="452" t="s">
        <v>4529</v>
      </c>
      <c r="J992" s="453" t="s">
        <v>14</v>
      </c>
      <c r="K992" s="454"/>
      <c r="L992" s="455"/>
      <c r="M992" s="455"/>
      <c r="N992" s="456">
        <v>1083.61221917742</v>
      </c>
      <c r="O992" s="472"/>
      <c r="P992" s="430"/>
    </row>
    <row r="993" spans="1:16" ht="13.9" hidden="1" customHeight="1" outlineLevel="3" x14ac:dyDescent="0.2">
      <c r="A993" s="233">
        <v>0</v>
      </c>
      <c r="B993" s="233">
        <v>9</v>
      </c>
      <c r="C993" s="233">
        <v>13</v>
      </c>
      <c r="D993" s="234">
        <v>3</v>
      </c>
      <c r="E993" s="234">
        <v>1</v>
      </c>
      <c r="G993" s="458" t="s">
        <v>18</v>
      </c>
      <c r="H993" s="459" t="s">
        <v>1238</v>
      </c>
      <c r="I993" s="460" t="s">
        <v>4530</v>
      </c>
      <c r="J993" s="461" t="s">
        <v>1258</v>
      </c>
      <c r="K993" s="462" t="s">
        <v>1129</v>
      </c>
      <c r="L993" s="463">
        <v>1</v>
      </c>
      <c r="M993" s="463">
        <v>1083.6122191774173</v>
      </c>
      <c r="N993" s="464">
        <v>1083.61221917742</v>
      </c>
      <c r="O993" s="471" t="s">
        <v>3000</v>
      </c>
      <c r="P993" s="431" t="s">
        <v>6711</v>
      </c>
    </row>
    <row r="994" spans="1:16" ht="13.9" hidden="1" customHeight="1" outlineLevel="1" x14ac:dyDescent="0.2">
      <c r="A994" s="233">
        <v>0</v>
      </c>
      <c r="B994" s="233">
        <v>9</v>
      </c>
      <c r="C994" s="233">
        <v>14</v>
      </c>
      <c r="D994" s="234">
        <v>0</v>
      </c>
      <c r="E994" s="234">
        <v>1</v>
      </c>
      <c r="G994" s="443"/>
      <c r="H994" s="444" t="s">
        <v>38</v>
      </c>
      <c r="I994" s="445" t="s">
        <v>4531</v>
      </c>
      <c r="J994" s="446" t="s">
        <v>2769</v>
      </c>
      <c r="K994" s="447"/>
      <c r="L994" s="448"/>
      <c r="M994" s="448"/>
      <c r="N994" s="449">
        <v>1111.33325427872</v>
      </c>
      <c r="O994" s="502"/>
      <c r="P994" s="435"/>
    </row>
    <row r="995" spans="1:16" ht="13.9" hidden="1" customHeight="1" outlineLevel="2" x14ac:dyDescent="0.2">
      <c r="A995" s="233">
        <v>0</v>
      </c>
      <c r="B995" s="233">
        <v>9</v>
      </c>
      <c r="C995" s="233">
        <v>14</v>
      </c>
      <c r="D995" s="234">
        <v>1</v>
      </c>
      <c r="E995" s="234">
        <v>0</v>
      </c>
      <c r="G995" s="474"/>
      <c r="H995" s="451" t="s">
        <v>1237</v>
      </c>
      <c r="I995" s="452" t="s">
        <v>4532</v>
      </c>
      <c r="J995" s="453" t="s">
        <v>2755</v>
      </c>
      <c r="K995" s="454"/>
      <c r="L995" s="455"/>
      <c r="M995" s="455"/>
      <c r="N995" s="456">
        <v>80.096612052258806</v>
      </c>
      <c r="O995" s="472"/>
      <c r="P995" s="430"/>
    </row>
    <row r="996" spans="1:16" ht="13.9" hidden="1" customHeight="1" outlineLevel="3" x14ac:dyDescent="0.2">
      <c r="A996" s="233">
        <v>0</v>
      </c>
      <c r="B996" s="233">
        <v>9</v>
      </c>
      <c r="C996" s="233">
        <v>14</v>
      </c>
      <c r="D996" s="234">
        <v>1</v>
      </c>
      <c r="E996" s="234">
        <v>1</v>
      </c>
      <c r="G996" s="458" t="s">
        <v>18</v>
      </c>
      <c r="H996" s="459" t="s">
        <v>1238</v>
      </c>
      <c r="I996" s="460" t="s">
        <v>4533</v>
      </c>
      <c r="J996" s="461" t="s">
        <v>2755</v>
      </c>
      <c r="K996" s="462" t="s">
        <v>1129</v>
      </c>
      <c r="L996" s="463">
        <v>1</v>
      </c>
      <c r="M996" s="463">
        <v>80.096612052258791</v>
      </c>
      <c r="N996" s="464">
        <v>80.096612052258806</v>
      </c>
      <c r="O996" s="471" t="s">
        <v>3000</v>
      </c>
      <c r="P996" s="431" t="s">
        <v>6711</v>
      </c>
    </row>
    <row r="997" spans="1:16" ht="13.9" hidden="1" customHeight="1" outlineLevel="2" x14ac:dyDescent="0.2">
      <c r="A997" s="233">
        <v>0</v>
      </c>
      <c r="B997" s="233">
        <v>9</v>
      </c>
      <c r="C997" s="233">
        <v>14</v>
      </c>
      <c r="D997" s="234">
        <v>2</v>
      </c>
      <c r="E997" s="234">
        <v>0</v>
      </c>
      <c r="G997" s="474"/>
      <c r="H997" s="451" t="s">
        <v>1237</v>
      </c>
      <c r="I997" s="452" t="s">
        <v>4534</v>
      </c>
      <c r="J997" s="453" t="s">
        <v>14</v>
      </c>
      <c r="K997" s="454"/>
      <c r="L997" s="455"/>
      <c r="M997" s="455"/>
      <c r="N997" s="456">
        <v>1031.2366422264599</v>
      </c>
      <c r="O997" s="472"/>
      <c r="P997" s="430"/>
    </row>
    <row r="998" spans="1:16" ht="13.9" hidden="1" customHeight="1" outlineLevel="3" x14ac:dyDescent="0.2">
      <c r="A998" s="233">
        <v>0</v>
      </c>
      <c r="B998" s="233">
        <v>9</v>
      </c>
      <c r="C998" s="233">
        <v>14</v>
      </c>
      <c r="D998" s="234">
        <v>2</v>
      </c>
      <c r="E998" s="234">
        <v>1</v>
      </c>
      <c r="G998" s="458" t="s">
        <v>18</v>
      </c>
      <c r="H998" s="459" t="s">
        <v>1238</v>
      </c>
      <c r="I998" s="460" t="s">
        <v>4535</v>
      </c>
      <c r="J998" s="461" t="s">
        <v>1258</v>
      </c>
      <c r="K998" s="462" t="s">
        <v>1129</v>
      </c>
      <c r="L998" s="463">
        <v>1</v>
      </c>
      <c r="M998" s="463">
        <v>1031.2366422264606</v>
      </c>
      <c r="N998" s="464">
        <v>1031.2366422264599</v>
      </c>
      <c r="O998" s="471" t="s">
        <v>3000</v>
      </c>
      <c r="P998" s="431" t="s">
        <v>6711</v>
      </c>
    </row>
    <row r="999" spans="1:16" ht="13.9" customHeight="1" collapsed="1" x14ac:dyDescent="0.2">
      <c r="A999" s="233">
        <v>0</v>
      </c>
      <c r="B999" s="233">
        <v>10</v>
      </c>
      <c r="C999" s="233">
        <v>0</v>
      </c>
      <c r="D999" s="234">
        <v>2</v>
      </c>
      <c r="E999" s="234">
        <v>1</v>
      </c>
      <c r="F999" s="237"/>
      <c r="G999" s="501"/>
      <c r="H999" s="437" t="s">
        <v>1236</v>
      </c>
      <c r="I999" s="438" t="s">
        <v>4536</v>
      </c>
      <c r="J999" s="439" t="s">
        <v>19</v>
      </c>
      <c r="K999" s="440"/>
      <c r="L999" s="441"/>
      <c r="M999" s="441"/>
      <c r="N999" s="442">
        <v>7315899.7379999999</v>
      </c>
      <c r="O999" s="480">
        <v>436.778738805003</v>
      </c>
      <c r="P999" s="434"/>
    </row>
    <row r="1000" spans="1:16" ht="13.9" hidden="1" customHeight="1" outlineLevel="1" x14ac:dyDescent="0.2">
      <c r="A1000" s="233">
        <v>0</v>
      </c>
      <c r="B1000" s="233">
        <v>10</v>
      </c>
      <c r="C1000" s="233">
        <v>1</v>
      </c>
      <c r="D1000" s="234">
        <v>0</v>
      </c>
      <c r="E1000" s="234">
        <v>1</v>
      </c>
      <c r="G1000" s="473"/>
      <c r="H1000" s="444" t="s">
        <v>38</v>
      </c>
      <c r="I1000" s="445" t="s">
        <v>4537</v>
      </c>
      <c r="J1000" s="446" t="s">
        <v>19</v>
      </c>
      <c r="K1000" s="447"/>
      <c r="L1000" s="448"/>
      <c r="M1000" s="448"/>
      <c r="N1000" s="449">
        <v>7315899.7379999999</v>
      </c>
      <c r="O1000" s="432"/>
      <c r="P1000" s="435"/>
    </row>
    <row r="1001" spans="1:16" ht="13.9" hidden="1" customHeight="1" outlineLevel="2" x14ac:dyDescent="0.2">
      <c r="A1001" s="233">
        <v>0</v>
      </c>
      <c r="B1001" s="233">
        <v>10</v>
      </c>
      <c r="C1001" s="233">
        <v>1</v>
      </c>
      <c r="D1001" s="234">
        <v>1</v>
      </c>
      <c r="E1001" s="234">
        <v>0</v>
      </c>
      <c r="G1001" s="474"/>
      <c r="H1001" s="451" t="s">
        <v>1237</v>
      </c>
      <c r="I1001" s="452" t="s">
        <v>4538</v>
      </c>
      <c r="J1001" s="453" t="s">
        <v>2335</v>
      </c>
      <c r="K1001" s="454"/>
      <c r="L1001" s="455"/>
      <c r="M1001" s="455"/>
      <c r="N1001" s="456">
        <v>335622.94799999997</v>
      </c>
      <c r="O1001" s="457"/>
      <c r="P1001" s="430"/>
    </row>
    <row r="1002" spans="1:16" ht="13.9" hidden="1" customHeight="1" outlineLevel="3" x14ac:dyDescent="0.2">
      <c r="A1002" s="233">
        <v>0</v>
      </c>
      <c r="B1002" s="233">
        <v>10</v>
      </c>
      <c r="C1002" s="233">
        <v>1</v>
      </c>
      <c r="D1002" s="234">
        <v>1</v>
      </c>
      <c r="E1002" s="234">
        <v>1</v>
      </c>
      <c r="G1002" s="458" t="s">
        <v>2134</v>
      </c>
      <c r="H1002" s="459" t="s">
        <v>1238</v>
      </c>
      <c r="I1002" s="460" t="s">
        <v>4539</v>
      </c>
      <c r="J1002" s="461" t="s">
        <v>2244</v>
      </c>
      <c r="K1002" s="462" t="s">
        <v>1129</v>
      </c>
      <c r="L1002" s="463">
        <v>1</v>
      </c>
      <c r="M1002" s="463">
        <v>84457.098000000013</v>
      </c>
      <c r="N1002" s="464">
        <v>84457.097999999998</v>
      </c>
      <c r="O1002" s="465"/>
      <c r="P1002" s="431" t="s">
        <v>6711</v>
      </c>
    </row>
    <row r="1003" spans="1:16" ht="13.9" hidden="1" customHeight="1" outlineLevel="3" x14ac:dyDescent="0.2">
      <c r="A1003" s="233">
        <v>0</v>
      </c>
      <c r="B1003" s="233">
        <v>10</v>
      </c>
      <c r="C1003" s="233">
        <v>1</v>
      </c>
      <c r="D1003" s="234">
        <v>1</v>
      </c>
      <c r="E1003" s="234">
        <v>2</v>
      </c>
      <c r="G1003" s="458" t="s">
        <v>2134</v>
      </c>
      <c r="H1003" s="459" t="s">
        <v>1238</v>
      </c>
      <c r="I1003" s="460" t="s">
        <v>4540</v>
      </c>
      <c r="J1003" s="461" t="s">
        <v>2754</v>
      </c>
      <c r="K1003" s="462" t="s">
        <v>1129</v>
      </c>
      <c r="L1003" s="463">
        <v>1</v>
      </c>
      <c r="M1003" s="463">
        <v>251165.85</v>
      </c>
      <c r="N1003" s="464">
        <v>251165.85</v>
      </c>
      <c r="O1003" s="465"/>
      <c r="P1003" s="431" t="s">
        <v>6711</v>
      </c>
    </row>
    <row r="1004" spans="1:16" ht="13.9" hidden="1" customHeight="1" outlineLevel="2" x14ac:dyDescent="0.2">
      <c r="A1004" s="233">
        <v>0</v>
      </c>
      <c r="B1004" s="233">
        <v>10</v>
      </c>
      <c r="C1004" s="233">
        <v>1</v>
      </c>
      <c r="D1004" s="234">
        <v>2</v>
      </c>
      <c r="E1004" s="234">
        <v>0</v>
      </c>
      <c r="G1004" s="474"/>
      <c r="H1004" s="451" t="s">
        <v>1237</v>
      </c>
      <c r="I1004" s="452" t="s">
        <v>4541</v>
      </c>
      <c r="J1004" s="453" t="s">
        <v>20</v>
      </c>
      <c r="K1004" s="454"/>
      <c r="L1004" s="455"/>
      <c r="M1004" s="455"/>
      <c r="N1004" s="456">
        <v>6949076.79</v>
      </c>
      <c r="O1004" s="457"/>
      <c r="P1004" s="430"/>
    </row>
    <row r="1005" spans="1:16" ht="13.9" hidden="1" customHeight="1" outlineLevel="3" x14ac:dyDescent="0.2">
      <c r="A1005" s="233">
        <v>0</v>
      </c>
      <c r="B1005" s="233">
        <v>10</v>
      </c>
      <c r="C1005" s="233">
        <v>1</v>
      </c>
      <c r="D1005" s="234">
        <v>2</v>
      </c>
      <c r="E1005" s="234">
        <v>1</v>
      </c>
      <c r="G1005" s="458" t="s">
        <v>2134</v>
      </c>
      <c r="H1005" s="459" t="s">
        <v>1238</v>
      </c>
      <c r="I1005" s="460" t="s">
        <v>4542</v>
      </c>
      <c r="J1005" s="461" t="s">
        <v>3002</v>
      </c>
      <c r="K1005" s="462" t="s">
        <v>533</v>
      </c>
      <c r="L1005" s="463">
        <v>1</v>
      </c>
      <c r="M1005" s="463">
        <v>72000</v>
      </c>
      <c r="N1005" s="464">
        <v>72000</v>
      </c>
      <c r="O1005" s="471" t="s">
        <v>3004</v>
      </c>
      <c r="P1005" s="431" t="s">
        <v>6711</v>
      </c>
    </row>
    <row r="1006" spans="1:16" ht="13.9" hidden="1" customHeight="1" outlineLevel="3" x14ac:dyDescent="0.2">
      <c r="A1006" s="233">
        <v>0</v>
      </c>
      <c r="B1006" s="233">
        <v>10</v>
      </c>
      <c r="C1006" s="233">
        <v>1</v>
      </c>
      <c r="D1006" s="234">
        <v>2</v>
      </c>
      <c r="E1006" s="234">
        <v>2</v>
      </c>
      <c r="G1006" s="458" t="s">
        <v>2134</v>
      </c>
      <c r="H1006" s="459" t="s">
        <v>1238</v>
      </c>
      <c r="I1006" s="460" t="s">
        <v>4543</v>
      </c>
      <c r="J1006" s="461" t="s">
        <v>3003</v>
      </c>
      <c r="K1006" s="462" t="s">
        <v>533</v>
      </c>
      <c r="L1006" s="463">
        <v>1</v>
      </c>
      <c r="M1006" s="463">
        <v>29342.86</v>
      </c>
      <c r="N1006" s="464">
        <v>29342.86</v>
      </c>
      <c r="O1006" s="471" t="s">
        <v>3004</v>
      </c>
      <c r="P1006" s="431" t="s">
        <v>6711</v>
      </c>
    </row>
    <row r="1007" spans="1:16" ht="13.9" hidden="1" customHeight="1" outlineLevel="3" x14ac:dyDescent="0.2">
      <c r="A1007" s="233">
        <v>0</v>
      </c>
      <c r="B1007" s="233">
        <v>10</v>
      </c>
      <c r="C1007" s="233">
        <v>1</v>
      </c>
      <c r="D1007" s="234">
        <v>2</v>
      </c>
      <c r="E1007" s="234">
        <v>3</v>
      </c>
      <c r="G1007" s="458" t="s">
        <v>2134</v>
      </c>
      <c r="H1007" s="459" t="s">
        <v>1238</v>
      </c>
      <c r="I1007" s="460" t="s">
        <v>4544</v>
      </c>
      <c r="J1007" s="461" t="s">
        <v>2690</v>
      </c>
      <c r="K1007" s="462" t="s">
        <v>533</v>
      </c>
      <c r="L1007" s="463">
        <v>1</v>
      </c>
      <c r="M1007" s="463">
        <v>1175729.5900000001</v>
      </c>
      <c r="N1007" s="464">
        <v>1175729.5900000001</v>
      </c>
      <c r="O1007" s="465" t="s">
        <v>2336</v>
      </c>
      <c r="P1007" s="431" t="s">
        <v>6711</v>
      </c>
    </row>
    <row r="1008" spans="1:16" ht="13.9" hidden="1" customHeight="1" outlineLevel="3" x14ac:dyDescent="0.2">
      <c r="A1008" s="233">
        <v>0</v>
      </c>
      <c r="B1008" s="233">
        <v>10</v>
      </c>
      <c r="C1008" s="233">
        <v>1</v>
      </c>
      <c r="D1008" s="234">
        <v>2</v>
      </c>
      <c r="E1008" s="234">
        <v>4</v>
      </c>
      <c r="G1008" s="458" t="s">
        <v>2134</v>
      </c>
      <c r="H1008" s="459" t="s">
        <v>1238</v>
      </c>
      <c r="I1008" s="460" t="s">
        <v>4545</v>
      </c>
      <c r="J1008" s="461" t="s">
        <v>2691</v>
      </c>
      <c r="K1008" s="462" t="s">
        <v>533</v>
      </c>
      <c r="L1008" s="463">
        <v>2</v>
      </c>
      <c r="M1008" s="463">
        <v>1486002.17</v>
      </c>
      <c r="N1008" s="464">
        <v>2972004.34</v>
      </c>
      <c r="O1008" s="465" t="s">
        <v>2336</v>
      </c>
      <c r="P1008" s="431" t="s">
        <v>6711</v>
      </c>
    </row>
    <row r="1009" spans="1:16" ht="13.9" hidden="1" customHeight="1" outlineLevel="3" x14ac:dyDescent="0.2">
      <c r="A1009" s="233">
        <v>0</v>
      </c>
      <c r="B1009" s="233">
        <v>10</v>
      </c>
      <c r="C1009" s="233">
        <v>1</v>
      </c>
      <c r="D1009" s="234">
        <v>2</v>
      </c>
      <c r="E1009" s="234">
        <v>5</v>
      </c>
      <c r="G1009" s="458" t="s">
        <v>2134</v>
      </c>
      <c r="H1009" s="459" t="s">
        <v>1238</v>
      </c>
      <c r="I1009" s="460" t="s">
        <v>4546</v>
      </c>
      <c r="J1009" s="461" t="s">
        <v>2692</v>
      </c>
      <c r="K1009" s="462" t="s">
        <v>533</v>
      </c>
      <c r="L1009" s="463">
        <v>2</v>
      </c>
      <c r="M1009" s="463">
        <v>1350000</v>
      </c>
      <c r="N1009" s="464">
        <v>2700000</v>
      </c>
      <c r="O1009" s="471" t="s">
        <v>3001</v>
      </c>
      <c r="P1009" s="431" t="s">
        <v>6711</v>
      </c>
    </row>
    <row r="1010" spans="1:16" ht="13.9" hidden="1" customHeight="1" outlineLevel="2" x14ac:dyDescent="0.2">
      <c r="A1010" s="233">
        <v>0</v>
      </c>
      <c r="B1010" s="233">
        <v>10</v>
      </c>
      <c r="C1010" s="233">
        <v>1</v>
      </c>
      <c r="D1010" s="234">
        <v>3</v>
      </c>
      <c r="E1010" s="234">
        <v>0</v>
      </c>
      <c r="G1010" s="474"/>
      <c r="H1010" s="451" t="s">
        <v>1237</v>
      </c>
      <c r="I1010" s="452" t="s">
        <v>4547</v>
      </c>
      <c r="J1010" s="453" t="s">
        <v>2245</v>
      </c>
      <c r="K1010" s="454"/>
      <c r="L1010" s="455"/>
      <c r="M1010" s="455"/>
      <c r="N1010" s="456">
        <v>31200</v>
      </c>
      <c r="O1010" s="457"/>
      <c r="P1010" s="430"/>
    </row>
    <row r="1011" spans="1:16" ht="13.9" hidden="1" customHeight="1" outlineLevel="3" x14ac:dyDescent="0.2">
      <c r="A1011" s="233">
        <v>0</v>
      </c>
      <c r="B1011" s="233">
        <v>10</v>
      </c>
      <c r="C1011" s="233">
        <v>1</v>
      </c>
      <c r="D1011" s="234">
        <v>3</v>
      </c>
      <c r="E1011" s="234">
        <v>1</v>
      </c>
      <c r="G1011" s="458" t="s">
        <v>2134</v>
      </c>
      <c r="H1011" s="459" t="s">
        <v>1238</v>
      </c>
      <c r="I1011" s="460" t="s">
        <v>4548</v>
      </c>
      <c r="J1011" s="461" t="s">
        <v>2245</v>
      </c>
      <c r="K1011" s="462" t="s">
        <v>533</v>
      </c>
      <c r="L1011" s="463">
        <v>48</v>
      </c>
      <c r="M1011" s="463">
        <v>650</v>
      </c>
      <c r="N1011" s="464">
        <v>31200</v>
      </c>
      <c r="O1011" s="475" t="s">
        <v>2800</v>
      </c>
      <c r="P1011" s="431" t="s">
        <v>6711</v>
      </c>
    </row>
    <row r="1012" spans="1:16" ht="13.9" customHeight="1" collapsed="1" x14ac:dyDescent="0.2">
      <c r="A1012" s="233">
        <v>0</v>
      </c>
      <c r="B1012" s="233">
        <v>11</v>
      </c>
      <c r="C1012" s="233">
        <v>0</v>
      </c>
      <c r="D1012" s="234">
        <v>3</v>
      </c>
      <c r="E1012" s="234">
        <v>1</v>
      </c>
      <c r="F1012" s="237"/>
      <c r="G1012" s="501"/>
      <c r="H1012" s="437" t="s">
        <v>1236</v>
      </c>
      <c r="I1012" s="438" t="s">
        <v>4549</v>
      </c>
      <c r="J1012" s="439" t="s">
        <v>2337</v>
      </c>
      <c r="K1012" s="440"/>
      <c r="L1012" s="441"/>
      <c r="M1012" s="441"/>
      <c r="N1012" s="442">
        <v>933451.700000001</v>
      </c>
      <c r="O1012" s="480">
        <v>55.7295576569568</v>
      </c>
      <c r="P1012" s="434"/>
    </row>
    <row r="1013" spans="1:16" ht="13.9" hidden="1" customHeight="1" outlineLevel="1" x14ac:dyDescent="0.2">
      <c r="A1013" s="233">
        <v>0</v>
      </c>
      <c r="B1013" s="233">
        <v>11</v>
      </c>
      <c r="C1013" s="233">
        <v>1</v>
      </c>
      <c r="D1013" s="234">
        <v>0</v>
      </c>
      <c r="E1013" s="234">
        <v>1</v>
      </c>
      <c r="G1013" s="443"/>
      <c r="H1013" s="444" t="s">
        <v>38</v>
      </c>
      <c r="I1013" s="445" t="s">
        <v>4550</v>
      </c>
      <c r="J1013" s="446" t="s">
        <v>3029</v>
      </c>
      <c r="K1013" s="447"/>
      <c r="L1013" s="448"/>
      <c r="M1013" s="448"/>
      <c r="N1013" s="449">
        <v>50951.783772002098</v>
      </c>
      <c r="O1013" s="432"/>
      <c r="P1013" s="435"/>
    </row>
    <row r="1014" spans="1:16" ht="13.9" hidden="1" customHeight="1" outlineLevel="2" x14ac:dyDescent="0.2">
      <c r="A1014" s="233">
        <v>0</v>
      </c>
      <c r="B1014" s="233">
        <v>11</v>
      </c>
      <c r="C1014" s="233">
        <v>1</v>
      </c>
      <c r="D1014" s="234">
        <v>1</v>
      </c>
      <c r="E1014" s="234">
        <v>0</v>
      </c>
      <c r="G1014" s="450"/>
      <c r="H1014" s="451" t="s">
        <v>1237</v>
      </c>
      <c r="I1014" s="452" t="s">
        <v>4551</v>
      </c>
      <c r="J1014" s="453" t="s">
        <v>1285</v>
      </c>
      <c r="K1014" s="454"/>
      <c r="L1014" s="455"/>
      <c r="M1014" s="455"/>
      <c r="N1014" s="456">
        <v>33389.609572922003</v>
      </c>
      <c r="O1014" s="457"/>
      <c r="P1014" s="430"/>
    </row>
    <row r="1015" spans="1:16" ht="33.75" hidden="1" customHeight="1" outlineLevel="3" x14ac:dyDescent="0.2">
      <c r="A1015" s="233">
        <v>0</v>
      </c>
      <c r="B1015" s="233">
        <v>11</v>
      </c>
      <c r="C1015" s="233">
        <v>1</v>
      </c>
      <c r="D1015" s="234">
        <v>1</v>
      </c>
      <c r="E1015" s="234">
        <v>1</v>
      </c>
      <c r="G1015" s="500" t="s">
        <v>2337</v>
      </c>
      <c r="H1015" s="459" t="s">
        <v>1238</v>
      </c>
      <c r="I1015" s="460" t="s">
        <v>4552</v>
      </c>
      <c r="J1015" s="461" t="s">
        <v>1259</v>
      </c>
      <c r="K1015" s="462" t="s">
        <v>1129</v>
      </c>
      <c r="L1015" s="463">
        <v>1</v>
      </c>
      <c r="M1015" s="463">
        <v>25725.178512731374</v>
      </c>
      <c r="N1015" s="464">
        <v>25725.1785127314</v>
      </c>
      <c r="O1015" s="471" t="s">
        <v>3005</v>
      </c>
      <c r="P1015" s="431" t="s">
        <v>6711</v>
      </c>
    </row>
    <row r="1016" spans="1:16" ht="33" hidden="1" customHeight="1" outlineLevel="3" x14ac:dyDescent="0.2">
      <c r="A1016" s="233">
        <v>0</v>
      </c>
      <c r="B1016" s="233">
        <v>11</v>
      </c>
      <c r="C1016" s="233">
        <v>1</v>
      </c>
      <c r="D1016" s="234">
        <v>1</v>
      </c>
      <c r="E1016" s="234">
        <v>2</v>
      </c>
      <c r="G1016" s="500" t="s">
        <v>2337</v>
      </c>
      <c r="H1016" s="459" t="s">
        <v>1238</v>
      </c>
      <c r="I1016" s="460" t="s">
        <v>4553</v>
      </c>
      <c r="J1016" s="461" t="s">
        <v>1260</v>
      </c>
      <c r="K1016" s="462" t="s">
        <v>1129</v>
      </c>
      <c r="L1016" s="463">
        <v>1</v>
      </c>
      <c r="M1016" s="463">
        <v>7664.4310601906218</v>
      </c>
      <c r="N1016" s="464">
        <v>7664.43106019062</v>
      </c>
      <c r="O1016" s="471" t="s">
        <v>3006</v>
      </c>
      <c r="P1016" s="431" t="s">
        <v>6711</v>
      </c>
    </row>
    <row r="1017" spans="1:16" ht="13.9" hidden="1" customHeight="1" outlineLevel="2" x14ac:dyDescent="0.2">
      <c r="A1017" s="233">
        <v>0</v>
      </c>
      <c r="B1017" s="233">
        <v>11</v>
      </c>
      <c r="C1017" s="233">
        <v>1</v>
      </c>
      <c r="D1017" s="234">
        <v>2</v>
      </c>
      <c r="E1017" s="234">
        <v>0</v>
      </c>
      <c r="G1017" s="450"/>
      <c r="H1017" s="451" t="s">
        <v>1237</v>
      </c>
      <c r="I1017" s="452" t="s">
        <v>4554</v>
      </c>
      <c r="J1017" s="453" t="s">
        <v>1615</v>
      </c>
      <c r="K1017" s="454"/>
      <c r="L1017" s="455"/>
      <c r="M1017" s="455"/>
      <c r="N1017" s="456">
        <v>1952.0394081353099</v>
      </c>
      <c r="O1017" s="457"/>
      <c r="P1017" s="430"/>
    </row>
    <row r="1018" spans="1:16" ht="13.9" hidden="1" customHeight="1" outlineLevel="3" x14ac:dyDescent="0.2">
      <c r="A1018" s="233">
        <v>0</v>
      </c>
      <c r="B1018" s="233">
        <v>11</v>
      </c>
      <c r="C1018" s="233">
        <v>1</v>
      </c>
      <c r="D1018" s="234">
        <v>2</v>
      </c>
      <c r="E1018" s="234">
        <v>1</v>
      </c>
      <c r="G1018" s="500" t="s">
        <v>2337</v>
      </c>
      <c r="H1018" s="459" t="s">
        <v>1238</v>
      </c>
      <c r="I1018" s="460" t="s">
        <v>4555</v>
      </c>
      <c r="J1018" s="461" t="s">
        <v>2716</v>
      </c>
      <c r="K1018" s="462" t="s">
        <v>1129</v>
      </c>
      <c r="L1018" s="463">
        <v>1</v>
      </c>
      <c r="M1018" s="463">
        <v>1952.0394081353129</v>
      </c>
      <c r="N1018" s="464">
        <v>1952.0394081353099</v>
      </c>
      <c r="O1018" s="465" t="s">
        <v>2718</v>
      </c>
      <c r="P1018" s="431" t="s">
        <v>6711</v>
      </c>
    </row>
    <row r="1019" spans="1:16" ht="13.9" hidden="1" customHeight="1" outlineLevel="2" x14ac:dyDescent="0.2">
      <c r="A1019" s="233">
        <v>0</v>
      </c>
      <c r="B1019" s="233">
        <v>11</v>
      </c>
      <c r="C1019" s="233">
        <v>1</v>
      </c>
      <c r="D1019" s="234">
        <v>3</v>
      </c>
      <c r="E1019" s="234">
        <v>0</v>
      </c>
      <c r="G1019" s="450"/>
      <c r="H1019" s="451" t="s">
        <v>1237</v>
      </c>
      <c r="I1019" s="452" t="s">
        <v>4556</v>
      </c>
      <c r="J1019" s="453" t="s">
        <v>2715</v>
      </c>
      <c r="K1019" s="454"/>
      <c r="L1019" s="455"/>
      <c r="M1019" s="455"/>
      <c r="N1019" s="456">
        <v>13757.921938028199</v>
      </c>
      <c r="O1019" s="457"/>
      <c r="P1019" s="430"/>
    </row>
    <row r="1020" spans="1:16" ht="13.9" hidden="1" customHeight="1" outlineLevel="3" x14ac:dyDescent="0.2">
      <c r="A1020" s="233">
        <v>0</v>
      </c>
      <c r="B1020" s="233">
        <v>11</v>
      </c>
      <c r="C1020" s="233">
        <v>1</v>
      </c>
      <c r="D1020" s="234">
        <v>3</v>
      </c>
      <c r="E1020" s="234">
        <v>1</v>
      </c>
      <c r="G1020" s="500" t="s">
        <v>2337</v>
      </c>
      <c r="H1020" s="459" t="s">
        <v>1238</v>
      </c>
      <c r="I1020" s="460" t="s">
        <v>4557</v>
      </c>
      <c r="J1020" s="461" t="s">
        <v>2717</v>
      </c>
      <c r="K1020" s="462" t="s">
        <v>1129</v>
      </c>
      <c r="L1020" s="463">
        <v>1</v>
      </c>
      <c r="M1020" s="463">
        <v>123.57732628053333</v>
      </c>
      <c r="N1020" s="464">
        <v>123.577326280533</v>
      </c>
      <c r="O1020" s="465" t="s">
        <v>2784</v>
      </c>
      <c r="P1020" s="431" t="s">
        <v>6711</v>
      </c>
    </row>
    <row r="1021" spans="1:16" ht="13.9" hidden="1" customHeight="1" outlineLevel="3" x14ac:dyDescent="0.2">
      <c r="A1021" s="233">
        <v>0</v>
      </c>
      <c r="B1021" s="233">
        <v>11</v>
      </c>
      <c r="C1021" s="233">
        <v>1</v>
      </c>
      <c r="D1021" s="234">
        <v>3</v>
      </c>
      <c r="E1021" s="234">
        <v>2</v>
      </c>
      <c r="G1021" s="500" t="s">
        <v>2337</v>
      </c>
      <c r="H1021" s="459" t="s">
        <v>1238</v>
      </c>
      <c r="I1021" s="460" t="s">
        <v>4558</v>
      </c>
      <c r="J1021" s="461" t="s">
        <v>3028</v>
      </c>
      <c r="K1021" s="462" t="s">
        <v>1129</v>
      </c>
      <c r="L1021" s="463">
        <v>1</v>
      </c>
      <c r="M1021" s="463">
        <v>13634.344611747627</v>
      </c>
      <c r="N1021" s="464">
        <v>13634.3446117476</v>
      </c>
      <c r="O1021" s="471" t="s">
        <v>3005</v>
      </c>
      <c r="P1021" s="431" t="s">
        <v>6711</v>
      </c>
    </row>
    <row r="1022" spans="1:16" ht="13.9" hidden="1" customHeight="1" outlineLevel="2" x14ac:dyDescent="0.2">
      <c r="A1022" s="233">
        <v>0</v>
      </c>
      <c r="B1022" s="233">
        <v>11</v>
      </c>
      <c r="C1022" s="233">
        <v>1</v>
      </c>
      <c r="D1022" s="234">
        <v>4</v>
      </c>
      <c r="E1022" s="234">
        <v>0</v>
      </c>
      <c r="G1022" s="450"/>
      <c r="H1022" s="451" t="s">
        <v>1237</v>
      </c>
      <c r="I1022" s="452" t="s">
        <v>4559</v>
      </c>
      <c r="J1022" s="453" t="s">
        <v>2338</v>
      </c>
      <c r="K1022" s="454"/>
      <c r="L1022" s="455"/>
      <c r="M1022" s="455"/>
      <c r="N1022" s="456">
        <v>0</v>
      </c>
      <c r="O1022" s="457"/>
      <c r="P1022" s="430"/>
    </row>
    <row r="1023" spans="1:16" ht="13.9" hidden="1" customHeight="1" outlineLevel="3" x14ac:dyDescent="0.2">
      <c r="A1023" s="233">
        <v>0</v>
      </c>
      <c r="B1023" s="233">
        <v>11</v>
      </c>
      <c r="C1023" s="233">
        <v>1</v>
      </c>
      <c r="D1023" s="234">
        <v>4</v>
      </c>
      <c r="E1023" s="234">
        <v>1</v>
      </c>
      <c r="G1023" s="500" t="s">
        <v>2337</v>
      </c>
      <c r="H1023" s="459" t="s">
        <v>1238</v>
      </c>
      <c r="I1023" s="460" t="s">
        <v>4560</v>
      </c>
      <c r="J1023" s="461" t="s">
        <v>2338</v>
      </c>
      <c r="K1023" s="462" t="s">
        <v>533</v>
      </c>
      <c r="L1023" s="463">
        <v>0</v>
      </c>
      <c r="M1023" s="463">
        <v>2262</v>
      </c>
      <c r="N1023" s="464">
        <v>0</v>
      </c>
      <c r="O1023" s="465" t="s">
        <v>2339</v>
      </c>
      <c r="P1023" s="431" t="s">
        <v>6711</v>
      </c>
    </row>
    <row r="1024" spans="1:16" ht="13.9" hidden="1" customHeight="1" outlineLevel="3" x14ac:dyDescent="0.2">
      <c r="A1024" s="233">
        <v>0</v>
      </c>
      <c r="B1024" s="233">
        <v>11</v>
      </c>
      <c r="C1024" s="233">
        <v>1</v>
      </c>
      <c r="D1024" s="234">
        <v>4</v>
      </c>
      <c r="E1024" s="234">
        <v>2</v>
      </c>
      <c r="G1024" s="500" t="s">
        <v>2337</v>
      </c>
      <c r="H1024" s="459" t="s">
        <v>1238</v>
      </c>
      <c r="I1024" s="460" t="s">
        <v>4561</v>
      </c>
      <c r="J1024" s="461" t="s">
        <v>2713</v>
      </c>
      <c r="K1024" s="462" t="s">
        <v>533</v>
      </c>
      <c r="L1024" s="463">
        <v>0</v>
      </c>
      <c r="M1024" s="463">
        <v>1100</v>
      </c>
      <c r="N1024" s="464">
        <v>0</v>
      </c>
      <c r="O1024" s="465" t="s">
        <v>2714</v>
      </c>
      <c r="P1024" s="431" t="s">
        <v>6711</v>
      </c>
    </row>
    <row r="1025" spans="1:16" ht="13.9" hidden="1" customHeight="1" outlineLevel="2" x14ac:dyDescent="0.2">
      <c r="A1025" s="233">
        <v>0</v>
      </c>
      <c r="B1025" s="233">
        <v>11</v>
      </c>
      <c r="C1025" s="233">
        <v>1</v>
      </c>
      <c r="D1025" s="234">
        <v>5</v>
      </c>
      <c r="E1025" s="234">
        <v>0</v>
      </c>
      <c r="G1025" s="450"/>
      <c r="H1025" s="451" t="s">
        <v>1237</v>
      </c>
      <c r="I1025" s="452" t="s">
        <v>4562</v>
      </c>
      <c r="J1025" s="453" t="s">
        <v>14</v>
      </c>
      <c r="K1025" s="454"/>
      <c r="L1025" s="455"/>
      <c r="M1025" s="455"/>
      <c r="N1025" s="456">
        <v>1852.21285291666</v>
      </c>
      <c r="O1025" s="457"/>
      <c r="P1025" s="430"/>
    </row>
    <row r="1026" spans="1:16" ht="13.9" hidden="1" customHeight="1" outlineLevel="3" x14ac:dyDescent="0.2">
      <c r="A1026" s="233">
        <v>0</v>
      </c>
      <c r="B1026" s="233">
        <v>11</v>
      </c>
      <c r="C1026" s="233">
        <v>1</v>
      </c>
      <c r="D1026" s="234">
        <v>5</v>
      </c>
      <c r="E1026" s="234">
        <v>1</v>
      </c>
      <c r="G1026" s="500" t="s">
        <v>2337</v>
      </c>
      <c r="H1026" s="459" t="s">
        <v>1238</v>
      </c>
      <c r="I1026" s="460" t="s">
        <v>4563</v>
      </c>
      <c r="J1026" s="461" t="s">
        <v>2340</v>
      </c>
      <c r="K1026" s="462" t="s">
        <v>1129</v>
      </c>
      <c r="L1026" s="463">
        <v>1</v>
      </c>
      <c r="M1026" s="463">
        <v>1852.2128529166589</v>
      </c>
      <c r="N1026" s="464">
        <v>1852.21285291666</v>
      </c>
      <c r="O1026" s="465" t="s">
        <v>3007</v>
      </c>
      <c r="P1026" s="431" t="s">
        <v>6711</v>
      </c>
    </row>
    <row r="1027" spans="1:16" ht="13.9" hidden="1" customHeight="1" outlineLevel="1" x14ac:dyDescent="0.2">
      <c r="A1027" s="233">
        <v>0</v>
      </c>
      <c r="B1027" s="233">
        <v>11</v>
      </c>
      <c r="C1027" s="233">
        <v>2</v>
      </c>
      <c r="D1027" s="234">
        <v>0</v>
      </c>
      <c r="E1027" s="234">
        <v>1</v>
      </c>
      <c r="G1027" s="443"/>
      <c r="H1027" s="444" t="s">
        <v>38</v>
      </c>
      <c r="I1027" s="445" t="s">
        <v>4564</v>
      </c>
      <c r="J1027" s="446" t="s">
        <v>3030</v>
      </c>
      <c r="K1027" s="447"/>
      <c r="L1027" s="448"/>
      <c r="M1027" s="448"/>
      <c r="N1027" s="449">
        <v>57957.020861254801</v>
      </c>
      <c r="O1027" s="432"/>
      <c r="P1027" s="435"/>
    </row>
    <row r="1028" spans="1:16" ht="13.9" hidden="1" customHeight="1" outlineLevel="2" x14ac:dyDescent="0.2">
      <c r="A1028" s="233">
        <v>0</v>
      </c>
      <c r="B1028" s="233">
        <v>11</v>
      </c>
      <c r="C1028" s="233">
        <v>2</v>
      </c>
      <c r="D1028" s="234">
        <v>1</v>
      </c>
      <c r="E1028" s="234">
        <v>0</v>
      </c>
      <c r="G1028" s="450"/>
      <c r="H1028" s="451" t="s">
        <v>1237</v>
      </c>
      <c r="I1028" s="452" t="s">
        <v>4565</v>
      </c>
      <c r="J1028" s="453" t="s">
        <v>1285</v>
      </c>
      <c r="K1028" s="454"/>
      <c r="L1028" s="455"/>
      <c r="M1028" s="455"/>
      <c r="N1028" s="456">
        <v>37980.2659554848</v>
      </c>
      <c r="O1028" s="457"/>
      <c r="P1028" s="430"/>
    </row>
    <row r="1029" spans="1:16" ht="33.75" hidden="1" customHeight="1" outlineLevel="3" x14ac:dyDescent="0.2">
      <c r="A1029" s="233">
        <v>0</v>
      </c>
      <c r="B1029" s="233">
        <v>11</v>
      </c>
      <c r="C1029" s="233">
        <v>2</v>
      </c>
      <c r="D1029" s="234">
        <v>1</v>
      </c>
      <c r="E1029" s="234">
        <v>1</v>
      </c>
      <c r="G1029" s="500" t="s">
        <v>2337</v>
      </c>
      <c r="H1029" s="459" t="s">
        <v>1238</v>
      </c>
      <c r="I1029" s="460" t="s">
        <v>4566</v>
      </c>
      <c r="J1029" s="461" t="s">
        <v>1259</v>
      </c>
      <c r="K1029" s="462" t="s">
        <v>1129</v>
      </c>
      <c r="L1029" s="463">
        <v>1</v>
      </c>
      <c r="M1029" s="463">
        <v>29262.070870640488</v>
      </c>
      <c r="N1029" s="464">
        <v>29262.070870640498</v>
      </c>
      <c r="O1029" s="471" t="s">
        <v>3005</v>
      </c>
      <c r="P1029" s="431" t="s">
        <v>6711</v>
      </c>
    </row>
    <row r="1030" spans="1:16" ht="33" hidden="1" customHeight="1" outlineLevel="3" x14ac:dyDescent="0.2">
      <c r="A1030" s="233">
        <v>0</v>
      </c>
      <c r="B1030" s="233">
        <v>11</v>
      </c>
      <c r="C1030" s="233">
        <v>2</v>
      </c>
      <c r="D1030" s="234">
        <v>1</v>
      </c>
      <c r="E1030" s="234">
        <v>2</v>
      </c>
      <c r="G1030" s="500" t="s">
        <v>2337</v>
      </c>
      <c r="H1030" s="459" t="s">
        <v>1238</v>
      </c>
      <c r="I1030" s="460" t="s">
        <v>4567</v>
      </c>
      <c r="J1030" s="461" t="s">
        <v>1260</v>
      </c>
      <c r="K1030" s="462" t="s">
        <v>1129</v>
      </c>
      <c r="L1030" s="463">
        <v>1</v>
      </c>
      <c r="M1030" s="463">
        <v>8718.1950848442739</v>
      </c>
      <c r="N1030" s="464">
        <v>8718.1950848442702</v>
      </c>
      <c r="O1030" s="471" t="s">
        <v>3006</v>
      </c>
      <c r="P1030" s="431" t="s">
        <v>6711</v>
      </c>
    </row>
    <row r="1031" spans="1:16" ht="13.9" hidden="1" customHeight="1" outlineLevel="2" x14ac:dyDescent="0.2">
      <c r="A1031" s="233">
        <v>0</v>
      </c>
      <c r="B1031" s="233">
        <v>11</v>
      </c>
      <c r="C1031" s="233">
        <v>2</v>
      </c>
      <c r="D1031" s="234">
        <v>2</v>
      </c>
      <c r="E1031" s="234">
        <v>0</v>
      </c>
      <c r="G1031" s="450"/>
      <c r="H1031" s="451" t="s">
        <v>1237</v>
      </c>
      <c r="I1031" s="452" t="s">
        <v>4568</v>
      </c>
      <c r="J1031" s="453" t="s">
        <v>1615</v>
      </c>
      <c r="K1031" s="454"/>
      <c r="L1031" s="455"/>
      <c r="M1031" s="455"/>
      <c r="N1031" s="456">
        <v>2220.4205686996402</v>
      </c>
      <c r="O1031" s="457"/>
      <c r="P1031" s="430"/>
    </row>
    <row r="1032" spans="1:16" ht="13.9" hidden="1" customHeight="1" outlineLevel="3" x14ac:dyDescent="0.2">
      <c r="A1032" s="233">
        <v>0</v>
      </c>
      <c r="B1032" s="233">
        <v>11</v>
      </c>
      <c r="C1032" s="233">
        <v>2</v>
      </c>
      <c r="D1032" s="234">
        <v>2</v>
      </c>
      <c r="E1032" s="234">
        <v>1</v>
      </c>
      <c r="G1032" s="500" t="s">
        <v>2337</v>
      </c>
      <c r="H1032" s="459" t="s">
        <v>1238</v>
      </c>
      <c r="I1032" s="460" t="s">
        <v>4569</v>
      </c>
      <c r="J1032" s="461" t="s">
        <v>2716</v>
      </c>
      <c r="K1032" s="462" t="s">
        <v>1129</v>
      </c>
      <c r="L1032" s="463">
        <v>1</v>
      </c>
      <c r="M1032" s="463">
        <v>2220.4205686996356</v>
      </c>
      <c r="N1032" s="464">
        <v>2220.4205686996402</v>
      </c>
      <c r="O1032" s="465" t="s">
        <v>2718</v>
      </c>
      <c r="P1032" s="431" t="s">
        <v>6711</v>
      </c>
    </row>
    <row r="1033" spans="1:16" ht="13.9" hidden="1" customHeight="1" outlineLevel="2" x14ac:dyDescent="0.2">
      <c r="A1033" s="233">
        <v>0</v>
      </c>
      <c r="B1033" s="233">
        <v>11</v>
      </c>
      <c r="C1033" s="233">
        <v>2</v>
      </c>
      <c r="D1033" s="234">
        <v>3</v>
      </c>
      <c r="E1033" s="234">
        <v>0</v>
      </c>
      <c r="G1033" s="450"/>
      <c r="H1033" s="451" t="s">
        <v>1237</v>
      </c>
      <c r="I1033" s="452" t="s">
        <v>4570</v>
      </c>
      <c r="J1033" s="453" t="s">
        <v>2715</v>
      </c>
      <c r="K1033" s="454"/>
      <c r="L1033" s="455"/>
      <c r="M1033" s="455"/>
      <c r="N1033" s="456">
        <v>15649.465234384301</v>
      </c>
      <c r="O1033" s="457"/>
      <c r="P1033" s="430"/>
    </row>
    <row r="1034" spans="1:16" ht="13.9" hidden="1" customHeight="1" outlineLevel="3" x14ac:dyDescent="0.2">
      <c r="A1034" s="233">
        <v>0</v>
      </c>
      <c r="B1034" s="233">
        <v>11</v>
      </c>
      <c r="C1034" s="233">
        <v>2</v>
      </c>
      <c r="D1034" s="234">
        <v>3</v>
      </c>
      <c r="E1034" s="234">
        <v>1</v>
      </c>
      <c r="G1034" s="500" t="s">
        <v>2337</v>
      </c>
      <c r="H1034" s="459" t="s">
        <v>1238</v>
      </c>
      <c r="I1034" s="460" t="s">
        <v>4571</v>
      </c>
      <c r="J1034" s="461" t="s">
        <v>2717</v>
      </c>
      <c r="K1034" s="462" t="s">
        <v>1129</v>
      </c>
      <c r="L1034" s="463">
        <v>1</v>
      </c>
      <c r="M1034" s="463">
        <v>140.56767294483925</v>
      </c>
      <c r="N1034" s="464">
        <v>140.56767294483899</v>
      </c>
      <c r="O1034" s="465" t="s">
        <v>2784</v>
      </c>
      <c r="P1034" s="431" t="s">
        <v>6711</v>
      </c>
    </row>
    <row r="1035" spans="1:16" ht="13.9" hidden="1" customHeight="1" outlineLevel="3" x14ac:dyDescent="0.2">
      <c r="A1035" s="233">
        <v>0</v>
      </c>
      <c r="B1035" s="233">
        <v>11</v>
      </c>
      <c r="C1035" s="233">
        <v>2</v>
      </c>
      <c r="D1035" s="234">
        <v>3</v>
      </c>
      <c r="E1035" s="234">
        <v>2</v>
      </c>
      <c r="G1035" s="500" t="s">
        <v>2337</v>
      </c>
      <c r="H1035" s="459" t="s">
        <v>1238</v>
      </c>
      <c r="I1035" s="460" t="s">
        <v>4572</v>
      </c>
      <c r="J1035" s="461" t="s">
        <v>3028</v>
      </c>
      <c r="K1035" s="462" t="s">
        <v>1129</v>
      </c>
      <c r="L1035" s="463">
        <v>1</v>
      </c>
      <c r="M1035" s="463">
        <v>15508.897561439459</v>
      </c>
      <c r="N1035" s="464">
        <v>15508.8975614395</v>
      </c>
      <c r="O1035" s="471" t="s">
        <v>3005</v>
      </c>
      <c r="P1035" s="431" t="s">
        <v>6711</v>
      </c>
    </row>
    <row r="1036" spans="1:16" ht="13.9" hidden="1" customHeight="1" outlineLevel="2" x14ac:dyDescent="0.2">
      <c r="A1036" s="233">
        <v>0</v>
      </c>
      <c r="B1036" s="233">
        <v>11</v>
      </c>
      <c r="C1036" s="233">
        <v>2</v>
      </c>
      <c r="D1036" s="234">
        <v>4</v>
      </c>
      <c r="E1036" s="234">
        <v>0</v>
      </c>
      <c r="G1036" s="450"/>
      <c r="H1036" s="451" t="s">
        <v>1237</v>
      </c>
      <c r="I1036" s="452" t="s">
        <v>4573</v>
      </c>
      <c r="J1036" s="453" t="s">
        <v>2338</v>
      </c>
      <c r="K1036" s="454"/>
      <c r="L1036" s="455"/>
      <c r="M1036" s="455"/>
      <c r="N1036" s="456">
        <v>0</v>
      </c>
      <c r="O1036" s="457"/>
      <c r="P1036" s="430"/>
    </row>
    <row r="1037" spans="1:16" ht="13.9" hidden="1" customHeight="1" outlineLevel="3" x14ac:dyDescent="0.2">
      <c r="A1037" s="233">
        <v>0</v>
      </c>
      <c r="B1037" s="233">
        <v>11</v>
      </c>
      <c r="C1037" s="233">
        <v>2</v>
      </c>
      <c r="D1037" s="234">
        <v>4</v>
      </c>
      <c r="E1037" s="234">
        <v>1</v>
      </c>
      <c r="G1037" s="500" t="s">
        <v>2337</v>
      </c>
      <c r="H1037" s="459" t="s">
        <v>1238</v>
      </c>
      <c r="I1037" s="460" t="s">
        <v>4574</v>
      </c>
      <c r="J1037" s="461" t="s">
        <v>2338</v>
      </c>
      <c r="K1037" s="462" t="s">
        <v>533</v>
      </c>
      <c r="L1037" s="463">
        <v>0</v>
      </c>
      <c r="M1037" s="463">
        <v>2262</v>
      </c>
      <c r="N1037" s="464">
        <v>0</v>
      </c>
      <c r="O1037" s="465" t="s">
        <v>2339</v>
      </c>
      <c r="P1037" s="431" t="s">
        <v>6711</v>
      </c>
    </row>
    <row r="1038" spans="1:16" ht="13.9" hidden="1" customHeight="1" outlineLevel="3" x14ac:dyDescent="0.2">
      <c r="A1038" s="233">
        <v>0</v>
      </c>
      <c r="B1038" s="233">
        <v>11</v>
      </c>
      <c r="C1038" s="233">
        <v>2</v>
      </c>
      <c r="D1038" s="234">
        <v>4</v>
      </c>
      <c r="E1038" s="234">
        <v>2</v>
      </c>
      <c r="G1038" s="500" t="s">
        <v>2337</v>
      </c>
      <c r="H1038" s="459" t="s">
        <v>1238</v>
      </c>
      <c r="I1038" s="460" t="s">
        <v>4575</v>
      </c>
      <c r="J1038" s="461" t="s">
        <v>2713</v>
      </c>
      <c r="K1038" s="462" t="s">
        <v>533</v>
      </c>
      <c r="L1038" s="463">
        <v>0</v>
      </c>
      <c r="M1038" s="463">
        <v>1100</v>
      </c>
      <c r="N1038" s="464">
        <v>0</v>
      </c>
      <c r="O1038" s="465" t="s">
        <v>2714</v>
      </c>
      <c r="P1038" s="431" t="s">
        <v>6711</v>
      </c>
    </row>
    <row r="1039" spans="1:16" ht="13.9" hidden="1" customHeight="1" outlineLevel="2" x14ac:dyDescent="0.2">
      <c r="A1039" s="233">
        <v>0</v>
      </c>
      <c r="B1039" s="233">
        <v>11</v>
      </c>
      <c r="C1039" s="233">
        <v>2</v>
      </c>
      <c r="D1039" s="234">
        <v>5</v>
      </c>
      <c r="E1039" s="234">
        <v>0</v>
      </c>
      <c r="G1039" s="450"/>
      <c r="H1039" s="451" t="s">
        <v>1237</v>
      </c>
      <c r="I1039" s="452" t="s">
        <v>4576</v>
      </c>
      <c r="J1039" s="453" t="s">
        <v>14</v>
      </c>
      <c r="K1039" s="454"/>
      <c r="L1039" s="455"/>
      <c r="M1039" s="455"/>
      <c r="N1039" s="456">
        <v>2106.8691026861202</v>
      </c>
      <c r="O1039" s="457"/>
      <c r="P1039" s="430"/>
    </row>
    <row r="1040" spans="1:16" ht="13.9" hidden="1" customHeight="1" outlineLevel="3" x14ac:dyDescent="0.2">
      <c r="A1040" s="233">
        <v>0</v>
      </c>
      <c r="B1040" s="233">
        <v>11</v>
      </c>
      <c r="C1040" s="233">
        <v>2</v>
      </c>
      <c r="D1040" s="234">
        <v>5</v>
      </c>
      <c r="E1040" s="234">
        <v>1</v>
      </c>
      <c r="G1040" s="500" t="s">
        <v>2337</v>
      </c>
      <c r="H1040" s="459" t="s">
        <v>1238</v>
      </c>
      <c r="I1040" s="460" t="s">
        <v>4577</v>
      </c>
      <c r="J1040" s="461" t="s">
        <v>2340</v>
      </c>
      <c r="K1040" s="462" t="s">
        <v>1129</v>
      </c>
      <c r="L1040" s="463">
        <v>1</v>
      </c>
      <c r="M1040" s="463">
        <v>2106.8691026861152</v>
      </c>
      <c r="N1040" s="464">
        <v>2106.8691026861202</v>
      </c>
      <c r="O1040" s="465" t="s">
        <v>3007</v>
      </c>
      <c r="P1040" s="431" t="s">
        <v>6711</v>
      </c>
    </row>
    <row r="1041" spans="1:16" ht="13.9" hidden="1" customHeight="1" outlineLevel="1" x14ac:dyDescent="0.2">
      <c r="A1041" s="233">
        <v>0</v>
      </c>
      <c r="B1041" s="233">
        <v>11</v>
      </c>
      <c r="C1041" s="233">
        <v>3</v>
      </c>
      <c r="D1041" s="234">
        <v>0</v>
      </c>
      <c r="E1041" s="234">
        <v>1</v>
      </c>
      <c r="G1041" s="443"/>
      <c r="H1041" s="444" t="s">
        <v>38</v>
      </c>
      <c r="I1041" s="445" t="s">
        <v>4578</v>
      </c>
      <c r="J1041" s="446" t="s">
        <v>3031</v>
      </c>
      <c r="K1041" s="447"/>
      <c r="L1041" s="448"/>
      <c r="M1041" s="448"/>
      <c r="N1041" s="449">
        <v>35785.331061010402</v>
      </c>
      <c r="O1041" s="432"/>
      <c r="P1041" s="435"/>
    </row>
    <row r="1042" spans="1:16" ht="13.9" hidden="1" customHeight="1" outlineLevel="2" x14ac:dyDescent="0.2">
      <c r="A1042" s="233">
        <v>0</v>
      </c>
      <c r="B1042" s="233">
        <v>11</v>
      </c>
      <c r="C1042" s="233">
        <v>3</v>
      </c>
      <c r="D1042" s="234">
        <v>1</v>
      </c>
      <c r="E1042" s="234">
        <v>0</v>
      </c>
      <c r="G1042" s="450"/>
      <c r="H1042" s="451" t="s">
        <v>1237</v>
      </c>
      <c r="I1042" s="452" t="s">
        <v>4579</v>
      </c>
      <c r="J1042" s="453" t="s">
        <v>1285</v>
      </c>
      <c r="K1042" s="454"/>
      <c r="L1042" s="455"/>
      <c r="M1042" s="455"/>
      <c r="N1042" s="456">
        <v>21247.585168463102</v>
      </c>
      <c r="O1042" s="457"/>
      <c r="P1042" s="430"/>
    </row>
    <row r="1043" spans="1:16" ht="33.75" hidden="1" customHeight="1" outlineLevel="3" x14ac:dyDescent="0.2">
      <c r="A1043" s="233">
        <v>0</v>
      </c>
      <c r="B1043" s="233">
        <v>11</v>
      </c>
      <c r="C1043" s="233">
        <v>3</v>
      </c>
      <c r="D1043" s="234">
        <v>1</v>
      </c>
      <c r="E1043" s="234">
        <v>1</v>
      </c>
      <c r="G1043" s="500" t="s">
        <v>2337</v>
      </c>
      <c r="H1043" s="459" t="s">
        <v>1238</v>
      </c>
      <c r="I1043" s="460" t="s">
        <v>4580</v>
      </c>
      <c r="J1043" s="461" t="s">
        <v>1259</v>
      </c>
      <c r="K1043" s="462" t="s">
        <v>1129</v>
      </c>
      <c r="L1043" s="463">
        <v>1</v>
      </c>
      <c r="M1043" s="463">
        <v>16370.299875157909</v>
      </c>
      <c r="N1043" s="464">
        <v>16370.2998751579</v>
      </c>
      <c r="O1043" s="471" t="s">
        <v>3005</v>
      </c>
      <c r="P1043" s="431" t="s">
        <v>6711</v>
      </c>
    </row>
    <row r="1044" spans="1:16" ht="33" hidden="1" customHeight="1" outlineLevel="3" x14ac:dyDescent="0.2">
      <c r="A1044" s="233">
        <v>0</v>
      </c>
      <c r="B1044" s="233">
        <v>11</v>
      </c>
      <c r="C1044" s="233">
        <v>3</v>
      </c>
      <c r="D1044" s="234">
        <v>1</v>
      </c>
      <c r="E1044" s="234">
        <v>2</v>
      </c>
      <c r="G1044" s="500" t="s">
        <v>2337</v>
      </c>
      <c r="H1044" s="459" t="s">
        <v>1238</v>
      </c>
      <c r="I1044" s="460" t="s">
        <v>4581</v>
      </c>
      <c r="J1044" s="461" t="s">
        <v>1260</v>
      </c>
      <c r="K1044" s="462" t="s">
        <v>1129</v>
      </c>
      <c r="L1044" s="463">
        <v>1</v>
      </c>
      <c r="M1044" s="463">
        <v>4877.2852933051718</v>
      </c>
      <c r="N1044" s="464">
        <v>4877.2852933051699</v>
      </c>
      <c r="O1044" s="471" t="s">
        <v>3006</v>
      </c>
      <c r="P1044" s="431" t="s">
        <v>6711</v>
      </c>
    </row>
    <row r="1045" spans="1:16" ht="13.9" hidden="1" customHeight="1" outlineLevel="2" x14ac:dyDescent="0.2">
      <c r="A1045" s="233">
        <v>0</v>
      </c>
      <c r="B1045" s="233">
        <v>11</v>
      </c>
      <c r="C1045" s="233">
        <v>3</v>
      </c>
      <c r="D1045" s="234">
        <v>2</v>
      </c>
      <c r="E1045" s="234">
        <v>0</v>
      </c>
      <c r="G1045" s="450"/>
      <c r="H1045" s="451" t="s">
        <v>1237</v>
      </c>
      <c r="I1045" s="452" t="s">
        <v>4582</v>
      </c>
      <c r="J1045" s="453" t="s">
        <v>1615</v>
      </c>
      <c r="K1045" s="454"/>
      <c r="L1045" s="455"/>
      <c r="M1045" s="455"/>
      <c r="N1045" s="456">
        <v>1242.1865396769199</v>
      </c>
      <c r="O1045" s="457"/>
      <c r="P1045" s="430"/>
    </row>
    <row r="1046" spans="1:16" ht="13.9" hidden="1" customHeight="1" outlineLevel="3" x14ac:dyDescent="0.2">
      <c r="A1046" s="233">
        <v>0</v>
      </c>
      <c r="B1046" s="233">
        <v>11</v>
      </c>
      <c r="C1046" s="233">
        <v>3</v>
      </c>
      <c r="D1046" s="234">
        <v>2</v>
      </c>
      <c r="E1046" s="234">
        <v>1</v>
      </c>
      <c r="G1046" s="500" t="s">
        <v>2337</v>
      </c>
      <c r="H1046" s="459" t="s">
        <v>1238</v>
      </c>
      <c r="I1046" s="460" t="s">
        <v>4583</v>
      </c>
      <c r="J1046" s="461" t="s">
        <v>2716</v>
      </c>
      <c r="K1046" s="462" t="s">
        <v>1129</v>
      </c>
      <c r="L1046" s="463">
        <v>1</v>
      </c>
      <c r="M1046" s="463">
        <v>1242.1865396769197</v>
      </c>
      <c r="N1046" s="464">
        <v>1242.1865396769199</v>
      </c>
      <c r="O1046" s="465" t="s">
        <v>2718</v>
      </c>
      <c r="P1046" s="431" t="s">
        <v>6711</v>
      </c>
    </row>
    <row r="1047" spans="1:16" ht="13.9" hidden="1" customHeight="1" outlineLevel="2" x14ac:dyDescent="0.2">
      <c r="A1047" s="233">
        <v>0</v>
      </c>
      <c r="B1047" s="233">
        <v>11</v>
      </c>
      <c r="C1047" s="233">
        <v>3</v>
      </c>
      <c r="D1047" s="234">
        <v>3</v>
      </c>
      <c r="E1047" s="234">
        <v>0</v>
      </c>
      <c r="G1047" s="450"/>
      <c r="H1047" s="451" t="s">
        <v>1237</v>
      </c>
      <c r="I1047" s="452" t="s">
        <v>4584</v>
      </c>
      <c r="J1047" s="453" t="s">
        <v>2715</v>
      </c>
      <c r="K1047" s="454"/>
      <c r="L1047" s="455"/>
      <c r="M1047" s="455"/>
      <c r="N1047" s="456">
        <v>8754.8977618589797</v>
      </c>
      <c r="O1047" s="457"/>
      <c r="P1047" s="430"/>
    </row>
    <row r="1048" spans="1:16" ht="13.9" hidden="1" customHeight="1" outlineLevel="3" x14ac:dyDescent="0.2">
      <c r="A1048" s="233">
        <v>0</v>
      </c>
      <c r="B1048" s="233">
        <v>11</v>
      </c>
      <c r="C1048" s="233">
        <v>3</v>
      </c>
      <c r="D1048" s="234">
        <v>3</v>
      </c>
      <c r="E1048" s="234">
        <v>1</v>
      </c>
      <c r="G1048" s="500" t="s">
        <v>2337</v>
      </c>
      <c r="H1048" s="459" t="s">
        <v>1238</v>
      </c>
      <c r="I1048" s="460" t="s">
        <v>4585</v>
      </c>
      <c r="J1048" s="461" t="s">
        <v>2717</v>
      </c>
      <c r="K1048" s="462" t="s">
        <v>1129</v>
      </c>
      <c r="L1048" s="463">
        <v>1</v>
      </c>
      <c r="M1048" s="463">
        <v>78.638828025289811</v>
      </c>
      <c r="N1048" s="464">
        <v>78.638828025289797</v>
      </c>
      <c r="O1048" s="465" t="s">
        <v>2784</v>
      </c>
      <c r="P1048" s="431" t="s">
        <v>6711</v>
      </c>
    </row>
    <row r="1049" spans="1:16" ht="13.9" hidden="1" customHeight="1" outlineLevel="3" x14ac:dyDescent="0.2">
      <c r="A1049" s="233">
        <v>0</v>
      </c>
      <c r="B1049" s="233">
        <v>11</v>
      </c>
      <c r="C1049" s="233">
        <v>3</v>
      </c>
      <c r="D1049" s="234">
        <v>3</v>
      </c>
      <c r="E1049" s="234">
        <v>2</v>
      </c>
      <c r="G1049" s="500" t="s">
        <v>2337</v>
      </c>
      <c r="H1049" s="459" t="s">
        <v>1238</v>
      </c>
      <c r="I1049" s="460" t="s">
        <v>4586</v>
      </c>
      <c r="J1049" s="461" t="s">
        <v>3028</v>
      </c>
      <c r="K1049" s="462" t="s">
        <v>1129</v>
      </c>
      <c r="L1049" s="463">
        <v>1</v>
      </c>
      <c r="M1049" s="463">
        <v>8676.2589338336911</v>
      </c>
      <c r="N1049" s="464">
        <v>8676.2589338336893</v>
      </c>
      <c r="O1049" s="471" t="s">
        <v>3005</v>
      </c>
      <c r="P1049" s="431" t="s">
        <v>6711</v>
      </c>
    </row>
    <row r="1050" spans="1:16" ht="13.9" hidden="1" customHeight="1" outlineLevel="2" x14ac:dyDescent="0.2">
      <c r="A1050" s="233">
        <v>0</v>
      </c>
      <c r="B1050" s="233">
        <v>11</v>
      </c>
      <c r="C1050" s="233">
        <v>3</v>
      </c>
      <c r="D1050" s="234">
        <v>4</v>
      </c>
      <c r="E1050" s="234">
        <v>0</v>
      </c>
      <c r="G1050" s="450"/>
      <c r="H1050" s="451" t="s">
        <v>1237</v>
      </c>
      <c r="I1050" s="452" t="s">
        <v>4587</v>
      </c>
      <c r="J1050" s="453" t="s">
        <v>2338</v>
      </c>
      <c r="K1050" s="454"/>
      <c r="L1050" s="455"/>
      <c r="M1050" s="455"/>
      <c r="N1050" s="456">
        <v>3362</v>
      </c>
      <c r="O1050" s="457"/>
      <c r="P1050" s="430"/>
    </row>
    <row r="1051" spans="1:16" ht="13.9" hidden="1" customHeight="1" outlineLevel="3" x14ac:dyDescent="0.2">
      <c r="A1051" s="233">
        <v>0</v>
      </c>
      <c r="B1051" s="233">
        <v>11</v>
      </c>
      <c r="C1051" s="233">
        <v>3</v>
      </c>
      <c r="D1051" s="234">
        <v>4</v>
      </c>
      <c r="E1051" s="234">
        <v>1</v>
      </c>
      <c r="G1051" s="500" t="s">
        <v>2337</v>
      </c>
      <c r="H1051" s="459" t="s">
        <v>1238</v>
      </c>
      <c r="I1051" s="460" t="s">
        <v>4588</v>
      </c>
      <c r="J1051" s="461" t="s">
        <v>2338</v>
      </c>
      <c r="K1051" s="462" t="s">
        <v>533</v>
      </c>
      <c r="L1051" s="463">
        <v>1</v>
      </c>
      <c r="M1051" s="463">
        <v>2262</v>
      </c>
      <c r="N1051" s="464">
        <v>2262</v>
      </c>
      <c r="O1051" s="465" t="s">
        <v>2339</v>
      </c>
      <c r="P1051" s="431" t="s">
        <v>6711</v>
      </c>
    </row>
    <row r="1052" spans="1:16" ht="13.9" hidden="1" customHeight="1" outlineLevel="3" x14ac:dyDescent="0.2">
      <c r="A1052" s="233">
        <v>0</v>
      </c>
      <c r="B1052" s="233">
        <v>11</v>
      </c>
      <c r="C1052" s="233">
        <v>3</v>
      </c>
      <c r="D1052" s="234">
        <v>4</v>
      </c>
      <c r="E1052" s="234">
        <v>2</v>
      </c>
      <c r="G1052" s="500" t="s">
        <v>2337</v>
      </c>
      <c r="H1052" s="459" t="s">
        <v>1238</v>
      </c>
      <c r="I1052" s="460" t="s">
        <v>4589</v>
      </c>
      <c r="J1052" s="461" t="s">
        <v>2713</v>
      </c>
      <c r="K1052" s="462" t="s">
        <v>533</v>
      </c>
      <c r="L1052" s="463">
        <v>1</v>
      </c>
      <c r="M1052" s="463">
        <v>1100</v>
      </c>
      <c r="N1052" s="464">
        <v>1100</v>
      </c>
      <c r="O1052" s="465" t="s">
        <v>2714</v>
      </c>
      <c r="P1052" s="431" t="s">
        <v>6711</v>
      </c>
    </row>
    <row r="1053" spans="1:16" ht="13.9" hidden="1" customHeight="1" outlineLevel="2" x14ac:dyDescent="0.2">
      <c r="A1053" s="233">
        <v>0</v>
      </c>
      <c r="B1053" s="233">
        <v>11</v>
      </c>
      <c r="C1053" s="233">
        <v>3</v>
      </c>
      <c r="D1053" s="234">
        <v>5</v>
      </c>
      <c r="E1053" s="234">
        <v>0</v>
      </c>
      <c r="G1053" s="450"/>
      <c r="H1053" s="451" t="s">
        <v>1237</v>
      </c>
      <c r="I1053" s="452" t="s">
        <v>4590</v>
      </c>
      <c r="J1053" s="453" t="s">
        <v>14</v>
      </c>
      <c r="K1053" s="454"/>
      <c r="L1053" s="455"/>
      <c r="M1053" s="455"/>
      <c r="N1053" s="456">
        <v>1178.6615910113701</v>
      </c>
      <c r="O1053" s="457"/>
      <c r="P1053" s="430"/>
    </row>
    <row r="1054" spans="1:16" ht="13.9" hidden="1" customHeight="1" outlineLevel="3" x14ac:dyDescent="0.2">
      <c r="A1054" s="233">
        <v>0</v>
      </c>
      <c r="B1054" s="233">
        <v>11</v>
      </c>
      <c r="C1054" s="233">
        <v>3</v>
      </c>
      <c r="D1054" s="234">
        <v>5</v>
      </c>
      <c r="E1054" s="234">
        <v>1</v>
      </c>
      <c r="G1054" s="500" t="s">
        <v>2337</v>
      </c>
      <c r="H1054" s="459" t="s">
        <v>1238</v>
      </c>
      <c r="I1054" s="460" t="s">
        <v>4591</v>
      </c>
      <c r="J1054" s="461" t="s">
        <v>2340</v>
      </c>
      <c r="K1054" s="462" t="s">
        <v>1129</v>
      </c>
      <c r="L1054" s="463">
        <v>1</v>
      </c>
      <c r="M1054" s="463">
        <v>1178.6615910113694</v>
      </c>
      <c r="N1054" s="464">
        <v>1178.6615910113701</v>
      </c>
      <c r="O1054" s="465" t="s">
        <v>3007</v>
      </c>
      <c r="P1054" s="431" t="s">
        <v>6711</v>
      </c>
    </row>
    <row r="1055" spans="1:16" ht="13.9" hidden="1" customHeight="1" outlineLevel="1" x14ac:dyDescent="0.2">
      <c r="A1055" s="233">
        <v>0</v>
      </c>
      <c r="B1055" s="233">
        <v>11</v>
      </c>
      <c r="C1055" s="233">
        <v>4</v>
      </c>
      <c r="D1055" s="234">
        <v>0</v>
      </c>
      <c r="E1055" s="234">
        <v>1</v>
      </c>
      <c r="G1055" s="443"/>
      <c r="H1055" s="444" t="s">
        <v>38</v>
      </c>
      <c r="I1055" s="445" t="s">
        <v>4592</v>
      </c>
      <c r="J1055" s="446" t="s">
        <v>3032</v>
      </c>
      <c r="K1055" s="447"/>
      <c r="L1055" s="448"/>
      <c r="M1055" s="448"/>
      <c r="N1055" s="449">
        <v>29163.228436539201</v>
      </c>
      <c r="O1055" s="432"/>
      <c r="P1055" s="435"/>
    </row>
    <row r="1056" spans="1:16" ht="13.9" hidden="1" customHeight="1" outlineLevel="2" x14ac:dyDescent="0.2">
      <c r="A1056" s="233">
        <v>0</v>
      </c>
      <c r="B1056" s="233">
        <v>11</v>
      </c>
      <c r="C1056" s="233">
        <v>4</v>
      </c>
      <c r="D1056" s="234">
        <v>1</v>
      </c>
      <c r="E1056" s="234">
        <v>0</v>
      </c>
      <c r="G1056" s="450"/>
      <c r="H1056" s="451" t="s">
        <v>1237</v>
      </c>
      <c r="I1056" s="452" t="s">
        <v>4593</v>
      </c>
      <c r="J1056" s="453" t="s">
        <v>1285</v>
      </c>
      <c r="K1056" s="454"/>
      <c r="L1056" s="455"/>
      <c r="M1056" s="455"/>
      <c r="N1056" s="456">
        <v>14704.8252513851</v>
      </c>
      <c r="O1056" s="457"/>
      <c r="P1056" s="430"/>
    </row>
    <row r="1057" spans="1:16" ht="33.75" hidden="1" customHeight="1" outlineLevel="3" x14ac:dyDescent="0.2">
      <c r="A1057" s="233">
        <v>0</v>
      </c>
      <c r="B1057" s="233">
        <v>11</v>
      </c>
      <c r="C1057" s="233">
        <v>4</v>
      </c>
      <c r="D1057" s="234">
        <v>1</v>
      </c>
      <c r="E1057" s="234">
        <v>1</v>
      </c>
      <c r="G1057" s="500" t="s">
        <v>2337</v>
      </c>
      <c r="H1057" s="459" t="s">
        <v>1238</v>
      </c>
      <c r="I1057" s="460" t="s">
        <v>4594</v>
      </c>
      <c r="J1057" s="461" t="s">
        <v>1259</v>
      </c>
      <c r="K1057" s="462" t="s">
        <v>1129</v>
      </c>
      <c r="L1057" s="463">
        <v>1</v>
      </c>
      <c r="M1057" s="463">
        <v>11329.400356246744</v>
      </c>
      <c r="N1057" s="464">
        <v>11329.400356246701</v>
      </c>
      <c r="O1057" s="471" t="s">
        <v>3005</v>
      </c>
      <c r="P1057" s="431" t="s">
        <v>6711</v>
      </c>
    </row>
    <row r="1058" spans="1:16" ht="33" hidden="1" customHeight="1" outlineLevel="3" x14ac:dyDescent="0.2">
      <c r="A1058" s="233">
        <v>0</v>
      </c>
      <c r="B1058" s="233">
        <v>11</v>
      </c>
      <c r="C1058" s="233">
        <v>4</v>
      </c>
      <c r="D1058" s="234">
        <v>1</v>
      </c>
      <c r="E1058" s="234">
        <v>2</v>
      </c>
      <c r="G1058" s="500" t="s">
        <v>2337</v>
      </c>
      <c r="H1058" s="459" t="s">
        <v>1238</v>
      </c>
      <c r="I1058" s="460" t="s">
        <v>4595</v>
      </c>
      <c r="J1058" s="461" t="s">
        <v>1260</v>
      </c>
      <c r="K1058" s="462" t="s">
        <v>1129</v>
      </c>
      <c r="L1058" s="463">
        <v>1</v>
      </c>
      <c r="M1058" s="463">
        <v>3375.4248951383738</v>
      </c>
      <c r="N1058" s="464">
        <v>3375.4248951383702</v>
      </c>
      <c r="O1058" s="471" t="s">
        <v>3006</v>
      </c>
      <c r="P1058" s="431" t="s">
        <v>6711</v>
      </c>
    </row>
    <row r="1059" spans="1:16" ht="13.9" hidden="1" customHeight="1" outlineLevel="2" x14ac:dyDescent="0.2">
      <c r="A1059" s="233">
        <v>0</v>
      </c>
      <c r="B1059" s="233">
        <v>11</v>
      </c>
      <c r="C1059" s="233">
        <v>4</v>
      </c>
      <c r="D1059" s="234">
        <v>2</v>
      </c>
      <c r="E1059" s="234">
        <v>0</v>
      </c>
      <c r="G1059" s="450"/>
      <c r="H1059" s="451" t="s">
        <v>1237</v>
      </c>
      <c r="I1059" s="452" t="s">
        <v>4596</v>
      </c>
      <c r="J1059" s="453" t="s">
        <v>1615</v>
      </c>
      <c r="K1059" s="454"/>
      <c r="L1059" s="455"/>
      <c r="M1059" s="455"/>
      <c r="N1059" s="456">
        <v>859.68056373218099</v>
      </c>
      <c r="O1059" s="457"/>
      <c r="P1059" s="430"/>
    </row>
    <row r="1060" spans="1:16" ht="13.9" hidden="1" customHeight="1" outlineLevel="3" x14ac:dyDescent="0.2">
      <c r="A1060" s="233">
        <v>0</v>
      </c>
      <c r="B1060" s="233">
        <v>11</v>
      </c>
      <c r="C1060" s="233">
        <v>4</v>
      </c>
      <c r="D1060" s="234">
        <v>2</v>
      </c>
      <c r="E1060" s="234">
        <v>1</v>
      </c>
      <c r="G1060" s="500" t="s">
        <v>2337</v>
      </c>
      <c r="H1060" s="459" t="s">
        <v>1238</v>
      </c>
      <c r="I1060" s="460" t="s">
        <v>4597</v>
      </c>
      <c r="J1060" s="461" t="s">
        <v>2716</v>
      </c>
      <c r="K1060" s="462" t="s">
        <v>1129</v>
      </c>
      <c r="L1060" s="463">
        <v>1</v>
      </c>
      <c r="M1060" s="463">
        <v>859.6805637321811</v>
      </c>
      <c r="N1060" s="464">
        <v>859.68056373218099</v>
      </c>
      <c r="O1060" s="465" t="s">
        <v>2718</v>
      </c>
      <c r="P1060" s="431" t="s">
        <v>6711</v>
      </c>
    </row>
    <row r="1061" spans="1:16" ht="13.9" hidden="1" customHeight="1" outlineLevel="2" x14ac:dyDescent="0.2">
      <c r="A1061" s="233">
        <v>0</v>
      </c>
      <c r="B1061" s="233">
        <v>11</v>
      </c>
      <c r="C1061" s="233">
        <v>4</v>
      </c>
      <c r="D1061" s="234">
        <v>3</v>
      </c>
      <c r="E1061" s="234">
        <v>0</v>
      </c>
      <c r="G1061" s="450"/>
      <c r="H1061" s="451" t="s">
        <v>1237</v>
      </c>
      <c r="I1061" s="452" t="s">
        <v>4598</v>
      </c>
      <c r="J1061" s="453" t="s">
        <v>2715</v>
      </c>
      <c r="K1061" s="454"/>
      <c r="L1061" s="455"/>
      <c r="M1061" s="455"/>
      <c r="N1061" s="456">
        <v>6059.0057957720901</v>
      </c>
      <c r="O1061" s="457"/>
      <c r="P1061" s="430"/>
    </row>
    <row r="1062" spans="1:16" ht="13.9" hidden="1" customHeight="1" outlineLevel="3" x14ac:dyDescent="0.2">
      <c r="A1062" s="233">
        <v>0</v>
      </c>
      <c r="B1062" s="233">
        <v>11</v>
      </c>
      <c r="C1062" s="233">
        <v>4</v>
      </c>
      <c r="D1062" s="234">
        <v>3</v>
      </c>
      <c r="E1062" s="234">
        <v>1</v>
      </c>
      <c r="G1062" s="500" t="s">
        <v>2337</v>
      </c>
      <c r="H1062" s="459" t="s">
        <v>1238</v>
      </c>
      <c r="I1062" s="460" t="s">
        <v>4599</v>
      </c>
      <c r="J1062" s="461" t="s">
        <v>2717</v>
      </c>
      <c r="K1062" s="462" t="s">
        <v>1129</v>
      </c>
      <c r="L1062" s="463">
        <v>1</v>
      </c>
      <c r="M1062" s="463">
        <v>54.423606961320296</v>
      </c>
      <c r="N1062" s="464">
        <v>54.423606961320303</v>
      </c>
      <c r="O1062" s="465" t="s">
        <v>2784</v>
      </c>
      <c r="P1062" s="431" t="s">
        <v>6711</v>
      </c>
    </row>
    <row r="1063" spans="1:16" ht="13.9" hidden="1" customHeight="1" outlineLevel="3" x14ac:dyDescent="0.2">
      <c r="A1063" s="233">
        <v>0</v>
      </c>
      <c r="B1063" s="233">
        <v>11</v>
      </c>
      <c r="C1063" s="233">
        <v>4</v>
      </c>
      <c r="D1063" s="234">
        <v>3</v>
      </c>
      <c r="E1063" s="234">
        <v>2</v>
      </c>
      <c r="G1063" s="500" t="s">
        <v>2337</v>
      </c>
      <c r="H1063" s="459" t="s">
        <v>1238</v>
      </c>
      <c r="I1063" s="460" t="s">
        <v>4600</v>
      </c>
      <c r="J1063" s="461" t="s">
        <v>3028</v>
      </c>
      <c r="K1063" s="462" t="s">
        <v>1129</v>
      </c>
      <c r="L1063" s="463">
        <v>1</v>
      </c>
      <c r="M1063" s="463">
        <v>6004.5821888107739</v>
      </c>
      <c r="N1063" s="464">
        <v>6004.5821888107703</v>
      </c>
      <c r="O1063" s="471" t="s">
        <v>3005</v>
      </c>
      <c r="P1063" s="431" t="s">
        <v>6711</v>
      </c>
    </row>
    <row r="1064" spans="1:16" ht="13.9" hidden="1" customHeight="1" outlineLevel="2" x14ac:dyDescent="0.2">
      <c r="A1064" s="233">
        <v>0</v>
      </c>
      <c r="B1064" s="233">
        <v>11</v>
      </c>
      <c r="C1064" s="233">
        <v>4</v>
      </c>
      <c r="D1064" s="234">
        <v>4</v>
      </c>
      <c r="E1064" s="234">
        <v>0</v>
      </c>
      <c r="G1064" s="450"/>
      <c r="H1064" s="451" t="s">
        <v>1237</v>
      </c>
      <c r="I1064" s="452" t="s">
        <v>4601</v>
      </c>
      <c r="J1064" s="453" t="s">
        <v>2338</v>
      </c>
      <c r="K1064" s="454"/>
      <c r="L1064" s="455"/>
      <c r="M1064" s="455"/>
      <c r="N1064" s="456">
        <v>6724</v>
      </c>
      <c r="O1064" s="457"/>
      <c r="P1064" s="430"/>
    </row>
    <row r="1065" spans="1:16" ht="13.9" hidden="1" customHeight="1" outlineLevel="3" x14ac:dyDescent="0.2">
      <c r="A1065" s="233">
        <v>0</v>
      </c>
      <c r="B1065" s="233">
        <v>11</v>
      </c>
      <c r="C1065" s="233">
        <v>4</v>
      </c>
      <c r="D1065" s="234">
        <v>4</v>
      </c>
      <c r="E1065" s="234">
        <v>1</v>
      </c>
      <c r="G1065" s="500" t="s">
        <v>2337</v>
      </c>
      <c r="H1065" s="459" t="s">
        <v>1238</v>
      </c>
      <c r="I1065" s="460" t="s">
        <v>4602</v>
      </c>
      <c r="J1065" s="461" t="s">
        <v>2338</v>
      </c>
      <c r="K1065" s="462" t="s">
        <v>533</v>
      </c>
      <c r="L1065" s="463">
        <v>2</v>
      </c>
      <c r="M1065" s="463">
        <v>2262</v>
      </c>
      <c r="N1065" s="464">
        <v>4524</v>
      </c>
      <c r="O1065" s="465" t="s">
        <v>2339</v>
      </c>
      <c r="P1065" s="431" t="s">
        <v>6711</v>
      </c>
    </row>
    <row r="1066" spans="1:16" ht="13.9" hidden="1" customHeight="1" outlineLevel="3" x14ac:dyDescent="0.2">
      <c r="A1066" s="233">
        <v>0</v>
      </c>
      <c r="B1066" s="233">
        <v>11</v>
      </c>
      <c r="C1066" s="233">
        <v>4</v>
      </c>
      <c r="D1066" s="234">
        <v>4</v>
      </c>
      <c r="E1066" s="234">
        <v>2</v>
      </c>
      <c r="G1066" s="500" t="s">
        <v>2337</v>
      </c>
      <c r="H1066" s="459" t="s">
        <v>1238</v>
      </c>
      <c r="I1066" s="460" t="s">
        <v>4603</v>
      </c>
      <c r="J1066" s="461" t="s">
        <v>2713</v>
      </c>
      <c r="K1066" s="462" t="s">
        <v>533</v>
      </c>
      <c r="L1066" s="463">
        <v>2</v>
      </c>
      <c r="M1066" s="463">
        <v>1100</v>
      </c>
      <c r="N1066" s="464">
        <v>2200</v>
      </c>
      <c r="O1066" s="465" t="s">
        <v>2714</v>
      </c>
      <c r="P1066" s="431" t="s">
        <v>6711</v>
      </c>
    </row>
    <row r="1067" spans="1:16" ht="13.9" hidden="1" customHeight="1" outlineLevel="2" x14ac:dyDescent="0.2">
      <c r="A1067" s="233">
        <v>0</v>
      </c>
      <c r="B1067" s="233">
        <v>11</v>
      </c>
      <c r="C1067" s="233">
        <v>4</v>
      </c>
      <c r="D1067" s="234">
        <v>5</v>
      </c>
      <c r="E1067" s="234">
        <v>0</v>
      </c>
      <c r="G1067" s="450"/>
      <c r="H1067" s="451" t="s">
        <v>1237</v>
      </c>
      <c r="I1067" s="452" t="s">
        <v>4604</v>
      </c>
      <c r="J1067" s="453" t="s">
        <v>14</v>
      </c>
      <c r="K1067" s="454"/>
      <c r="L1067" s="455"/>
      <c r="M1067" s="455"/>
      <c r="N1067" s="456">
        <v>815.71682564976504</v>
      </c>
      <c r="O1067" s="457"/>
      <c r="P1067" s="430"/>
    </row>
    <row r="1068" spans="1:16" ht="13.9" hidden="1" customHeight="1" outlineLevel="3" x14ac:dyDescent="0.2">
      <c r="A1068" s="233">
        <v>0</v>
      </c>
      <c r="B1068" s="233">
        <v>11</v>
      </c>
      <c r="C1068" s="233">
        <v>4</v>
      </c>
      <c r="D1068" s="234">
        <v>5</v>
      </c>
      <c r="E1068" s="234">
        <v>1</v>
      </c>
      <c r="G1068" s="500" t="s">
        <v>2337</v>
      </c>
      <c r="H1068" s="459" t="s">
        <v>1238</v>
      </c>
      <c r="I1068" s="460" t="s">
        <v>4605</v>
      </c>
      <c r="J1068" s="461" t="s">
        <v>2340</v>
      </c>
      <c r="K1068" s="462" t="s">
        <v>1129</v>
      </c>
      <c r="L1068" s="463">
        <v>1</v>
      </c>
      <c r="M1068" s="463">
        <v>815.7168256497655</v>
      </c>
      <c r="N1068" s="464">
        <v>815.71682564976504</v>
      </c>
      <c r="O1068" s="465" t="s">
        <v>3007</v>
      </c>
      <c r="P1068" s="431" t="s">
        <v>6711</v>
      </c>
    </row>
    <row r="1069" spans="1:16" ht="13.9" hidden="1" customHeight="1" outlineLevel="1" x14ac:dyDescent="0.2">
      <c r="A1069" s="233">
        <v>0</v>
      </c>
      <c r="B1069" s="233">
        <v>11</v>
      </c>
      <c r="C1069" s="233">
        <v>5</v>
      </c>
      <c r="D1069" s="234">
        <v>0</v>
      </c>
      <c r="E1069" s="234">
        <v>1</v>
      </c>
      <c r="G1069" s="443"/>
      <c r="H1069" s="444" t="s">
        <v>38</v>
      </c>
      <c r="I1069" s="445" t="s">
        <v>4606</v>
      </c>
      <c r="J1069" s="446" t="s">
        <v>3033</v>
      </c>
      <c r="K1069" s="447"/>
      <c r="L1069" s="448"/>
      <c r="M1069" s="448"/>
      <c r="N1069" s="449">
        <v>211423.147510904</v>
      </c>
      <c r="O1069" s="432"/>
      <c r="P1069" s="435"/>
    </row>
    <row r="1070" spans="1:16" ht="13.9" hidden="1" customHeight="1" outlineLevel="2" x14ac:dyDescent="0.2">
      <c r="A1070" s="233">
        <v>0</v>
      </c>
      <c r="B1070" s="233">
        <v>11</v>
      </c>
      <c r="C1070" s="233">
        <v>5</v>
      </c>
      <c r="D1070" s="234">
        <v>1</v>
      </c>
      <c r="E1070" s="234">
        <v>0</v>
      </c>
      <c r="G1070" s="450"/>
      <c r="H1070" s="451" t="s">
        <v>1237</v>
      </c>
      <c r="I1070" s="452" t="s">
        <v>4607</v>
      </c>
      <c r="J1070" s="453" t="s">
        <v>1285</v>
      </c>
      <c r="K1070" s="454"/>
      <c r="L1070" s="455"/>
      <c r="M1070" s="455"/>
      <c r="N1070" s="456">
        <v>103298.492854982</v>
      </c>
      <c r="O1070" s="457"/>
      <c r="P1070" s="430"/>
    </row>
    <row r="1071" spans="1:16" ht="33.75" hidden="1" customHeight="1" outlineLevel="3" x14ac:dyDescent="0.2">
      <c r="A1071" s="233">
        <v>0</v>
      </c>
      <c r="B1071" s="233">
        <v>11</v>
      </c>
      <c r="C1071" s="233">
        <v>5</v>
      </c>
      <c r="D1071" s="234">
        <v>1</v>
      </c>
      <c r="E1071" s="234">
        <v>1</v>
      </c>
      <c r="G1071" s="500" t="s">
        <v>2337</v>
      </c>
      <c r="H1071" s="459" t="s">
        <v>1238</v>
      </c>
      <c r="I1071" s="460" t="s">
        <v>4608</v>
      </c>
      <c r="J1071" s="461" t="s">
        <v>1259</v>
      </c>
      <c r="K1071" s="462" t="s">
        <v>1129</v>
      </c>
      <c r="L1071" s="463">
        <v>1</v>
      </c>
      <c r="M1071" s="463">
        <v>79586.799689493244</v>
      </c>
      <c r="N1071" s="464">
        <v>79586.7996894932</v>
      </c>
      <c r="O1071" s="471" t="s">
        <v>3005</v>
      </c>
      <c r="P1071" s="431" t="s">
        <v>6711</v>
      </c>
    </row>
    <row r="1072" spans="1:16" ht="33" hidden="1" customHeight="1" outlineLevel="3" x14ac:dyDescent="0.2">
      <c r="A1072" s="233">
        <v>0</v>
      </c>
      <c r="B1072" s="233">
        <v>11</v>
      </c>
      <c r="C1072" s="233">
        <v>5</v>
      </c>
      <c r="D1072" s="234">
        <v>1</v>
      </c>
      <c r="E1072" s="234">
        <v>2</v>
      </c>
      <c r="G1072" s="500" t="s">
        <v>2337</v>
      </c>
      <c r="H1072" s="459" t="s">
        <v>1238</v>
      </c>
      <c r="I1072" s="460" t="s">
        <v>4609</v>
      </c>
      <c r="J1072" s="461" t="s">
        <v>1260</v>
      </c>
      <c r="K1072" s="462" t="s">
        <v>1129</v>
      </c>
      <c r="L1072" s="463">
        <v>1</v>
      </c>
      <c r="M1072" s="463">
        <v>23711.693165489174</v>
      </c>
      <c r="N1072" s="464">
        <v>23711.6931654892</v>
      </c>
      <c r="O1072" s="471" t="s">
        <v>3006</v>
      </c>
      <c r="P1072" s="431" t="s">
        <v>6711</v>
      </c>
    </row>
    <row r="1073" spans="1:16" ht="13.9" hidden="1" customHeight="1" outlineLevel="2" x14ac:dyDescent="0.2">
      <c r="A1073" s="233">
        <v>0</v>
      </c>
      <c r="B1073" s="233">
        <v>11</v>
      </c>
      <c r="C1073" s="233">
        <v>5</v>
      </c>
      <c r="D1073" s="234">
        <v>2</v>
      </c>
      <c r="E1073" s="234">
        <v>0</v>
      </c>
      <c r="G1073" s="450"/>
      <c r="H1073" s="451" t="s">
        <v>1237</v>
      </c>
      <c r="I1073" s="452" t="s">
        <v>4610</v>
      </c>
      <c r="J1073" s="453" t="s">
        <v>1615</v>
      </c>
      <c r="K1073" s="454"/>
      <c r="L1073" s="455"/>
      <c r="M1073" s="455"/>
      <c r="N1073" s="456">
        <v>6039.0861538385898</v>
      </c>
      <c r="O1073" s="457"/>
      <c r="P1073" s="430"/>
    </row>
    <row r="1074" spans="1:16" ht="13.9" hidden="1" customHeight="1" outlineLevel="3" x14ac:dyDescent="0.2">
      <c r="A1074" s="233">
        <v>0</v>
      </c>
      <c r="B1074" s="233">
        <v>11</v>
      </c>
      <c r="C1074" s="233">
        <v>5</v>
      </c>
      <c r="D1074" s="234">
        <v>2</v>
      </c>
      <c r="E1074" s="234">
        <v>1</v>
      </c>
      <c r="G1074" s="500" t="s">
        <v>2337</v>
      </c>
      <c r="H1074" s="459" t="s">
        <v>1238</v>
      </c>
      <c r="I1074" s="460" t="s">
        <v>4611</v>
      </c>
      <c r="J1074" s="461" t="s">
        <v>2716</v>
      </c>
      <c r="K1074" s="462" t="s">
        <v>1129</v>
      </c>
      <c r="L1074" s="463">
        <v>1</v>
      </c>
      <c r="M1074" s="463">
        <v>6039.0861538385934</v>
      </c>
      <c r="N1074" s="464">
        <v>6039.0861538385898</v>
      </c>
      <c r="O1074" s="465" t="s">
        <v>2718</v>
      </c>
      <c r="P1074" s="431" t="s">
        <v>6711</v>
      </c>
    </row>
    <row r="1075" spans="1:16" ht="13.9" hidden="1" customHeight="1" outlineLevel="2" x14ac:dyDescent="0.2">
      <c r="A1075" s="233">
        <v>0</v>
      </c>
      <c r="B1075" s="233">
        <v>11</v>
      </c>
      <c r="C1075" s="233">
        <v>5</v>
      </c>
      <c r="D1075" s="234">
        <v>3</v>
      </c>
      <c r="E1075" s="234">
        <v>0</v>
      </c>
      <c r="G1075" s="450"/>
      <c r="H1075" s="451" t="s">
        <v>1237</v>
      </c>
      <c r="I1075" s="452" t="s">
        <v>4612</v>
      </c>
      <c r="J1075" s="453" t="s">
        <v>2715</v>
      </c>
      <c r="K1075" s="454"/>
      <c r="L1075" s="455"/>
      <c r="M1075" s="455"/>
      <c r="N1075" s="456">
        <v>42563.318924439802</v>
      </c>
      <c r="O1075" s="457"/>
      <c r="P1075" s="430"/>
    </row>
    <row r="1076" spans="1:16" ht="13.9" hidden="1" customHeight="1" outlineLevel="3" x14ac:dyDescent="0.2">
      <c r="A1076" s="233">
        <v>0</v>
      </c>
      <c r="B1076" s="233">
        <v>11</v>
      </c>
      <c r="C1076" s="233">
        <v>5</v>
      </c>
      <c r="D1076" s="234">
        <v>3</v>
      </c>
      <c r="E1076" s="234">
        <v>1</v>
      </c>
      <c r="G1076" s="500" t="s">
        <v>2337</v>
      </c>
      <c r="H1076" s="459" t="s">
        <v>1238</v>
      </c>
      <c r="I1076" s="460" t="s">
        <v>4613</v>
      </c>
      <c r="J1076" s="461" t="s">
        <v>2717</v>
      </c>
      <c r="K1076" s="462" t="s">
        <v>1129</v>
      </c>
      <c r="L1076" s="463">
        <v>1</v>
      </c>
      <c r="M1076" s="463">
        <v>382.31508900840322</v>
      </c>
      <c r="N1076" s="464">
        <v>382.31508900840299</v>
      </c>
      <c r="O1076" s="465" t="s">
        <v>2784</v>
      </c>
      <c r="P1076" s="431" t="s">
        <v>6711</v>
      </c>
    </row>
    <row r="1077" spans="1:16" ht="13.9" hidden="1" customHeight="1" outlineLevel="3" x14ac:dyDescent="0.2">
      <c r="A1077" s="233">
        <v>0</v>
      </c>
      <c r="B1077" s="233">
        <v>11</v>
      </c>
      <c r="C1077" s="233">
        <v>5</v>
      </c>
      <c r="D1077" s="234">
        <v>3</v>
      </c>
      <c r="E1077" s="234">
        <v>2</v>
      </c>
      <c r="G1077" s="500" t="s">
        <v>2337</v>
      </c>
      <c r="H1077" s="459" t="s">
        <v>1238</v>
      </c>
      <c r="I1077" s="460" t="s">
        <v>4614</v>
      </c>
      <c r="J1077" s="461" t="s">
        <v>3028</v>
      </c>
      <c r="K1077" s="462" t="s">
        <v>1129</v>
      </c>
      <c r="L1077" s="463">
        <v>1</v>
      </c>
      <c r="M1077" s="463">
        <v>42181.003835431424</v>
      </c>
      <c r="N1077" s="464">
        <v>42181.003835431402</v>
      </c>
      <c r="O1077" s="471" t="s">
        <v>3005</v>
      </c>
      <c r="P1077" s="431" t="s">
        <v>6711</v>
      </c>
    </row>
    <row r="1078" spans="1:16" ht="13.9" hidden="1" customHeight="1" outlineLevel="2" x14ac:dyDescent="0.2">
      <c r="A1078" s="233">
        <v>0</v>
      </c>
      <c r="B1078" s="233">
        <v>11</v>
      </c>
      <c r="C1078" s="233">
        <v>5</v>
      </c>
      <c r="D1078" s="234">
        <v>4</v>
      </c>
      <c r="E1078" s="234">
        <v>0</v>
      </c>
      <c r="G1078" s="450"/>
      <c r="H1078" s="451" t="s">
        <v>1237</v>
      </c>
      <c r="I1078" s="452" t="s">
        <v>4615</v>
      </c>
      <c r="J1078" s="453" t="s">
        <v>2338</v>
      </c>
      <c r="K1078" s="454"/>
      <c r="L1078" s="455"/>
      <c r="M1078" s="455"/>
      <c r="N1078" s="456">
        <v>53792</v>
      </c>
      <c r="O1078" s="457"/>
      <c r="P1078" s="430"/>
    </row>
    <row r="1079" spans="1:16" ht="13.9" hidden="1" customHeight="1" outlineLevel="3" x14ac:dyDescent="0.2">
      <c r="A1079" s="233">
        <v>0</v>
      </c>
      <c r="B1079" s="233">
        <v>11</v>
      </c>
      <c r="C1079" s="233">
        <v>5</v>
      </c>
      <c r="D1079" s="234">
        <v>4</v>
      </c>
      <c r="E1079" s="234">
        <v>1</v>
      </c>
      <c r="G1079" s="500" t="s">
        <v>2337</v>
      </c>
      <c r="H1079" s="459" t="s">
        <v>1238</v>
      </c>
      <c r="I1079" s="460" t="s">
        <v>4616</v>
      </c>
      <c r="J1079" s="461" t="s">
        <v>2338</v>
      </c>
      <c r="K1079" s="462" t="s">
        <v>533</v>
      </c>
      <c r="L1079" s="463">
        <v>16</v>
      </c>
      <c r="M1079" s="463">
        <v>2262</v>
      </c>
      <c r="N1079" s="464">
        <v>36192</v>
      </c>
      <c r="O1079" s="465" t="s">
        <v>2339</v>
      </c>
      <c r="P1079" s="431" t="s">
        <v>6711</v>
      </c>
    </row>
    <row r="1080" spans="1:16" ht="13.9" hidden="1" customHeight="1" outlineLevel="3" x14ac:dyDescent="0.2">
      <c r="A1080" s="233">
        <v>0</v>
      </c>
      <c r="B1080" s="233">
        <v>11</v>
      </c>
      <c r="C1080" s="233">
        <v>5</v>
      </c>
      <c r="D1080" s="234">
        <v>4</v>
      </c>
      <c r="E1080" s="234">
        <v>2</v>
      </c>
      <c r="G1080" s="500" t="s">
        <v>2337</v>
      </c>
      <c r="H1080" s="459" t="s">
        <v>1238</v>
      </c>
      <c r="I1080" s="460" t="s">
        <v>4617</v>
      </c>
      <c r="J1080" s="461" t="s">
        <v>2713</v>
      </c>
      <c r="K1080" s="462" t="s">
        <v>533</v>
      </c>
      <c r="L1080" s="463">
        <v>16</v>
      </c>
      <c r="M1080" s="463">
        <v>1100</v>
      </c>
      <c r="N1080" s="464">
        <v>17600</v>
      </c>
      <c r="O1080" s="465" t="s">
        <v>2714</v>
      </c>
      <c r="P1080" s="431" t="s">
        <v>6711</v>
      </c>
    </row>
    <row r="1081" spans="1:16" ht="13.9" hidden="1" customHeight="1" outlineLevel="2" x14ac:dyDescent="0.2">
      <c r="A1081" s="233">
        <v>0</v>
      </c>
      <c r="B1081" s="233">
        <v>11</v>
      </c>
      <c r="C1081" s="233">
        <v>5</v>
      </c>
      <c r="D1081" s="234">
        <v>5</v>
      </c>
      <c r="E1081" s="234">
        <v>0</v>
      </c>
      <c r="G1081" s="450"/>
      <c r="H1081" s="451" t="s">
        <v>1237</v>
      </c>
      <c r="I1081" s="452" t="s">
        <v>4618</v>
      </c>
      <c r="J1081" s="453" t="s">
        <v>14</v>
      </c>
      <c r="K1081" s="454"/>
      <c r="L1081" s="455"/>
      <c r="M1081" s="455"/>
      <c r="N1081" s="456">
        <v>5730.2495776435098</v>
      </c>
      <c r="O1081" s="457"/>
      <c r="P1081" s="430"/>
    </row>
    <row r="1082" spans="1:16" ht="13.9" hidden="1" customHeight="1" outlineLevel="3" x14ac:dyDescent="0.2">
      <c r="A1082" s="233">
        <v>0</v>
      </c>
      <c r="B1082" s="233">
        <v>11</v>
      </c>
      <c r="C1082" s="233">
        <v>5</v>
      </c>
      <c r="D1082" s="234">
        <v>5</v>
      </c>
      <c r="E1082" s="234">
        <v>1</v>
      </c>
      <c r="G1082" s="500" t="s">
        <v>2337</v>
      </c>
      <c r="H1082" s="459" t="s">
        <v>1238</v>
      </c>
      <c r="I1082" s="460" t="s">
        <v>4619</v>
      </c>
      <c r="J1082" s="461" t="s">
        <v>2340</v>
      </c>
      <c r="K1082" s="462" t="s">
        <v>1129</v>
      </c>
      <c r="L1082" s="463">
        <v>1</v>
      </c>
      <c r="M1082" s="463">
        <v>5730.2495776435135</v>
      </c>
      <c r="N1082" s="464">
        <v>5730.2495776435098</v>
      </c>
      <c r="O1082" s="465" t="s">
        <v>3007</v>
      </c>
      <c r="P1082" s="431" t="s">
        <v>6711</v>
      </c>
    </row>
    <row r="1083" spans="1:16" ht="13.9" hidden="1" customHeight="1" outlineLevel="1" x14ac:dyDescent="0.2">
      <c r="A1083" s="233">
        <v>0</v>
      </c>
      <c r="B1083" s="233">
        <v>11</v>
      </c>
      <c r="C1083" s="233">
        <v>6</v>
      </c>
      <c r="D1083" s="234">
        <v>0</v>
      </c>
      <c r="E1083" s="234">
        <v>1</v>
      </c>
      <c r="G1083" s="443"/>
      <c r="H1083" s="444" t="s">
        <v>38</v>
      </c>
      <c r="I1083" s="445" t="s">
        <v>4620</v>
      </c>
      <c r="J1083" s="446" t="s">
        <v>3034</v>
      </c>
      <c r="K1083" s="447"/>
      <c r="L1083" s="448"/>
      <c r="M1083" s="448"/>
      <c r="N1083" s="449">
        <v>507678.24965289299</v>
      </c>
      <c r="O1083" s="432"/>
      <c r="P1083" s="435"/>
    </row>
    <row r="1084" spans="1:16" ht="13.9" hidden="1" customHeight="1" outlineLevel="2" x14ac:dyDescent="0.2">
      <c r="A1084" s="233">
        <v>0</v>
      </c>
      <c r="B1084" s="233">
        <v>11</v>
      </c>
      <c r="C1084" s="233">
        <v>6</v>
      </c>
      <c r="D1084" s="234">
        <v>1</v>
      </c>
      <c r="E1084" s="234">
        <v>0</v>
      </c>
      <c r="G1084" s="450"/>
      <c r="H1084" s="451" t="s">
        <v>1237</v>
      </c>
      <c r="I1084" s="452" t="s">
        <v>4621</v>
      </c>
      <c r="J1084" s="453" t="s">
        <v>1285</v>
      </c>
      <c r="K1084" s="454"/>
      <c r="L1084" s="455"/>
      <c r="M1084" s="455"/>
      <c r="N1084" s="456">
        <v>284220.657061284</v>
      </c>
      <c r="O1084" s="457"/>
      <c r="P1084" s="430"/>
    </row>
    <row r="1085" spans="1:16" ht="33.75" hidden="1" customHeight="1" outlineLevel="3" x14ac:dyDescent="0.2">
      <c r="A1085" s="233">
        <v>0</v>
      </c>
      <c r="B1085" s="233">
        <v>11</v>
      </c>
      <c r="C1085" s="233">
        <v>6</v>
      </c>
      <c r="D1085" s="234">
        <v>1</v>
      </c>
      <c r="E1085" s="234">
        <v>1</v>
      </c>
      <c r="G1085" s="500" t="s">
        <v>2337</v>
      </c>
      <c r="H1085" s="459" t="s">
        <v>1238</v>
      </c>
      <c r="I1085" s="460" t="s">
        <v>4622</v>
      </c>
      <c r="J1085" s="461" t="s">
        <v>1259</v>
      </c>
      <c r="K1085" s="462" t="s">
        <v>1129</v>
      </c>
      <c r="L1085" s="463">
        <v>1</v>
      </c>
      <c r="M1085" s="463">
        <v>218979.11456373721</v>
      </c>
      <c r="N1085" s="464">
        <v>218979.11456373701</v>
      </c>
      <c r="O1085" s="471" t="s">
        <v>3005</v>
      </c>
      <c r="P1085" s="431" t="s">
        <v>6711</v>
      </c>
    </row>
    <row r="1086" spans="1:16" ht="33" hidden="1" customHeight="1" outlineLevel="3" x14ac:dyDescent="0.2">
      <c r="A1086" s="233">
        <v>0</v>
      </c>
      <c r="B1086" s="233">
        <v>11</v>
      </c>
      <c r="C1086" s="233">
        <v>6</v>
      </c>
      <c r="D1086" s="234">
        <v>1</v>
      </c>
      <c r="E1086" s="234">
        <v>2</v>
      </c>
      <c r="G1086" s="500" t="s">
        <v>2337</v>
      </c>
      <c r="H1086" s="459" t="s">
        <v>1238</v>
      </c>
      <c r="I1086" s="460" t="s">
        <v>4623</v>
      </c>
      <c r="J1086" s="461" t="s">
        <v>1260</v>
      </c>
      <c r="K1086" s="462" t="s">
        <v>1129</v>
      </c>
      <c r="L1086" s="463">
        <v>1</v>
      </c>
      <c r="M1086" s="463">
        <v>65241.542497547052</v>
      </c>
      <c r="N1086" s="464">
        <v>65241.542497547103</v>
      </c>
      <c r="O1086" s="471" t="s">
        <v>3006</v>
      </c>
      <c r="P1086" s="431" t="s">
        <v>6711</v>
      </c>
    </row>
    <row r="1087" spans="1:16" ht="13.9" hidden="1" customHeight="1" outlineLevel="2" x14ac:dyDescent="0.2">
      <c r="A1087" s="233">
        <v>0</v>
      </c>
      <c r="B1087" s="233">
        <v>11</v>
      </c>
      <c r="C1087" s="233">
        <v>6</v>
      </c>
      <c r="D1087" s="234">
        <v>2</v>
      </c>
      <c r="E1087" s="234">
        <v>0</v>
      </c>
      <c r="G1087" s="450"/>
      <c r="H1087" s="451" t="s">
        <v>1237</v>
      </c>
      <c r="I1087" s="452" t="s">
        <v>4624</v>
      </c>
      <c r="J1087" s="453" t="s">
        <v>1615</v>
      </c>
      <c r="K1087" s="454"/>
      <c r="L1087" s="455"/>
      <c r="M1087" s="455"/>
      <c r="N1087" s="456">
        <v>16616.244702653701</v>
      </c>
      <c r="O1087" s="457"/>
      <c r="P1087" s="430"/>
    </row>
    <row r="1088" spans="1:16" ht="13.9" hidden="1" customHeight="1" outlineLevel="3" x14ac:dyDescent="0.2">
      <c r="A1088" s="233">
        <v>0</v>
      </c>
      <c r="B1088" s="233">
        <v>11</v>
      </c>
      <c r="C1088" s="233">
        <v>6</v>
      </c>
      <c r="D1088" s="234">
        <v>2</v>
      </c>
      <c r="E1088" s="234">
        <v>1</v>
      </c>
      <c r="G1088" s="500" t="s">
        <v>2337</v>
      </c>
      <c r="H1088" s="459" t="s">
        <v>1238</v>
      </c>
      <c r="I1088" s="460" t="s">
        <v>4625</v>
      </c>
      <c r="J1088" s="461" t="s">
        <v>2716</v>
      </c>
      <c r="K1088" s="462" t="s">
        <v>1129</v>
      </c>
      <c r="L1088" s="463">
        <v>1</v>
      </c>
      <c r="M1088" s="463">
        <v>16616.244702653657</v>
      </c>
      <c r="N1088" s="464">
        <v>16616.244702653701</v>
      </c>
      <c r="O1088" s="465" t="s">
        <v>2718</v>
      </c>
      <c r="P1088" s="431" t="s">
        <v>6711</v>
      </c>
    </row>
    <row r="1089" spans="1:16" ht="13.9" hidden="1" customHeight="1" outlineLevel="2" x14ac:dyDescent="0.2">
      <c r="A1089" s="233">
        <v>0</v>
      </c>
      <c r="B1089" s="233">
        <v>11</v>
      </c>
      <c r="C1089" s="233">
        <v>6</v>
      </c>
      <c r="D1089" s="234">
        <v>3</v>
      </c>
      <c r="E1089" s="234">
        <v>0</v>
      </c>
      <c r="G1089" s="450"/>
      <c r="H1089" s="451" t="s">
        <v>1237</v>
      </c>
      <c r="I1089" s="452" t="s">
        <v>4626</v>
      </c>
      <c r="J1089" s="453" t="s">
        <v>2715</v>
      </c>
      <c r="K1089" s="454"/>
      <c r="L1089" s="455"/>
      <c r="M1089" s="455"/>
      <c r="N1089" s="456">
        <v>117110.851640366</v>
      </c>
      <c r="O1089" s="457"/>
      <c r="P1089" s="430"/>
    </row>
    <row r="1090" spans="1:16" ht="13.9" hidden="1" customHeight="1" outlineLevel="3" x14ac:dyDescent="0.2">
      <c r="A1090" s="233">
        <v>0</v>
      </c>
      <c r="B1090" s="233">
        <v>11</v>
      </c>
      <c r="C1090" s="233">
        <v>6</v>
      </c>
      <c r="D1090" s="234">
        <v>3</v>
      </c>
      <c r="E1090" s="234">
        <v>1</v>
      </c>
      <c r="G1090" s="500" t="s">
        <v>2337</v>
      </c>
      <c r="H1090" s="459" t="s">
        <v>1238</v>
      </c>
      <c r="I1090" s="460" t="s">
        <v>4627</v>
      </c>
      <c r="J1090" s="461" t="s">
        <v>2717</v>
      </c>
      <c r="K1090" s="462" t="s">
        <v>1129</v>
      </c>
      <c r="L1090" s="463">
        <v>1</v>
      </c>
      <c r="M1090" s="463">
        <v>1051.9209215855526</v>
      </c>
      <c r="N1090" s="464">
        <v>1051.9209215855501</v>
      </c>
      <c r="O1090" s="465" t="s">
        <v>2784</v>
      </c>
      <c r="P1090" s="431" t="s">
        <v>6711</v>
      </c>
    </row>
    <row r="1091" spans="1:16" ht="13.9" hidden="1" customHeight="1" outlineLevel="3" x14ac:dyDescent="0.2">
      <c r="A1091" s="233">
        <v>0</v>
      </c>
      <c r="B1091" s="233">
        <v>11</v>
      </c>
      <c r="C1091" s="233">
        <v>6</v>
      </c>
      <c r="D1091" s="234">
        <v>3</v>
      </c>
      <c r="E1091" s="234">
        <v>2</v>
      </c>
      <c r="G1091" s="500" t="s">
        <v>2337</v>
      </c>
      <c r="H1091" s="459" t="s">
        <v>1238</v>
      </c>
      <c r="I1091" s="460" t="s">
        <v>4628</v>
      </c>
      <c r="J1091" s="461" t="s">
        <v>3028</v>
      </c>
      <c r="K1091" s="462" t="s">
        <v>1129</v>
      </c>
      <c r="L1091" s="463">
        <v>1</v>
      </c>
      <c r="M1091" s="463">
        <v>116058.9307187807</v>
      </c>
      <c r="N1091" s="464">
        <v>116058.930718781</v>
      </c>
      <c r="O1091" s="471" t="s">
        <v>3005</v>
      </c>
      <c r="P1091" s="431" t="s">
        <v>6711</v>
      </c>
    </row>
    <row r="1092" spans="1:16" ht="13.9" hidden="1" customHeight="1" outlineLevel="2" x14ac:dyDescent="0.2">
      <c r="A1092" s="233">
        <v>0</v>
      </c>
      <c r="B1092" s="233">
        <v>11</v>
      </c>
      <c r="C1092" s="233">
        <v>6</v>
      </c>
      <c r="D1092" s="234">
        <v>4</v>
      </c>
      <c r="E1092" s="234">
        <v>0</v>
      </c>
      <c r="G1092" s="450"/>
      <c r="H1092" s="451" t="s">
        <v>1237</v>
      </c>
      <c r="I1092" s="452" t="s">
        <v>4629</v>
      </c>
      <c r="J1092" s="453" t="s">
        <v>2338</v>
      </c>
      <c r="K1092" s="454"/>
      <c r="L1092" s="455"/>
      <c r="M1092" s="455"/>
      <c r="N1092" s="456">
        <v>73964</v>
      </c>
      <c r="O1092" s="457"/>
      <c r="P1092" s="430"/>
    </row>
    <row r="1093" spans="1:16" ht="13.9" hidden="1" customHeight="1" outlineLevel="3" x14ac:dyDescent="0.2">
      <c r="A1093" s="233">
        <v>0</v>
      </c>
      <c r="B1093" s="233">
        <v>11</v>
      </c>
      <c r="C1093" s="233">
        <v>6</v>
      </c>
      <c r="D1093" s="234">
        <v>4</v>
      </c>
      <c r="E1093" s="234">
        <v>1</v>
      </c>
      <c r="G1093" s="500" t="s">
        <v>2337</v>
      </c>
      <c r="H1093" s="459" t="s">
        <v>1238</v>
      </c>
      <c r="I1093" s="460" t="s">
        <v>4630</v>
      </c>
      <c r="J1093" s="461" t="s">
        <v>2338</v>
      </c>
      <c r="K1093" s="462" t="s">
        <v>533</v>
      </c>
      <c r="L1093" s="463">
        <v>22</v>
      </c>
      <c r="M1093" s="463">
        <v>2262</v>
      </c>
      <c r="N1093" s="464">
        <v>49764</v>
      </c>
      <c r="O1093" s="465" t="s">
        <v>2339</v>
      </c>
      <c r="P1093" s="431" t="s">
        <v>6711</v>
      </c>
    </row>
    <row r="1094" spans="1:16" ht="13.9" hidden="1" customHeight="1" outlineLevel="3" x14ac:dyDescent="0.2">
      <c r="A1094" s="233">
        <v>0</v>
      </c>
      <c r="B1094" s="233">
        <v>11</v>
      </c>
      <c r="C1094" s="233">
        <v>6</v>
      </c>
      <c r="D1094" s="234">
        <v>4</v>
      </c>
      <c r="E1094" s="234">
        <v>2</v>
      </c>
      <c r="G1094" s="500" t="s">
        <v>2337</v>
      </c>
      <c r="H1094" s="459" t="s">
        <v>1238</v>
      </c>
      <c r="I1094" s="460" t="s">
        <v>4631</v>
      </c>
      <c r="J1094" s="461" t="s">
        <v>2713</v>
      </c>
      <c r="K1094" s="462" t="s">
        <v>533</v>
      </c>
      <c r="L1094" s="463">
        <v>22</v>
      </c>
      <c r="M1094" s="463">
        <v>1100</v>
      </c>
      <c r="N1094" s="464">
        <v>24200</v>
      </c>
      <c r="O1094" s="465" t="s">
        <v>2714</v>
      </c>
      <c r="P1094" s="431" t="s">
        <v>6711</v>
      </c>
    </row>
    <row r="1095" spans="1:16" ht="13.9" hidden="1" customHeight="1" outlineLevel="2" x14ac:dyDescent="0.2">
      <c r="A1095" s="233">
        <v>0</v>
      </c>
      <c r="B1095" s="233">
        <v>11</v>
      </c>
      <c r="C1095" s="233">
        <v>6</v>
      </c>
      <c r="D1095" s="234">
        <v>5</v>
      </c>
      <c r="E1095" s="234">
        <v>0</v>
      </c>
      <c r="G1095" s="450"/>
      <c r="H1095" s="451" t="s">
        <v>1237</v>
      </c>
      <c r="I1095" s="452" t="s">
        <v>4632</v>
      </c>
      <c r="J1095" s="453" t="s">
        <v>14</v>
      </c>
      <c r="K1095" s="454"/>
      <c r="L1095" s="455"/>
      <c r="M1095" s="455"/>
      <c r="N1095" s="456">
        <v>15766.496248589099</v>
      </c>
      <c r="O1095" s="457"/>
      <c r="P1095" s="430"/>
    </row>
    <row r="1096" spans="1:16" ht="13.9" hidden="1" customHeight="1" outlineLevel="3" x14ac:dyDescent="0.2">
      <c r="A1096" s="233">
        <v>0</v>
      </c>
      <c r="B1096" s="233">
        <v>11</v>
      </c>
      <c r="C1096" s="233">
        <v>6</v>
      </c>
      <c r="D1096" s="234">
        <v>5</v>
      </c>
      <c r="E1096" s="234">
        <v>1</v>
      </c>
      <c r="G1096" s="500" t="s">
        <v>2337</v>
      </c>
      <c r="H1096" s="459" t="s">
        <v>1238</v>
      </c>
      <c r="I1096" s="460" t="s">
        <v>4633</v>
      </c>
      <c r="J1096" s="461" t="s">
        <v>2340</v>
      </c>
      <c r="K1096" s="462" t="s">
        <v>1129</v>
      </c>
      <c r="L1096" s="463">
        <v>1</v>
      </c>
      <c r="M1096" s="463">
        <v>15766.496248589088</v>
      </c>
      <c r="N1096" s="464">
        <v>15766.496248589099</v>
      </c>
      <c r="O1096" s="465" t="s">
        <v>3007</v>
      </c>
      <c r="P1096" s="431" t="s">
        <v>6711</v>
      </c>
    </row>
    <row r="1097" spans="1:16" ht="13.9" hidden="1" customHeight="1" outlineLevel="1" x14ac:dyDescent="0.2">
      <c r="A1097" s="233">
        <v>0</v>
      </c>
      <c r="B1097" s="233">
        <v>11</v>
      </c>
      <c r="C1097" s="233">
        <v>7</v>
      </c>
      <c r="D1097" s="234">
        <v>0</v>
      </c>
      <c r="E1097" s="234">
        <v>1</v>
      </c>
      <c r="G1097" s="443"/>
      <c r="H1097" s="444" t="s">
        <v>38</v>
      </c>
      <c r="I1097" s="445" t="s">
        <v>4634</v>
      </c>
      <c r="J1097" s="446" t="s">
        <v>3035</v>
      </c>
      <c r="K1097" s="447"/>
      <c r="L1097" s="448"/>
      <c r="M1097" s="448"/>
      <c r="N1097" s="449">
        <v>22387.255007578198</v>
      </c>
      <c r="O1097" s="432"/>
      <c r="P1097" s="435"/>
    </row>
    <row r="1098" spans="1:16" ht="13.9" hidden="1" customHeight="1" outlineLevel="2" x14ac:dyDescent="0.2">
      <c r="A1098" s="233">
        <v>0</v>
      </c>
      <c r="B1098" s="233">
        <v>11</v>
      </c>
      <c r="C1098" s="233">
        <v>7</v>
      </c>
      <c r="D1098" s="234">
        <v>1</v>
      </c>
      <c r="E1098" s="234">
        <v>0</v>
      </c>
      <c r="G1098" s="450"/>
      <c r="H1098" s="451" t="s">
        <v>1237</v>
      </c>
      <c r="I1098" s="452" t="s">
        <v>4635</v>
      </c>
      <c r="J1098" s="453" t="s">
        <v>1285</v>
      </c>
      <c r="K1098" s="454"/>
      <c r="L1098" s="455"/>
      <c r="M1098" s="455"/>
      <c r="N1098" s="456">
        <v>12467.5877800648</v>
      </c>
      <c r="O1098" s="457"/>
      <c r="P1098" s="430"/>
    </row>
    <row r="1099" spans="1:16" ht="33.75" hidden="1" customHeight="1" outlineLevel="3" x14ac:dyDescent="0.2">
      <c r="A1099" s="233">
        <v>0</v>
      </c>
      <c r="B1099" s="233">
        <v>11</v>
      </c>
      <c r="C1099" s="233">
        <v>7</v>
      </c>
      <c r="D1099" s="234">
        <v>1</v>
      </c>
      <c r="E1099" s="234">
        <v>1</v>
      </c>
      <c r="G1099" s="500" t="s">
        <v>2337</v>
      </c>
      <c r="H1099" s="459" t="s">
        <v>1238</v>
      </c>
      <c r="I1099" s="460" t="s">
        <v>4636</v>
      </c>
      <c r="J1099" s="461" t="s">
        <v>1259</v>
      </c>
      <c r="K1099" s="462" t="s">
        <v>1129</v>
      </c>
      <c r="L1099" s="463">
        <v>1</v>
      </c>
      <c r="M1099" s="463">
        <v>9605.7104400950611</v>
      </c>
      <c r="N1099" s="464">
        <v>9605.7104400950593</v>
      </c>
      <c r="O1099" s="471" t="s">
        <v>3005</v>
      </c>
      <c r="P1099" s="431" t="s">
        <v>6711</v>
      </c>
    </row>
    <row r="1100" spans="1:16" ht="33" hidden="1" customHeight="1" outlineLevel="3" x14ac:dyDescent="0.2">
      <c r="A1100" s="233">
        <v>0</v>
      </c>
      <c r="B1100" s="233">
        <v>11</v>
      </c>
      <c r="C1100" s="233">
        <v>7</v>
      </c>
      <c r="D1100" s="234">
        <v>1</v>
      </c>
      <c r="E1100" s="234">
        <v>2</v>
      </c>
      <c r="G1100" s="500" t="s">
        <v>2337</v>
      </c>
      <c r="H1100" s="459" t="s">
        <v>1238</v>
      </c>
      <c r="I1100" s="460" t="s">
        <v>4637</v>
      </c>
      <c r="J1100" s="461" t="s">
        <v>1260</v>
      </c>
      <c r="K1100" s="462" t="s">
        <v>1129</v>
      </c>
      <c r="L1100" s="463">
        <v>1</v>
      </c>
      <c r="M1100" s="463">
        <v>2861.877339969722</v>
      </c>
      <c r="N1100" s="464">
        <v>2861.8773399697202</v>
      </c>
      <c r="O1100" s="471" t="s">
        <v>3006</v>
      </c>
      <c r="P1100" s="431" t="s">
        <v>6711</v>
      </c>
    </row>
    <row r="1101" spans="1:16" ht="13.9" hidden="1" customHeight="1" outlineLevel="2" x14ac:dyDescent="0.2">
      <c r="A1101" s="233">
        <v>0</v>
      </c>
      <c r="B1101" s="233">
        <v>11</v>
      </c>
      <c r="C1101" s="233">
        <v>7</v>
      </c>
      <c r="D1101" s="234">
        <v>2</v>
      </c>
      <c r="E1101" s="234">
        <v>0</v>
      </c>
      <c r="G1101" s="450"/>
      <c r="H1101" s="451" t="s">
        <v>1237</v>
      </c>
      <c r="I1101" s="452" t="s">
        <v>4638</v>
      </c>
      <c r="J1101" s="453" t="s">
        <v>1615</v>
      </c>
      <c r="K1101" s="454"/>
      <c r="L1101" s="455"/>
      <c r="M1101" s="455"/>
      <c r="N1101" s="456">
        <v>728.88611104963297</v>
      </c>
      <c r="O1101" s="457"/>
      <c r="P1101" s="430"/>
    </row>
    <row r="1102" spans="1:16" ht="13.9" hidden="1" customHeight="1" outlineLevel="3" x14ac:dyDescent="0.2">
      <c r="A1102" s="233">
        <v>0</v>
      </c>
      <c r="B1102" s="233">
        <v>11</v>
      </c>
      <c r="C1102" s="233">
        <v>7</v>
      </c>
      <c r="D1102" s="234">
        <v>2</v>
      </c>
      <c r="E1102" s="234">
        <v>1</v>
      </c>
      <c r="G1102" s="500" t="s">
        <v>2337</v>
      </c>
      <c r="H1102" s="459" t="s">
        <v>1238</v>
      </c>
      <c r="I1102" s="460" t="s">
        <v>4639</v>
      </c>
      <c r="J1102" s="461" t="s">
        <v>2716</v>
      </c>
      <c r="K1102" s="462" t="s">
        <v>1129</v>
      </c>
      <c r="L1102" s="463">
        <v>1</v>
      </c>
      <c r="M1102" s="463">
        <v>728.88611104963331</v>
      </c>
      <c r="N1102" s="464">
        <v>728.88611104963297</v>
      </c>
      <c r="O1102" s="465" t="s">
        <v>2718</v>
      </c>
      <c r="P1102" s="431" t="s">
        <v>6711</v>
      </c>
    </row>
    <row r="1103" spans="1:16" ht="13.9" hidden="1" customHeight="1" outlineLevel="2" x14ac:dyDescent="0.2">
      <c r="A1103" s="233">
        <v>0</v>
      </c>
      <c r="B1103" s="233">
        <v>11</v>
      </c>
      <c r="C1103" s="233">
        <v>7</v>
      </c>
      <c r="D1103" s="234">
        <v>3</v>
      </c>
      <c r="E1103" s="234">
        <v>0</v>
      </c>
      <c r="G1103" s="450"/>
      <c r="H1103" s="451" t="s">
        <v>1237</v>
      </c>
      <c r="I1103" s="452" t="s">
        <v>4640</v>
      </c>
      <c r="J1103" s="453" t="s">
        <v>2715</v>
      </c>
      <c r="K1103" s="454"/>
      <c r="L1103" s="455"/>
      <c r="M1103" s="455"/>
      <c r="N1103" s="456">
        <v>5137.1699647769901</v>
      </c>
      <c r="O1103" s="457"/>
      <c r="P1103" s="430"/>
    </row>
    <row r="1104" spans="1:16" ht="13.9" hidden="1" customHeight="1" outlineLevel="3" x14ac:dyDescent="0.2">
      <c r="A1104" s="233">
        <v>0</v>
      </c>
      <c r="B1104" s="233">
        <v>11</v>
      </c>
      <c r="C1104" s="233">
        <v>7</v>
      </c>
      <c r="D1104" s="234">
        <v>3</v>
      </c>
      <c r="E1104" s="234">
        <v>1</v>
      </c>
      <c r="G1104" s="500" t="s">
        <v>2337</v>
      </c>
      <c r="H1104" s="459" t="s">
        <v>1238</v>
      </c>
      <c r="I1104" s="460" t="s">
        <v>4641</v>
      </c>
      <c r="J1104" s="461" t="s">
        <v>2717</v>
      </c>
      <c r="K1104" s="462" t="s">
        <v>1129</v>
      </c>
      <c r="L1104" s="463">
        <v>1</v>
      </c>
      <c r="M1104" s="463">
        <v>46.143431526606648</v>
      </c>
      <c r="N1104" s="464">
        <v>46.143431526606598</v>
      </c>
      <c r="O1104" s="465" t="s">
        <v>2784</v>
      </c>
      <c r="P1104" s="431" t="s">
        <v>6711</v>
      </c>
    </row>
    <row r="1105" spans="1:16" ht="13.9" hidden="1" customHeight="1" outlineLevel="3" x14ac:dyDescent="0.2">
      <c r="A1105" s="233">
        <v>0</v>
      </c>
      <c r="B1105" s="233">
        <v>11</v>
      </c>
      <c r="C1105" s="233">
        <v>7</v>
      </c>
      <c r="D1105" s="234">
        <v>3</v>
      </c>
      <c r="E1105" s="234">
        <v>2</v>
      </c>
      <c r="G1105" s="500" t="s">
        <v>2337</v>
      </c>
      <c r="H1105" s="459" t="s">
        <v>1238</v>
      </c>
      <c r="I1105" s="460" t="s">
        <v>4642</v>
      </c>
      <c r="J1105" s="461" t="s">
        <v>3028</v>
      </c>
      <c r="K1105" s="462" t="s">
        <v>1129</v>
      </c>
      <c r="L1105" s="463">
        <v>1</v>
      </c>
      <c r="M1105" s="463">
        <v>5091.0265332503823</v>
      </c>
      <c r="N1105" s="464">
        <v>5091.0265332503805</v>
      </c>
      <c r="O1105" s="471" t="s">
        <v>3005</v>
      </c>
      <c r="P1105" s="431" t="s">
        <v>6711</v>
      </c>
    </row>
    <row r="1106" spans="1:16" ht="13.9" hidden="1" customHeight="1" outlineLevel="2" x14ac:dyDescent="0.2">
      <c r="A1106" s="233">
        <v>0</v>
      </c>
      <c r="B1106" s="233">
        <v>11</v>
      </c>
      <c r="C1106" s="233">
        <v>7</v>
      </c>
      <c r="D1106" s="234">
        <v>4</v>
      </c>
      <c r="E1106" s="234">
        <v>0</v>
      </c>
      <c r="G1106" s="450"/>
      <c r="H1106" s="451" t="s">
        <v>1237</v>
      </c>
      <c r="I1106" s="452" t="s">
        <v>4643</v>
      </c>
      <c r="J1106" s="453" t="s">
        <v>2338</v>
      </c>
      <c r="K1106" s="454"/>
      <c r="L1106" s="455"/>
      <c r="M1106" s="455"/>
      <c r="N1106" s="456">
        <v>3362</v>
      </c>
      <c r="O1106" s="457"/>
      <c r="P1106" s="430"/>
    </row>
    <row r="1107" spans="1:16" ht="13.9" hidden="1" customHeight="1" outlineLevel="3" x14ac:dyDescent="0.2">
      <c r="A1107" s="233">
        <v>0</v>
      </c>
      <c r="B1107" s="233">
        <v>11</v>
      </c>
      <c r="C1107" s="233">
        <v>7</v>
      </c>
      <c r="D1107" s="234">
        <v>4</v>
      </c>
      <c r="E1107" s="234">
        <v>1</v>
      </c>
      <c r="G1107" s="500" t="s">
        <v>2337</v>
      </c>
      <c r="H1107" s="459" t="s">
        <v>1238</v>
      </c>
      <c r="I1107" s="460" t="s">
        <v>4644</v>
      </c>
      <c r="J1107" s="461" t="s">
        <v>2338</v>
      </c>
      <c r="K1107" s="462" t="s">
        <v>533</v>
      </c>
      <c r="L1107" s="463">
        <v>1</v>
      </c>
      <c r="M1107" s="463">
        <v>2262</v>
      </c>
      <c r="N1107" s="464">
        <v>2262</v>
      </c>
      <c r="O1107" s="465" t="s">
        <v>2339</v>
      </c>
      <c r="P1107" s="431" t="s">
        <v>6711</v>
      </c>
    </row>
    <row r="1108" spans="1:16" ht="13.9" hidden="1" customHeight="1" outlineLevel="3" x14ac:dyDescent="0.2">
      <c r="A1108" s="233">
        <v>0</v>
      </c>
      <c r="B1108" s="233">
        <v>11</v>
      </c>
      <c r="C1108" s="233">
        <v>7</v>
      </c>
      <c r="D1108" s="234">
        <v>4</v>
      </c>
      <c r="E1108" s="234">
        <v>2</v>
      </c>
      <c r="G1108" s="500" t="s">
        <v>2337</v>
      </c>
      <c r="H1108" s="459" t="s">
        <v>1238</v>
      </c>
      <c r="I1108" s="460" t="s">
        <v>4645</v>
      </c>
      <c r="J1108" s="461" t="s">
        <v>2713</v>
      </c>
      <c r="K1108" s="462" t="s">
        <v>533</v>
      </c>
      <c r="L1108" s="463">
        <v>1</v>
      </c>
      <c r="M1108" s="463">
        <v>1100</v>
      </c>
      <c r="N1108" s="464">
        <v>1100</v>
      </c>
      <c r="O1108" s="465" t="s">
        <v>2714</v>
      </c>
      <c r="P1108" s="431" t="s">
        <v>6711</v>
      </c>
    </row>
    <row r="1109" spans="1:16" ht="13.9" hidden="1" customHeight="1" outlineLevel="2" x14ac:dyDescent="0.2">
      <c r="A1109" s="233">
        <v>0</v>
      </c>
      <c r="B1109" s="233">
        <v>11</v>
      </c>
      <c r="C1109" s="233">
        <v>7</v>
      </c>
      <c r="D1109" s="234">
        <v>5</v>
      </c>
      <c r="E1109" s="234">
        <v>0</v>
      </c>
      <c r="G1109" s="450"/>
      <c r="H1109" s="451" t="s">
        <v>1237</v>
      </c>
      <c r="I1109" s="452" t="s">
        <v>4646</v>
      </c>
      <c r="J1109" s="453" t="s">
        <v>14</v>
      </c>
      <c r="K1109" s="454"/>
      <c r="L1109" s="455"/>
      <c r="M1109" s="455"/>
      <c r="N1109" s="456">
        <v>691.61115168684398</v>
      </c>
      <c r="O1109" s="457"/>
      <c r="P1109" s="430"/>
    </row>
    <row r="1110" spans="1:16" ht="13.9" hidden="1" customHeight="1" outlineLevel="3" x14ac:dyDescent="0.2">
      <c r="A1110" s="233">
        <v>0</v>
      </c>
      <c r="B1110" s="233">
        <v>11</v>
      </c>
      <c r="C1110" s="233">
        <v>7</v>
      </c>
      <c r="D1110" s="234">
        <v>5</v>
      </c>
      <c r="E1110" s="234">
        <v>1</v>
      </c>
      <c r="G1110" s="500" t="s">
        <v>2337</v>
      </c>
      <c r="H1110" s="459" t="s">
        <v>1238</v>
      </c>
      <c r="I1110" s="460" t="s">
        <v>4647</v>
      </c>
      <c r="J1110" s="461" t="s">
        <v>2340</v>
      </c>
      <c r="K1110" s="462" t="s">
        <v>1129</v>
      </c>
      <c r="L1110" s="463">
        <v>1</v>
      </c>
      <c r="M1110" s="463">
        <v>691.61115168684444</v>
      </c>
      <c r="N1110" s="464">
        <v>691.61115168684398</v>
      </c>
      <c r="O1110" s="465" t="s">
        <v>3007</v>
      </c>
      <c r="P1110" s="431" t="s">
        <v>6711</v>
      </c>
    </row>
    <row r="1111" spans="1:16" ht="13.9" hidden="1" customHeight="1" outlineLevel="1" x14ac:dyDescent="0.2">
      <c r="A1111" s="233">
        <v>0</v>
      </c>
      <c r="B1111" s="233">
        <v>11</v>
      </c>
      <c r="C1111" s="233">
        <v>8</v>
      </c>
      <c r="D1111" s="234">
        <v>0</v>
      </c>
      <c r="E1111" s="234">
        <v>1</v>
      </c>
      <c r="G1111" s="443"/>
      <c r="H1111" s="444" t="s">
        <v>38</v>
      </c>
      <c r="I1111" s="445" t="s">
        <v>4648</v>
      </c>
      <c r="J1111" s="446" t="s">
        <v>3036</v>
      </c>
      <c r="K1111" s="447"/>
      <c r="L1111" s="448"/>
      <c r="M1111" s="448"/>
      <c r="N1111" s="449">
        <v>18105.6836978182</v>
      </c>
      <c r="O1111" s="432"/>
      <c r="P1111" s="435"/>
    </row>
    <row r="1112" spans="1:16" ht="13.9" hidden="1" customHeight="1" outlineLevel="2" x14ac:dyDescent="0.2">
      <c r="A1112" s="233">
        <v>0</v>
      </c>
      <c r="B1112" s="233">
        <v>11</v>
      </c>
      <c r="C1112" s="233">
        <v>8</v>
      </c>
      <c r="D1112" s="234">
        <v>1</v>
      </c>
      <c r="E1112" s="234">
        <v>0</v>
      </c>
      <c r="G1112" s="450"/>
      <c r="H1112" s="451" t="s">
        <v>1237</v>
      </c>
      <c r="I1112" s="452" t="s">
        <v>4649</v>
      </c>
      <c r="J1112" s="453" t="s">
        <v>1285</v>
      </c>
      <c r="K1112" s="454"/>
      <c r="L1112" s="455"/>
      <c r="M1112" s="455"/>
      <c r="N1112" s="456">
        <v>11864.976355413901</v>
      </c>
      <c r="O1112" s="457"/>
      <c r="P1112" s="430"/>
    </row>
    <row r="1113" spans="1:16" ht="33.75" hidden="1" customHeight="1" outlineLevel="3" x14ac:dyDescent="0.2">
      <c r="A1113" s="233">
        <v>0</v>
      </c>
      <c r="B1113" s="233">
        <v>11</v>
      </c>
      <c r="C1113" s="233">
        <v>8</v>
      </c>
      <c r="D1113" s="234">
        <v>1</v>
      </c>
      <c r="E1113" s="234">
        <v>1</v>
      </c>
      <c r="G1113" s="500" t="s">
        <v>2337</v>
      </c>
      <c r="H1113" s="459" t="s">
        <v>1238</v>
      </c>
      <c r="I1113" s="460" t="s">
        <v>4650</v>
      </c>
      <c r="J1113" s="461" t="s">
        <v>1259</v>
      </c>
      <c r="K1113" s="462" t="s">
        <v>1129</v>
      </c>
      <c r="L1113" s="463">
        <v>1</v>
      </c>
      <c r="M1113" s="463">
        <v>9141.4256918982228</v>
      </c>
      <c r="N1113" s="464">
        <v>9141.4256918982192</v>
      </c>
      <c r="O1113" s="471" t="s">
        <v>3005</v>
      </c>
      <c r="P1113" s="431" t="s">
        <v>6711</v>
      </c>
    </row>
    <row r="1114" spans="1:16" ht="33" hidden="1" customHeight="1" outlineLevel="3" x14ac:dyDescent="0.2">
      <c r="A1114" s="233">
        <v>0</v>
      </c>
      <c r="B1114" s="233">
        <v>11</v>
      </c>
      <c r="C1114" s="233">
        <v>8</v>
      </c>
      <c r="D1114" s="234">
        <v>1</v>
      </c>
      <c r="E1114" s="234">
        <v>2</v>
      </c>
      <c r="G1114" s="500" t="s">
        <v>2337</v>
      </c>
      <c r="H1114" s="459" t="s">
        <v>1238</v>
      </c>
      <c r="I1114" s="460" t="s">
        <v>4651</v>
      </c>
      <c r="J1114" s="461" t="s">
        <v>1260</v>
      </c>
      <c r="K1114" s="462" t="s">
        <v>1129</v>
      </c>
      <c r="L1114" s="463">
        <v>1</v>
      </c>
      <c r="M1114" s="463">
        <v>2723.5506635156967</v>
      </c>
      <c r="N1114" s="464">
        <v>2723.5506635156999</v>
      </c>
      <c r="O1114" s="471" t="s">
        <v>3006</v>
      </c>
      <c r="P1114" s="431" t="s">
        <v>6711</v>
      </c>
    </row>
    <row r="1115" spans="1:16" ht="13.9" hidden="1" customHeight="1" outlineLevel="2" x14ac:dyDescent="0.2">
      <c r="A1115" s="233">
        <v>0</v>
      </c>
      <c r="B1115" s="233">
        <v>11</v>
      </c>
      <c r="C1115" s="233">
        <v>8</v>
      </c>
      <c r="D1115" s="234">
        <v>2</v>
      </c>
      <c r="E1115" s="234">
        <v>0</v>
      </c>
      <c r="G1115" s="450"/>
      <c r="H1115" s="451" t="s">
        <v>1237</v>
      </c>
      <c r="I1115" s="452" t="s">
        <v>4652</v>
      </c>
      <c r="J1115" s="453" t="s">
        <v>1615</v>
      </c>
      <c r="K1115" s="454"/>
      <c r="L1115" s="455"/>
      <c r="M1115" s="455"/>
      <c r="N1115" s="456">
        <v>693.65595221408296</v>
      </c>
      <c r="O1115" s="457"/>
      <c r="P1115" s="430"/>
    </row>
    <row r="1116" spans="1:16" ht="13.9" hidden="1" customHeight="1" outlineLevel="3" x14ac:dyDescent="0.2">
      <c r="A1116" s="233">
        <v>0</v>
      </c>
      <c r="B1116" s="233">
        <v>11</v>
      </c>
      <c r="C1116" s="233">
        <v>8</v>
      </c>
      <c r="D1116" s="234">
        <v>2</v>
      </c>
      <c r="E1116" s="234">
        <v>1</v>
      </c>
      <c r="G1116" s="500" t="s">
        <v>2337</v>
      </c>
      <c r="H1116" s="459" t="s">
        <v>1238</v>
      </c>
      <c r="I1116" s="460" t="s">
        <v>4653</v>
      </c>
      <c r="J1116" s="461" t="s">
        <v>2716</v>
      </c>
      <c r="K1116" s="462" t="s">
        <v>1129</v>
      </c>
      <c r="L1116" s="463">
        <v>1</v>
      </c>
      <c r="M1116" s="463">
        <v>693.65595221408307</v>
      </c>
      <c r="N1116" s="464">
        <v>693.65595221408296</v>
      </c>
      <c r="O1116" s="465" t="s">
        <v>2718</v>
      </c>
      <c r="P1116" s="431" t="s">
        <v>6711</v>
      </c>
    </row>
    <row r="1117" spans="1:16" ht="13.9" hidden="1" customHeight="1" outlineLevel="2" x14ac:dyDescent="0.2">
      <c r="A1117" s="233">
        <v>0</v>
      </c>
      <c r="B1117" s="233">
        <v>11</v>
      </c>
      <c r="C1117" s="233">
        <v>8</v>
      </c>
      <c r="D1117" s="234">
        <v>3</v>
      </c>
      <c r="E1117" s="234">
        <v>0</v>
      </c>
      <c r="G1117" s="450"/>
      <c r="H1117" s="451" t="s">
        <v>1237</v>
      </c>
      <c r="I1117" s="452" t="s">
        <v>4654</v>
      </c>
      <c r="J1117" s="453" t="s">
        <v>2715</v>
      </c>
      <c r="K1117" s="454"/>
      <c r="L1117" s="455"/>
      <c r="M1117" s="455"/>
      <c r="N1117" s="456">
        <v>4888.8687403735103</v>
      </c>
      <c r="O1117" s="457"/>
      <c r="P1117" s="430"/>
    </row>
    <row r="1118" spans="1:16" ht="13.9" hidden="1" customHeight="1" outlineLevel="3" x14ac:dyDescent="0.2">
      <c r="A1118" s="233">
        <v>0</v>
      </c>
      <c r="B1118" s="233">
        <v>11</v>
      </c>
      <c r="C1118" s="233">
        <v>8</v>
      </c>
      <c r="D1118" s="234">
        <v>3</v>
      </c>
      <c r="E1118" s="234">
        <v>1</v>
      </c>
      <c r="G1118" s="500" t="s">
        <v>2337</v>
      </c>
      <c r="H1118" s="459" t="s">
        <v>1238</v>
      </c>
      <c r="I1118" s="460" t="s">
        <v>4655</v>
      </c>
      <c r="J1118" s="461" t="s">
        <v>2717</v>
      </c>
      <c r="K1118" s="462" t="s">
        <v>1129</v>
      </c>
      <c r="L1118" s="463">
        <v>1</v>
      </c>
      <c r="M1118" s="463">
        <v>43.913123667456084</v>
      </c>
      <c r="N1118" s="464">
        <v>43.913123667456098</v>
      </c>
      <c r="O1118" s="465" t="s">
        <v>2784</v>
      </c>
      <c r="P1118" s="431" t="s">
        <v>6711</v>
      </c>
    </row>
    <row r="1119" spans="1:16" ht="13.9" hidden="1" customHeight="1" outlineLevel="3" x14ac:dyDescent="0.2">
      <c r="A1119" s="233">
        <v>0</v>
      </c>
      <c r="B1119" s="233">
        <v>11</v>
      </c>
      <c r="C1119" s="233">
        <v>8</v>
      </c>
      <c r="D1119" s="234">
        <v>3</v>
      </c>
      <c r="E1119" s="234">
        <v>2</v>
      </c>
      <c r="G1119" s="500" t="s">
        <v>2337</v>
      </c>
      <c r="H1119" s="459" t="s">
        <v>1238</v>
      </c>
      <c r="I1119" s="460" t="s">
        <v>4656</v>
      </c>
      <c r="J1119" s="461" t="s">
        <v>3028</v>
      </c>
      <c r="K1119" s="462" t="s">
        <v>1129</v>
      </c>
      <c r="L1119" s="463">
        <v>1</v>
      </c>
      <c r="M1119" s="463">
        <v>4844.9556167060582</v>
      </c>
      <c r="N1119" s="464">
        <v>4844.95561670606</v>
      </c>
      <c r="O1119" s="471" t="s">
        <v>3005</v>
      </c>
      <c r="P1119" s="431" t="s">
        <v>6711</v>
      </c>
    </row>
    <row r="1120" spans="1:16" ht="13.9" hidden="1" customHeight="1" outlineLevel="2" x14ac:dyDescent="0.2">
      <c r="A1120" s="233">
        <v>0</v>
      </c>
      <c r="B1120" s="233">
        <v>11</v>
      </c>
      <c r="C1120" s="233">
        <v>8</v>
      </c>
      <c r="D1120" s="234">
        <v>4</v>
      </c>
      <c r="E1120" s="234">
        <v>0</v>
      </c>
      <c r="G1120" s="450"/>
      <c r="H1120" s="451" t="s">
        <v>1237</v>
      </c>
      <c r="I1120" s="452" t="s">
        <v>4657</v>
      </c>
      <c r="J1120" s="453" t="s">
        <v>2338</v>
      </c>
      <c r="K1120" s="454"/>
      <c r="L1120" s="455"/>
      <c r="M1120" s="455"/>
      <c r="N1120" s="456">
        <v>0</v>
      </c>
      <c r="O1120" s="457"/>
      <c r="P1120" s="430"/>
    </row>
    <row r="1121" spans="1:16" ht="13.9" hidden="1" customHeight="1" outlineLevel="3" x14ac:dyDescent="0.2">
      <c r="A1121" s="233">
        <v>0</v>
      </c>
      <c r="B1121" s="233">
        <v>11</v>
      </c>
      <c r="C1121" s="233">
        <v>8</v>
      </c>
      <c r="D1121" s="234">
        <v>4</v>
      </c>
      <c r="E1121" s="234">
        <v>1</v>
      </c>
      <c r="G1121" s="500" t="s">
        <v>2337</v>
      </c>
      <c r="H1121" s="459" t="s">
        <v>1238</v>
      </c>
      <c r="I1121" s="460" t="s">
        <v>4658</v>
      </c>
      <c r="J1121" s="461" t="s">
        <v>2338</v>
      </c>
      <c r="K1121" s="462" t="s">
        <v>533</v>
      </c>
      <c r="L1121" s="463">
        <v>0</v>
      </c>
      <c r="M1121" s="463">
        <v>2262</v>
      </c>
      <c r="N1121" s="464">
        <v>0</v>
      </c>
      <c r="O1121" s="465" t="s">
        <v>2339</v>
      </c>
      <c r="P1121" s="431" t="s">
        <v>6711</v>
      </c>
    </row>
    <row r="1122" spans="1:16" ht="13.9" hidden="1" customHeight="1" outlineLevel="3" x14ac:dyDescent="0.2">
      <c r="A1122" s="233">
        <v>0</v>
      </c>
      <c r="B1122" s="233">
        <v>11</v>
      </c>
      <c r="C1122" s="233">
        <v>8</v>
      </c>
      <c r="D1122" s="234">
        <v>4</v>
      </c>
      <c r="E1122" s="234">
        <v>2</v>
      </c>
      <c r="G1122" s="500" t="s">
        <v>2337</v>
      </c>
      <c r="H1122" s="459" t="s">
        <v>1238</v>
      </c>
      <c r="I1122" s="460" t="s">
        <v>4659</v>
      </c>
      <c r="J1122" s="461" t="s">
        <v>2713</v>
      </c>
      <c r="K1122" s="462" t="s">
        <v>533</v>
      </c>
      <c r="L1122" s="463">
        <v>0</v>
      </c>
      <c r="M1122" s="463">
        <v>1100</v>
      </c>
      <c r="N1122" s="464">
        <v>0</v>
      </c>
      <c r="O1122" s="465" t="s">
        <v>2714</v>
      </c>
      <c r="P1122" s="431" t="s">
        <v>6711</v>
      </c>
    </row>
    <row r="1123" spans="1:16" ht="13.9" hidden="1" customHeight="1" outlineLevel="2" x14ac:dyDescent="0.2">
      <c r="A1123" s="233">
        <v>0</v>
      </c>
      <c r="B1123" s="233">
        <v>11</v>
      </c>
      <c r="C1123" s="233">
        <v>8</v>
      </c>
      <c r="D1123" s="234">
        <v>5</v>
      </c>
      <c r="E1123" s="234">
        <v>0</v>
      </c>
      <c r="G1123" s="450"/>
      <c r="H1123" s="451" t="s">
        <v>1237</v>
      </c>
      <c r="I1123" s="452" t="s">
        <v>4660</v>
      </c>
      <c r="J1123" s="453" t="s">
        <v>14</v>
      </c>
      <c r="K1123" s="454"/>
      <c r="L1123" s="455"/>
      <c r="M1123" s="455"/>
      <c r="N1123" s="456">
        <v>658.18264981667198</v>
      </c>
      <c r="O1123" s="457"/>
      <c r="P1123" s="430"/>
    </row>
    <row r="1124" spans="1:16" ht="13.9" hidden="1" customHeight="1" outlineLevel="3" x14ac:dyDescent="0.2">
      <c r="A1124" s="233">
        <v>0</v>
      </c>
      <c r="B1124" s="233">
        <v>11</v>
      </c>
      <c r="C1124" s="233">
        <v>8</v>
      </c>
      <c r="D1124" s="234">
        <v>5</v>
      </c>
      <c r="E1124" s="234">
        <v>1</v>
      </c>
      <c r="G1124" s="500" t="s">
        <v>2337</v>
      </c>
      <c r="H1124" s="459" t="s">
        <v>1238</v>
      </c>
      <c r="I1124" s="460" t="s">
        <v>4661</v>
      </c>
      <c r="J1124" s="461" t="s">
        <v>2340</v>
      </c>
      <c r="K1124" s="462" t="s">
        <v>1129</v>
      </c>
      <c r="L1124" s="463">
        <v>1</v>
      </c>
      <c r="M1124" s="463">
        <v>658.18264981667198</v>
      </c>
      <c r="N1124" s="464">
        <v>658.18264981667198</v>
      </c>
      <c r="O1124" s="465" t="s">
        <v>3007</v>
      </c>
      <c r="P1124" s="431" t="s">
        <v>6711</v>
      </c>
    </row>
    <row r="1125" spans="1:16" ht="13.9" customHeight="1" collapsed="1" x14ac:dyDescent="0.2">
      <c r="A1125" s="233">
        <v>0</v>
      </c>
      <c r="B1125" s="233">
        <v>12</v>
      </c>
      <c r="C1125" s="233">
        <v>0</v>
      </c>
      <c r="D1125" s="234">
        <v>5</v>
      </c>
      <c r="E1125" s="234">
        <v>1</v>
      </c>
      <c r="F1125" s="237"/>
      <c r="G1125" s="501"/>
      <c r="H1125" s="437" t="s">
        <v>1236</v>
      </c>
      <c r="I1125" s="438" t="s">
        <v>4662</v>
      </c>
      <c r="J1125" s="439" t="s">
        <v>21</v>
      </c>
      <c r="K1125" s="440"/>
      <c r="L1125" s="441"/>
      <c r="M1125" s="441"/>
      <c r="N1125" s="442"/>
      <c r="O1125" s="480"/>
      <c r="P1125" s="434"/>
    </row>
    <row r="1126" spans="1:16" ht="13.9" hidden="1" customHeight="1" outlineLevel="1" x14ac:dyDescent="0.2">
      <c r="A1126" s="233">
        <v>0</v>
      </c>
      <c r="B1126" s="233">
        <v>12</v>
      </c>
      <c r="C1126" s="233">
        <v>1</v>
      </c>
      <c r="D1126" s="234">
        <v>0</v>
      </c>
      <c r="E1126" s="234">
        <v>1</v>
      </c>
      <c r="G1126" s="473"/>
      <c r="H1126" s="444" t="s">
        <v>38</v>
      </c>
      <c r="I1126" s="445" t="s">
        <v>4663</v>
      </c>
      <c r="J1126" s="446" t="s">
        <v>2770</v>
      </c>
      <c r="K1126" s="447"/>
      <c r="L1126" s="448"/>
      <c r="M1126" s="448"/>
      <c r="N1126" s="449"/>
      <c r="O1126" s="432"/>
      <c r="P1126" s="435"/>
    </row>
    <row r="1127" spans="1:16" ht="13.5" hidden="1" customHeight="1" outlineLevel="2" x14ac:dyDescent="0.2">
      <c r="A1127" s="233">
        <v>0</v>
      </c>
      <c r="B1127" s="233">
        <v>12</v>
      </c>
      <c r="C1127" s="233">
        <v>1</v>
      </c>
      <c r="D1127" s="234">
        <v>1</v>
      </c>
      <c r="E1127" s="234">
        <v>0</v>
      </c>
      <c r="G1127" s="474"/>
      <c r="H1127" s="451" t="s">
        <v>1237</v>
      </c>
      <c r="I1127" s="452" t="s">
        <v>4664</v>
      </c>
      <c r="J1127" s="453" t="s">
        <v>2341</v>
      </c>
      <c r="K1127" s="454"/>
      <c r="L1127" s="455"/>
      <c r="M1127" s="455"/>
      <c r="N1127" s="456">
        <v>2800</v>
      </c>
      <c r="O1127" s="457"/>
      <c r="P1127" s="430"/>
    </row>
    <row r="1128" spans="1:16" ht="13.5" hidden="1" customHeight="1" outlineLevel="3" x14ac:dyDescent="0.2">
      <c r="A1128" s="233">
        <v>0</v>
      </c>
      <c r="B1128" s="233">
        <v>12</v>
      </c>
      <c r="C1128" s="233">
        <v>1</v>
      </c>
      <c r="D1128" s="234">
        <v>1</v>
      </c>
      <c r="E1128" s="234">
        <v>1</v>
      </c>
      <c r="F1128" s="125"/>
      <c r="G1128" s="458" t="s">
        <v>2134</v>
      </c>
      <c r="H1128" s="459" t="s">
        <v>1238</v>
      </c>
      <c r="I1128" s="460" t="s">
        <v>4665</v>
      </c>
      <c r="J1128" s="461" t="s">
        <v>2341</v>
      </c>
      <c r="K1128" s="462" t="s">
        <v>1129</v>
      </c>
      <c r="L1128" s="463">
        <v>1</v>
      </c>
      <c r="M1128" s="463">
        <v>2800</v>
      </c>
      <c r="N1128" s="464">
        <v>2800</v>
      </c>
      <c r="O1128" s="465" t="s">
        <v>1261</v>
      </c>
      <c r="P1128" s="431" t="s">
        <v>6711</v>
      </c>
    </row>
    <row r="1129" spans="1:16" ht="13.5" hidden="1" customHeight="1" outlineLevel="2" x14ac:dyDescent="0.2">
      <c r="A1129" s="233">
        <v>0</v>
      </c>
      <c r="B1129" s="233">
        <v>12</v>
      </c>
      <c r="C1129" s="233">
        <v>1</v>
      </c>
      <c r="D1129" s="234">
        <v>2</v>
      </c>
      <c r="E1129" s="234">
        <v>0</v>
      </c>
      <c r="F1129" s="125"/>
      <c r="G1129" s="474"/>
      <c r="H1129" s="451" t="s">
        <v>1237</v>
      </c>
      <c r="I1129" s="452" t="s">
        <v>4666</v>
      </c>
      <c r="J1129" s="453" t="s">
        <v>2342</v>
      </c>
      <c r="K1129" s="454"/>
      <c r="L1129" s="455"/>
      <c r="M1129" s="455"/>
      <c r="N1129" s="456"/>
      <c r="O1129" s="503"/>
      <c r="P1129" s="430"/>
    </row>
    <row r="1130" spans="1:16" ht="13.5" hidden="1" customHeight="1" outlineLevel="3" x14ac:dyDescent="0.2">
      <c r="A1130" s="233">
        <v>0</v>
      </c>
      <c r="B1130" s="233">
        <v>12</v>
      </c>
      <c r="C1130" s="233">
        <v>1</v>
      </c>
      <c r="D1130" s="234">
        <v>2</v>
      </c>
      <c r="E1130" s="234">
        <v>1</v>
      </c>
      <c r="F1130" s="125"/>
      <c r="G1130" s="458" t="s">
        <v>2134</v>
      </c>
      <c r="H1130" s="459" t="s">
        <v>1238</v>
      </c>
      <c r="I1130" s="460" t="s">
        <v>4667</v>
      </c>
      <c r="J1130" s="461" t="s">
        <v>2342</v>
      </c>
      <c r="K1130" s="462" t="s">
        <v>1129</v>
      </c>
      <c r="L1130" s="463">
        <v>1</v>
      </c>
      <c r="M1130" s="463" t="e">
        <v>#REF!</v>
      </c>
      <c r="N1130" s="464"/>
      <c r="O1130" s="471" t="s">
        <v>3008</v>
      </c>
      <c r="P1130" s="431" t="s">
        <v>6711</v>
      </c>
    </row>
    <row r="1131" spans="1:16" ht="13.9" hidden="1" customHeight="1" outlineLevel="1" x14ac:dyDescent="0.2">
      <c r="A1131" s="233">
        <v>0</v>
      </c>
      <c r="B1131" s="233">
        <v>12</v>
      </c>
      <c r="C1131" s="233">
        <v>2</v>
      </c>
      <c r="D1131" s="234">
        <v>0</v>
      </c>
      <c r="E1131" s="234">
        <v>1</v>
      </c>
      <c r="G1131" s="473"/>
      <c r="H1131" s="444" t="s">
        <v>38</v>
      </c>
      <c r="I1131" s="445" t="s">
        <v>4668</v>
      </c>
      <c r="J1131" s="446" t="s">
        <v>2772</v>
      </c>
      <c r="K1131" s="447"/>
      <c r="L1131" s="448"/>
      <c r="M1131" s="448"/>
      <c r="N1131" s="449"/>
      <c r="O1131" s="432"/>
      <c r="P1131" s="435"/>
    </row>
    <row r="1132" spans="1:16" ht="13.5" hidden="1" customHeight="1" outlineLevel="2" x14ac:dyDescent="0.2">
      <c r="A1132" s="233">
        <v>0</v>
      </c>
      <c r="B1132" s="233">
        <v>12</v>
      </c>
      <c r="C1132" s="233">
        <v>2</v>
      </c>
      <c r="D1132" s="234">
        <v>1</v>
      </c>
      <c r="E1132" s="234">
        <v>0</v>
      </c>
      <c r="F1132" s="125"/>
      <c r="G1132" s="474"/>
      <c r="H1132" s="451" t="s">
        <v>1237</v>
      </c>
      <c r="I1132" s="452" t="s">
        <v>4669</v>
      </c>
      <c r="J1132" s="453" t="s">
        <v>2342</v>
      </c>
      <c r="K1132" s="454"/>
      <c r="L1132" s="455"/>
      <c r="M1132" s="455"/>
      <c r="N1132" s="456"/>
      <c r="O1132" s="503"/>
      <c r="P1132" s="430"/>
    </row>
    <row r="1133" spans="1:16" ht="13.5" hidden="1" customHeight="1" outlineLevel="3" x14ac:dyDescent="0.2">
      <c r="A1133" s="233">
        <v>0</v>
      </c>
      <c r="B1133" s="233">
        <v>12</v>
      </c>
      <c r="C1133" s="233">
        <v>2</v>
      </c>
      <c r="D1133" s="234">
        <v>1</v>
      </c>
      <c r="E1133" s="234">
        <v>1</v>
      </c>
      <c r="F1133" s="125"/>
      <c r="G1133" s="458" t="s">
        <v>2134</v>
      </c>
      <c r="H1133" s="459" t="s">
        <v>1238</v>
      </c>
      <c r="I1133" s="460" t="s">
        <v>4670</v>
      </c>
      <c r="J1133" s="461" t="s">
        <v>2342</v>
      </c>
      <c r="K1133" s="462" t="s">
        <v>1129</v>
      </c>
      <c r="L1133" s="463">
        <v>1</v>
      </c>
      <c r="M1133" s="463" t="e">
        <v>#REF!</v>
      </c>
      <c r="N1133" s="464"/>
      <c r="O1133" s="471" t="s">
        <v>3008</v>
      </c>
      <c r="P1133" s="431" t="s">
        <v>6711</v>
      </c>
    </row>
    <row r="1134" spans="1:16" ht="13.9" hidden="1" customHeight="1" outlineLevel="1" x14ac:dyDescent="0.2">
      <c r="A1134" s="233">
        <v>0</v>
      </c>
      <c r="B1134" s="233">
        <v>12</v>
      </c>
      <c r="C1134" s="233">
        <v>3</v>
      </c>
      <c r="D1134" s="234">
        <v>0</v>
      </c>
      <c r="E1134" s="234">
        <v>1</v>
      </c>
      <c r="G1134" s="473"/>
      <c r="H1134" s="444" t="s">
        <v>38</v>
      </c>
      <c r="I1134" s="445" t="s">
        <v>4671</v>
      </c>
      <c r="J1134" s="446" t="s">
        <v>2773</v>
      </c>
      <c r="K1134" s="447"/>
      <c r="L1134" s="448"/>
      <c r="M1134" s="448"/>
      <c r="N1134" s="449"/>
      <c r="O1134" s="432"/>
      <c r="P1134" s="435"/>
    </row>
    <row r="1135" spans="1:16" ht="13.5" hidden="1" customHeight="1" outlineLevel="2" x14ac:dyDescent="0.2">
      <c r="A1135" s="233">
        <v>0</v>
      </c>
      <c r="B1135" s="233">
        <v>12</v>
      </c>
      <c r="C1135" s="233">
        <v>3</v>
      </c>
      <c r="D1135" s="234">
        <v>1</v>
      </c>
      <c r="E1135" s="234">
        <v>0</v>
      </c>
      <c r="F1135" s="125"/>
      <c r="G1135" s="474"/>
      <c r="H1135" s="451" t="s">
        <v>1237</v>
      </c>
      <c r="I1135" s="452" t="s">
        <v>4672</v>
      </c>
      <c r="J1135" s="453" t="s">
        <v>2342</v>
      </c>
      <c r="K1135" s="454"/>
      <c r="L1135" s="455"/>
      <c r="M1135" s="455"/>
      <c r="N1135" s="456"/>
      <c r="O1135" s="503"/>
      <c r="P1135" s="430"/>
    </row>
    <row r="1136" spans="1:16" ht="13.5" hidden="1" customHeight="1" outlineLevel="3" x14ac:dyDescent="0.2">
      <c r="A1136" s="233">
        <v>0</v>
      </c>
      <c r="B1136" s="233">
        <v>12</v>
      </c>
      <c r="C1136" s="233">
        <v>3</v>
      </c>
      <c r="D1136" s="234">
        <v>1</v>
      </c>
      <c r="E1136" s="234">
        <v>1</v>
      </c>
      <c r="F1136" s="125"/>
      <c r="G1136" s="458" t="s">
        <v>2134</v>
      </c>
      <c r="H1136" s="459" t="s">
        <v>1238</v>
      </c>
      <c r="I1136" s="460" t="s">
        <v>4673</v>
      </c>
      <c r="J1136" s="461" t="s">
        <v>2342</v>
      </c>
      <c r="K1136" s="462" t="s">
        <v>1129</v>
      </c>
      <c r="L1136" s="463">
        <v>1</v>
      </c>
      <c r="M1136" s="463" t="e">
        <v>#REF!</v>
      </c>
      <c r="N1136" s="464"/>
      <c r="O1136" s="465" t="s">
        <v>2771</v>
      </c>
      <c r="P1136" s="431" t="s">
        <v>6711</v>
      </c>
    </row>
    <row r="1137" spans="1:16" ht="13.9" hidden="1" customHeight="1" outlineLevel="1" x14ac:dyDescent="0.2">
      <c r="A1137" s="233">
        <v>0</v>
      </c>
      <c r="B1137" s="233">
        <v>12</v>
      </c>
      <c r="C1137" s="233">
        <v>4</v>
      </c>
      <c r="D1137" s="234">
        <v>0</v>
      </c>
      <c r="E1137" s="234">
        <v>1</v>
      </c>
      <c r="G1137" s="473"/>
      <c r="H1137" s="444" t="s">
        <v>38</v>
      </c>
      <c r="I1137" s="445" t="s">
        <v>4674</v>
      </c>
      <c r="J1137" s="446" t="s">
        <v>2774</v>
      </c>
      <c r="K1137" s="447"/>
      <c r="L1137" s="448"/>
      <c r="M1137" s="448"/>
      <c r="N1137" s="449"/>
      <c r="O1137" s="432"/>
      <c r="P1137" s="435"/>
    </row>
    <row r="1138" spans="1:16" ht="13.5" hidden="1" customHeight="1" outlineLevel="2" x14ac:dyDescent="0.2">
      <c r="A1138" s="233">
        <v>0</v>
      </c>
      <c r="B1138" s="233">
        <v>12</v>
      </c>
      <c r="C1138" s="233">
        <v>4</v>
      </c>
      <c r="D1138" s="234">
        <v>1</v>
      </c>
      <c r="E1138" s="234">
        <v>0</v>
      </c>
      <c r="F1138" s="125"/>
      <c r="G1138" s="474"/>
      <c r="H1138" s="451" t="s">
        <v>1237</v>
      </c>
      <c r="I1138" s="452" t="s">
        <v>4675</v>
      </c>
      <c r="J1138" s="453" t="s">
        <v>2342</v>
      </c>
      <c r="K1138" s="454"/>
      <c r="L1138" s="455"/>
      <c r="M1138" s="455"/>
      <c r="N1138" s="456"/>
      <c r="O1138" s="503"/>
      <c r="P1138" s="430"/>
    </row>
    <row r="1139" spans="1:16" ht="13.5" hidden="1" customHeight="1" outlineLevel="3" x14ac:dyDescent="0.2">
      <c r="A1139" s="233">
        <v>0</v>
      </c>
      <c r="B1139" s="233">
        <v>12</v>
      </c>
      <c r="C1139" s="233">
        <v>4</v>
      </c>
      <c r="D1139" s="234">
        <v>1</v>
      </c>
      <c r="E1139" s="234">
        <v>1</v>
      </c>
      <c r="F1139" s="125"/>
      <c r="G1139" s="458" t="s">
        <v>2134</v>
      </c>
      <c r="H1139" s="459" t="s">
        <v>1238</v>
      </c>
      <c r="I1139" s="460" t="s">
        <v>4676</v>
      </c>
      <c r="J1139" s="461" t="s">
        <v>2342</v>
      </c>
      <c r="K1139" s="462" t="s">
        <v>1129</v>
      </c>
      <c r="L1139" s="463">
        <v>1</v>
      </c>
      <c r="M1139" s="463" t="e">
        <v>#REF!</v>
      </c>
      <c r="N1139" s="464"/>
      <c r="O1139" s="465" t="s">
        <v>2771</v>
      </c>
      <c r="P1139" s="431" t="s">
        <v>6711</v>
      </c>
    </row>
    <row r="1140" spans="1:16" ht="13.9" hidden="1" customHeight="1" outlineLevel="1" x14ac:dyDescent="0.2">
      <c r="A1140" s="233">
        <v>0</v>
      </c>
      <c r="B1140" s="233">
        <v>12</v>
      </c>
      <c r="C1140" s="233">
        <v>5</v>
      </c>
      <c r="D1140" s="234">
        <v>0</v>
      </c>
      <c r="E1140" s="234">
        <v>1</v>
      </c>
      <c r="G1140" s="473"/>
      <c r="H1140" s="444" t="s">
        <v>38</v>
      </c>
      <c r="I1140" s="445" t="s">
        <v>4677</v>
      </c>
      <c r="J1140" s="446" t="s">
        <v>2775</v>
      </c>
      <c r="K1140" s="447"/>
      <c r="L1140" s="448"/>
      <c r="M1140" s="448"/>
      <c r="N1140" s="449"/>
      <c r="O1140" s="432"/>
      <c r="P1140" s="435"/>
    </row>
    <row r="1141" spans="1:16" ht="13.5" hidden="1" customHeight="1" outlineLevel="2" x14ac:dyDescent="0.2">
      <c r="A1141" s="233">
        <v>0</v>
      </c>
      <c r="B1141" s="233">
        <v>12</v>
      </c>
      <c r="C1141" s="233">
        <v>5</v>
      </c>
      <c r="D1141" s="234">
        <v>1</v>
      </c>
      <c r="E1141" s="234">
        <v>0</v>
      </c>
      <c r="F1141" s="125"/>
      <c r="G1141" s="474"/>
      <c r="H1141" s="451" t="s">
        <v>1237</v>
      </c>
      <c r="I1141" s="452" t="s">
        <v>4678</v>
      </c>
      <c r="J1141" s="453" t="s">
        <v>2342</v>
      </c>
      <c r="K1141" s="454"/>
      <c r="L1141" s="455"/>
      <c r="M1141" s="455"/>
      <c r="N1141" s="456"/>
      <c r="O1141" s="503"/>
      <c r="P1141" s="430"/>
    </row>
    <row r="1142" spans="1:16" ht="13.5" hidden="1" customHeight="1" outlineLevel="3" x14ac:dyDescent="0.2">
      <c r="A1142" s="233">
        <v>0</v>
      </c>
      <c r="B1142" s="233">
        <v>12</v>
      </c>
      <c r="C1142" s="233">
        <v>5</v>
      </c>
      <c r="D1142" s="234">
        <v>1</v>
      </c>
      <c r="E1142" s="234">
        <v>1</v>
      </c>
      <c r="F1142" s="125"/>
      <c r="G1142" s="458" t="s">
        <v>2134</v>
      </c>
      <c r="H1142" s="459" t="s">
        <v>1238</v>
      </c>
      <c r="I1142" s="460" t="s">
        <v>4679</v>
      </c>
      <c r="J1142" s="461" t="s">
        <v>2342</v>
      </c>
      <c r="K1142" s="462" t="s">
        <v>1129</v>
      </c>
      <c r="L1142" s="463">
        <v>1</v>
      </c>
      <c r="M1142" s="463" t="e">
        <v>#REF!</v>
      </c>
      <c r="N1142" s="464"/>
      <c r="O1142" s="465" t="s">
        <v>2771</v>
      </c>
      <c r="P1142" s="431" t="s">
        <v>6711</v>
      </c>
    </row>
    <row r="1143" spans="1:16" ht="13.9" hidden="1" customHeight="1" outlineLevel="1" x14ac:dyDescent="0.2">
      <c r="A1143" s="233">
        <v>0</v>
      </c>
      <c r="B1143" s="233">
        <v>12</v>
      </c>
      <c r="C1143" s="233">
        <v>6</v>
      </c>
      <c r="D1143" s="234">
        <v>0</v>
      </c>
      <c r="E1143" s="234">
        <v>1</v>
      </c>
      <c r="G1143" s="473"/>
      <c r="H1143" s="444" t="s">
        <v>38</v>
      </c>
      <c r="I1143" s="445" t="s">
        <v>4680</v>
      </c>
      <c r="J1143" s="446" t="s">
        <v>2776</v>
      </c>
      <c r="K1143" s="447"/>
      <c r="L1143" s="448"/>
      <c r="M1143" s="448"/>
      <c r="N1143" s="449"/>
      <c r="O1143" s="432"/>
      <c r="P1143" s="435"/>
    </row>
    <row r="1144" spans="1:16" ht="13.5" hidden="1" customHeight="1" outlineLevel="2" x14ac:dyDescent="0.2">
      <c r="A1144" s="233">
        <v>0</v>
      </c>
      <c r="B1144" s="233">
        <v>12</v>
      </c>
      <c r="C1144" s="233">
        <v>6</v>
      </c>
      <c r="D1144" s="234">
        <v>1</v>
      </c>
      <c r="E1144" s="234">
        <v>0</v>
      </c>
      <c r="F1144" s="125"/>
      <c r="G1144" s="474"/>
      <c r="H1144" s="451" t="s">
        <v>1237</v>
      </c>
      <c r="I1144" s="452" t="s">
        <v>4681</v>
      </c>
      <c r="J1144" s="453" t="s">
        <v>2342</v>
      </c>
      <c r="K1144" s="454"/>
      <c r="L1144" s="455"/>
      <c r="M1144" s="455"/>
      <c r="N1144" s="456"/>
      <c r="O1144" s="503"/>
      <c r="P1144" s="430"/>
    </row>
    <row r="1145" spans="1:16" ht="13.5" hidden="1" customHeight="1" outlineLevel="3" x14ac:dyDescent="0.2">
      <c r="A1145" s="233">
        <v>0</v>
      </c>
      <c r="B1145" s="233">
        <v>12</v>
      </c>
      <c r="C1145" s="233">
        <v>6</v>
      </c>
      <c r="D1145" s="234">
        <v>1</v>
      </c>
      <c r="E1145" s="234">
        <v>1</v>
      </c>
      <c r="F1145" s="125"/>
      <c r="G1145" s="458" t="s">
        <v>2134</v>
      </c>
      <c r="H1145" s="459" t="s">
        <v>1238</v>
      </c>
      <c r="I1145" s="460" t="s">
        <v>4682</v>
      </c>
      <c r="J1145" s="461" t="s">
        <v>2342</v>
      </c>
      <c r="K1145" s="462" t="s">
        <v>1129</v>
      </c>
      <c r="L1145" s="463">
        <v>1</v>
      </c>
      <c r="M1145" s="463" t="e">
        <v>#REF!</v>
      </c>
      <c r="N1145" s="464"/>
      <c r="O1145" s="465" t="s">
        <v>2771</v>
      </c>
      <c r="P1145" s="431" t="s">
        <v>6711</v>
      </c>
    </row>
    <row r="1146" spans="1:16" ht="13.9" hidden="1" customHeight="1" outlineLevel="1" x14ac:dyDescent="0.2">
      <c r="A1146" s="233">
        <v>0</v>
      </c>
      <c r="B1146" s="233">
        <v>12</v>
      </c>
      <c r="C1146" s="233">
        <v>7</v>
      </c>
      <c r="D1146" s="234">
        <v>0</v>
      </c>
      <c r="E1146" s="234">
        <v>1</v>
      </c>
      <c r="G1146" s="473"/>
      <c r="H1146" s="444" t="s">
        <v>38</v>
      </c>
      <c r="I1146" s="445" t="s">
        <v>4683</v>
      </c>
      <c r="J1146" s="446" t="s">
        <v>2777</v>
      </c>
      <c r="K1146" s="447"/>
      <c r="L1146" s="448"/>
      <c r="M1146" s="448"/>
      <c r="N1146" s="449"/>
      <c r="O1146" s="432"/>
      <c r="P1146" s="435"/>
    </row>
    <row r="1147" spans="1:16" ht="13.5" hidden="1" customHeight="1" outlineLevel="2" x14ac:dyDescent="0.2">
      <c r="A1147" s="233">
        <v>0</v>
      </c>
      <c r="B1147" s="233">
        <v>12</v>
      </c>
      <c r="C1147" s="233">
        <v>7</v>
      </c>
      <c r="D1147" s="234">
        <v>1</v>
      </c>
      <c r="E1147" s="234">
        <v>0</v>
      </c>
      <c r="G1147" s="474"/>
      <c r="H1147" s="451" t="s">
        <v>1237</v>
      </c>
      <c r="I1147" s="452" t="s">
        <v>4684</v>
      </c>
      <c r="J1147" s="453" t="s">
        <v>2341</v>
      </c>
      <c r="K1147" s="454"/>
      <c r="L1147" s="455"/>
      <c r="M1147" s="455"/>
      <c r="N1147" s="456">
        <v>14910</v>
      </c>
      <c r="O1147" s="457"/>
      <c r="P1147" s="430"/>
    </row>
    <row r="1148" spans="1:16" ht="13.5" hidden="1" customHeight="1" outlineLevel="3" x14ac:dyDescent="0.2">
      <c r="A1148" s="233">
        <v>0</v>
      </c>
      <c r="B1148" s="233">
        <v>12</v>
      </c>
      <c r="C1148" s="233">
        <v>7</v>
      </c>
      <c r="D1148" s="234">
        <v>1</v>
      </c>
      <c r="E1148" s="234">
        <v>1</v>
      </c>
      <c r="F1148" s="125"/>
      <c r="G1148" s="458" t="s">
        <v>2134</v>
      </c>
      <c r="H1148" s="459" t="s">
        <v>1238</v>
      </c>
      <c r="I1148" s="460" t="s">
        <v>4685</v>
      </c>
      <c r="J1148" s="461" t="s">
        <v>2341</v>
      </c>
      <c r="K1148" s="462" t="s">
        <v>1129</v>
      </c>
      <c r="L1148" s="463">
        <v>1</v>
      </c>
      <c r="M1148" s="463">
        <v>14910</v>
      </c>
      <c r="N1148" s="464">
        <v>14910</v>
      </c>
      <c r="O1148" s="465" t="s">
        <v>1261</v>
      </c>
      <c r="P1148" s="431" t="s">
        <v>6711</v>
      </c>
    </row>
    <row r="1149" spans="1:16" ht="13.5" hidden="1" customHeight="1" outlineLevel="2" x14ac:dyDescent="0.2">
      <c r="A1149" s="233">
        <v>0</v>
      </c>
      <c r="B1149" s="233">
        <v>12</v>
      </c>
      <c r="C1149" s="233">
        <v>7</v>
      </c>
      <c r="D1149" s="234">
        <v>2</v>
      </c>
      <c r="E1149" s="234">
        <v>0</v>
      </c>
      <c r="F1149" s="125"/>
      <c r="G1149" s="474"/>
      <c r="H1149" s="451" t="s">
        <v>1237</v>
      </c>
      <c r="I1149" s="452" t="s">
        <v>4686</v>
      </c>
      <c r="J1149" s="453" t="s">
        <v>2342</v>
      </c>
      <c r="K1149" s="454"/>
      <c r="L1149" s="455"/>
      <c r="M1149" s="455"/>
      <c r="N1149" s="456"/>
      <c r="O1149" s="503"/>
      <c r="P1149" s="430"/>
    </row>
    <row r="1150" spans="1:16" ht="13.5" hidden="1" customHeight="1" outlineLevel="3" x14ac:dyDescent="0.2">
      <c r="A1150" s="233">
        <v>0</v>
      </c>
      <c r="B1150" s="233">
        <v>12</v>
      </c>
      <c r="C1150" s="233">
        <v>7</v>
      </c>
      <c r="D1150" s="234">
        <v>2</v>
      </c>
      <c r="E1150" s="234">
        <v>1</v>
      </c>
      <c r="F1150" s="125"/>
      <c r="G1150" s="458" t="s">
        <v>2134</v>
      </c>
      <c r="H1150" s="459" t="s">
        <v>1238</v>
      </c>
      <c r="I1150" s="460" t="s">
        <v>4687</v>
      </c>
      <c r="J1150" s="461" t="s">
        <v>2342</v>
      </c>
      <c r="K1150" s="462" t="s">
        <v>1129</v>
      </c>
      <c r="L1150" s="463">
        <v>1</v>
      </c>
      <c r="M1150" s="463" t="e">
        <v>#REF!</v>
      </c>
      <c r="N1150" s="464"/>
      <c r="O1150" s="465" t="s">
        <v>2771</v>
      </c>
      <c r="P1150" s="431" t="s">
        <v>6711</v>
      </c>
    </row>
    <row r="1151" spans="1:16" ht="13.5" hidden="1" customHeight="1" outlineLevel="2" x14ac:dyDescent="0.2">
      <c r="A1151" s="233">
        <v>0</v>
      </c>
      <c r="B1151" s="233">
        <v>12</v>
      </c>
      <c r="C1151" s="233">
        <v>7</v>
      </c>
      <c r="D1151" s="234">
        <v>3</v>
      </c>
      <c r="E1151" s="234">
        <v>0</v>
      </c>
      <c r="F1151" s="125"/>
      <c r="G1151" s="474"/>
      <c r="H1151" s="451" t="s">
        <v>1237</v>
      </c>
      <c r="I1151" s="452" t="s">
        <v>4688</v>
      </c>
      <c r="J1151" s="453" t="s">
        <v>2242</v>
      </c>
      <c r="K1151" s="454"/>
      <c r="L1151" s="455"/>
      <c r="M1151" s="455"/>
      <c r="N1151" s="456">
        <v>42992.695764557197</v>
      </c>
      <c r="O1151" s="457"/>
      <c r="P1151" s="430"/>
    </row>
    <row r="1152" spans="1:16" ht="13.5" hidden="1" customHeight="1" outlineLevel="3" x14ac:dyDescent="0.2">
      <c r="A1152" s="233">
        <v>0</v>
      </c>
      <c r="B1152" s="233">
        <v>12</v>
      </c>
      <c r="C1152" s="233">
        <v>7</v>
      </c>
      <c r="D1152" s="234">
        <v>3</v>
      </c>
      <c r="E1152" s="234">
        <v>1</v>
      </c>
      <c r="F1152" s="125"/>
      <c r="G1152" s="458" t="s">
        <v>2134</v>
      </c>
      <c r="H1152" s="459" t="s">
        <v>1238</v>
      </c>
      <c r="I1152" s="460" t="s">
        <v>4689</v>
      </c>
      <c r="J1152" s="461" t="s">
        <v>2343</v>
      </c>
      <c r="K1152" s="462" t="s">
        <v>1129</v>
      </c>
      <c r="L1152" s="463">
        <v>1</v>
      </c>
      <c r="M1152" s="463">
        <v>42992.695764557211</v>
      </c>
      <c r="N1152" s="464">
        <v>42992.695764557197</v>
      </c>
      <c r="O1152" s="465" t="s">
        <v>1261</v>
      </c>
      <c r="P1152" s="431" t="s">
        <v>6711</v>
      </c>
    </row>
    <row r="1153" spans="1:16" ht="13.9" hidden="1" customHeight="1" outlineLevel="1" x14ac:dyDescent="0.2">
      <c r="A1153" s="233">
        <v>0</v>
      </c>
      <c r="B1153" s="233">
        <v>12</v>
      </c>
      <c r="C1153" s="233">
        <v>8</v>
      </c>
      <c r="D1153" s="234">
        <v>0</v>
      </c>
      <c r="E1153" s="234">
        <v>1</v>
      </c>
      <c r="G1153" s="473"/>
      <c r="H1153" s="444" t="s">
        <v>38</v>
      </c>
      <c r="I1153" s="445" t="s">
        <v>4690</v>
      </c>
      <c r="J1153" s="446" t="s">
        <v>2778</v>
      </c>
      <c r="K1153" s="447"/>
      <c r="L1153" s="448"/>
      <c r="M1153" s="448"/>
      <c r="N1153" s="449"/>
      <c r="O1153" s="432"/>
      <c r="P1153" s="435"/>
    </row>
    <row r="1154" spans="1:16" ht="13.5" hidden="1" customHeight="1" outlineLevel="2" x14ac:dyDescent="0.2">
      <c r="A1154" s="233">
        <v>0</v>
      </c>
      <c r="B1154" s="233">
        <v>12</v>
      </c>
      <c r="C1154" s="233">
        <v>8</v>
      </c>
      <c r="D1154" s="234">
        <v>1</v>
      </c>
      <c r="E1154" s="234">
        <v>0</v>
      </c>
      <c r="G1154" s="474"/>
      <c r="H1154" s="451" t="s">
        <v>1237</v>
      </c>
      <c r="I1154" s="452" t="s">
        <v>4691</v>
      </c>
      <c r="J1154" s="453" t="s">
        <v>2341</v>
      </c>
      <c r="K1154" s="454"/>
      <c r="L1154" s="455"/>
      <c r="M1154" s="455"/>
      <c r="N1154" s="456">
        <v>13700</v>
      </c>
      <c r="O1154" s="457"/>
      <c r="P1154" s="430"/>
    </row>
    <row r="1155" spans="1:16" ht="13.5" hidden="1" customHeight="1" outlineLevel="3" x14ac:dyDescent="0.2">
      <c r="A1155" s="233">
        <v>0</v>
      </c>
      <c r="B1155" s="233">
        <v>12</v>
      </c>
      <c r="C1155" s="233">
        <v>8</v>
      </c>
      <c r="D1155" s="234">
        <v>1</v>
      </c>
      <c r="E1155" s="234">
        <v>1</v>
      </c>
      <c r="F1155" s="125"/>
      <c r="G1155" s="458" t="s">
        <v>2134</v>
      </c>
      <c r="H1155" s="459" t="s">
        <v>1238</v>
      </c>
      <c r="I1155" s="460" t="s">
        <v>4692</v>
      </c>
      <c r="J1155" s="461" t="s">
        <v>2341</v>
      </c>
      <c r="K1155" s="462" t="s">
        <v>1129</v>
      </c>
      <c r="L1155" s="463">
        <v>1</v>
      </c>
      <c r="M1155" s="463">
        <v>13700</v>
      </c>
      <c r="N1155" s="464">
        <v>13700</v>
      </c>
      <c r="O1155" s="465" t="s">
        <v>1261</v>
      </c>
      <c r="P1155" s="431" t="s">
        <v>6711</v>
      </c>
    </row>
    <row r="1156" spans="1:16" ht="13.5" hidden="1" customHeight="1" outlineLevel="2" x14ac:dyDescent="0.2">
      <c r="A1156" s="233">
        <v>0</v>
      </c>
      <c r="B1156" s="233">
        <v>12</v>
      </c>
      <c r="C1156" s="233">
        <v>8</v>
      </c>
      <c r="D1156" s="234">
        <v>2</v>
      </c>
      <c r="E1156" s="234">
        <v>0</v>
      </c>
      <c r="F1156" s="125"/>
      <c r="G1156" s="474"/>
      <c r="H1156" s="451" t="s">
        <v>1237</v>
      </c>
      <c r="I1156" s="452" t="s">
        <v>4693</v>
      </c>
      <c r="J1156" s="453" t="s">
        <v>2342</v>
      </c>
      <c r="K1156" s="454"/>
      <c r="L1156" s="455"/>
      <c r="M1156" s="455"/>
      <c r="N1156" s="456"/>
      <c r="O1156" s="503"/>
      <c r="P1156" s="430"/>
    </row>
    <row r="1157" spans="1:16" ht="13.5" hidden="1" customHeight="1" outlineLevel="3" x14ac:dyDescent="0.2">
      <c r="A1157" s="233">
        <v>0</v>
      </c>
      <c r="B1157" s="233">
        <v>12</v>
      </c>
      <c r="C1157" s="233">
        <v>8</v>
      </c>
      <c r="D1157" s="234">
        <v>2</v>
      </c>
      <c r="E1157" s="234">
        <v>1</v>
      </c>
      <c r="F1157" s="125"/>
      <c r="G1157" s="458" t="s">
        <v>2134</v>
      </c>
      <c r="H1157" s="459" t="s">
        <v>1238</v>
      </c>
      <c r="I1157" s="460" t="s">
        <v>4694</v>
      </c>
      <c r="J1157" s="461" t="s">
        <v>2342</v>
      </c>
      <c r="K1157" s="462" t="s">
        <v>1129</v>
      </c>
      <c r="L1157" s="463">
        <v>1</v>
      </c>
      <c r="M1157" s="463" t="e">
        <v>#REF!</v>
      </c>
      <c r="N1157" s="464"/>
      <c r="O1157" s="465" t="s">
        <v>2771</v>
      </c>
      <c r="P1157" s="431" t="s">
        <v>6711</v>
      </c>
    </row>
    <row r="1158" spans="1:16" ht="13.5" hidden="1" customHeight="1" outlineLevel="2" x14ac:dyDescent="0.2">
      <c r="A1158" s="233">
        <v>0</v>
      </c>
      <c r="B1158" s="233">
        <v>12</v>
      </c>
      <c r="C1158" s="233">
        <v>8</v>
      </c>
      <c r="D1158" s="234">
        <v>3</v>
      </c>
      <c r="E1158" s="234">
        <v>0</v>
      </c>
      <c r="F1158" s="125"/>
      <c r="G1158" s="474"/>
      <c r="H1158" s="451" t="s">
        <v>1237</v>
      </c>
      <c r="I1158" s="452" t="s">
        <v>4695</v>
      </c>
      <c r="J1158" s="453" t="s">
        <v>2242</v>
      </c>
      <c r="K1158" s="454"/>
      <c r="L1158" s="455"/>
      <c r="M1158" s="455"/>
      <c r="N1158" s="456">
        <v>42992.695764557197</v>
      </c>
      <c r="O1158" s="457"/>
      <c r="P1158" s="430"/>
    </row>
    <row r="1159" spans="1:16" ht="13.5" hidden="1" customHeight="1" outlineLevel="3" x14ac:dyDescent="0.2">
      <c r="A1159" s="233">
        <v>0</v>
      </c>
      <c r="B1159" s="233">
        <v>12</v>
      </c>
      <c r="C1159" s="233">
        <v>8</v>
      </c>
      <c r="D1159" s="234">
        <v>3</v>
      </c>
      <c r="E1159" s="234">
        <v>1</v>
      </c>
      <c r="F1159" s="125"/>
      <c r="G1159" s="458" t="s">
        <v>2134</v>
      </c>
      <c r="H1159" s="459" t="s">
        <v>1238</v>
      </c>
      <c r="I1159" s="460" t="s">
        <v>4696</v>
      </c>
      <c r="J1159" s="461" t="s">
        <v>2343</v>
      </c>
      <c r="K1159" s="462" t="s">
        <v>1129</v>
      </c>
      <c r="L1159" s="463">
        <v>1</v>
      </c>
      <c r="M1159" s="463">
        <v>42992.695764557211</v>
      </c>
      <c r="N1159" s="464">
        <v>42992.695764557197</v>
      </c>
      <c r="O1159" s="465" t="s">
        <v>1261</v>
      </c>
      <c r="P1159" s="431" t="s">
        <v>6711</v>
      </c>
    </row>
    <row r="1160" spans="1:16" ht="13.9" hidden="1" customHeight="1" outlineLevel="1" x14ac:dyDescent="0.2">
      <c r="A1160" s="233">
        <v>0</v>
      </c>
      <c r="B1160" s="233">
        <v>12</v>
      </c>
      <c r="C1160" s="233">
        <v>9</v>
      </c>
      <c r="D1160" s="234">
        <v>0</v>
      </c>
      <c r="E1160" s="234">
        <v>1</v>
      </c>
      <c r="G1160" s="473"/>
      <c r="H1160" s="444" t="s">
        <v>38</v>
      </c>
      <c r="I1160" s="445" t="s">
        <v>4697</v>
      </c>
      <c r="J1160" s="446" t="s">
        <v>2779</v>
      </c>
      <c r="K1160" s="447"/>
      <c r="L1160" s="448"/>
      <c r="M1160" s="448"/>
      <c r="N1160" s="449"/>
      <c r="O1160" s="432"/>
      <c r="P1160" s="435"/>
    </row>
    <row r="1161" spans="1:16" ht="13.5" hidden="1" customHeight="1" outlineLevel="2" x14ac:dyDescent="0.2">
      <c r="A1161" s="233">
        <v>0</v>
      </c>
      <c r="B1161" s="233">
        <v>12</v>
      </c>
      <c r="C1161" s="233">
        <v>9</v>
      </c>
      <c r="D1161" s="234">
        <v>1</v>
      </c>
      <c r="E1161" s="234">
        <v>0</v>
      </c>
      <c r="G1161" s="474"/>
      <c r="H1161" s="451" t="s">
        <v>1237</v>
      </c>
      <c r="I1161" s="452" t="s">
        <v>4698</v>
      </c>
      <c r="J1161" s="453" t="s">
        <v>2341</v>
      </c>
      <c r="K1161" s="454"/>
      <c r="L1161" s="455"/>
      <c r="M1161" s="455"/>
      <c r="N1161" s="456">
        <v>1720</v>
      </c>
      <c r="O1161" s="457"/>
      <c r="P1161" s="430"/>
    </row>
    <row r="1162" spans="1:16" ht="13.5" hidden="1" customHeight="1" outlineLevel="3" x14ac:dyDescent="0.2">
      <c r="A1162" s="233">
        <v>0</v>
      </c>
      <c r="B1162" s="233">
        <v>12</v>
      </c>
      <c r="C1162" s="233">
        <v>9</v>
      </c>
      <c r="D1162" s="234">
        <v>1</v>
      </c>
      <c r="E1162" s="234">
        <v>1</v>
      </c>
      <c r="F1162" s="125"/>
      <c r="G1162" s="458" t="s">
        <v>2134</v>
      </c>
      <c r="H1162" s="459" t="s">
        <v>1238</v>
      </c>
      <c r="I1162" s="460" t="s">
        <v>4699</v>
      </c>
      <c r="J1162" s="461" t="s">
        <v>2341</v>
      </c>
      <c r="K1162" s="462" t="s">
        <v>1129</v>
      </c>
      <c r="L1162" s="463">
        <v>1</v>
      </c>
      <c r="M1162" s="463">
        <v>1720</v>
      </c>
      <c r="N1162" s="464">
        <v>1720</v>
      </c>
      <c r="O1162" s="465" t="s">
        <v>1261</v>
      </c>
      <c r="P1162" s="431" t="s">
        <v>6711</v>
      </c>
    </row>
    <row r="1163" spans="1:16" ht="13.5" hidden="1" customHeight="1" outlineLevel="2" x14ac:dyDescent="0.2">
      <c r="A1163" s="233">
        <v>0</v>
      </c>
      <c r="B1163" s="233">
        <v>12</v>
      </c>
      <c r="C1163" s="233">
        <v>9</v>
      </c>
      <c r="D1163" s="234">
        <v>2</v>
      </c>
      <c r="E1163" s="234">
        <v>0</v>
      </c>
      <c r="F1163" s="125"/>
      <c r="G1163" s="474"/>
      <c r="H1163" s="451" t="s">
        <v>1237</v>
      </c>
      <c r="I1163" s="452" t="s">
        <v>4700</v>
      </c>
      <c r="J1163" s="453" t="s">
        <v>2342</v>
      </c>
      <c r="K1163" s="454"/>
      <c r="L1163" s="455"/>
      <c r="M1163" s="455"/>
      <c r="N1163" s="456"/>
      <c r="O1163" s="503"/>
      <c r="P1163" s="430"/>
    </row>
    <row r="1164" spans="1:16" ht="13.5" hidden="1" customHeight="1" outlineLevel="3" x14ac:dyDescent="0.2">
      <c r="A1164" s="233">
        <v>0</v>
      </c>
      <c r="B1164" s="233">
        <v>12</v>
      </c>
      <c r="C1164" s="233">
        <v>9</v>
      </c>
      <c r="D1164" s="234">
        <v>2</v>
      </c>
      <c r="E1164" s="234">
        <v>1</v>
      </c>
      <c r="F1164" s="125"/>
      <c r="G1164" s="458" t="s">
        <v>2134</v>
      </c>
      <c r="H1164" s="459" t="s">
        <v>1238</v>
      </c>
      <c r="I1164" s="460" t="s">
        <v>4701</v>
      </c>
      <c r="J1164" s="461" t="s">
        <v>2342</v>
      </c>
      <c r="K1164" s="462" t="s">
        <v>1129</v>
      </c>
      <c r="L1164" s="463">
        <v>1</v>
      </c>
      <c r="M1164" s="463" t="e">
        <v>#REF!</v>
      </c>
      <c r="N1164" s="464"/>
      <c r="O1164" s="471" t="s">
        <v>3009</v>
      </c>
      <c r="P1164" s="431" t="s">
        <v>6711</v>
      </c>
    </row>
    <row r="1165" spans="1:16" ht="13.9" hidden="1" customHeight="1" outlineLevel="1" x14ac:dyDescent="0.2">
      <c r="A1165" s="233">
        <v>0</v>
      </c>
      <c r="B1165" s="233">
        <v>12</v>
      </c>
      <c r="C1165" s="233">
        <v>10</v>
      </c>
      <c r="D1165" s="234">
        <v>0</v>
      </c>
      <c r="E1165" s="234">
        <v>1</v>
      </c>
      <c r="G1165" s="473"/>
      <c r="H1165" s="444" t="s">
        <v>38</v>
      </c>
      <c r="I1165" s="445" t="s">
        <v>4702</v>
      </c>
      <c r="J1165" s="446" t="s">
        <v>2780</v>
      </c>
      <c r="K1165" s="447"/>
      <c r="L1165" s="448"/>
      <c r="M1165" s="448"/>
      <c r="N1165" s="449"/>
      <c r="O1165" s="432"/>
      <c r="P1165" s="435"/>
    </row>
    <row r="1166" spans="1:16" ht="13.5" hidden="1" customHeight="1" outlineLevel="2" x14ac:dyDescent="0.2">
      <c r="A1166" s="233">
        <v>0</v>
      </c>
      <c r="B1166" s="233">
        <v>12</v>
      </c>
      <c r="C1166" s="233">
        <v>10</v>
      </c>
      <c r="D1166" s="234">
        <v>1</v>
      </c>
      <c r="E1166" s="234">
        <v>0</v>
      </c>
      <c r="G1166" s="474"/>
      <c r="H1166" s="451" t="s">
        <v>1237</v>
      </c>
      <c r="I1166" s="452" t="s">
        <v>4703</v>
      </c>
      <c r="J1166" s="453" t="s">
        <v>2341</v>
      </c>
      <c r="K1166" s="454"/>
      <c r="L1166" s="455"/>
      <c r="M1166" s="455"/>
      <c r="N1166" s="456">
        <v>2560</v>
      </c>
      <c r="O1166" s="457"/>
      <c r="P1166" s="430"/>
    </row>
    <row r="1167" spans="1:16" ht="13.5" hidden="1" customHeight="1" outlineLevel="3" x14ac:dyDescent="0.2">
      <c r="A1167" s="233">
        <v>0</v>
      </c>
      <c r="B1167" s="233">
        <v>12</v>
      </c>
      <c r="C1167" s="233">
        <v>10</v>
      </c>
      <c r="D1167" s="234">
        <v>1</v>
      </c>
      <c r="E1167" s="234">
        <v>1</v>
      </c>
      <c r="F1167" s="125"/>
      <c r="G1167" s="458" t="s">
        <v>2134</v>
      </c>
      <c r="H1167" s="459" t="s">
        <v>1238</v>
      </c>
      <c r="I1167" s="460" t="s">
        <v>4704</v>
      </c>
      <c r="J1167" s="461" t="s">
        <v>2341</v>
      </c>
      <c r="K1167" s="462" t="s">
        <v>1129</v>
      </c>
      <c r="L1167" s="463">
        <v>1</v>
      </c>
      <c r="M1167" s="463">
        <v>2560</v>
      </c>
      <c r="N1167" s="464">
        <v>2560</v>
      </c>
      <c r="O1167" s="471" t="s">
        <v>3009</v>
      </c>
      <c r="P1167" s="431" t="s">
        <v>6711</v>
      </c>
    </row>
    <row r="1168" spans="1:16" ht="13.5" hidden="1" customHeight="1" outlineLevel="2" x14ac:dyDescent="0.2">
      <c r="A1168" s="233">
        <v>0</v>
      </c>
      <c r="B1168" s="233">
        <v>12</v>
      </c>
      <c r="C1168" s="233">
        <v>10</v>
      </c>
      <c r="D1168" s="234">
        <v>2</v>
      </c>
      <c r="E1168" s="234">
        <v>0</v>
      </c>
      <c r="F1168" s="125"/>
      <c r="G1168" s="474"/>
      <c r="H1168" s="451" t="s">
        <v>1237</v>
      </c>
      <c r="I1168" s="452" t="s">
        <v>4705</v>
      </c>
      <c r="J1168" s="453" t="s">
        <v>2342</v>
      </c>
      <c r="K1168" s="454"/>
      <c r="L1168" s="455"/>
      <c r="M1168" s="455"/>
      <c r="N1168" s="456"/>
      <c r="O1168" s="503"/>
      <c r="P1168" s="430"/>
    </row>
    <row r="1169" spans="1:16" ht="13.5" hidden="1" customHeight="1" outlineLevel="3" x14ac:dyDescent="0.2">
      <c r="A1169" s="233">
        <v>0</v>
      </c>
      <c r="B1169" s="233">
        <v>12</v>
      </c>
      <c r="C1169" s="233">
        <v>10</v>
      </c>
      <c r="D1169" s="234">
        <v>2</v>
      </c>
      <c r="E1169" s="234">
        <v>1</v>
      </c>
      <c r="F1169" s="125"/>
      <c r="G1169" s="458" t="s">
        <v>2134</v>
      </c>
      <c r="H1169" s="459" t="s">
        <v>1238</v>
      </c>
      <c r="I1169" s="460" t="s">
        <v>4706</v>
      </c>
      <c r="J1169" s="461" t="s">
        <v>2342</v>
      </c>
      <c r="K1169" s="462" t="s">
        <v>1129</v>
      </c>
      <c r="L1169" s="463">
        <v>1</v>
      </c>
      <c r="M1169" s="463" t="e">
        <v>#REF!</v>
      </c>
      <c r="N1169" s="464"/>
      <c r="O1169" s="465" t="s">
        <v>2771</v>
      </c>
      <c r="P1169" s="431" t="s">
        <v>6711</v>
      </c>
    </row>
    <row r="1170" spans="1:16" ht="13.9" hidden="1" customHeight="1" outlineLevel="1" x14ac:dyDescent="0.2">
      <c r="A1170" s="233">
        <v>0</v>
      </c>
      <c r="B1170" s="233">
        <v>12</v>
      </c>
      <c r="C1170" s="233">
        <v>11</v>
      </c>
      <c r="D1170" s="234">
        <v>0</v>
      </c>
      <c r="E1170" s="234">
        <v>1</v>
      </c>
      <c r="G1170" s="473"/>
      <c r="H1170" s="444" t="s">
        <v>38</v>
      </c>
      <c r="I1170" s="445" t="s">
        <v>4707</v>
      </c>
      <c r="J1170" s="446" t="s">
        <v>2781</v>
      </c>
      <c r="K1170" s="447"/>
      <c r="L1170" s="448"/>
      <c r="M1170" s="448"/>
      <c r="N1170" s="449"/>
      <c r="O1170" s="432"/>
      <c r="P1170" s="435"/>
    </row>
    <row r="1171" spans="1:16" ht="13.5" hidden="1" customHeight="1" outlineLevel="2" x14ac:dyDescent="0.2">
      <c r="A1171" s="233">
        <v>0</v>
      </c>
      <c r="B1171" s="233">
        <v>12</v>
      </c>
      <c r="C1171" s="233">
        <v>11</v>
      </c>
      <c r="D1171" s="234">
        <v>1</v>
      </c>
      <c r="E1171" s="234">
        <v>0</v>
      </c>
      <c r="G1171" s="474"/>
      <c r="H1171" s="451" t="s">
        <v>1237</v>
      </c>
      <c r="I1171" s="452" t="s">
        <v>4708</v>
      </c>
      <c r="J1171" s="453" t="s">
        <v>2341</v>
      </c>
      <c r="K1171" s="454"/>
      <c r="L1171" s="455"/>
      <c r="M1171" s="455"/>
      <c r="N1171" s="456">
        <v>3520</v>
      </c>
      <c r="O1171" s="457"/>
      <c r="P1171" s="430"/>
    </row>
    <row r="1172" spans="1:16" ht="13.5" hidden="1" customHeight="1" outlineLevel="3" x14ac:dyDescent="0.2">
      <c r="A1172" s="233">
        <v>0</v>
      </c>
      <c r="B1172" s="233">
        <v>12</v>
      </c>
      <c r="C1172" s="233">
        <v>11</v>
      </c>
      <c r="D1172" s="234">
        <v>1</v>
      </c>
      <c r="E1172" s="234">
        <v>1</v>
      </c>
      <c r="F1172" s="125"/>
      <c r="G1172" s="458" t="s">
        <v>2134</v>
      </c>
      <c r="H1172" s="459" t="s">
        <v>1238</v>
      </c>
      <c r="I1172" s="460" t="s">
        <v>4709</v>
      </c>
      <c r="J1172" s="461" t="s">
        <v>2341</v>
      </c>
      <c r="K1172" s="462" t="s">
        <v>1129</v>
      </c>
      <c r="L1172" s="463">
        <v>1</v>
      </c>
      <c r="M1172" s="463">
        <v>3520</v>
      </c>
      <c r="N1172" s="464">
        <v>3520</v>
      </c>
      <c r="O1172" s="465" t="s">
        <v>1261</v>
      </c>
      <c r="P1172" s="431" t="s">
        <v>6711</v>
      </c>
    </row>
    <row r="1173" spans="1:16" ht="13.5" hidden="1" customHeight="1" outlineLevel="2" x14ac:dyDescent="0.2">
      <c r="A1173" s="233">
        <v>0</v>
      </c>
      <c r="B1173" s="233">
        <v>12</v>
      </c>
      <c r="C1173" s="233">
        <v>11</v>
      </c>
      <c r="D1173" s="234">
        <v>2</v>
      </c>
      <c r="E1173" s="234">
        <v>0</v>
      </c>
      <c r="F1173" s="125"/>
      <c r="G1173" s="474"/>
      <c r="H1173" s="451" t="s">
        <v>1237</v>
      </c>
      <c r="I1173" s="452" t="s">
        <v>4710</v>
      </c>
      <c r="J1173" s="453" t="s">
        <v>2342</v>
      </c>
      <c r="K1173" s="454"/>
      <c r="L1173" s="455"/>
      <c r="M1173" s="455"/>
      <c r="N1173" s="456"/>
      <c r="O1173" s="503"/>
      <c r="P1173" s="430"/>
    </row>
    <row r="1174" spans="1:16" ht="13.5" hidden="1" customHeight="1" outlineLevel="3" x14ac:dyDescent="0.2">
      <c r="A1174" s="233">
        <v>0</v>
      </c>
      <c r="B1174" s="233">
        <v>12</v>
      </c>
      <c r="C1174" s="233">
        <v>11</v>
      </c>
      <c r="D1174" s="234">
        <v>2</v>
      </c>
      <c r="E1174" s="234">
        <v>1</v>
      </c>
      <c r="F1174" s="125"/>
      <c r="G1174" s="458" t="s">
        <v>2134</v>
      </c>
      <c r="H1174" s="459" t="s">
        <v>1238</v>
      </c>
      <c r="I1174" s="460" t="s">
        <v>4711</v>
      </c>
      <c r="J1174" s="461" t="s">
        <v>2342</v>
      </c>
      <c r="K1174" s="462" t="s">
        <v>1129</v>
      </c>
      <c r="L1174" s="463">
        <v>1</v>
      </c>
      <c r="M1174" s="463" t="e">
        <v>#REF!</v>
      </c>
      <c r="N1174" s="464"/>
      <c r="O1174" s="471" t="s">
        <v>3009</v>
      </c>
      <c r="P1174" s="431" t="s">
        <v>6711</v>
      </c>
    </row>
    <row r="1175" spans="1:16" ht="13.9" hidden="1" customHeight="1" outlineLevel="1" x14ac:dyDescent="0.2">
      <c r="A1175" s="233">
        <v>0</v>
      </c>
      <c r="B1175" s="233">
        <v>12</v>
      </c>
      <c r="C1175" s="233">
        <v>12</v>
      </c>
      <c r="D1175" s="234">
        <v>0</v>
      </c>
      <c r="E1175" s="234">
        <v>1</v>
      </c>
      <c r="G1175" s="473"/>
      <c r="H1175" s="444" t="s">
        <v>38</v>
      </c>
      <c r="I1175" s="445" t="s">
        <v>4712</v>
      </c>
      <c r="J1175" s="446" t="s">
        <v>2782</v>
      </c>
      <c r="K1175" s="447"/>
      <c r="L1175" s="448"/>
      <c r="M1175" s="448"/>
      <c r="N1175" s="449"/>
      <c r="O1175" s="432"/>
      <c r="P1175" s="435"/>
    </row>
    <row r="1176" spans="1:16" ht="13.5" hidden="1" customHeight="1" outlineLevel="2" x14ac:dyDescent="0.2">
      <c r="A1176" s="233">
        <v>0</v>
      </c>
      <c r="B1176" s="233">
        <v>12</v>
      </c>
      <c r="C1176" s="233">
        <v>12</v>
      </c>
      <c r="D1176" s="234">
        <v>1</v>
      </c>
      <c r="E1176" s="234">
        <v>0</v>
      </c>
      <c r="G1176" s="474"/>
      <c r="H1176" s="451" t="s">
        <v>1237</v>
      </c>
      <c r="I1176" s="452" t="s">
        <v>4713</v>
      </c>
      <c r="J1176" s="453" t="s">
        <v>2341</v>
      </c>
      <c r="K1176" s="454"/>
      <c r="L1176" s="455"/>
      <c r="M1176" s="455"/>
      <c r="N1176" s="456">
        <v>320</v>
      </c>
      <c r="O1176" s="457"/>
      <c r="P1176" s="430"/>
    </row>
    <row r="1177" spans="1:16" ht="13.5" hidden="1" customHeight="1" outlineLevel="3" x14ac:dyDescent="0.2">
      <c r="A1177" s="233">
        <v>0</v>
      </c>
      <c r="B1177" s="233">
        <v>12</v>
      </c>
      <c r="C1177" s="233">
        <v>12</v>
      </c>
      <c r="D1177" s="234">
        <v>1</v>
      </c>
      <c r="E1177" s="234">
        <v>1</v>
      </c>
      <c r="F1177" s="125"/>
      <c r="G1177" s="458" t="s">
        <v>2134</v>
      </c>
      <c r="H1177" s="459" t="s">
        <v>1238</v>
      </c>
      <c r="I1177" s="460" t="s">
        <v>4714</v>
      </c>
      <c r="J1177" s="461" t="s">
        <v>2341</v>
      </c>
      <c r="K1177" s="462" t="s">
        <v>1129</v>
      </c>
      <c r="L1177" s="463">
        <v>1</v>
      </c>
      <c r="M1177" s="463">
        <v>320</v>
      </c>
      <c r="N1177" s="464">
        <v>320</v>
      </c>
      <c r="O1177" s="465" t="s">
        <v>1261</v>
      </c>
      <c r="P1177" s="431" t="s">
        <v>6711</v>
      </c>
    </row>
    <row r="1178" spans="1:16" ht="13.5" hidden="1" customHeight="1" outlineLevel="2" x14ac:dyDescent="0.2">
      <c r="A1178" s="233">
        <v>0</v>
      </c>
      <c r="B1178" s="233">
        <v>12</v>
      </c>
      <c r="C1178" s="233">
        <v>12</v>
      </c>
      <c r="D1178" s="234">
        <v>2</v>
      </c>
      <c r="E1178" s="234">
        <v>0</v>
      </c>
      <c r="F1178" s="125"/>
      <c r="G1178" s="474"/>
      <c r="H1178" s="451" t="s">
        <v>1237</v>
      </c>
      <c r="I1178" s="452" t="s">
        <v>4715</v>
      </c>
      <c r="J1178" s="453" t="s">
        <v>2342</v>
      </c>
      <c r="K1178" s="454"/>
      <c r="L1178" s="455"/>
      <c r="M1178" s="455"/>
      <c r="N1178" s="456"/>
      <c r="O1178" s="503"/>
      <c r="P1178" s="430"/>
    </row>
    <row r="1179" spans="1:16" ht="13.5" hidden="1" customHeight="1" outlineLevel="3" x14ac:dyDescent="0.2">
      <c r="A1179" s="233">
        <v>0</v>
      </c>
      <c r="B1179" s="233">
        <v>12</v>
      </c>
      <c r="C1179" s="233">
        <v>12</v>
      </c>
      <c r="D1179" s="234">
        <v>2</v>
      </c>
      <c r="E1179" s="234">
        <v>1</v>
      </c>
      <c r="F1179" s="125"/>
      <c r="G1179" s="458" t="s">
        <v>2134</v>
      </c>
      <c r="H1179" s="459" t="s">
        <v>1238</v>
      </c>
      <c r="I1179" s="460" t="s">
        <v>4716</v>
      </c>
      <c r="J1179" s="461" t="s">
        <v>2342</v>
      </c>
      <c r="K1179" s="462" t="s">
        <v>1129</v>
      </c>
      <c r="L1179" s="463">
        <v>1</v>
      </c>
      <c r="M1179" s="463" t="e">
        <v>#REF!</v>
      </c>
      <c r="N1179" s="464"/>
      <c r="O1179" s="471" t="s">
        <v>3009</v>
      </c>
      <c r="P1179" s="431" t="s">
        <v>6711</v>
      </c>
    </row>
    <row r="1180" spans="1:16" ht="13.9" hidden="1" customHeight="1" outlineLevel="1" x14ac:dyDescent="0.2">
      <c r="A1180" s="233">
        <v>0</v>
      </c>
      <c r="B1180" s="233">
        <v>12</v>
      </c>
      <c r="C1180" s="233">
        <v>13</v>
      </c>
      <c r="D1180" s="234">
        <v>0</v>
      </c>
      <c r="E1180" s="234">
        <v>1</v>
      </c>
      <c r="G1180" s="473"/>
      <c r="H1180" s="444" t="s">
        <v>38</v>
      </c>
      <c r="I1180" s="445" t="s">
        <v>4717</v>
      </c>
      <c r="J1180" s="446" t="s">
        <v>2783</v>
      </c>
      <c r="K1180" s="447"/>
      <c r="L1180" s="448"/>
      <c r="M1180" s="448"/>
      <c r="N1180" s="449"/>
      <c r="O1180" s="432"/>
      <c r="P1180" s="435"/>
    </row>
    <row r="1181" spans="1:16" ht="13.5" hidden="1" customHeight="1" outlineLevel="2" x14ac:dyDescent="0.2">
      <c r="A1181" s="233">
        <v>0</v>
      </c>
      <c r="B1181" s="233">
        <v>12</v>
      </c>
      <c r="C1181" s="233">
        <v>13</v>
      </c>
      <c r="D1181" s="234">
        <v>1</v>
      </c>
      <c r="E1181" s="234">
        <v>0</v>
      </c>
      <c r="F1181" s="125"/>
      <c r="G1181" s="474"/>
      <c r="H1181" s="451" t="s">
        <v>1237</v>
      </c>
      <c r="I1181" s="452" t="s">
        <v>4718</v>
      </c>
      <c r="J1181" s="453" t="s">
        <v>2342</v>
      </c>
      <c r="K1181" s="454"/>
      <c r="L1181" s="455"/>
      <c r="M1181" s="455"/>
      <c r="N1181" s="456"/>
      <c r="O1181" s="503"/>
      <c r="P1181" s="430"/>
    </row>
    <row r="1182" spans="1:16" ht="13.5" hidden="1" customHeight="1" outlineLevel="3" x14ac:dyDescent="0.2">
      <c r="A1182" s="233">
        <v>0</v>
      </c>
      <c r="B1182" s="233">
        <v>12</v>
      </c>
      <c r="C1182" s="233">
        <v>13</v>
      </c>
      <c r="D1182" s="234">
        <v>1</v>
      </c>
      <c r="E1182" s="234">
        <v>1</v>
      </c>
      <c r="F1182" s="125"/>
      <c r="G1182" s="458" t="s">
        <v>2134</v>
      </c>
      <c r="H1182" s="459" t="s">
        <v>1238</v>
      </c>
      <c r="I1182" s="460" t="s">
        <v>4719</v>
      </c>
      <c r="J1182" s="461" t="s">
        <v>2342</v>
      </c>
      <c r="K1182" s="462" t="s">
        <v>1129</v>
      </c>
      <c r="L1182" s="463">
        <v>1</v>
      </c>
      <c r="M1182" s="463" t="e">
        <v>#REF!</v>
      </c>
      <c r="N1182" s="464"/>
      <c r="O1182" s="471" t="s">
        <v>3009</v>
      </c>
      <c r="P1182" s="431" t="s">
        <v>6711</v>
      </c>
    </row>
    <row r="1183" spans="1:16" ht="13.5" customHeight="1" collapsed="1" x14ac:dyDescent="0.2">
      <c r="A1183" s="233">
        <v>0</v>
      </c>
      <c r="B1183" s="233">
        <v>13</v>
      </c>
      <c r="C1183" s="233">
        <v>0</v>
      </c>
      <c r="D1183" s="234">
        <v>1</v>
      </c>
      <c r="E1183" s="234">
        <v>1</v>
      </c>
      <c r="F1183" s="237"/>
      <c r="G1183" s="504"/>
      <c r="H1183" s="476" t="s">
        <v>1236</v>
      </c>
      <c r="I1183" s="438" t="s">
        <v>4720</v>
      </c>
      <c r="J1183" s="505" t="s">
        <v>440</v>
      </c>
      <c r="K1183" s="478"/>
      <c r="L1183" s="479"/>
      <c r="M1183" s="479"/>
      <c r="N1183" s="442">
        <v>1076652.81713433</v>
      </c>
      <c r="O1183" s="480">
        <v>64.279046520578206</v>
      </c>
      <c r="P1183" s="428"/>
    </row>
    <row r="1184" spans="1:16" ht="13.5" hidden="1" customHeight="1" outlineLevel="1" x14ac:dyDescent="0.2">
      <c r="A1184" s="233">
        <v>0</v>
      </c>
      <c r="B1184" s="233">
        <v>13</v>
      </c>
      <c r="C1184" s="233">
        <v>1</v>
      </c>
      <c r="D1184" s="234">
        <v>0</v>
      </c>
      <c r="E1184" s="234">
        <v>1</v>
      </c>
      <c r="G1184" s="506"/>
      <c r="H1184" s="481" t="s">
        <v>38</v>
      </c>
      <c r="I1184" s="445" t="s">
        <v>4721</v>
      </c>
      <c r="J1184" s="483" t="s">
        <v>2320</v>
      </c>
      <c r="K1184" s="484"/>
      <c r="L1184" s="485"/>
      <c r="M1184" s="485"/>
      <c r="N1184" s="449">
        <v>67700.351232000001</v>
      </c>
      <c r="O1184" s="486">
        <v>4.04189164514883</v>
      </c>
      <c r="P1184" s="429"/>
    </row>
    <row r="1185" spans="1:16" ht="13.5" hidden="1" customHeight="1" outlineLevel="2" x14ac:dyDescent="0.2">
      <c r="A1185" s="233">
        <v>0</v>
      </c>
      <c r="B1185" s="233">
        <v>13</v>
      </c>
      <c r="C1185" s="233">
        <v>1</v>
      </c>
      <c r="D1185" s="234">
        <v>1</v>
      </c>
      <c r="E1185" s="234">
        <v>0</v>
      </c>
      <c r="G1185" s="507"/>
      <c r="H1185" s="487" t="s">
        <v>1237</v>
      </c>
      <c r="I1185" s="452" t="s">
        <v>4722</v>
      </c>
      <c r="J1185" s="489" t="s">
        <v>24</v>
      </c>
      <c r="K1185" s="490"/>
      <c r="L1185" s="491"/>
      <c r="M1185" s="491"/>
      <c r="N1185" s="456">
        <v>2052.6453320000001</v>
      </c>
      <c r="O1185" s="492">
        <v>0.12254840435662299</v>
      </c>
      <c r="P1185" s="430"/>
    </row>
    <row r="1186" spans="1:16" ht="13.5" hidden="1" customHeight="1" outlineLevel="3" x14ac:dyDescent="0.2">
      <c r="A1186" s="233">
        <v>0</v>
      </c>
      <c r="B1186" s="233">
        <v>13</v>
      </c>
      <c r="C1186" s="233">
        <v>1</v>
      </c>
      <c r="D1186" s="234">
        <v>1</v>
      </c>
      <c r="E1186" s="234">
        <v>1</v>
      </c>
      <c r="G1186" s="508" t="s">
        <v>23</v>
      </c>
      <c r="H1186" s="493" t="s">
        <v>1238</v>
      </c>
      <c r="I1186" s="460" t="s">
        <v>4723</v>
      </c>
      <c r="J1186" s="495" t="s">
        <v>441</v>
      </c>
      <c r="K1186" s="496" t="s">
        <v>641</v>
      </c>
      <c r="L1186" s="497">
        <v>242.57999999999998</v>
      </c>
      <c r="M1186" s="497">
        <v>7.0658999999999992</v>
      </c>
      <c r="N1186" s="464">
        <v>1714.046022</v>
      </c>
      <c r="O1186" s="498" t="s">
        <v>2928</v>
      </c>
      <c r="P1186" s="431" t="s">
        <v>6711</v>
      </c>
    </row>
    <row r="1187" spans="1:16" ht="13.5" hidden="1" customHeight="1" outlineLevel="3" x14ac:dyDescent="0.2">
      <c r="A1187" s="233">
        <v>0</v>
      </c>
      <c r="B1187" s="233">
        <v>13</v>
      </c>
      <c r="C1187" s="233">
        <v>1</v>
      </c>
      <c r="D1187" s="234">
        <v>1</v>
      </c>
      <c r="E1187" s="234">
        <v>2</v>
      </c>
      <c r="G1187" s="508" t="s">
        <v>23</v>
      </c>
      <c r="H1187" s="493" t="s">
        <v>1238</v>
      </c>
      <c r="I1187" s="460" t="s">
        <v>4724</v>
      </c>
      <c r="J1187" s="495" t="s">
        <v>443</v>
      </c>
      <c r="K1187" s="496" t="s">
        <v>641</v>
      </c>
      <c r="L1187" s="497">
        <v>6.86</v>
      </c>
      <c r="M1187" s="497">
        <v>49.358499999999999</v>
      </c>
      <c r="N1187" s="464">
        <v>338.59931</v>
      </c>
      <c r="O1187" s="498" t="s">
        <v>2929</v>
      </c>
      <c r="P1187" s="431" t="s">
        <v>6711</v>
      </c>
    </row>
    <row r="1188" spans="1:16" ht="13.5" hidden="1" customHeight="1" outlineLevel="2" x14ac:dyDescent="0.2">
      <c r="A1188" s="233">
        <v>0</v>
      </c>
      <c r="B1188" s="233">
        <v>13</v>
      </c>
      <c r="C1188" s="233">
        <v>1</v>
      </c>
      <c r="D1188" s="234">
        <v>2</v>
      </c>
      <c r="E1188" s="234">
        <v>0</v>
      </c>
      <c r="G1188" s="507"/>
      <c r="H1188" s="487" t="s">
        <v>1237</v>
      </c>
      <c r="I1188" s="452" t="s">
        <v>4725</v>
      </c>
      <c r="J1188" s="489" t="s">
        <v>2246</v>
      </c>
      <c r="K1188" s="490"/>
      <c r="L1188" s="491"/>
      <c r="M1188" s="491"/>
      <c r="N1188" s="456">
        <v>20378.466</v>
      </c>
      <c r="O1188" s="492"/>
      <c r="P1188" s="430"/>
    </row>
    <row r="1189" spans="1:16" ht="13.5" hidden="1" customHeight="1" outlineLevel="3" x14ac:dyDescent="0.2">
      <c r="A1189" s="233">
        <v>0</v>
      </c>
      <c r="B1189" s="233">
        <v>13</v>
      </c>
      <c r="C1189" s="233">
        <v>1</v>
      </c>
      <c r="D1189" s="234">
        <v>2</v>
      </c>
      <c r="E1189" s="234">
        <v>1</v>
      </c>
      <c r="G1189" s="508" t="s">
        <v>23</v>
      </c>
      <c r="H1189" s="493" t="s">
        <v>1238</v>
      </c>
      <c r="I1189" s="460" t="s">
        <v>2904</v>
      </c>
      <c r="J1189" s="495" t="s">
        <v>446</v>
      </c>
      <c r="K1189" s="496" t="s">
        <v>641</v>
      </c>
      <c r="L1189" s="497">
        <v>698.84999999999991</v>
      </c>
      <c r="M1189" s="497">
        <v>29.160000000000004</v>
      </c>
      <c r="N1189" s="464">
        <v>20378.466</v>
      </c>
      <c r="O1189" s="498"/>
      <c r="P1189" s="431" t="s">
        <v>6711</v>
      </c>
    </row>
    <row r="1190" spans="1:16" ht="13.5" hidden="1" customHeight="1" outlineLevel="2" x14ac:dyDescent="0.2">
      <c r="A1190" s="233">
        <v>0</v>
      </c>
      <c r="B1190" s="233">
        <v>13</v>
      </c>
      <c r="C1190" s="233">
        <v>1</v>
      </c>
      <c r="D1190" s="234">
        <v>3</v>
      </c>
      <c r="E1190" s="234">
        <v>0</v>
      </c>
      <c r="G1190" s="507"/>
      <c r="H1190" s="487" t="s">
        <v>1237</v>
      </c>
      <c r="I1190" s="452" t="s">
        <v>4726</v>
      </c>
      <c r="J1190" s="489" t="s">
        <v>2924</v>
      </c>
      <c r="K1190" s="490"/>
      <c r="L1190" s="491"/>
      <c r="M1190" s="491"/>
      <c r="N1190" s="456">
        <v>6753.1912739999998</v>
      </c>
      <c r="O1190" s="492"/>
      <c r="P1190" s="430"/>
    </row>
    <row r="1191" spans="1:16" ht="13.5" hidden="1" customHeight="1" outlineLevel="3" x14ac:dyDescent="0.2">
      <c r="A1191" s="233">
        <v>0</v>
      </c>
      <c r="B1191" s="233">
        <v>13</v>
      </c>
      <c r="C1191" s="233">
        <v>1</v>
      </c>
      <c r="D1191" s="234">
        <v>3</v>
      </c>
      <c r="E1191" s="234">
        <v>1</v>
      </c>
      <c r="G1191" s="508" t="s">
        <v>23</v>
      </c>
      <c r="H1191" s="493" t="s">
        <v>1238</v>
      </c>
      <c r="I1191" s="460" t="s">
        <v>4727</v>
      </c>
      <c r="J1191" s="495" t="s">
        <v>2908</v>
      </c>
      <c r="K1191" s="496" t="s">
        <v>641</v>
      </c>
      <c r="L1191" s="497">
        <v>97.67</v>
      </c>
      <c r="M1191" s="497">
        <v>46.211799999999997</v>
      </c>
      <c r="N1191" s="464">
        <v>4513.5065059999997</v>
      </c>
      <c r="O1191" s="498" t="s">
        <v>2915</v>
      </c>
      <c r="P1191" s="431" t="s">
        <v>6711</v>
      </c>
    </row>
    <row r="1192" spans="1:16" ht="13.5" hidden="1" customHeight="1" outlineLevel="3" x14ac:dyDescent="0.2">
      <c r="A1192" s="233">
        <v>0</v>
      </c>
      <c r="B1192" s="233">
        <v>13</v>
      </c>
      <c r="C1192" s="233">
        <v>1</v>
      </c>
      <c r="D1192" s="234">
        <v>3</v>
      </c>
      <c r="E1192" s="234">
        <v>2</v>
      </c>
      <c r="G1192" s="508" t="s">
        <v>23</v>
      </c>
      <c r="H1192" s="493" t="s">
        <v>1238</v>
      </c>
      <c r="I1192" s="460" t="s">
        <v>4728</v>
      </c>
      <c r="J1192" s="495" t="s">
        <v>2907</v>
      </c>
      <c r="K1192" s="496" t="s">
        <v>641</v>
      </c>
      <c r="L1192" s="497">
        <v>65.759999999999991</v>
      </c>
      <c r="M1192" s="497">
        <v>34.058466666666661</v>
      </c>
      <c r="N1192" s="464">
        <v>2239.6847680000001</v>
      </c>
      <c r="O1192" s="498" t="s">
        <v>2916</v>
      </c>
      <c r="P1192" s="431" t="s">
        <v>6711</v>
      </c>
    </row>
    <row r="1193" spans="1:16" ht="13.5" hidden="1" customHeight="1" outlineLevel="2" x14ac:dyDescent="0.2">
      <c r="A1193" s="233">
        <v>0</v>
      </c>
      <c r="B1193" s="233">
        <v>13</v>
      </c>
      <c r="C1193" s="233">
        <v>1</v>
      </c>
      <c r="D1193" s="234">
        <v>4</v>
      </c>
      <c r="E1193" s="234">
        <v>0</v>
      </c>
      <c r="G1193" s="507"/>
      <c r="H1193" s="487" t="s">
        <v>1237</v>
      </c>
      <c r="I1193" s="452" t="s">
        <v>4729</v>
      </c>
      <c r="J1193" s="489" t="s">
        <v>2318</v>
      </c>
      <c r="K1193" s="490"/>
      <c r="L1193" s="491"/>
      <c r="M1193" s="491"/>
      <c r="N1193" s="456">
        <v>19.413326000000001</v>
      </c>
      <c r="O1193" s="492"/>
      <c r="P1193" s="430"/>
    </row>
    <row r="1194" spans="1:16" ht="13.5" hidden="1" customHeight="1" outlineLevel="3" x14ac:dyDescent="0.2">
      <c r="A1194" s="233">
        <v>0</v>
      </c>
      <c r="B1194" s="233">
        <v>13</v>
      </c>
      <c r="C1194" s="233">
        <v>1</v>
      </c>
      <c r="D1194" s="234">
        <v>4</v>
      </c>
      <c r="E1194" s="234">
        <v>1</v>
      </c>
      <c r="G1194" s="508" t="s">
        <v>23</v>
      </c>
      <c r="H1194" s="493" t="s">
        <v>1238</v>
      </c>
      <c r="I1194" s="460" t="s">
        <v>4730</v>
      </c>
      <c r="J1194" s="495" t="s">
        <v>2907</v>
      </c>
      <c r="K1194" s="496" t="s">
        <v>641</v>
      </c>
      <c r="L1194" s="497">
        <v>0.56999999999999995</v>
      </c>
      <c r="M1194" s="497">
        <v>34.058466666666661</v>
      </c>
      <c r="N1194" s="464">
        <v>19.413326000000001</v>
      </c>
      <c r="O1194" s="498"/>
      <c r="P1194" s="431" t="s">
        <v>6711</v>
      </c>
    </row>
    <row r="1195" spans="1:16" ht="13.5" hidden="1" customHeight="1" outlineLevel="2" x14ac:dyDescent="0.2">
      <c r="A1195" s="233">
        <v>0</v>
      </c>
      <c r="B1195" s="233">
        <v>13</v>
      </c>
      <c r="C1195" s="233">
        <v>1</v>
      </c>
      <c r="D1195" s="234">
        <v>5</v>
      </c>
      <c r="E1195" s="234">
        <v>0</v>
      </c>
      <c r="G1195" s="507"/>
      <c r="H1195" s="487" t="s">
        <v>1237</v>
      </c>
      <c r="I1195" s="452" t="s">
        <v>4731</v>
      </c>
      <c r="J1195" s="489" t="s">
        <v>2319</v>
      </c>
      <c r="K1195" s="490"/>
      <c r="L1195" s="491"/>
      <c r="M1195" s="491"/>
      <c r="N1195" s="456">
        <v>70.080119999999994</v>
      </c>
      <c r="O1195" s="492"/>
      <c r="P1195" s="430"/>
    </row>
    <row r="1196" spans="1:16" ht="13.5" hidden="1" customHeight="1" outlineLevel="3" x14ac:dyDescent="0.2">
      <c r="A1196" s="233">
        <v>0</v>
      </c>
      <c r="B1196" s="233">
        <v>13</v>
      </c>
      <c r="C1196" s="233">
        <v>1</v>
      </c>
      <c r="D1196" s="234">
        <v>5</v>
      </c>
      <c r="E1196" s="234">
        <v>1</v>
      </c>
      <c r="G1196" s="508" t="s">
        <v>23</v>
      </c>
      <c r="H1196" s="493" t="s">
        <v>1238</v>
      </c>
      <c r="I1196" s="460" t="s">
        <v>4732</v>
      </c>
      <c r="J1196" s="495" t="s">
        <v>1616</v>
      </c>
      <c r="K1196" s="496" t="s">
        <v>533</v>
      </c>
      <c r="L1196" s="497">
        <v>8</v>
      </c>
      <c r="M1196" s="497">
        <v>8.760015000000001</v>
      </c>
      <c r="N1196" s="464">
        <v>70.080119999999994</v>
      </c>
      <c r="O1196" s="498" t="s">
        <v>2943</v>
      </c>
      <c r="P1196" s="431" t="s">
        <v>6711</v>
      </c>
    </row>
    <row r="1197" spans="1:16" ht="13.5" hidden="1" customHeight="1" outlineLevel="2" x14ac:dyDescent="0.2">
      <c r="A1197" s="233">
        <v>0</v>
      </c>
      <c r="B1197" s="233">
        <v>13</v>
      </c>
      <c r="C1197" s="233">
        <v>1</v>
      </c>
      <c r="D1197" s="234">
        <v>6</v>
      </c>
      <c r="E1197" s="234">
        <v>0</v>
      </c>
      <c r="G1197" s="507"/>
      <c r="H1197" s="487" t="s">
        <v>1237</v>
      </c>
      <c r="I1197" s="452" t="s">
        <v>4733</v>
      </c>
      <c r="J1197" s="489" t="s">
        <v>2922</v>
      </c>
      <c r="K1197" s="490"/>
      <c r="L1197" s="491"/>
      <c r="M1197" s="491"/>
      <c r="N1197" s="456">
        <v>6660.1951799999997</v>
      </c>
      <c r="O1197" s="492"/>
      <c r="P1197" s="430"/>
    </row>
    <row r="1198" spans="1:16" ht="13.5" hidden="1" customHeight="1" outlineLevel="3" x14ac:dyDescent="0.2">
      <c r="A1198" s="233">
        <v>0</v>
      </c>
      <c r="B1198" s="233">
        <v>13</v>
      </c>
      <c r="C1198" s="233">
        <v>1</v>
      </c>
      <c r="D1198" s="234">
        <v>6</v>
      </c>
      <c r="E1198" s="234">
        <v>1</v>
      </c>
      <c r="G1198" s="508" t="s">
        <v>23</v>
      </c>
      <c r="H1198" s="493" t="s">
        <v>1238</v>
      </c>
      <c r="I1198" s="460" t="s">
        <v>4734</v>
      </c>
      <c r="J1198" s="495" t="s">
        <v>2913</v>
      </c>
      <c r="K1198" s="496" t="s">
        <v>641</v>
      </c>
      <c r="L1198" s="497">
        <v>36.76</v>
      </c>
      <c r="M1198" s="497">
        <v>181.18049999999999</v>
      </c>
      <c r="N1198" s="464">
        <v>6660.1951799999997</v>
      </c>
      <c r="O1198" s="498" t="s">
        <v>2923</v>
      </c>
      <c r="P1198" s="431" t="s">
        <v>6711</v>
      </c>
    </row>
    <row r="1199" spans="1:16" ht="13.5" hidden="1" customHeight="1" outlineLevel="2" x14ac:dyDescent="0.2">
      <c r="A1199" s="233">
        <v>0</v>
      </c>
      <c r="B1199" s="233">
        <v>13</v>
      </c>
      <c r="C1199" s="233">
        <v>1</v>
      </c>
      <c r="D1199" s="234">
        <v>7</v>
      </c>
      <c r="E1199" s="234">
        <v>0</v>
      </c>
      <c r="G1199" s="507"/>
      <c r="H1199" s="487" t="s">
        <v>1237</v>
      </c>
      <c r="I1199" s="452" t="s">
        <v>4735</v>
      </c>
      <c r="J1199" s="489" t="s">
        <v>1247</v>
      </c>
      <c r="K1199" s="490"/>
      <c r="L1199" s="491"/>
      <c r="M1199" s="491"/>
      <c r="N1199" s="456">
        <v>31766.36</v>
      </c>
      <c r="O1199" s="492"/>
      <c r="P1199" s="430"/>
    </row>
    <row r="1200" spans="1:16" ht="13.5" hidden="1" customHeight="1" outlineLevel="3" x14ac:dyDescent="0.2">
      <c r="A1200" s="233">
        <v>0</v>
      </c>
      <c r="B1200" s="233">
        <v>13</v>
      </c>
      <c r="C1200" s="233">
        <v>1</v>
      </c>
      <c r="D1200" s="234">
        <v>7</v>
      </c>
      <c r="E1200" s="234">
        <v>1</v>
      </c>
      <c r="G1200" s="508" t="s">
        <v>23</v>
      </c>
      <c r="H1200" s="493" t="s">
        <v>1238</v>
      </c>
      <c r="I1200" s="460" t="s">
        <v>4736</v>
      </c>
      <c r="J1200" s="495" t="s">
        <v>469</v>
      </c>
      <c r="K1200" s="496" t="s">
        <v>641</v>
      </c>
      <c r="L1200" s="497">
        <v>242.57999999999998</v>
      </c>
      <c r="M1200" s="497">
        <v>20</v>
      </c>
      <c r="N1200" s="464">
        <v>4851.6000000000004</v>
      </c>
      <c r="O1200" s="498"/>
      <c r="P1200" s="431" t="s">
        <v>6711</v>
      </c>
    </row>
    <row r="1201" spans="1:16" ht="13.5" hidden="1" customHeight="1" outlineLevel="3" x14ac:dyDescent="0.2">
      <c r="A1201" s="233">
        <v>0</v>
      </c>
      <c r="B1201" s="233">
        <v>13</v>
      </c>
      <c r="C1201" s="233">
        <v>1</v>
      </c>
      <c r="D1201" s="234">
        <v>7</v>
      </c>
      <c r="E1201" s="234">
        <v>2</v>
      </c>
      <c r="G1201" s="508" t="s">
        <v>23</v>
      </c>
      <c r="H1201" s="493" t="s">
        <v>1238</v>
      </c>
      <c r="I1201" s="460" t="s">
        <v>4737</v>
      </c>
      <c r="J1201" s="495" t="s">
        <v>470</v>
      </c>
      <c r="K1201" s="496" t="s">
        <v>641</v>
      </c>
      <c r="L1201" s="497">
        <v>6.86</v>
      </c>
      <c r="M1201" s="497">
        <v>35</v>
      </c>
      <c r="N1201" s="464">
        <v>240.1</v>
      </c>
      <c r="O1201" s="498"/>
      <c r="P1201" s="431" t="s">
        <v>6711</v>
      </c>
    </row>
    <row r="1202" spans="1:16" ht="13.5" hidden="1" customHeight="1" outlineLevel="3" x14ac:dyDescent="0.2">
      <c r="A1202" s="233">
        <v>0</v>
      </c>
      <c r="B1202" s="233">
        <v>13</v>
      </c>
      <c r="C1202" s="233">
        <v>1</v>
      </c>
      <c r="D1202" s="234">
        <v>7</v>
      </c>
      <c r="E1202" s="234">
        <v>3</v>
      </c>
      <c r="G1202" s="508" t="s">
        <v>23</v>
      </c>
      <c r="H1202" s="493" t="s">
        <v>1238</v>
      </c>
      <c r="I1202" s="460" t="s">
        <v>4738</v>
      </c>
      <c r="J1202" s="495" t="s">
        <v>475</v>
      </c>
      <c r="K1202" s="496" t="s">
        <v>641</v>
      </c>
      <c r="L1202" s="497">
        <v>698.84999999999991</v>
      </c>
      <c r="M1202" s="497">
        <v>28</v>
      </c>
      <c r="N1202" s="464">
        <v>19567.8</v>
      </c>
      <c r="O1202" s="498"/>
      <c r="P1202" s="431" t="s">
        <v>6711</v>
      </c>
    </row>
    <row r="1203" spans="1:16" ht="13.5" hidden="1" customHeight="1" outlineLevel="3" x14ac:dyDescent="0.2">
      <c r="A1203" s="233">
        <v>0</v>
      </c>
      <c r="B1203" s="233">
        <v>13</v>
      </c>
      <c r="C1203" s="233">
        <v>1</v>
      </c>
      <c r="D1203" s="234">
        <v>7</v>
      </c>
      <c r="E1203" s="234">
        <v>4</v>
      </c>
      <c r="G1203" s="508" t="s">
        <v>23</v>
      </c>
      <c r="H1203" s="493" t="s">
        <v>1238</v>
      </c>
      <c r="I1203" s="460" t="s">
        <v>4739</v>
      </c>
      <c r="J1203" s="495" t="s">
        <v>2930</v>
      </c>
      <c r="K1203" s="496" t="s">
        <v>641</v>
      </c>
      <c r="L1203" s="497">
        <v>97.67</v>
      </c>
      <c r="M1203" s="497">
        <v>30</v>
      </c>
      <c r="N1203" s="464">
        <v>2930.1</v>
      </c>
      <c r="O1203" s="498"/>
      <c r="P1203" s="431" t="s">
        <v>6711</v>
      </c>
    </row>
    <row r="1204" spans="1:16" ht="13.5" hidden="1" customHeight="1" outlineLevel="3" x14ac:dyDescent="0.2">
      <c r="A1204" s="233">
        <v>0</v>
      </c>
      <c r="B1204" s="233">
        <v>13</v>
      </c>
      <c r="C1204" s="233">
        <v>1</v>
      </c>
      <c r="D1204" s="234">
        <v>7</v>
      </c>
      <c r="E1204" s="234">
        <v>5</v>
      </c>
      <c r="G1204" s="508" t="s">
        <v>23</v>
      </c>
      <c r="H1204" s="493" t="s">
        <v>1238</v>
      </c>
      <c r="I1204" s="460" t="s">
        <v>4740</v>
      </c>
      <c r="J1204" s="495" t="s">
        <v>2931</v>
      </c>
      <c r="K1204" s="496" t="s">
        <v>641</v>
      </c>
      <c r="L1204" s="497">
        <v>66.329999999999984</v>
      </c>
      <c r="M1204" s="497">
        <v>32</v>
      </c>
      <c r="N1204" s="464">
        <v>2122.56</v>
      </c>
      <c r="O1204" s="498" t="s">
        <v>2933</v>
      </c>
      <c r="P1204" s="431" t="s">
        <v>6711</v>
      </c>
    </row>
    <row r="1205" spans="1:16" ht="13.5" hidden="1" customHeight="1" outlineLevel="3" x14ac:dyDescent="0.2">
      <c r="A1205" s="233">
        <v>0</v>
      </c>
      <c r="B1205" s="233">
        <v>13</v>
      </c>
      <c r="C1205" s="233">
        <v>1</v>
      </c>
      <c r="D1205" s="234">
        <v>7</v>
      </c>
      <c r="E1205" s="234">
        <v>6</v>
      </c>
      <c r="G1205" s="508" t="s">
        <v>23</v>
      </c>
      <c r="H1205" s="493" t="s">
        <v>1238</v>
      </c>
      <c r="I1205" s="460" t="s">
        <v>4741</v>
      </c>
      <c r="J1205" s="495" t="s">
        <v>2932</v>
      </c>
      <c r="K1205" s="496" t="s">
        <v>641</v>
      </c>
      <c r="L1205" s="497">
        <v>36.76</v>
      </c>
      <c r="M1205" s="497">
        <v>45</v>
      </c>
      <c r="N1205" s="464">
        <v>1654.2</v>
      </c>
      <c r="O1205" s="498" t="s">
        <v>2939</v>
      </c>
      <c r="P1205" s="431" t="s">
        <v>6711</v>
      </c>
    </row>
    <row r="1206" spans="1:16" ht="13.5" hidden="1" customHeight="1" outlineLevel="3" x14ac:dyDescent="0.2">
      <c r="A1206" s="233">
        <v>0</v>
      </c>
      <c r="B1206" s="233">
        <v>13</v>
      </c>
      <c r="C1206" s="233">
        <v>1</v>
      </c>
      <c r="D1206" s="234">
        <v>7</v>
      </c>
      <c r="E1206" s="234">
        <v>7</v>
      </c>
      <c r="G1206" s="508" t="s">
        <v>23</v>
      </c>
      <c r="H1206" s="493" t="s">
        <v>1238</v>
      </c>
      <c r="I1206" s="460" t="s">
        <v>4742</v>
      </c>
      <c r="J1206" s="461" t="s">
        <v>477</v>
      </c>
      <c r="K1206" s="496" t="s">
        <v>533</v>
      </c>
      <c r="L1206" s="497">
        <v>8</v>
      </c>
      <c r="M1206" s="497">
        <v>50</v>
      </c>
      <c r="N1206" s="464">
        <v>400</v>
      </c>
      <c r="O1206" s="498"/>
      <c r="P1206" s="431" t="s">
        <v>6711</v>
      </c>
    </row>
    <row r="1207" spans="1:16" ht="13.5" hidden="1" customHeight="1" outlineLevel="1" x14ac:dyDescent="0.2">
      <c r="A1207" s="233">
        <v>0</v>
      </c>
      <c r="B1207" s="233">
        <v>13</v>
      </c>
      <c r="C1207" s="233">
        <v>2</v>
      </c>
      <c r="D1207" s="234">
        <v>0</v>
      </c>
      <c r="E1207" s="234">
        <v>7</v>
      </c>
      <c r="G1207" s="506"/>
      <c r="H1207" s="481" t="s">
        <v>38</v>
      </c>
      <c r="I1207" s="445" t="s">
        <v>4743</v>
      </c>
      <c r="J1207" s="483" t="s">
        <v>2360</v>
      </c>
      <c r="K1207" s="484"/>
      <c r="L1207" s="485"/>
      <c r="M1207" s="485"/>
      <c r="N1207" s="449">
        <v>840.60852466666699</v>
      </c>
      <c r="O1207" s="486">
        <v>5.01865723125689E-2</v>
      </c>
      <c r="P1207" s="429"/>
    </row>
    <row r="1208" spans="1:16" ht="13.5" hidden="1" customHeight="1" outlineLevel="2" x14ac:dyDescent="0.2">
      <c r="A1208" s="233">
        <v>0</v>
      </c>
      <c r="B1208" s="233">
        <v>13</v>
      </c>
      <c r="C1208" s="233">
        <v>2</v>
      </c>
      <c r="D1208" s="234">
        <v>1</v>
      </c>
      <c r="E1208" s="234">
        <v>0</v>
      </c>
      <c r="G1208" s="507"/>
      <c r="H1208" s="487" t="s">
        <v>1237</v>
      </c>
      <c r="I1208" s="452" t="s">
        <v>4744</v>
      </c>
      <c r="J1208" s="489" t="s">
        <v>2318</v>
      </c>
      <c r="K1208" s="490"/>
      <c r="L1208" s="491"/>
      <c r="M1208" s="491"/>
      <c r="N1208" s="456">
        <v>424.368494666667</v>
      </c>
      <c r="O1208" s="492"/>
      <c r="P1208" s="430"/>
    </row>
    <row r="1209" spans="1:16" ht="13.5" hidden="1" customHeight="1" outlineLevel="3" x14ac:dyDescent="0.2">
      <c r="A1209" s="233">
        <v>0</v>
      </c>
      <c r="B1209" s="233">
        <v>13</v>
      </c>
      <c r="C1209" s="233">
        <v>2</v>
      </c>
      <c r="D1209" s="234">
        <v>1</v>
      </c>
      <c r="E1209" s="234">
        <v>1</v>
      </c>
      <c r="G1209" s="508" t="s">
        <v>23</v>
      </c>
      <c r="H1209" s="493" t="s">
        <v>1238</v>
      </c>
      <c r="I1209" s="460" t="s">
        <v>4745</v>
      </c>
      <c r="J1209" s="495" t="s">
        <v>2907</v>
      </c>
      <c r="K1209" s="496" t="s">
        <v>641</v>
      </c>
      <c r="L1209" s="497">
        <v>12.46</v>
      </c>
      <c r="M1209" s="497">
        <v>34.058466666666661</v>
      </c>
      <c r="N1209" s="464">
        <v>424.368494666667</v>
      </c>
      <c r="O1209" s="498"/>
      <c r="P1209" s="431" t="s">
        <v>6711</v>
      </c>
    </row>
    <row r="1210" spans="1:16" ht="13.5" hidden="1" customHeight="1" outlineLevel="2" x14ac:dyDescent="0.2">
      <c r="A1210" s="233">
        <v>0</v>
      </c>
      <c r="B1210" s="233">
        <v>13</v>
      </c>
      <c r="C1210" s="233">
        <v>2</v>
      </c>
      <c r="D1210" s="234">
        <v>2</v>
      </c>
      <c r="E1210" s="234">
        <v>0</v>
      </c>
      <c r="G1210" s="507"/>
      <c r="H1210" s="487" t="s">
        <v>1237</v>
      </c>
      <c r="I1210" s="452" t="s">
        <v>4746</v>
      </c>
      <c r="J1210" s="489" t="s">
        <v>2319</v>
      </c>
      <c r="K1210" s="490"/>
      <c r="L1210" s="491"/>
      <c r="M1210" s="491"/>
      <c r="N1210" s="456">
        <v>17.520029999999998</v>
      </c>
      <c r="O1210" s="492"/>
      <c r="P1210" s="430"/>
    </row>
    <row r="1211" spans="1:16" ht="13.5" hidden="1" customHeight="1" outlineLevel="3" x14ac:dyDescent="0.2">
      <c r="A1211" s="233">
        <v>0</v>
      </c>
      <c r="B1211" s="233">
        <v>13</v>
      </c>
      <c r="C1211" s="233">
        <v>2</v>
      </c>
      <c r="D1211" s="234">
        <v>2</v>
      </c>
      <c r="E1211" s="234">
        <v>1</v>
      </c>
      <c r="G1211" s="508" t="s">
        <v>23</v>
      </c>
      <c r="H1211" s="493" t="s">
        <v>1238</v>
      </c>
      <c r="I1211" s="460" t="s">
        <v>4747</v>
      </c>
      <c r="J1211" s="495" t="s">
        <v>1616</v>
      </c>
      <c r="K1211" s="496" t="s">
        <v>533</v>
      </c>
      <c r="L1211" s="497">
        <v>2</v>
      </c>
      <c r="M1211" s="497">
        <v>8.760015000000001</v>
      </c>
      <c r="N1211" s="464">
        <v>17.520029999999998</v>
      </c>
      <c r="O1211" s="498" t="s">
        <v>2943</v>
      </c>
      <c r="P1211" s="431" t="s">
        <v>6711</v>
      </c>
    </row>
    <row r="1212" spans="1:16" ht="13.5" hidden="1" customHeight="1" outlineLevel="2" x14ac:dyDescent="0.2">
      <c r="A1212" s="233">
        <v>0</v>
      </c>
      <c r="B1212" s="233">
        <v>13</v>
      </c>
      <c r="C1212" s="233">
        <v>2</v>
      </c>
      <c r="D1212" s="234">
        <v>3</v>
      </c>
      <c r="E1212" s="234">
        <v>0</v>
      </c>
      <c r="G1212" s="507"/>
      <c r="H1212" s="487" t="s">
        <v>1237</v>
      </c>
      <c r="I1212" s="452" t="s">
        <v>4748</v>
      </c>
      <c r="J1212" s="489" t="s">
        <v>1247</v>
      </c>
      <c r="K1212" s="490"/>
      <c r="L1212" s="491"/>
      <c r="M1212" s="491"/>
      <c r="N1212" s="456">
        <v>398.72</v>
      </c>
      <c r="O1212" s="492"/>
      <c r="P1212" s="430"/>
    </row>
    <row r="1213" spans="1:16" ht="13.5" hidden="1" customHeight="1" outlineLevel="3" x14ac:dyDescent="0.2">
      <c r="A1213" s="233">
        <v>0</v>
      </c>
      <c r="B1213" s="233">
        <v>13</v>
      </c>
      <c r="C1213" s="233">
        <v>2</v>
      </c>
      <c r="D1213" s="234">
        <v>3</v>
      </c>
      <c r="E1213" s="234">
        <v>1</v>
      </c>
      <c r="G1213" s="508" t="s">
        <v>23</v>
      </c>
      <c r="H1213" s="493" t="s">
        <v>1238</v>
      </c>
      <c r="I1213" s="460" t="s">
        <v>4749</v>
      </c>
      <c r="J1213" s="495" t="s">
        <v>2931</v>
      </c>
      <c r="K1213" s="496" t="s">
        <v>641</v>
      </c>
      <c r="L1213" s="497">
        <v>12.46</v>
      </c>
      <c r="M1213" s="497">
        <v>32</v>
      </c>
      <c r="N1213" s="464">
        <v>398.72</v>
      </c>
      <c r="O1213" s="498"/>
      <c r="P1213" s="431" t="s">
        <v>6711</v>
      </c>
    </row>
    <row r="1214" spans="1:16" ht="13.5" hidden="1" customHeight="1" outlineLevel="1" x14ac:dyDescent="0.2">
      <c r="A1214" s="233">
        <v>0</v>
      </c>
      <c r="B1214" s="233">
        <v>13</v>
      </c>
      <c r="C1214" s="233">
        <v>3</v>
      </c>
      <c r="D1214" s="234">
        <v>0</v>
      </c>
      <c r="E1214" s="234">
        <v>1</v>
      </c>
      <c r="G1214" s="506"/>
      <c r="H1214" s="481" t="s">
        <v>38</v>
      </c>
      <c r="I1214" s="445" t="s">
        <v>4750</v>
      </c>
      <c r="J1214" s="483" t="s">
        <v>2361</v>
      </c>
      <c r="K1214" s="484"/>
      <c r="L1214" s="485"/>
      <c r="M1214" s="485"/>
      <c r="N1214" s="449">
        <v>2061.3689886666698</v>
      </c>
      <c r="O1214" s="486">
        <v>0.12306922994104801</v>
      </c>
      <c r="P1214" s="429"/>
    </row>
    <row r="1215" spans="1:16" ht="13.5" hidden="1" customHeight="1" outlineLevel="2" x14ac:dyDescent="0.2">
      <c r="A1215" s="233">
        <v>0</v>
      </c>
      <c r="B1215" s="233">
        <v>13</v>
      </c>
      <c r="C1215" s="233">
        <v>3</v>
      </c>
      <c r="D1215" s="234">
        <v>1</v>
      </c>
      <c r="E1215" s="234">
        <v>0</v>
      </c>
      <c r="G1215" s="507"/>
      <c r="H1215" s="487" t="s">
        <v>1237</v>
      </c>
      <c r="I1215" s="452" t="s">
        <v>4751</v>
      </c>
      <c r="J1215" s="489" t="s">
        <v>2318</v>
      </c>
      <c r="K1215" s="490"/>
      <c r="L1215" s="491"/>
      <c r="M1215" s="491"/>
      <c r="N1215" s="456">
        <v>1053.76895866667</v>
      </c>
      <c r="O1215" s="492"/>
      <c r="P1215" s="430"/>
    </row>
    <row r="1216" spans="1:16" ht="13.5" hidden="1" customHeight="1" outlineLevel="3" x14ac:dyDescent="0.2">
      <c r="A1216" s="233">
        <v>0</v>
      </c>
      <c r="B1216" s="233">
        <v>13</v>
      </c>
      <c r="C1216" s="233">
        <v>3</v>
      </c>
      <c r="D1216" s="234">
        <v>1</v>
      </c>
      <c r="E1216" s="234">
        <v>1</v>
      </c>
      <c r="G1216" s="508" t="s">
        <v>23</v>
      </c>
      <c r="H1216" s="493" t="s">
        <v>1238</v>
      </c>
      <c r="I1216" s="460" t="s">
        <v>4752</v>
      </c>
      <c r="J1216" s="495" t="s">
        <v>2907</v>
      </c>
      <c r="K1216" s="496" t="s">
        <v>641</v>
      </c>
      <c r="L1216" s="497">
        <v>30.94</v>
      </c>
      <c r="M1216" s="497">
        <v>34.058466666666661</v>
      </c>
      <c r="N1216" s="464">
        <v>1053.76895866667</v>
      </c>
      <c r="O1216" s="498"/>
      <c r="P1216" s="431" t="s">
        <v>6711</v>
      </c>
    </row>
    <row r="1217" spans="1:16" ht="13.5" hidden="1" customHeight="1" outlineLevel="2" x14ac:dyDescent="0.2">
      <c r="A1217" s="233">
        <v>0</v>
      </c>
      <c r="B1217" s="233">
        <v>13</v>
      </c>
      <c r="C1217" s="233">
        <v>3</v>
      </c>
      <c r="D1217" s="234">
        <v>2</v>
      </c>
      <c r="E1217" s="234">
        <v>0</v>
      </c>
      <c r="G1217" s="507"/>
      <c r="H1217" s="487" t="s">
        <v>1237</v>
      </c>
      <c r="I1217" s="452" t="s">
        <v>4753</v>
      </c>
      <c r="J1217" s="489" t="s">
        <v>2319</v>
      </c>
      <c r="K1217" s="490"/>
      <c r="L1217" s="491"/>
      <c r="M1217" s="491"/>
      <c r="N1217" s="456">
        <v>17.520029999999998</v>
      </c>
      <c r="O1217" s="492"/>
      <c r="P1217" s="430"/>
    </row>
    <row r="1218" spans="1:16" ht="13.5" hidden="1" customHeight="1" outlineLevel="3" x14ac:dyDescent="0.2">
      <c r="A1218" s="233">
        <v>0</v>
      </c>
      <c r="B1218" s="233">
        <v>13</v>
      </c>
      <c r="C1218" s="233">
        <v>3</v>
      </c>
      <c r="D1218" s="234">
        <v>2</v>
      </c>
      <c r="E1218" s="234">
        <v>1</v>
      </c>
      <c r="G1218" s="508" t="s">
        <v>23</v>
      </c>
      <c r="H1218" s="493" t="s">
        <v>1238</v>
      </c>
      <c r="I1218" s="460" t="s">
        <v>4754</v>
      </c>
      <c r="J1218" s="495" t="s">
        <v>1616</v>
      </c>
      <c r="K1218" s="496" t="s">
        <v>533</v>
      </c>
      <c r="L1218" s="497">
        <v>2</v>
      </c>
      <c r="M1218" s="497">
        <v>8.760015000000001</v>
      </c>
      <c r="N1218" s="464">
        <v>17.520029999999998</v>
      </c>
      <c r="O1218" s="498" t="s">
        <v>2943</v>
      </c>
      <c r="P1218" s="431" t="s">
        <v>6711</v>
      </c>
    </row>
    <row r="1219" spans="1:16" ht="13.5" hidden="1" customHeight="1" outlineLevel="2" x14ac:dyDescent="0.2">
      <c r="A1219" s="233">
        <v>0</v>
      </c>
      <c r="B1219" s="233">
        <v>13</v>
      </c>
      <c r="C1219" s="233">
        <v>3</v>
      </c>
      <c r="D1219" s="234">
        <v>3</v>
      </c>
      <c r="E1219" s="234">
        <v>0</v>
      </c>
      <c r="G1219" s="507"/>
      <c r="H1219" s="487" t="s">
        <v>1237</v>
      </c>
      <c r="I1219" s="452" t="s">
        <v>4755</v>
      </c>
      <c r="J1219" s="489" t="s">
        <v>1247</v>
      </c>
      <c r="K1219" s="490"/>
      <c r="L1219" s="491"/>
      <c r="M1219" s="491"/>
      <c r="N1219" s="456">
        <v>990.08</v>
      </c>
      <c r="O1219" s="492"/>
      <c r="P1219" s="430"/>
    </row>
    <row r="1220" spans="1:16" ht="13.5" hidden="1" customHeight="1" outlineLevel="3" x14ac:dyDescent="0.2">
      <c r="A1220" s="233">
        <v>0</v>
      </c>
      <c r="B1220" s="233">
        <v>13</v>
      </c>
      <c r="C1220" s="233">
        <v>3</v>
      </c>
      <c r="D1220" s="234">
        <v>3</v>
      </c>
      <c r="E1220" s="234">
        <v>1</v>
      </c>
      <c r="G1220" s="508" t="s">
        <v>23</v>
      </c>
      <c r="H1220" s="493" t="s">
        <v>1238</v>
      </c>
      <c r="I1220" s="460" t="s">
        <v>4756</v>
      </c>
      <c r="J1220" s="495" t="s">
        <v>2931</v>
      </c>
      <c r="K1220" s="496" t="s">
        <v>641</v>
      </c>
      <c r="L1220" s="497">
        <v>30.94</v>
      </c>
      <c r="M1220" s="497">
        <v>32</v>
      </c>
      <c r="N1220" s="464">
        <v>990.08</v>
      </c>
      <c r="O1220" s="498"/>
      <c r="P1220" s="431" t="s">
        <v>6711</v>
      </c>
    </row>
    <row r="1221" spans="1:16" ht="13.5" hidden="1" customHeight="1" outlineLevel="1" x14ac:dyDescent="0.2">
      <c r="A1221" s="233">
        <v>0</v>
      </c>
      <c r="B1221" s="233">
        <v>13</v>
      </c>
      <c r="C1221" s="233">
        <v>4</v>
      </c>
      <c r="D1221" s="234">
        <v>0</v>
      </c>
      <c r="E1221" s="234">
        <v>1</v>
      </c>
      <c r="G1221" s="506"/>
      <c r="H1221" s="481" t="s">
        <v>38</v>
      </c>
      <c r="I1221" s="445" t="s">
        <v>4757</v>
      </c>
      <c r="J1221" s="483" t="s">
        <v>2362</v>
      </c>
      <c r="K1221" s="484"/>
      <c r="L1221" s="485"/>
      <c r="M1221" s="485"/>
      <c r="N1221" s="449">
        <v>1688.7992366666699</v>
      </c>
      <c r="O1221" s="486">
        <v>0.10082582144404401</v>
      </c>
      <c r="P1221" s="429"/>
    </row>
    <row r="1222" spans="1:16" ht="13.5" hidden="1" customHeight="1" outlineLevel="2" x14ac:dyDescent="0.2">
      <c r="A1222" s="233">
        <v>0</v>
      </c>
      <c r="B1222" s="233">
        <v>13</v>
      </c>
      <c r="C1222" s="233">
        <v>4</v>
      </c>
      <c r="D1222" s="234">
        <v>1</v>
      </c>
      <c r="E1222" s="234">
        <v>0</v>
      </c>
      <c r="G1222" s="507"/>
      <c r="H1222" s="487" t="s">
        <v>1237</v>
      </c>
      <c r="I1222" s="452" t="s">
        <v>4758</v>
      </c>
      <c r="J1222" s="489" t="s">
        <v>2318</v>
      </c>
      <c r="K1222" s="490"/>
      <c r="L1222" s="491"/>
      <c r="M1222" s="491"/>
      <c r="N1222" s="456">
        <v>861.67920666666703</v>
      </c>
      <c r="O1222" s="492"/>
      <c r="P1222" s="430"/>
    </row>
    <row r="1223" spans="1:16" ht="13.5" hidden="1" customHeight="1" outlineLevel="3" x14ac:dyDescent="0.2">
      <c r="A1223" s="233">
        <v>0</v>
      </c>
      <c r="B1223" s="233">
        <v>13</v>
      </c>
      <c r="C1223" s="233">
        <v>4</v>
      </c>
      <c r="D1223" s="234">
        <v>1</v>
      </c>
      <c r="E1223" s="234">
        <v>1</v>
      </c>
      <c r="G1223" s="508" t="s">
        <v>23</v>
      </c>
      <c r="H1223" s="493" t="s">
        <v>1238</v>
      </c>
      <c r="I1223" s="460" t="s">
        <v>4759</v>
      </c>
      <c r="J1223" s="495" t="s">
        <v>2907</v>
      </c>
      <c r="K1223" s="496" t="s">
        <v>641</v>
      </c>
      <c r="L1223" s="497">
        <v>25.3</v>
      </c>
      <c r="M1223" s="497">
        <v>34.058466666666661</v>
      </c>
      <c r="N1223" s="464">
        <v>861.67920666666703</v>
      </c>
      <c r="O1223" s="498"/>
      <c r="P1223" s="431" t="s">
        <v>6711</v>
      </c>
    </row>
    <row r="1224" spans="1:16" ht="13.5" hidden="1" customHeight="1" outlineLevel="2" x14ac:dyDescent="0.2">
      <c r="A1224" s="233">
        <v>0</v>
      </c>
      <c r="B1224" s="233">
        <v>13</v>
      </c>
      <c r="C1224" s="233">
        <v>4</v>
      </c>
      <c r="D1224" s="234">
        <v>2</v>
      </c>
      <c r="E1224" s="234">
        <v>0</v>
      </c>
      <c r="G1224" s="507"/>
      <c r="H1224" s="487" t="s">
        <v>1237</v>
      </c>
      <c r="I1224" s="452" t="s">
        <v>4760</v>
      </c>
      <c r="J1224" s="489" t="s">
        <v>2319</v>
      </c>
      <c r="K1224" s="490"/>
      <c r="L1224" s="491"/>
      <c r="M1224" s="491"/>
      <c r="N1224" s="456">
        <v>17.520029999999998</v>
      </c>
      <c r="O1224" s="492"/>
      <c r="P1224" s="430"/>
    </row>
    <row r="1225" spans="1:16" ht="13.5" hidden="1" customHeight="1" outlineLevel="3" x14ac:dyDescent="0.2">
      <c r="A1225" s="233">
        <v>0</v>
      </c>
      <c r="B1225" s="233">
        <v>13</v>
      </c>
      <c r="C1225" s="233">
        <v>4</v>
      </c>
      <c r="D1225" s="234">
        <v>2</v>
      </c>
      <c r="E1225" s="234">
        <v>1</v>
      </c>
      <c r="G1225" s="508" t="s">
        <v>23</v>
      </c>
      <c r="H1225" s="493" t="s">
        <v>1238</v>
      </c>
      <c r="I1225" s="460" t="s">
        <v>4761</v>
      </c>
      <c r="J1225" s="495" t="s">
        <v>1616</v>
      </c>
      <c r="K1225" s="496" t="s">
        <v>533</v>
      </c>
      <c r="L1225" s="497">
        <v>2</v>
      </c>
      <c r="M1225" s="497">
        <v>8.760015000000001</v>
      </c>
      <c r="N1225" s="464">
        <v>17.520029999999998</v>
      </c>
      <c r="O1225" s="498" t="s">
        <v>2943</v>
      </c>
      <c r="P1225" s="431" t="s">
        <v>6711</v>
      </c>
    </row>
    <row r="1226" spans="1:16" ht="13.5" hidden="1" customHeight="1" outlineLevel="2" x14ac:dyDescent="0.2">
      <c r="A1226" s="233">
        <v>0</v>
      </c>
      <c r="B1226" s="233">
        <v>13</v>
      </c>
      <c r="C1226" s="233">
        <v>4</v>
      </c>
      <c r="D1226" s="234">
        <v>3</v>
      </c>
      <c r="E1226" s="234">
        <v>0</v>
      </c>
      <c r="G1226" s="507"/>
      <c r="H1226" s="487" t="s">
        <v>1237</v>
      </c>
      <c r="I1226" s="452" t="s">
        <v>4762</v>
      </c>
      <c r="J1226" s="489" t="s">
        <v>1247</v>
      </c>
      <c r="K1226" s="490"/>
      <c r="L1226" s="491"/>
      <c r="M1226" s="491"/>
      <c r="N1226" s="456">
        <v>809.6</v>
      </c>
      <c r="O1226" s="492"/>
      <c r="P1226" s="430"/>
    </row>
    <row r="1227" spans="1:16" ht="13.5" hidden="1" customHeight="1" outlineLevel="3" x14ac:dyDescent="0.2">
      <c r="A1227" s="233">
        <v>0</v>
      </c>
      <c r="B1227" s="233">
        <v>13</v>
      </c>
      <c r="C1227" s="233">
        <v>4</v>
      </c>
      <c r="D1227" s="234">
        <v>3</v>
      </c>
      <c r="E1227" s="234">
        <v>1</v>
      </c>
      <c r="G1227" s="508" t="s">
        <v>23</v>
      </c>
      <c r="H1227" s="493" t="s">
        <v>1238</v>
      </c>
      <c r="I1227" s="460" t="s">
        <v>4763</v>
      </c>
      <c r="J1227" s="495" t="s">
        <v>2931</v>
      </c>
      <c r="K1227" s="496" t="s">
        <v>641</v>
      </c>
      <c r="L1227" s="497">
        <v>25.3</v>
      </c>
      <c r="M1227" s="497">
        <v>32</v>
      </c>
      <c r="N1227" s="464">
        <v>809.6</v>
      </c>
      <c r="O1227" s="498"/>
      <c r="P1227" s="431" t="s">
        <v>6711</v>
      </c>
    </row>
    <row r="1228" spans="1:16" ht="13.5" hidden="1" customHeight="1" outlineLevel="1" x14ac:dyDescent="0.2">
      <c r="A1228" s="233">
        <v>0</v>
      </c>
      <c r="B1228" s="233">
        <v>13</v>
      </c>
      <c r="C1228" s="233">
        <v>5</v>
      </c>
      <c r="D1228" s="234">
        <v>0</v>
      </c>
      <c r="E1228" s="234">
        <v>1</v>
      </c>
      <c r="G1228" s="506"/>
      <c r="H1228" s="481" t="s">
        <v>38</v>
      </c>
      <c r="I1228" s="445" t="s">
        <v>4764</v>
      </c>
      <c r="J1228" s="483" t="s">
        <v>2363</v>
      </c>
      <c r="K1228" s="484"/>
      <c r="L1228" s="485"/>
      <c r="M1228" s="485"/>
      <c r="N1228" s="449">
        <v>5211.5835686666696</v>
      </c>
      <c r="O1228" s="486">
        <v>0.31114544756205098</v>
      </c>
      <c r="P1228" s="429"/>
    </row>
    <row r="1229" spans="1:16" ht="13.5" hidden="1" customHeight="1" outlineLevel="2" x14ac:dyDescent="0.2">
      <c r="A1229" s="233">
        <v>0</v>
      </c>
      <c r="B1229" s="233">
        <v>13</v>
      </c>
      <c r="C1229" s="233">
        <v>5</v>
      </c>
      <c r="D1229" s="234">
        <v>1</v>
      </c>
      <c r="E1229" s="234">
        <v>0</v>
      </c>
      <c r="G1229" s="507"/>
      <c r="H1229" s="487" t="s">
        <v>1237</v>
      </c>
      <c r="I1229" s="452" t="s">
        <v>4765</v>
      </c>
      <c r="J1229" s="489" t="s">
        <v>24</v>
      </c>
      <c r="K1229" s="490"/>
      <c r="L1229" s="491"/>
      <c r="M1229" s="491"/>
      <c r="N1229" s="456">
        <v>281.55775599999998</v>
      </c>
      <c r="O1229" s="492">
        <v>1.6809749445809999E-2</v>
      </c>
      <c r="P1229" s="430"/>
    </row>
    <row r="1230" spans="1:16" ht="13.5" hidden="1" customHeight="1" outlineLevel="3" x14ac:dyDescent="0.2">
      <c r="A1230" s="233">
        <v>0</v>
      </c>
      <c r="B1230" s="233">
        <v>13</v>
      </c>
      <c r="C1230" s="233">
        <v>5</v>
      </c>
      <c r="D1230" s="234">
        <v>1</v>
      </c>
      <c r="E1230" s="234">
        <v>1</v>
      </c>
      <c r="G1230" s="508" t="s">
        <v>23</v>
      </c>
      <c r="H1230" s="493" t="s">
        <v>1238</v>
      </c>
      <c r="I1230" s="460" t="s">
        <v>4766</v>
      </c>
      <c r="J1230" s="495" t="s">
        <v>441</v>
      </c>
      <c r="K1230" s="496" t="s">
        <v>641</v>
      </c>
      <c r="L1230" s="497">
        <v>4.99</v>
      </c>
      <c r="M1230" s="497">
        <v>7.0658999999999992</v>
      </c>
      <c r="N1230" s="464">
        <v>35.258840999999997</v>
      </c>
      <c r="O1230" s="498" t="s">
        <v>2928</v>
      </c>
      <c r="P1230" s="431" t="s">
        <v>6711</v>
      </c>
    </row>
    <row r="1231" spans="1:16" ht="13.5" hidden="1" customHeight="1" outlineLevel="3" x14ac:dyDescent="0.2">
      <c r="A1231" s="233">
        <v>0</v>
      </c>
      <c r="B1231" s="233">
        <v>13</v>
      </c>
      <c r="C1231" s="233">
        <v>5</v>
      </c>
      <c r="D1231" s="234">
        <v>1</v>
      </c>
      <c r="E1231" s="234">
        <v>2</v>
      </c>
      <c r="G1231" s="508" t="s">
        <v>23</v>
      </c>
      <c r="H1231" s="493" t="s">
        <v>1238</v>
      </c>
      <c r="I1231" s="460" t="s">
        <v>4767</v>
      </c>
      <c r="J1231" s="495" t="s">
        <v>443</v>
      </c>
      <c r="K1231" s="496" t="s">
        <v>641</v>
      </c>
      <c r="L1231" s="497">
        <v>4.99</v>
      </c>
      <c r="M1231" s="497">
        <v>49.358499999999999</v>
      </c>
      <c r="N1231" s="464">
        <v>246.29891499999999</v>
      </c>
      <c r="O1231" s="498" t="s">
        <v>2929</v>
      </c>
      <c r="P1231" s="431" t="s">
        <v>6711</v>
      </c>
    </row>
    <row r="1232" spans="1:16" ht="13.5" hidden="1" customHeight="1" outlineLevel="2" x14ac:dyDescent="0.2">
      <c r="A1232" s="233">
        <v>0</v>
      </c>
      <c r="B1232" s="233">
        <v>13</v>
      </c>
      <c r="C1232" s="233">
        <v>5</v>
      </c>
      <c r="D1232" s="234">
        <v>2</v>
      </c>
      <c r="E1232" s="234">
        <v>0</v>
      </c>
      <c r="G1232" s="507"/>
      <c r="H1232" s="487" t="s">
        <v>1237</v>
      </c>
      <c r="I1232" s="452" t="s">
        <v>4768</v>
      </c>
      <c r="J1232" s="489" t="s">
        <v>2318</v>
      </c>
      <c r="K1232" s="490"/>
      <c r="L1232" s="491"/>
      <c r="M1232" s="491"/>
      <c r="N1232" s="456">
        <v>861.67920666666703</v>
      </c>
      <c r="O1232" s="492"/>
      <c r="P1232" s="430"/>
    </row>
    <row r="1233" spans="1:16" ht="13.5" hidden="1" customHeight="1" outlineLevel="3" x14ac:dyDescent="0.2">
      <c r="A1233" s="233">
        <v>0</v>
      </c>
      <c r="B1233" s="233">
        <v>13</v>
      </c>
      <c r="C1233" s="233">
        <v>5</v>
      </c>
      <c r="D1233" s="234">
        <v>2</v>
      </c>
      <c r="E1233" s="234">
        <v>1</v>
      </c>
      <c r="G1233" s="508" t="s">
        <v>23</v>
      </c>
      <c r="H1233" s="493" t="s">
        <v>1238</v>
      </c>
      <c r="I1233" s="460" t="s">
        <v>4769</v>
      </c>
      <c r="J1233" s="495" t="s">
        <v>2907</v>
      </c>
      <c r="K1233" s="496" t="s">
        <v>641</v>
      </c>
      <c r="L1233" s="497">
        <v>25.3</v>
      </c>
      <c r="M1233" s="497">
        <v>34.058466666666661</v>
      </c>
      <c r="N1233" s="464">
        <v>861.67920666666703</v>
      </c>
      <c r="O1233" s="498"/>
      <c r="P1233" s="431" t="s">
        <v>6711</v>
      </c>
    </row>
    <row r="1234" spans="1:16" ht="13.5" hidden="1" customHeight="1" outlineLevel="2" x14ac:dyDescent="0.2">
      <c r="A1234" s="233">
        <v>0</v>
      </c>
      <c r="B1234" s="233">
        <v>13</v>
      </c>
      <c r="C1234" s="233">
        <v>5</v>
      </c>
      <c r="D1234" s="234">
        <v>3</v>
      </c>
      <c r="E1234" s="234">
        <v>0</v>
      </c>
      <c r="G1234" s="507"/>
      <c r="H1234" s="487" t="s">
        <v>1237</v>
      </c>
      <c r="I1234" s="452" t="s">
        <v>4770</v>
      </c>
      <c r="J1234" s="489" t="s">
        <v>2319</v>
      </c>
      <c r="K1234" s="490"/>
      <c r="L1234" s="491"/>
      <c r="M1234" s="491"/>
      <c r="N1234" s="456">
        <v>17.520029999999998</v>
      </c>
      <c r="O1234" s="492"/>
      <c r="P1234" s="430"/>
    </row>
    <row r="1235" spans="1:16" ht="13.5" hidden="1" customHeight="1" outlineLevel="3" x14ac:dyDescent="0.2">
      <c r="A1235" s="233">
        <v>0</v>
      </c>
      <c r="B1235" s="233">
        <v>13</v>
      </c>
      <c r="C1235" s="233">
        <v>5</v>
      </c>
      <c r="D1235" s="234">
        <v>3</v>
      </c>
      <c r="E1235" s="234">
        <v>1</v>
      </c>
      <c r="G1235" s="508" t="s">
        <v>23</v>
      </c>
      <c r="H1235" s="493" t="s">
        <v>1238</v>
      </c>
      <c r="I1235" s="460" t="s">
        <v>4771</v>
      </c>
      <c r="J1235" s="495" t="s">
        <v>1616</v>
      </c>
      <c r="K1235" s="496" t="s">
        <v>533</v>
      </c>
      <c r="L1235" s="497">
        <v>2</v>
      </c>
      <c r="M1235" s="497">
        <v>8.760015000000001</v>
      </c>
      <c r="N1235" s="464">
        <v>17.520029999999998</v>
      </c>
      <c r="O1235" s="498" t="s">
        <v>2943</v>
      </c>
      <c r="P1235" s="431" t="s">
        <v>6711</v>
      </c>
    </row>
    <row r="1236" spans="1:16" ht="13.5" hidden="1" customHeight="1" outlineLevel="2" x14ac:dyDescent="0.2">
      <c r="A1236" s="233">
        <v>0</v>
      </c>
      <c r="B1236" s="233">
        <v>13</v>
      </c>
      <c r="C1236" s="233">
        <v>5</v>
      </c>
      <c r="D1236" s="234">
        <v>4</v>
      </c>
      <c r="E1236" s="234">
        <v>0</v>
      </c>
      <c r="G1236" s="507"/>
      <c r="H1236" s="487" t="s">
        <v>1237</v>
      </c>
      <c r="I1236" s="452" t="s">
        <v>4772</v>
      </c>
      <c r="J1236" s="489" t="s">
        <v>2926</v>
      </c>
      <c r="K1236" s="490"/>
      <c r="L1236" s="491"/>
      <c r="M1236" s="491"/>
      <c r="N1236" s="456">
        <v>1900.5865759999999</v>
      </c>
      <c r="O1236" s="492"/>
      <c r="P1236" s="430"/>
    </row>
    <row r="1237" spans="1:16" ht="13.5" hidden="1" customHeight="1" outlineLevel="3" x14ac:dyDescent="0.2">
      <c r="A1237" s="233">
        <v>0</v>
      </c>
      <c r="B1237" s="233">
        <v>13</v>
      </c>
      <c r="C1237" s="233">
        <v>5</v>
      </c>
      <c r="D1237" s="234">
        <v>4</v>
      </c>
      <c r="E1237" s="234">
        <v>1</v>
      </c>
      <c r="G1237" s="508" t="s">
        <v>23</v>
      </c>
      <c r="H1237" s="493" t="s">
        <v>1238</v>
      </c>
      <c r="I1237" s="460" t="s">
        <v>4773</v>
      </c>
      <c r="J1237" s="495" t="s">
        <v>2909</v>
      </c>
      <c r="K1237" s="496" t="s">
        <v>641</v>
      </c>
      <c r="L1237" s="497">
        <v>4.99</v>
      </c>
      <c r="M1237" s="497">
        <v>74.891800000000003</v>
      </c>
      <c r="N1237" s="464">
        <v>373.710082</v>
      </c>
      <c r="O1237" s="498" t="s">
        <v>2921</v>
      </c>
      <c r="P1237" s="431" t="s">
        <v>6711</v>
      </c>
    </row>
    <row r="1238" spans="1:16" ht="13.5" hidden="1" customHeight="1" outlineLevel="3" x14ac:dyDescent="0.2">
      <c r="A1238" s="233">
        <v>0</v>
      </c>
      <c r="B1238" s="233">
        <v>13</v>
      </c>
      <c r="C1238" s="233">
        <v>5</v>
      </c>
      <c r="D1238" s="234">
        <v>4</v>
      </c>
      <c r="E1238" s="234">
        <v>2</v>
      </c>
      <c r="G1238" s="508" t="s">
        <v>23</v>
      </c>
      <c r="H1238" s="493" t="s">
        <v>1238</v>
      </c>
      <c r="I1238" s="460" t="s">
        <v>4774</v>
      </c>
      <c r="J1238" s="495" t="s">
        <v>2911</v>
      </c>
      <c r="K1238" s="496" t="s">
        <v>641</v>
      </c>
      <c r="L1238" s="497">
        <v>20.83</v>
      </c>
      <c r="M1238" s="497">
        <v>73.3018</v>
      </c>
      <c r="N1238" s="464">
        <v>1526.8764940000001</v>
      </c>
      <c r="O1238" s="498" t="s">
        <v>2921</v>
      </c>
      <c r="P1238" s="431" t="s">
        <v>6711</v>
      </c>
    </row>
    <row r="1239" spans="1:16" ht="13.5" hidden="1" customHeight="1" outlineLevel="2" x14ac:dyDescent="0.2">
      <c r="A1239" s="233">
        <v>0</v>
      </c>
      <c r="B1239" s="233">
        <v>13</v>
      </c>
      <c r="C1239" s="233">
        <v>5</v>
      </c>
      <c r="D1239" s="234">
        <v>5</v>
      </c>
      <c r="E1239" s="234">
        <v>0</v>
      </c>
      <c r="G1239" s="507"/>
      <c r="H1239" s="487" t="s">
        <v>1237</v>
      </c>
      <c r="I1239" s="452" t="s">
        <v>4775</v>
      </c>
      <c r="J1239" s="489" t="s">
        <v>1247</v>
      </c>
      <c r="K1239" s="490"/>
      <c r="L1239" s="491"/>
      <c r="M1239" s="491"/>
      <c r="N1239" s="456">
        <v>2150.2399999999998</v>
      </c>
      <c r="O1239" s="492"/>
      <c r="P1239" s="430"/>
    </row>
    <row r="1240" spans="1:16" ht="13.5" hidden="1" customHeight="1" outlineLevel="3" x14ac:dyDescent="0.2">
      <c r="A1240" s="233">
        <v>0</v>
      </c>
      <c r="B1240" s="233">
        <v>13</v>
      </c>
      <c r="C1240" s="233">
        <v>5</v>
      </c>
      <c r="D1240" s="234">
        <v>5</v>
      </c>
      <c r="E1240" s="234">
        <v>1</v>
      </c>
      <c r="G1240" s="508" t="s">
        <v>23</v>
      </c>
      <c r="H1240" s="493" t="s">
        <v>1238</v>
      </c>
      <c r="I1240" s="460" t="s">
        <v>4776</v>
      </c>
      <c r="J1240" s="495" t="s">
        <v>469</v>
      </c>
      <c r="K1240" s="496" t="s">
        <v>641</v>
      </c>
      <c r="L1240" s="497">
        <v>4.99</v>
      </c>
      <c r="M1240" s="497">
        <v>20</v>
      </c>
      <c r="N1240" s="464">
        <v>99.8</v>
      </c>
      <c r="O1240" s="498"/>
      <c r="P1240" s="431" t="s">
        <v>6711</v>
      </c>
    </row>
    <row r="1241" spans="1:16" ht="13.5" hidden="1" customHeight="1" outlineLevel="3" x14ac:dyDescent="0.2">
      <c r="A1241" s="233">
        <v>0</v>
      </c>
      <c r="B1241" s="233">
        <v>13</v>
      </c>
      <c r="C1241" s="233">
        <v>5</v>
      </c>
      <c r="D1241" s="234">
        <v>5</v>
      </c>
      <c r="E1241" s="234">
        <v>2</v>
      </c>
      <c r="G1241" s="508" t="s">
        <v>23</v>
      </c>
      <c r="H1241" s="493" t="s">
        <v>1238</v>
      </c>
      <c r="I1241" s="460" t="s">
        <v>4777</v>
      </c>
      <c r="J1241" s="495" t="s">
        <v>470</v>
      </c>
      <c r="K1241" s="496" t="s">
        <v>641</v>
      </c>
      <c r="L1241" s="497">
        <v>4.99</v>
      </c>
      <c r="M1241" s="497">
        <v>35</v>
      </c>
      <c r="N1241" s="464">
        <v>174.65</v>
      </c>
      <c r="O1241" s="498"/>
      <c r="P1241" s="431" t="s">
        <v>6711</v>
      </c>
    </row>
    <row r="1242" spans="1:16" ht="13.5" hidden="1" customHeight="1" outlineLevel="3" x14ac:dyDescent="0.2">
      <c r="A1242" s="233">
        <v>0</v>
      </c>
      <c r="B1242" s="233">
        <v>13</v>
      </c>
      <c r="C1242" s="233">
        <v>5</v>
      </c>
      <c r="D1242" s="234">
        <v>5</v>
      </c>
      <c r="E1242" s="234">
        <v>3</v>
      </c>
      <c r="G1242" s="508" t="s">
        <v>23</v>
      </c>
      <c r="H1242" s="493" t="s">
        <v>1238</v>
      </c>
      <c r="I1242" s="460" t="s">
        <v>4778</v>
      </c>
      <c r="J1242" s="495" t="s">
        <v>2934</v>
      </c>
      <c r="K1242" s="496" t="s">
        <v>641</v>
      </c>
      <c r="L1242" s="497">
        <v>20.83</v>
      </c>
      <c r="M1242" s="497">
        <v>38</v>
      </c>
      <c r="N1242" s="464">
        <v>791.54</v>
      </c>
      <c r="O1242" s="498"/>
      <c r="P1242" s="431" t="s">
        <v>6711</v>
      </c>
    </row>
    <row r="1243" spans="1:16" ht="13.5" hidden="1" customHeight="1" outlineLevel="3" x14ac:dyDescent="0.2">
      <c r="A1243" s="233">
        <v>0</v>
      </c>
      <c r="B1243" s="233">
        <v>13</v>
      </c>
      <c r="C1243" s="233">
        <v>5</v>
      </c>
      <c r="D1243" s="234">
        <v>5</v>
      </c>
      <c r="E1243" s="234">
        <v>4</v>
      </c>
      <c r="G1243" s="508" t="s">
        <v>23</v>
      </c>
      <c r="H1243" s="493" t="s">
        <v>1238</v>
      </c>
      <c r="I1243" s="460" t="s">
        <v>4779</v>
      </c>
      <c r="J1243" s="495" t="s">
        <v>2931</v>
      </c>
      <c r="K1243" s="496" t="s">
        <v>641</v>
      </c>
      <c r="L1243" s="497">
        <v>25.3</v>
      </c>
      <c r="M1243" s="497">
        <v>32</v>
      </c>
      <c r="N1243" s="464">
        <v>809.6</v>
      </c>
      <c r="O1243" s="498"/>
      <c r="P1243" s="431" t="s">
        <v>6711</v>
      </c>
    </row>
    <row r="1244" spans="1:16" ht="13.5" hidden="1" customHeight="1" outlineLevel="3" x14ac:dyDescent="0.2">
      <c r="A1244" s="233">
        <v>0</v>
      </c>
      <c r="B1244" s="233">
        <v>13</v>
      </c>
      <c r="C1244" s="233">
        <v>5</v>
      </c>
      <c r="D1244" s="234">
        <v>5</v>
      </c>
      <c r="E1244" s="234">
        <v>5</v>
      </c>
      <c r="G1244" s="508" t="s">
        <v>23</v>
      </c>
      <c r="H1244" s="493" t="s">
        <v>1238</v>
      </c>
      <c r="I1244" s="460" t="s">
        <v>4780</v>
      </c>
      <c r="J1244" s="495" t="s">
        <v>2937</v>
      </c>
      <c r="K1244" s="496" t="s">
        <v>641</v>
      </c>
      <c r="L1244" s="497">
        <v>4.99</v>
      </c>
      <c r="M1244" s="497">
        <v>35</v>
      </c>
      <c r="N1244" s="464">
        <v>174.65</v>
      </c>
      <c r="O1244" s="498"/>
      <c r="P1244" s="431" t="s">
        <v>6711</v>
      </c>
    </row>
    <row r="1245" spans="1:16" ht="13.5" hidden="1" customHeight="1" outlineLevel="3" x14ac:dyDescent="0.2">
      <c r="A1245" s="233">
        <v>0</v>
      </c>
      <c r="B1245" s="233">
        <v>13</v>
      </c>
      <c r="C1245" s="233">
        <v>5</v>
      </c>
      <c r="D1245" s="234">
        <v>5</v>
      </c>
      <c r="E1245" s="234">
        <v>6</v>
      </c>
      <c r="G1245" s="508" t="s">
        <v>23</v>
      </c>
      <c r="H1245" s="493" t="s">
        <v>1238</v>
      </c>
      <c r="I1245" s="460" t="s">
        <v>4781</v>
      </c>
      <c r="J1245" s="461" t="s">
        <v>477</v>
      </c>
      <c r="K1245" s="496" t="s">
        <v>533</v>
      </c>
      <c r="L1245" s="497">
        <v>2</v>
      </c>
      <c r="M1245" s="497">
        <v>50</v>
      </c>
      <c r="N1245" s="464">
        <v>100</v>
      </c>
      <c r="O1245" s="498"/>
      <c r="P1245" s="431" t="s">
        <v>6711</v>
      </c>
    </row>
    <row r="1246" spans="1:16" ht="13.5" hidden="1" customHeight="1" outlineLevel="1" x14ac:dyDescent="0.2">
      <c r="A1246" s="233">
        <v>0</v>
      </c>
      <c r="B1246" s="233">
        <v>13</v>
      </c>
      <c r="C1246" s="233">
        <v>6</v>
      </c>
      <c r="D1246" s="234">
        <v>0</v>
      </c>
      <c r="E1246" s="234">
        <v>6</v>
      </c>
      <c r="G1246" s="506"/>
      <c r="H1246" s="481" t="s">
        <v>38</v>
      </c>
      <c r="I1246" s="445" t="s">
        <v>4782</v>
      </c>
      <c r="J1246" s="483" t="s">
        <v>2364</v>
      </c>
      <c r="K1246" s="484"/>
      <c r="L1246" s="485"/>
      <c r="M1246" s="485"/>
      <c r="N1246" s="449">
        <v>2131.6426786666698</v>
      </c>
      <c r="O1246" s="486">
        <v>0.12726475677829299</v>
      </c>
      <c r="P1246" s="429"/>
    </row>
    <row r="1247" spans="1:16" ht="13.5" hidden="1" customHeight="1" outlineLevel="2" x14ac:dyDescent="0.2">
      <c r="A1247" s="233">
        <v>0</v>
      </c>
      <c r="B1247" s="233">
        <v>13</v>
      </c>
      <c r="C1247" s="233">
        <v>6</v>
      </c>
      <c r="D1247" s="234">
        <v>1</v>
      </c>
      <c r="E1247" s="234">
        <v>0</v>
      </c>
      <c r="G1247" s="507"/>
      <c r="H1247" s="487" t="s">
        <v>1237</v>
      </c>
      <c r="I1247" s="452" t="s">
        <v>4783</v>
      </c>
      <c r="J1247" s="489" t="s">
        <v>2318</v>
      </c>
      <c r="K1247" s="490"/>
      <c r="L1247" s="491"/>
      <c r="M1247" s="491"/>
      <c r="N1247" s="456">
        <v>1038.44264866667</v>
      </c>
      <c r="O1247" s="492"/>
      <c r="P1247" s="430"/>
    </row>
    <row r="1248" spans="1:16" ht="13.5" hidden="1" customHeight="1" outlineLevel="3" x14ac:dyDescent="0.2">
      <c r="A1248" s="233">
        <v>0</v>
      </c>
      <c r="B1248" s="233">
        <v>13</v>
      </c>
      <c r="C1248" s="233">
        <v>6</v>
      </c>
      <c r="D1248" s="234">
        <v>1</v>
      </c>
      <c r="E1248" s="234">
        <v>1</v>
      </c>
      <c r="G1248" s="508" t="s">
        <v>23</v>
      </c>
      <c r="H1248" s="493" t="s">
        <v>1238</v>
      </c>
      <c r="I1248" s="460" t="s">
        <v>4784</v>
      </c>
      <c r="J1248" s="495" t="s">
        <v>2907</v>
      </c>
      <c r="K1248" s="496" t="s">
        <v>641</v>
      </c>
      <c r="L1248" s="497">
        <v>30.490000000000002</v>
      </c>
      <c r="M1248" s="497">
        <v>34.058466666666661</v>
      </c>
      <c r="N1248" s="464">
        <v>1038.44264866667</v>
      </c>
      <c r="O1248" s="498"/>
      <c r="P1248" s="431" t="s">
        <v>6711</v>
      </c>
    </row>
    <row r="1249" spans="1:16" ht="13.5" hidden="1" customHeight="1" outlineLevel="2" x14ac:dyDescent="0.2">
      <c r="A1249" s="233">
        <v>0</v>
      </c>
      <c r="B1249" s="233">
        <v>13</v>
      </c>
      <c r="C1249" s="233">
        <v>6</v>
      </c>
      <c r="D1249" s="234">
        <v>2</v>
      </c>
      <c r="E1249" s="234">
        <v>0</v>
      </c>
      <c r="G1249" s="507"/>
      <c r="H1249" s="487" t="s">
        <v>1237</v>
      </c>
      <c r="I1249" s="452" t="s">
        <v>4785</v>
      </c>
      <c r="J1249" s="489" t="s">
        <v>2319</v>
      </c>
      <c r="K1249" s="490"/>
      <c r="L1249" s="491"/>
      <c r="M1249" s="491"/>
      <c r="N1249" s="456">
        <v>17.520029999999998</v>
      </c>
      <c r="O1249" s="492"/>
      <c r="P1249" s="430"/>
    </row>
    <row r="1250" spans="1:16" ht="13.5" hidden="1" customHeight="1" outlineLevel="3" x14ac:dyDescent="0.2">
      <c r="A1250" s="233">
        <v>0</v>
      </c>
      <c r="B1250" s="233">
        <v>13</v>
      </c>
      <c r="C1250" s="233">
        <v>6</v>
      </c>
      <c r="D1250" s="234">
        <v>2</v>
      </c>
      <c r="E1250" s="234">
        <v>1</v>
      </c>
      <c r="G1250" s="508" t="s">
        <v>23</v>
      </c>
      <c r="H1250" s="493" t="s">
        <v>1238</v>
      </c>
      <c r="I1250" s="460" t="s">
        <v>4786</v>
      </c>
      <c r="J1250" s="495" t="s">
        <v>1616</v>
      </c>
      <c r="K1250" s="496" t="s">
        <v>533</v>
      </c>
      <c r="L1250" s="497">
        <v>2</v>
      </c>
      <c r="M1250" s="497">
        <v>8.760015000000001</v>
      </c>
      <c r="N1250" s="464">
        <v>17.520029999999998</v>
      </c>
      <c r="O1250" s="498" t="s">
        <v>2943</v>
      </c>
      <c r="P1250" s="431" t="s">
        <v>6711</v>
      </c>
    </row>
    <row r="1251" spans="1:16" ht="13.5" hidden="1" customHeight="1" outlineLevel="2" x14ac:dyDescent="0.2">
      <c r="A1251" s="233">
        <v>0</v>
      </c>
      <c r="B1251" s="233">
        <v>13</v>
      </c>
      <c r="C1251" s="233">
        <v>6</v>
      </c>
      <c r="D1251" s="234">
        <v>3</v>
      </c>
      <c r="E1251" s="234">
        <v>0</v>
      </c>
      <c r="G1251" s="507"/>
      <c r="H1251" s="487" t="s">
        <v>1237</v>
      </c>
      <c r="I1251" s="452" t="s">
        <v>4787</v>
      </c>
      <c r="J1251" s="489" t="s">
        <v>1247</v>
      </c>
      <c r="K1251" s="490"/>
      <c r="L1251" s="491"/>
      <c r="M1251" s="491"/>
      <c r="N1251" s="456">
        <v>1075.68</v>
      </c>
      <c r="O1251" s="492"/>
      <c r="P1251" s="430"/>
    </row>
    <row r="1252" spans="1:16" ht="13.5" hidden="1" customHeight="1" outlineLevel="3" x14ac:dyDescent="0.2">
      <c r="A1252" s="233">
        <v>0</v>
      </c>
      <c r="B1252" s="233">
        <v>13</v>
      </c>
      <c r="C1252" s="233">
        <v>6</v>
      </c>
      <c r="D1252" s="234">
        <v>3</v>
      </c>
      <c r="E1252" s="234">
        <v>1</v>
      </c>
      <c r="G1252" s="508" t="s">
        <v>23</v>
      </c>
      <c r="H1252" s="493" t="s">
        <v>1238</v>
      </c>
      <c r="I1252" s="460" t="s">
        <v>4788</v>
      </c>
      <c r="J1252" s="495" t="s">
        <v>2931</v>
      </c>
      <c r="K1252" s="496" t="s">
        <v>641</v>
      </c>
      <c r="L1252" s="497">
        <v>30.490000000000002</v>
      </c>
      <c r="M1252" s="497">
        <v>32</v>
      </c>
      <c r="N1252" s="464">
        <v>975.68</v>
      </c>
      <c r="O1252" s="498"/>
      <c r="P1252" s="431" t="s">
        <v>6711</v>
      </c>
    </row>
    <row r="1253" spans="1:16" ht="13.5" hidden="1" customHeight="1" outlineLevel="3" x14ac:dyDescent="0.2">
      <c r="A1253" s="233">
        <v>0</v>
      </c>
      <c r="B1253" s="233">
        <v>13</v>
      </c>
      <c r="C1253" s="233">
        <v>6</v>
      </c>
      <c r="D1253" s="234">
        <v>3</v>
      </c>
      <c r="E1253" s="234">
        <v>2</v>
      </c>
      <c r="G1253" s="508" t="s">
        <v>23</v>
      </c>
      <c r="H1253" s="493" t="s">
        <v>1238</v>
      </c>
      <c r="I1253" s="460" t="s">
        <v>4789</v>
      </c>
      <c r="J1253" s="461" t="s">
        <v>477</v>
      </c>
      <c r="K1253" s="496" t="s">
        <v>533</v>
      </c>
      <c r="L1253" s="497">
        <v>2</v>
      </c>
      <c r="M1253" s="497">
        <v>50</v>
      </c>
      <c r="N1253" s="464">
        <v>100</v>
      </c>
      <c r="O1253" s="498"/>
      <c r="P1253" s="431" t="s">
        <v>6711</v>
      </c>
    </row>
    <row r="1254" spans="1:16" ht="13.5" hidden="1" customHeight="1" outlineLevel="1" x14ac:dyDescent="0.2">
      <c r="A1254" s="233">
        <v>0</v>
      </c>
      <c r="B1254" s="233">
        <v>13</v>
      </c>
      <c r="C1254" s="233">
        <v>7</v>
      </c>
      <c r="D1254" s="234">
        <v>0</v>
      </c>
      <c r="E1254" s="234">
        <v>2</v>
      </c>
      <c r="G1254" s="506"/>
      <c r="H1254" s="481" t="s">
        <v>38</v>
      </c>
      <c r="I1254" s="445" t="s">
        <v>4790</v>
      </c>
      <c r="J1254" s="483" t="s">
        <v>2365</v>
      </c>
      <c r="K1254" s="484"/>
      <c r="L1254" s="485"/>
      <c r="M1254" s="485"/>
      <c r="N1254" s="449">
        <v>157022.473058667</v>
      </c>
      <c r="O1254" s="486">
        <v>9.3746606983102705</v>
      </c>
      <c r="P1254" s="429"/>
    </row>
    <row r="1255" spans="1:16" ht="13.5" hidden="1" customHeight="1" outlineLevel="2" x14ac:dyDescent="0.2">
      <c r="A1255" s="233">
        <v>0</v>
      </c>
      <c r="B1255" s="233">
        <v>13</v>
      </c>
      <c r="C1255" s="233">
        <v>7</v>
      </c>
      <c r="D1255" s="234">
        <v>1</v>
      </c>
      <c r="E1255" s="234">
        <v>0</v>
      </c>
      <c r="G1255" s="507"/>
      <c r="H1255" s="487" t="s">
        <v>1237</v>
      </c>
      <c r="I1255" s="452" t="s">
        <v>4791</v>
      </c>
      <c r="J1255" s="489" t="s">
        <v>24</v>
      </c>
      <c r="K1255" s="490"/>
      <c r="L1255" s="491"/>
      <c r="M1255" s="491"/>
      <c r="N1255" s="456">
        <v>16197.604813</v>
      </c>
      <c r="O1255" s="492">
        <v>0.96704023500164504</v>
      </c>
      <c r="P1255" s="430"/>
    </row>
    <row r="1256" spans="1:16" ht="13.5" hidden="1" customHeight="1" outlineLevel="3" x14ac:dyDescent="0.2">
      <c r="A1256" s="233">
        <v>0</v>
      </c>
      <c r="B1256" s="233">
        <v>13</v>
      </c>
      <c r="C1256" s="233">
        <v>7</v>
      </c>
      <c r="D1256" s="234">
        <v>1</v>
      </c>
      <c r="E1256" s="234">
        <v>1</v>
      </c>
      <c r="G1256" s="508" t="s">
        <v>23</v>
      </c>
      <c r="H1256" s="493" t="s">
        <v>1238</v>
      </c>
      <c r="I1256" s="460" t="s">
        <v>4792</v>
      </c>
      <c r="J1256" s="495" t="s">
        <v>441</v>
      </c>
      <c r="K1256" s="496" t="s">
        <v>641</v>
      </c>
      <c r="L1256" s="497">
        <v>301.02000000000004</v>
      </c>
      <c r="M1256" s="497">
        <v>7.0658999999999992</v>
      </c>
      <c r="N1256" s="464">
        <v>2126.977218</v>
      </c>
      <c r="O1256" s="498" t="s">
        <v>2928</v>
      </c>
      <c r="P1256" s="431" t="s">
        <v>6711</v>
      </c>
    </row>
    <row r="1257" spans="1:16" ht="13.5" hidden="1" customHeight="1" outlineLevel="3" x14ac:dyDescent="0.2">
      <c r="A1257" s="233">
        <v>0</v>
      </c>
      <c r="B1257" s="233">
        <v>13</v>
      </c>
      <c r="C1257" s="233">
        <v>7</v>
      </c>
      <c r="D1257" s="234">
        <v>1</v>
      </c>
      <c r="E1257" s="234">
        <v>2</v>
      </c>
      <c r="G1257" s="508" t="s">
        <v>23</v>
      </c>
      <c r="H1257" s="493" t="s">
        <v>1238</v>
      </c>
      <c r="I1257" s="460" t="s">
        <v>4793</v>
      </c>
      <c r="J1257" s="495" t="s">
        <v>443</v>
      </c>
      <c r="K1257" s="496" t="s">
        <v>641</v>
      </c>
      <c r="L1257" s="497">
        <v>285.07</v>
      </c>
      <c r="M1257" s="497">
        <v>49.358499999999999</v>
      </c>
      <c r="N1257" s="464">
        <v>14070.627595</v>
      </c>
      <c r="O1257" s="498" t="s">
        <v>2929</v>
      </c>
      <c r="P1257" s="431" t="s">
        <v>6711</v>
      </c>
    </row>
    <row r="1258" spans="1:16" ht="13.5" hidden="1" customHeight="1" outlineLevel="2" x14ac:dyDescent="0.2">
      <c r="A1258" s="233">
        <v>0</v>
      </c>
      <c r="B1258" s="233">
        <v>13</v>
      </c>
      <c r="C1258" s="233">
        <v>7</v>
      </c>
      <c r="D1258" s="234">
        <v>2</v>
      </c>
      <c r="E1258" s="234">
        <v>0</v>
      </c>
      <c r="G1258" s="507"/>
      <c r="H1258" s="487" t="s">
        <v>1237</v>
      </c>
      <c r="I1258" s="452" t="s">
        <v>4794</v>
      </c>
      <c r="J1258" s="489" t="s">
        <v>2317</v>
      </c>
      <c r="K1258" s="490"/>
      <c r="L1258" s="491"/>
      <c r="M1258" s="491"/>
      <c r="N1258" s="456">
        <v>64619.94644</v>
      </c>
      <c r="O1258" s="492"/>
      <c r="P1258" s="430"/>
    </row>
    <row r="1259" spans="1:16" ht="13.5" hidden="1" customHeight="1" outlineLevel="3" x14ac:dyDescent="0.2">
      <c r="A1259" s="233">
        <v>0</v>
      </c>
      <c r="B1259" s="233">
        <v>13</v>
      </c>
      <c r="C1259" s="233">
        <v>7</v>
      </c>
      <c r="D1259" s="234">
        <v>2</v>
      </c>
      <c r="E1259" s="234">
        <v>1</v>
      </c>
      <c r="G1259" s="508" t="s">
        <v>23</v>
      </c>
      <c r="H1259" s="493" t="s">
        <v>1238</v>
      </c>
      <c r="I1259" s="460" t="s">
        <v>4795</v>
      </c>
      <c r="J1259" s="495" t="s">
        <v>2927</v>
      </c>
      <c r="K1259" s="496" t="s">
        <v>641</v>
      </c>
      <c r="L1259" s="497">
        <v>241.13</v>
      </c>
      <c r="M1259" s="497">
        <v>267.988</v>
      </c>
      <c r="N1259" s="464">
        <v>64619.94644</v>
      </c>
      <c r="O1259" s="498" t="s">
        <v>2083</v>
      </c>
      <c r="P1259" s="431" t="s">
        <v>6711</v>
      </c>
    </row>
    <row r="1260" spans="1:16" ht="13.5" hidden="1" customHeight="1" outlineLevel="2" x14ac:dyDescent="0.2">
      <c r="A1260" s="233">
        <v>0</v>
      </c>
      <c r="B1260" s="233">
        <v>13</v>
      </c>
      <c r="C1260" s="233">
        <v>7</v>
      </c>
      <c r="D1260" s="234">
        <v>3</v>
      </c>
      <c r="E1260" s="234">
        <v>0</v>
      </c>
      <c r="G1260" s="507"/>
      <c r="H1260" s="487" t="s">
        <v>1237</v>
      </c>
      <c r="I1260" s="452" t="s">
        <v>4796</v>
      </c>
      <c r="J1260" s="489" t="s">
        <v>2924</v>
      </c>
      <c r="K1260" s="490"/>
      <c r="L1260" s="491"/>
      <c r="M1260" s="491"/>
      <c r="N1260" s="456">
        <v>30639.501863666701</v>
      </c>
      <c r="O1260" s="492"/>
      <c r="P1260" s="430"/>
    </row>
    <row r="1261" spans="1:16" ht="13.5" hidden="1" customHeight="1" outlineLevel="3" x14ac:dyDescent="0.2">
      <c r="A1261" s="233">
        <v>0</v>
      </c>
      <c r="B1261" s="233">
        <v>13</v>
      </c>
      <c r="C1261" s="233">
        <v>7</v>
      </c>
      <c r="D1261" s="234">
        <v>3</v>
      </c>
      <c r="E1261" s="234">
        <v>1</v>
      </c>
      <c r="G1261" s="508" t="s">
        <v>23</v>
      </c>
      <c r="H1261" s="493" t="s">
        <v>1238</v>
      </c>
      <c r="I1261" s="460" t="s">
        <v>4797</v>
      </c>
      <c r="J1261" s="495" t="s">
        <v>2907</v>
      </c>
      <c r="K1261" s="496" t="s">
        <v>641</v>
      </c>
      <c r="L1261" s="497">
        <v>26.41</v>
      </c>
      <c r="M1261" s="497">
        <v>34.058466666666661</v>
      </c>
      <c r="N1261" s="464">
        <v>899.48410466666701</v>
      </c>
      <c r="O1261" s="498" t="s">
        <v>2916</v>
      </c>
      <c r="P1261" s="431" t="s">
        <v>6711</v>
      </c>
    </row>
    <row r="1262" spans="1:16" ht="13.5" hidden="1" customHeight="1" outlineLevel="3" x14ac:dyDescent="0.2">
      <c r="A1262" s="233">
        <v>0</v>
      </c>
      <c r="B1262" s="233">
        <v>13</v>
      </c>
      <c r="C1262" s="233">
        <v>7</v>
      </c>
      <c r="D1262" s="234">
        <v>3</v>
      </c>
      <c r="E1262" s="234">
        <v>2</v>
      </c>
      <c r="G1262" s="508" t="s">
        <v>23</v>
      </c>
      <c r="H1262" s="493" t="s">
        <v>1238</v>
      </c>
      <c r="I1262" s="460" t="s">
        <v>4798</v>
      </c>
      <c r="J1262" s="495" t="s">
        <v>2910</v>
      </c>
      <c r="K1262" s="496" t="s">
        <v>641</v>
      </c>
      <c r="L1262" s="497">
        <v>48.03</v>
      </c>
      <c r="M1262" s="497">
        <v>148.89179999999999</v>
      </c>
      <c r="N1262" s="464">
        <v>7151.2731540000004</v>
      </c>
      <c r="O1262" s="498" t="s">
        <v>2917</v>
      </c>
      <c r="P1262" s="431" t="s">
        <v>6711</v>
      </c>
    </row>
    <row r="1263" spans="1:16" ht="13.5" hidden="1" customHeight="1" outlineLevel="3" x14ac:dyDescent="0.2">
      <c r="A1263" s="233">
        <v>0</v>
      </c>
      <c r="B1263" s="233">
        <v>13</v>
      </c>
      <c r="C1263" s="233">
        <v>7</v>
      </c>
      <c r="D1263" s="234">
        <v>3</v>
      </c>
      <c r="E1263" s="234">
        <v>3</v>
      </c>
      <c r="G1263" s="508" t="s">
        <v>23</v>
      </c>
      <c r="H1263" s="493" t="s">
        <v>1238</v>
      </c>
      <c r="I1263" s="460" t="s">
        <v>4799</v>
      </c>
      <c r="J1263" s="495" t="s">
        <v>2912</v>
      </c>
      <c r="K1263" s="496" t="s">
        <v>641</v>
      </c>
      <c r="L1263" s="497">
        <v>169.60999999999999</v>
      </c>
      <c r="M1263" s="497">
        <v>133.18049999999999</v>
      </c>
      <c r="N1263" s="464">
        <v>22588.744605</v>
      </c>
      <c r="O1263" s="498" t="s">
        <v>2920</v>
      </c>
      <c r="P1263" s="431" t="s">
        <v>6711</v>
      </c>
    </row>
    <row r="1264" spans="1:16" ht="13.5" hidden="1" customHeight="1" outlineLevel="2" x14ac:dyDescent="0.2">
      <c r="A1264" s="233">
        <v>0</v>
      </c>
      <c r="B1264" s="233">
        <v>13</v>
      </c>
      <c r="C1264" s="233">
        <v>7</v>
      </c>
      <c r="D1264" s="234">
        <v>4</v>
      </c>
      <c r="E1264" s="234">
        <v>0</v>
      </c>
      <c r="G1264" s="507"/>
      <c r="H1264" s="487" t="s">
        <v>1237</v>
      </c>
      <c r="I1264" s="452" t="s">
        <v>4800</v>
      </c>
      <c r="J1264" s="489" t="s">
        <v>2318</v>
      </c>
      <c r="K1264" s="490"/>
      <c r="L1264" s="491"/>
      <c r="M1264" s="491"/>
      <c r="N1264" s="456">
        <v>1213.843752</v>
      </c>
      <c r="O1264" s="492"/>
      <c r="P1264" s="430"/>
    </row>
    <row r="1265" spans="1:16" ht="13.5" hidden="1" customHeight="1" outlineLevel="3" x14ac:dyDescent="0.2">
      <c r="A1265" s="233">
        <v>0</v>
      </c>
      <c r="B1265" s="233">
        <v>13</v>
      </c>
      <c r="C1265" s="233">
        <v>7</v>
      </c>
      <c r="D1265" s="234">
        <v>4</v>
      </c>
      <c r="E1265" s="234">
        <v>1</v>
      </c>
      <c r="G1265" s="508" t="s">
        <v>23</v>
      </c>
      <c r="H1265" s="493" t="s">
        <v>1238</v>
      </c>
      <c r="I1265" s="460" t="s">
        <v>4801</v>
      </c>
      <c r="J1265" s="495" t="s">
        <v>2907</v>
      </c>
      <c r="K1265" s="496" t="s">
        <v>641</v>
      </c>
      <c r="L1265" s="497">
        <v>35.64</v>
      </c>
      <c r="M1265" s="497">
        <v>34.058466666666661</v>
      </c>
      <c r="N1265" s="464">
        <v>1213.843752</v>
      </c>
      <c r="O1265" s="498"/>
      <c r="P1265" s="431" t="s">
        <v>6711</v>
      </c>
    </row>
    <row r="1266" spans="1:16" ht="13.5" hidden="1" customHeight="1" outlineLevel="2" x14ac:dyDescent="0.2">
      <c r="A1266" s="233">
        <v>0</v>
      </c>
      <c r="B1266" s="233">
        <v>13</v>
      </c>
      <c r="C1266" s="233">
        <v>7</v>
      </c>
      <c r="D1266" s="234">
        <v>5</v>
      </c>
      <c r="E1266" s="234">
        <v>0</v>
      </c>
      <c r="G1266" s="507"/>
      <c r="H1266" s="487" t="s">
        <v>1237</v>
      </c>
      <c r="I1266" s="452" t="s">
        <v>4802</v>
      </c>
      <c r="J1266" s="489" t="s">
        <v>2319</v>
      </c>
      <c r="K1266" s="490"/>
      <c r="L1266" s="491"/>
      <c r="M1266" s="491"/>
      <c r="N1266" s="456">
        <v>70.080119999999994</v>
      </c>
      <c r="O1266" s="492"/>
      <c r="P1266" s="430"/>
    </row>
    <row r="1267" spans="1:16" ht="13.5" hidden="1" customHeight="1" outlineLevel="3" x14ac:dyDescent="0.2">
      <c r="A1267" s="233">
        <v>0</v>
      </c>
      <c r="B1267" s="233">
        <v>13</v>
      </c>
      <c r="C1267" s="233">
        <v>7</v>
      </c>
      <c r="D1267" s="234">
        <v>5</v>
      </c>
      <c r="E1267" s="234">
        <v>1</v>
      </c>
      <c r="G1267" s="508" t="s">
        <v>23</v>
      </c>
      <c r="H1267" s="493" t="s">
        <v>1238</v>
      </c>
      <c r="I1267" s="460" t="s">
        <v>4803</v>
      </c>
      <c r="J1267" s="495" t="s">
        <v>1616</v>
      </c>
      <c r="K1267" s="496" t="s">
        <v>533</v>
      </c>
      <c r="L1267" s="497">
        <v>8</v>
      </c>
      <c r="M1267" s="497">
        <v>8.760015000000001</v>
      </c>
      <c r="N1267" s="464">
        <v>70.080119999999994</v>
      </c>
      <c r="O1267" s="498" t="s">
        <v>2943</v>
      </c>
      <c r="P1267" s="431" t="s">
        <v>6711</v>
      </c>
    </row>
    <row r="1268" spans="1:16" ht="13.5" hidden="1" customHeight="1" outlineLevel="2" x14ac:dyDescent="0.2">
      <c r="A1268" s="233">
        <v>0</v>
      </c>
      <c r="B1268" s="233">
        <v>13</v>
      </c>
      <c r="C1268" s="233">
        <v>7</v>
      </c>
      <c r="D1268" s="234">
        <v>6</v>
      </c>
      <c r="E1268" s="234">
        <v>0</v>
      </c>
      <c r="G1268" s="507"/>
      <c r="H1268" s="487" t="s">
        <v>1237</v>
      </c>
      <c r="I1268" s="452" t="s">
        <v>4804</v>
      </c>
      <c r="J1268" s="489" t="s">
        <v>2922</v>
      </c>
      <c r="K1268" s="490"/>
      <c r="L1268" s="491"/>
      <c r="M1268" s="491"/>
      <c r="N1268" s="456">
        <v>1039.9760699999999</v>
      </c>
      <c r="O1268" s="492"/>
      <c r="P1268" s="430"/>
    </row>
    <row r="1269" spans="1:16" ht="13.5" hidden="1" customHeight="1" outlineLevel="3" x14ac:dyDescent="0.2">
      <c r="A1269" s="233">
        <v>0</v>
      </c>
      <c r="B1269" s="233">
        <v>13</v>
      </c>
      <c r="C1269" s="233">
        <v>7</v>
      </c>
      <c r="D1269" s="234">
        <v>6</v>
      </c>
      <c r="E1269" s="234">
        <v>1</v>
      </c>
      <c r="G1269" s="508" t="s">
        <v>23</v>
      </c>
      <c r="H1269" s="493" t="s">
        <v>1238</v>
      </c>
      <c r="I1269" s="460" t="s">
        <v>4805</v>
      </c>
      <c r="J1269" s="495" t="s">
        <v>2913</v>
      </c>
      <c r="K1269" s="496" t="s">
        <v>641</v>
      </c>
      <c r="L1269" s="497">
        <v>5.7399999999999993</v>
      </c>
      <c r="M1269" s="497">
        <v>181.18049999999999</v>
      </c>
      <c r="N1269" s="464">
        <v>1039.9760699999999</v>
      </c>
      <c r="O1269" s="498" t="s">
        <v>2923</v>
      </c>
      <c r="P1269" s="431" t="s">
        <v>6711</v>
      </c>
    </row>
    <row r="1270" spans="1:16" ht="13.5" hidden="1" customHeight="1" outlineLevel="2" x14ac:dyDescent="0.2">
      <c r="A1270" s="233">
        <v>0</v>
      </c>
      <c r="B1270" s="233">
        <v>13</v>
      </c>
      <c r="C1270" s="233">
        <v>7</v>
      </c>
      <c r="D1270" s="234">
        <v>7</v>
      </c>
      <c r="E1270" s="234">
        <v>0</v>
      </c>
      <c r="G1270" s="507"/>
      <c r="H1270" s="487" t="s">
        <v>1237</v>
      </c>
      <c r="I1270" s="452" t="s">
        <v>4806</v>
      </c>
      <c r="J1270" s="489" t="s">
        <v>1247</v>
      </c>
      <c r="K1270" s="490"/>
      <c r="L1270" s="491"/>
      <c r="M1270" s="491"/>
      <c r="N1270" s="456">
        <v>43241.52</v>
      </c>
      <c r="O1270" s="492"/>
      <c r="P1270" s="430"/>
    </row>
    <row r="1271" spans="1:16" ht="13.5" hidden="1" customHeight="1" outlineLevel="3" x14ac:dyDescent="0.2">
      <c r="A1271" s="233">
        <v>0</v>
      </c>
      <c r="B1271" s="233">
        <v>13</v>
      </c>
      <c r="C1271" s="233">
        <v>7</v>
      </c>
      <c r="D1271" s="234">
        <v>7</v>
      </c>
      <c r="E1271" s="234">
        <v>1</v>
      </c>
      <c r="G1271" s="508" t="s">
        <v>23</v>
      </c>
      <c r="H1271" s="493" t="s">
        <v>1238</v>
      </c>
      <c r="I1271" s="460" t="s">
        <v>4807</v>
      </c>
      <c r="J1271" s="495" t="s">
        <v>469</v>
      </c>
      <c r="K1271" s="496" t="s">
        <v>641</v>
      </c>
      <c r="L1271" s="497">
        <v>301.02000000000004</v>
      </c>
      <c r="M1271" s="497">
        <v>20</v>
      </c>
      <c r="N1271" s="464">
        <v>6020.4</v>
      </c>
      <c r="O1271" s="498"/>
      <c r="P1271" s="431" t="s">
        <v>6711</v>
      </c>
    </row>
    <row r="1272" spans="1:16" ht="13.5" hidden="1" customHeight="1" outlineLevel="3" x14ac:dyDescent="0.2">
      <c r="A1272" s="233">
        <v>0</v>
      </c>
      <c r="B1272" s="233">
        <v>13</v>
      </c>
      <c r="C1272" s="233">
        <v>7</v>
      </c>
      <c r="D1272" s="234">
        <v>7</v>
      </c>
      <c r="E1272" s="234">
        <v>2</v>
      </c>
      <c r="G1272" s="508" t="s">
        <v>23</v>
      </c>
      <c r="H1272" s="493" t="s">
        <v>1238</v>
      </c>
      <c r="I1272" s="460" t="s">
        <v>4808</v>
      </c>
      <c r="J1272" s="495" t="s">
        <v>470</v>
      </c>
      <c r="K1272" s="496" t="s">
        <v>641</v>
      </c>
      <c r="L1272" s="497">
        <v>285.07</v>
      </c>
      <c r="M1272" s="497">
        <v>35</v>
      </c>
      <c r="N1272" s="464">
        <v>9977.4500000000007</v>
      </c>
      <c r="O1272" s="498"/>
      <c r="P1272" s="431" t="s">
        <v>6711</v>
      </c>
    </row>
    <row r="1273" spans="1:16" ht="13.5" hidden="1" customHeight="1" outlineLevel="3" x14ac:dyDescent="0.2">
      <c r="A1273" s="233">
        <v>0</v>
      </c>
      <c r="B1273" s="233">
        <v>13</v>
      </c>
      <c r="C1273" s="233">
        <v>7</v>
      </c>
      <c r="D1273" s="234">
        <v>7</v>
      </c>
      <c r="E1273" s="234">
        <v>3</v>
      </c>
      <c r="G1273" s="508" t="s">
        <v>23</v>
      </c>
      <c r="H1273" s="493" t="s">
        <v>1238</v>
      </c>
      <c r="I1273" s="460" t="s">
        <v>4809</v>
      </c>
      <c r="J1273" s="495" t="s">
        <v>2931</v>
      </c>
      <c r="K1273" s="496" t="s">
        <v>641</v>
      </c>
      <c r="L1273" s="497">
        <v>62.05</v>
      </c>
      <c r="M1273" s="497">
        <v>32</v>
      </c>
      <c r="N1273" s="464">
        <v>1985.6</v>
      </c>
      <c r="O1273" s="498"/>
      <c r="P1273" s="431" t="s">
        <v>6711</v>
      </c>
    </row>
    <row r="1274" spans="1:16" ht="13.5" hidden="1" customHeight="1" outlineLevel="3" x14ac:dyDescent="0.2">
      <c r="A1274" s="233">
        <v>0</v>
      </c>
      <c r="B1274" s="233">
        <v>13</v>
      </c>
      <c r="C1274" s="233">
        <v>7</v>
      </c>
      <c r="D1274" s="234">
        <v>7</v>
      </c>
      <c r="E1274" s="234">
        <v>4</v>
      </c>
      <c r="G1274" s="508" t="s">
        <v>23</v>
      </c>
      <c r="H1274" s="493" t="s">
        <v>1238</v>
      </c>
      <c r="I1274" s="460" t="s">
        <v>4810</v>
      </c>
      <c r="J1274" s="495" t="s">
        <v>2935</v>
      </c>
      <c r="K1274" s="496" t="s">
        <v>641</v>
      </c>
      <c r="L1274" s="497">
        <v>169.60999999999999</v>
      </c>
      <c r="M1274" s="497">
        <v>45</v>
      </c>
      <c r="N1274" s="464">
        <v>7632.45</v>
      </c>
      <c r="O1274" s="498"/>
      <c r="P1274" s="431" t="s">
        <v>6711</v>
      </c>
    </row>
    <row r="1275" spans="1:16" ht="13.5" hidden="1" customHeight="1" outlineLevel="3" x14ac:dyDescent="0.2">
      <c r="A1275" s="233">
        <v>0</v>
      </c>
      <c r="B1275" s="233">
        <v>13</v>
      </c>
      <c r="C1275" s="233">
        <v>7</v>
      </c>
      <c r="D1275" s="234">
        <v>7</v>
      </c>
      <c r="E1275" s="234">
        <v>5</v>
      </c>
      <c r="G1275" s="508" t="s">
        <v>23</v>
      </c>
      <c r="H1275" s="493" t="s">
        <v>1238</v>
      </c>
      <c r="I1275" s="460" t="s">
        <v>4811</v>
      </c>
      <c r="J1275" s="495" t="s">
        <v>2932</v>
      </c>
      <c r="K1275" s="496" t="s">
        <v>641</v>
      </c>
      <c r="L1275" s="497">
        <v>5.7399999999999993</v>
      </c>
      <c r="M1275" s="497">
        <v>45</v>
      </c>
      <c r="N1275" s="464">
        <v>258.3</v>
      </c>
      <c r="O1275" s="498"/>
      <c r="P1275" s="431" t="s">
        <v>6711</v>
      </c>
    </row>
    <row r="1276" spans="1:16" ht="13.5" hidden="1" customHeight="1" outlineLevel="3" x14ac:dyDescent="0.2">
      <c r="A1276" s="233">
        <v>0</v>
      </c>
      <c r="B1276" s="233">
        <v>13</v>
      </c>
      <c r="C1276" s="233">
        <v>7</v>
      </c>
      <c r="D1276" s="234">
        <v>7</v>
      </c>
      <c r="E1276" s="234">
        <v>6</v>
      </c>
      <c r="G1276" s="508" t="s">
        <v>23</v>
      </c>
      <c r="H1276" s="493" t="s">
        <v>1238</v>
      </c>
      <c r="I1276" s="460" t="s">
        <v>4812</v>
      </c>
      <c r="J1276" s="495" t="s">
        <v>2936</v>
      </c>
      <c r="K1276" s="496" t="s">
        <v>641</v>
      </c>
      <c r="L1276" s="497">
        <v>241.13</v>
      </c>
      <c r="M1276" s="497">
        <v>62</v>
      </c>
      <c r="N1276" s="464">
        <v>14950.06</v>
      </c>
      <c r="O1276" s="498"/>
      <c r="P1276" s="431" t="s">
        <v>6711</v>
      </c>
    </row>
    <row r="1277" spans="1:16" ht="13.5" hidden="1" customHeight="1" outlineLevel="3" x14ac:dyDescent="0.2">
      <c r="A1277" s="233">
        <v>0</v>
      </c>
      <c r="B1277" s="233">
        <v>13</v>
      </c>
      <c r="C1277" s="233">
        <v>7</v>
      </c>
      <c r="D1277" s="234">
        <v>7</v>
      </c>
      <c r="E1277" s="234">
        <v>7</v>
      </c>
      <c r="G1277" s="508" t="s">
        <v>23</v>
      </c>
      <c r="H1277" s="493" t="s">
        <v>1238</v>
      </c>
      <c r="I1277" s="460" t="s">
        <v>4813</v>
      </c>
      <c r="J1277" s="495" t="s">
        <v>2938</v>
      </c>
      <c r="K1277" s="496" t="s">
        <v>641</v>
      </c>
      <c r="L1277" s="497">
        <v>48.03</v>
      </c>
      <c r="M1277" s="497">
        <v>42</v>
      </c>
      <c r="N1277" s="464">
        <v>2017.26</v>
      </c>
      <c r="O1277" s="498"/>
      <c r="P1277" s="431" t="s">
        <v>6711</v>
      </c>
    </row>
    <row r="1278" spans="1:16" ht="13.5" hidden="1" customHeight="1" outlineLevel="3" x14ac:dyDescent="0.2">
      <c r="A1278" s="233">
        <v>0</v>
      </c>
      <c r="B1278" s="233">
        <v>13</v>
      </c>
      <c r="C1278" s="233">
        <v>7</v>
      </c>
      <c r="D1278" s="234">
        <v>7</v>
      </c>
      <c r="E1278" s="234">
        <v>8</v>
      </c>
      <c r="G1278" s="508" t="s">
        <v>23</v>
      </c>
      <c r="H1278" s="493" t="s">
        <v>1238</v>
      </c>
      <c r="I1278" s="460" t="s">
        <v>4814</v>
      </c>
      <c r="J1278" s="461" t="s">
        <v>477</v>
      </c>
      <c r="K1278" s="496" t="s">
        <v>533</v>
      </c>
      <c r="L1278" s="497">
        <v>8</v>
      </c>
      <c r="M1278" s="497">
        <v>50</v>
      </c>
      <c r="N1278" s="464">
        <v>400</v>
      </c>
      <c r="O1278" s="498"/>
      <c r="P1278" s="431" t="s">
        <v>6711</v>
      </c>
    </row>
    <row r="1279" spans="1:16" ht="13.5" hidden="1" customHeight="1" outlineLevel="1" x14ac:dyDescent="0.2">
      <c r="A1279" s="233">
        <v>0</v>
      </c>
      <c r="B1279" s="233">
        <v>13</v>
      </c>
      <c r="C1279" s="233">
        <v>8</v>
      </c>
      <c r="D1279" s="234">
        <v>0</v>
      </c>
      <c r="E1279" s="234">
        <v>8</v>
      </c>
      <c r="G1279" s="506"/>
      <c r="H1279" s="481" t="s">
        <v>38</v>
      </c>
      <c r="I1279" s="445" t="s">
        <v>4815</v>
      </c>
      <c r="J1279" s="483" t="s">
        <v>2366</v>
      </c>
      <c r="K1279" s="484"/>
      <c r="L1279" s="485"/>
      <c r="M1279" s="485"/>
      <c r="N1279" s="449">
        <v>131918.56087433299</v>
      </c>
      <c r="O1279" s="486">
        <v>7.8758901443630398</v>
      </c>
      <c r="P1279" s="429"/>
    </row>
    <row r="1280" spans="1:16" ht="13.5" hidden="1" customHeight="1" outlineLevel="2" x14ac:dyDescent="0.2">
      <c r="A1280" s="233">
        <v>0</v>
      </c>
      <c r="B1280" s="233">
        <v>13</v>
      </c>
      <c r="C1280" s="233">
        <v>8</v>
      </c>
      <c r="D1280" s="234">
        <v>1</v>
      </c>
      <c r="E1280" s="234">
        <v>0</v>
      </c>
      <c r="G1280" s="507"/>
      <c r="H1280" s="487" t="s">
        <v>1237</v>
      </c>
      <c r="I1280" s="452" t="s">
        <v>4816</v>
      </c>
      <c r="J1280" s="489" t="s">
        <v>24</v>
      </c>
      <c r="K1280" s="490"/>
      <c r="L1280" s="491"/>
      <c r="M1280" s="491"/>
      <c r="N1280" s="456">
        <v>19906.993666999999</v>
      </c>
      <c r="O1280" s="492">
        <v>1.1885006490874099</v>
      </c>
      <c r="P1280" s="430"/>
    </row>
    <row r="1281" spans="1:16" ht="13.5" hidden="1" customHeight="1" outlineLevel="3" x14ac:dyDescent="0.2">
      <c r="A1281" s="233">
        <v>0</v>
      </c>
      <c r="B1281" s="233">
        <v>13</v>
      </c>
      <c r="C1281" s="233">
        <v>8</v>
      </c>
      <c r="D1281" s="234">
        <v>1</v>
      </c>
      <c r="E1281" s="234">
        <v>1</v>
      </c>
      <c r="G1281" s="508" t="s">
        <v>23</v>
      </c>
      <c r="H1281" s="493" t="s">
        <v>1238</v>
      </c>
      <c r="I1281" s="460" t="s">
        <v>4817</v>
      </c>
      <c r="J1281" s="495" t="s">
        <v>441</v>
      </c>
      <c r="K1281" s="496" t="s">
        <v>641</v>
      </c>
      <c r="L1281" s="497">
        <v>360.48</v>
      </c>
      <c r="M1281" s="497">
        <v>7.0658999999999992</v>
      </c>
      <c r="N1281" s="464">
        <v>2547.115632</v>
      </c>
      <c r="O1281" s="498" t="s">
        <v>2928</v>
      </c>
      <c r="P1281" s="431" t="s">
        <v>6711</v>
      </c>
    </row>
    <row r="1282" spans="1:16" ht="13.5" hidden="1" customHeight="1" outlineLevel="3" x14ac:dyDescent="0.2">
      <c r="A1282" s="233">
        <v>0</v>
      </c>
      <c r="B1282" s="233">
        <v>13</v>
      </c>
      <c r="C1282" s="233">
        <v>8</v>
      </c>
      <c r="D1282" s="234">
        <v>1</v>
      </c>
      <c r="E1282" s="234">
        <v>2</v>
      </c>
      <c r="G1282" s="508" t="s">
        <v>23</v>
      </c>
      <c r="H1282" s="493" t="s">
        <v>1238</v>
      </c>
      <c r="I1282" s="460" t="s">
        <v>4818</v>
      </c>
      <c r="J1282" s="495" t="s">
        <v>443</v>
      </c>
      <c r="K1282" s="496" t="s">
        <v>641</v>
      </c>
      <c r="L1282" s="497">
        <v>351.71000000000004</v>
      </c>
      <c r="M1282" s="497">
        <v>49.358499999999999</v>
      </c>
      <c r="N1282" s="464">
        <v>17359.878035000002</v>
      </c>
      <c r="O1282" s="498" t="s">
        <v>2929</v>
      </c>
      <c r="P1282" s="431" t="s">
        <v>6711</v>
      </c>
    </row>
    <row r="1283" spans="1:16" ht="13.5" hidden="1" customHeight="1" outlineLevel="2" x14ac:dyDescent="0.2">
      <c r="A1283" s="233">
        <v>0</v>
      </c>
      <c r="B1283" s="233">
        <v>13</v>
      </c>
      <c r="C1283" s="233">
        <v>8</v>
      </c>
      <c r="D1283" s="234">
        <v>2</v>
      </c>
      <c r="E1283" s="234">
        <v>0</v>
      </c>
      <c r="G1283" s="507"/>
      <c r="H1283" s="487" t="s">
        <v>1237</v>
      </c>
      <c r="I1283" s="452" t="s">
        <v>4819</v>
      </c>
      <c r="J1283" s="489" t="s">
        <v>2924</v>
      </c>
      <c r="K1283" s="490"/>
      <c r="L1283" s="491"/>
      <c r="M1283" s="491"/>
      <c r="N1283" s="456">
        <v>16717.790313666701</v>
      </c>
      <c r="O1283" s="492"/>
      <c r="P1283" s="430"/>
    </row>
    <row r="1284" spans="1:16" ht="13.5" hidden="1" customHeight="1" outlineLevel="3" x14ac:dyDescent="0.2">
      <c r="A1284" s="233">
        <v>0</v>
      </c>
      <c r="B1284" s="233">
        <v>13</v>
      </c>
      <c r="C1284" s="233">
        <v>8</v>
      </c>
      <c r="D1284" s="234">
        <v>2</v>
      </c>
      <c r="E1284" s="234">
        <v>1</v>
      </c>
      <c r="G1284" s="508" t="s">
        <v>23</v>
      </c>
      <c r="H1284" s="493" t="s">
        <v>1238</v>
      </c>
      <c r="I1284" s="460" t="s">
        <v>4820</v>
      </c>
      <c r="J1284" s="495" t="s">
        <v>2907</v>
      </c>
      <c r="K1284" s="496" t="s">
        <v>641</v>
      </c>
      <c r="L1284" s="497">
        <v>21.34</v>
      </c>
      <c r="M1284" s="497">
        <v>34.058466666666661</v>
      </c>
      <c r="N1284" s="464">
        <v>726.80767866666702</v>
      </c>
      <c r="O1284" s="498" t="s">
        <v>2916</v>
      </c>
      <c r="P1284" s="431" t="s">
        <v>6711</v>
      </c>
    </row>
    <row r="1285" spans="1:16" ht="13.5" hidden="1" customHeight="1" outlineLevel="3" x14ac:dyDescent="0.2">
      <c r="A1285" s="233">
        <v>0</v>
      </c>
      <c r="B1285" s="233">
        <v>13</v>
      </c>
      <c r="C1285" s="233">
        <v>8</v>
      </c>
      <c r="D1285" s="234">
        <v>2</v>
      </c>
      <c r="E1285" s="234">
        <v>2</v>
      </c>
      <c r="G1285" s="508" t="s">
        <v>23</v>
      </c>
      <c r="H1285" s="493" t="s">
        <v>1238</v>
      </c>
      <c r="I1285" s="460" t="s">
        <v>4821</v>
      </c>
      <c r="J1285" s="495" t="s">
        <v>2912</v>
      </c>
      <c r="K1285" s="496" t="s">
        <v>641</v>
      </c>
      <c r="L1285" s="497">
        <v>120.07000000000001</v>
      </c>
      <c r="M1285" s="497">
        <v>133.18049999999999</v>
      </c>
      <c r="N1285" s="464">
        <v>15990.982635</v>
      </c>
      <c r="O1285" s="498" t="s">
        <v>2920</v>
      </c>
      <c r="P1285" s="431" t="s">
        <v>6711</v>
      </c>
    </row>
    <row r="1286" spans="1:16" ht="13.5" hidden="1" customHeight="1" outlineLevel="2" x14ac:dyDescent="0.2">
      <c r="A1286" s="233">
        <v>0</v>
      </c>
      <c r="B1286" s="233">
        <v>13</v>
      </c>
      <c r="C1286" s="233">
        <v>8</v>
      </c>
      <c r="D1286" s="234">
        <v>3</v>
      </c>
      <c r="E1286" s="234">
        <v>0</v>
      </c>
      <c r="G1286" s="507"/>
      <c r="H1286" s="487" t="s">
        <v>1237</v>
      </c>
      <c r="I1286" s="452" t="s">
        <v>4822</v>
      </c>
      <c r="J1286" s="489" t="s">
        <v>2318</v>
      </c>
      <c r="K1286" s="490"/>
      <c r="L1286" s="491"/>
      <c r="M1286" s="491"/>
      <c r="N1286" s="456">
        <v>777.89537866666603</v>
      </c>
      <c r="O1286" s="492"/>
      <c r="P1286" s="430"/>
    </row>
    <row r="1287" spans="1:16" ht="13.5" hidden="1" customHeight="1" outlineLevel="3" x14ac:dyDescent="0.2">
      <c r="A1287" s="233">
        <v>0</v>
      </c>
      <c r="B1287" s="233">
        <v>13</v>
      </c>
      <c r="C1287" s="233">
        <v>8</v>
      </c>
      <c r="D1287" s="234">
        <v>3</v>
      </c>
      <c r="E1287" s="234">
        <v>1</v>
      </c>
      <c r="G1287" s="508" t="s">
        <v>23</v>
      </c>
      <c r="H1287" s="493" t="s">
        <v>1238</v>
      </c>
      <c r="I1287" s="460" t="s">
        <v>4823</v>
      </c>
      <c r="J1287" s="495" t="s">
        <v>2907</v>
      </c>
      <c r="K1287" s="496" t="s">
        <v>641</v>
      </c>
      <c r="L1287" s="497">
        <v>22.84</v>
      </c>
      <c r="M1287" s="497">
        <v>34.058466666666661</v>
      </c>
      <c r="N1287" s="464">
        <v>777.89537866666603</v>
      </c>
      <c r="O1287" s="498"/>
      <c r="P1287" s="431" t="s">
        <v>6711</v>
      </c>
    </row>
    <row r="1288" spans="1:16" ht="13.5" hidden="1" customHeight="1" outlineLevel="2" x14ac:dyDescent="0.2">
      <c r="A1288" s="233">
        <v>0</v>
      </c>
      <c r="B1288" s="233">
        <v>13</v>
      </c>
      <c r="C1288" s="233">
        <v>8</v>
      </c>
      <c r="D1288" s="234">
        <v>4</v>
      </c>
      <c r="E1288" s="234">
        <v>0</v>
      </c>
      <c r="G1288" s="507"/>
      <c r="H1288" s="487" t="s">
        <v>1237</v>
      </c>
      <c r="I1288" s="452" t="s">
        <v>4824</v>
      </c>
      <c r="J1288" s="489" t="s">
        <v>2319</v>
      </c>
      <c r="K1288" s="490"/>
      <c r="L1288" s="491"/>
      <c r="M1288" s="491"/>
      <c r="N1288" s="456">
        <v>61.320104999999998</v>
      </c>
      <c r="O1288" s="492"/>
      <c r="P1288" s="430"/>
    </row>
    <row r="1289" spans="1:16" ht="13.5" hidden="1" customHeight="1" outlineLevel="3" x14ac:dyDescent="0.2">
      <c r="A1289" s="233">
        <v>0</v>
      </c>
      <c r="B1289" s="233">
        <v>13</v>
      </c>
      <c r="C1289" s="233">
        <v>8</v>
      </c>
      <c r="D1289" s="234">
        <v>4</v>
      </c>
      <c r="E1289" s="234">
        <v>1</v>
      </c>
      <c r="G1289" s="508" t="s">
        <v>23</v>
      </c>
      <c r="H1289" s="493" t="s">
        <v>1238</v>
      </c>
      <c r="I1289" s="460" t="s">
        <v>4825</v>
      </c>
      <c r="J1289" s="495" t="s">
        <v>1616</v>
      </c>
      <c r="K1289" s="496" t="s">
        <v>533</v>
      </c>
      <c r="L1289" s="497">
        <v>7</v>
      </c>
      <c r="M1289" s="497">
        <v>8.760015000000001</v>
      </c>
      <c r="N1289" s="464">
        <v>61.320104999999998</v>
      </c>
      <c r="O1289" s="498" t="s">
        <v>2943</v>
      </c>
      <c r="P1289" s="431" t="s">
        <v>6711</v>
      </c>
    </row>
    <row r="1290" spans="1:16" ht="13.5" hidden="1" customHeight="1" outlineLevel="2" x14ac:dyDescent="0.2">
      <c r="A1290" s="233">
        <v>0</v>
      </c>
      <c r="B1290" s="233">
        <v>13</v>
      </c>
      <c r="C1290" s="233">
        <v>8</v>
      </c>
      <c r="D1290" s="234">
        <v>5</v>
      </c>
      <c r="E1290" s="234">
        <v>0</v>
      </c>
      <c r="G1290" s="507"/>
      <c r="H1290" s="487" t="s">
        <v>1237</v>
      </c>
      <c r="I1290" s="452" t="s">
        <v>4826</v>
      </c>
      <c r="J1290" s="489" t="s">
        <v>2922</v>
      </c>
      <c r="K1290" s="490"/>
      <c r="L1290" s="491"/>
      <c r="M1290" s="491"/>
      <c r="N1290" s="456">
        <v>54285.30141</v>
      </c>
      <c r="O1290" s="492"/>
      <c r="P1290" s="430"/>
    </row>
    <row r="1291" spans="1:16" ht="13.5" hidden="1" customHeight="1" outlineLevel="3" x14ac:dyDescent="0.2">
      <c r="A1291" s="233">
        <v>0</v>
      </c>
      <c r="B1291" s="233">
        <v>13</v>
      </c>
      <c r="C1291" s="233">
        <v>8</v>
      </c>
      <c r="D1291" s="234">
        <v>5</v>
      </c>
      <c r="E1291" s="234">
        <v>1</v>
      </c>
      <c r="G1291" s="508" t="s">
        <v>23</v>
      </c>
      <c r="H1291" s="493" t="s">
        <v>1238</v>
      </c>
      <c r="I1291" s="460" t="s">
        <v>4827</v>
      </c>
      <c r="J1291" s="495" t="s">
        <v>2913</v>
      </c>
      <c r="K1291" s="496" t="s">
        <v>641</v>
      </c>
      <c r="L1291" s="497">
        <v>299.62</v>
      </c>
      <c r="M1291" s="497">
        <v>181.18049999999999</v>
      </c>
      <c r="N1291" s="464">
        <v>54285.30141</v>
      </c>
      <c r="O1291" s="498" t="s">
        <v>2923</v>
      </c>
      <c r="P1291" s="431" t="s">
        <v>6711</v>
      </c>
    </row>
    <row r="1292" spans="1:16" ht="13.5" hidden="1" customHeight="1" outlineLevel="2" x14ac:dyDescent="0.2">
      <c r="A1292" s="233">
        <v>0</v>
      </c>
      <c r="B1292" s="233">
        <v>13</v>
      </c>
      <c r="C1292" s="233">
        <v>8</v>
      </c>
      <c r="D1292" s="234">
        <v>6</v>
      </c>
      <c r="E1292" s="234">
        <v>0</v>
      </c>
      <c r="G1292" s="507"/>
      <c r="H1292" s="487" t="s">
        <v>1237</v>
      </c>
      <c r="I1292" s="452" t="s">
        <v>4828</v>
      </c>
      <c r="J1292" s="489" t="s">
        <v>1247</v>
      </c>
      <c r="K1292" s="490"/>
      <c r="L1292" s="491"/>
      <c r="M1292" s="491"/>
      <c r="N1292" s="456">
        <v>40169.26</v>
      </c>
      <c r="O1292" s="492"/>
      <c r="P1292" s="430"/>
    </row>
    <row r="1293" spans="1:16" ht="13.5" hidden="1" customHeight="1" outlineLevel="3" x14ac:dyDescent="0.2">
      <c r="A1293" s="233">
        <v>0</v>
      </c>
      <c r="B1293" s="233">
        <v>13</v>
      </c>
      <c r="C1293" s="233">
        <v>8</v>
      </c>
      <c r="D1293" s="234">
        <v>6</v>
      </c>
      <c r="E1293" s="234">
        <v>1</v>
      </c>
      <c r="G1293" s="508" t="s">
        <v>23</v>
      </c>
      <c r="H1293" s="493" t="s">
        <v>1238</v>
      </c>
      <c r="I1293" s="460" t="s">
        <v>4829</v>
      </c>
      <c r="J1293" s="495" t="s">
        <v>469</v>
      </c>
      <c r="K1293" s="496" t="s">
        <v>641</v>
      </c>
      <c r="L1293" s="497">
        <v>360.48</v>
      </c>
      <c r="M1293" s="497">
        <v>20</v>
      </c>
      <c r="N1293" s="464">
        <v>7209.6</v>
      </c>
      <c r="O1293" s="498"/>
      <c r="P1293" s="431" t="s">
        <v>6711</v>
      </c>
    </row>
    <row r="1294" spans="1:16" ht="13.5" hidden="1" customHeight="1" outlineLevel="3" x14ac:dyDescent="0.2">
      <c r="A1294" s="233">
        <v>0</v>
      </c>
      <c r="B1294" s="233">
        <v>13</v>
      </c>
      <c r="C1294" s="233">
        <v>8</v>
      </c>
      <c r="D1294" s="234">
        <v>6</v>
      </c>
      <c r="E1294" s="234">
        <v>2</v>
      </c>
      <c r="G1294" s="508" t="s">
        <v>23</v>
      </c>
      <c r="H1294" s="493" t="s">
        <v>1238</v>
      </c>
      <c r="I1294" s="460" t="s">
        <v>4830</v>
      </c>
      <c r="J1294" s="495" t="s">
        <v>470</v>
      </c>
      <c r="K1294" s="496" t="s">
        <v>641</v>
      </c>
      <c r="L1294" s="497">
        <v>351.71000000000004</v>
      </c>
      <c r="M1294" s="497">
        <v>35</v>
      </c>
      <c r="N1294" s="464">
        <v>12309.85</v>
      </c>
      <c r="O1294" s="498"/>
      <c r="P1294" s="431" t="s">
        <v>6711</v>
      </c>
    </row>
    <row r="1295" spans="1:16" ht="13.5" hidden="1" customHeight="1" outlineLevel="3" x14ac:dyDescent="0.2">
      <c r="A1295" s="233">
        <v>0</v>
      </c>
      <c r="B1295" s="233">
        <v>13</v>
      </c>
      <c r="C1295" s="233">
        <v>8</v>
      </c>
      <c r="D1295" s="234">
        <v>6</v>
      </c>
      <c r="E1295" s="234">
        <v>3</v>
      </c>
      <c r="G1295" s="508" t="s">
        <v>23</v>
      </c>
      <c r="H1295" s="493" t="s">
        <v>1238</v>
      </c>
      <c r="I1295" s="460" t="s">
        <v>4831</v>
      </c>
      <c r="J1295" s="495" t="s">
        <v>2931</v>
      </c>
      <c r="K1295" s="496" t="s">
        <v>641</v>
      </c>
      <c r="L1295" s="497">
        <v>44.18</v>
      </c>
      <c r="M1295" s="497">
        <v>32</v>
      </c>
      <c r="N1295" s="464">
        <v>1413.76</v>
      </c>
      <c r="O1295" s="498"/>
      <c r="P1295" s="431" t="s">
        <v>6711</v>
      </c>
    </row>
    <row r="1296" spans="1:16" ht="13.5" hidden="1" customHeight="1" outlineLevel="3" x14ac:dyDescent="0.2">
      <c r="A1296" s="233">
        <v>0</v>
      </c>
      <c r="B1296" s="233">
        <v>13</v>
      </c>
      <c r="C1296" s="233">
        <v>8</v>
      </c>
      <c r="D1296" s="234">
        <v>6</v>
      </c>
      <c r="E1296" s="234">
        <v>4</v>
      </c>
      <c r="G1296" s="508" t="s">
        <v>23</v>
      </c>
      <c r="H1296" s="493" t="s">
        <v>1238</v>
      </c>
      <c r="I1296" s="460" t="s">
        <v>4832</v>
      </c>
      <c r="J1296" s="495" t="s">
        <v>2935</v>
      </c>
      <c r="K1296" s="496" t="s">
        <v>641</v>
      </c>
      <c r="L1296" s="497">
        <v>120.07000000000001</v>
      </c>
      <c r="M1296" s="497">
        <v>45</v>
      </c>
      <c r="N1296" s="464">
        <v>5403.15</v>
      </c>
      <c r="O1296" s="498"/>
      <c r="P1296" s="431" t="s">
        <v>6711</v>
      </c>
    </row>
    <row r="1297" spans="1:16" ht="13.5" hidden="1" customHeight="1" outlineLevel="3" x14ac:dyDescent="0.2">
      <c r="A1297" s="233">
        <v>0</v>
      </c>
      <c r="B1297" s="233">
        <v>13</v>
      </c>
      <c r="C1297" s="233">
        <v>8</v>
      </c>
      <c r="D1297" s="234">
        <v>6</v>
      </c>
      <c r="E1297" s="234">
        <v>5</v>
      </c>
      <c r="G1297" s="508" t="s">
        <v>23</v>
      </c>
      <c r="H1297" s="493" t="s">
        <v>1238</v>
      </c>
      <c r="I1297" s="460" t="s">
        <v>4833</v>
      </c>
      <c r="J1297" s="495" t="s">
        <v>2932</v>
      </c>
      <c r="K1297" s="496" t="s">
        <v>641</v>
      </c>
      <c r="L1297" s="497">
        <v>299.62</v>
      </c>
      <c r="M1297" s="497">
        <v>45</v>
      </c>
      <c r="N1297" s="464">
        <v>13482.9</v>
      </c>
      <c r="O1297" s="498"/>
      <c r="P1297" s="431" t="s">
        <v>6711</v>
      </c>
    </row>
    <row r="1298" spans="1:16" ht="13.5" hidden="1" customHeight="1" outlineLevel="3" x14ac:dyDescent="0.2">
      <c r="A1298" s="233">
        <v>0</v>
      </c>
      <c r="B1298" s="233">
        <v>13</v>
      </c>
      <c r="C1298" s="233">
        <v>8</v>
      </c>
      <c r="D1298" s="234">
        <v>6</v>
      </c>
      <c r="E1298" s="234">
        <v>6</v>
      </c>
      <c r="G1298" s="508" t="s">
        <v>23</v>
      </c>
      <c r="H1298" s="493" t="s">
        <v>1238</v>
      </c>
      <c r="I1298" s="460" t="s">
        <v>4834</v>
      </c>
      <c r="J1298" s="461" t="s">
        <v>477</v>
      </c>
      <c r="K1298" s="496" t="s">
        <v>533</v>
      </c>
      <c r="L1298" s="497">
        <v>7</v>
      </c>
      <c r="M1298" s="497">
        <v>50</v>
      </c>
      <c r="N1298" s="464">
        <v>350</v>
      </c>
      <c r="O1298" s="498"/>
      <c r="P1298" s="431" t="s">
        <v>6711</v>
      </c>
    </row>
    <row r="1299" spans="1:16" ht="13.5" hidden="1" customHeight="1" outlineLevel="1" x14ac:dyDescent="0.2">
      <c r="A1299" s="233">
        <v>0</v>
      </c>
      <c r="B1299" s="233">
        <v>13</v>
      </c>
      <c r="C1299" s="233">
        <v>9</v>
      </c>
      <c r="D1299" s="234">
        <v>0</v>
      </c>
      <c r="E1299" s="234">
        <v>6</v>
      </c>
      <c r="G1299" s="506"/>
      <c r="H1299" s="481" t="s">
        <v>38</v>
      </c>
      <c r="I1299" s="445" t="s">
        <v>4835</v>
      </c>
      <c r="J1299" s="483" t="s">
        <v>2367</v>
      </c>
      <c r="K1299" s="484"/>
      <c r="L1299" s="485"/>
      <c r="M1299" s="485"/>
      <c r="N1299" s="449">
        <v>35844.704781</v>
      </c>
      <c r="O1299" s="486">
        <v>2.1400245366625099</v>
      </c>
      <c r="P1299" s="429"/>
    </row>
    <row r="1300" spans="1:16" ht="13.5" hidden="1" customHeight="1" outlineLevel="2" x14ac:dyDescent="0.2">
      <c r="A1300" s="233">
        <v>0</v>
      </c>
      <c r="B1300" s="233">
        <v>13</v>
      </c>
      <c r="C1300" s="233">
        <v>9</v>
      </c>
      <c r="D1300" s="234">
        <v>1</v>
      </c>
      <c r="E1300" s="234">
        <v>0</v>
      </c>
      <c r="G1300" s="507"/>
      <c r="H1300" s="487" t="s">
        <v>1237</v>
      </c>
      <c r="I1300" s="452" t="s">
        <v>4836</v>
      </c>
      <c r="J1300" s="489" t="s">
        <v>24</v>
      </c>
      <c r="K1300" s="490"/>
      <c r="L1300" s="491"/>
      <c r="M1300" s="491"/>
      <c r="N1300" s="456">
        <v>3086.7944130000001</v>
      </c>
      <c r="O1300" s="492">
        <v>0.184289864397328</v>
      </c>
      <c r="P1300" s="430"/>
    </row>
    <row r="1301" spans="1:16" ht="13.5" hidden="1" customHeight="1" outlineLevel="3" x14ac:dyDescent="0.2">
      <c r="A1301" s="233">
        <v>0</v>
      </c>
      <c r="B1301" s="233">
        <v>13</v>
      </c>
      <c r="C1301" s="233">
        <v>9</v>
      </c>
      <c r="D1301" s="234">
        <v>1</v>
      </c>
      <c r="E1301" s="234">
        <v>1</v>
      </c>
      <c r="G1301" s="508" t="s">
        <v>23</v>
      </c>
      <c r="H1301" s="493" t="s">
        <v>1238</v>
      </c>
      <c r="I1301" s="460" t="s">
        <v>4837</v>
      </c>
      <c r="J1301" s="495" t="s">
        <v>441</v>
      </c>
      <c r="K1301" s="496" t="s">
        <v>641</v>
      </c>
      <c r="L1301" s="497">
        <v>123.76999999999998</v>
      </c>
      <c r="M1301" s="497">
        <v>7.0658999999999992</v>
      </c>
      <c r="N1301" s="464">
        <v>874.54644299999995</v>
      </c>
      <c r="O1301" s="498" t="s">
        <v>2928</v>
      </c>
      <c r="P1301" s="431" t="s">
        <v>6711</v>
      </c>
    </row>
    <row r="1302" spans="1:16" ht="13.5" hidden="1" customHeight="1" outlineLevel="3" x14ac:dyDescent="0.2">
      <c r="A1302" s="233">
        <v>0</v>
      </c>
      <c r="B1302" s="233">
        <v>13</v>
      </c>
      <c r="C1302" s="233">
        <v>9</v>
      </c>
      <c r="D1302" s="234">
        <v>1</v>
      </c>
      <c r="E1302" s="234">
        <v>2</v>
      </c>
      <c r="G1302" s="508" t="s">
        <v>23</v>
      </c>
      <c r="H1302" s="493" t="s">
        <v>1238</v>
      </c>
      <c r="I1302" s="460" t="s">
        <v>4838</v>
      </c>
      <c r="J1302" s="495" t="s">
        <v>443</v>
      </c>
      <c r="K1302" s="496" t="s">
        <v>641</v>
      </c>
      <c r="L1302" s="497">
        <v>44.82</v>
      </c>
      <c r="M1302" s="497">
        <v>49.358499999999999</v>
      </c>
      <c r="N1302" s="464">
        <v>2212.2479699999999</v>
      </c>
      <c r="O1302" s="498" t="s">
        <v>2929</v>
      </c>
      <c r="P1302" s="431" t="s">
        <v>6711</v>
      </c>
    </row>
    <row r="1303" spans="1:16" ht="13.5" hidden="1" customHeight="1" outlineLevel="2" x14ac:dyDescent="0.2">
      <c r="A1303" s="233">
        <v>0</v>
      </c>
      <c r="B1303" s="233">
        <v>13</v>
      </c>
      <c r="C1303" s="233">
        <v>9</v>
      </c>
      <c r="D1303" s="234">
        <v>2</v>
      </c>
      <c r="E1303" s="234">
        <v>0</v>
      </c>
      <c r="G1303" s="507"/>
      <c r="H1303" s="487" t="s">
        <v>1237</v>
      </c>
      <c r="I1303" s="452" t="s">
        <v>4839</v>
      </c>
      <c r="J1303" s="489" t="s">
        <v>2925</v>
      </c>
      <c r="K1303" s="490"/>
      <c r="L1303" s="491"/>
      <c r="M1303" s="491"/>
      <c r="N1303" s="456">
        <v>5714.4672840000003</v>
      </c>
      <c r="O1303" s="492"/>
      <c r="P1303" s="430"/>
    </row>
    <row r="1304" spans="1:16" ht="13.5" hidden="1" customHeight="1" outlineLevel="3" x14ac:dyDescent="0.2">
      <c r="A1304" s="233">
        <v>0</v>
      </c>
      <c r="B1304" s="233">
        <v>13</v>
      </c>
      <c r="C1304" s="233">
        <v>9</v>
      </c>
      <c r="D1304" s="234">
        <v>2</v>
      </c>
      <c r="E1304" s="234">
        <v>1</v>
      </c>
      <c r="G1304" s="508" t="s">
        <v>23</v>
      </c>
      <c r="H1304" s="493" t="s">
        <v>1238</v>
      </c>
      <c r="I1304" s="460" t="s">
        <v>4840</v>
      </c>
      <c r="J1304" s="495" t="s">
        <v>2912</v>
      </c>
      <c r="K1304" s="496" t="s">
        <v>641</v>
      </c>
      <c r="L1304" s="497"/>
      <c r="M1304" s="497">
        <v>133.18049999999999</v>
      </c>
      <c r="N1304" s="464">
        <v>0</v>
      </c>
      <c r="O1304" s="498" t="s">
        <v>2914</v>
      </c>
      <c r="P1304" s="431" t="s">
        <v>6711</v>
      </c>
    </row>
    <row r="1305" spans="1:16" ht="13.5" hidden="1" customHeight="1" outlineLevel="3" x14ac:dyDescent="0.2">
      <c r="A1305" s="233">
        <v>0</v>
      </c>
      <c r="B1305" s="233">
        <v>13</v>
      </c>
      <c r="C1305" s="233">
        <v>9</v>
      </c>
      <c r="D1305" s="234">
        <v>2</v>
      </c>
      <c r="E1305" s="234">
        <v>2</v>
      </c>
      <c r="G1305" s="508" t="s">
        <v>23</v>
      </c>
      <c r="H1305" s="493" t="s">
        <v>1238</v>
      </c>
      <c r="I1305" s="460" t="s">
        <v>4841</v>
      </c>
      <c r="J1305" s="495" t="s">
        <v>2910</v>
      </c>
      <c r="K1305" s="496" t="s">
        <v>641</v>
      </c>
      <c r="L1305" s="497">
        <v>38.380000000000003</v>
      </c>
      <c r="M1305" s="497">
        <v>148.89179999999999</v>
      </c>
      <c r="N1305" s="464">
        <v>5714.4672840000003</v>
      </c>
      <c r="O1305" s="498" t="s">
        <v>2918</v>
      </c>
      <c r="P1305" s="431" t="s">
        <v>6711</v>
      </c>
    </row>
    <row r="1306" spans="1:16" ht="13.5" hidden="1" customHeight="1" outlineLevel="2" x14ac:dyDescent="0.2">
      <c r="A1306" s="233">
        <v>0</v>
      </c>
      <c r="B1306" s="233">
        <v>13</v>
      </c>
      <c r="C1306" s="233">
        <v>9</v>
      </c>
      <c r="D1306" s="234">
        <v>3</v>
      </c>
      <c r="E1306" s="234">
        <v>0</v>
      </c>
      <c r="G1306" s="507"/>
      <c r="H1306" s="487" t="s">
        <v>1237</v>
      </c>
      <c r="I1306" s="452" t="s">
        <v>4842</v>
      </c>
      <c r="J1306" s="489" t="s">
        <v>2924</v>
      </c>
      <c r="K1306" s="490"/>
      <c r="L1306" s="491"/>
      <c r="M1306" s="491"/>
      <c r="N1306" s="456">
        <v>11127.6923133333</v>
      </c>
      <c r="O1306" s="492"/>
      <c r="P1306" s="430"/>
    </row>
    <row r="1307" spans="1:16" ht="13.5" hidden="1" customHeight="1" outlineLevel="3" x14ac:dyDescent="0.2">
      <c r="A1307" s="233">
        <v>0</v>
      </c>
      <c r="B1307" s="233">
        <v>13</v>
      </c>
      <c r="C1307" s="233">
        <v>9</v>
      </c>
      <c r="D1307" s="234">
        <v>3</v>
      </c>
      <c r="E1307" s="234">
        <v>1</v>
      </c>
      <c r="G1307" s="508" t="s">
        <v>23</v>
      </c>
      <c r="H1307" s="493" t="s">
        <v>1238</v>
      </c>
      <c r="I1307" s="460" t="s">
        <v>4843</v>
      </c>
      <c r="J1307" s="495" t="s">
        <v>2907</v>
      </c>
      <c r="K1307" s="496" t="s">
        <v>641</v>
      </c>
      <c r="L1307" s="497">
        <v>103.00999999999999</v>
      </c>
      <c r="M1307" s="497">
        <v>34.058466666666661</v>
      </c>
      <c r="N1307" s="464">
        <v>3508.3626513333302</v>
      </c>
      <c r="O1307" s="498" t="s">
        <v>2916</v>
      </c>
      <c r="P1307" s="431" t="s">
        <v>6711</v>
      </c>
    </row>
    <row r="1308" spans="1:16" ht="13.5" hidden="1" customHeight="1" outlineLevel="3" x14ac:dyDescent="0.2">
      <c r="A1308" s="233">
        <v>0</v>
      </c>
      <c r="B1308" s="233">
        <v>13</v>
      </c>
      <c r="C1308" s="233">
        <v>9</v>
      </c>
      <c r="D1308" s="234">
        <v>3</v>
      </c>
      <c r="E1308" s="234">
        <v>2</v>
      </c>
      <c r="G1308" s="508" t="s">
        <v>23</v>
      </c>
      <c r="H1308" s="493" t="s">
        <v>1238</v>
      </c>
      <c r="I1308" s="460" t="s">
        <v>4844</v>
      </c>
      <c r="J1308" s="495" t="s">
        <v>2910</v>
      </c>
      <c r="K1308" s="496" t="s">
        <v>641</v>
      </c>
      <c r="L1308" s="497">
        <v>8.99</v>
      </c>
      <c r="M1308" s="497">
        <v>148.89179999999999</v>
      </c>
      <c r="N1308" s="464">
        <v>1338.537282</v>
      </c>
      <c r="O1308" s="498" t="s">
        <v>2917</v>
      </c>
      <c r="P1308" s="431" t="s">
        <v>6711</v>
      </c>
    </row>
    <row r="1309" spans="1:16" ht="13.5" hidden="1" customHeight="1" outlineLevel="3" x14ac:dyDescent="0.2">
      <c r="A1309" s="233">
        <v>0</v>
      </c>
      <c r="B1309" s="233">
        <v>13</v>
      </c>
      <c r="C1309" s="233">
        <v>9</v>
      </c>
      <c r="D1309" s="234">
        <v>3</v>
      </c>
      <c r="E1309" s="234">
        <v>3</v>
      </c>
      <c r="G1309" s="508" t="s">
        <v>23</v>
      </c>
      <c r="H1309" s="493" t="s">
        <v>1238</v>
      </c>
      <c r="I1309" s="460" t="s">
        <v>4845</v>
      </c>
      <c r="J1309" s="495" t="s">
        <v>2912</v>
      </c>
      <c r="K1309" s="496" t="s">
        <v>641</v>
      </c>
      <c r="L1309" s="497">
        <v>47.16</v>
      </c>
      <c r="M1309" s="497">
        <v>133.18049999999999</v>
      </c>
      <c r="N1309" s="464">
        <v>6280.7923799999999</v>
      </c>
      <c r="O1309" s="498" t="s">
        <v>2920</v>
      </c>
      <c r="P1309" s="431" t="s">
        <v>6711</v>
      </c>
    </row>
    <row r="1310" spans="1:16" ht="13.5" hidden="1" customHeight="1" outlineLevel="2" x14ac:dyDescent="0.2">
      <c r="A1310" s="233">
        <v>0</v>
      </c>
      <c r="B1310" s="233">
        <v>13</v>
      </c>
      <c r="C1310" s="233">
        <v>9</v>
      </c>
      <c r="D1310" s="234">
        <v>4</v>
      </c>
      <c r="E1310" s="234">
        <v>0</v>
      </c>
      <c r="G1310" s="507"/>
      <c r="H1310" s="487" t="s">
        <v>1237</v>
      </c>
      <c r="I1310" s="452" t="s">
        <v>4846</v>
      </c>
      <c r="J1310" s="489" t="s">
        <v>2318</v>
      </c>
      <c r="K1310" s="490"/>
      <c r="L1310" s="491"/>
      <c r="M1310" s="491"/>
      <c r="N1310" s="456">
        <v>1695.4304706666701</v>
      </c>
      <c r="O1310" s="492"/>
      <c r="P1310" s="430"/>
    </row>
    <row r="1311" spans="1:16" ht="13.5" hidden="1" customHeight="1" outlineLevel="3" x14ac:dyDescent="0.2">
      <c r="A1311" s="233">
        <v>0</v>
      </c>
      <c r="B1311" s="233">
        <v>13</v>
      </c>
      <c r="C1311" s="233">
        <v>9</v>
      </c>
      <c r="D1311" s="234">
        <v>4</v>
      </c>
      <c r="E1311" s="234">
        <v>1</v>
      </c>
      <c r="G1311" s="508" t="s">
        <v>23</v>
      </c>
      <c r="H1311" s="493" t="s">
        <v>1238</v>
      </c>
      <c r="I1311" s="460" t="s">
        <v>4847</v>
      </c>
      <c r="J1311" s="495" t="s">
        <v>2907</v>
      </c>
      <c r="K1311" s="496" t="s">
        <v>641</v>
      </c>
      <c r="L1311" s="497">
        <v>49.78</v>
      </c>
      <c r="M1311" s="497">
        <v>34.058466666666661</v>
      </c>
      <c r="N1311" s="464">
        <v>1695.4304706666701</v>
      </c>
      <c r="O1311" s="498"/>
      <c r="P1311" s="431" t="s">
        <v>6711</v>
      </c>
    </row>
    <row r="1312" spans="1:16" ht="13.5" hidden="1" customHeight="1" outlineLevel="2" x14ac:dyDescent="0.2">
      <c r="A1312" s="233">
        <v>0</v>
      </c>
      <c r="B1312" s="233">
        <v>13</v>
      </c>
      <c r="C1312" s="233">
        <v>9</v>
      </c>
      <c r="D1312" s="234">
        <v>5</v>
      </c>
      <c r="E1312" s="234">
        <v>0</v>
      </c>
      <c r="G1312" s="507"/>
      <c r="H1312" s="487" t="s">
        <v>1237</v>
      </c>
      <c r="I1312" s="452" t="s">
        <v>4848</v>
      </c>
      <c r="J1312" s="489" t="s">
        <v>2319</v>
      </c>
      <c r="K1312" s="490"/>
      <c r="L1312" s="491"/>
      <c r="M1312" s="491"/>
      <c r="N1312" s="456">
        <v>175.2003</v>
      </c>
      <c r="O1312" s="492"/>
      <c r="P1312" s="430"/>
    </row>
    <row r="1313" spans="1:16" ht="13.5" hidden="1" customHeight="1" outlineLevel="3" x14ac:dyDescent="0.2">
      <c r="A1313" s="233">
        <v>0</v>
      </c>
      <c r="B1313" s="233">
        <v>13</v>
      </c>
      <c r="C1313" s="233">
        <v>9</v>
      </c>
      <c r="D1313" s="234">
        <v>5</v>
      </c>
      <c r="E1313" s="234">
        <v>1</v>
      </c>
      <c r="G1313" s="508" t="s">
        <v>23</v>
      </c>
      <c r="H1313" s="493" t="s">
        <v>1238</v>
      </c>
      <c r="I1313" s="460" t="s">
        <v>4849</v>
      </c>
      <c r="J1313" s="495" t="s">
        <v>1616</v>
      </c>
      <c r="K1313" s="496" t="s">
        <v>533</v>
      </c>
      <c r="L1313" s="497">
        <v>20</v>
      </c>
      <c r="M1313" s="497">
        <v>8.760015000000001</v>
      </c>
      <c r="N1313" s="464">
        <v>175.2003</v>
      </c>
      <c r="O1313" s="498" t="s">
        <v>2943</v>
      </c>
      <c r="P1313" s="431" t="s">
        <v>6711</v>
      </c>
    </row>
    <row r="1314" spans="1:16" ht="13.5" hidden="1" customHeight="1" outlineLevel="2" x14ac:dyDescent="0.2">
      <c r="A1314" s="233">
        <v>0</v>
      </c>
      <c r="B1314" s="233">
        <v>13</v>
      </c>
      <c r="C1314" s="233">
        <v>9</v>
      </c>
      <c r="D1314" s="234">
        <v>6</v>
      </c>
      <c r="E1314" s="234">
        <v>0</v>
      </c>
      <c r="G1314" s="507"/>
      <c r="H1314" s="487" t="s">
        <v>1237</v>
      </c>
      <c r="I1314" s="452" t="s">
        <v>4850</v>
      </c>
      <c r="J1314" s="489" t="s">
        <v>1247</v>
      </c>
      <c r="K1314" s="490"/>
      <c r="L1314" s="491"/>
      <c r="M1314" s="491"/>
      <c r="N1314" s="456">
        <v>14045.12</v>
      </c>
      <c r="O1314" s="492"/>
      <c r="P1314" s="430"/>
    </row>
    <row r="1315" spans="1:16" ht="13.5" hidden="1" customHeight="1" outlineLevel="3" x14ac:dyDescent="0.2">
      <c r="A1315" s="233">
        <v>0</v>
      </c>
      <c r="B1315" s="233">
        <v>13</v>
      </c>
      <c r="C1315" s="233">
        <v>9</v>
      </c>
      <c r="D1315" s="234">
        <v>6</v>
      </c>
      <c r="E1315" s="234">
        <v>1</v>
      </c>
      <c r="G1315" s="508" t="s">
        <v>23</v>
      </c>
      <c r="H1315" s="493" t="s">
        <v>1238</v>
      </c>
      <c r="I1315" s="460" t="s">
        <v>4851</v>
      </c>
      <c r="J1315" s="495" t="s">
        <v>469</v>
      </c>
      <c r="K1315" s="496" t="s">
        <v>641</v>
      </c>
      <c r="L1315" s="497">
        <v>123.76999999999998</v>
      </c>
      <c r="M1315" s="497">
        <v>20</v>
      </c>
      <c r="N1315" s="464">
        <v>2475.4</v>
      </c>
      <c r="O1315" s="498"/>
      <c r="P1315" s="431" t="s">
        <v>6711</v>
      </c>
    </row>
    <row r="1316" spans="1:16" ht="13.5" hidden="1" customHeight="1" outlineLevel="3" x14ac:dyDescent="0.2">
      <c r="A1316" s="233">
        <v>0</v>
      </c>
      <c r="B1316" s="233">
        <v>13</v>
      </c>
      <c r="C1316" s="233">
        <v>9</v>
      </c>
      <c r="D1316" s="234">
        <v>6</v>
      </c>
      <c r="E1316" s="234">
        <v>2</v>
      </c>
      <c r="G1316" s="508" t="s">
        <v>23</v>
      </c>
      <c r="H1316" s="493" t="s">
        <v>1238</v>
      </c>
      <c r="I1316" s="460" t="s">
        <v>4852</v>
      </c>
      <c r="J1316" s="495" t="s">
        <v>470</v>
      </c>
      <c r="K1316" s="496" t="s">
        <v>641</v>
      </c>
      <c r="L1316" s="497">
        <v>44.82</v>
      </c>
      <c r="M1316" s="497">
        <v>35</v>
      </c>
      <c r="N1316" s="464">
        <v>1568.7</v>
      </c>
      <c r="O1316" s="498"/>
      <c r="P1316" s="431" t="s">
        <v>6711</v>
      </c>
    </row>
    <row r="1317" spans="1:16" ht="13.5" hidden="1" customHeight="1" outlineLevel="3" x14ac:dyDescent="0.2">
      <c r="A1317" s="233">
        <v>0</v>
      </c>
      <c r="B1317" s="233">
        <v>13</v>
      </c>
      <c r="C1317" s="233">
        <v>9</v>
      </c>
      <c r="D1317" s="234">
        <v>6</v>
      </c>
      <c r="E1317" s="234">
        <v>3</v>
      </c>
      <c r="G1317" s="508" t="s">
        <v>23</v>
      </c>
      <c r="H1317" s="493" t="s">
        <v>1238</v>
      </c>
      <c r="I1317" s="460" t="s">
        <v>4853</v>
      </c>
      <c r="J1317" s="495" t="s">
        <v>2931</v>
      </c>
      <c r="K1317" s="496" t="s">
        <v>641</v>
      </c>
      <c r="L1317" s="497">
        <v>152.79</v>
      </c>
      <c r="M1317" s="497">
        <v>32</v>
      </c>
      <c r="N1317" s="464">
        <v>4889.28</v>
      </c>
      <c r="O1317" s="498"/>
      <c r="P1317" s="431" t="s">
        <v>6711</v>
      </c>
    </row>
    <row r="1318" spans="1:16" ht="13.5" hidden="1" customHeight="1" outlineLevel="3" x14ac:dyDescent="0.2">
      <c r="A1318" s="233">
        <v>0</v>
      </c>
      <c r="B1318" s="233">
        <v>13</v>
      </c>
      <c r="C1318" s="233">
        <v>9</v>
      </c>
      <c r="D1318" s="234">
        <v>6</v>
      </c>
      <c r="E1318" s="234">
        <v>4</v>
      </c>
      <c r="G1318" s="508" t="s">
        <v>23</v>
      </c>
      <c r="H1318" s="493" t="s">
        <v>1238</v>
      </c>
      <c r="I1318" s="460" t="s">
        <v>4854</v>
      </c>
      <c r="J1318" s="495" t="s">
        <v>2935</v>
      </c>
      <c r="K1318" s="496" t="s">
        <v>641</v>
      </c>
      <c r="L1318" s="497">
        <v>47.16</v>
      </c>
      <c r="M1318" s="497">
        <v>45</v>
      </c>
      <c r="N1318" s="464">
        <v>2122.1999999999998</v>
      </c>
      <c r="O1318" s="498"/>
      <c r="P1318" s="431" t="s">
        <v>6711</v>
      </c>
    </row>
    <row r="1319" spans="1:16" ht="13.5" hidden="1" customHeight="1" outlineLevel="3" x14ac:dyDescent="0.2">
      <c r="A1319" s="233">
        <v>0</v>
      </c>
      <c r="B1319" s="233">
        <v>13</v>
      </c>
      <c r="C1319" s="233">
        <v>9</v>
      </c>
      <c r="D1319" s="234">
        <v>6</v>
      </c>
      <c r="E1319" s="234">
        <v>5</v>
      </c>
      <c r="G1319" s="508" t="s">
        <v>23</v>
      </c>
      <c r="H1319" s="493" t="s">
        <v>1238</v>
      </c>
      <c r="I1319" s="460" t="s">
        <v>4855</v>
      </c>
      <c r="J1319" s="495" t="s">
        <v>2938</v>
      </c>
      <c r="K1319" s="496" t="s">
        <v>641</v>
      </c>
      <c r="L1319" s="497">
        <v>47.370000000000005</v>
      </c>
      <c r="M1319" s="497">
        <v>42</v>
      </c>
      <c r="N1319" s="464">
        <v>1989.54</v>
      </c>
      <c r="O1319" s="498"/>
      <c r="P1319" s="431" t="s">
        <v>6711</v>
      </c>
    </row>
    <row r="1320" spans="1:16" ht="13.5" hidden="1" customHeight="1" outlineLevel="3" x14ac:dyDescent="0.2">
      <c r="A1320" s="233">
        <v>0</v>
      </c>
      <c r="B1320" s="233">
        <v>13</v>
      </c>
      <c r="C1320" s="233">
        <v>9</v>
      </c>
      <c r="D1320" s="234">
        <v>6</v>
      </c>
      <c r="E1320" s="234">
        <v>6</v>
      </c>
      <c r="G1320" s="508" t="s">
        <v>23</v>
      </c>
      <c r="H1320" s="493" t="s">
        <v>1238</v>
      </c>
      <c r="I1320" s="460" t="s">
        <v>4856</v>
      </c>
      <c r="J1320" s="461" t="s">
        <v>477</v>
      </c>
      <c r="K1320" s="496" t="s">
        <v>533</v>
      </c>
      <c r="L1320" s="497">
        <v>20</v>
      </c>
      <c r="M1320" s="497">
        <v>50</v>
      </c>
      <c r="N1320" s="464">
        <v>1000</v>
      </c>
      <c r="O1320" s="498"/>
      <c r="P1320" s="431" t="s">
        <v>6711</v>
      </c>
    </row>
    <row r="1321" spans="1:16" ht="13.5" hidden="1" customHeight="1" outlineLevel="1" x14ac:dyDescent="0.2">
      <c r="A1321" s="233">
        <v>0</v>
      </c>
      <c r="B1321" s="233">
        <v>13</v>
      </c>
      <c r="C1321" s="233">
        <v>10</v>
      </c>
      <c r="D1321" s="234">
        <v>0</v>
      </c>
      <c r="E1321" s="234">
        <v>6</v>
      </c>
      <c r="G1321" s="506"/>
      <c r="H1321" s="481" t="s">
        <v>38</v>
      </c>
      <c r="I1321" s="445" t="s">
        <v>4857</v>
      </c>
      <c r="J1321" s="483" t="s">
        <v>2368</v>
      </c>
      <c r="K1321" s="484"/>
      <c r="L1321" s="485"/>
      <c r="M1321" s="485"/>
      <c r="N1321" s="449">
        <v>161272.162232</v>
      </c>
      <c r="O1321" s="486">
        <v>9.6283784833969897</v>
      </c>
      <c r="P1321" s="429"/>
    </row>
    <row r="1322" spans="1:16" ht="13.5" hidden="1" customHeight="1" outlineLevel="2" x14ac:dyDescent="0.2">
      <c r="A1322" s="233">
        <v>0</v>
      </c>
      <c r="B1322" s="233">
        <v>13</v>
      </c>
      <c r="C1322" s="233">
        <v>10</v>
      </c>
      <c r="D1322" s="234">
        <v>1</v>
      </c>
      <c r="E1322" s="234">
        <v>0</v>
      </c>
      <c r="G1322" s="507"/>
      <c r="H1322" s="487" t="s">
        <v>1237</v>
      </c>
      <c r="I1322" s="452" t="s">
        <v>4858</v>
      </c>
      <c r="J1322" s="489" t="s">
        <v>24</v>
      </c>
      <c r="K1322" s="490"/>
      <c r="L1322" s="491"/>
      <c r="M1322" s="491"/>
      <c r="N1322" s="456">
        <v>3499.5989519999998</v>
      </c>
      <c r="O1322" s="492">
        <v>0.208935397055584</v>
      </c>
      <c r="P1322" s="430"/>
    </row>
    <row r="1323" spans="1:16" ht="13.5" hidden="1" customHeight="1" outlineLevel="3" x14ac:dyDescent="0.2">
      <c r="A1323" s="233">
        <v>0</v>
      </c>
      <c r="B1323" s="233">
        <v>13</v>
      </c>
      <c r="C1323" s="233">
        <v>10</v>
      </c>
      <c r="D1323" s="234">
        <v>1</v>
      </c>
      <c r="E1323" s="234">
        <v>1</v>
      </c>
      <c r="G1323" s="508" t="s">
        <v>23</v>
      </c>
      <c r="H1323" s="493" t="s">
        <v>1238</v>
      </c>
      <c r="I1323" s="460" t="s">
        <v>4859</v>
      </c>
      <c r="J1323" s="495" t="s">
        <v>441</v>
      </c>
      <c r="K1323" s="496" t="s">
        <v>641</v>
      </c>
      <c r="L1323" s="497">
        <v>495.28000000000003</v>
      </c>
      <c r="M1323" s="497">
        <v>7.0658999999999992</v>
      </c>
      <c r="N1323" s="464">
        <v>3499.5989519999998</v>
      </c>
      <c r="O1323" s="498" t="s">
        <v>2928</v>
      </c>
      <c r="P1323" s="431" t="s">
        <v>6711</v>
      </c>
    </row>
    <row r="1324" spans="1:16" ht="13.5" hidden="1" customHeight="1" outlineLevel="2" x14ac:dyDescent="0.2">
      <c r="A1324" s="233">
        <v>0</v>
      </c>
      <c r="B1324" s="233">
        <v>13</v>
      </c>
      <c r="C1324" s="233">
        <v>10</v>
      </c>
      <c r="D1324" s="234">
        <v>2</v>
      </c>
      <c r="E1324" s="234">
        <v>0</v>
      </c>
      <c r="G1324" s="507"/>
      <c r="H1324" s="487" t="s">
        <v>1237</v>
      </c>
      <c r="I1324" s="452" t="s">
        <v>4860</v>
      </c>
      <c r="J1324" s="489" t="s">
        <v>2925</v>
      </c>
      <c r="K1324" s="490"/>
      <c r="L1324" s="491"/>
      <c r="M1324" s="491"/>
      <c r="N1324" s="456">
        <v>23858.422031999999</v>
      </c>
      <c r="O1324" s="492"/>
      <c r="P1324" s="430"/>
    </row>
    <row r="1325" spans="1:16" ht="13.5" hidden="1" customHeight="1" outlineLevel="3" x14ac:dyDescent="0.2">
      <c r="A1325" s="233">
        <v>0</v>
      </c>
      <c r="B1325" s="233">
        <v>13</v>
      </c>
      <c r="C1325" s="233">
        <v>10</v>
      </c>
      <c r="D1325" s="234">
        <v>2</v>
      </c>
      <c r="E1325" s="234">
        <v>1</v>
      </c>
      <c r="G1325" s="508" t="s">
        <v>23</v>
      </c>
      <c r="H1325" s="493" t="s">
        <v>1238</v>
      </c>
      <c r="I1325" s="460" t="s">
        <v>4861</v>
      </c>
      <c r="J1325" s="495" t="s">
        <v>2910</v>
      </c>
      <c r="K1325" s="496" t="s">
        <v>641</v>
      </c>
      <c r="L1325" s="497">
        <v>160.24</v>
      </c>
      <c r="M1325" s="497">
        <v>148.89179999999999</v>
      </c>
      <c r="N1325" s="464">
        <v>23858.422031999999</v>
      </c>
      <c r="O1325" s="498" t="s">
        <v>2918</v>
      </c>
      <c r="P1325" s="431" t="s">
        <v>6711</v>
      </c>
    </row>
    <row r="1326" spans="1:16" ht="13.5" hidden="1" customHeight="1" outlineLevel="2" x14ac:dyDescent="0.2">
      <c r="A1326" s="233">
        <v>0</v>
      </c>
      <c r="B1326" s="233">
        <v>13</v>
      </c>
      <c r="C1326" s="233">
        <v>10</v>
      </c>
      <c r="D1326" s="234">
        <v>3</v>
      </c>
      <c r="E1326" s="234">
        <v>0</v>
      </c>
      <c r="G1326" s="507"/>
      <c r="H1326" s="487" t="s">
        <v>1237</v>
      </c>
      <c r="I1326" s="452" t="s">
        <v>4862</v>
      </c>
      <c r="J1326" s="489" t="s">
        <v>2924</v>
      </c>
      <c r="K1326" s="490"/>
      <c r="L1326" s="491"/>
      <c r="M1326" s="491"/>
      <c r="N1326" s="456">
        <v>47660.958997333299</v>
      </c>
      <c r="O1326" s="492"/>
      <c r="P1326" s="430"/>
    </row>
    <row r="1327" spans="1:16" ht="13.5" hidden="1" customHeight="1" outlineLevel="3" x14ac:dyDescent="0.2">
      <c r="A1327" s="233">
        <v>0</v>
      </c>
      <c r="B1327" s="233">
        <v>13</v>
      </c>
      <c r="C1327" s="233">
        <v>10</v>
      </c>
      <c r="D1327" s="234">
        <v>3</v>
      </c>
      <c r="E1327" s="234">
        <v>1</v>
      </c>
      <c r="G1327" s="508" t="s">
        <v>23</v>
      </c>
      <c r="H1327" s="493" t="s">
        <v>1238</v>
      </c>
      <c r="I1327" s="460" t="s">
        <v>4863</v>
      </c>
      <c r="J1327" s="495" t="s">
        <v>2907</v>
      </c>
      <c r="K1327" s="496" t="s">
        <v>641</v>
      </c>
      <c r="L1327" s="497">
        <v>794.00000000000011</v>
      </c>
      <c r="M1327" s="497">
        <v>34.058466666666661</v>
      </c>
      <c r="N1327" s="464">
        <v>27042.422533333302</v>
      </c>
      <c r="O1327" s="498" t="s">
        <v>2916</v>
      </c>
      <c r="P1327" s="431" t="s">
        <v>6711</v>
      </c>
    </row>
    <row r="1328" spans="1:16" ht="13.5" hidden="1" customHeight="1" outlineLevel="3" x14ac:dyDescent="0.2">
      <c r="A1328" s="233">
        <v>0</v>
      </c>
      <c r="B1328" s="233">
        <v>13</v>
      </c>
      <c r="C1328" s="233">
        <v>10</v>
      </c>
      <c r="D1328" s="234">
        <v>3</v>
      </c>
      <c r="E1328" s="234">
        <v>2</v>
      </c>
      <c r="G1328" s="508" t="s">
        <v>23</v>
      </c>
      <c r="H1328" s="493" t="s">
        <v>1238</v>
      </c>
      <c r="I1328" s="460" t="s">
        <v>4864</v>
      </c>
      <c r="J1328" s="495" t="s">
        <v>2910</v>
      </c>
      <c r="K1328" s="496" t="s">
        <v>641</v>
      </c>
      <c r="L1328" s="497">
        <v>138.47999999999999</v>
      </c>
      <c r="M1328" s="497">
        <v>148.89179999999999</v>
      </c>
      <c r="N1328" s="464">
        <v>20618.536464000001</v>
      </c>
      <c r="O1328" s="498" t="s">
        <v>2917</v>
      </c>
      <c r="P1328" s="431" t="s">
        <v>6711</v>
      </c>
    </row>
    <row r="1329" spans="1:16" ht="13.5" hidden="1" customHeight="1" outlineLevel="2" x14ac:dyDescent="0.2">
      <c r="A1329" s="233">
        <v>0</v>
      </c>
      <c r="B1329" s="233">
        <v>13</v>
      </c>
      <c r="C1329" s="233">
        <v>10</v>
      </c>
      <c r="D1329" s="234">
        <v>4</v>
      </c>
      <c r="E1329" s="234">
        <v>0</v>
      </c>
      <c r="G1329" s="507"/>
      <c r="H1329" s="487" t="s">
        <v>1237</v>
      </c>
      <c r="I1329" s="452" t="s">
        <v>4865</v>
      </c>
      <c r="J1329" s="489" t="s">
        <v>2318</v>
      </c>
      <c r="K1329" s="490"/>
      <c r="L1329" s="491"/>
      <c r="M1329" s="491"/>
      <c r="N1329" s="456">
        <v>14947.5798506667</v>
      </c>
      <c r="O1329" s="492"/>
      <c r="P1329" s="430"/>
    </row>
    <row r="1330" spans="1:16" ht="13.5" hidden="1" customHeight="1" outlineLevel="3" x14ac:dyDescent="0.2">
      <c r="A1330" s="233">
        <v>0</v>
      </c>
      <c r="B1330" s="233">
        <v>13</v>
      </c>
      <c r="C1330" s="233">
        <v>10</v>
      </c>
      <c r="D1330" s="234">
        <v>4</v>
      </c>
      <c r="E1330" s="234">
        <v>1</v>
      </c>
      <c r="G1330" s="508" t="s">
        <v>23</v>
      </c>
      <c r="H1330" s="493" t="s">
        <v>1238</v>
      </c>
      <c r="I1330" s="460" t="s">
        <v>4866</v>
      </c>
      <c r="J1330" s="495" t="s">
        <v>2907</v>
      </c>
      <c r="K1330" s="496" t="s">
        <v>641</v>
      </c>
      <c r="L1330" s="497">
        <v>438.88</v>
      </c>
      <c r="M1330" s="497">
        <v>34.058466666666661</v>
      </c>
      <c r="N1330" s="464">
        <v>14947.5798506667</v>
      </c>
      <c r="O1330" s="498"/>
      <c r="P1330" s="431" t="s">
        <v>6711</v>
      </c>
    </row>
    <row r="1331" spans="1:16" ht="13.5" hidden="1" customHeight="1" outlineLevel="2" x14ac:dyDescent="0.2">
      <c r="A1331" s="233">
        <v>0</v>
      </c>
      <c r="B1331" s="233">
        <v>13</v>
      </c>
      <c r="C1331" s="233">
        <v>10</v>
      </c>
      <c r="D1331" s="234">
        <v>5</v>
      </c>
      <c r="E1331" s="234">
        <v>0</v>
      </c>
      <c r="G1331" s="507"/>
      <c r="H1331" s="487" t="s">
        <v>1237</v>
      </c>
      <c r="I1331" s="452" t="s">
        <v>4867</v>
      </c>
      <c r="J1331" s="489" t="s">
        <v>2319</v>
      </c>
      <c r="K1331" s="490"/>
      <c r="L1331" s="491"/>
      <c r="M1331" s="491"/>
      <c r="N1331" s="456">
        <v>1401.6024</v>
      </c>
      <c r="O1331" s="492"/>
      <c r="P1331" s="430"/>
    </row>
    <row r="1332" spans="1:16" ht="13.5" hidden="1" customHeight="1" outlineLevel="3" x14ac:dyDescent="0.2">
      <c r="A1332" s="233">
        <v>0</v>
      </c>
      <c r="B1332" s="233">
        <v>13</v>
      </c>
      <c r="C1332" s="233">
        <v>10</v>
      </c>
      <c r="D1332" s="234">
        <v>5</v>
      </c>
      <c r="E1332" s="234">
        <v>1</v>
      </c>
      <c r="G1332" s="508" t="s">
        <v>23</v>
      </c>
      <c r="H1332" s="493" t="s">
        <v>1238</v>
      </c>
      <c r="I1332" s="460" t="s">
        <v>4868</v>
      </c>
      <c r="J1332" s="495" t="s">
        <v>1616</v>
      </c>
      <c r="K1332" s="496" t="s">
        <v>533</v>
      </c>
      <c r="L1332" s="497">
        <v>160</v>
      </c>
      <c r="M1332" s="497">
        <v>8.760015000000001</v>
      </c>
      <c r="N1332" s="464">
        <v>1401.6024</v>
      </c>
      <c r="O1332" s="498" t="s">
        <v>2943</v>
      </c>
      <c r="P1332" s="431" t="s">
        <v>6711</v>
      </c>
    </row>
    <row r="1333" spans="1:16" ht="13.5" hidden="1" customHeight="1" outlineLevel="2" x14ac:dyDescent="0.2">
      <c r="A1333" s="233">
        <v>0</v>
      </c>
      <c r="B1333" s="233">
        <v>13</v>
      </c>
      <c r="C1333" s="233">
        <v>10</v>
      </c>
      <c r="D1333" s="234">
        <v>6</v>
      </c>
      <c r="E1333" s="234">
        <v>0</v>
      </c>
      <c r="G1333" s="507"/>
      <c r="H1333" s="487" t="s">
        <v>1237</v>
      </c>
      <c r="I1333" s="452" t="s">
        <v>4869</v>
      </c>
      <c r="J1333" s="489" t="s">
        <v>1247</v>
      </c>
      <c r="K1333" s="490"/>
      <c r="L1333" s="491"/>
      <c r="M1333" s="491"/>
      <c r="N1333" s="456">
        <v>69904</v>
      </c>
      <c r="O1333" s="492"/>
      <c r="P1333" s="430"/>
    </row>
    <row r="1334" spans="1:16" ht="13.5" hidden="1" customHeight="1" outlineLevel="3" x14ac:dyDescent="0.2">
      <c r="A1334" s="233">
        <v>0</v>
      </c>
      <c r="B1334" s="233">
        <v>13</v>
      </c>
      <c r="C1334" s="233">
        <v>10</v>
      </c>
      <c r="D1334" s="234">
        <v>6</v>
      </c>
      <c r="E1334" s="234">
        <v>1</v>
      </c>
      <c r="G1334" s="508" t="s">
        <v>23</v>
      </c>
      <c r="H1334" s="493" t="s">
        <v>1238</v>
      </c>
      <c r="I1334" s="460" t="s">
        <v>4870</v>
      </c>
      <c r="J1334" s="495" t="s">
        <v>469</v>
      </c>
      <c r="K1334" s="496" t="s">
        <v>641</v>
      </c>
      <c r="L1334" s="497">
        <v>495.28000000000003</v>
      </c>
      <c r="M1334" s="497">
        <v>20</v>
      </c>
      <c r="N1334" s="464">
        <v>9905.6</v>
      </c>
      <c r="O1334" s="498"/>
      <c r="P1334" s="431" t="s">
        <v>6711</v>
      </c>
    </row>
    <row r="1335" spans="1:16" ht="13.5" hidden="1" customHeight="1" outlineLevel="3" x14ac:dyDescent="0.2">
      <c r="A1335" s="233">
        <v>0</v>
      </c>
      <c r="B1335" s="233">
        <v>13</v>
      </c>
      <c r="C1335" s="233">
        <v>10</v>
      </c>
      <c r="D1335" s="234">
        <v>6</v>
      </c>
      <c r="E1335" s="234">
        <v>2</v>
      </c>
      <c r="G1335" s="508" t="s">
        <v>23</v>
      </c>
      <c r="H1335" s="493" t="s">
        <v>1238</v>
      </c>
      <c r="I1335" s="460" t="s">
        <v>4871</v>
      </c>
      <c r="J1335" s="495" t="s">
        <v>2931</v>
      </c>
      <c r="K1335" s="496" t="s">
        <v>641</v>
      </c>
      <c r="L1335" s="497">
        <v>1232.8800000000001</v>
      </c>
      <c r="M1335" s="497">
        <v>32</v>
      </c>
      <c r="N1335" s="464">
        <v>39452.160000000003</v>
      </c>
      <c r="O1335" s="498"/>
      <c r="P1335" s="431" t="s">
        <v>6711</v>
      </c>
    </row>
    <row r="1336" spans="1:16" ht="13.5" hidden="1" customHeight="1" outlineLevel="3" x14ac:dyDescent="0.2">
      <c r="A1336" s="233">
        <v>0</v>
      </c>
      <c r="B1336" s="233">
        <v>13</v>
      </c>
      <c r="C1336" s="233">
        <v>10</v>
      </c>
      <c r="D1336" s="234">
        <v>6</v>
      </c>
      <c r="E1336" s="234">
        <v>3</v>
      </c>
      <c r="G1336" s="508" t="s">
        <v>23</v>
      </c>
      <c r="H1336" s="493" t="s">
        <v>1238</v>
      </c>
      <c r="I1336" s="460" t="s">
        <v>4872</v>
      </c>
      <c r="J1336" s="495" t="s">
        <v>2938</v>
      </c>
      <c r="K1336" s="496" t="s">
        <v>641</v>
      </c>
      <c r="L1336" s="497">
        <v>298.72000000000003</v>
      </c>
      <c r="M1336" s="497">
        <v>42</v>
      </c>
      <c r="N1336" s="464">
        <v>12546.24</v>
      </c>
      <c r="O1336" s="498"/>
      <c r="P1336" s="431" t="s">
        <v>6711</v>
      </c>
    </row>
    <row r="1337" spans="1:16" ht="13.5" hidden="1" customHeight="1" outlineLevel="3" x14ac:dyDescent="0.2">
      <c r="A1337" s="233">
        <v>0</v>
      </c>
      <c r="B1337" s="233">
        <v>13</v>
      </c>
      <c r="C1337" s="233">
        <v>10</v>
      </c>
      <c r="D1337" s="234">
        <v>6</v>
      </c>
      <c r="E1337" s="234">
        <v>4</v>
      </c>
      <c r="G1337" s="508" t="s">
        <v>23</v>
      </c>
      <c r="H1337" s="493" t="s">
        <v>1238</v>
      </c>
      <c r="I1337" s="460" t="s">
        <v>4873</v>
      </c>
      <c r="J1337" s="461" t="s">
        <v>477</v>
      </c>
      <c r="K1337" s="496" t="s">
        <v>533</v>
      </c>
      <c r="L1337" s="497">
        <v>160</v>
      </c>
      <c r="M1337" s="497">
        <v>50</v>
      </c>
      <c r="N1337" s="464">
        <v>8000</v>
      </c>
      <c r="O1337" s="498"/>
      <c r="P1337" s="431" t="s">
        <v>6711</v>
      </c>
    </row>
    <row r="1338" spans="1:16" ht="13.5" hidden="1" customHeight="1" outlineLevel="1" x14ac:dyDescent="0.2">
      <c r="A1338" s="233">
        <v>0</v>
      </c>
      <c r="B1338" s="233">
        <v>13</v>
      </c>
      <c r="C1338" s="233">
        <v>11</v>
      </c>
      <c r="D1338" s="234">
        <v>0</v>
      </c>
      <c r="E1338" s="234">
        <v>4</v>
      </c>
      <c r="G1338" s="506"/>
      <c r="H1338" s="481" t="s">
        <v>38</v>
      </c>
      <c r="I1338" s="445" t="s">
        <v>4874</v>
      </c>
      <c r="J1338" s="483" t="s">
        <v>2369</v>
      </c>
      <c r="K1338" s="484"/>
      <c r="L1338" s="485"/>
      <c r="M1338" s="485"/>
      <c r="N1338" s="449">
        <v>345442.800552</v>
      </c>
      <c r="O1338" s="486">
        <v>20.623857099990602</v>
      </c>
      <c r="P1338" s="429"/>
    </row>
    <row r="1339" spans="1:16" ht="13.5" hidden="1" customHeight="1" outlineLevel="2" x14ac:dyDescent="0.2">
      <c r="A1339" s="233">
        <v>0</v>
      </c>
      <c r="B1339" s="233">
        <v>13</v>
      </c>
      <c r="C1339" s="233">
        <v>11</v>
      </c>
      <c r="D1339" s="234">
        <v>1</v>
      </c>
      <c r="E1339" s="234">
        <v>0</v>
      </c>
      <c r="G1339" s="507"/>
      <c r="H1339" s="487" t="s">
        <v>1237</v>
      </c>
      <c r="I1339" s="452" t="s">
        <v>4875</v>
      </c>
      <c r="J1339" s="489" t="s">
        <v>24</v>
      </c>
      <c r="K1339" s="490"/>
      <c r="L1339" s="491"/>
      <c r="M1339" s="491"/>
      <c r="N1339" s="456">
        <v>12669.457634</v>
      </c>
      <c r="O1339" s="492">
        <v>0.75640043260553802</v>
      </c>
      <c r="P1339" s="430"/>
    </row>
    <row r="1340" spans="1:16" ht="13.5" hidden="1" customHeight="1" outlineLevel="3" x14ac:dyDescent="0.2">
      <c r="A1340" s="233">
        <v>0</v>
      </c>
      <c r="B1340" s="233">
        <v>13</v>
      </c>
      <c r="C1340" s="233">
        <v>11</v>
      </c>
      <c r="D1340" s="234">
        <v>1</v>
      </c>
      <c r="E1340" s="234">
        <v>1</v>
      </c>
      <c r="G1340" s="508" t="s">
        <v>23</v>
      </c>
      <c r="H1340" s="493" t="s">
        <v>1238</v>
      </c>
      <c r="I1340" s="460" t="s">
        <v>4876</v>
      </c>
      <c r="J1340" s="495" t="s">
        <v>441</v>
      </c>
      <c r="K1340" s="496" t="s">
        <v>641</v>
      </c>
      <c r="L1340" s="497">
        <v>977.90999999999985</v>
      </c>
      <c r="M1340" s="497">
        <v>7.0658999999999992</v>
      </c>
      <c r="N1340" s="464">
        <v>6909.8142690000004</v>
      </c>
      <c r="O1340" s="498" t="s">
        <v>2928</v>
      </c>
      <c r="P1340" s="431" t="s">
        <v>6711</v>
      </c>
    </row>
    <row r="1341" spans="1:16" ht="13.5" hidden="1" customHeight="1" outlineLevel="3" x14ac:dyDescent="0.2">
      <c r="A1341" s="233">
        <v>0</v>
      </c>
      <c r="B1341" s="233">
        <v>13</v>
      </c>
      <c r="C1341" s="233">
        <v>11</v>
      </c>
      <c r="D1341" s="234">
        <v>1</v>
      </c>
      <c r="E1341" s="234">
        <v>2</v>
      </c>
      <c r="G1341" s="508" t="s">
        <v>23</v>
      </c>
      <c r="H1341" s="493" t="s">
        <v>1238</v>
      </c>
      <c r="I1341" s="460" t="s">
        <v>4877</v>
      </c>
      <c r="J1341" s="495" t="s">
        <v>443</v>
      </c>
      <c r="K1341" s="496" t="s">
        <v>641</v>
      </c>
      <c r="L1341" s="497">
        <v>116.68999999999996</v>
      </c>
      <c r="M1341" s="497">
        <v>49.358499999999999</v>
      </c>
      <c r="N1341" s="464">
        <v>5759.6433649999999</v>
      </c>
      <c r="O1341" s="498" t="s">
        <v>2929</v>
      </c>
      <c r="P1341" s="431" t="s">
        <v>6711</v>
      </c>
    </row>
    <row r="1342" spans="1:16" ht="13.5" hidden="1" customHeight="1" outlineLevel="2" x14ac:dyDescent="0.2">
      <c r="A1342" s="233">
        <v>0</v>
      </c>
      <c r="B1342" s="233">
        <v>13</v>
      </c>
      <c r="C1342" s="233">
        <v>11</v>
      </c>
      <c r="D1342" s="234">
        <v>2</v>
      </c>
      <c r="E1342" s="234">
        <v>0</v>
      </c>
      <c r="G1342" s="507"/>
      <c r="H1342" s="487" t="s">
        <v>1237</v>
      </c>
      <c r="I1342" s="452" t="s">
        <v>4878</v>
      </c>
      <c r="J1342" s="489" t="s">
        <v>2925</v>
      </c>
      <c r="K1342" s="490"/>
      <c r="L1342" s="491"/>
      <c r="M1342" s="491"/>
      <c r="N1342" s="456">
        <v>16247.073216000001</v>
      </c>
      <c r="O1342" s="492"/>
      <c r="P1342" s="430"/>
    </row>
    <row r="1343" spans="1:16" ht="13.5" hidden="1" customHeight="1" outlineLevel="3" x14ac:dyDescent="0.2">
      <c r="A1343" s="233">
        <v>0</v>
      </c>
      <c r="B1343" s="233">
        <v>13</v>
      </c>
      <c r="C1343" s="233">
        <v>11</v>
      </c>
      <c r="D1343" s="234">
        <v>2</v>
      </c>
      <c r="E1343" s="234">
        <v>1</v>
      </c>
      <c r="G1343" s="508" t="s">
        <v>23</v>
      </c>
      <c r="H1343" s="493" t="s">
        <v>1238</v>
      </c>
      <c r="I1343" s="460" t="s">
        <v>4879</v>
      </c>
      <c r="J1343" s="495" t="s">
        <v>2910</v>
      </c>
      <c r="K1343" s="496" t="s">
        <v>641</v>
      </c>
      <c r="L1343" s="497">
        <v>109.12</v>
      </c>
      <c r="M1343" s="497">
        <v>148.89179999999999</v>
      </c>
      <c r="N1343" s="464">
        <v>16247.073216000001</v>
      </c>
      <c r="O1343" s="498" t="s">
        <v>2918</v>
      </c>
      <c r="P1343" s="431" t="s">
        <v>6711</v>
      </c>
    </row>
    <row r="1344" spans="1:16" ht="13.5" hidden="1" customHeight="1" outlineLevel="2" x14ac:dyDescent="0.2">
      <c r="A1344" s="233">
        <v>0</v>
      </c>
      <c r="B1344" s="233">
        <v>13</v>
      </c>
      <c r="C1344" s="233">
        <v>11</v>
      </c>
      <c r="D1344" s="234">
        <v>3</v>
      </c>
      <c r="E1344" s="234">
        <v>0</v>
      </c>
      <c r="G1344" s="507"/>
      <c r="H1344" s="487" t="s">
        <v>1237</v>
      </c>
      <c r="I1344" s="452" t="s">
        <v>4880</v>
      </c>
      <c r="J1344" s="489" t="s">
        <v>2924</v>
      </c>
      <c r="K1344" s="490"/>
      <c r="L1344" s="491"/>
      <c r="M1344" s="491"/>
      <c r="N1344" s="456">
        <v>116469.79429933301</v>
      </c>
      <c r="O1344" s="492"/>
      <c r="P1344" s="430"/>
    </row>
    <row r="1345" spans="1:16" ht="13.5" hidden="1" customHeight="1" outlineLevel="3" x14ac:dyDescent="0.2">
      <c r="A1345" s="233">
        <v>0</v>
      </c>
      <c r="B1345" s="233">
        <v>13</v>
      </c>
      <c r="C1345" s="233">
        <v>11</v>
      </c>
      <c r="D1345" s="234">
        <v>3</v>
      </c>
      <c r="E1345" s="234">
        <v>1</v>
      </c>
      <c r="G1345" s="508" t="s">
        <v>23</v>
      </c>
      <c r="H1345" s="493" t="s">
        <v>1238</v>
      </c>
      <c r="I1345" s="460" t="s">
        <v>4881</v>
      </c>
      <c r="J1345" s="495" t="s">
        <v>2907</v>
      </c>
      <c r="K1345" s="496" t="s">
        <v>641</v>
      </c>
      <c r="L1345" s="497">
        <v>1936.1899999999998</v>
      </c>
      <c r="M1345" s="497">
        <v>34.058466666666661</v>
      </c>
      <c r="N1345" s="464">
        <v>65943.662575333306</v>
      </c>
      <c r="O1345" s="498" t="s">
        <v>2916</v>
      </c>
      <c r="P1345" s="431" t="s">
        <v>6711</v>
      </c>
    </row>
    <row r="1346" spans="1:16" ht="13.5" hidden="1" customHeight="1" outlineLevel="3" x14ac:dyDescent="0.2">
      <c r="A1346" s="233">
        <v>0</v>
      </c>
      <c r="B1346" s="233">
        <v>13</v>
      </c>
      <c r="C1346" s="233">
        <v>11</v>
      </c>
      <c r="D1346" s="234">
        <v>3</v>
      </c>
      <c r="E1346" s="234">
        <v>2</v>
      </c>
      <c r="G1346" s="508" t="s">
        <v>23</v>
      </c>
      <c r="H1346" s="493" t="s">
        <v>1238</v>
      </c>
      <c r="I1346" s="460" t="s">
        <v>4882</v>
      </c>
      <c r="J1346" s="495" t="s">
        <v>2910</v>
      </c>
      <c r="K1346" s="496" t="s">
        <v>641</v>
      </c>
      <c r="L1346" s="497">
        <v>199.37999999999997</v>
      </c>
      <c r="M1346" s="497">
        <v>148.89179999999999</v>
      </c>
      <c r="N1346" s="464">
        <v>29686.047084000002</v>
      </c>
      <c r="O1346" s="498" t="s">
        <v>2917</v>
      </c>
      <c r="P1346" s="431" t="s">
        <v>6711</v>
      </c>
    </row>
    <row r="1347" spans="1:16" ht="13.5" hidden="1" customHeight="1" outlineLevel="3" x14ac:dyDescent="0.2">
      <c r="A1347" s="233">
        <v>0</v>
      </c>
      <c r="B1347" s="233">
        <v>13</v>
      </c>
      <c r="C1347" s="233">
        <v>11</v>
      </c>
      <c r="D1347" s="234">
        <v>3</v>
      </c>
      <c r="E1347" s="234">
        <v>3</v>
      </c>
      <c r="G1347" s="508" t="s">
        <v>23</v>
      </c>
      <c r="H1347" s="493" t="s">
        <v>1238</v>
      </c>
      <c r="I1347" s="460" t="s">
        <v>4883</v>
      </c>
      <c r="J1347" s="495" t="s">
        <v>2912</v>
      </c>
      <c r="K1347" s="496" t="s">
        <v>641</v>
      </c>
      <c r="L1347" s="497">
        <v>156.47999999999996</v>
      </c>
      <c r="M1347" s="497">
        <v>133.18049999999999</v>
      </c>
      <c r="N1347" s="464">
        <v>20840.084640000001</v>
      </c>
      <c r="O1347" s="498" t="s">
        <v>2920</v>
      </c>
      <c r="P1347" s="431" t="s">
        <v>6711</v>
      </c>
    </row>
    <row r="1348" spans="1:16" ht="13.5" hidden="1" customHeight="1" outlineLevel="2" x14ac:dyDescent="0.2">
      <c r="A1348" s="233">
        <v>0</v>
      </c>
      <c r="B1348" s="233">
        <v>13</v>
      </c>
      <c r="C1348" s="233">
        <v>11</v>
      </c>
      <c r="D1348" s="234">
        <v>4</v>
      </c>
      <c r="E1348" s="234">
        <v>0</v>
      </c>
      <c r="G1348" s="507"/>
      <c r="H1348" s="487" t="s">
        <v>1237</v>
      </c>
      <c r="I1348" s="452" t="s">
        <v>4884</v>
      </c>
      <c r="J1348" s="489" t="s">
        <v>2318</v>
      </c>
      <c r="K1348" s="490"/>
      <c r="L1348" s="491"/>
      <c r="M1348" s="491"/>
      <c r="N1348" s="456">
        <v>35370.398802666699</v>
      </c>
      <c r="O1348" s="492"/>
      <c r="P1348" s="430"/>
    </row>
    <row r="1349" spans="1:16" ht="13.5" hidden="1" customHeight="1" outlineLevel="3" x14ac:dyDescent="0.2">
      <c r="A1349" s="233">
        <v>0</v>
      </c>
      <c r="B1349" s="233">
        <v>13</v>
      </c>
      <c r="C1349" s="233">
        <v>11</v>
      </c>
      <c r="D1349" s="234">
        <v>4</v>
      </c>
      <c r="E1349" s="234">
        <v>1</v>
      </c>
      <c r="G1349" s="508" t="s">
        <v>23</v>
      </c>
      <c r="H1349" s="493" t="s">
        <v>1238</v>
      </c>
      <c r="I1349" s="460" t="s">
        <v>4885</v>
      </c>
      <c r="J1349" s="495" t="s">
        <v>2907</v>
      </c>
      <c r="K1349" s="496" t="s">
        <v>641</v>
      </c>
      <c r="L1349" s="497">
        <v>1038.52</v>
      </c>
      <c r="M1349" s="497">
        <v>34.058466666666661</v>
      </c>
      <c r="N1349" s="464">
        <v>35370.398802666699</v>
      </c>
      <c r="O1349" s="498"/>
      <c r="P1349" s="431" t="s">
        <v>6711</v>
      </c>
    </row>
    <row r="1350" spans="1:16" ht="13.5" hidden="1" customHeight="1" outlineLevel="2" x14ac:dyDescent="0.2">
      <c r="A1350" s="233">
        <v>0</v>
      </c>
      <c r="B1350" s="233">
        <v>13</v>
      </c>
      <c r="C1350" s="233">
        <v>11</v>
      </c>
      <c r="D1350" s="234">
        <v>5</v>
      </c>
      <c r="E1350" s="234">
        <v>0</v>
      </c>
      <c r="G1350" s="507"/>
      <c r="H1350" s="487" t="s">
        <v>1237</v>
      </c>
      <c r="I1350" s="452" t="s">
        <v>4886</v>
      </c>
      <c r="J1350" s="489" t="s">
        <v>2319</v>
      </c>
      <c r="K1350" s="490"/>
      <c r="L1350" s="491"/>
      <c r="M1350" s="491"/>
      <c r="N1350" s="456">
        <v>3854.4065999999998</v>
      </c>
      <c r="O1350" s="492"/>
      <c r="P1350" s="430"/>
    </row>
    <row r="1351" spans="1:16" ht="13.5" hidden="1" customHeight="1" outlineLevel="3" x14ac:dyDescent="0.2">
      <c r="A1351" s="233">
        <v>0</v>
      </c>
      <c r="B1351" s="233">
        <v>13</v>
      </c>
      <c r="C1351" s="233">
        <v>11</v>
      </c>
      <c r="D1351" s="234">
        <v>5</v>
      </c>
      <c r="E1351" s="234">
        <v>1</v>
      </c>
      <c r="G1351" s="508" t="s">
        <v>23</v>
      </c>
      <c r="H1351" s="493" t="s">
        <v>1238</v>
      </c>
      <c r="I1351" s="460" t="s">
        <v>4887</v>
      </c>
      <c r="J1351" s="495" t="s">
        <v>1616</v>
      </c>
      <c r="K1351" s="496" t="s">
        <v>533</v>
      </c>
      <c r="L1351" s="497">
        <v>440</v>
      </c>
      <c r="M1351" s="497">
        <v>8.760015000000001</v>
      </c>
      <c r="N1351" s="464">
        <v>3854.4065999999998</v>
      </c>
      <c r="O1351" s="498" t="s">
        <v>2943</v>
      </c>
      <c r="P1351" s="431" t="s">
        <v>6711</v>
      </c>
    </row>
    <row r="1352" spans="1:16" ht="13.5" hidden="1" customHeight="1" outlineLevel="2" x14ac:dyDescent="0.2">
      <c r="A1352" s="233">
        <v>0</v>
      </c>
      <c r="B1352" s="233">
        <v>13</v>
      </c>
      <c r="C1352" s="233">
        <v>11</v>
      </c>
      <c r="D1352" s="234">
        <v>6</v>
      </c>
      <c r="E1352" s="234">
        <v>0</v>
      </c>
      <c r="G1352" s="507"/>
      <c r="H1352" s="487" t="s">
        <v>1237</v>
      </c>
      <c r="I1352" s="452" t="s">
        <v>4888</v>
      </c>
      <c r="J1352" s="489" t="s">
        <v>1247</v>
      </c>
      <c r="K1352" s="490"/>
      <c r="L1352" s="491"/>
      <c r="M1352" s="491"/>
      <c r="N1352" s="456">
        <v>160831.67000000001</v>
      </c>
      <c r="O1352" s="492"/>
      <c r="P1352" s="430"/>
    </row>
    <row r="1353" spans="1:16" ht="13.5" hidden="1" customHeight="1" outlineLevel="3" x14ac:dyDescent="0.2">
      <c r="A1353" s="233">
        <v>0</v>
      </c>
      <c r="B1353" s="233">
        <v>13</v>
      </c>
      <c r="C1353" s="233">
        <v>11</v>
      </c>
      <c r="D1353" s="234">
        <v>6</v>
      </c>
      <c r="E1353" s="234">
        <v>1</v>
      </c>
      <c r="G1353" s="508" t="s">
        <v>23</v>
      </c>
      <c r="H1353" s="493" t="s">
        <v>1238</v>
      </c>
      <c r="I1353" s="460" t="s">
        <v>4889</v>
      </c>
      <c r="J1353" s="495" t="s">
        <v>469</v>
      </c>
      <c r="K1353" s="496" t="s">
        <v>641</v>
      </c>
      <c r="L1353" s="497">
        <v>977.90999999999985</v>
      </c>
      <c r="M1353" s="497">
        <v>20</v>
      </c>
      <c r="N1353" s="464">
        <v>19558.2</v>
      </c>
      <c r="O1353" s="498"/>
      <c r="P1353" s="431" t="s">
        <v>6711</v>
      </c>
    </row>
    <row r="1354" spans="1:16" ht="13.5" hidden="1" customHeight="1" outlineLevel="3" x14ac:dyDescent="0.2">
      <c r="A1354" s="233">
        <v>0</v>
      </c>
      <c r="B1354" s="233">
        <v>13</v>
      </c>
      <c r="C1354" s="233">
        <v>11</v>
      </c>
      <c r="D1354" s="234">
        <v>6</v>
      </c>
      <c r="E1354" s="234">
        <v>2</v>
      </c>
      <c r="G1354" s="508" t="s">
        <v>23</v>
      </c>
      <c r="H1354" s="493" t="s">
        <v>1238</v>
      </c>
      <c r="I1354" s="460" t="s">
        <v>4890</v>
      </c>
      <c r="J1354" s="495" t="s">
        <v>470</v>
      </c>
      <c r="K1354" s="496" t="s">
        <v>641</v>
      </c>
      <c r="L1354" s="497">
        <v>116.68999999999996</v>
      </c>
      <c r="M1354" s="497">
        <v>35</v>
      </c>
      <c r="N1354" s="464">
        <v>4084.15</v>
      </c>
      <c r="O1354" s="498"/>
      <c r="P1354" s="431" t="s">
        <v>6711</v>
      </c>
    </row>
    <row r="1355" spans="1:16" ht="13.5" hidden="1" customHeight="1" outlineLevel="3" x14ac:dyDescent="0.2">
      <c r="A1355" s="233">
        <v>0</v>
      </c>
      <c r="B1355" s="233">
        <v>13</v>
      </c>
      <c r="C1355" s="233">
        <v>11</v>
      </c>
      <c r="D1355" s="234">
        <v>6</v>
      </c>
      <c r="E1355" s="234">
        <v>3</v>
      </c>
      <c r="G1355" s="508" t="s">
        <v>23</v>
      </c>
      <c r="H1355" s="493" t="s">
        <v>1238</v>
      </c>
      <c r="I1355" s="460" t="s">
        <v>4891</v>
      </c>
      <c r="J1355" s="495" t="s">
        <v>2931</v>
      </c>
      <c r="K1355" s="496" t="s">
        <v>641</v>
      </c>
      <c r="L1355" s="497">
        <v>2974.71</v>
      </c>
      <c r="M1355" s="497">
        <v>32</v>
      </c>
      <c r="N1355" s="464">
        <v>95190.720000000001</v>
      </c>
      <c r="O1355" s="498"/>
      <c r="P1355" s="431" t="s">
        <v>6711</v>
      </c>
    </row>
    <row r="1356" spans="1:16" ht="13.5" hidden="1" customHeight="1" outlineLevel="3" x14ac:dyDescent="0.2">
      <c r="A1356" s="233">
        <v>0</v>
      </c>
      <c r="B1356" s="233">
        <v>13</v>
      </c>
      <c r="C1356" s="233">
        <v>11</v>
      </c>
      <c r="D1356" s="234">
        <v>6</v>
      </c>
      <c r="E1356" s="234">
        <v>4</v>
      </c>
      <c r="G1356" s="508" t="s">
        <v>23</v>
      </c>
      <c r="H1356" s="493" t="s">
        <v>1238</v>
      </c>
      <c r="I1356" s="460" t="s">
        <v>4892</v>
      </c>
      <c r="J1356" s="495" t="s">
        <v>2935</v>
      </c>
      <c r="K1356" s="496" t="s">
        <v>641</v>
      </c>
      <c r="L1356" s="497">
        <v>156.47999999999996</v>
      </c>
      <c r="M1356" s="497">
        <v>45</v>
      </c>
      <c r="N1356" s="464">
        <v>7041.6</v>
      </c>
      <c r="O1356" s="498"/>
      <c r="P1356" s="431" t="s">
        <v>6711</v>
      </c>
    </row>
    <row r="1357" spans="1:16" ht="13.5" hidden="1" customHeight="1" outlineLevel="3" x14ac:dyDescent="0.2">
      <c r="A1357" s="233">
        <v>0</v>
      </c>
      <c r="B1357" s="233">
        <v>13</v>
      </c>
      <c r="C1357" s="233">
        <v>11</v>
      </c>
      <c r="D1357" s="234">
        <v>6</v>
      </c>
      <c r="E1357" s="234">
        <v>5</v>
      </c>
      <c r="G1357" s="508" t="s">
        <v>23</v>
      </c>
      <c r="H1357" s="493" t="s">
        <v>1238</v>
      </c>
      <c r="I1357" s="460" t="s">
        <v>4893</v>
      </c>
      <c r="J1357" s="495" t="s">
        <v>2938</v>
      </c>
      <c r="K1357" s="496" t="s">
        <v>641</v>
      </c>
      <c r="L1357" s="497">
        <v>308.5</v>
      </c>
      <c r="M1357" s="497">
        <v>42</v>
      </c>
      <c r="N1357" s="464">
        <v>12957</v>
      </c>
      <c r="O1357" s="498"/>
      <c r="P1357" s="431" t="s">
        <v>6711</v>
      </c>
    </row>
    <row r="1358" spans="1:16" ht="13.5" hidden="1" customHeight="1" outlineLevel="3" x14ac:dyDescent="0.2">
      <c r="A1358" s="233">
        <v>0</v>
      </c>
      <c r="B1358" s="233">
        <v>13</v>
      </c>
      <c r="C1358" s="233">
        <v>11</v>
      </c>
      <c r="D1358" s="234">
        <v>6</v>
      </c>
      <c r="E1358" s="234">
        <v>6</v>
      </c>
      <c r="G1358" s="508" t="s">
        <v>23</v>
      </c>
      <c r="H1358" s="493" t="s">
        <v>1238</v>
      </c>
      <c r="I1358" s="460" t="s">
        <v>4894</v>
      </c>
      <c r="J1358" s="461" t="s">
        <v>477</v>
      </c>
      <c r="K1358" s="496" t="s">
        <v>533</v>
      </c>
      <c r="L1358" s="497">
        <v>440</v>
      </c>
      <c r="M1358" s="497">
        <v>50</v>
      </c>
      <c r="N1358" s="464">
        <v>22000</v>
      </c>
      <c r="O1358" s="498"/>
      <c r="P1358" s="431" t="s">
        <v>6711</v>
      </c>
    </row>
    <row r="1359" spans="1:16" ht="13.5" hidden="1" customHeight="1" outlineLevel="1" x14ac:dyDescent="0.2">
      <c r="A1359" s="233">
        <v>0</v>
      </c>
      <c r="B1359" s="233">
        <v>13</v>
      </c>
      <c r="C1359" s="233">
        <v>12</v>
      </c>
      <c r="D1359" s="234">
        <v>0</v>
      </c>
      <c r="E1359" s="234">
        <v>6</v>
      </c>
      <c r="G1359" s="506"/>
      <c r="H1359" s="481" t="s">
        <v>38</v>
      </c>
      <c r="I1359" s="445" t="s">
        <v>4895</v>
      </c>
      <c r="J1359" s="483" t="s">
        <v>2370</v>
      </c>
      <c r="K1359" s="484"/>
      <c r="L1359" s="485"/>
      <c r="M1359" s="485"/>
      <c r="N1359" s="449">
        <v>29621.327888</v>
      </c>
      <c r="O1359" s="486">
        <v>1.76847232739511</v>
      </c>
      <c r="P1359" s="429"/>
    </row>
    <row r="1360" spans="1:16" ht="13.5" hidden="1" customHeight="1" outlineLevel="2" x14ac:dyDescent="0.2">
      <c r="A1360" s="233">
        <v>0</v>
      </c>
      <c r="B1360" s="233">
        <v>13</v>
      </c>
      <c r="C1360" s="233">
        <v>12</v>
      </c>
      <c r="D1360" s="234">
        <v>1</v>
      </c>
      <c r="E1360" s="234">
        <v>0</v>
      </c>
      <c r="G1360" s="507"/>
      <c r="H1360" s="487" t="s">
        <v>1237</v>
      </c>
      <c r="I1360" s="452" t="s">
        <v>4896</v>
      </c>
      <c r="J1360" s="489" t="s">
        <v>24</v>
      </c>
      <c r="K1360" s="490"/>
      <c r="L1360" s="491"/>
      <c r="M1360" s="491"/>
      <c r="N1360" s="456">
        <v>1327.886107</v>
      </c>
      <c r="O1360" s="492">
        <v>7.9278344409173404E-2</v>
      </c>
      <c r="P1360" s="430"/>
    </row>
    <row r="1361" spans="1:16" ht="13.5" hidden="1" customHeight="1" outlineLevel="3" x14ac:dyDescent="0.2">
      <c r="A1361" s="233">
        <v>0</v>
      </c>
      <c r="B1361" s="233">
        <v>13</v>
      </c>
      <c r="C1361" s="233">
        <v>12</v>
      </c>
      <c r="D1361" s="234">
        <v>1</v>
      </c>
      <c r="E1361" s="234">
        <v>1</v>
      </c>
      <c r="G1361" s="508" t="s">
        <v>23</v>
      </c>
      <c r="H1361" s="493" t="s">
        <v>1238</v>
      </c>
      <c r="I1361" s="460" t="s">
        <v>4897</v>
      </c>
      <c r="J1361" s="495" t="s">
        <v>441</v>
      </c>
      <c r="K1361" s="496" t="s">
        <v>641</v>
      </c>
      <c r="L1361" s="497">
        <v>110.52999999999999</v>
      </c>
      <c r="M1361" s="497">
        <v>7.0658999999999992</v>
      </c>
      <c r="N1361" s="464">
        <v>780.99392699999999</v>
      </c>
      <c r="O1361" s="498" t="s">
        <v>2928</v>
      </c>
      <c r="P1361" s="431" t="s">
        <v>6711</v>
      </c>
    </row>
    <row r="1362" spans="1:16" ht="13.5" hidden="1" customHeight="1" outlineLevel="3" x14ac:dyDescent="0.2">
      <c r="A1362" s="233">
        <v>0</v>
      </c>
      <c r="B1362" s="233">
        <v>13</v>
      </c>
      <c r="C1362" s="233">
        <v>12</v>
      </c>
      <c r="D1362" s="234">
        <v>1</v>
      </c>
      <c r="E1362" s="234">
        <v>2</v>
      </c>
      <c r="G1362" s="508" t="s">
        <v>23</v>
      </c>
      <c r="H1362" s="493" t="s">
        <v>1238</v>
      </c>
      <c r="I1362" s="460" t="s">
        <v>4898</v>
      </c>
      <c r="J1362" s="495" t="s">
        <v>443</v>
      </c>
      <c r="K1362" s="496" t="s">
        <v>641</v>
      </c>
      <c r="L1362" s="497">
        <v>11.08</v>
      </c>
      <c r="M1362" s="497">
        <v>49.358499999999999</v>
      </c>
      <c r="N1362" s="464">
        <v>546.89218000000005</v>
      </c>
      <c r="O1362" s="498" t="s">
        <v>2929</v>
      </c>
      <c r="P1362" s="431" t="s">
        <v>6711</v>
      </c>
    </row>
    <row r="1363" spans="1:16" ht="13.5" hidden="1" customHeight="1" outlineLevel="2" x14ac:dyDescent="0.2">
      <c r="A1363" s="233">
        <v>0</v>
      </c>
      <c r="B1363" s="233">
        <v>13</v>
      </c>
      <c r="C1363" s="233">
        <v>12</v>
      </c>
      <c r="D1363" s="234">
        <v>2</v>
      </c>
      <c r="E1363" s="234">
        <v>0</v>
      </c>
      <c r="G1363" s="507"/>
      <c r="H1363" s="487" t="s">
        <v>1237</v>
      </c>
      <c r="I1363" s="452" t="s">
        <v>4899</v>
      </c>
      <c r="J1363" s="489" t="s">
        <v>2925</v>
      </c>
      <c r="K1363" s="490"/>
      <c r="L1363" s="491"/>
      <c r="M1363" s="491"/>
      <c r="N1363" s="456">
        <v>9561.8313959999996</v>
      </c>
      <c r="O1363" s="492"/>
      <c r="P1363" s="430"/>
    </row>
    <row r="1364" spans="1:16" ht="13.5" hidden="1" customHeight="1" outlineLevel="3" x14ac:dyDescent="0.2">
      <c r="A1364" s="233">
        <v>0</v>
      </c>
      <c r="B1364" s="233">
        <v>13</v>
      </c>
      <c r="C1364" s="233">
        <v>12</v>
      </c>
      <c r="D1364" s="234">
        <v>2</v>
      </c>
      <c r="E1364" s="234">
        <v>1</v>
      </c>
      <c r="G1364" s="508" t="s">
        <v>23</v>
      </c>
      <c r="H1364" s="493" t="s">
        <v>1238</v>
      </c>
      <c r="I1364" s="460" t="s">
        <v>4900</v>
      </c>
      <c r="J1364" s="495" t="s">
        <v>2910</v>
      </c>
      <c r="K1364" s="496" t="s">
        <v>641</v>
      </c>
      <c r="L1364" s="497">
        <v>64.22</v>
      </c>
      <c r="M1364" s="497">
        <v>148.89179999999999</v>
      </c>
      <c r="N1364" s="464">
        <v>9561.8313959999996</v>
      </c>
      <c r="O1364" s="498" t="s">
        <v>2918</v>
      </c>
      <c r="P1364" s="431" t="s">
        <v>6711</v>
      </c>
    </row>
    <row r="1365" spans="1:16" ht="13.5" hidden="1" customHeight="1" outlineLevel="2" x14ac:dyDescent="0.2">
      <c r="A1365" s="233">
        <v>0</v>
      </c>
      <c r="B1365" s="233">
        <v>13</v>
      </c>
      <c r="C1365" s="233">
        <v>12</v>
      </c>
      <c r="D1365" s="234">
        <v>3</v>
      </c>
      <c r="E1365" s="234">
        <v>0</v>
      </c>
      <c r="G1365" s="507"/>
      <c r="H1365" s="487" t="s">
        <v>1237</v>
      </c>
      <c r="I1365" s="452" t="s">
        <v>4901</v>
      </c>
      <c r="J1365" s="489" t="s">
        <v>2924</v>
      </c>
      <c r="K1365" s="490"/>
      <c r="L1365" s="491"/>
      <c r="M1365" s="491"/>
      <c r="N1365" s="456">
        <v>5521.3217616666698</v>
      </c>
      <c r="O1365" s="492"/>
      <c r="P1365" s="430"/>
    </row>
    <row r="1366" spans="1:16" ht="13.5" hidden="1" customHeight="1" outlineLevel="3" x14ac:dyDescent="0.2">
      <c r="A1366" s="233">
        <v>0</v>
      </c>
      <c r="B1366" s="233">
        <v>13</v>
      </c>
      <c r="C1366" s="233">
        <v>12</v>
      </c>
      <c r="D1366" s="234">
        <v>3</v>
      </c>
      <c r="E1366" s="234">
        <v>1</v>
      </c>
      <c r="G1366" s="508" t="s">
        <v>23</v>
      </c>
      <c r="H1366" s="493" t="s">
        <v>1238</v>
      </c>
      <c r="I1366" s="460" t="s">
        <v>4902</v>
      </c>
      <c r="J1366" s="495" t="s">
        <v>2907</v>
      </c>
      <c r="K1366" s="496" t="s">
        <v>641</v>
      </c>
      <c r="L1366" s="497">
        <v>93.61</v>
      </c>
      <c r="M1366" s="497">
        <v>34.058466666666661</v>
      </c>
      <c r="N1366" s="464">
        <v>3188.2130646666701</v>
      </c>
      <c r="O1366" s="498" t="s">
        <v>2916</v>
      </c>
      <c r="P1366" s="431" t="s">
        <v>6711</v>
      </c>
    </row>
    <row r="1367" spans="1:16" ht="13.5" hidden="1" customHeight="1" outlineLevel="3" x14ac:dyDescent="0.2">
      <c r="A1367" s="233">
        <v>0</v>
      </c>
      <c r="B1367" s="233">
        <v>13</v>
      </c>
      <c r="C1367" s="233">
        <v>12</v>
      </c>
      <c r="D1367" s="234">
        <v>3</v>
      </c>
      <c r="E1367" s="234">
        <v>2</v>
      </c>
      <c r="G1367" s="508" t="s">
        <v>23</v>
      </c>
      <c r="H1367" s="493" t="s">
        <v>1238</v>
      </c>
      <c r="I1367" s="460" t="s">
        <v>4903</v>
      </c>
      <c r="J1367" s="495" t="s">
        <v>2910</v>
      </c>
      <c r="K1367" s="496" t="s">
        <v>641</v>
      </c>
      <c r="L1367" s="497">
        <v>4.1400000000000006</v>
      </c>
      <c r="M1367" s="497">
        <v>148.89179999999999</v>
      </c>
      <c r="N1367" s="464">
        <v>616.41205200000002</v>
      </c>
      <c r="O1367" s="498" t="s">
        <v>2917</v>
      </c>
      <c r="P1367" s="431" t="s">
        <v>6711</v>
      </c>
    </row>
    <row r="1368" spans="1:16" ht="13.5" hidden="1" customHeight="1" outlineLevel="3" x14ac:dyDescent="0.2">
      <c r="A1368" s="233">
        <v>0</v>
      </c>
      <c r="B1368" s="233">
        <v>13</v>
      </c>
      <c r="C1368" s="233">
        <v>12</v>
      </c>
      <c r="D1368" s="234">
        <v>3</v>
      </c>
      <c r="E1368" s="234">
        <v>3</v>
      </c>
      <c r="G1368" s="508" t="s">
        <v>23</v>
      </c>
      <c r="H1368" s="493" t="s">
        <v>1238</v>
      </c>
      <c r="I1368" s="460" t="s">
        <v>4904</v>
      </c>
      <c r="J1368" s="495" t="s">
        <v>2912</v>
      </c>
      <c r="K1368" s="496" t="s">
        <v>641</v>
      </c>
      <c r="L1368" s="497">
        <v>12.89</v>
      </c>
      <c r="M1368" s="497">
        <v>133.18049999999999</v>
      </c>
      <c r="N1368" s="464">
        <v>1716.696645</v>
      </c>
      <c r="O1368" s="498" t="s">
        <v>2920</v>
      </c>
      <c r="P1368" s="431" t="s">
        <v>6711</v>
      </c>
    </row>
    <row r="1369" spans="1:16" ht="13.5" hidden="1" customHeight="1" outlineLevel="2" x14ac:dyDescent="0.2">
      <c r="A1369" s="233">
        <v>0</v>
      </c>
      <c r="B1369" s="233">
        <v>13</v>
      </c>
      <c r="C1369" s="233">
        <v>12</v>
      </c>
      <c r="D1369" s="234">
        <v>4</v>
      </c>
      <c r="E1369" s="234">
        <v>0</v>
      </c>
      <c r="G1369" s="507"/>
      <c r="H1369" s="487" t="s">
        <v>1237</v>
      </c>
      <c r="I1369" s="452" t="s">
        <v>4905</v>
      </c>
      <c r="J1369" s="489" t="s">
        <v>2318</v>
      </c>
      <c r="K1369" s="490"/>
      <c r="L1369" s="491"/>
      <c r="M1369" s="491"/>
      <c r="N1369" s="456">
        <v>1723.35841333333</v>
      </c>
      <c r="O1369" s="492"/>
      <c r="P1369" s="430"/>
    </row>
    <row r="1370" spans="1:16" ht="13.5" hidden="1" customHeight="1" outlineLevel="3" x14ac:dyDescent="0.2">
      <c r="A1370" s="233">
        <v>0</v>
      </c>
      <c r="B1370" s="233">
        <v>13</v>
      </c>
      <c r="C1370" s="233">
        <v>12</v>
      </c>
      <c r="D1370" s="234">
        <v>4</v>
      </c>
      <c r="E1370" s="234">
        <v>1</v>
      </c>
      <c r="G1370" s="508" t="s">
        <v>23</v>
      </c>
      <c r="H1370" s="493" t="s">
        <v>1238</v>
      </c>
      <c r="I1370" s="460" t="s">
        <v>4906</v>
      </c>
      <c r="J1370" s="495" t="s">
        <v>2907</v>
      </c>
      <c r="K1370" s="496" t="s">
        <v>641</v>
      </c>
      <c r="L1370" s="497">
        <v>50.6</v>
      </c>
      <c r="M1370" s="497">
        <v>34.058466666666661</v>
      </c>
      <c r="N1370" s="464">
        <v>1723.35841333333</v>
      </c>
      <c r="O1370" s="498"/>
      <c r="P1370" s="431" t="s">
        <v>6711</v>
      </c>
    </row>
    <row r="1371" spans="1:16" ht="13.5" hidden="1" customHeight="1" outlineLevel="2" x14ac:dyDescent="0.2">
      <c r="A1371" s="233">
        <v>0</v>
      </c>
      <c r="B1371" s="233">
        <v>13</v>
      </c>
      <c r="C1371" s="233">
        <v>12</v>
      </c>
      <c r="D1371" s="234">
        <v>5</v>
      </c>
      <c r="E1371" s="234">
        <v>0</v>
      </c>
      <c r="G1371" s="507"/>
      <c r="H1371" s="487" t="s">
        <v>1237</v>
      </c>
      <c r="I1371" s="452" t="s">
        <v>4907</v>
      </c>
      <c r="J1371" s="489" t="s">
        <v>2319</v>
      </c>
      <c r="K1371" s="490"/>
      <c r="L1371" s="491"/>
      <c r="M1371" s="491"/>
      <c r="N1371" s="456">
        <v>122.64021</v>
      </c>
      <c r="O1371" s="492"/>
      <c r="P1371" s="430"/>
    </row>
    <row r="1372" spans="1:16" ht="13.5" hidden="1" customHeight="1" outlineLevel="3" x14ac:dyDescent="0.2">
      <c r="A1372" s="233">
        <v>0</v>
      </c>
      <c r="B1372" s="233">
        <v>13</v>
      </c>
      <c r="C1372" s="233">
        <v>12</v>
      </c>
      <c r="D1372" s="234">
        <v>5</v>
      </c>
      <c r="E1372" s="234">
        <v>1</v>
      </c>
      <c r="G1372" s="508" t="s">
        <v>23</v>
      </c>
      <c r="H1372" s="493" t="s">
        <v>1238</v>
      </c>
      <c r="I1372" s="460" t="s">
        <v>4908</v>
      </c>
      <c r="J1372" s="495" t="s">
        <v>1616</v>
      </c>
      <c r="K1372" s="496" t="s">
        <v>533</v>
      </c>
      <c r="L1372" s="497">
        <v>14</v>
      </c>
      <c r="M1372" s="497">
        <v>8.760015000000001</v>
      </c>
      <c r="N1372" s="464">
        <v>122.64021</v>
      </c>
      <c r="O1372" s="498"/>
      <c r="P1372" s="431" t="s">
        <v>6711</v>
      </c>
    </row>
    <row r="1373" spans="1:16" ht="13.5" hidden="1" customHeight="1" outlineLevel="2" x14ac:dyDescent="0.2">
      <c r="A1373" s="233">
        <v>0</v>
      </c>
      <c r="B1373" s="233">
        <v>13</v>
      </c>
      <c r="C1373" s="233">
        <v>12</v>
      </c>
      <c r="D1373" s="234">
        <v>6</v>
      </c>
      <c r="E1373" s="234">
        <v>0</v>
      </c>
      <c r="G1373" s="507"/>
      <c r="H1373" s="487" t="s">
        <v>1237</v>
      </c>
      <c r="I1373" s="452" t="s">
        <v>4909</v>
      </c>
      <c r="J1373" s="489" t="s">
        <v>1247</v>
      </c>
      <c r="K1373" s="490"/>
      <c r="L1373" s="491"/>
      <c r="M1373" s="491"/>
      <c r="N1373" s="456">
        <v>11364.29</v>
      </c>
      <c r="O1373" s="492"/>
      <c r="P1373" s="430"/>
    </row>
    <row r="1374" spans="1:16" ht="13.5" hidden="1" customHeight="1" outlineLevel="3" x14ac:dyDescent="0.2">
      <c r="A1374" s="233">
        <v>0</v>
      </c>
      <c r="B1374" s="233">
        <v>13</v>
      </c>
      <c r="C1374" s="233">
        <v>12</v>
      </c>
      <c r="D1374" s="234">
        <v>6</v>
      </c>
      <c r="E1374" s="234">
        <v>1</v>
      </c>
      <c r="G1374" s="508" t="s">
        <v>23</v>
      </c>
      <c r="H1374" s="493" t="s">
        <v>1238</v>
      </c>
      <c r="I1374" s="460" t="s">
        <v>4910</v>
      </c>
      <c r="J1374" s="495" t="s">
        <v>469</v>
      </c>
      <c r="K1374" s="496" t="s">
        <v>641</v>
      </c>
      <c r="L1374" s="497">
        <v>110.52999999999999</v>
      </c>
      <c r="M1374" s="497">
        <v>20</v>
      </c>
      <c r="N1374" s="464">
        <v>2210.6</v>
      </c>
      <c r="O1374" s="498"/>
      <c r="P1374" s="431" t="s">
        <v>6711</v>
      </c>
    </row>
    <row r="1375" spans="1:16" ht="13.5" hidden="1" customHeight="1" outlineLevel="3" x14ac:dyDescent="0.2">
      <c r="A1375" s="233">
        <v>0</v>
      </c>
      <c r="B1375" s="233">
        <v>13</v>
      </c>
      <c r="C1375" s="233">
        <v>12</v>
      </c>
      <c r="D1375" s="234">
        <v>6</v>
      </c>
      <c r="E1375" s="234">
        <v>2</v>
      </c>
      <c r="G1375" s="508" t="s">
        <v>23</v>
      </c>
      <c r="H1375" s="493" t="s">
        <v>1238</v>
      </c>
      <c r="I1375" s="460" t="s">
        <v>4911</v>
      </c>
      <c r="J1375" s="495" t="s">
        <v>470</v>
      </c>
      <c r="K1375" s="496" t="s">
        <v>641</v>
      </c>
      <c r="L1375" s="497">
        <v>11.08</v>
      </c>
      <c r="M1375" s="497">
        <v>35</v>
      </c>
      <c r="N1375" s="464">
        <v>387.8</v>
      </c>
      <c r="O1375" s="498"/>
      <c r="P1375" s="431" t="s">
        <v>6711</v>
      </c>
    </row>
    <row r="1376" spans="1:16" ht="13.5" hidden="1" customHeight="1" outlineLevel="3" x14ac:dyDescent="0.2">
      <c r="A1376" s="233">
        <v>0</v>
      </c>
      <c r="B1376" s="233">
        <v>13</v>
      </c>
      <c r="C1376" s="233">
        <v>12</v>
      </c>
      <c r="D1376" s="234">
        <v>6</v>
      </c>
      <c r="E1376" s="234">
        <v>3</v>
      </c>
      <c r="G1376" s="508" t="s">
        <v>23</v>
      </c>
      <c r="H1376" s="493" t="s">
        <v>1238</v>
      </c>
      <c r="I1376" s="460" t="s">
        <v>4912</v>
      </c>
      <c r="J1376" s="495" t="s">
        <v>2931</v>
      </c>
      <c r="K1376" s="496" t="s">
        <v>641</v>
      </c>
      <c r="L1376" s="497">
        <v>144.21</v>
      </c>
      <c r="M1376" s="497">
        <v>32</v>
      </c>
      <c r="N1376" s="464">
        <v>4614.72</v>
      </c>
      <c r="O1376" s="498"/>
      <c r="P1376" s="431" t="s">
        <v>6711</v>
      </c>
    </row>
    <row r="1377" spans="1:16" ht="13.5" hidden="1" customHeight="1" outlineLevel="3" x14ac:dyDescent="0.2">
      <c r="A1377" s="233">
        <v>0</v>
      </c>
      <c r="B1377" s="233">
        <v>13</v>
      </c>
      <c r="C1377" s="233">
        <v>12</v>
      </c>
      <c r="D1377" s="234">
        <v>6</v>
      </c>
      <c r="E1377" s="234">
        <v>4</v>
      </c>
      <c r="G1377" s="508" t="s">
        <v>23</v>
      </c>
      <c r="H1377" s="493" t="s">
        <v>1238</v>
      </c>
      <c r="I1377" s="460" t="s">
        <v>4913</v>
      </c>
      <c r="J1377" s="495" t="s">
        <v>2935</v>
      </c>
      <c r="K1377" s="496" t="s">
        <v>641</v>
      </c>
      <c r="L1377" s="497">
        <v>12.89</v>
      </c>
      <c r="M1377" s="497">
        <v>45</v>
      </c>
      <c r="N1377" s="464">
        <v>580.04999999999995</v>
      </c>
      <c r="O1377" s="498"/>
      <c r="P1377" s="431" t="s">
        <v>6711</v>
      </c>
    </row>
    <row r="1378" spans="1:16" ht="13.5" hidden="1" customHeight="1" outlineLevel="3" x14ac:dyDescent="0.2">
      <c r="A1378" s="233">
        <v>0</v>
      </c>
      <c r="B1378" s="233">
        <v>13</v>
      </c>
      <c r="C1378" s="233">
        <v>12</v>
      </c>
      <c r="D1378" s="234">
        <v>6</v>
      </c>
      <c r="E1378" s="234">
        <v>5</v>
      </c>
      <c r="G1378" s="508" t="s">
        <v>23</v>
      </c>
      <c r="H1378" s="493" t="s">
        <v>1238</v>
      </c>
      <c r="I1378" s="460" t="s">
        <v>4914</v>
      </c>
      <c r="J1378" s="495" t="s">
        <v>2938</v>
      </c>
      <c r="K1378" s="496" t="s">
        <v>641</v>
      </c>
      <c r="L1378" s="497">
        <v>68.36</v>
      </c>
      <c r="M1378" s="497">
        <v>42</v>
      </c>
      <c r="N1378" s="464">
        <v>2871.12</v>
      </c>
      <c r="O1378" s="498"/>
      <c r="P1378" s="431" t="s">
        <v>6711</v>
      </c>
    </row>
    <row r="1379" spans="1:16" ht="13.5" hidden="1" customHeight="1" outlineLevel="3" x14ac:dyDescent="0.2">
      <c r="A1379" s="233">
        <v>0</v>
      </c>
      <c r="B1379" s="233">
        <v>13</v>
      </c>
      <c r="C1379" s="233">
        <v>12</v>
      </c>
      <c r="D1379" s="234">
        <v>6</v>
      </c>
      <c r="E1379" s="234">
        <v>6</v>
      </c>
      <c r="G1379" s="508" t="s">
        <v>23</v>
      </c>
      <c r="H1379" s="493" t="s">
        <v>1238</v>
      </c>
      <c r="I1379" s="460" t="s">
        <v>4915</v>
      </c>
      <c r="J1379" s="461" t="s">
        <v>477</v>
      </c>
      <c r="K1379" s="496" t="s">
        <v>533</v>
      </c>
      <c r="L1379" s="497">
        <v>14</v>
      </c>
      <c r="M1379" s="497">
        <v>50</v>
      </c>
      <c r="N1379" s="464">
        <v>700</v>
      </c>
      <c r="O1379" s="498"/>
      <c r="P1379" s="431" t="s">
        <v>6711</v>
      </c>
    </row>
    <row r="1380" spans="1:16" ht="13.5" hidden="1" customHeight="1" outlineLevel="1" x14ac:dyDescent="0.2">
      <c r="A1380" s="233">
        <v>0</v>
      </c>
      <c r="B1380" s="233">
        <v>13</v>
      </c>
      <c r="C1380" s="233">
        <v>13</v>
      </c>
      <c r="D1380" s="234">
        <v>0</v>
      </c>
      <c r="E1380" s="234">
        <v>6</v>
      </c>
      <c r="G1380" s="506"/>
      <c r="H1380" s="481" t="s">
        <v>38</v>
      </c>
      <c r="I1380" s="445" t="s">
        <v>4916</v>
      </c>
      <c r="J1380" s="483" t="s">
        <v>2371</v>
      </c>
      <c r="K1380" s="484"/>
      <c r="L1380" s="485"/>
      <c r="M1380" s="485"/>
      <c r="N1380" s="449">
        <v>36625.202243333297</v>
      </c>
      <c r="O1380" s="486">
        <v>2.1866223181312399</v>
      </c>
      <c r="P1380" s="429"/>
    </row>
    <row r="1381" spans="1:16" ht="13.5" hidden="1" customHeight="1" outlineLevel="2" x14ac:dyDescent="0.2">
      <c r="A1381" s="233">
        <v>0</v>
      </c>
      <c r="B1381" s="233">
        <v>13</v>
      </c>
      <c r="C1381" s="233">
        <v>13</v>
      </c>
      <c r="D1381" s="234">
        <v>1</v>
      </c>
      <c r="E1381" s="234">
        <v>0</v>
      </c>
      <c r="G1381" s="507"/>
      <c r="H1381" s="487" t="s">
        <v>1237</v>
      </c>
      <c r="I1381" s="452" t="s">
        <v>4917</v>
      </c>
      <c r="J1381" s="489" t="s">
        <v>24</v>
      </c>
      <c r="K1381" s="490"/>
      <c r="L1381" s="491"/>
      <c r="M1381" s="491"/>
      <c r="N1381" s="456">
        <v>3218.1447720000001</v>
      </c>
      <c r="O1381" s="492">
        <v>0.19213183137339401</v>
      </c>
      <c r="P1381" s="430"/>
    </row>
    <row r="1382" spans="1:16" ht="13.5" hidden="1" customHeight="1" outlineLevel="3" x14ac:dyDescent="0.2">
      <c r="A1382" s="233">
        <v>0</v>
      </c>
      <c r="B1382" s="233">
        <v>13</v>
      </c>
      <c r="C1382" s="233">
        <v>13</v>
      </c>
      <c r="D1382" s="234">
        <v>1</v>
      </c>
      <c r="E1382" s="234">
        <v>1</v>
      </c>
      <c r="G1382" s="508" t="s">
        <v>23</v>
      </c>
      <c r="H1382" s="493" t="s">
        <v>1238</v>
      </c>
      <c r="I1382" s="460" t="s">
        <v>4918</v>
      </c>
      <c r="J1382" s="495" t="s">
        <v>441</v>
      </c>
      <c r="K1382" s="496" t="s">
        <v>641</v>
      </c>
      <c r="L1382" s="497">
        <v>113.23</v>
      </c>
      <c r="M1382" s="497">
        <v>7.0658999999999992</v>
      </c>
      <c r="N1382" s="464">
        <v>800.07185700000002</v>
      </c>
      <c r="O1382" s="498" t="s">
        <v>2928</v>
      </c>
      <c r="P1382" s="431" t="s">
        <v>6711</v>
      </c>
    </row>
    <row r="1383" spans="1:16" ht="13.5" hidden="1" customHeight="1" outlineLevel="3" x14ac:dyDescent="0.2">
      <c r="A1383" s="233">
        <v>0</v>
      </c>
      <c r="B1383" s="233">
        <v>13</v>
      </c>
      <c r="C1383" s="233">
        <v>13</v>
      </c>
      <c r="D1383" s="234">
        <v>1</v>
      </c>
      <c r="E1383" s="234">
        <v>2</v>
      </c>
      <c r="G1383" s="508" t="s">
        <v>23</v>
      </c>
      <c r="H1383" s="493" t="s">
        <v>1238</v>
      </c>
      <c r="I1383" s="460" t="s">
        <v>4919</v>
      </c>
      <c r="J1383" s="495" t="s">
        <v>443</v>
      </c>
      <c r="K1383" s="496" t="s">
        <v>641</v>
      </c>
      <c r="L1383" s="497">
        <v>48.99</v>
      </c>
      <c r="M1383" s="497">
        <v>49.358499999999999</v>
      </c>
      <c r="N1383" s="464">
        <v>2418.0729150000002</v>
      </c>
      <c r="O1383" s="498" t="s">
        <v>2929</v>
      </c>
      <c r="P1383" s="431" t="s">
        <v>6711</v>
      </c>
    </row>
    <row r="1384" spans="1:16" ht="13.5" hidden="1" customHeight="1" outlineLevel="2" x14ac:dyDescent="0.2">
      <c r="A1384" s="233">
        <v>0</v>
      </c>
      <c r="B1384" s="233">
        <v>13</v>
      </c>
      <c r="C1384" s="233">
        <v>13</v>
      </c>
      <c r="D1384" s="234">
        <v>2</v>
      </c>
      <c r="E1384" s="234">
        <v>0</v>
      </c>
      <c r="G1384" s="507"/>
      <c r="H1384" s="487" t="s">
        <v>1237</v>
      </c>
      <c r="I1384" s="452" t="s">
        <v>4920</v>
      </c>
      <c r="J1384" s="489" t="s">
        <v>2925</v>
      </c>
      <c r="K1384" s="490"/>
      <c r="L1384" s="491"/>
      <c r="M1384" s="491"/>
      <c r="N1384" s="456">
        <v>13811.860182</v>
      </c>
      <c r="O1384" s="492"/>
      <c r="P1384" s="430"/>
    </row>
    <row r="1385" spans="1:16" ht="13.5" hidden="1" customHeight="1" outlineLevel="3" x14ac:dyDescent="0.2">
      <c r="A1385" s="233">
        <v>0</v>
      </c>
      <c r="B1385" s="233">
        <v>13</v>
      </c>
      <c r="C1385" s="233">
        <v>13</v>
      </c>
      <c r="D1385" s="234">
        <v>2</v>
      </c>
      <c r="E1385" s="234">
        <v>1</v>
      </c>
      <c r="G1385" s="508" t="s">
        <v>23</v>
      </c>
      <c r="H1385" s="493" t="s">
        <v>1238</v>
      </c>
      <c r="I1385" s="460" t="s">
        <v>4921</v>
      </c>
      <c r="J1385" s="495" t="s">
        <v>2912</v>
      </c>
      <c r="K1385" s="496" t="s">
        <v>641</v>
      </c>
      <c r="L1385" s="497">
        <v>48.1</v>
      </c>
      <c r="M1385" s="497">
        <v>133.18049999999999</v>
      </c>
      <c r="N1385" s="464">
        <v>6405.9820499999996</v>
      </c>
      <c r="O1385" s="498" t="s">
        <v>2914</v>
      </c>
      <c r="P1385" s="431" t="s">
        <v>6711</v>
      </c>
    </row>
    <row r="1386" spans="1:16" ht="13.5" hidden="1" customHeight="1" outlineLevel="3" x14ac:dyDescent="0.2">
      <c r="A1386" s="233">
        <v>0</v>
      </c>
      <c r="B1386" s="233">
        <v>13</v>
      </c>
      <c r="C1386" s="233">
        <v>13</v>
      </c>
      <c r="D1386" s="234">
        <v>2</v>
      </c>
      <c r="E1386" s="234">
        <v>2</v>
      </c>
      <c r="G1386" s="508" t="s">
        <v>23</v>
      </c>
      <c r="H1386" s="493" t="s">
        <v>1238</v>
      </c>
      <c r="I1386" s="460" t="s">
        <v>4922</v>
      </c>
      <c r="J1386" s="495" t="s">
        <v>2910</v>
      </c>
      <c r="K1386" s="496" t="s">
        <v>641</v>
      </c>
      <c r="L1386" s="497">
        <v>49.74</v>
      </c>
      <c r="M1386" s="497">
        <v>148.89179999999999</v>
      </c>
      <c r="N1386" s="464">
        <v>7405.8781319999998</v>
      </c>
      <c r="O1386" s="498" t="s">
        <v>2918</v>
      </c>
      <c r="P1386" s="431" t="s">
        <v>6711</v>
      </c>
    </row>
    <row r="1387" spans="1:16" ht="13.5" hidden="1" customHeight="1" outlineLevel="2" x14ac:dyDescent="0.2">
      <c r="A1387" s="233">
        <v>0</v>
      </c>
      <c r="B1387" s="233">
        <v>13</v>
      </c>
      <c r="C1387" s="233">
        <v>13</v>
      </c>
      <c r="D1387" s="234">
        <v>3</v>
      </c>
      <c r="E1387" s="234">
        <v>0</v>
      </c>
      <c r="G1387" s="507"/>
      <c r="H1387" s="487" t="s">
        <v>1237</v>
      </c>
      <c r="I1387" s="452" t="s">
        <v>4923</v>
      </c>
      <c r="J1387" s="489" t="s">
        <v>2317</v>
      </c>
      <c r="K1387" s="490"/>
      <c r="L1387" s="491"/>
      <c r="M1387" s="491"/>
      <c r="N1387" s="456">
        <v>3346.825965</v>
      </c>
      <c r="O1387" s="492"/>
      <c r="P1387" s="430"/>
    </row>
    <row r="1388" spans="1:16" ht="13.5" hidden="1" customHeight="1" outlineLevel="3" x14ac:dyDescent="0.2">
      <c r="A1388" s="233">
        <v>0</v>
      </c>
      <c r="B1388" s="233">
        <v>13</v>
      </c>
      <c r="C1388" s="233">
        <v>13</v>
      </c>
      <c r="D1388" s="234">
        <v>3</v>
      </c>
      <c r="E1388" s="234">
        <v>1</v>
      </c>
      <c r="G1388" s="508" t="s">
        <v>23</v>
      </c>
      <c r="H1388" s="493" t="s">
        <v>1238</v>
      </c>
      <c r="I1388" s="460" t="s">
        <v>4924</v>
      </c>
      <c r="J1388" s="495" t="s">
        <v>2912</v>
      </c>
      <c r="K1388" s="496" t="s">
        <v>641</v>
      </c>
      <c r="L1388" s="497">
        <v>25.130000000000003</v>
      </c>
      <c r="M1388" s="497">
        <v>133.18049999999999</v>
      </c>
      <c r="N1388" s="464">
        <v>3346.825965</v>
      </c>
      <c r="O1388" s="498" t="s">
        <v>2083</v>
      </c>
      <c r="P1388" s="431" t="s">
        <v>6711</v>
      </c>
    </row>
    <row r="1389" spans="1:16" ht="13.5" hidden="1" customHeight="1" outlineLevel="2" x14ac:dyDescent="0.2">
      <c r="A1389" s="233">
        <v>0</v>
      </c>
      <c r="B1389" s="233">
        <v>13</v>
      </c>
      <c r="C1389" s="233">
        <v>13</v>
      </c>
      <c r="D1389" s="234">
        <v>4</v>
      </c>
      <c r="E1389" s="234">
        <v>0</v>
      </c>
      <c r="G1389" s="507"/>
      <c r="H1389" s="487" t="s">
        <v>1237</v>
      </c>
      <c r="I1389" s="452" t="s">
        <v>4925</v>
      </c>
      <c r="J1389" s="489" t="s">
        <v>2924</v>
      </c>
      <c r="K1389" s="490"/>
      <c r="L1389" s="491"/>
      <c r="M1389" s="491"/>
      <c r="N1389" s="456">
        <v>2361.25691166667</v>
      </c>
      <c r="O1389" s="492"/>
      <c r="P1389" s="430"/>
    </row>
    <row r="1390" spans="1:16" ht="13.5" hidden="1" customHeight="1" outlineLevel="3" x14ac:dyDescent="0.2">
      <c r="A1390" s="233">
        <v>0</v>
      </c>
      <c r="B1390" s="233">
        <v>13</v>
      </c>
      <c r="C1390" s="233">
        <v>13</v>
      </c>
      <c r="D1390" s="234">
        <v>4</v>
      </c>
      <c r="E1390" s="234">
        <v>1</v>
      </c>
      <c r="G1390" s="508" t="s">
        <v>23</v>
      </c>
      <c r="H1390" s="493" t="s">
        <v>1238</v>
      </c>
      <c r="I1390" s="460" t="s">
        <v>4926</v>
      </c>
      <c r="J1390" s="495" t="s">
        <v>2907</v>
      </c>
      <c r="K1390" s="496" t="s">
        <v>641</v>
      </c>
      <c r="L1390" s="497">
        <v>34.660000000000004</v>
      </c>
      <c r="M1390" s="497">
        <v>34.058466666666661</v>
      </c>
      <c r="N1390" s="464">
        <v>1180.46645466667</v>
      </c>
      <c r="O1390" s="498" t="s">
        <v>2916</v>
      </c>
      <c r="P1390" s="431" t="s">
        <v>6711</v>
      </c>
    </row>
    <row r="1391" spans="1:16" ht="13.5" hidden="1" customHeight="1" outlineLevel="3" x14ac:dyDescent="0.2">
      <c r="A1391" s="233">
        <v>0</v>
      </c>
      <c r="B1391" s="233">
        <v>13</v>
      </c>
      <c r="C1391" s="233">
        <v>13</v>
      </c>
      <c r="D1391" s="234">
        <v>4</v>
      </c>
      <c r="E1391" s="234">
        <v>2</v>
      </c>
      <c r="G1391" s="508" t="s">
        <v>23</v>
      </c>
      <c r="H1391" s="493" t="s">
        <v>1238</v>
      </c>
      <c r="I1391" s="460" t="s">
        <v>4927</v>
      </c>
      <c r="J1391" s="495" t="s">
        <v>2910</v>
      </c>
      <c r="K1391" s="496" t="s">
        <v>641</v>
      </c>
      <c r="L1391" s="497">
        <v>4.29</v>
      </c>
      <c r="M1391" s="497">
        <v>148.89179999999999</v>
      </c>
      <c r="N1391" s="464">
        <v>638.74582199999998</v>
      </c>
      <c r="O1391" s="498" t="s">
        <v>2917</v>
      </c>
      <c r="P1391" s="431" t="s">
        <v>6711</v>
      </c>
    </row>
    <row r="1392" spans="1:16" ht="13.5" hidden="1" customHeight="1" outlineLevel="3" x14ac:dyDescent="0.2">
      <c r="A1392" s="233">
        <v>0</v>
      </c>
      <c r="B1392" s="233">
        <v>13</v>
      </c>
      <c r="C1392" s="233">
        <v>13</v>
      </c>
      <c r="D1392" s="234">
        <v>4</v>
      </c>
      <c r="E1392" s="234">
        <v>3</v>
      </c>
      <c r="G1392" s="508" t="s">
        <v>23</v>
      </c>
      <c r="H1392" s="493" t="s">
        <v>1238</v>
      </c>
      <c r="I1392" s="460" t="s">
        <v>4928</v>
      </c>
      <c r="J1392" s="495" t="s">
        <v>2912</v>
      </c>
      <c r="K1392" s="496" t="s">
        <v>641</v>
      </c>
      <c r="L1392" s="497">
        <v>4.07</v>
      </c>
      <c r="M1392" s="497">
        <v>133.18049999999999</v>
      </c>
      <c r="N1392" s="464">
        <v>542.04463499999997</v>
      </c>
      <c r="O1392" s="498" t="s">
        <v>2920</v>
      </c>
      <c r="P1392" s="431" t="s">
        <v>6711</v>
      </c>
    </row>
    <row r="1393" spans="1:16" ht="13.5" hidden="1" customHeight="1" outlineLevel="2" x14ac:dyDescent="0.2">
      <c r="A1393" s="233">
        <v>0</v>
      </c>
      <c r="B1393" s="233">
        <v>13</v>
      </c>
      <c r="C1393" s="233">
        <v>13</v>
      </c>
      <c r="D1393" s="234">
        <v>5</v>
      </c>
      <c r="E1393" s="234">
        <v>0</v>
      </c>
      <c r="G1393" s="507"/>
      <c r="H1393" s="487" t="s">
        <v>1237</v>
      </c>
      <c r="I1393" s="452" t="s">
        <v>4929</v>
      </c>
      <c r="J1393" s="489" t="s">
        <v>2318</v>
      </c>
      <c r="K1393" s="490"/>
      <c r="L1393" s="491"/>
      <c r="M1393" s="491"/>
      <c r="N1393" s="456">
        <v>1330.66429266667</v>
      </c>
      <c r="O1393" s="492"/>
      <c r="P1393" s="430"/>
    </row>
    <row r="1394" spans="1:16" ht="13.5" hidden="1" customHeight="1" outlineLevel="3" x14ac:dyDescent="0.2">
      <c r="A1394" s="233">
        <v>0</v>
      </c>
      <c r="B1394" s="233">
        <v>13</v>
      </c>
      <c r="C1394" s="233">
        <v>13</v>
      </c>
      <c r="D1394" s="234">
        <v>5</v>
      </c>
      <c r="E1394" s="234">
        <v>1</v>
      </c>
      <c r="G1394" s="508" t="s">
        <v>23</v>
      </c>
      <c r="H1394" s="493" t="s">
        <v>1238</v>
      </c>
      <c r="I1394" s="460" t="s">
        <v>4930</v>
      </c>
      <c r="J1394" s="495" t="s">
        <v>2907</v>
      </c>
      <c r="K1394" s="496" t="s">
        <v>641</v>
      </c>
      <c r="L1394" s="497">
        <v>39.07</v>
      </c>
      <c r="M1394" s="497">
        <v>34.058466666666661</v>
      </c>
      <c r="N1394" s="464">
        <v>1330.66429266667</v>
      </c>
      <c r="O1394" s="498"/>
      <c r="P1394" s="431" t="s">
        <v>6711</v>
      </c>
    </row>
    <row r="1395" spans="1:16" ht="13.5" hidden="1" customHeight="1" outlineLevel="2" x14ac:dyDescent="0.2">
      <c r="A1395" s="233">
        <v>0</v>
      </c>
      <c r="B1395" s="233">
        <v>13</v>
      </c>
      <c r="C1395" s="233">
        <v>13</v>
      </c>
      <c r="D1395" s="234">
        <v>6</v>
      </c>
      <c r="E1395" s="234">
        <v>0</v>
      </c>
      <c r="G1395" s="507"/>
      <c r="H1395" s="487" t="s">
        <v>1237</v>
      </c>
      <c r="I1395" s="452" t="s">
        <v>4931</v>
      </c>
      <c r="J1395" s="489" t="s">
        <v>2319</v>
      </c>
      <c r="K1395" s="490"/>
      <c r="L1395" s="491"/>
      <c r="M1395" s="491"/>
      <c r="N1395" s="456">
        <v>70.080119999999994</v>
      </c>
      <c r="O1395" s="492"/>
      <c r="P1395" s="430"/>
    </row>
    <row r="1396" spans="1:16" ht="13.5" hidden="1" customHeight="1" outlineLevel="3" x14ac:dyDescent="0.2">
      <c r="A1396" s="233">
        <v>0</v>
      </c>
      <c r="B1396" s="233">
        <v>13</v>
      </c>
      <c r="C1396" s="233">
        <v>13</v>
      </c>
      <c r="D1396" s="234">
        <v>6</v>
      </c>
      <c r="E1396" s="234">
        <v>1</v>
      </c>
      <c r="G1396" s="508" t="s">
        <v>23</v>
      </c>
      <c r="H1396" s="493" t="s">
        <v>1238</v>
      </c>
      <c r="I1396" s="460" t="s">
        <v>4932</v>
      </c>
      <c r="J1396" s="495" t="s">
        <v>1616</v>
      </c>
      <c r="K1396" s="496" t="s">
        <v>533</v>
      </c>
      <c r="L1396" s="497">
        <v>8</v>
      </c>
      <c r="M1396" s="497">
        <v>8.760015000000001</v>
      </c>
      <c r="N1396" s="464">
        <v>70.080119999999994</v>
      </c>
      <c r="O1396" s="498"/>
      <c r="P1396" s="431" t="s">
        <v>6711</v>
      </c>
    </row>
    <row r="1397" spans="1:16" ht="13.5" hidden="1" customHeight="1" outlineLevel="2" x14ac:dyDescent="0.2">
      <c r="A1397" s="233">
        <v>0</v>
      </c>
      <c r="B1397" s="233">
        <v>13</v>
      </c>
      <c r="C1397" s="233">
        <v>13</v>
      </c>
      <c r="D1397" s="234">
        <v>7</v>
      </c>
      <c r="E1397" s="234">
        <v>0</v>
      </c>
      <c r="G1397" s="507"/>
      <c r="H1397" s="487" t="s">
        <v>1237</v>
      </c>
      <c r="I1397" s="452" t="s">
        <v>4933</v>
      </c>
      <c r="J1397" s="489" t="s">
        <v>1247</v>
      </c>
      <c r="K1397" s="490"/>
      <c r="L1397" s="491"/>
      <c r="M1397" s="491"/>
      <c r="N1397" s="456">
        <v>12486.37</v>
      </c>
      <c r="O1397" s="492"/>
      <c r="P1397" s="430"/>
    </row>
    <row r="1398" spans="1:16" ht="13.5" hidden="1" customHeight="1" outlineLevel="3" x14ac:dyDescent="0.2">
      <c r="A1398" s="233">
        <v>0</v>
      </c>
      <c r="B1398" s="233">
        <v>13</v>
      </c>
      <c r="C1398" s="233">
        <v>13</v>
      </c>
      <c r="D1398" s="234">
        <v>7</v>
      </c>
      <c r="E1398" s="234">
        <v>1</v>
      </c>
      <c r="G1398" s="508" t="s">
        <v>23</v>
      </c>
      <c r="H1398" s="493" t="s">
        <v>1238</v>
      </c>
      <c r="I1398" s="460" t="s">
        <v>4934</v>
      </c>
      <c r="J1398" s="495" t="s">
        <v>469</v>
      </c>
      <c r="K1398" s="496" t="s">
        <v>641</v>
      </c>
      <c r="L1398" s="497">
        <v>113.23</v>
      </c>
      <c r="M1398" s="497">
        <v>20</v>
      </c>
      <c r="N1398" s="464">
        <v>2264.6</v>
      </c>
      <c r="O1398" s="498"/>
      <c r="P1398" s="431" t="s">
        <v>6711</v>
      </c>
    </row>
    <row r="1399" spans="1:16" ht="13.5" hidden="1" customHeight="1" outlineLevel="3" x14ac:dyDescent="0.2">
      <c r="A1399" s="233">
        <v>0</v>
      </c>
      <c r="B1399" s="233">
        <v>13</v>
      </c>
      <c r="C1399" s="233">
        <v>13</v>
      </c>
      <c r="D1399" s="234">
        <v>7</v>
      </c>
      <c r="E1399" s="234">
        <v>2</v>
      </c>
      <c r="G1399" s="508" t="s">
        <v>23</v>
      </c>
      <c r="H1399" s="493" t="s">
        <v>1238</v>
      </c>
      <c r="I1399" s="460" t="s">
        <v>4935</v>
      </c>
      <c r="J1399" s="495" t="s">
        <v>470</v>
      </c>
      <c r="K1399" s="496" t="s">
        <v>641</v>
      </c>
      <c r="L1399" s="497">
        <v>48.99</v>
      </c>
      <c r="M1399" s="497">
        <v>35</v>
      </c>
      <c r="N1399" s="464">
        <v>1714.65</v>
      </c>
      <c r="O1399" s="498"/>
      <c r="P1399" s="431" t="s">
        <v>6711</v>
      </c>
    </row>
    <row r="1400" spans="1:16" ht="13.5" hidden="1" customHeight="1" outlineLevel="3" x14ac:dyDescent="0.2">
      <c r="A1400" s="233">
        <v>0</v>
      </c>
      <c r="B1400" s="233">
        <v>13</v>
      </c>
      <c r="C1400" s="233">
        <v>13</v>
      </c>
      <c r="D1400" s="234">
        <v>7</v>
      </c>
      <c r="E1400" s="234">
        <v>3</v>
      </c>
      <c r="G1400" s="508" t="s">
        <v>23</v>
      </c>
      <c r="H1400" s="493" t="s">
        <v>1238</v>
      </c>
      <c r="I1400" s="460" t="s">
        <v>4936</v>
      </c>
      <c r="J1400" s="495" t="s">
        <v>2931</v>
      </c>
      <c r="K1400" s="496" t="s">
        <v>641</v>
      </c>
      <c r="L1400" s="497">
        <v>73.73</v>
      </c>
      <c r="M1400" s="497">
        <v>32</v>
      </c>
      <c r="N1400" s="464">
        <v>2359.36</v>
      </c>
      <c r="O1400" s="498"/>
      <c r="P1400" s="431" t="s">
        <v>6711</v>
      </c>
    </row>
    <row r="1401" spans="1:16" ht="13.5" hidden="1" customHeight="1" outlineLevel="3" x14ac:dyDescent="0.2">
      <c r="A1401" s="233">
        <v>0</v>
      </c>
      <c r="B1401" s="233">
        <v>13</v>
      </c>
      <c r="C1401" s="233">
        <v>13</v>
      </c>
      <c r="D1401" s="234">
        <v>7</v>
      </c>
      <c r="E1401" s="234">
        <v>4</v>
      </c>
      <c r="G1401" s="508" t="s">
        <v>23</v>
      </c>
      <c r="H1401" s="493" t="s">
        <v>1238</v>
      </c>
      <c r="I1401" s="460" t="s">
        <v>4937</v>
      </c>
      <c r="J1401" s="495" t="s">
        <v>2935</v>
      </c>
      <c r="K1401" s="496" t="s">
        <v>641</v>
      </c>
      <c r="L1401" s="497">
        <v>77.300000000000011</v>
      </c>
      <c r="M1401" s="497">
        <v>45</v>
      </c>
      <c r="N1401" s="464">
        <v>3478.5</v>
      </c>
      <c r="O1401" s="498"/>
      <c r="P1401" s="431" t="s">
        <v>6711</v>
      </c>
    </row>
    <row r="1402" spans="1:16" ht="13.5" hidden="1" customHeight="1" outlineLevel="3" x14ac:dyDescent="0.2">
      <c r="A1402" s="233">
        <v>0</v>
      </c>
      <c r="B1402" s="233">
        <v>13</v>
      </c>
      <c r="C1402" s="233">
        <v>13</v>
      </c>
      <c r="D1402" s="234">
        <v>7</v>
      </c>
      <c r="E1402" s="234">
        <v>5</v>
      </c>
      <c r="G1402" s="508" t="s">
        <v>23</v>
      </c>
      <c r="H1402" s="493" t="s">
        <v>1238</v>
      </c>
      <c r="I1402" s="460" t="s">
        <v>4938</v>
      </c>
      <c r="J1402" s="495" t="s">
        <v>2938</v>
      </c>
      <c r="K1402" s="496" t="s">
        <v>641</v>
      </c>
      <c r="L1402" s="497">
        <v>54.03</v>
      </c>
      <c r="M1402" s="497">
        <v>42</v>
      </c>
      <c r="N1402" s="464">
        <v>2269.2600000000002</v>
      </c>
      <c r="O1402" s="498"/>
      <c r="P1402" s="431" t="s">
        <v>6711</v>
      </c>
    </row>
    <row r="1403" spans="1:16" ht="13.5" hidden="1" customHeight="1" outlineLevel="3" x14ac:dyDescent="0.2">
      <c r="A1403" s="233">
        <v>0</v>
      </c>
      <c r="B1403" s="233">
        <v>13</v>
      </c>
      <c r="C1403" s="233">
        <v>13</v>
      </c>
      <c r="D1403" s="234">
        <v>7</v>
      </c>
      <c r="E1403" s="234">
        <v>6</v>
      </c>
      <c r="G1403" s="508" t="s">
        <v>23</v>
      </c>
      <c r="H1403" s="493" t="s">
        <v>1238</v>
      </c>
      <c r="I1403" s="460" t="s">
        <v>4939</v>
      </c>
      <c r="J1403" s="461" t="s">
        <v>477</v>
      </c>
      <c r="K1403" s="496" t="s">
        <v>533</v>
      </c>
      <c r="L1403" s="497">
        <v>8</v>
      </c>
      <c r="M1403" s="497">
        <v>50</v>
      </c>
      <c r="N1403" s="464">
        <v>400</v>
      </c>
      <c r="O1403" s="498"/>
      <c r="P1403" s="431" t="s">
        <v>6711</v>
      </c>
    </row>
    <row r="1404" spans="1:16" ht="13.5" hidden="1" customHeight="1" outlineLevel="1" x14ac:dyDescent="0.2">
      <c r="A1404" s="233">
        <v>0</v>
      </c>
      <c r="B1404" s="233">
        <v>13</v>
      </c>
      <c r="C1404" s="233">
        <v>14</v>
      </c>
      <c r="D1404" s="234">
        <v>0</v>
      </c>
      <c r="E1404" s="234">
        <v>6</v>
      </c>
      <c r="G1404" s="506"/>
      <c r="H1404" s="481" t="s">
        <v>38</v>
      </c>
      <c r="I1404" s="445" t="s">
        <v>4940</v>
      </c>
      <c r="J1404" s="483" t="s">
        <v>2372</v>
      </c>
      <c r="K1404" s="484"/>
      <c r="L1404" s="485"/>
      <c r="M1404" s="485"/>
      <c r="N1404" s="449">
        <v>52519.731890666699</v>
      </c>
      <c r="O1404" s="486">
        <v>3.1355681569049798</v>
      </c>
      <c r="P1404" s="429"/>
    </row>
    <row r="1405" spans="1:16" ht="13.5" hidden="1" customHeight="1" outlineLevel="2" x14ac:dyDescent="0.2">
      <c r="A1405" s="233">
        <v>0</v>
      </c>
      <c r="B1405" s="233">
        <v>13</v>
      </c>
      <c r="C1405" s="233">
        <v>14</v>
      </c>
      <c r="D1405" s="234">
        <v>1</v>
      </c>
      <c r="E1405" s="234">
        <v>0</v>
      </c>
      <c r="G1405" s="507"/>
      <c r="H1405" s="487" t="s">
        <v>1237</v>
      </c>
      <c r="I1405" s="452" t="s">
        <v>4941</v>
      </c>
      <c r="J1405" s="489" t="s">
        <v>24</v>
      </c>
      <c r="K1405" s="490"/>
      <c r="L1405" s="491"/>
      <c r="M1405" s="491"/>
      <c r="N1405" s="456">
        <v>8242.1708909999998</v>
      </c>
      <c r="O1405" s="492">
        <v>0.49207959864283901</v>
      </c>
      <c r="P1405" s="430"/>
    </row>
    <row r="1406" spans="1:16" ht="13.5" hidden="1" customHeight="1" outlineLevel="3" x14ac:dyDescent="0.2">
      <c r="A1406" s="233">
        <v>0</v>
      </c>
      <c r="B1406" s="233">
        <v>13</v>
      </c>
      <c r="C1406" s="233">
        <v>14</v>
      </c>
      <c r="D1406" s="234">
        <v>1</v>
      </c>
      <c r="E1406" s="234">
        <v>1</v>
      </c>
      <c r="G1406" s="508" t="s">
        <v>23</v>
      </c>
      <c r="H1406" s="493" t="s">
        <v>1238</v>
      </c>
      <c r="I1406" s="460" t="s">
        <v>4942</v>
      </c>
      <c r="J1406" s="495" t="s">
        <v>441</v>
      </c>
      <c r="K1406" s="496" t="s">
        <v>641</v>
      </c>
      <c r="L1406" s="497">
        <v>158.89000000000001</v>
      </c>
      <c r="M1406" s="497">
        <v>7.0658999999999992</v>
      </c>
      <c r="N1406" s="464">
        <v>1122.7008510000001</v>
      </c>
      <c r="O1406" s="498" t="s">
        <v>2928</v>
      </c>
      <c r="P1406" s="431" t="s">
        <v>6711</v>
      </c>
    </row>
    <row r="1407" spans="1:16" ht="13.5" hidden="1" customHeight="1" outlineLevel="3" x14ac:dyDescent="0.2">
      <c r="A1407" s="233">
        <v>0</v>
      </c>
      <c r="B1407" s="233">
        <v>13</v>
      </c>
      <c r="C1407" s="233">
        <v>14</v>
      </c>
      <c r="D1407" s="234">
        <v>1</v>
      </c>
      <c r="E1407" s="234">
        <v>2</v>
      </c>
      <c r="G1407" s="508" t="s">
        <v>23</v>
      </c>
      <c r="H1407" s="493" t="s">
        <v>1238</v>
      </c>
      <c r="I1407" s="460" t="s">
        <v>4943</v>
      </c>
      <c r="J1407" s="495" t="s">
        <v>443</v>
      </c>
      <c r="K1407" s="496" t="s">
        <v>641</v>
      </c>
      <c r="L1407" s="497">
        <v>144.24</v>
      </c>
      <c r="M1407" s="497">
        <v>49.358499999999999</v>
      </c>
      <c r="N1407" s="464">
        <v>7119.4700400000002</v>
      </c>
      <c r="O1407" s="498" t="s">
        <v>2929</v>
      </c>
      <c r="P1407" s="431" t="s">
        <v>6711</v>
      </c>
    </row>
    <row r="1408" spans="1:16" ht="13.5" hidden="1" customHeight="1" outlineLevel="2" x14ac:dyDescent="0.2">
      <c r="A1408" s="233">
        <v>0</v>
      </c>
      <c r="B1408" s="233">
        <v>13</v>
      </c>
      <c r="C1408" s="233">
        <v>14</v>
      </c>
      <c r="D1408" s="234">
        <v>2</v>
      </c>
      <c r="E1408" s="234">
        <v>0</v>
      </c>
      <c r="G1408" s="507"/>
      <c r="H1408" s="487" t="s">
        <v>1237</v>
      </c>
      <c r="I1408" s="452" t="s">
        <v>4944</v>
      </c>
      <c r="J1408" s="489" t="s">
        <v>2925</v>
      </c>
      <c r="K1408" s="490"/>
      <c r="L1408" s="491"/>
      <c r="M1408" s="491"/>
      <c r="N1408" s="456">
        <v>24517.525449000001</v>
      </c>
      <c r="O1408" s="492"/>
      <c r="P1408" s="430"/>
    </row>
    <row r="1409" spans="1:16" ht="13.5" hidden="1" customHeight="1" outlineLevel="3" x14ac:dyDescent="0.2">
      <c r="A1409" s="233">
        <v>0</v>
      </c>
      <c r="B1409" s="233">
        <v>13</v>
      </c>
      <c r="C1409" s="233">
        <v>14</v>
      </c>
      <c r="D1409" s="234">
        <v>2</v>
      </c>
      <c r="E1409" s="234">
        <v>1</v>
      </c>
      <c r="G1409" s="508" t="s">
        <v>23</v>
      </c>
      <c r="H1409" s="493" t="s">
        <v>1238</v>
      </c>
      <c r="I1409" s="460" t="s">
        <v>4945</v>
      </c>
      <c r="J1409" s="495" t="s">
        <v>2912</v>
      </c>
      <c r="K1409" s="496" t="s">
        <v>641</v>
      </c>
      <c r="L1409" s="497">
        <v>173.55</v>
      </c>
      <c r="M1409" s="497">
        <v>133.18049999999999</v>
      </c>
      <c r="N1409" s="464">
        <v>23113.475774999999</v>
      </c>
      <c r="O1409" s="498" t="s">
        <v>2914</v>
      </c>
      <c r="P1409" s="431" t="s">
        <v>6711</v>
      </c>
    </row>
    <row r="1410" spans="1:16" ht="13.5" hidden="1" customHeight="1" outlineLevel="3" x14ac:dyDescent="0.2">
      <c r="A1410" s="233">
        <v>0</v>
      </c>
      <c r="B1410" s="233">
        <v>13</v>
      </c>
      <c r="C1410" s="233">
        <v>14</v>
      </c>
      <c r="D1410" s="234">
        <v>2</v>
      </c>
      <c r="E1410" s="234">
        <v>2</v>
      </c>
      <c r="G1410" s="508" t="s">
        <v>23</v>
      </c>
      <c r="H1410" s="493" t="s">
        <v>1238</v>
      </c>
      <c r="I1410" s="460" t="s">
        <v>4946</v>
      </c>
      <c r="J1410" s="495" t="s">
        <v>2910</v>
      </c>
      <c r="K1410" s="496" t="s">
        <v>641</v>
      </c>
      <c r="L1410" s="497">
        <v>9.43</v>
      </c>
      <c r="M1410" s="497">
        <v>148.89179999999999</v>
      </c>
      <c r="N1410" s="464">
        <v>1404.0496740000001</v>
      </c>
      <c r="O1410" s="498" t="s">
        <v>2918</v>
      </c>
      <c r="P1410" s="431" t="s">
        <v>6711</v>
      </c>
    </row>
    <row r="1411" spans="1:16" ht="13.5" hidden="1" customHeight="1" outlineLevel="2" x14ac:dyDescent="0.2">
      <c r="A1411" s="233">
        <v>0</v>
      </c>
      <c r="B1411" s="233">
        <v>13</v>
      </c>
      <c r="C1411" s="233">
        <v>14</v>
      </c>
      <c r="D1411" s="234">
        <v>3</v>
      </c>
      <c r="E1411" s="234">
        <v>0</v>
      </c>
      <c r="G1411" s="507"/>
      <c r="H1411" s="487" t="s">
        <v>1237</v>
      </c>
      <c r="I1411" s="452" t="s">
        <v>4947</v>
      </c>
      <c r="J1411" s="489" t="s">
        <v>2924</v>
      </c>
      <c r="K1411" s="490"/>
      <c r="L1411" s="491"/>
      <c r="M1411" s="491"/>
      <c r="N1411" s="456">
        <v>1663.7560966666699</v>
      </c>
      <c r="O1411" s="492"/>
      <c r="P1411" s="430"/>
    </row>
    <row r="1412" spans="1:16" ht="13.5" hidden="1" customHeight="1" outlineLevel="3" x14ac:dyDescent="0.2">
      <c r="A1412" s="233">
        <v>0</v>
      </c>
      <c r="B1412" s="233">
        <v>13</v>
      </c>
      <c r="C1412" s="233">
        <v>14</v>
      </c>
      <c r="D1412" s="234">
        <v>3</v>
      </c>
      <c r="E1412" s="234">
        <v>1</v>
      </c>
      <c r="G1412" s="508" t="s">
        <v>23</v>
      </c>
      <c r="H1412" s="493" t="s">
        <v>1238</v>
      </c>
      <c r="I1412" s="460" t="s">
        <v>4948</v>
      </c>
      <c r="J1412" s="495" t="s">
        <v>2907</v>
      </c>
      <c r="K1412" s="496" t="s">
        <v>641</v>
      </c>
      <c r="L1412" s="497">
        <v>48.849999999999994</v>
      </c>
      <c r="M1412" s="497">
        <v>34.058466666666661</v>
      </c>
      <c r="N1412" s="464">
        <v>1663.7560966666699</v>
      </c>
      <c r="O1412" s="498" t="s">
        <v>2916</v>
      </c>
      <c r="P1412" s="431" t="s">
        <v>6711</v>
      </c>
    </row>
    <row r="1413" spans="1:16" ht="13.5" hidden="1" customHeight="1" outlineLevel="2" x14ac:dyDescent="0.2">
      <c r="A1413" s="233">
        <v>0</v>
      </c>
      <c r="B1413" s="233">
        <v>13</v>
      </c>
      <c r="C1413" s="233">
        <v>14</v>
      </c>
      <c r="D1413" s="234">
        <v>4</v>
      </c>
      <c r="E1413" s="234">
        <v>0</v>
      </c>
      <c r="G1413" s="507"/>
      <c r="H1413" s="487" t="s">
        <v>1237</v>
      </c>
      <c r="I1413" s="452" t="s">
        <v>4949</v>
      </c>
      <c r="J1413" s="489" t="s">
        <v>2318</v>
      </c>
      <c r="K1413" s="490"/>
      <c r="L1413" s="491"/>
      <c r="M1413" s="491"/>
      <c r="N1413" s="456">
        <v>52.109453999999999</v>
      </c>
      <c r="O1413" s="492"/>
      <c r="P1413" s="430"/>
    </row>
    <row r="1414" spans="1:16" ht="13.5" hidden="1" customHeight="1" outlineLevel="3" x14ac:dyDescent="0.2">
      <c r="A1414" s="233">
        <v>0</v>
      </c>
      <c r="B1414" s="233">
        <v>13</v>
      </c>
      <c r="C1414" s="233">
        <v>14</v>
      </c>
      <c r="D1414" s="234">
        <v>4</v>
      </c>
      <c r="E1414" s="234">
        <v>1</v>
      </c>
      <c r="G1414" s="508" t="s">
        <v>23</v>
      </c>
      <c r="H1414" s="493" t="s">
        <v>1238</v>
      </c>
      <c r="I1414" s="460" t="s">
        <v>4950</v>
      </c>
      <c r="J1414" s="495" t="s">
        <v>2907</v>
      </c>
      <c r="K1414" s="496" t="s">
        <v>641</v>
      </c>
      <c r="L1414" s="497">
        <v>1.53</v>
      </c>
      <c r="M1414" s="497">
        <v>34.058466666666661</v>
      </c>
      <c r="N1414" s="464">
        <v>52.109453999999999</v>
      </c>
      <c r="O1414" s="498"/>
      <c r="P1414" s="431" t="s">
        <v>6711</v>
      </c>
    </row>
    <row r="1415" spans="1:16" ht="13.5" hidden="1" customHeight="1" outlineLevel="2" x14ac:dyDescent="0.2">
      <c r="A1415" s="233">
        <v>0</v>
      </c>
      <c r="B1415" s="233">
        <v>13</v>
      </c>
      <c r="C1415" s="233">
        <v>14</v>
      </c>
      <c r="D1415" s="234">
        <v>5</v>
      </c>
      <c r="E1415" s="234">
        <v>0</v>
      </c>
      <c r="G1415" s="507"/>
      <c r="H1415" s="487" t="s">
        <v>1237</v>
      </c>
      <c r="I1415" s="452" t="s">
        <v>4951</v>
      </c>
      <c r="J1415" s="489" t="s">
        <v>1247</v>
      </c>
      <c r="K1415" s="490"/>
      <c r="L1415" s="491"/>
      <c r="M1415" s="491"/>
      <c r="N1415" s="456">
        <v>18044.169999999998</v>
      </c>
      <c r="O1415" s="492"/>
      <c r="P1415" s="430"/>
    </row>
    <row r="1416" spans="1:16" ht="13.5" hidden="1" customHeight="1" outlineLevel="3" x14ac:dyDescent="0.2">
      <c r="A1416" s="233">
        <v>0</v>
      </c>
      <c r="B1416" s="233">
        <v>13</v>
      </c>
      <c r="C1416" s="233">
        <v>14</v>
      </c>
      <c r="D1416" s="234">
        <v>5</v>
      </c>
      <c r="E1416" s="234">
        <v>1</v>
      </c>
      <c r="G1416" s="508" t="s">
        <v>23</v>
      </c>
      <c r="H1416" s="493" t="s">
        <v>1238</v>
      </c>
      <c r="I1416" s="460" t="s">
        <v>4952</v>
      </c>
      <c r="J1416" s="495" t="s">
        <v>469</v>
      </c>
      <c r="K1416" s="496" t="s">
        <v>641</v>
      </c>
      <c r="L1416" s="497">
        <v>158.89000000000001</v>
      </c>
      <c r="M1416" s="497">
        <v>20</v>
      </c>
      <c r="N1416" s="464">
        <v>3177.8</v>
      </c>
      <c r="O1416" s="498"/>
      <c r="P1416" s="431" t="s">
        <v>6711</v>
      </c>
    </row>
    <row r="1417" spans="1:16" ht="13.5" hidden="1" customHeight="1" outlineLevel="3" x14ac:dyDescent="0.2">
      <c r="A1417" s="233">
        <v>0</v>
      </c>
      <c r="B1417" s="233">
        <v>13</v>
      </c>
      <c r="C1417" s="233">
        <v>14</v>
      </c>
      <c r="D1417" s="234">
        <v>5</v>
      </c>
      <c r="E1417" s="234">
        <v>2</v>
      </c>
      <c r="G1417" s="508" t="s">
        <v>23</v>
      </c>
      <c r="H1417" s="493" t="s">
        <v>1238</v>
      </c>
      <c r="I1417" s="460" t="s">
        <v>4953</v>
      </c>
      <c r="J1417" s="495" t="s">
        <v>470</v>
      </c>
      <c r="K1417" s="496" t="s">
        <v>641</v>
      </c>
      <c r="L1417" s="497">
        <v>144.24</v>
      </c>
      <c r="M1417" s="497">
        <v>35</v>
      </c>
      <c r="N1417" s="464">
        <v>5048.3999999999996</v>
      </c>
      <c r="O1417" s="498"/>
      <c r="P1417" s="431" t="s">
        <v>6711</v>
      </c>
    </row>
    <row r="1418" spans="1:16" ht="13.5" hidden="1" customHeight="1" outlineLevel="3" x14ac:dyDescent="0.2">
      <c r="A1418" s="233">
        <v>0</v>
      </c>
      <c r="B1418" s="233">
        <v>13</v>
      </c>
      <c r="C1418" s="233">
        <v>14</v>
      </c>
      <c r="D1418" s="234">
        <v>5</v>
      </c>
      <c r="E1418" s="234">
        <v>3</v>
      </c>
      <c r="G1418" s="508" t="s">
        <v>23</v>
      </c>
      <c r="H1418" s="493" t="s">
        <v>1238</v>
      </c>
      <c r="I1418" s="460" t="s">
        <v>4954</v>
      </c>
      <c r="J1418" s="495" t="s">
        <v>2931</v>
      </c>
      <c r="K1418" s="496" t="s">
        <v>641</v>
      </c>
      <c r="L1418" s="497">
        <v>50.379999999999995</v>
      </c>
      <c r="M1418" s="497">
        <v>32</v>
      </c>
      <c r="N1418" s="464">
        <v>1612.16</v>
      </c>
      <c r="O1418" s="498"/>
      <c r="P1418" s="431" t="s">
        <v>6711</v>
      </c>
    </row>
    <row r="1419" spans="1:16" ht="13.5" hidden="1" customHeight="1" outlineLevel="3" x14ac:dyDescent="0.2">
      <c r="A1419" s="233">
        <v>0</v>
      </c>
      <c r="B1419" s="233">
        <v>13</v>
      </c>
      <c r="C1419" s="233">
        <v>14</v>
      </c>
      <c r="D1419" s="234">
        <v>5</v>
      </c>
      <c r="E1419" s="234">
        <v>4</v>
      </c>
      <c r="G1419" s="508" t="s">
        <v>23</v>
      </c>
      <c r="H1419" s="493" t="s">
        <v>1238</v>
      </c>
      <c r="I1419" s="460" t="s">
        <v>4955</v>
      </c>
      <c r="J1419" s="495" t="s">
        <v>2935</v>
      </c>
      <c r="K1419" s="496" t="s">
        <v>641</v>
      </c>
      <c r="L1419" s="497">
        <v>173.55</v>
      </c>
      <c r="M1419" s="497">
        <v>45</v>
      </c>
      <c r="N1419" s="464">
        <v>7809.75</v>
      </c>
      <c r="O1419" s="498"/>
      <c r="P1419" s="431" t="s">
        <v>6711</v>
      </c>
    </row>
    <row r="1420" spans="1:16" ht="13.5" hidden="1" customHeight="1" outlineLevel="3" x14ac:dyDescent="0.2">
      <c r="A1420" s="233">
        <v>0</v>
      </c>
      <c r="B1420" s="233">
        <v>13</v>
      </c>
      <c r="C1420" s="233">
        <v>14</v>
      </c>
      <c r="D1420" s="234">
        <v>5</v>
      </c>
      <c r="E1420" s="234">
        <v>5</v>
      </c>
      <c r="G1420" s="508" t="s">
        <v>23</v>
      </c>
      <c r="H1420" s="493" t="s">
        <v>1238</v>
      </c>
      <c r="I1420" s="460" t="s">
        <v>4956</v>
      </c>
      <c r="J1420" s="495" t="s">
        <v>2938</v>
      </c>
      <c r="K1420" s="496" t="s">
        <v>641</v>
      </c>
      <c r="L1420" s="497">
        <v>9.43</v>
      </c>
      <c r="M1420" s="497">
        <v>42</v>
      </c>
      <c r="N1420" s="464">
        <v>396.06</v>
      </c>
      <c r="O1420" s="498"/>
      <c r="P1420" s="431" t="s">
        <v>6711</v>
      </c>
    </row>
    <row r="1421" spans="1:16" ht="13.5" hidden="1" customHeight="1" outlineLevel="1" x14ac:dyDescent="0.2">
      <c r="A1421" s="233">
        <v>0</v>
      </c>
      <c r="B1421" s="233">
        <v>13</v>
      </c>
      <c r="C1421" s="233">
        <v>15</v>
      </c>
      <c r="D1421" s="234">
        <v>0</v>
      </c>
      <c r="E1421" s="234">
        <v>5</v>
      </c>
      <c r="G1421" s="506"/>
      <c r="H1421" s="481" t="s">
        <v>38</v>
      </c>
      <c r="I1421" s="445" t="s">
        <v>4957</v>
      </c>
      <c r="J1421" s="483" t="s">
        <v>2373</v>
      </c>
      <c r="K1421" s="484"/>
      <c r="L1421" s="485"/>
      <c r="M1421" s="485"/>
      <c r="N1421" s="449">
        <v>46751.499385000003</v>
      </c>
      <c r="O1421" s="486">
        <v>2.7911892822366</v>
      </c>
      <c r="P1421" s="429"/>
    </row>
    <row r="1422" spans="1:16" ht="13.5" hidden="1" customHeight="1" outlineLevel="2" x14ac:dyDescent="0.2">
      <c r="A1422" s="233">
        <v>0</v>
      </c>
      <c r="B1422" s="233">
        <v>13</v>
      </c>
      <c r="C1422" s="233">
        <v>15</v>
      </c>
      <c r="D1422" s="234">
        <v>1</v>
      </c>
      <c r="E1422" s="234">
        <v>0</v>
      </c>
      <c r="G1422" s="507"/>
      <c r="H1422" s="487" t="s">
        <v>1237</v>
      </c>
      <c r="I1422" s="452" t="s">
        <v>4958</v>
      </c>
      <c r="J1422" s="489" t="s">
        <v>24</v>
      </c>
      <c r="K1422" s="490"/>
      <c r="L1422" s="491"/>
      <c r="M1422" s="491"/>
      <c r="N1422" s="456">
        <v>916.51788899999997</v>
      </c>
      <c r="O1422" s="492">
        <v>5.4718563947827002E-2</v>
      </c>
      <c r="P1422" s="430"/>
    </row>
    <row r="1423" spans="1:16" ht="13.5" hidden="1" customHeight="1" outlineLevel="3" x14ac:dyDescent="0.2">
      <c r="A1423" s="233">
        <v>0</v>
      </c>
      <c r="B1423" s="233">
        <v>13</v>
      </c>
      <c r="C1423" s="233">
        <v>15</v>
      </c>
      <c r="D1423" s="234">
        <v>1</v>
      </c>
      <c r="E1423" s="234">
        <v>1</v>
      </c>
      <c r="G1423" s="508" t="s">
        <v>23</v>
      </c>
      <c r="H1423" s="493" t="s">
        <v>1238</v>
      </c>
      <c r="I1423" s="460" t="s">
        <v>4959</v>
      </c>
      <c r="J1423" s="495" t="s">
        <v>441</v>
      </c>
      <c r="K1423" s="496" t="s">
        <v>641</v>
      </c>
      <c r="L1423" s="497">
        <v>129.71</v>
      </c>
      <c r="M1423" s="497">
        <v>7.0658999999999992</v>
      </c>
      <c r="N1423" s="464">
        <v>916.51788899999997</v>
      </c>
      <c r="O1423" s="498" t="s">
        <v>2928</v>
      </c>
      <c r="P1423" s="431" t="s">
        <v>6711</v>
      </c>
    </row>
    <row r="1424" spans="1:16" ht="13.5" hidden="1" customHeight="1" outlineLevel="2" x14ac:dyDescent="0.2">
      <c r="A1424" s="233">
        <v>0</v>
      </c>
      <c r="B1424" s="233">
        <v>13</v>
      </c>
      <c r="C1424" s="233">
        <v>15</v>
      </c>
      <c r="D1424" s="234">
        <v>2</v>
      </c>
      <c r="E1424" s="234">
        <v>0</v>
      </c>
      <c r="G1424" s="507"/>
      <c r="H1424" s="487" t="s">
        <v>1237</v>
      </c>
      <c r="I1424" s="452" t="s">
        <v>4960</v>
      </c>
      <c r="J1424" s="489" t="s">
        <v>2926</v>
      </c>
      <c r="K1424" s="490"/>
      <c r="L1424" s="491"/>
      <c r="M1424" s="491"/>
      <c r="N1424" s="456">
        <v>30162.691495999999</v>
      </c>
      <c r="O1424" s="492"/>
      <c r="P1424" s="430"/>
    </row>
    <row r="1425" spans="1:16" ht="13.5" hidden="1" customHeight="1" outlineLevel="3" x14ac:dyDescent="0.2">
      <c r="A1425" s="233">
        <v>0</v>
      </c>
      <c r="B1425" s="233">
        <v>13</v>
      </c>
      <c r="C1425" s="233">
        <v>15</v>
      </c>
      <c r="D1425" s="234">
        <v>2</v>
      </c>
      <c r="E1425" s="234">
        <v>1</v>
      </c>
      <c r="G1425" s="508" t="s">
        <v>23</v>
      </c>
      <c r="H1425" s="493" t="s">
        <v>1238</v>
      </c>
      <c r="I1425" s="460" t="s">
        <v>4961</v>
      </c>
      <c r="J1425" s="495" t="s">
        <v>2910</v>
      </c>
      <c r="K1425" s="496" t="s">
        <v>641</v>
      </c>
      <c r="L1425" s="497">
        <v>65.84</v>
      </c>
      <c r="M1425" s="497">
        <v>148.89179999999999</v>
      </c>
      <c r="N1425" s="464">
        <v>9803.0361119999998</v>
      </c>
      <c r="O1425" s="498" t="s">
        <v>2919</v>
      </c>
      <c r="P1425" s="431" t="s">
        <v>6711</v>
      </c>
    </row>
    <row r="1426" spans="1:16" ht="13.5" hidden="1" customHeight="1" outlineLevel="3" x14ac:dyDescent="0.2">
      <c r="A1426" s="233">
        <v>0</v>
      </c>
      <c r="B1426" s="233">
        <v>13</v>
      </c>
      <c r="C1426" s="233">
        <v>15</v>
      </c>
      <c r="D1426" s="234">
        <v>2</v>
      </c>
      <c r="E1426" s="234">
        <v>2</v>
      </c>
      <c r="G1426" s="508" t="s">
        <v>23</v>
      </c>
      <c r="H1426" s="493" t="s">
        <v>1238</v>
      </c>
      <c r="I1426" s="460" t="s">
        <v>4962</v>
      </c>
      <c r="J1426" s="495" t="s">
        <v>2909</v>
      </c>
      <c r="K1426" s="496" t="s">
        <v>641</v>
      </c>
      <c r="L1426" s="497">
        <v>63.21</v>
      </c>
      <c r="M1426" s="497">
        <v>74.891800000000003</v>
      </c>
      <c r="N1426" s="464">
        <v>4733.9106780000002</v>
      </c>
      <c r="O1426" s="498" t="s">
        <v>2921</v>
      </c>
      <c r="P1426" s="431" t="s">
        <v>6711</v>
      </c>
    </row>
    <row r="1427" spans="1:16" ht="13.5" hidden="1" customHeight="1" outlineLevel="3" x14ac:dyDescent="0.2">
      <c r="A1427" s="233">
        <v>0</v>
      </c>
      <c r="B1427" s="233">
        <v>13</v>
      </c>
      <c r="C1427" s="233">
        <v>15</v>
      </c>
      <c r="D1427" s="234">
        <v>2</v>
      </c>
      <c r="E1427" s="234">
        <v>3</v>
      </c>
      <c r="G1427" s="508" t="s">
        <v>23</v>
      </c>
      <c r="H1427" s="493" t="s">
        <v>1238</v>
      </c>
      <c r="I1427" s="460" t="s">
        <v>4963</v>
      </c>
      <c r="J1427" s="495" t="s">
        <v>2911</v>
      </c>
      <c r="K1427" s="496" t="s">
        <v>641</v>
      </c>
      <c r="L1427" s="497">
        <v>213.17000000000002</v>
      </c>
      <c r="M1427" s="497">
        <v>73.3018</v>
      </c>
      <c r="N1427" s="464">
        <v>15625.744705999999</v>
      </c>
      <c r="O1427" s="498" t="s">
        <v>2921</v>
      </c>
      <c r="P1427" s="431" t="s">
        <v>6711</v>
      </c>
    </row>
    <row r="1428" spans="1:16" ht="13.5" hidden="1" customHeight="1" outlineLevel="2" x14ac:dyDescent="0.2">
      <c r="A1428" s="233">
        <v>0</v>
      </c>
      <c r="B1428" s="233">
        <v>13</v>
      </c>
      <c r="C1428" s="233">
        <v>15</v>
      </c>
      <c r="D1428" s="234">
        <v>3</v>
      </c>
      <c r="E1428" s="234">
        <v>0</v>
      </c>
      <c r="G1428" s="507"/>
      <c r="H1428" s="487" t="s">
        <v>1237</v>
      </c>
      <c r="I1428" s="452" t="s">
        <v>4964</v>
      </c>
      <c r="J1428" s="489" t="s">
        <v>1247</v>
      </c>
      <c r="K1428" s="490"/>
      <c r="L1428" s="491"/>
      <c r="M1428" s="491"/>
      <c r="N1428" s="456">
        <v>15672.29</v>
      </c>
      <c r="O1428" s="492"/>
      <c r="P1428" s="430"/>
    </row>
    <row r="1429" spans="1:16" ht="13.5" hidden="1" customHeight="1" outlineLevel="3" x14ac:dyDescent="0.2">
      <c r="A1429" s="233">
        <v>0</v>
      </c>
      <c r="B1429" s="233">
        <v>13</v>
      </c>
      <c r="C1429" s="233">
        <v>15</v>
      </c>
      <c r="D1429" s="234">
        <v>3</v>
      </c>
      <c r="E1429" s="234">
        <v>1</v>
      </c>
      <c r="G1429" s="508" t="s">
        <v>23</v>
      </c>
      <c r="H1429" s="493" t="s">
        <v>1238</v>
      </c>
      <c r="I1429" s="460" t="s">
        <v>4965</v>
      </c>
      <c r="J1429" s="495" t="s">
        <v>469</v>
      </c>
      <c r="K1429" s="496" t="s">
        <v>641</v>
      </c>
      <c r="L1429" s="497">
        <v>129.71</v>
      </c>
      <c r="M1429" s="497">
        <v>20</v>
      </c>
      <c r="N1429" s="464">
        <v>2594.1999999999998</v>
      </c>
      <c r="O1429" s="498"/>
      <c r="P1429" s="431" t="s">
        <v>6711</v>
      </c>
    </row>
    <row r="1430" spans="1:16" ht="13.5" hidden="1" customHeight="1" outlineLevel="3" x14ac:dyDescent="0.2">
      <c r="A1430" s="233">
        <v>0</v>
      </c>
      <c r="B1430" s="233">
        <v>13</v>
      </c>
      <c r="C1430" s="233">
        <v>15</v>
      </c>
      <c r="D1430" s="234">
        <v>3</v>
      </c>
      <c r="E1430" s="234">
        <v>2</v>
      </c>
      <c r="G1430" s="508" t="s">
        <v>23</v>
      </c>
      <c r="H1430" s="493" t="s">
        <v>1238</v>
      </c>
      <c r="I1430" s="460" t="s">
        <v>4966</v>
      </c>
      <c r="J1430" s="495" t="s">
        <v>2934</v>
      </c>
      <c r="K1430" s="496" t="s">
        <v>641</v>
      </c>
      <c r="L1430" s="497">
        <v>213.17000000000002</v>
      </c>
      <c r="M1430" s="497">
        <v>38</v>
      </c>
      <c r="N1430" s="464">
        <v>8100.46</v>
      </c>
      <c r="O1430" s="498"/>
      <c r="P1430" s="431" t="s">
        <v>6711</v>
      </c>
    </row>
    <row r="1431" spans="1:16" ht="13.5" hidden="1" customHeight="1" outlineLevel="3" x14ac:dyDescent="0.2">
      <c r="A1431" s="233">
        <v>0</v>
      </c>
      <c r="B1431" s="233">
        <v>13</v>
      </c>
      <c r="C1431" s="233">
        <v>15</v>
      </c>
      <c r="D1431" s="234">
        <v>3</v>
      </c>
      <c r="E1431" s="234">
        <v>3</v>
      </c>
      <c r="G1431" s="508" t="s">
        <v>23</v>
      </c>
      <c r="H1431" s="493" t="s">
        <v>1238</v>
      </c>
      <c r="I1431" s="460" t="s">
        <v>4967</v>
      </c>
      <c r="J1431" s="495" t="s">
        <v>2937</v>
      </c>
      <c r="K1431" s="496" t="s">
        <v>641</v>
      </c>
      <c r="L1431" s="497">
        <v>63.21</v>
      </c>
      <c r="M1431" s="497">
        <v>35</v>
      </c>
      <c r="N1431" s="464">
        <v>2212.35</v>
      </c>
      <c r="O1431" s="498"/>
      <c r="P1431" s="431" t="s">
        <v>6711</v>
      </c>
    </row>
    <row r="1432" spans="1:16" ht="13.5" hidden="1" customHeight="1" outlineLevel="3" x14ac:dyDescent="0.2">
      <c r="A1432" s="233">
        <v>0</v>
      </c>
      <c r="B1432" s="233">
        <v>13</v>
      </c>
      <c r="C1432" s="233">
        <v>15</v>
      </c>
      <c r="D1432" s="234">
        <v>3</v>
      </c>
      <c r="E1432" s="234">
        <v>4</v>
      </c>
      <c r="G1432" s="508" t="s">
        <v>23</v>
      </c>
      <c r="H1432" s="493" t="s">
        <v>1238</v>
      </c>
      <c r="I1432" s="460" t="s">
        <v>4968</v>
      </c>
      <c r="J1432" s="495" t="s">
        <v>2938</v>
      </c>
      <c r="K1432" s="496" t="s">
        <v>641</v>
      </c>
      <c r="L1432" s="497">
        <v>65.84</v>
      </c>
      <c r="M1432" s="497">
        <v>42</v>
      </c>
      <c r="N1432" s="464">
        <v>2765.28</v>
      </c>
      <c r="O1432" s="498"/>
      <c r="P1432" s="431" t="s">
        <v>6711</v>
      </c>
    </row>
    <row r="1433" spans="1:16" ht="13.5" hidden="1" customHeight="1" outlineLevel="1" x14ac:dyDescent="0.2">
      <c r="A1433" s="233">
        <v>0</v>
      </c>
      <c r="B1433" s="233">
        <v>18</v>
      </c>
      <c r="C1433" s="233">
        <v>1</v>
      </c>
      <c r="D1433" s="234">
        <v>0</v>
      </c>
      <c r="E1433" s="234">
        <v>3</v>
      </c>
      <c r="G1433" s="506"/>
      <c r="H1433" s="481" t="s">
        <v>38</v>
      </c>
      <c r="I1433" s="445" t="s">
        <v>5923</v>
      </c>
      <c r="J1433" s="483" t="s">
        <v>3037</v>
      </c>
      <c r="K1433" s="484"/>
      <c r="L1433" s="485"/>
      <c r="M1433" s="485"/>
      <c r="N1433" s="449"/>
      <c r="O1433" s="486"/>
      <c r="P1433" s="429"/>
    </row>
    <row r="1434" spans="1:16" ht="13.5" hidden="1" customHeight="1" outlineLevel="2" x14ac:dyDescent="0.2">
      <c r="A1434" s="233">
        <v>0</v>
      </c>
      <c r="B1434" s="233">
        <v>18</v>
      </c>
      <c r="C1434" s="233">
        <v>1</v>
      </c>
      <c r="D1434" s="234">
        <v>1</v>
      </c>
      <c r="E1434" s="234">
        <v>0</v>
      </c>
      <c r="G1434" s="507"/>
      <c r="H1434" s="487" t="s">
        <v>1237</v>
      </c>
      <c r="I1434" s="452" t="s">
        <v>5924</v>
      </c>
      <c r="J1434" s="489" t="s">
        <v>27</v>
      </c>
      <c r="K1434" s="490"/>
      <c r="L1434" s="491"/>
      <c r="M1434" s="491"/>
      <c r="N1434" s="456">
        <v>10971.603999999999</v>
      </c>
      <c r="O1434" s="492">
        <v>0.65503403947659899</v>
      </c>
      <c r="P1434" s="430"/>
    </row>
    <row r="1435" spans="1:16" ht="13.5" hidden="1" customHeight="1" outlineLevel="3" x14ac:dyDescent="0.2">
      <c r="A1435" s="233">
        <v>0</v>
      </c>
      <c r="B1435" s="233">
        <v>18</v>
      </c>
      <c r="C1435" s="233">
        <v>1</v>
      </c>
      <c r="D1435" s="234">
        <v>1</v>
      </c>
      <c r="E1435" s="234">
        <v>1</v>
      </c>
      <c r="G1435" s="508" t="s">
        <v>51</v>
      </c>
      <c r="H1435" s="493" t="s">
        <v>1238</v>
      </c>
      <c r="I1435" s="460" t="s">
        <v>5925</v>
      </c>
      <c r="J1435" s="495" t="s">
        <v>790</v>
      </c>
      <c r="K1435" s="496" t="s">
        <v>787</v>
      </c>
      <c r="L1435" s="497">
        <v>472.09999999999991</v>
      </c>
      <c r="M1435" s="497">
        <v>23.240000000000002</v>
      </c>
      <c r="N1435" s="464">
        <v>10971.603999999999</v>
      </c>
      <c r="O1435" s="498" t="s">
        <v>2704</v>
      </c>
      <c r="P1435" s="431" t="s">
        <v>6711</v>
      </c>
    </row>
    <row r="1436" spans="1:16" ht="13.5" hidden="1" customHeight="1" outlineLevel="2" x14ac:dyDescent="0.2">
      <c r="A1436" s="233">
        <v>0</v>
      </c>
      <c r="B1436" s="233">
        <v>18</v>
      </c>
      <c r="C1436" s="233">
        <v>1</v>
      </c>
      <c r="D1436" s="234">
        <v>2</v>
      </c>
      <c r="E1436" s="234">
        <v>0</v>
      </c>
      <c r="G1436" s="507"/>
      <c r="H1436" s="487" t="s">
        <v>1237</v>
      </c>
      <c r="I1436" s="452" t="s">
        <v>5926</v>
      </c>
      <c r="J1436" s="489" t="s">
        <v>28</v>
      </c>
      <c r="K1436" s="490"/>
      <c r="L1436" s="491"/>
      <c r="M1436" s="491"/>
      <c r="N1436" s="456">
        <v>1066855.46829102</v>
      </c>
      <c r="O1436" s="492"/>
      <c r="P1436" s="430"/>
    </row>
    <row r="1437" spans="1:16" ht="13.5" hidden="1" customHeight="1" outlineLevel="3" x14ac:dyDescent="0.2">
      <c r="A1437" s="233">
        <v>0</v>
      </c>
      <c r="B1437" s="233">
        <v>18</v>
      </c>
      <c r="C1437" s="233">
        <v>1</v>
      </c>
      <c r="D1437" s="234">
        <v>2</v>
      </c>
      <c r="E1437" s="234">
        <v>1</v>
      </c>
      <c r="G1437" s="508" t="s">
        <v>51</v>
      </c>
      <c r="H1437" s="493" t="s">
        <v>1238</v>
      </c>
      <c r="I1437" s="460" t="s">
        <v>5927</v>
      </c>
      <c r="J1437" s="495" t="s">
        <v>2699</v>
      </c>
      <c r="K1437" s="496" t="s">
        <v>641</v>
      </c>
      <c r="L1437" s="497">
        <v>33.400000000000006</v>
      </c>
      <c r="M1437" s="497">
        <v>1906.3139681515586</v>
      </c>
      <c r="N1437" s="464">
        <v>63670.8865362621</v>
      </c>
      <c r="O1437" s="498" t="s">
        <v>2704</v>
      </c>
      <c r="P1437" s="431" t="s">
        <v>6711</v>
      </c>
    </row>
    <row r="1438" spans="1:16" ht="13.5" hidden="1" customHeight="1" outlineLevel="3" x14ac:dyDescent="0.2">
      <c r="A1438" s="233">
        <v>0</v>
      </c>
      <c r="B1438" s="233">
        <v>18</v>
      </c>
      <c r="C1438" s="233">
        <v>1</v>
      </c>
      <c r="D1438" s="234">
        <v>2</v>
      </c>
      <c r="E1438" s="234">
        <v>2</v>
      </c>
      <c r="G1438" s="508" t="s">
        <v>51</v>
      </c>
      <c r="H1438" s="493" t="s">
        <v>1238</v>
      </c>
      <c r="I1438" s="460" t="s">
        <v>5928</v>
      </c>
      <c r="J1438" s="495" t="s">
        <v>2700</v>
      </c>
      <c r="K1438" s="496" t="s">
        <v>641</v>
      </c>
      <c r="L1438" s="497">
        <v>4.0000000000000009</v>
      </c>
      <c r="M1438" s="497">
        <v>2650.4955587130289</v>
      </c>
      <c r="N1438" s="464">
        <v>10601.982234852099</v>
      </c>
      <c r="O1438" s="498" t="s">
        <v>2704</v>
      </c>
      <c r="P1438" s="431" t="s">
        <v>6711</v>
      </c>
    </row>
    <row r="1439" spans="1:16" ht="13.5" hidden="1" customHeight="1" outlineLevel="3" x14ac:dyDescent="0.2">
      <c r="A1439" s="233">
        <v>0</v>
      </c>
      <c r="B1439" s="233">
        <v>18</v>
      </c>
      <c r="C1439" s="233">
        <v>1</v>
      </c>
      <c r="D1439" s="234">
        <v>2</v>
      </c>
      <c r="E1439" s="234">
        <v>3</v>
      </c>
      <c r="G1439" s="508" t="s">
        <v>51</v>
      </c>
      <c r="H1439" s="493" t="s">
        <v>1238</v>
      </c>
      <c r="I1439" s="460" t="s">
        <v>5929</v>
      </c>
      <c r="J1439" s="495" t="s">
        <v>2701</v>
      </c>
      <c r="K1439" s="496" t="s">
        <v>641</v>
      </c>
      <c r="L1439" s="497">
        <v>107.01499999999997</v>
      </c>
      <c r="M1439" s="497">
        <v>2873.7896511695099</v>
      </c>
      <c r="N1439" s="464">
        <v>307538.59951990499</v>
      </c>
      <c r="O1439" s="498" t="s">
        <v>2704</v>
      </c>
      <c r="P1439" s="431" t="s">
        <v>6711</v>
      </c>
    </row>
    <row r="1440" spans="1:16" ht="13.5" hidden="1" customHeight="1" outlineLevel="3" x14ac:dyDescent="0.2">
      <c r="A1440" s="233">
        <v>0</v>
      </c>
      <c r="B1440" s="233">
        <v>18</v>
      </c>
      <c r="C1440" s="233">
        <v>1</v>
      </c>
      <c r="D1440" s="234">
        <v>2</v>
      </c>
      <c r="E1440" s="234">
        <v>4</v>
      </c>
      <c r="G1440" s="508" t="s">
        <v>51</v>
      </c>
      <c r="H1440" s="493" t="s">
        <v>1238</v>
      </c>
      <c r="I1440" s="460" t="s">
        <v>5930</v>
      </c>
      <c r="J1440" s="495" t="s">
        <v>2702</v>
      </c>
      <c r="K1440" s="496" t="s">
        <v>641</v>
      </c>
      <c r="L1440" s="497">
        <v>134.535</v>
      </c>
      <c r="M1440" s="497">
        <v>3623.4139814918053</v>
      </c>
      <c r="N1440" s="464">
        <v>487476</v>
      </c>
      <c r="O1440" s="498" t="s">
        <v>2704</v>
      </c>
      <c r="P1440" s="431" t="s">
        <v>6711</v>
      </c>
    </row>
    <row r="1441" spans="1:16" ht="13.5" hidden="1" customHeight="1" outlineLevel="3" x14ac:dyDescent="0.2">
      <c r="A1441" s="233">
        <v>0</v>
      </c>
      <c r="B1441" s="233">
        <v>18</v>
      </c>
      <c r="C1441" s="233">
        <v>1</v>
      </c>
      <c r="D1441" s="234">
        <v>2</v>
      </c>
      <c r="E1441" s="234">
        <v>5</v>
      </c>
      <c r="G1441" s="508" t="s">
        <v>51</v>
      </c>
      <c r="H1441" s="493" t="s">
        <v>1238</v>
      </c>
      <c r="I1441" s="460" t="s">
        <v>5931</v>
      </c>
      <c r="J1441" s="495" t="s">
        <v>2705</v>
      </c>
      <c r="K1441" s="496" t="s">
        <v>533</v>
      </c>
      <c r="L1441" s="497">
        <v>1</v>
      </c>
      <c r="M1441" s="497">
        <v>197568</v>
      </c>
      <c r="N1441" s="464">
        <v>197568</v>
      </c>
      <c r="O1441" s="498" t="s">
        <v>2703</v>
      </c>
      <c r="P1441" s="431" t="s">
        <v>6711</v>
      </c>
    </row>
    <row r="1442" spans="1:16" ht="12.75" hidden="1" customHeight="1" outlineLevel="2" x14ac:dyDescent="0.2">
      <c r="A1442" s="233">
        <v>0</v>
      </c>
      <c r="B1442" s="233">
        <v>18</v>
      </c>
      <c r="C1442" s="233">
        <v>1</v>
      </c>
      <c r="D1442" s="234">
        <v>3</v>
      </c>
      <c r="E1442" s="234">
        <v>0</v>
      </c>
      <c r="G1442" s="507"/>
      <c r="H1442" s="487" t="s">
        <v>1237</v>
      </c>
      <c r="I1442" s="452" t="s">
        <v>5932</v>
      </c>
      <c r="J1442" s="489" t="s">
        <v>2351</v>
      </c>
      <c r="K1442" s="490"/>
      <c r="L1442" s="491"/>
      <c r="M1442" s="491"/>
      <c r="N1442" s="456"/>
      <c r="O1442" s="492"/>
      <c r="P1442" s="430"/>
    </row>
    <row r="1443" spans="1:16" ht="12.75" hidden="1" customHeight="1" outlineLevel="3" x14ac:dyDescent="0.2">
      <c r="A1443" s="233">
        <v>0</v>
      </c>
      <c r="B1443" s="233">
        <v>18</v>
      </c>
      <c r="C1443" s="233">
        <v>1</v>
      </c>
      <c r="D1443" s="234">
        <v>3</v>
      </c>
      <c r="E1443" s="234">
        <v>1</v>
      </c>
      <c r="G1443" s="508" t="s">
        <v>51</v>
      </c>
      <c r="H1443" s="493" t="s">
        <v>1238</v>
      </c>
      <c r="I1443" s="460" t="s">
        <v>5933</v>
      </c>
      <c r="J1443" s="495" t="s">
        <v>796</v>
      </c>
      <c r="K1443" s="496" t="s">
        <v>641</v>
      </c>
      <c r="L1443" s="497" t="e">
        <v>#REF!</v>
      </c>
      <c r="M1443" s="497">
        <v>1403.9850000000001</v>
      </c>
      <c r="N1443" s="464"/>
      <c r="O1443" s="498" t="s">
        <v>2703</v>
      </c>
      <c r="P1443" s="431" t="s">
        <v>6711</v>
      </c>
    </row>
    <row r="1444" spans="1:16" ht="13.5" hidden="1" customHeight="1" outlineLevel="1" x14ac:dyDescent="0.2">
      <c r="A1444" s="233">
        <v>0</v>
      </c>
      <c r="B1444" s="233">
        <v>18</v>
      </c>
      <c r="C1444" s="233">
        <v>2</v>
      </c>
      <c r="D1444" s="234">
        <v>0</v>
      </c>
      <c r="E1444" s="234">
        <v>1</v>
      </c>
      <c r="G1444" s="506"/>
      <c r="H1444" s="481" t="s">
        <v>38</v>
      </c>
      <c r="I1444" s="445" t="s">
        <v>5934</v>
      </c>
      <c r="J1444" s="483" t="s">
        <v>3038</v>
      </c>
      <c r="K1444" s="484"/>
      <c r="L1444" s="485"/>
      <c r="M1444" s="485"/>
      <c r="N1444" s="449"/>
      <c r="O1444" s="486"/>
      <c r="P1444" s="429"/>
    </row>
    <row r="1445" spans="1:16" ht="13.5" hidden="1" customHeight="1" outlineLevel="2" x14ac:dyDescent="0.2">
      <c r="A1445" s="233">
        <v>0</v>
      </c>
      <c r="B1445" s="233">
        <v>18</v>
      </c>
      <c r="C1445" s="233">
        <v>2</v>
      </c>
      <c r="D1445" s="234">
        <v>1</v>
      </c>
      <c r="E1445" s="234">
        <v>0</v>
      </c>
      <c r="G1445" s="507"/>
      <c r="H1445" s="487" t="s">
        <v>1237</v>
      </c>
      <c r="I1445" s="452" t="s">
        <v>5935</v>
      </c>
      <c r="J1445" s="489" t="s">
        <v>27</v>
      </c>
      <c r="K1445" s="490"/>
      <c r="L1445" s="491"/>
      <c r="M1445" s="491"/>
      <c r="N1445" s="456">
        <v>478.74400000000003</v>
      </c>
      <c r="O1445" s="492">
        <v>2.85822944571445E-2</v>
      </c>
      <c r="P1445" s="430"/>
    </row>
    <row r="1446" spans="1:16" ht="13.5" hidden="1" customHeight="1" outlineLevel="3" x14ac:dyDescent="0.2">
      <c r="A1446" s="233">
        <v>0</v>
      </c>
      <c r="B1446" s="233">
        <v>18</v>
      </c>
      <c r="C1446" s="233">
        <v>2</v>
      </c>
      <c r="D1446" s="234">
        <v>1</v>
      </c>
      <c r="E1446" s="234">
        <v>1</v>
      </c>
      <c r="G1446" s="508" t="s">
        <v>51</v>
      </c>
      <c r="H1446" s="493" t="s">
        <v>1238</v>
      </c>
      <c r="I1446" s="460" t="s">
        <v>5936</v>
      </c>
      <c r="J1446" s="495" t="s">
        <v>790</v>
      </c>
      <c r="K1446" s="496" t="s">
        <v>787</v>
      </c>
      <c r="L1446" s="497">
        <v>20.6</v>
      </c>
      <c r="M1446" s="497">
        <v>23.240000000000002</v>
      </c>
      <c r="N1446" s="464">
        <v>478.74400000000003</v>
      </c>
      <c r="O1446" s="498" t="s">
        <v>2704</v>
      </c>
      <c r="P1446" s="431" t="s">
        <v>6711</v>
      </c>
    </row>
    <row r="1447" spans="1:16" ht="13.5" hidden="1" customHeight="1" outlineLevel="2" x14ac:dyDescent="0.2">
      <c r="A1447" s="233">
        <v>0</v>
      </c>
      <c r="B1447" s="233">
        <v>18</v>
      </c>
      <c r="C1447" s="233">
        <v>2</v>
      </c>
      <c r="D1447" s="234">
        <v>2</v>
      </c>
      <c r="E1447" s="234">
        <v>0</v>
      </c>
      <c r="G1447" s="507"/>
      <c r="H1447" s="487" t="s">
        <v>1237</v>
      </c>
      <c r="I1447" s="452" t="s">
        <v>5937</v>
      </c>
      <c r="J1447" s="489" t="s">
        <v>28</v>
      </c>
      <c r="K1447" s="490"/>
      <c r="L1447" s="491"/>
      <c r="M1447" s="491"/>
      <c r="N1447" s="456">
        <v>18223.1524392147</v>
      </c>
      <c r="O1447" s="492"/>
      <c r="P1447" s="430"/>
    </row>
    <row r="1448" spans="1:16" ht="13.5" hidden="1" customHeight="1" outlineLevel="3" x14ac:dyDescent="0.2">
      <c r="A1448" s="233">
        <v>0</v>
      </c>
      <c r="B1448" s="233">
        <v>18</v>
      </c>
      <c r="C1448" s="233">
        <v>2</v>
      </c>
      <c r="D1448" s="234">
        <v>2</v>
      </c>
      <c r="E1448" s="234">
        <v>1</v>
      </c>
      <c r="G1448" s="508" t="s">
        <v>51</v>
      </c>
      <c r="H1448" s="493" t="s">
        <v>1238</v>
      </c>
      <c r="I1448" s="460" t="s">
        <v>5938</v>
      </c>
      <c r="J1448" s="495" t="s">
        <v>2699</v>
      </c>
      <c r="K1448" s="496" t="s">
        <v>641</v>
      </c>
      <c r="L1448" s="497">
        <v>6</v>
      </c>
      <c r="M1448" s="497">
        <v>1906.3139681515586</v>
      </c>
      <c r="N1448" s="464">
        <v>11437.883808909401</v>
      </c>
      <c r="O1448" s="498" t="s">
        <v>2704</v>
      </c>
      <c r="P1448" s="431" t="s">
        <v>6711</v>
      </c>
    </row>
    <row r="1449" spans="1:16" ht="13.5" hidden="1" customHeight="1" outlineLevel="3" x14ac:dyDescent="0.2">
      <c r="A1449" s="233">
        <v>0</v>
      </c>
      <c r="B1449" s="233">
        <v>18</v>
      </c>
      <c r="C1449" s="233">
        <v>2</v>
      </c>
      <c r="D1449" s="234">
        <v>2</v>
      </c>
      <c r="E1449" s="234">
        <v>2</v>
      </c>
      <c r="G1449" s="508" t="s">
        <v>51</v>
      </c>
      <c r="H1449" s="493" t="s">
        <v>1238</v>
      </c>
      <c r="I1449" s="460" t="s">
        <v>5939</v>
      </c>
      <c r="J1449" s="495" t="s">
        <v>2700</v>
      </c>
      <c r="K1449" s="496" t="s">
        <v>641</v>
      </c>
      <c r="L1449" s="497">
        <v>2.5600000000000005</v>
      </c>
      <c r="M1449" s="497">
        <v>2650.4955587130289</v>
      </c>
      <c r="N1449" s="464">
        <v>6785.2686303053597</v>
      </c>
      <c r="O1449" s="498" t="s">
        <v>2704</v>
      </c>
      <c r="P1449" s="431" t="s">
        <v>6711</v>
      </c>
    </row>
    <row r="1450" spans="1:16" ht="12.75" hidden="1" customHeight="1" outlineLevel="2" x14ac:dyDescent="0.2">
      <c r="A1450" s="233">
        <v>0</v>
      </c>
      <c r="B1450" s="233">
        <v>18</v>
      </c>
      <c r="C1450" s="233">
        <v>2</v>
      </c>
      <c r="D1450" s="234">
        <v>3</v>
      </c>
      <c r="E1450" s="234">
        <v>0</v>
      </c>
      <c r="G1450" s="507"/>
      <c r="H1450" s="487" t="s">
        <v>1237</v>
      </c>
      <c r="I1450" s="452" t="s">
        <v>5940</v>
      </c>
      <c r="J1450" s="489" t="s">
        <v>2351</v>
      </c>
      <c r="K1450" s="490"/>
      <c r="L1450" s="491"/>
      <c r="M1450" s="491"/>
      <c r="N1450" s="456"/>
      <c r="O1450" s="492"/>
      <c r="P1450" s="430"/>
    </row>
    <row r="1451" spans="1:16" ht="12.75" hidden="1" customHeight="1" outlineLevel="3" x14ac:dyDescent="0.2">
      <c r="A1451" s="233">
        <v>0</v>
      </c>
      <c r="B1451" s="233">
        <v>18</v>
      </c>
      <c r="C1451" s="233">
        <v>2</v>
      </c>
      <c r="D1451" s="234">
        <v>3</v>
      </c>
      <c r="E1451" s="234">
        <v>1</v>
      </c>
      <c r="G1451" s="508" t="s">
        <v>51</v>
      </c>
      <c r="H1451" s="493" t="s">
        <v>1238</v>
      </c>
      <c r="I1451" s="460" t="s">
        <v>5941</v>
      </c>
      <c r="J1451" s="495" t="s">
        <v>796</v>
      </c>
      <c r="K1451" s="496" t="s">
        <v>641</v>
      </c>
      <c r="L1451" s="497" t="e">
        <v>#REF!</v>
      </c>
      <c r="M1451" s="497">
        <v>1403.9850000000001</v>
      </c>
      <c r="N1451" s="464"/>
      <c r="O1451" s="498" t="s">
        <v>2703</v>
      </c>
      <c r="P1451" s="431" t="s">
        <v>6711</v>
      </c>
    </row>
    <row r="1452" spans="1:16" ht="12.75" hidden="1" customHeight="1" outlineLevel="2" x14ac:dyDescent="0.2">
      <c r="A1452" s="233">
        <v>0</v>
      </c>
      <c r="B1452" s="233">
        <v>18</v>
      </c>
      <c r="C1452" s="233">
        <v>2</v>
      </c>
      <c r="D1452" s="234">
        <v>4</v>
      </c>
      <c r="E1452" s="234">
        <v>0</v>
      </c>
      <c r="G1452" s="507"/>
      <c r="H1452" s="487" t="s">
        <v>1237</v>
      </c>
      <c r="I1452" s="452" t="s">
        <v>5942</v>
      </c>
      <c r="J1452" s="489" t="s">
        <v>2711</v>
      </c>
      <c r="K1452" s="490"/>
      <c r="L1452" s="491"/>
      <c r="M1452" s="491"/>
      <c r="N1452" s="456"/>
      <c r="O1452" s="492"/>
      <c r="P1452" s="430"/>
    </row>
    <row r="1453" spans="1:16" ht="12.75" hidden="1" customHeight="1" outlineLevel="3" x14ac:dyDescent="0.2">
      <c r="A1453" s="233">
        <v>0</v>
      </c>
      <c r="B1453" s="233">
        <v>18</v>
      </c>
      <c r="C1453" s="233">
        <v>2</v>
      </c>
      <c r="D1453" s="234">
        <v>4</v>
      </c>
      <c r="E1453" s="234">
        <v>1</v>
      </c>
      <c r="G1453" s="508" t="s">
        <v>51</v>
      </c>
      <c r="H1453" s="493" t="s">
        <v>1238</v>
      </c>
      <c r="I1453" s="460" t="s">
        <v>5943</v>
      </c>
      <c r="J1453" s="495" t="s">
        <v>793</v>
      </c>
      <c r="K1453" s="496" t="s">
        <v>641</v>
      </c>
      <c r="L1453" s="497" t="e">
        <v>#REF!</v>
      </c>
      <c r="M1453" s="497">
        <v>2122.5413895570964</v>
      </c>
      <c r="N1453" s="464"/>
      <c r="O1453" s="498" t="s">
        <v>2703</v>
      </c>
      <c r="P1453" s="431" t="s">
        <v>6711</v>
      </c>
    </row>
    <row r="1454" spans="1:16" ht="13.5" hidden="1" customHeight="1" outlineLevel="1" x14ac:dyDescent="0.2">
      <c r="A1454" s="233">
        <v>0</v>
      </c>
      <c r="B1454" s="233">
        <v>18</v>
      </c>
      <c r="C1454" s="233">
        <v>3</v>
      </c>
      <c r="D1454" s="234">
        <v>0</v>
      </c>
      <c r="E1454" s="234">
        <v>1</v>
      </c>
      <c r="G1454" s="506"/>
      <c r="H1454" s="481" t="s">
        <v>38</v>
      </c>
      <c r="I1454" s="445" t="s">
        <v>5944</v>
      </c>
      <c r="J1454" s="483" t="s">
        <v>3040</v>
      </c>
      <c r="K1454" s="484"/>
      <c r="L1454" s="485"/>
      <c r="M1454" s="485"/>
      <c r="N1454" s="449"/>
      <c r="O1454" s="486"/>
      <c r="P1454" s="429"/>
    </row>
    <row r="1455" spans="1:16" ht="13.5" hidden="1" customHeight="1" outlineLevel="2" x14ac:dyDescent="0.2">
      <c r="A1455" s="233">
        <v>0</v>
      </c>
      <c r="B1455" s="233">
        <v>18</v>
      </c>
      <c r="C1455" s="233">
        <v>3</v>
      </c>
      <c r="D1455" s="234">
        <v>1</v>
      </c>
      <c r="E1455" s="234">
        <v>0</v>
      </c>
      <c r="G1455" s="507"/>
      <c r="H1455" s="487" t="s">
        <v>1237</v>
      </c>
      <c r="I1455" s="452" t="s">
        <v>5945</v>
      </c>
      <c r="J1455" s="489" t="s">
        <v>27</v>
      </c>
      <c r="K1455" s="490"/>
      <c r="L1455" s="491"/>
      <c r="M1455" s="491"/>
      <c r="N1455" s="456">
        <v>223.10400000000001</v>
      </c>
      <c r="O1455" s="492">
        <v>1.33199042130382E-2</v>
      </c>
      <c r="P1455" s="430"/>
    </row>
    <row r="1456" spans="1:16" ht="13.5" hidden="1" customHeight="1" outlineLevel="3" x14ac:dyDescent="0.2">
      <c r="A1456" s="233">
        <v>0</v>
      </c>
      <c r="B1456" s="233">
        <v>18</v>
      </c>
      <c r="C1456" s="233">
        <v>3</v>
      </c>
      <c r="D1456" s="234">
        <v>1</v>
      </c>
      <c r="E1456" s="234">
        <v>1</v>
      </c>
      <c r="G1456" s="508" t="s">
        <v>51</v>
      </c>
      <c r="H1456" s="493" t="s">
        <v>1238</v>
      </c>
      <c r="I1456" s="460" t="s">
        <v>5946</v>
      </c>
      <c r="J1456" s="495" t="s">
        <v>790</v>
      </c>
      <c r="K1456" s="496" t="s">
        <v>787</v>
      </c>
      <c r="L1456" s="497">
        <v>9.6000000000000014</v>
      </c>
      <c r="M1456" s="497">
        <v>23.240000000000002</v>
      </c>
      <c r="N1456" s="464">
        <v>223.10400000000001</v>
      </c>
      <c r="O1456" s="498" t="s">
        <v>2704</v>
      </c>
      <c r="P1456" s="431" t="s">
        <v>6711</v>
      </c>
    </row>
    <row r="1457" spans="1:16" ht="13.5" hidden="1" customHeight="1" outlineLevel="2" x14ac:dyDescent="0.2">
      <c r="A1457" s="233">
        <v>0</v>
      </c>
      <c r="B1457" s="233">
        <v>18</v>
      </c>
      <c r="C1457" s="233">
        <v>3</v>
      </c>
      <c r="D1457" s="234">
        <v>2</v>
      </c>
      <c r="E1457" s="234">
        <v>0</v>
      </c>
      <c r="G1457" s="507"/>
      <c r="H1457" s="487" t="s">
        <v>1237</v>
      </c>
      <c r="I1457" s="452" t="s">
        <v>5947</v>
      </c>
      <c r="J1457" s="489" t="s">
        <v>28</v>
      </c>
      <c r="K1457" s="490"/>
      <c r="L1457" s="491"/>
      <c r="M1457" s="491"/>
      <c r="N1457" s="456">
        <v>6785.2686303053597</v>
      </c>
      <c r="O1457" s="492"/>
      <c r="P1457" s="430"/>
    </row>
    <row r="1458" spans="1:16" ht="13.5" hidden="1" customHeight="1" outlineLevel="3" x14ac:dyDescent="0.2">
      <c r="A1458" s="233">
        <v>0</v>
      </c>
      <c r="B1458" s="233">
        <v>18</v>
      </c>
      <c r="C1458" s="233">
        <v>3</v>
      </c>
      <c r="D1458" s="234">
        <v>2</v>
      </c>
      <c r="E1458" s="234">
        <v>1</v>
      </c>
      <c r="G1458" s="508" t="s">
        <v>51</v>
      </c>
      <c r="H1458" s="493" t="s">
        <v>1238</v>
      </c>
      <c r="I1458" s="460" t="s">
        <v>5948</v>
      </c>
      <c r="J1458" s="495" t="s">
        <v>2700</v>
      </c>
      <c r="K1458" s="496" t="s">
        <v>641</v>
      </c>
      <c r="L1458" s="497">
        <v>2.5600000000000005</v>
      </c>
      <c r="M1458" s="497">
        <v>2650.4955587130289</v>
      </c>
      <c r="N1458" s="464">
        <v>6785.2686303053597</v>
      </c>
      <c r="O1458" s="498" t="s">
        <v>2704</v>
      </c>
      <c r="P1458" s="431" t="s">
        <v>6711</v>
      </c>
    </row>
    <row r="1459" spans="1:16" ht="12.75" hidden="1" customHeight="1" outlineLevel="2" x14ac:dyDescent="0.2">
      <c r="A1459" s="233">
        <v>0</v>
      </c>
      <c r="B1459" s="233">
        <v>18</v>
      </c>
      <c r="C1459" s="233">
        <v>3</v>
      </c>
      <c r="D1459" s="234">
        <v>3</v>
      </c>
      <c r="E1459" s="234">
        <v>0</v>
      </c>
      <c r="G1459" s="507"/>
      <c r="H1459" s="487" t="s">
        <v>1237</v>
      </c>
      <c r="I1459" s="452" t="s">
        <v>5949</v>
      </c>
      <c r="J1459" s="489" t="s">
        <v>2711</v>
      </c>
      <c r="K1459" s="490"/>
      <c r="L1459" s="491"/>
      <c r="M1459" s="491"/>
      <c r="N1459" s="456"/>
      <c r="O1459" s="492"/>
      <c r="P1459" s="430"/>
    </row>
    <row r="1460" spans="1:16" ht="12.75" hidden="1" customHeight="1" outlineLevel="3" x14ac:dyDescent="0.2">
      <c r="A1460" s="233">
        <v>0</v>
      </c>
      <c r="B1460" s="233">
        <v>18</v>
      </c>
      <c r="C1460" s="233">
        <v>3</v>
      </c>
      <c r="D1460" s="234">
        <v>3</v>
      </c>
      <c r="E1460" s="234">
        <v>1</v>
      </c>
      <c r="G1460" s="508" t="s">
        <v>51</v>
      </c>
      <c r="H1460" s="493" t="s">
        <v>1238</v>
      </c>
      <c r="I1460" s="460" t="s">
        <v>5950</v>
      </c>
      <c r="J1460" s="495" t="s">
        <v>793</v>
      </c>
      <c r="K1460" s="496" t="s">
        <v>641</v>
      </c>
      <c r="L1460" s="497" t="e">
        <v>#REF!</v>
      </c>
      <c r="M1460" s="497">
        <v>2122.5413895570964</v>
      </c>
      <c r="N1460" s="464"/>
      <c r="O1460" s="498" t="s">
        <v>2703</v>
      </c>
      <c r="P1460" s="431" t="s">
        <v>6711</v>
      </c>
    </row>
    <row r="1461" spans="1:16" ht="12.75" hidden="1" customHeight="1" outlineLevel="2" x14ac:dyDescent="0.2">
      <c r="A1461" s="233">
        <v>0</v>
      </c>
      <c r="B1461" s="233">
        <v>18</v>
      </c>
      <c r="C1461" s="233">
        <v>3</v>
      </c>
      <c r="D1461" s="234">
        <v>4</v>
      </c>
      <c r="E1461" s="234">
        <v>0</v>
      </c>
      <c r="G1461" s="507"/>
      <c r="H1461" s="487" t="s">
        <v>1237</v>
      </c>
      <c r="I1461" s="452" t="s">
        <v>5951</v>
      </c>
      <c r="J1461" s="489" t="s">
        <v>798</v>
      </c>
      <c r="K1461" s="490"/>
      <c r="L1461" s="491"/>
      <c r="M1461" s="491"/>
      <c r="N1461" s="456"/>
      <c r="O1461" s="492"/>
      <c r="P1461" s="430"/>
    </row>
    <row r="1462" spans="1:16" ht="13.5" hidden="1" customHeight="1" outlineLevel="3" x14ac:dyDescent="0.2">
      <c r="A1462" s="233">
        <v>0</v>
      </c>
      <c r="B1462" s="233">
        <v>18</v>
      </c>
      <c r="C1462" s="233">
        <v>3</v>
      </c>
      <c r="D1462" s="234">
        <v>4</v>
      </c>
      <c r="E1462" s="234">
        <v>1</v>
      </c>
      <c r="G1462" s="508" t="s">
        <v>51</v>
      </c>
      <c r="H1462" s="493" t="s">
        <v>1238</v>
      </c>
      <c r="I1462" s="460" t="s">
        <v>5952</v>
      </c>
      <c r="J1462" s="495" t="s">
        <v>798</v>
      </c>
      <c r="K1462" s="496" t="s">
        <v>641</v>
      </c>
      <c r="L1462" s="497" t="e">
        <v>#REF!</v>
      </c>
      <c r="M1462" s="497">
        <v>1533.99</v>
      </c>
      <c r="N1462" s="464"/>
      <c r="O1462" s="498" t="s">
        <v>2703</v>
      </c>
      <c r="P1462" s="431" t="s">
        <v>6711</v>
      </c>
    </row>
    <row r="1463" spans="1:16" ht="13.5" hidden="1" customHeight="1" outlineLevel="1" x14ac:dyDescent="0.2">
      <c r="A1463" s="233">
        <v>0</v>
      </c>
      <c r="B1463" s="233">
        <v>18</v>
      </c>
      <c r="C1463" s="233">
        <v>4</v>
      </c>
      <c r="D1463" s="234">
        <v>0</v>
      </c>
      <c r="E1463" s="234">
        <v>1</v>
      </c>
      <c r="G1463" s="506"/>
      <c r="H1463" s="481" t="s">
        <v>38</v>
      </c>
      <c r="I1463" s="445" t="s">
        <v>5953</v>
      </c>
      <c r="J1463" s="483" t="s">
        <v>3039</v>
      </c>
      <c r="K1463" s="484"/>
      <c r="L1463" s="485"/>
      <c r="M1463" s="485"/>
      <c r="N1463" s="449"/>
      <c r="O1463" s="486"/>
      <c r="P1463" s="429"/>
    </row>
    <row r="1464" spans="1:16" ht="13.5" hidden="1" customHeight="1" outlineLevel="2" x14ac:dyDescent="0.2">
      <c r="A1464" s="233">
        <v>0</v>
      </c>
      <c r="B1464" s="233">
        <v>18</v>
      </c>
      <c r="C1464" s="233">
        <v>4</v>
      </c>
      <c r="D1464" s="234">
        <v>1</v>
      </c>
      <c r="E1464" s="234">
        <v>0</v>
      </c>
      <c r="G1464" s="507"/>
      <c r="H1464" s="487" t="s">
        <v>1237</v>
      </c>
      <c r="I1464" s="452" t="s">
        <v>5954</v>
      </c>
      <c r="J1464" s="489" t="s">
        <v>27</v>
      </c>
      <c r="K1464" s="490"/>
      <c r="L1464" s="491"/>
      <c r="M1464" s="491"/>
      <c r="N1464" s="456">
        <v>223.10400000000001</v>
      </c>
      <c r="O1464" s="492">
        <v>1.33199042130382E-2</v>
      </c>
      <c r="P1464" s="430"/>
    </row>
    <row r="1465" spans="1:16" ht="13.5" hidden="1" customHeight="1" outlineLevel="3" x14ac:dyDescent="0.2">
      <c r="A1465" s="233">
        <v>0</v>
      </c>
      <c r="B1465" s="233">
        <v>18</v>
      </c>
      <c r="C1465" s="233">
        <v>4</v>
      </c>
      <c r="D1465" s="234">
        <v>1</v>
      </c>
      <c r="E1465" s="234">
        <v>1</v>
      </c>
      <c r="G1465" s="508" t="s">
        <v>51</v>
      </c>
      <c r="H1465" s="493" t="s">
        <v>1238</v>
      </c>
      <c r="I1465" s="460" t="s">
        <v>5955</v>
      </c>
      <c r="J1465" s="495" t="s">
        <v>790</v>
      </c>
      <c r="K1465" s="496" t="s">
        <v>787</v>
      </c>
      <c r="L1465" s="497">
        <v>9.6000000000000014</v>
      </c>
      <c r="M1465" s="497">
        <v>23.240000000000002</v>
      </c>
      <c r="N1465" s="464">
        <v>223.10400000000001</v>
      </c>
      <c r="O1465" s="498" t="s">
        <v>2704</v>
      </c>
      <c r="P1465" s="431" t="s">
        <v>6711</v>
      </c>
    </row>
    <row r="1466" spans="1:16" ht="13.5" hidden="1" customHeight="1" outlineLevel="2" x14ac:dyDescent="0.2">
      <c r="A1466" s="233">
        <v>0</v>
      </c>
      <c r="B1466" s="233">
        <v>18</v>
      </c>
      <c r="C1466" s="233">
        <v>4</v>
      </c>
      <c r="D1466" s="234">
        <v>2</v>
      </c>
      <c r="E1466" s="234">
        <v>0</v>
      </c>
      <c r="G1466" s="507"/>
      <c r="H1466" s="487" t="s">
        <v>1237</v>
      </c>
      <c r="I1466" s="452" t="s">
        <v>5956</v>
      </c>
      <c r="J1466" s="489" t="s">
        <v>28</v>
      </c>
      <c r="K1466" s="490"/>
      <c r="L1466" s="491"/>
      <c r="M1466" s="491"/>
      <c r="N1466" s="456">
        <v>6785.2686303053597</v>
      </c>
      <c r="O1466" s="492"/>
      <c r="P1466" s="430"/>
    </row>
    <row r="1467" spans="1:16" ht="13.5" hidden="1" customHeight="1" outlineLevel="3" x14ac:dyDescent="0.2">
      <c r="A1467" s="233">
        <v>0</v>
      </c>
      <c r="B1467" s="233">
        <v>18</v>
      </c>
      <c r="C1467" s="233">
        <v>4</v>
      </c>
      <c r="D1467" s="234">
        <v>2</v>
      </c>
      <c r="E1467" s="234">
        <v>1</v>
      </c>
      <c r="G1467" s="508" t="s">
        <v>51</v>
      </c>
      <c r="H1467" s="493" t="s">
        <v>1238</v>
      </c>
      <c r="I1467" s="460" t="s">
        <v>5957</v>
      </c>
      <c r="J1467" s="495" t="s">
        <v>2700</v>
      </c>
      <c r="K1467" s="496" t="s">
        <v>641</v>
      </c>
      <c r="L1467" s="497">
        <v>2.5600000000000005</v>
      </c>
      <c r="M1467" s="497">
        <v>2650.4955587130289</v>
      </c>
      <c r="N1467" s="464">
        <v>6785.2686303053597</v>
      </c>
      <c r="O1467" s="498" t="s">
        <v>2704</v>
      </c>
      <c r="P1467" s="431" t="s">
        <v>6711</v>
      </c>
    </row>
    <row r="1468" spans="1:16" ht="12.75" hidden="1" customHeight="1" outlineLevel="2" x14ac:dyDescent="0.2">
      <c r="A1468" s="233">
        <v>0</v>
      </c>
      <c r="B1468" s="233">
        <v>18</v>
      </c>
      <c r="C1468" s="233">
        <v>4</v>
      </c>
      <c r="D1468" s="234">
        <v>3</v>
      </c>
      <c r="E1468" s="234">
        <v>0</v>
      </c>
      <c r="G1468" s="507"/>
      <c r="H1468" s="487" t="s">
        <v>1237</v>
      </c>
      <c r="I1468" s="452" t="s">
        <v>5958</v>
      </c>
      <c r="J1468" s="489" t="s">
        <v>798</v>
      </c>
      <c r="K1468" s="490"/>
      <c r="L1468" s="491"/>
      <c r="M1468" s="491"/>
      <c r="N1468" s="456"/>
      <c r="O1468" s="492"/>
      <c r="P1468" s="430"/>
    </row>
    <row r="1469" spans="1:16" ht="13.5" hidden="1" customHeight="1" outlineLevel="3" x14ac:dyDescent="0.2">
      <c r="A1469" s="233">
        <v>0</v>
      </c>
      <c r="B1469" s="233">
        <v>18</v>
      </c>
      <c r="C1469" s="233">
        <v>4</v>
      </c>
      <c r="D1469" s="234">
        <v>3</v>
      </c>
      <c r="E1469" s="234">
        <v>1</v>
      </c>
      <c r="G1469" s="508" t="s">
        <v>51</v>
      </c>
      <c r="H1469" s="493" t="s">
        <v>1238</v>
      </c>
      <c r="I1469" s="460" t="s">
        <v>5959</v>
      </c>
      <c r="J1469" s="495" t="s">
        <v>798</v>
      </c>
      <c r="K1469" s="496" t="s">
        <v>641</v>
      </c>
      <c r="L1469" s="497" t="e">
        <v>#REF!</v>
      </c>
      <c r="M1469" s="497">
        <v>1533.99</v>
      </c>
      <c r="N1469" s="464"/>
      <c r="O1469" s="498" t="s">
        <v>2703</v>
      </c>
      <c r="P1469" s="431" t="s">
        <v>6711</v>
      </c>
    </row>
    <row r="1470" spans="1:16" ht="13.5" hidden="1" customHeight="1" outlineLevel="1" x14ac:dyDescent="0.2">
      <c r="A1470" s="233">
        <v>0</v>
      </c>
      <c r="B1470" s="233">
        <v>18</v>
      </c>
      <c r="C1470" s="233">
        <v>5</v>
      </c>
      <c r="D1470" s="234">
        <v>0</v>
      </c>
      <c r="E1470" s="234">
        <v>1</v>
      </c>
      <c r="G1470" s="506"/>
      <c r="H1470" s="481" t="s">
        <v>38</v>
      </c>
      <c r="I1470" s="445" t="s">
        <v>5960</v>
      </c>
      <c r="J1470" s="483" t="s">
        <v>3041</v>
      </c>
      <c r="K1470" s="484"/>
      <c r="L1470" s="485"/>
      <c r="M1470" s="485"/>
      <c r="N1470" s="449"/>
      <c r="O1470" s="486"/>
      <c r="P1470" s="429"/>
    </row>
    <row r="1471" spans="1:16" ht="13.5" hidden="1" customHeight="1" outlineLevel="2" x14ac:dyDescent="0.2">
      <c r="A1471" s="233">
        <v>0</v>
      </c>
      <c r="B1471" s="233">
        <v>18</v>
      </c>
      <c r="C1471" s="233">
        <v>5</v>
      </c>
      <c r="D1471" s="234">
        <v>1</v>
      </c>
      <c r="E1471" s="234">
        <v>0</v>
      </c>
      <c r="G1471" s="507"/>
      <c r="H1471" s="487" t="s">
        <v>1237</v>
      </c>
      <c r="I1471" s="452" t="s">
        <v>5961</v>
      </c>
      <c r="J1471" s="489" t="s">
        <v>27</v>
      </c>
      <c r="K1471" s="490"/>
      <c r="L1471" s="491"/>
      <c r="M1471" s="491"/>
      <c r="N1471" s="456">
        <v>223.10400000000001</v>
      </c>
      <c r="O1471" s="492">
        <v>1.33199042130382E-2</v>
      </c>
      <c r="P1471" s="430"/>
    </row>
    <row r="1472" spans="1:16" ht="13.5" hidden="1" customHeight="1" outlineLevel="3" x14ac:dyDescent="0.2">
      <c r="A1472" s="233">
        <v>0</v>
      </c>
      <c r="B1472" s="233">
        <v>18</v>
      </c>
      <c r="C1472" s="233">
        <v>5</v>
      </c>
      <c r="D1472" s="234">
        <v>1</v>
      </c>
      <c r="E1472" s="234">
        <v>1</v>
      </c>
      <c r="G1472" s="508" t="s">
        <v>51</v>
      </c>
      <c r="H1472" s="493" t="s">
        <v>1238</v>
      </c>
      <c r="I1472" s="460" t="s">
        <v>5962</v>
      </c>
      <c r="J1472" s="495" t="s">
        <v>790</v>
      </c>
      <c r="K1472" s="496" t="s">
        <v>787</v>
      </c>
      <c r="L1472" s="497">
        <v>9.6000000000000014</v>
      </c>
      <c r="M1472" s="497">
        <v>23.240000000000002</v>
      </c>
      <c r="N1472" s="464">
        <v>223.10400000000001</v>
      </c>
      <c r="O1472" s="498" t="s">
        <v>2704</v>
      </c>
      <c r="P1472" s="431" t="s">
        <v>6711</v>
      </c>
    </row>
    <row r="1473" spans="1:16" ht="13.5" hidden="1" customHeight="1" outlineLevel="2" x14ac:dyDescent="0.2">
      <c r="A1473" s="233">
        <v>0</v>
      </c>
      <c r="B1473" s="233">
        <v>18</v>
      </c>
      <c r="C1473" s="233">
        <v>5</v>
      </c>
      <c r="D1473" s="234">
        <v>2</v>
      </c>
      <c r="E1473" s="234">
        <v>0</v>
      </c>
      <c r="G1473" s="507"/>
      <c r="H1473" s="487" t="s">
        <v>1237</v>
      </c>
      <c r="I1473" s="452" t="s">
        <v>5963</v>
      </c>
      <c r="J1473" s="489" t="s">
        <v>28</v>
      </c>
      <c r="K1473" s="490"/>
      <c r="L1473" s="491"/>
      <c r="M1473" s="491"/>
      <c r="N1473" s="456">
        <v>6785.2686303053597</v>
      </c>
      <c r="O1473" s="492"/>
      <c r="P1473" s="430"/>
    </row>
    <row r="1474" spans="1:16" ht="13.5" hidden="1" customHeight="1" outlineLevel="3" x14ac:dyDescent="0.2">
      <c r="A1474" s="233">
        <v>0</v>
      </c>
      <c r="B1474" s="233">
        <v>18</v>
      </c>
      <c r="C1474" s="233">
        <v>5</v>
      </c>
      <c r="D1474" s="234">
        <v>2</v>
      </c>
      <c r="E1474" s="234">
        <v>1</v>
      </c>
      <c r="G1474" s="508" t="s">
        <v>51</v>
      </c>
      <c r="H1474" s="493" t="s">
        <v>1238</v>
      </c>
      <c r="I1474" s="460" t="s">
        <v>5964</v>
      </c>
      <c r="J1474" s="495" t="s">
        <v>2700</v>
      </c>
      <c r="K1474" s="496" t="s">
        <v>641</v>
      </c>
      <c r="L1474" s="497">
        <v>2.5600000000000005</v>
      </c>
      <c r="M1474" s="497">
        <v>2650.4955587130289</v>
      </c>
      <c r="N1474" s="464">
        <v>6785.2686303053597</v>
      </c>
      <c r="O1474" s="498" t="s">
        <v>2704</v>
      </c>
      <c r="P1474" s="431" t="s">
        <v>6711</v>
      </c>
    </row>
    <row r="1475" spans="1:16" ht="12.75" hidden="1" customHeight="1" outlineLevel="2" x14ac:dyDescent="0.2">
      <c r="A1475" s="233">
        <v>0</v>
      </c>
      <c r="B1475" s="233">
        <v>18</v>
      </c>
      <c r="C1475" s="233">
        <v>5</v>
      </c>
      <c r="D1475" s="234">
        <v>3</v>
      </c>
      <c r="E1475" s="234">
        <v>0</v>
      </c>
      <c r="G1475" s="507"/>
      <c r="H1475" s="487" t="s">
        <v>1237</v>
      </c>
      <c r="I1475" s="452" t="s">
        <v>5965</v>
      </c>
      <c r="J1475" s="489" t="s">
        <v>798</v>
      </c>
      <c r="K1475" s="490"/>
      <c r="L1475" s="491"/>
      <c r="M1475" s="491"/>
      <c r="N1475" s="456"/>
      <c r="O1475" s="492"/>
      <c r="P1475" s="430"/>
    </row>
    <row r="1476" spans="1:16" ht="13.5" hidden="1" customHeight="1" outlineLevel="3" x14ac:dyDescent="0.2">
      <c r="A1476" s="233">
        <v>0</v>
      </c>
      <c r="B1476" s="233">
        <v>18</v>
      </c>
      <c r="C1476" s="233">
        <v>5</v>
      </c>
      <c r="D1476" s="234">
        <v>3</v>
      </c>
      <c r="E1476" s="234">
        <v>1</v>
      </c>
      <c r="G1476" s="508" t="s">
        <v>51</v>
      </c>
      <c r="H1476" s="493" t="s">
        <v>1238</v>
      </c>
      <c r="I1476" s="460" t="s">
        <v>5966</v>
      </c>
      <c r="J1476" s="495" t="s">
        <v>798</v>
      </c>
      <c r="K1476" s="496" t="s">
        <v>641</v>
      </c>
      <c r="L1476" s="497" t="e">
        <v>#REF!</v>
      </c>
      <c r="M1476" s="497">
        <v>1533.99</v>
      </c>
      <c r="N1476" s="464"/>
      <c r="O1476" s="498" t="s">
        <v>2703</v>
      </c>
      <c r="P1476" s="431" t="s">
        <v>6711</v>
      </c>
    </row>
    <row r="1477" spans="1:16" ht="13.5" hidden="1" customHeight="1" outlineLevel="1" x14ac:dyDescent="0.2">
      <c r="A1477" s="233">
        <v>0</v>
      </c>
      <c r="B1477" s="233">
        <v>18</v>
      </c>
      <c r="C1477" s="233">
        <v>6</v>
      </c>
      <c r="D1477" s="234">
        <v>0</v>
      </c>
      <c r="E1477" s="234">
        <v>1</v>
      </c>
      <c r="G1477" s="506"/>
      <c r="H1477" s="481" t="s">
        <v>38</v>
      </c>
      <c r="I1477" s="445" t="s">
        <v>5967</v>
      </c>
      <c r="J1477" s="483" t="s">
        <v>3042</v>
      </c>
      <c r="K1477" s="484"/>
      <c r="L1477" s="485"/>
      <c r="M1477" s="485"/>
      <c r="N1477" s="449"/>
      <c r="O1477" s="486"/>
      <c r="P1477" s="429"/>
    </row>
    <row r="1478" spans="1:16" ht="13.5" hidden="1" customHeight="1" outlineLevel="2" x14ac:dyDescent="0.2">
      <c r="A1478" s="233">
        <v>0</v>
      </c>
      <c r="B1478" s="233">
        <v>18</v>
      </c>
      <c r="C1478" s="233">
        <v>6</v>
      </c>
      <c r="D1478" s="234">
        <v>1</v>
      </c>
      <c r="E1478" s="234">
        <v>0</v>
      </c>
      <c r="G1478" s="507"/>
      <c r="H1478" s="487" t="s">
        <v>1237</v>
      </c>
      <c r="I1478" s="452" t="s">
        <v>5968</v>
      </c>
      <c r="J1478" s="489" t="s">
        <v>27</v>
      </c>
      <c r="K1478" s="490"/>
      <c r="L1478" s="491"/>
      <c r="M1478" s="491"/>
      <c r="N1478" s="456">
        <v>341.62799999999999</v>
      </c>
      <c r="O1478" s="492">
        <v>2.03961033262148E-2</v>
      </c>
      <c r="P1478" s="430"/>
    </row>
    <row r="1479" spans="1:16" ht="13.5" hidden="1" customHeight="1" outlineLevel="3" x14ac:dyDescent="0.2">
      <c r="A1479" s="233">
        <v>0</v>
      </c>
      <c r="B1479" s="233">
        <v>18</v>
      </c>
      <c r="C1479" s="233">
        <v>6</v>
      </c>
      <c r="D1479" s="234">
        <v>1</v>
      </c>
      <c r="E1479" s="234">
        <v>1</v>
      </c>
      <c r="G1479" s="508" t="s">
        <v>51</v>
      </c>
      <c r="H1479" s="493" t="s">
        <v>1238</v>
      </c>
      <c r="I1479" s="460" t="s">
        <v>5969</v>
      </c>
      <c r="J1479" s="495" t="s">
        <v>790</v>
      </c>
      <c r="K1479" s="496" t="s">
        <v>787</v>
      </c>
      <c r="L1479" s="497">
        <v>14.700000000000001</v>
      </c>
      <c r="M1479" s="497">
        <v>23.240000000000002</v>
      </c>
      <c r="N1479" s="464">
        <v>341.62799999999999</v>
      </c>
      <c r="O1479" s="498" t="s">
        <v>2704</v>
      </c>
      <c r="P1479" s="431" t="s">
        <v>6711</v>
      </c>
    </row>
    <row r="1480" spans="1:16" ht="13.5" hidden="1" customHeight="1" outlineLevel="2" x14ac:dyDescent="0.2">
      <c r="A1480" s="233">
        <v>0</v>
      </c>
      <c r="B1480" s="233">
        <v>18</v>
      </c>
      <c r="C1480" s="233">
        <v>6</v>
      </c>
      <c r="D1480" s="234">
        <v>2</v>
      </c>
      <c r="E1480" s="234">
        <v>0</v>
      </c>
      <c r="G1480" s="507"/>
      <c r="H1480" s="487" t="s">
        <v>1237</v>
      </c>
      <c r="I1480" s="452" t="s">
        <v>5970</v>
      </c>
      <c r="J1480" s="489" t="s">
        <v>28</v>
      </c>
      <c r="K1480" s="490"/>
      <c r="L1480" s="491"/>
      <c r="M1480" s="491"/>
      <c r="N1480" s="456">
        <v>10388.202030111799</v>
      </c>
      <c r="O1480" s="492"/>
      <c r="P1480" s="430"/>
    </row>
    <row r="1481" spans="1:16" ht="13.5" hidden="1" customHeight="1" outlineLevel="3" x14ac:dyDescent="0.2">
      <c r="A1481" s="233">
        <v>0</v>
      </c>
      <c r="B1481" s="233">
        <v>18</v>
      </c>
      <c r="C1481" s="233">
        <v>6</v>
      </c>
      <c r="D1481" s="234">
        <v>2</v>
      </c>
      <c r="E1481" s="234">
        <v>1</v>
      </c>
      <c r="G1481" s="508" t="s">
        <v>51</v>
      </c>
      <c r="H1481" s="493" t="s">
        <v>1238</v>
      </c>
      <c r="I1481" s="460" t="s">
        <v>5971</v>
      </c>
      <c r="J1481" s="495" t="s">
        <v>2699</v>
      </c>
      <c r="K1481" s="496" t="s">
        <v>641</v>
      </c>
      <c r="L1481" s="497">
        <v>1.8900000000000001</v>
      </c>
      <c r="M1481" s="497">
        <v>1906.3139681515586</v>
      </c>
      <c r="N1481" s="464">
        <v>3602.9333998064499</v>
      </c>
      <c r="O1481" s="498" t="s">
        <v>2704</v>
      </c>
      <c r="P1481" s="431" t="s">
        <v>6711</v>
      </c>
    </row>
    <row r="1482" spans="1:16" ht="13.5" hidden="1" customHeight="1" outlineLevel="3" x14ac:dyDescent="0.2">
      <c r="A1482" s="233">
        <v>0</v>
      </c>
      <c r="B1482" s="233">
        <v>18</v>
      </c>
      <c r="C1482" s="233">
        <v>6</v>
      </c>
      <c r="D1482" s="234">
        <v>2</v>
      </c>
      <c r="E1482" s="234">
        <v>2</v>
      </c>
      <c r="G1482" s="508" t="s">
        <v>51</v>
      </c>
      <c r="H1482" s="493" t="s">
        <v>1238</v>
      </c>
      <c r="I1482" s="460" t="s">
        <v>5972</v>
      </c>
      <c r="J1482" s="495" t="s">
        <v>2700</v>
      </c>
      <c r="K1482" s="496" t="s">
        <v>641</v>
      </c>
      <c r="L1482" s="497">
        <v>2.5600000000000005</v>
      </c>
      <c r="M1482" s="497">
        <v>2650.4955587130289</v>
      </c>
      <c r="N1482" s="464">
        <v>6785.2686303053597</v>
      </c>
      <c r="O1482" s="498" t="s">
        <v>2704</v>
      </c>
      <c r="P1482" s="431" t="s">
        <v>6711</v>
      </c>
    </row>
    <row r="1483" spans="1:16" ht="12.75" hidden="1" customHeight="1" outlineLevel="2" x14ac:dyDescent="0.2">
      <c r="A1483" s="233">
        <v>0</v>
      </c>
      <c r="B1483" s="233">
        <v>18</v>
      </c>
      <c r="C1483" s="233">
        <v>6</v>
      </c>
      <c r="D1483" s="234">
        <v>3</v>
      </c>
      <c r="E1483" s="234">
        <v>0</v>
      </c>
      <c r="G1483" s="507"/>
      <c r="H1483" s="487" t="s">
        <v>1237</v>
      </c>
      <c r="I1483" s="452" t="s">
        <v>5973</v>
      </c>
      <c r="J1483" s="489" t="s">
        <v>798</v>
      </c>
      <c r="K1483" s="490"/>
      <c r="L1483" s="491"/>
      <c r="M1483" s="491"/>
      <c r="N1483" s="456"/>
      <c r="O1483" s="492"/>
      <c r="P1483" s="430"/>
    </row>
    <row r="1484" spans="1:16" ht="13.5" hidden="1" customHeight="1" outlineLevel="3" x14ac:dyDescent="0.2">
      <c r="A1484" s="233">
        <v>0</v>
      </c>
      <c r="B1484" s="233">
        <v>18</v>
      </c>
      <c r="C1484" s="233">
        <v>6</v>
      </c>
      <c r="D1484" s="234">
        <v>3</v>
      </c>
      <c r="E1484" s="234">
        <v>1</v>
      </c>
      <c r="G1484" s="508" t="s">
        <v>51</v>
      </c>
      <c r="H1484" s="493" t="s">
        <v>1238</v>
      </c>
      <c r="I1484" s="460" t="s">
        <v>5974</v>
      </c>
      <c r="J1484" s="495" t="s">
        <v>798</v>
      </c>
      <c r="K1484" s="496" t="s">
        <v>641</v>
      </c>
      <c r="L1484" s="497" t="e">
        <v>#REF!</v>
      </c>
      <c r="M1484" s="497">
        <v>1533.99</v>
      </c>
      <c r="N1484" s="464"/>
      <c r="O1484" s="498" t="s">
        <v>2703</v>
      </c>
      <c r="P1484" s="431" t="s">
        <v>6711</v>
      </c>
    </row>
    <row r="1485" spans="1:16" ht="13.5" hidden="1" customHeight="1" outlineLevel="1" x14ac:dyDescent="0.2">
      <c r="A1485" s="233">
        <v>0</v>
      </c>
      <c r="B1485" s="233">
        <v>18</v>
      </c>
      <c r="C1485" s="233">
        <v>7</v>
      </c>
      <c r="D1485" s="234">
        <v>0</v>
      </c>
      <c r="E1485" s="234">
        <v>1</v>
      </c>
      <c r="G1485" s="506"/>
      <c r="H1485" s="481" t="s">
        <v>38</v>
      </c>
      <c r="I1485" s="445" t="s">
        <v>5975</v>
      </c>
      <c r="J1485" s="483" t="s">
        <v>3043</v>
      </c>
      <c r="K1485" s="484"/>
      <c r="L1485" s="485"/>
      <c r="M1485" s="485"/>
      <c r="N1485" s="449"/>
      <c r="O1485" s="486"/>
      <c r="P1485" s="429"/>
    </row>
    <row r="1486" spans="1:16" ht="13.5" hidden="1" customHeight="1" outlineLevel="2" x14ac:dyDescent="0.2">
      <c r="A1486" s="233">
        <v>0</v>
      </c>
      <c r="B1486" s="233">
        <v>18</v>
      </c>
      <c r="C1486" s="233">
        <v>7</v>
      </c>
      <c r="D1486" s="234">
        <v>1</v>
      </c>
      <c r="E1486" s="234">
        <v>0</v>
      </c>
      <c r="G1486" s="507"/>
      <c r="H1486" s="487" t="s">
        <v>1237</v>
      </c>
      <c r="I1486" s="452" t="s">
        <v>5976</v>
      </c>
      <c r="J1486" s="489" t="s">
        <v>27</v>
      </c>
      <c r="K1486" s="490"/>
      <c r="L1486" s="491"/>
      <c r="M1486" s="491"/>
      <c r="N1486" s="456">
        <v>611.21199999999999</v>
      </c>
      <c r="O1486" s="492">
        <v>3.6490987583636003E-2</v>
      </c>
      <c r="P1486" s="430"/>
    </row>
    <row r="1487" spans="1:16" ht="13.5" hidden="1" customHeight="1" outlineLevel="3" x14ac:dyDescent="0.2">
      <c r="A1487" s="233">
        <v>0</v>
      </c>
      <c r="B1487" s="233">
        <v>18</v>
      </c>
      <c r="C1487" s="233">
        <v>7</v>
      </c>
      <c r="D1487" s="234">
        <v>1</v>
      </c>
      <c r="E1487" s="234">
        <v>1</v>
      </c>
      <c r="G1487" s="508" t="s">
        <v>51</v>
      </c>
      <c r="H1487" s="493" t="s">
        <v>1238</v>
      </c>
      <c r="I1487" s="460" t="s">
        <v>5977</v>
      </c>
      <c r="J1487" s="495" t="s">
        <v>790</v>
      </c>
      <c r="K1487" s="496" t="s">
        <v>787</v>
      </c>
      <c r="L1487" s="497">
        <v>26.3</v>
      </c>
      <c r="M1487" s="497">
        <v>23.240000000000002</v>
      </c>
      <c r="N1487" s="464">
        <v>611.21199999999999</v>
      </c>
      <c r="O1487" s="498" t="s">
        <v>2704</v>
      </c>
      <c r="P1487" s="431" t="s">
        <v>6711</v>
      </c>
    </row>
    <row r="1488" spans="1:16" ht="13.5" hidden="1" customHeight="1" outlineLevel="2" x14ac:dyDescent="0.2">
      <c r="A1488" s="233">
        <v>0</v>
      </c>
      <c r="B1488" s="233">
        <v>18</v>
      </c>
      <c r="C1488" s="233">
        <v>7</v>
      </c>
      <c r="D1488" s="234">
        <v>2</v>
      </c>
      <c r="E1488" s="234">
        <v>0</v>
      </c>
      <c r="G1488" s="507"/>
      <c r="H1488" s="487" t="s">
        <v>1237</v>
      </c>
      <c r="I1488" s="452" t="s">
        <v>5978</v>
      </c>
      <c r="J1488" s="489" t="s">
        <v>28</v>
      </c>
      <c r="K1488" s="490"/>
      <c r="L1488" s="491"/>
      <c r="M1488" s="491"/>
      <c r="N1488" s="456">
        <v>19195.372562971999</v>
      </c>
      <c r="O1488" s="492"/>
      <c r="P1488" s="430"/>
    </row>
    <row r="1489" spans="1:16" ht="13.5" hidden="1" customHeight="1" outlineLevel="3" x14ac:dyDescent="0.2">
      <c r="A1489" s="233">
        <v>0</v>
      </c>
      <c r="B1489" s="233">
        <v>18</v>
      </c>
      <c r="C1489" s="233">
        <v>7</v>
      </c>
      <c r="D1489" s="234">
        <v>2</v>
      </c>
      <c r="E1489" s="234">
        <v>1</v>
      </c>
      <c r="G1489" s="508" t="s">
        <v>51</v>
      </c>
      <c r="H1489" s="493" t="s">
        <v>1238</v>
      </c>
      <c r="I1489" s="460" t="s">
        <v>5979</v>
      </c>
      <c r="J1489" s="495" t="s">
        <v>2699</v>
      </c>
      <c r="K1489" s="496" t="s">
        <v>641</v>
      </c>
      <c r="L1489" s="497">
        <v>6.51</v>
      </c>
      <c r="M1489" s="497">
        <v>1906.3139681515586</v>
      </c>
      <c r="N1489" s="464">
        <v>12410.1039326666</v>
      </c>
      <c r="O1489" s="498" t="s">
        <v>2704</v>
      </c>
      <c r="P1489" s="431" t="s">
        <v>6711</v>
      </c>
    </row>
    <row r="1490" spans="1:16" ht="13.5" hidden="1" customHeight="1" outlineLevel="3" x14ac:dyDescent="0.2">
      <c r="A1490" s="233">
        <v>0</v>
      </c>
      <c r="B1490" s="233">
        <v>18</v>
      </c>
      <c r="C1490" s="233">
        <v>7</v>
      </c>
      <c r="D1490" s="234">
        <v>2</v>
      </c>
      <c r="E1490" s="234">
        <v>2</v>
      </c>
      <c r="G1490" s="508" t="s">
        <v>51</v>
      </c>
      <c r="H1490" s="493" t="s">
        <v>1238</v>
      </c>
      <c r="I1490" s="460" t="s">
        <v>5980</v>
      </c>
      <c r="J1490" s="495" t="s">
        <v>2700</v>
      </c>
      <c r="K1490" s="496" t="s">
        <v>641</v>
      </c>
      <c r="L1490" s="497">
        <v>2.5600000000000005</v>
      </c>
      <c r="M1490" s="497">
        <v>2650.4955587130289</v>
      </c>
      <c r="N1490" s="464">
        <v>6785.2686303053597</v>
      </c>
      <c r="O1490" s="498" t="s">
        <v>2704</v>
      </c>
      <c r="P1490" s="431" t="s">
        <v>6711</v>
      </c>
    </row>
    <row r="1491" spans="1:16" ht="12.75" hidden="1" customHeight="1" outlineLevel="2" x14ac:dyDescent="0.2">
      <c r="A1491" s="233">
        <v>0</v>
      </c>
      <c r="B1491" s="233">
        <v>18</v>
      </c>
      <c r="C1491" s="233">
        <v>7</v>
      </c>
      <c r="D1491" s="234">
        <v>3</v>
      </c>
      <c r="E1491" s="234">
        <v>0</v>
      </c>
      <c r="G1491" s="507"/>
      <c r="H1491" s="487" t="s">
        <v>1237</v>
      </c>
      <c r="I1491" s="452" t="s">
        <v>5981</v>
      </c>
      <c r="J1491" s="489" t="s">
        <v>2351</v>
      </c>
      <c r="K1491" s="490"/>
      <c r="L1491" s="491"/>
      <c r="M1491" s="491"/>
      <c r="N1491" s="456"/>
      <c r="O1491" s="492"/>
      <c r="P1491" s="430"/>
    </row>
    <row r="1492" spans="1:16" ht="12.75" hidden="1" customHeight="1" outlineLevel="3" x14ac:dyDescent="0.2">
      <c r="A1492" s="233">
        <v>0</v>
      </c>
      <c r="B1492" s="233">
        <v>18</v>
      </c>
      <c r="C1492" s="233">
        <v>7</v>
      </c>
      <c r="D1492" s="234">
        <v>3</v>
      </c>
      <c r="E1492" s="234">
        <v>1</v>
      </c>
      <c r="G1492" s="508" t="s">
        <v>51</v>
      </c>
      <c r="H1492" s="493" t="s">
        <v>1238</v>
      </c>
      <c r="I1492" s="460" t="s">
        <v>5982</v>
      </c>
      <c r="J1492" s="495" t="s">
        <v>796</v>
      </c>
      <c r="K1492" s="496" t="s">
        <v>641</v>
      </c>
      <c r="L1492" s="497" t="e">
        <v>#REF!</v>
      </c>
      <c r="M1492" s="497">
        <v>1403.9850000000001</v>
      </c>
      <c r="N1492" s="464"/>
      <c r="O1492" s="498" t="s">
        <v>2703</v>
      </c>
      <c r="P1492" s="431" t="s">
        <v>6711</v>
      </c>
    </row>
    <row r="1493" spans="1:16" ht="12.75" hidden="1" customHeight="1" outlineLevel="2" x14ac:dyDescent="0.2">
      <c r="A1493" s="233">
        <v>0</v>
      </c>
      <c r="B1493" s="233">
        <v>18</v>
      </c>
      <c r="C1493" s="233">
        <v>7</v>
      </c>
      <c r="D1493" s="234">
        <v>4</v>
      </c>
      <c r="E1493" s="234">
        <v>0</v>
      </c>
      <c r="G1493" s="507"/>
      <c r="H1493" s="487" t="s">
        <v>1237</v>
      </c>
      <c r="I1493" s="452" t="s">
        <v>5983</v>
      </c>
      <c r="J1493" s="489" t="s">
        <v>798</v>
      </c>
      <c r="K1493" s="490"/>
      <c r="L1493" s="491"/>
      <c r="M1493" s="491"/>
      <c r="N1493" s="456"/>
      <c r="O1493" s="492"/>
      <c r="P1493" s="430"/>
    </row>
    <row r="1494" spans="1:16" ht="13.5" hidden="1" customHeight="1" outlineLevel="3" x14ac:dyDescent="0.2">
      <c r="A1494" s="233">
        <v>0</v>
      </c>
      <c r="B1494" s="233">
        <v>18</v>
      </c>
      <c r="C1494" s="233">
        <v>7</v>
      </c>
      <c r="D1494" s="234">
        <v>4</v>
      </c>
      <c r="E1494" s="234">
        <v>1</v>
      </c>
      <c r="G1494" s="508" t="s">
        <v>51</v>
      </c>
      <c r="H1494" s="493" t="s">
        <v>1238</v>
      </c>
      <c r="I1494" s="460" t="s">
        <v>5984</v>
      </c>
      <c r="J1494" s="495" t="s">
        <v>798</v>
      </c>
      <c r="K1494" s="496" t="s">
        <v>641</v>
      </c>
      <c r="L1494" s="497" t="e">
        <v>#REF!</v>
      </c>
      <c r="M1494" s="497">
        <v>1533.99</v>
      </c>
      <c r="N1494" s="464"/>
      <c r="O1494" s="498" t="s">
        <v>2703</v>
      </c>
      <c r="P1494" s="431" t="s">
        <v>6711</v>
      </c>
    </row>
    <row r="1495" spans="1:16" ht="13.5" hidden="1" customHeight="1" outlineLevel="1" x14ac:dyDescent="0.2">
      <c r="A1495" s="233">
        <v>0</v>
      </c>
      <c r="B1495" s="233">
        <v>18</v>
      </c>
      <c r="C1495" s="233">
        <v>8</v>
      </c>
      <c r="D1495" s="234">
        <v>0</v>
      </c>
      <c r="E1495" s="234">
        <v>1</v>
      </c>
      <c r="G1495" s="506"/>
      <c r="H1495" s="481" t="s">
        <v>38</v>
      </c>
      <c r="I1495" s="445" t="s">
        <v>5985</v>
      </c>
      <c r="J1495" s="483" t="s">
        <v>3044</v>
      </c>
      <c r="K1495" s="484"/>
      <c r="L1495" s="485"/>
      <c r="M1495" s="485"/>
      <c r="N1495" s="449"/>
      <c r="O1495" s="486"/>
      <c r="P1495" s="429"/>
    </row>
    <row r="1496" spans="1:16" ht="13.5" hidden="1" customHeight="1" outlineLevel="2" x14ac:dyDescent="0.2">
      <c r="A1496" s="233">
        <v>0</v>
      </c>
      <c r="B1496" s="233">
        <v>18</v>
      </c>
      <c r="C1496" s="233">
        <v>8</v>
      </c>
      <c r="D1496" s="234">
        <v>1</v>
      </c>
      <c r="E1496" s="234">
        <v>0</v>
      </c>
      <c r="G1496" s="507"/>
      <c r="H1496" s="487" t="s">
        <v>1237</v>
      </c>
      <c r="I1496" s="452" t="s">
        <v>5986</v>
      </c>
      <c r="J1496" s="489" t="s">
        <v>27</v>
      </c>
      <c r="K1496" s="490"/>
      <c r="L1496" s="491"/>
      <c r="M1496" s="491"/>
      <c r="N1496" s="456">
        <v>1531.5160000000001</v>
      </c>
      <c r="O1496" s="492">
        <v>9.1435592462418697E-2</v>
      </c>
      <c r="P1496" s="430"/>
    </row>
    <row r="1497" spans="1:16" ht="13.5" hidden="1" customHeight="1" outlineLevel="3" x14ac:dyDescent="0.2">
      <c r="A1497" s="233">
        <v>0</v>
      </c>
      <c r="B1497" s="233">
        <v>18</v>
      </c>
      <c r="C1497" s="233">
        <v>8</v>
      </c>
      <c r="D1497" s="234">
        <v>1</v>
      </c>
      <c r="E1497" s="234">
        <v>1</v>
      </c>
      <c r="G1497" s="508" t="s">
        <v>51</v>
      </c>
      <c r="H1497" s="493" t="s">
        <v>1238</v>
      </c>
      <c r="I1497" s="460" t="s">
        <v>5987</v>
      </c>
      <c r="J1497" s="495" t="s">
        <v>790</v>
      </c>
      <c r="K1497" s="496" t="s">
        <v>787</v>
      </c>
      <c r="L1497" s="497">
        <v>65.900000000000006</v>
      </c>
      <c r="M1497" s="497">
        <v>23.240000000000002</v>
      </c>
      <c r="N1497" s="464">
        <v>1531.5160000000001</v>
      </c>
      <c r="O1497" s="498" t="s">
        <v>2704</v>
      </c>
      <c r="P1497" s="431" t="s">
        <v>6711</v>
      </c>
    </row>
    <row r="1498" spans="1:16" ht="13.5" hidden="1" customHeight="1" outlineLevel="2" x14ac:dyDescent="0.2">
      <c r="A1498" s="233">
        <v>0</v>
      </c>
      <c r="B1498" s="233">
        <v>18</v>
      </c>
      <c r="C1498" s="233">
        <v>8</v>
      </c>
      <c r="D1498" s="234">
        <v>2</v>
      </c>
      <c r="E1498" s="234">
        <v>0</v>
      </c>
      <c r="G1498" s="507"/>
      <c r="H1498" s="487" t="s">
        <v>1237</v>
      </c>
      <c r="I1498" s="452" t="s">
        <v>5988</v>
      </c>
      <c r="J1498" s="489" t="s">
        <v>28</v>
      </c>
      <c r="K1498" s="490"/>
      <c r="L1498" s="491"/>
      <c r="M1498" s="491"/>
      <c r="N1498" s="456">
        <v>112804.919969054</v>
      </c>
      <c r="O1498" s="492"/>
      <c r="P1498" s="430"/>
    </row>
    <row r="1499" spans="1:16" ht="13.5" hidden="1" customHeight="1" outlineLevel="3" x14ac:dyDescent="0.2">
      <c r="A1499" s="233">
        <v>0</v>
      </c>
      <c r="B1499" s="233">
        <v>18</v>
      </c>
      <c r="C1499" s="233">
        <v>8</v>
      </c>
      <c r="D1499" s="234">
        <v>2</v>
      </c>
      <c r="E1499" s="234">
        <v>1</v>
      </c>
      <c r="G1499" s="508" t="s">
        <v>51</v>
      </c>
      <c r="H1499" s="493" t="s">
        <v>1238</v>
      </c>
      <c r="I1499" s="460" t="s">
        <v>5989</v>
      </c>
      <c r="J1499" s="495" t="s">
        <v>2699</v>
      </c>
      <c r="K1499" s="496" t="s">
        <v>641</v>
      </c>
      <c r="L1499" s="497">
        <v>55.615000000000002</v>
      </c>
      <c r="M1499" s="497">
        <v>1906.3139681515586</v>
      </c>
      <c r="N1499" s="464">
        <v>106019.651338749</v>
      </c>
      <c r="O1499" s="498" t="s">
        <v>2704</v>
      </c>
      <c r="P1499" s="431" t="s">
        <v>6711</v>
      </c>
    </row>
    <row r="1500" spans="1:16" ht="13.5" hidden="1" customHeight="1" outlineLevel="3" x14ac:dyDescent="0.2">
      <c r="A1500" s="233">
        <v>0</v>
      </c>
      <c r="B1500" s="233">
        <v>18</v>
      </c>
      <c r="C1500" s="233">
        <v>8</v>
      </c>
      <c r="D1500" s="234">
        <v>2</v>
      </c>
      <c r="E1500" s="234">
        <v>2</v>
      </c>
      <c r="G1500" s="508" t="s">
        <v>51</v>
      </c>
      <c r="H1500" s="493" t="s">
        <v>1238</v>
      </c>
      <c r="I1500" s="460" t="s">
        <v>5990</v>
      </c>
      <c r="J1500" s="495" t="s">
        <v>2700</v>
      </c>
      <c r="K1500" s="496" t="s">
        <v>641</v>
      </c>
      <c r="L1500" s="497">
        <v>2.5600000000000005</v>
      </c>
      <c r="M1500" s="497">
        <v>2650.4955587130289</v>
      </c>
      <c r="N1500" s="464">
        <v>6785.2686303053597</v>
      </c>
      <c r="O1500" s="498" t="s">
        <v>2704</v>
      </c>
      <c r="P1500" s="431" t="s">
        <v>6711</v>
      </c>
    </row>
    <row r="1501" spans="1:16" ht="12.75" hidden="1" customHeight="1" outlineLevel="2" x14ac:dyDescent="0.2">
      <c r="A1501" s="233">
        <v>0</v>
      </c>
      <c r="B1501" s="233">
        <v>18</v>
      </c>
      <c r="C1501" s="233">
        <v>8</v>
      </c>
      <c r="D1501" s="234">
        <v>3</v>
      </c>
      <c r="E1501" s="234">
        <v>0</v>
      </c>
      <c r="G1501" s="507"/>
      <c r="H1501" s="487" t="s">
        <v>1237</v>
      </c>
      <c r="I1501" s="452" t="s">
        <v>5991</v>
      </c>
      <c r="J1501" s="489" t="s">
        <v>2711</v>
      </c>
      <c r="K1501" s="490"/>
      <c r="L1501" s="491"/>
      <c r="M1501" s="491"/>
      <c r="N1501" s="456"/>
      <c r="O1501" s="492"/>
      <c r="P1501" s="430"/>
    </row>
    <row r="1502" spans="1:16" ht="12.75" hidden="1" customHeight="1" outlineLevel="3" x14ac:dyDescent="0.2">
      <c r="A1502" s="233">
        <v>0</v>
      </c>
      <c r="B1502" s="233">
        <v>18</v>
      </c>
      <c r="C1502" s="233">
        <v>8</v>
      </c>
      <c r="D1502" s="234">
        <v>3</v>
      </c>
      <c r="E1502" s="234">
        <v>1</v>
      </c>
      <c r="G1502" s="508" t="s">
        <v>51</v>
      </c>
      <c r="H1502" s="493" t="s">
        <v>1238</v>
      </c>
      <c r="I1502" s="460" t="s">
        <v>5992</v>
      </c>
      <c r="J1502" s="495" t="s">
        <v>793</v>
      </c>
      <c r="K1502" s="496" t="s">
        <v>641</v>
      </c>
      <c r="L1502" s="497" t="e">
        <v>#REF!</v>
      </c>
      <c r="M1502" s="497">
        <v>2122.5413895570964</v>
      </c>
      <c r="N1502" s="464"/>
      <c r="O1502" s="498" t="s">
        <v>2703</v>
      </c>
      <c r="P1502" s="431" t="s">
        <v>6711</v>
      </c>
    </row>
    <row r="1503" spans="1:16" ht="13.5" hidden="1" customHeight="1" outlineLevel="1" x14ac:dyDescent="0.2">
      <c r="A1503" s="233">
        <v>0</v>
      </c>
      <c r="B1503" s="233">
        <v>18</v>
      </c>
      <c r="C1503" s="233">
        <v>9</v>
      </c>
      <c r="D1503" s="234">
        <v>0</v>
      </c>
      <c r="E1503" s="234">
        <v>1</v>
      </c>
      <c r="G1503" s="506"/>
      <c r="H1503" s="481" t="s">
        <v>38</v>
      </c>
      <c r="I1503" s="445" t="s">
        <v>5993</v>
      </c>
      <c r="J1503" s="483" t="s">
        <v>3045</v>
      </c>
      <c r="K1503" s="484"/>
      <c r="L1503" s="485"/>
      <c r="M1503" s="485"/>
      <c r="N1503" s="449"/>
      <c r="O1503" s="486"/>
      <c r="P1503" s="429"/>
    </row>
    <row r="1504" spans="1:16" ht="13.5" hidden="1" customHeight="1" outlineLevel="2" x14ac:dyDescent="0.2">
      <c r="A1504" s="233">
        <v>0</v>
      </c>
      <c r="B1504" s="233">
        <v>18</v>
      </c>
      <c r="C1504" s="233">
        <v>9</v>
      </c>
      <c r="D1504" s="234">
        <v>1</v>
      </c>
      <c r="E1504" s="234">
        <v>0</v>
      </c>
      <c r="G1504" s="507"/>
      <c r="H1504" s="487" t="s">
        <v>1237</v>
      </c>
      <c r="I1504" s="452" t="s">
        <v>5994</v>
      </c>
      <c r="J1504" s="489" t="s">
        <v>27</v>
      </c>
      <c r="K1504" s="490"/>
      <c r="L1504" s="491"/>
      <c r="M1504" s="491"/>
      <c r="N1504" s="456">
        <v>4080.944</v>
      </c>
      <c r="O1504" s="492">
        <v>0.24364324789682401</v>
      </c>
      <c r="P1504" s="430"/>
    </row>
    <row r="1505" spans="1:16" ht="13.5" hidden="1" customHeight="1" outlineLevel="3" x14ac:dyDescent="0.2">
      <c r="A1505" s="233">
        <v>0</v>
      </c>
      <c r="B1505" s="233">
        <v>18</v>
      </c>
      <c r="C1505" s="233">
        <v>9</v>
      </c>
      <c r="D1505" s="234">
        <v>1</v>
      </c>
      <c r="E1505" s="234">
        <v>1</v>
      </c>
      <c r="G1505" s="508" t="s">
        <v>51</v>
      </c>
      <c r="H1505" s="493" t="s">
        <v>1238</v>
      </c>
      <c r="I1505" s="460" t="s">
        <v>5995</v>
      </c>
      <c r="J1505" s="495" t="s">
        <v>790</v>
      </c>
      <c r="K1505" s="496" t="s">
        <v>787</v>
      </c>
      <c r="L1505" s="497">
        <v>175.59999999999997</v>
      </c>
      <c r="M1505" s="497">
        <v>23.240000000000002</v>
      </c>
      <c r="N1505" s="464">
        <v>4080.944</v>
      </c>
      <c r="O1505" s="498" t="s">
        <v>2704</v>
      </c>
      <c r="P1505" s="431" t="s">
        <v>6711</v>
      </c>
    </row>
    <row r="1506" spans="1:16" ht="13.5" hidden="1" customHeight="1" outlineLevel="2" x14ac:dyDescent="0.2">
      <c r="A1506" s="233">
        <v>0</v>
      </c>
      <c r="B1506" s="233">
        <v>18</v>
      </c>
      <c r="C1506" s="233">
        <v>9</v>
      </c>
      <c r="D1506" s="234">
        <v>2</v>
      </c>
      <c r="E1506" s="234">
        <v>0</v>
      </c>
      <c r="G1506" s="507"/>
      <c r="H1506" s="487" t="s">
        <v>1237</v>
      </c>
      <c r="I1506" s="452" t="s">
        <v>5996</v>
      </c>
      <c r="J1506" s="489" t="s">
        <v>28</v>
      </c>
      <c r="K1506" s="490"/>
      <c r="L1506" s="491"/>
      <c r="M1506" s="491"/>
      <c r="N1506" s="456">
        <v>180422.03830841501</v>
      </c>
      <c r="O1506" s="492"/>
      <c r="P1506" s="430"/>
    </row>
    <row r="1507" spans="1:16" ht="13.5" hidden="1" customHeight="1" outlineLevel="3" x14ac:dyDescent="0.2">
      <c r="A1507" s="233">
        <v>0</v>
      </c>
      <c r="B1507" s="233">
        <v>18</v>
      </c>
      <c r="C1507" s="233">
        <v>9</v>
      </c>
      <c r="D1507" s="234">
        <v>2</v>
      </c>
      <c r="E1507" s="234">
        <v>1</v>
      </c>
      <c r="G1507" s="508" t="s">
        <v>51</v>
      </c>
      <c r="H1507" s="493" t="s">
        <v>1238</v>
      </c>
      <c r="I1507" s="460" t="s">
        <v>5997</v>
      </c>
      <c r="J1507" s="495" t="s">
        <v>2699</v>
      </c>
      <c r="K1507" s="496" t="s">
        <v>641</v>
      </c>
      <c r="L1507" s="497">
        <v>16.41</v>
      </c>
      <c r="M1507" s="497">
        <v>1906.3139681515586</v>
      </c>
      <c r="N1507" s="464">
        <v>31282.612217367099</v>
      </c>
      <c r="O1507" s="498" t="s">
        <v>2704</v>
      </c>
      <c r="P1507" s="431" t="s">
        <v>6711</v>
      </c>
    </row>
    <row r="1508" spans="1:16" ht="13.5" hidden="1" customHeight="1" outlineLevel="3" x14ac:dyDescent="0.2">
      <c r="A1508" s="233">
        <v>0</v>
      </c>
      <c r="B1508" s="233">
        <v>18</v>
      </c>
      <c r="C1508" s="233">
        <v>9</v>
      </c>
      <c r="D1508" s="234">
        <v>2</v>
      </c>
      <c r="E1508" s="234">
        <v>2</v>
      </c>
      <c r="G1508" s="508" t="s">
        <v>51</v>
      </c>
      <c r="H1508" s="493" t="s">
        <v>1238</v>
      </c>
      <c r="I1508" s="460" t="s">
        <v>5998</v>
      </c>
      <c r="J1508" s="495" t="s">
        <v>2700</v>
      </c>
      <c r="K1508" s="496" t="s">
        <v>641</v>
      </c>
      <c r="L1508" s="497">
        <v>18.45</v>
      </c>
      <c r="M1508" s="497">
        <v>2650.4955587130289</v>
      </c>
      <c r="N1508" s="464">
        <v>48901.643058255402</v>
      </c>
      <c r="O1508" s="498" t="s">
        <v>2704</v>
      </c>
      <c r="P1508" s="431" t="s">
        <v>6711</v>
      </c>
    </row>
    <row r="1509" spans="1:16" ht="13.5" hidden="1" customHeight="1" outlineLevel="3" x14ac:dyDescent="0.2">
      <c r="A1509" s="233">
        <v>0</v>
      </c>
      <c r="B1509" s="233">
        <v>18</v>
      </c>
      <c r="C1509" s="233">
        <v>9</v>
      </c>
      <c r="D1509" s="234">
        <v>2</v>
      </c>
      <c r="E1509" s="234">
        <v>3</v>
      </c>
      <c r="G1509" s="508" t="s">
        <v>51</v>
      </c>
      <c r="H1509" s="493" t="s">
        <v>1238</v>
      </c>
      <c r="I1509" s="460" t="s">
        <v>5999</v>
      </c>
      <c r="J1509" s="495" t="s">
        <v>2701</v>
      </c>
      <c r="K1509" s="496" t="s">
        <v>641</v>
      </c>
      <c r="L1509" s="497">
        <v>34.880000000000003</v>
      </c>
      <c r="M1509" s="497">
        <v>2873.7896511695099</v>
      </c>
      <c r="N1509" s="464">
        <v>100237.783032793</v>
      </c>
      <c r="O1509" s="498" t="s">
        <v>2704</v>
      </c>
      <c r="P1509" s="431" t="s">
        <v>6711</v>
      </c>
    </row>
    <row r="1510" spans="1:16" ht="12.75" hidden="1" customHeight="1" outlineLevel="2" x14ac:dyDescent="0.2">
      <c r="A1510" s="233">
        <v>0</v>
      </c>
      <c r="B1510" s="233">
        <v>18</v>
      </c>
      <c r="C1510" s="233">
        <v>9</v>
      </c>
      <c r="D1510" s="234">
        <v>3</v>
      </c>
      <c r="E1510" s="234">
        <v>0</v>
      </c>
      <c r="G1510" s="507"/>
      <c r="H1510" s="487" t="s">
        <v>1237</v>
      </c>
      <c r="I1510" s="452" t="s">
        <v>6000</v>
      </c>
      <c r="J1510" s="489" t="s">
        <v>2351</v>
      </c>
      <c r="K1510" s="490"/>
      <c r="L1510" s="491"/>
      <c r="M1510" s="491"/>
      <c r="N1510" s="456"/>
      <c r="O1510" s="492"/>
      <c r="P1510" s="430"/>
    </row>
    <row r="1511" spans="1:16" ht="12.75" hidden="1" customHeight="1" outlineLevel="3" x14ac:dyDescent="0.2">
      <c r="A1511" s="233">
        <v>0</v>
      </c>
      <c r="B1511" s="233">
        <v>18</v>
      </c>
      <c r="C1511" s="233">
        <v>9</v>
      </c>
      <c r="D1511" s="234">
        <v>3</v>
      </c>
      <c r="E1511" s="234">
        <v>1</v>
      </c>
      <c r="G1511" s="508" t="s">
        <v>51</v>
      </c>
      <c r="H1511" s="493" t="s">
        <v>1238</v>
      </c>
      <c r="I1511" s="460" t="s">
        <v>6001</v>
      </c>
      <c r="J1511" s="495" t="s">
        <v>796</v>
      </c>
      <c r="K1511" s="496" t="s">
        <v>641</v>
      </c>
      <c r="L1511" s="497" t="e">
        <v>#REF!</v>
      </c>
      <c r="M1511" s="497">
        <v>1403.9850000000001</v>
      </c>
      <c r="N1511" s="464"/>
      <c r="O1511" s="498" t="s">
        <v>2703</v>
      </c>
      <c r="P1511" s="431" t="s">
        <v>6711</v>
      </c>
    </row>
    <row r="1512" spans="1:16" ht="12.75" hidden="1" customHeight="1" outlineLevel="2" x14ac:dyDescent="0.2">
      <c r="A1512" s="233">
        <v>0</v>
      </c>
      <c r="B1512" s="233">
        <v>18</v>
      </c>
      <c r="C1512" s="233">
        <v>9</v>
      </c>
      <c r="D1512" s="234">
        <v>4</v>
      </c>
      <c r="E1512" s="234">
        <v>0</v>
      </c>
      <c r="G1512" s="507"/>
      <c r="H1512" s="487" t="s">
        <v>1237</v>
      </c>
      <c r="I1512" s="452" t="s">
        <v>6002</v>
      </c>
      <c r="J1512" s="489" t="s">
        <v>2711</v>
      </c>
      <c r="K1512" s="490"/>
      <c r="L1512" s="491"/>
      <c r="M1512" s="491"/>
      <c r="N1512" s="456"/>
      <c r="O1512" s="492"/>
      <c r="P1512" s="430"/>
    </row>
    <row r="1513" spans="1:16" ht="12.75" hidden="1" customHeight="1" outlineLevel="3" x14ac:dyDescent="0.2">
      <c r="A1513" s="233">
        <v>0</v>
      </c>
      <c r="B1513" s="233">
        <v>18</v>
      </c>
      <c r="C1513" s="233">
        <v>9</v>
      </c>
      <c r="D1513" s="234">
        <v>4</v>
      </c>
      <c r="E1513" s="234">
        <v>1</v>
      </c>
      <c r="G1513" s="508" t="s">
        <v>51</v>
      </c>
      <c r="H1513" s="493" t="s">
        <v>1238</v>
      </c>
      <c r="I1513" s="460" t="s">
        <v>6003</v>
      </c>
      <c r="J1513" s="495" t="s">
        <v>793</v>
      </c>
      <c r="K1513" s="496" t="s">
        <v>641</v>
      </c>
      <c r="L1513" s="497" t="e">
        <v>#REF!</v>
      </c>
      <c r="M1513" s="497">
        <v>2122.5413895570964</v>
      </c>
      <c r="N1513" s="464"/>
      <c r="O1513" s="498" t="s">
        <v>2703</v>
      </c>
      <c r="P1513" s="431" t="s">
        <v>6711</v>
      </c>
    </row>
    <row r="1514" spans="1:16" ht="13.5" hidden="1" customHeight="1" outlineLevel="1" x14ac:dyDescent="0.2">
      <c r="A1514" s="233">
        <v>0</v>
      </c>
      <c r="B1514" s="233">
        <v>18</v>
      </c>
      <c r="C1514" s="233">
        <v>10</v>
      </c>
      <c r="D1514" s="234">
        <v>0</v>
      </c>
      <c r="E1514" s="234">
        <v>1</v>
      </c>
      <c r="G1514" s="506"/>
      <c r="H1514" s="481" t="s">
        <v>38</v>
      </c>
      <c r="I1514" s="445" t="s">
        <v>6004</v>
      </c>
      <c r="J1514" s="483" t="s">
        <v>3046</v>
      </c>
      <c r="K1514" s="484"/>
      <c r="L1514" s="485"/>
      <c r="M1514" s="485"/>
      <c r="N1514" s="449"/>
      <c r="O1514" s="486"/>
      <c r="P1514" s="429"/>
    </row>
    <row r="1515" spans="1:16" ht="13.5" hidden="1" customHeight="1" outlineLevel="2" x14ac:dyDescent="0.2">
      <c r="A1515" s="233">
        <v>0</v>
      </c>
      <c r="B1515" s="233">
        <v>18</v>
      </c>
      <c r="C1515" s="233">
        <v>10</v>
      </c>
      <c r="D1515" s="234">
        <v>1</v>
      </c>
      <c r="E1515" s="234">
        <v>0</v>
      </c>
      <c r="G1515" s="507"/>
      <c r="H1515" s="487" t="s">
        <v>1237</v>
      </c>
      <c r="I1515" s="452" t="s">
        <v>6005</v>
      </c>
      <c r="J1515" s="489" t="s">
        <v>27</v>
      </c>
      <c r="K1515" s="490"/>
      <c r="L1515" s="491"/>
      <c r="M1515" s="491"/>
      <c r="N1515" s="456">
        <v>32647.552</v>
      </c>
      <c r="O1515" s="492">
        <v>1.9491459831745901</v>
      </c>
      <c r="P1515" s="430"/>
    </row>
    <row r="1516" spans="1:16" ht="13.5" hidden="1" customHeight="1" outlineLevel="3" x14ac:dyDescent="0.2">
      <c r="A1516" s="233">
        <v>0</v>
      </c>
      <c r="B1516" s="233">
        <v>18</v>
      </c>
      <c r="C1516" s="233">
        <v>10</v>
      </c>
      <c r="D1516" s="234">
        <v>1</v>
      </c>
      <c r="E1516" s="234">
        <v>1</v>
      </c>
      <c r="G1516" s="508" t="s">
        <v>51</v>
      </c>
      <c r="H1516" s="493" t="s">
        <v>1238</v>
      </c>
      <c r="I1516" s="460" t="s">
        <v>6006</v>
      </c>
      <c r="J1516" s="495" t="s">
        <v>790</v>
      </c>
      <c r="K1516" s="496" t="s">
        <v>787</v>
      </c>
      <c r="L1516" s="497">
        <v>1404.7999999999997</v>
      </c>
      <c r="M1516" s="497">
        <v>23.240000000000002</v>
      </c>
      <c r="N1516" s="464">
        <v>32647.552</v>
      </c>
      <c r="O1516" s="498" t="s">
        <v>2704</v>
      </c>
      <c r="P1516" s="431" t="s">
        <v>6711</v>
      </c>
    </row>
    <row r="1517" spans="1:16" ht="13.5" hidden="1" customHeight="1" outlineLevel="2" x14ac:dyDescent="0.2">
      <c r="A1517" s="233">
        <v>0</v>
      </c>
      <c r="B1517" s="233">
        <v>18</v>
      </c>
      <c r="C1517" s="233">
        <v>10</v>
      </c>
      <c r="D1517" s="234">
        <v>2</v>
      </c>
      <c r="E1517" s="234">
        <v>0</v>
      </c>
      <c r="G1517" s="507"/>
      <c r="H1517" s="487" t="s">
        <v>1237</v>
      </c>
      <c r="I1517" s="452" t="s">
        <v>6007</v>
      </c>
      <c r="J1517" s="489" t="s">
        <v>28</v>
      </c>
      <c r="K1517" s="490"/>
      <c r="L1517" s="491"/>
      <c r="M1517" s="491"/>
      <c r="N1517" s="456">
        <v>1443376.3064673201</v>
      </c>
      <c r="O1517" s="492"/>
      <c r="P1517" s="430"/>
    </row>
    <row r="1518" spans="1:16" ht="13.5" hidden="1" customHeight="1" outlineLevel="3" x14ac:dyDescent="0.2">
      <c r="A1518" s="233">
        <v>0</v>
      </c>
      <c r="B1518" s="233">
        <v>18</v>
      </c>
      <c r="C1518" s="233">
        <v>10</v>
      </c>
      <c r="D1518" s="234">
        <v>2</v>
      </c>
      <c r="E1518" s="234">
        <v>1</v>
      </c>
      <c r="G1518" s="508" t="s">
        <v>51</v>
      </c>
      <c r="H1518" s="493" t="s">
        <v>1238</v>
      </c>
      <c r="I1518" s="460" t="s">
        <v>6008</v>
      </c>
      <c r="J1518" s="495" t="s">
        <v>2699</v>
      </c>
      <c r="K1518" s="496" t="s">
        <v>641</v>
      </c>
      <c r="L1518" s="497">
        <v>131.28</v>
      </c>
      <c r="M1518" s="497">
        <v>1906.3139681515586</v>
      </c>
      <c r="N1518" s="464">
        <v>250260.897738937</v>
      </c>
      <c r="O1518" s="498" t="s">
        <v>2704</v>
      </c>
      <c r="P1518" s="431" t="s">
        <v>6711</v>
      </c>
    </row>
    <row r="1519" spans="1:16" ht="13.5" hidden="1" customHeight="1" outlineLevel="3" x14ac:dyDescent="0.2">
      <c r="A1519" s="233">
        <v>0</v>
      </c>
      <c r="B1519" s="233">
        <v>18</v>
      </c>
      <c r="C1519" s="233">
        <v>10</v>
      </c>
      <c r="D1519" s="234">
        <v>2</v>
      </c>
      <c r="E1519" s="234">
        <v>2</v>
      </c>
      <c r="G1519" s="508" t="s">
        <v>51</v>
      </c>
      <c r="H1519" s="493" t="s">
        <v>1238</v>
      </c>
      <c r="I1519" s="460" t="s">
        <v>6009</v>
      </c>
      <c r="J1519" s="495" t="s">
        <v>2700</v>
      </c>
      <c r="K1519" s="496" t="s">
        <v>641</v>
      </c>
      <c r="L1519" s="497">
        <v>147.6</v>
      </c>
      <c r="M1519" s="497">
        <v>2650.4955587130289</v>
      </c>
      <c r="N1519" s="464">
        <v>391213.14446604298</v>
      </c>
      <c r="O1519" s="498" t="s">
        <v>2704</v>
      </c>
      <c r="P1519" s="431" t="s">
        <v>6711</v>
      </c>
    </row>
    <row r="1520" spans="1:16" ht="13.5" hidden="1" customHeight="1" outlineLevel="3" x14ac:dyDescent="0.2">
      <c r="A1520" s="233">
        <v>0</v>
      </c>
      <c r="B1520" s="233">
        <v>18</v>
      </c>
      <c r="C1520" s="233">
        <v>10</v>
      </c>
      <c r="D1520" s="234">
        <v>2</v>
      </c>
      <c r="E1520" s="234">
        <v>3</v>
      </c>
      <c r="G1520" s="508" t="s">
        <v>51</v>
      </c>
      <c r="H1520" s="493" t="s">
        <v>1238</v>
      </c>
      <c r="I1520" s="460" t="s">
        <v>6010</v>
      </c>
      <c r="J1520" s="495" t="s">
        <v>2701</v>
      </c>
      <c r="K1520" s="496" t="s">
        <v>641</v>
      </c>
      <c r="L1520" s="497">
        <v>279.04000000000002</v>
      </c>
      <c r="M1520" s="497">
        <v>2873.7896511695099</v>
      </c>
      <c r="N1520" s="464">
        <v>801902.26426234003</v>
      </c>
      <c r="O1520" s="498" t="s">
        <v>2704</v>
      </c>
      <c r="P1520" s="431" t="s">
        <v>6711</v>
      </c>
    </row>
    <row r="1521" spans="1:16" ht="12.75" hidden="1" customHeight="1" outlineLevel="2" x14ac:dyDescent="0.2">
      <c r="A1521" s="233">
        <v>0</v>
      </c>
      <c r="B1521" s="233">
        <v>18</v>
      </c>
      <c r="C1521" s="233">
        <v>10</v>
      </c>
      <c r="D1521" s="234">
        <v>3</v>
      </c>
      <c r="E1521" s="234">
        <v>0</v>
      </c>
      <c r="G1521" s="507"/>
      <c r="H1521" s="487" t="s">
        <v>1237</v>
      </c>
      <c r="I1521" s="452" t="s">
        <v>6011</v>
      </c>
      <c r="J1521" s="489" t="s">
        <v>2351</v>
      </c>
      <c r="K1521" s="490"/>
      <c r="L1521" s="491"/>
      <c r="M1521" s="491"/>
      <c r="N1521" s="456"/>
      <c r="O1521" s="492"/>
      <c r="P1521" s="430"/>
    </row>
    <row r="1522" spans="1:16" ht="12.75" hidden="1" customHeight="1" outlineLevel="3" x14ac:dyDescent="0.2">
      <c r="A1522" s="233">
        <v>0</v>
      </c>
      <c r="B1522" s="233">
        <v>18</v>
      </c>
      <c r="C1522" s="233">
        <v>10</v>
      </c>
      <c r="D1522" s="234">
        <v>3</v>
      </c>
      <c r="E1522" s="234">
        <v>1</v>
      </c>
      <c r="G1522" s="508" t="s">
        <v>51</v>
      </c>
      <c r="H1522" s="493" t="s">
        <v>1238</v>
      </c>
      <c r="I1522" s="460" t="s">
        <v>6012</v>
      </c>
      <c r="J1522" s="495" t="s">
        <v>796</v>
      </c>
      <c r="K1522" s="496" t="s">
        <v>641</v>
      </c>
      <c r="L1522" s="497" t="e">
        <v>#REF!</v>
      </c>
      <c r="M1522" s="497">
        <v>1403.9850000000001</v>
      </c>
      <c r="N1522" s="464"/>
      <c r="O1522" s="498" t="s">
        <v>2703</v>
      </c>
      <c r="P1522" s="431" t="s">
        <v>6711</v>
      </c>
    </row>
    <row r="1523" spans="1:16" ht="12.75" hidden="1" customHeight="1" outlineLevel="2" x14ac:dyDescent="0.2">
      <c r="A1523" s="233">
        <v>0</v>
      </c>
      <c r="B1523" s="233">
        <v>18</v>
      </c>
      <c r="C1523" s="233">
        <v>10</v>
      </c>
      <c r="D1523" s="234">
        <v>4</v>
      </c>
      <c r="E1523" s="234">
        <v>0</v>
      </c>
      <c r="G1523" s="507"/>
      <c r="H1523" s="487" t="s">
        <v>1237</v>
      </c>
      <c r="I1523" s="452" t="s">
        <v>6013</v>
      </c>
      <c r="J1523" s="489" t="s">
        <v>2711</v>
      </c>
      <c r="K1523" s="490"/>
      <c r="L1523" s="491"/>
      <c r="M1523" s="491"/>
      <c r="N1523" s="456"/>
      <c r="O1523" s="492"/>
      <c r="P1523" s="430"/>
    </row>
    <row r="1524" spans="1:16" ht="12.75" hidden="1" customHeight="1" outlineLevel="3" x14ac:dyDescent="0.2">
      <c r="A1524" s="233">
        <v>0</v>
      </c>
      <c r="B1524" s="233">
        <v>18</v>
      </c>
      <c r="C1524" s="233">
        <v>10</v>
      </c>
      <c r="D1524" s="234">
        <v>4</v>
      </c>
      <c r="E1524" s="234">
        <v>1</v>
      </c>
      <c r="G1524" s="508" t="s">
        <v>51</v>
      </c>
      <c r="H1524" s="493" t="s">
        <v>1238</v>
      </c>
      <c r="I1524" s="460" t="s">
        <v>6014</v>
      </c>
      <c r="J1524" s="495" t="s">
        <v>793</v>
      </c>
      <c r="K1524" s="496" t="s">
        <v>641</v>
      </c>
      <c r="L1524" s="497" t="e">
        <v>#REF!</v>
      </c>
      <c r="M1524" s="497">
        <v>2122.5413895570964</v>
      </c>
      <c r="N1524" s="464"/>
      <c r="O1524" s="498" t="s">
        <v>2703</v>
      </c>
      <c r="P1524" s="431" t="s">
        <v>6711</v>
      </c>
    </row>
    <row r="1525" spans="1:16" ht="13.5" hidden="1" customHeight="1" outlineLevel="1" x14ac:dyDescent="0.2">
      <c r="A1525" s="233">
        <v>0</v>
      </c>
      <c r="B1525" s="233">
        <v>18</v>
      </c>
      <c r="C1525" s="233">
        <v>11</v>
      </c>
      <c r="D1525" s="234">
        <v>0</v>
      </c>
      <c r="E1525" s="234">
        <v>1</v>
      </c>
      <c r="G1525" s="506"/>
      <c r="H1525" s="481" t="s">
        <v>38</v>
      </c>
      <c r="I1525" s="445" t="s">
        <v>6015</v>
      </c>
      <c r="J1525" s="483" t="s">
        <v>3047</v>
      </c>
      <c r="K1525" s="484"/>
      <c r="L1525" s="485"/>
      <c r="M1525" s="485"/>
      <c r="N1525" s="449"/>
      <c r="O1525" s="486"/>
      <c r="P1525" s="429"/>
    </row>
    <row r="1526" spans="1:16" ht="13.5" hidden="1" customHeight="1" outlineLevel="2" x14ac:dyDescent="0.2">
      <c r="A1526" s="233">
        <v>0</v>
      </c>
      <c r="B1526" s="233">
        <v>18</v>
      </c>
      <c r="C1526" s="233">
        <v>11</v>
      </c>
      <c r="D1526" s="234">
        <v>1</v>
      </c>
      <c r="E1526" s="234">
        <v>0</v>
      </c>
      <c r="G1526" s="507"/>
      <c r="H1526" s="487" t="s">
        <v>1237</v>
      </c>
      <c r="I1526" s="452" t="s">
        <v>6016</v>
      </c>
      <c r="J1526" s="489" t="s">
        <v>27</v>
      </c>
      <c r="K1526" s="490"/>
      <c r="L1526" s="491"/>
      <c r="M1526" s="491"/>
      <c r="N1526" s="456">
        <v>58746.072</v>
      </c>
      <c r="O1526" s="492">
        <v>3.50729727809563</v>
      </c>
      <c r="P1526" s="430"/>
    </row>
    <row r="1527" spans="1:16" ht="13.5" hidden="1" customHeight="1" outlineLevel="3" x14ac:dyDescent="0.2">
      <c r="A1527" s="233">
        <v>0</v>
      </c>
      <c r="B1527" s="233">
        <v>18</v>
      </c>
      <c r="C1527" s="233">
        <v>11</v>
      </c>
      <c r="D1527" s="234">
        <v>1</v>
      </c>
      <c r="E1527" s="234">
        <v>1</v>
      </c>
      <c r="G1527" s="508" t="s">
        <v>51</v>
      </c>
      <c r="H1527" s="493" t="s">
        <v>1238</v>
      </c>
      <c r="I1527" s="460" t="s">
        <v>6017</v>
      </c>
      <c r="J1527" s="495" t="s">
        <v>790</v>
      </c>
      <c r="K1527" s="496" t="s">
        <v>787</v>
      </c>
      <c r="L1527" s="497">
        <v>2527.7999999999993</v>
      </c>
      <c r="M1527" s="497">
        <v>23.240000000000002</v>
      </c>
      <c r="N1527" s="464">
        <v>58746.072</v>
      </c>
      <c r="O1527" s="498" t="s">
        <v>2704</v>
      </c>
      <c r="P1527" s="431" t="s">
        <v>6711</v>
      </c>
    </row>
    <row r="1528" spans="1:16" ht="13.5" hidden="1" customHeight="1" outlineLevel="2" x14ac:dyDescent="0.2">
      <c r="A1528" s="233">
        <v>0</v>
      </c>
      <c r="B1528" s="233">
        <v>18</v>
      </c>
      <c r="C1528" s="233">
        <v>11</v>
      </c>
      <c r="D1528" s="234">
        <v>2</v>
      </c>
      <c r="E1528" s="234">
        <v>0</v>
      </c>
      <c r="G1528" s="507"/>
      <c r="H1528" s="487" t="s">
        <v>1237</v>
      </c>
      <c r="I1528" s="452" t="s">
        <v>6018</v>
      </c>
      <c r="J1528" s="489" t="s">
        <v>28</v>
      </c>
      <c r="K1528" s="490"/>
      <c r="L1528" s="491"/>
      <c r="M1528" s="491"/>
      <c r="N1528" s="456">
        <v>2758088.76857745</v>
      </c>
      <c r="O1528" s="492"/>
      <c r="P1528" s="430"/>
    </row>
    <row r="1529" spans="1:16" ht="13.5" hidden="1" customHeight="1" outlineLevel="3" x14ac:dyDescent="0.2">
      <c r="A1529" s="233">
        <v>0</v>
      </c>
      <c r="B1529" s="233">
        <v>18</v>
      </c>
      <c r="C1529" s="233">
        <v>11</v>
      </c>
      <c r="D1529" s="234">
        <v>2</v>
      </c>
      <c r="E1529" s="234">
        <v>1</v>
      </c>
      <c r="G1529" s="508" t="s">
        <v>51</v>
      </c>
      <c r="H1529" s="493" t="s">
        <v>1238</v>
      </c>
      <c r="I1529" s="460" t="s">
        <v>6019</v>
      </c>
      <c r="J1529" s="495" t="s">
        <v>2699</v>
      </c>
      <c r="K1529" s="496" t="s">
        <v>641</v>
      </c>
      <c r="L1529" s="497">
        <v>217.8</v>
      </c>
      <c r="M1529" s="497">
        <v>1906.3139681515586</v>
      </c>
      <c r="N1529" s="464">
        <v>415195.18226340902</v>
      </c>
      <c r="O1529" s="498" t="s">
        <v>2704</v>
      </c>
      <c r="P1529" s="431" t="s">
        <v>6711</v>
      </c>
    </row>
    <row r="1530" spans="1:16" ht="13.5" hidden="1" customHeight="1" outlineLevel="3" x14ac:dyDescent="0.2">
      <c r="A1530" s="233">
        <v>0</v>
      </c>
      <c r="B1530" s="233">
        <v>18</v>
      </c>
      <c r="C1530" s="233">
        <v>11</v>
      </c>
      <c r="D1530" s="234">
        <v>2</v>
      </c>
      <c r="E1530" s="234">
        <v>2</v>
      </c>
      <c r="G1530" s="508" t="s">
        <v>51</v>
      </c>
      <c r="H1530" s="493" t="s">
        <v>1238</v>
      </c>
      <c r="I1530" s="460" t="s">
        <v>6020</v>
      </c>
      <c r="J1530" s="495" t="s">
        <v>2700</v>
      </c>
      <c r="K1530" s="496" t="s">
        <v>641</v>
      </c>
      <c r="L1530" s="497">
        <v>356.78500000000003</v>
      </c>
      <c r="M1530" s="497">
        <v>2650.4955587130289</v>
      </c>
      <c r="N1530" s="464">
        <v>945657.05791542795</v>
      </c>
      <c r="O1530" s="498" t="s">
        <v>2704</v>
      </c>
      <c r="P1530" s="431" t="s">
        <v>6711</v>
      </c>
    </row>
    <row r="1531" spans="1:16" ht="13.5" hidden="1" customHeight="1" outlineLevel="3" x14ac:dyDescent="0.2">
      <c r="A1531" s="233">
        <v>0</v>
      </c>
      <c r="B1531" s="233">
        <v>18</v>
      </c>
      <c r="C1531" s="233">
        <v>11</v>
      </c>
      <c r="D1531" s="234">
        <v>2</v>
      </c>
      <c r="E1531" s="234">
        <v>3</v>
      </c>
      <c r="G1531" s="508" t="s">
        <v>51</v>
      </c>
      <c r="H1531" s="493" t="s">
        <v>1238</v>
      </c>
      <c r="I1531" s="460" t="s">
        <v>6021</v>
      </c>
      <c r="J1531" s="495" t="s">
        <v>2701</v>
      </c>
      <c r="K1531" s="496" t="s">
        <v>641</v>
      </c>
      <c r="L1531" s="497">
        <v>486.20000000000005</v>
      </c>
      <c r="M1531" s="497">
        <v>2873.7896511695099</v>
      </c>
      <c r="N1531" s="464">
        <v>1397236.52839862</v>
      </c>
      <c r="O1531" s="498" t="s">
        <v>2704</v>
      </c>
      <c r="P1531" s="431" t="s">
        <v>6711</v>
      </c>
    </row>
    <row r="1532" spans="1:16" ht="12.75" hidden="1" customHeight="1" outlineLevel="2" x14ac:dyDescent="0.2">
      <c r="A1532" s="233">
        <v>0</v>
      </c>
      <c r="B1532" s="233">
        <v>18</v>
      </c>
      <c r="C1532" s="233">
        <v>11</v>
      </c>
      <c r="D1532" s="234">
        <v>3</v>
      </c>
      <c r="E1532" s="234">
        <v>0</v>
      </c>
      <c r="G1532" s="507"/>
      <c r="H1532" s="487" t="s">
        <v>1237</v>
      </c>
      <c r="I1532" s="452" t="s">
        <v>6022</v>
      </c>
      <c r="J1532" s="489" t="s">
        <v>2351</v>
      </c>
      <c r="K1532" s="490"/>
      <c r="L1532" s="491"/>
      <c r="M1532" s="491"/>
      <c r="N1532" s="456"/>
      <c r="O1532" s="492"/>
      <c r="P1532" s="430"/>
    </row>
    <row r="1533" spans="1:16" ht="12.75" hidden="1" customHeight="1" outlineLevel="3" x14ac:dyDescent="0.2">
      <c r="A1533" s="233">
        <v>0</v>
      </c>
      <c r="B1533" s="233">
        <v>18</v>
      </c>
      <c r="C1533" s="233">
        <v>11</v>
      </c>
      <c r="D1533" s="234">
        <v>3</v>
      </c>
      <c r="E1533" s="234">
        <v>1</v>
      </c>
      <c r="G1533" s="508" t="s">
        <v>51</v>
      </c>
      <c r="H1533" s="493" t="s">
        <v>1238</v>
      </c>
      <c r="I1533" s="460" t="s">
        <v>6023</v>
      </c>
      <c r="J1533" s="495" t="s">
        <v>796</v>
      </c>
      <c r="K1533" s="496" t="s">
        <v>641</v>
      </c>
      <c r="L1533" s="497" t="e">
        <v>#REF!</v>
      </c>
      <c r="M1533" s="497">
        <v>1403.9850000000001</v>
      </c>
      <c r="N1533" s="464"/>
      <c r="O1533" s="498" t="s">
        <v>2703</v>
      </c>
      <c r="P1533" s="431" t="s">
        <v>6711</v>
      </c>
    </row>
    <row r="1534" spans="1:16" ht="12.75" hidden="1" customHeight="1" outlineLevel="2" x14ac:dyDescent="0.2">
      <c r="A1534" s="233">
        <v>0</v>
      </c>
      <c r="B1534" s="233">
        <v>18</v>
      </c>
      <c r="C1534" s="233">
        <v>11</v>
      </c>
      <c r="D1534" s="234">
        <v>4</v>
      </c>
      <c r="E1534" s="234">
        <v>0</v>
      </c>
      <c r="G1534" s="507"/>
      <c r="H1534" s="487" t="s">
        <v>1237</v>
      </c>
      <c r="I1534" s="452" t="s">
        <v>6024</v>
      </c>
      <c r="J1534" s="489" t="s">
        <v>2711</v>
      </c>
      <c r="K1534" s="490"/>
      <c r="L1534" s="491"/>
      <c r="M1534" s="491"/>
      <c r="N1534" s="456"/>
      <c r="O1534" s="492"/>
      <c r="P1534" s="430"/>
    </row>
    <row r="1535" spans="1:16" ht="12.75" hidden="1" customHeight="1" outlineLevel="3" x14ac:dyDescent="0.2">
      <c r="A1535" s="233">
        <v>0</v>
      </c>
      <c r="B1535" s="233">
        <v>18</v>
      </c>
      <c r="C1535" s="233">
        <v>11</v>
      </c>
      <c r="D1535" s="234">
        <v>4</v>
      </c>
      <c r="E1535" s="234">
        <v>1</v>
      </c>
      <c r="G1535" s="508" t="s">
        <v>51</v>
      </c>
      <c r="H1535" s="493" t="s">
        <v>1238</v>
      </c>
      <c r="I1535" s="460" t="s">
        <v>6025</v>
      </c>
      <c r="J1535" s="495" t="s">
        <v>793</v>
      </c>
      <c r="K1535" s="496" t="s">
        <v>641</v>
      </c>
      <c r="L1535" s="497" t="e">
        <v>#REF!</v>
      </c>
      <c r="M1535" s="497">
        <v>2122.5413895570964</v>
      </c>
      <c r="N1535" s="464"/>
      <c r="O1535" s="498" t="s">
        <v>2703</v>
      </c>
      <c r="P1535" s="431" t="s">
        <v>6711</v>
      </c>
    </row>
    <row r="1536" spans="1:16" ht="13.5" hidden="1" customHeight="1" outlineLevel="1" x14ac:dyDescent="0.2">
      <c r="A1536" s="233">
        <v>0</v>
      </c>
      <c r="B1536" s="233">
        <v>18</v>
      </c>
      <c r="C1536" s="233">
        <v>12</v>
      </c>
      <c r="D1536" s="234">
        <v>0</v>
      </c>
      <c r="E1536" s="234">
        <v>1</v>
      </c>
      <c r="G1536" s="506"/>
      <c r="H1536" s="481" t="s">
        <v>38</v>
      </c>
      <c r="I1536" s="445" t="s">
        <v>6026</v>
      </c>
      <c r="J1536" s="483" t="s">
        <v>3048</v>
      </c>
      <c r="K1536" s="484"/>
      <c r="L1536" s="485"/>
      <c r="M1536" s="485"/>
      <c r="N1536" s="449"/>
      <c r="O1536" s="486"/>
      <c r="P1536" s="429"/>
    </row>
    <row r="1537" spans="1:16" ht="13.5" hidden="1" customHeight="1" outlineLevel="2" x14ac:dyDescent="0.2">
      <c r="A1537" s="233">
        <v>0</v>
      </c>
      <c r="B1537" s="233">
        <v>18</v>
      </c>
      <c r="C1537" s="233">
        <v>12</v>
      </c>
      <c r="D1537" s="234">
        <v>1</v>
      </c>
      <c r="E1537" s="234">
        <v>0</v>
      </c>
      <c r="G1537" s="507"/>
      <c r="H1537" s="487" t="s">
        <v>1237</v>
      </c>
      <c r="I1537" s="452" t="s">
        <v>6027</v>
      </c>
      <c r="J1537" s="489" t="s">
        <v>27</v>
      </c>
      <c r="K1537" s="490"/>
      <c r="L1537" s="491"/>
      <c r="M1537" s="491"/>
      <c r="N1537" s="456">
        <v>3160.64</v>
      </c>
      <c r="O1537" s="492">
        <v>0.18869864301804201</v>
      </c>
      <c r="P1537" s="430"/>
    </row>
    <row r="1538" spans="1:16" ht="13.5" hidden="1" customHeight="1" outlineLevel="3" x14ac:dyDescent="0.2">
      <c r="A1538" s="233">
        <v>0</v>
      </c>
      <c r="B1538" s="233">
        <v>18</v>
      </c>
      <c r="C1538" s="233">
        <v>12</v>
      </c>
      <c r="D1538" s="234">
        <v>1</v>
      </c>
      <c r="E1538" s="234">
        <v>1</v>
      </c>
      <c r="G1538" s="508" t="s">
        <v>51</v>
      </c>
      <c r="H1538" s="493" t="s">
        <v>1238</v>
      </c>
      <c r="I1538" s="460" t="s">
        <v>6028</v>
      </c>
      <c r="J1538" s="495" t="s">
        <v>790</v>
      </c>
      <c r="K1538" s="496" t="s">
        <v>787</v>
      </c>
      <c r="L1538" s="497">
        <v>136</v>
      </c>
      <c r="M1538" s="497">
        <v>23.240000000000002</v>
      </c>
      <c r="N1538" s="464">
        <v>3160.64</v>
      </c>
      <c r="O1538" s="498" t="s">
        <v>2704</v>
      </c>
      <c r="P1538" s="431" t="s">
        <v>6711</v>
      </c>
    </row>
    <row r="1539" spans="1:16" ht="13.5" hidden="1" customHeight="1" outlineLevel="2" x14ac:dyDescent="0.2">
      <c r="A1539" s="233">
        <v>0</v>
      </c>
      <c r="B1539" s="233">
        <v>18</v>
      </c>
      <c r="C1539" s="233">
        <v>12</v>
      </c>
      <c r="D1539" s="234">
        <v>2</v>
      </c>
      <c r="E1539" s="234">
        <v>0</v>
      </c>
      <c r="G1539" s="507"/>
      <c r="H1539" s="487" t="s">
        <v>1237</v>
      </c>
      <c r="I1539" s="452" t="s">
        <v>6029</v>
      </c>
      <c r="J1539" s="489" t="s">
        <v>28</v>
      </c>
      <c r="K1539" s="490"/>
      <c r="L1539" s="491"/>
      <c r="M1539" s="491"/>
      <c r="N1539" s="456">
        <v>142210.563665903</v>
      </c>
      <c r="O1539" s="492"/>
      <c r="P1539" s="430"/>
    </row>
    <row r="1540" spans="1:16" ht="13.5" hidden="1" customHeight="1" outlineLevel="3" x14ac:dyDescent="0.2">
      <c r="A1540" s="233">
        <v>0</v>
      </c>
      <c r="B1540" s="233">
        <v>18</v>
      </c>
      <c r="C1540" s="233">
        <v>12</v>
      </c>
      <c r="D1540" s="234">
        <v>2</v>
      </c>
      <c r="E1540" s="234">
        <v>1</v>
      </c>
      <c r="G1540" s="508" t="s">
        <v>51</v>
      </c>
      <c r="H1540" s="493" t="s">
        <v>1238</v>
      </c>
      <c r="I1540" s="460" t="s">
        <v>6030</v>
      </c>
      <c r="J1540" s="495" t="s">
        <v>2699</v>
      </c>
      <c r="K1540" s="496" t="s">
        <v>641</v>
      </c>
      <c r="L1540" s="497">
        <v>9.9</v>
      </c>
      <c r="M1540" s="497">
        <v>1906.3139681515586</v>
      </c>
      <c r="N1540" s="464">
        <v>18872.508284700401</v>
      </c>
      <c r="O1540" s="498" t="s">
        <v>2704</v>
      </c>
      <c r="P1540" s="431" t="s">
        <v>6711</v>
      </c>
    </row>
    <row r="1541" spans="1:16" ht="13.5" hidden="1" customHeight="1" outlineLevel="3" x14ac:dyDescent="0.2">
      <c r="A1541" s="233">
        <v>0</v>
      </c>
      <c r="B1541" s="233">
        <v>18</v>
      </c>
      <c r="C1541" s="233">
        <v>12</v>
      </c>
      <c r="D1541" s="234">
        <v>2</v>
      </c>
      <c r="E1541" s="234">
        <v>2</v>
      </c>
      <c r="G1541" s="508" t="s">
        <v>51</v>
      </c>
      <c r="H1541" s="493" t="s">
        <v>1238</v>
      </c>
      <c r="I1541" s="460" t="s">
        <v>6031</v>
      </c>
      <c r="J1541" s="495" t="s">
        <v>2700</v>
      </c>
      <c r="K1541" s="496" t="s">
        <v>641</v>
      </c>
      <c r="L1541" s="497">
        <v>14.115</v>
      </c>
      <c r="M1541" s="497">
        <v>2650.4955587130289</v>
      </c>
      <c r="N1541" s="464">
        <v>37411.744811234399</v>
      </c>
      <c r="O1541" s="498" t="s">
        <v>2704</v>
      </c>
      <c r="P1541" s="431" t="s">
        <v>6711</v>
      </c>
    </row>
    <row r="1542" spans="1:16" ht="13.5" hidden="1" customHeight="1" outlineLevel="3" x14ac:dyDescent="0.2">
      <c r="A1542" s="233">
        <v>0</v>
      </c>
      <c r="B1542" s="233">
        <v>18</v>
      </c>
      <c r="C1542" s="233">
        <v>12</v>
      </c>
      <c r="D1542" s="234">
        <v>2</v>
      </c>
      <c r="E1542" s="234">
        <v>3</v>
      </c>
      <c r="G1542" s="508" t="s">
        <v>51</v>
      </c>
      <c r="H1542" s="493" t="s">
        <v>1238</v>
      </c>
      <c r="I1542" s="460" t="s">
        <v>6032</v>
      </c>
      <c r="J1542" s="495" t="s">
        <v>2701</v>
      </c>
      <c r="K1542" s="496" t="s">
        <v>641</v>
      </c>
      <c r="L1542" s="497">
        <v>29.900000000000006</v>
      </c>
      <c r="M1542" s="497">
        <v>2873.7896511695099</v>
      </c>
      <c r="N1542" s="464">
        <v>85926.310569968395</v>
      </c>
      <c r="O1542" s="498" t="s">
        <v>2704</v>
      </c>
      <c r="P1542" s="431" t="s">
        <v>6711</v>
      </c>
    </row>
    <row r="1543" spans="1:16" ht="12.75" hidden="1" customHeight="1" outlineLevel="2" x14ac:dyDescent="0.2">
      <c r="A1543" s="233">
        <v>0</v>
      </c>
      <c r="B1543" s="233">
        <v>18</v>
      </c>
      <c r="C1543" s="233">
        <v>12</v>
      </c>
      <c r="D1543" s="234">
        <v>3</v>
      </c>
      <c r="E1543" s="234">
        <v>0</v>
      </c>
      <c r="G1543" s="507"/>
      <c r="H1543" s="487" t="s">
        <v>1237</v>
      </c>
      <c r="I1543" s="452" t="s">
        <v>6033</v>
      </c>
      <c r="J1543" s="489" t="s">
        <v>2351</v>
      </c>
      <c r="K1543" s="490"/>
      <c r="L1543" s="491"/>
      <c r="M1543" s="491"/>
      <c r="N1543" s="456"/>
      <c r="O1543" s="492"/>
      <c r="P1543" s="430"/>
    </row>
    <row r="1544" spans="1:16" ht="12.75" hidden="1" customHeight="1" outlineLevel="3" x14ac:dyDescent="0.2">
      <c r="A1544" s="233">
        <v>0</v>
      </c>
      <c r="B1544" s="233">
        <v>18</v>
      </c>
      <c r="C1544" s="233">
        <v>12</v>
      </c>
      <c r="D1544" s="234">
        <v>3</v>
      </c>
      <c r="E1544" s="234">
        <v>1</v>
      </c>
      <c r="G1544" s="508" t="s">
        <v>51</v>
      </c>
      <c r="H1544" s="493" t="s">
        <v>1238</v>
      </c>
      <c r="I1544" s="460" t="s">
        <v>6034</v>
      </c>
      <c r="J1544" s="495" t="s">
        <v>796</v>
      </c>
      <c r="K1544" s="496" t="s">
        <v>641</v>
      </c>
      <c r="L1544" s="497" t="e">
        <v>#REF!</v>
      </c>
      <c r="M1544" s="497">
        <v>1403.9850000000001</v>
      </c>
      <c r="N1544" s="464"/>
      <c r="O1544" s="498" t="s">
        <v>2703</v>
      </c>
      <c r="P1544" s="431" t="s">
        <v>6711</v>
      </c>
    </row>
    <row r="1545" spans="1:16" ht="12.75" hidden="1" customHeight="1" outlineLevel="2" x14ac:dyDescent="0.2">
      <c r="A1545" s="233">
        <v>0</v>
      </c>
      <c r="B1545" s="233">
        <v>18</v>
      </c>
      <c r="C1545" s="233">
        <v>12</v>
      </c>
      <c r="D1545" s="234">
        <v>4</v>
      </c>
      <c r="E1545" s="234">
        <v>0</v>
      </c>
      <c r="G1545" s="507"/>
      <c r="H1545" s="487" t="s">
        <v>1237</v>
      </c>
      <c r="I1545" s="452" t="s">
        <v>6035</v>
      </c>
      <c r="J1545" s="489" t="s">
        <v>2711</v>
      </c>
      <c r="K1545" s="490"/>
      <c r="L1545" s="491"/>
      <c r="M1545" s="491"/>
      <c r="N1545" s="456"/>
      <c r="O1545" s="492"/>
      <c r="P1545" s="430"/>
    </row>
    <row r="1546" spans="1:16" ht="12.75" hidden="1" customHeight="1" outlineLevel="3" x14ac:dyDescent="0.2">
      <c r="A1546" s="233">
        <v>0</v>
      </c>
      <c r="B1546" s="233">
        <v>18</v>
      </c>
      <c r="C1546" s="233">
        <v>12</v>
      </c>
      <c r="D1546" s="234">
        <v>4</v>
      </c>
      <c r="E1546" s="234">
        <v>1</v>
      </c>
      <c r="G1546" s="508" t="s">
        <v>51</v>
      </c>
      <c r="H1546" s="493" t="s">
        <v>1238</v>
      </c>
      <c r="I1546" s="460" t="s">
        <v>6036</v>
      </c>
      <c r="J1546" s="495" t="s">
        <v>793</v>
      </c>
      <c r="K1546" s="496" t="s">
        <v>641</v>
      </c>
      <c r="L1546" s="497" t="e">
        <v>#REF!</v>
      </c>
      <c r="M1546" s="497">
        <v>2122.5413895570964</v>
      </c>
      <c r="N1546" s="464"/>
      <c r="O1546" s="498" t="s">
        <v>2703</v>
      </c>
      <c r="P1546" s="431" t="s">
        <v>6711</v>
      </c>
    </row>
    <row r="1547" spans="1:16" ht="13.5" hidden="1" customHeight="1" outlineLevel="1" x14ac:dyDescent="0.2">
      <c r="A1547" s="233">
        <v>0</v>
      </c>
      <c r="B1547" s="233">
        <v>18</v>
      </c>
      <c r="C1547" s="233">
        <v>13</v>
      </c>
      <c r="D1547" s="234">
        <v>0</v>
      </c>
      <c r="E1547" s="234">
        <v>1</v>
      </c>
      <c r="G1547" s="506"/>
      <c r="H1547" s="481" t="s">
        <v>38</v>
      </c>
      <c r="I1547" s="445" t="s">
        <v>6037</v>
      </c>
      <c r="J1547" s="483" t="s">
        <v>3049</v>
      </c>
      <c r="K1547" s="484"/>
      <c r="L1547" s="485"/>
      <c r="M1547" s="485"/>
      <c r="N1547" s="449"/>
      <c r="O1547" s="486"/>
      <c r="P1547" s="429"/>
    </row>
    <row r="1548" spans="1:16" ht="13.5" hidden="1" customHeight="1" outlineLevel="2" x14ac:dyDescent="0.2">
      <c r="A1548" s="233">
        <v>0</v>
      </c>
      <c r="B1548" s="233">
        <v>18</v>
      </c>
      <c r="C1548" s="233">
        <v>13</v>
      </c>
      <c r="D1548" s="234">
        <v>1</v>
      </c>
      <c r="E1548" s="234">
        <v>0</v>
      </c>
      <c r="G1548" s="507"/>
      <c r="H1548" s="487" t="s">
        <v>1237</v>
      </c>
      <c r="I1548" s="452" t="s">
        <v>6038</v>
      </c>
      <c r="J1548" s="489" t="s">
        <v>27</v>
      </c>
      <c r="K1548" s="490"/>
      <c r="L1548" s="491"/>
      <c r="M1548" s="491"/>
      <c r="N1548" s="456">
        <v>1861.5239999999999</v>
      </c>
      <c r="O1548" s="492">
        <v>0.11113795077753801</v>
      </c>
      <c r="P1548" s="430"/>
    </row>
    <row r="1549" spans="1:16" ht="13.5" hidden="1" customHeight="1" outlineLevel="3" x14ac:dyDescent="0.2">
      <c r="A1549" s="233">
        <v>0</v>
      </c>
      <c r="B1549" s="233">
        <v>18</v>
      </c>
      <c r="C1549" s="233">
        <v>13</v>
      </c>
      <c r="D1549" s="234">
        <v>1</v>
      </c>
      <c r="E1549" s="234">
        <v>1</v>
      </c>
      <c r="G1549" s="508" t="s">
        <v>51</v>
      </c>
      <c r="H1549" s="493" t="s">
        <v>1238</v>
      </c>
      <c r="I1549" s="460" t="s">
        <v>6039</v>
      </c>
      <c r="J1549" s="495" t="s">
        <v>790</v>
      </c>
      <c r="K1549" s="496" t="s">
        <v>787</v>
      </c>
      <c r="L1549" s="497">
        <v>80.099999999999994</v>
      </c>
      <c r="M1549" s="497">
        <v>23.240000000000002</v>
      </c>
      <c r="N1549" s="464">
        <v>1861.5239999999999</v>
      </c>
      <c r="O1549" s="498" t="s">
        <v>2704</v>
      </c>
      <c r="P1549" s="431" t="s">
        <v>6711</v>
      </c>
    </row>
    <row r="1550" spans="1:16" ht="13.5" hidden="1" customHeight="1" outlineLevel="2" x14ac:dyDescent="0.2">
      <c r="A1550" s="233">
        <v>0</v>
      </c>
      <c r="B1550" s="233">
        <v>18</v>
      </c>
      <c r="C1550" s="233">
        <v>13</v>
      </c>
      <c r="D1550" s="234">
        <v>2</v>
      </c>
      <c r="E1550" s="234">
        <v>0</v>
      </c>
      <c r="G1550" s="507"/>
      <c r="H1550" s="487" t="s">
        <v>1237</v>
      </c>
      <c r="I1550" s="452" t="s">
        <v>6040</v>
      </c>
      <c r="J1550" s="489" t="s">
        <v>28</v>
      </c>
      <c r="K1550" s="490"/>
      <c r="L1550" s="491"/>
      <c r="M1550" s="491"/>
      <c r="N1550" s="456">
        <v>94528.5867973969</v>
      </c>
      <c r="O1550" s="492"/>
      <c r="P1550" s="430"/>
    </row>
    <row r="1551" spans="1:16" ht="13.5" hidden="1" customHeight="1" outlineLevel="3" x14ac:dyDescent="0.2">
      <c r="A1551" s="233">
        <v>0</v>
      </c>
      <c r="B1551" s="233">
        <v>18</v>
      </c>
      <c r="C1551" s="233">
        <v>13</v>
      </c>
      <c r="D1551" s="234">
        <v>2</v>
      </c>
      <c r="E1551" s="234">
        <v>1</v>
      </c>
      <c r="G1551" s="508" t="s">
        <v>51</v>
      </c>
      <c r="H1551" s="493" t="s">
        <v>1238</v>
      </c>
      <c r="I1551" s="460" t="s">
        <v>6041</v>
      </c>
      <c r="J1551" s="495" t="s">
        <v>2699</v>
      </c>
      <c r="K1551" s="496" t="s">
        <v>641</v>
      </c>
      <c r="L1551" s="497">
        <v>11.94</v>
      </c>
      <c r="M1551" s="497">
        <v>1906.3139681515586</v>
      </c>
      <c r="N1551" s="464">
        <v>22761.388779729601</v>
      </c>
      <c r="O1551" s="498" t="s">
        <v>2704</v>
      </c>
      <c r="P1551" s="431" t="s">
        <v>6711</v>
      </c>
    </row>
    <row r="1552" spans="1:16" ht="13.5" hidden="1" customHeight="1" outlineLevel="3" x14ac:dyDescent="0.2">
      <c r="A1552" s="233">
        <v>0</v>
      </c>
      <c r="B1552" s="233">
        <v>18</v>
      </c>
      <c r="C1552" s="233">
        <v>13</v>
      </c>
      <c r="D1552" s="234">
        <v>2</v>
      </c>
      <c r="E1552" s="234">
        <v>2</v>
      </c>
      <c r="G1552" s="508" t="s">
        <v>51</v>
      </c>
      <c r="H1552" s="493" t="s">
        <v>1238</v>
      </c>
      <c r="I1552" s="460" t="s">
        <v>6042</v>
      </c>
      <c r="J1552" s="495" t="s">
        <v>2700</v>
      </c>
      <c r="K1552" s="496" t="s">
        <v>641</v>
      </c>
      <c r="L1552" s="497">
        <v>10.965</v>
      </c>
      <c r="M1552" s="497">
        <v>2650.4955587130289</v>
      </c>
      <c r="N1552" s="464">
        <v>29062.6838012884</v>
      </c>
      <c r="O1552" s="498" t="s">
        <v>2704</v>
      </c>
      <c r="P1552" s="431" t="s">
        <v>6711</v>
      </c>
    </row>
    <row r="1553" spans="1:16" ht="13.5" hidden="1" customHeight="1" outlineLevel="3" x14ac:dyDescent="0.2">
      <c r="A1553" s="233">
        <v>0</v>
      </c>
      <c r="B1553" s="233">
        <v>18</v>
      </c>
      <c r="C1553" s="233">
        <v>13</v>
      </c>
      <c r="D1553" s="234">
        <v>2</v>
      </c>
      <c r="E1553" s="234">
        <v>3</v>
      </c>
      <c r="G1553" s="508" t="s">
        <v>51</v>
      </c>
      <c r="H1553" s="493" t="s">
        <v>1238</v>
      </c>
      <c r="I1553" s="460" t="s">
        <v>6043</v>
      </c>
      <c r="J1553" s="495" t="s">
        <v>2701</v>
      </c>
      <c r="K1553" s="496" t="s">
        <v>641</v>
      </c>
      <c r="L1553" s="497">
        <v>14.86</v>
      </c>
      <c r="M1553" s="497">
        <v>2873.7896511695099</v>
      </c>
      <c r="N1553" s="464">
        <v>42704.514216378899</v>
      </c>
      <c r="O1553" s="498" t="s">
        <v>2704</v>
      </c>
      <c r="P1553" s="431" t="s">
        <v>6711</v>
      </c>
    </row>
    <row r="1554" spans="1:16" ht="12.75" hidden="1" customHeight="1" outlineLevel="2" x14ac:dyDescent="0.2">
      <c r="A1554" s="233">
        <v>0</v>
      </c>
      <c r="B1554" s="233">
        <v>18</v>
      </c>
      <c r="C1554" s="233">
        <v>13</v>
      </c>
      <c r="D1554" s="234">
        <v>3</v>
      </c>
      <c r="E1554" s="234">
        <v>0</v>
      </c>
      <c r="G1554" s="507"/>
      <c r="H1554" s="487" t="s">
        <v>1237</v>
      </c>
      <c r="I1554" s="452" t="s">
        <v>6044</v>
      </c>
      <c r="J1554" s="489" t="s">
        <v>2351</v>
      </c>
      <c r="K1554" s="490"/>
      <c r="L1554" s="491"/>
      <c r="M1554" s="491"/>
      <c r="N1554" s="456"/>
      <c r="O1554" s="492"/>
      <c r="P1554" s="430"/>
    </row>
    <row r="1555" spans="1:16" ht="12.75" hidden="1" customHeight="1" outlineLevel="3" x14ac:dyDescent="0.2">
      <c r="A1555" s="233">
        <v>0</v>
      </c>
      <c r="B1555" s="233">
        <v>18</v>
      </c>
      <c r="C1555" s="233">
        <v>13</v>
      </c>
      <c r="D1555" s="234">
        <v>3</v>
      </c>
      <c r="E1555" s="234">
        <v>1</v>
      </c>
      <c r="G1555" s="508" t="s">
        <v>51</v>
      </c>
      <c r="H1555" s="493" t="s">
        <v>1238</v>
      </c>
      <c r="I1555" s="460" t="s">
        <v>6045</v>
      </c>
      <c r="J1555" s="495" t="s">
        <v>796</v>
      </c>
      <c r="K1555" s="496" t="s">
        <v>641</v>
      </c>
      <c r="L1555" s="497" t="e">
        <v>#REF!</v>
      </c>
      <c r="M1555" s="497">
        <v>1403.9850000000001</v>
      </c>
      <c r="N1555" s="464"/>
      <c r="O1555" s="498" t="s">
        <v>2703</v>
      </c>
      <c r="P1555" s="431" t="s">
        <v>6711</v>
      </c>
    </row>
    <row r="1556" spans="1:16" ht="12.75" hidden="1" customHeight="1" outlineLevel="2" x14ac:dyDescent="0.2">
      <c r="A1556" s="233">
        <v>0</v>
      </c>
      <c r="B1556" s="233">
        <v>18</v>
      </c>
      <c r="C1556" s="233">
        <v>13</v>
      </c>
      <c r="D1556" s="234">
        <v>4</v>
      </c>
      <c r="E1556" s="234">
        <v>0</v>
      </c>
      <c r="G1556" s="507"/>
      <c r="H1556" s="487" t="s">
        <v>1237</v>
      </c>
      <c r="I1556" s="452" t="s">
        <v>6046</v>
      </c>
      <c r="J1556" s="489" t="s">
        <v>2711</v>
      </c>
      <c r="K1556" s="490"/>
      <c r="L1556" s="491"/>
      <c r="M1556" s="491"/>
      <c r="N1556" s="456"/>
      <c r="O1556" s="492"/>
      <c r="P1556" s="430"/>
    </row>
    <row r="1557" spans="1:16" ht="12.75" hidden="1" customHeight="1" outlineLevel="3" x14ac:dyDescent="0.2">
      <c r="A1557" s="233">
        <v>0</v>
      </c>
      <c r="B1557" s="233">
        <v>18</v>
      </c>
      <c r="C1557" s="233">
        <v>13</v>
      </c>
      <c r="D1557" s="234">
        <v>4</v>
      </c>
      <c r="E1557" s="234">
        <v>1</v>
      </c>
      <c r="G1557" s="508" t="s">
        <v>51</v>
      </c>
      <c r="H1557" s="493" t="s">
        <v>1238</v>
      </c>
      <c r="I1557" s="460" t="s">
        <v>6047</v>
      </c>
      <c r="J1557" s="495" t="s">
        <v>793</v>
      </c>
      <c r="K1557" s="496" t="s">
        <v>641</v>
      </c>
      <c r="L1557" s="497" t="e">
        <v>#REF!</v>
      </c>
      <c r="M1557" s="497">
        <v>2122.5413895570964</v>
      </c>
      <c r="N1557" s="464"/>
      <c r="O1557" s="498" t="s">
        <v>2703</v>
      </c>
      <c r="P1557" s="431" t="s">
        <v>6711</v>
      </c>
    </row>
    <row r="1558" spans="1:16" ht="13.5" hidden="1" customHeight="1" outlineLevel="1" x14ac:dyDescent="0.2">
      <c r="A1558" s="233">
        <v>0</v>
      </c>
      <c r="B1558" s="233">
        <v>18</v>
      </c>
      <c r="C1558" s="233">
        <v>14</v>
      </c>
      <c r="D1558" s="234">
        <v>0</v>
      </c>
      <c r="E1558" s="234">
        <v>1</v>
      </c>
      <c r="G1558" s="506"/>
      <c r="H1558" s="481" t="s">
        <v>38</v>
      </c>
      <c r="I1558" s="445" t="s">
        <v>6048</v>
      </c>
      <c r="J1558" s="483" t="s">
        <v>3050</v>
      </c>
      <c r="K1558" s="484"/>
      <c r="L1558" s="485"/>
      <c r="M1558" s="485"/>
      <c r="N1558" s="449">
        <v>51022.711000224299</v>
      </c>
      <c r="O1558" s="486">
        <v>3.0461920145426302</v>
      </c>
      <c r="P1558" s="429"/>
    </row>
    <row r="1559" spans="1:16" ht="13.5" hidden="1" customHeight="1" outlineLevel="2" x14ac:dyDescent="0.2">
      <c r="A1559" s="233">
        <v>0</v>
      </c>
      <c r="B1559" s="233">
        <v>18</v>
      </c>
      <c r="C1559" s="233">
        <v>14</v>
      </c>
      <c r="D1559" s="234">
        <v>1</v>
      </c>
      <c r="E1559" s="234">
        <v>0</v>
      </c>
      <c r="G1559" s="507"/>
      <c r="H1559" s="487" t="s">
        <v>1237</v>
      </c>
      <c r="I1559" s="452" t="s">
        <v>6049</v>
      </c>
      <c r="J1559" s="489" t="s">
        <v>27</v>
      </c>
      <c r="K1559" s="490"/>
      <c r="L1559" s="491"/>
      <c r="M1559" s="491"/>
      <c r="N1559" s="456">
        <v>1519.896</v>
      </c>
      <c r="O1559" s="492">
        <v>9.0741847451322896E-2</v>
      </c>
      <c r="P1559" s="430"/>
    </row>
    <row r="1560" spans="1:16" ht="13.5" hidden="1" customHeight="1" outlineLevel="3" x14ac:dyDescent="0.2">
      <c r="A1560" s="233">
        <v>0</v>
      </c>
      <c r="B1560" s="233">
        <v>18</v>
      </c>
      <c r="C1560" s="233">
        <v>14</v>
      </c>
      <c r="D1560" s="234">
        <v>1</v>
      </c>
      <c r="E1560" s="234">
        <v>1</v>
      </c>
      <c r="G1560" s="508" t="s">
        <v>51</v>
      </c>
      <c r="H1560" s="493" t="s">
        <v>1238</v>
      </c>
      <c r="I1560" s="460" t="s">
        <v>6050</v>
      </c>
      <c r="J1560" s="495" t="s">
        <v>790</v>
      </c>
      <c r="K1560" s="496" t="s">
        <v>787</v>
      </c>
      <c r="L1560" s="497">
        <v>65.400000000000006</v>
      </c>
      <c r="M1560" s="497">
        <v>23.240000000000002</v>
      </c>
      <c r="N1560" s="464">
        <v>1519.896</v>
      </c>
      <c r="O1560" s="498" t="s">
        <v>2704</v>
      </c>
      <c r="P1560" s="431" t="s">
        <v>6711</v>
      </c>
    </row>
    <row r="1561" spans="1:16" ht="13.5" hidden="1" customHeight="1" outlineLevel="2" x14ac:dyDescent="0.2">
      <c r="A1561" s="233">
        <v>0</v>
      </c>
      <c r="B1561" s="233">
        <v>18</v>
      </c>
      <c r="C1561" s="233">
        <v>14</v>
      </c>
      <c r="D1561" s="234">
        <v>2</v>
      </c>
      <c r="E1561" s="234">
        <v>0</v>
      </c>
      <c r="G1561" s="507"/>
      <c r="H1561" s="487" t="s">
        <v>1237</v>
      </c>
      <c r="I1561" s="452" t="s">
        <v>6051</v>
      </c>
      <c r="J1561" s="489" t="s">
        <v>28</v>
      </c>
      <c r="K1561" s="490"/>
      <c r="L1561" s="491"/>
      <c r="M1561" s="491"/>
      <c r="N1561" s="456">
        <v>49502.815000224298</v>
      </c>
      <c r="O1561" s="492"/>
      <c r="P1561" s="430"/>
    </row>
    <row r="1562" spans="1:16" ht="13.5" hidden="1" customHeight="1" outlineLevel="3" x14ac:dyDescent="0.2">
      <c r="A1562" s="233">
        <v>0</v>
      </c>
      <c r="B1562" s="233">
        <v>18</v>
      </c>
      <c r="C1562" s="233">
        <v>14</v>
      </c>
      <c r="D1562" s="234">
        <v>2</v>
      </c>
      <c r="E1562" s="234">
        <v>1</v>
      </c>
      <c r="G1562" s="508" t="s">
        <v>51</v>
      </c>
      <c r="H1562" s="493" t="s">
        <v>1238</v>
      </c>
      <c r="I1562" s="460" t="s">
        <v>6052</v>
      </c>
      <c r="J1562" s="495" t="s">
        <v>2699</v>
      </c>
      <c r="K1562" s="496" t="s">
        <v>641</v>
      </c>
      <c r="L1562" s="497">
        <v>20.740000000000002</v>
      </c>
      <c r="M1562" s="497">
        <v>1906.3139681515586</v>
      </c>
      <c r="N1562" s="464">
        <v>39536.951699463301</v>
      </c>
      <c r="O1562" s="498" t="s">
        <v>2704</v>
      </c>
      <c r="P1562" s="431" t="s">
        <v>6711</v>
      </c>
    </row>
    <row r="1563" spans="1:16" ht="13.5" hidden="1" customHeight="1" outlineLevel="3" x14ac:dyDescent="0.2">
      <c r="A1563" s="233">
        <v>0</v>
      </c>
      <c r="B1563" s="233">
        <v>18</v>
      </c>
      <c r="C1563" s="233">
        <v>14</v>
      </c>
      <c r="D1563" s="234">
        <v>2</v>
      </c>
      <c r="E1563" s="234">
        <v>2</v>
      </c>
      <c r="G1563" s="508" t="s">
        <v>51</v>
      </c>
      <c r="H1563" s="493" t="s">
        <v>1238</v>
      </c>
      <c r="I1563" s="460" t="s">
        <v>6053</v>
      </c>
      <c r="J1563" s="495" t="s">
        <v>2700</v>
      </c>
      <c r="K1563" s="496" t="s">
        <v>641</v>
      </c>
      <c r="L1563" s="497">
        <v>3.7600000000000007</v>
      </c>
      <c r="M1563" s="497">
        <v>2650.4955587130289</v>
      </c>
      <c r="N1563" s="464">
        <v>9965.8633007609897</v>
      </c>
      <c r="O1563" s="498" t="s">
        <v>2704</v>
      </c>
      <c r="P1563" s="431" t="s">
        <v>6711</v>
      </c>
    </row>
    <row r="1564" spans="1:16" ht="13.5" hidden="1" customHeight="1" outlineLevel="1" x14ac:dyDescent="0.2">
      <c r="A1564" s="233">
        <v>0</v>
      </c>
      <c r="B1564" s="233">
        <v>18</v>
      </c>
      <c r="C1564" s="233">
        <v>15</v>
      </c>
      <c r="D1564" s="234">
        <v>0</v>
      </c>
      <c r="E1564" s="234">
        <v>2</v>
      </c>
      <c r="G1564" s="506"/>
      <c r="H1564" s="481" t="s">
        <v>38</v>
      </c>
      <c r="I1564" s="445" t="s">
        <v>6054</v>
      </c>
      <c r="J1564" s="483" t="s">
        <v>3051</v>
      </c>
      <c r="K1564" s="484"/>
      <c r="L1564" s="485"/>
      <c r="M1564" s="485"/>
      <c r="N1564" s="449">
        <v>23283.38</v>
      </c>
      <c r="O1564" s="486">
        <v>1.39007992396268</v>
      </c>
      <c r="P1564" s="429"/>
    </row>
    <row r="1565" spans="1:16" ht="12.75" hidden="1" customHeight="1" outlineLevel="2" x14ac:dyDescent="0.2">
      <c r="A1565" s="233">
        <v>0</v>
      </c>
      <c r="B1565" s="233">
        <v>18</v>
      </c>
      <c r="C1565" s="233">
        <v>15</v>
      </c>
      <c r="D1565" s="234">
        <v>1</v>
      </c>
      <c r="E1565" s="234">
        <v>0</v>
      </c>
      <c r="G1565" s="507"/>
      <c r="H1565" s="487" t="s">
        <v>1237</v>
      </c>
      <c r="I1565" s="452" t="s">
        <v>6055</v>
      </c>
      <c r="J1565" s="489" t="s">
        <v>2278</v>
      </c>
      <c r="K1565" s="490"/>
      <c r="L1565" s="491"/>
      <c r="M1565" s="491"/>
      <c r="N1565" s="456">
        <v>20883.38</v>
      </c>
      <c r="O1565" s="492"/>
      <c r="P1565" s="430"/>
    </row>
    <row r="1566" spans="1:16" ht="12.75" hidden="1" customHeight="1" outlineLevel="3" x14ac:dyDescent="0.2">
      <c r="A1566" s="233">
        <v>0</v>
      </c>
      <c r="B1566" s="233">
        <v>18</v>
      </c>
      <c r="C1566" s="233">
        <v>15</v>
      </c>
      <c r="D1566" s="234">
        <v>1</v>
      </c>
      <c r="E1566" s="234">
        <v>1</v>
      </c>
      <c r="G1566" s="508" t="s">
        <v>51</v>
      </c>
      <c r="H1566" s="493" t="s">
        <v>1238</v>
      </c>
      <c r="I1566" s="460" t="s">
        <v>6056</v>
      </c>
      <c r="J1566" s="495" t="s">
        <v>816</v>
      </c>
      <c r="K1566" s="496" t="s">
        <v>533</v>
      </c>
      <c r="L1566" s="497">
        <v>1</v>
      </c>
      <c r="M1566" s="497">
        <v>2306.36</v>
      </c>
      <c r="N1566" s="464">
        <v>2306.36</v>
      </c>
      <c r="O1566" s="498" t="s">
        <v>2704</v>
      </c>
      <c r="P1566" s="431" t="s">
        <v>6711</v>
      </c>
    </row>
    <row r="1567" spans="1:16" ht="13.5" hidden="1" customHeight="1" outlineLevel="3" x14ac:dyDescent="0.2">
      <c r="A1567" s="233">
        <v>0</v>
      </c>
      <c r="B1567" s="233">
        <v>18</v>
      </c>
      <c r="C1567" s="233">
        <v>15</v>
      </c>
      <c r="D1567" s="234">
        <v>1</v>
      </c>
      <c r="E1567" s="234">
        <v>2</v>
      </c>
      <c r="G1567" s="508" t="s">
        <v>51</v>
      </c>
      <c r="H1567" s="493" t="s">
        <v>1238</v>
      </c>
      <c r="I1567" s="460" t="s">
        <v>6057</v>
      </c>
      <c r="J1567" s="495" t="s">
        <v>818</v>
      </c>
      <c r="K1567" s="496" t="s">
        <v>533</v>
      </c>
      <c r="L1567" s="497">
        <v>7</v>
      </c>
      <c r="M1567" s="497">
        <v>2653.86</v>
      </c>
      <c r="N1567" s="464">
        <v>18577.02</v>
      </c>
      <c r="O1567" s="498" t="s">
        <v>2704</v>
      </c>
      <c r="P1567" s="431" t="s">
        <v>6711</v>
      </c>
    </row>
    <row r="1568" spans="1:16" ht="13.5" hidden="1" customHeight="1" outlineLevel="2" x14ac:dyDescent="0.2">
      <c r="A1568" s="233">
        <v>0</v>
      </c>
      <c r="B1568" s="233">
        <v>18</v>
      </c>
      <c r="C1568" s="233">
        <v>15</v>
      </c>
      <c r="D1568" s="234">
        <v>2</v>
      </c>
      <c r="E1568" s="234">
        <v>0</v>
      </c>
      <c r="G1568" s="507"/>
      <c r="H1568" s="487" t="s">
        <v>1237</v>
      </c>
      <c r="I1568" s="452" t="s">
        <v>6058</v>
      </c>
      <c r="J1568" s="489" t="s">
        <v>14</v>
      </c>
      <c r="K1568" s="490"/>
      <c r="L1568" s="491"/>
      <c r="M1568" s="491"/>
      <c r="N1568" s="456">
        <v>2400</v>
      </c>
      <c r="O1568" s="492"/>
      <c r="P1568" s="430"/>
    </row>
    <row r="1569" spans="1:16" ht="13.5" hidden="1" customHeight="1" outlineLevel="3" x14ac:dyDescent="0.2">
      <c r="A1569" s="233">
        <v>0</v>
      </c>
      <c r="B1569" s="233">
        <v>18</v>
      </c>
      <c r="C1569" s="233">
        <v>15</v>
      </c>
      <c r="D1569" s="234">
        <v>2</v>
      </c>
      <c r="E1569" s="234">
        <v>1</v>
      </c>
      <c r="G1569" s="508" t="s">
        <v>51</v>
      </c>
      <c r="H1569" s="493" t="s">
        <v>1238</v>
      </c>
      <c r="I1569" s="460" t="s">
        <v>6059</v>
      </c>
      <c r="J1569" s="495" t="s">
        <v>845</v>
      </c>
      <c r="K1569" s="496" t="s">
        <v>533</v>
      </c>
      <c r="L1569" s="497">
        <v>8</v>
      </c>
      <c r="M1569" s="497">
        <v>300</v>
      </c>
      <c r="N1569" s="464">
        <v>2400</v>
      </c>
      <c r="O1569" s="498" t="s">
        <v>2704</v>
      </c>
      <c r="P1569" s="431" t="s">
        <v>6711</v>
      </c>
    </row>
    <row r="1570" spans="1:16" ht="13.5" hidden="1" customHeight="1" outlineLevel="1" x14ac:dyDescent="0.2">
      <c r="A1570" s="233">
        <v>0</v>
      </c>
      <c r="B1570" s="233">
        <v>18</v>
      </c>
      <c r="C1570" s="233">
        <v>16</v>
      </c>
      <c r="D1570" s="234">
        <v>0</v>
      </c>
      <c r="E1570" s="234">
        <v>1</v>
      </c>
      <c r="G1570" s="506"/>
      <c r="H1570" s="481" t="s">
        <v>38</v>
      </c>
      <c r="I1570" s="445" t="s">
        <v>6060</v>
      </c>
      <c r="J1570" s="483" t="s">
        <v>3052</v>
      </c>
      <c r="K1570" s="484"/>
      <c r="L1570" s="485"/>
      <c r="M1570" s="485"/>
      <c r="N1570" s="449">
        <v>16680.66</v>
      </c>
      <c r="O1570" s="486">
        <v>0.995879918828251</v>
      </c>
      <c r="P1570" s="429"/>
    </row>
    <row r="1571" spans="1:16" ht="12.75" hidden="1" customHeight="1" outlineLevel="2" x14ac:dyDescent="0.2">
      <c r="A1571" s="233">
        <v>0</v>
      </c>
      <c r="B1571" s="233">
        <v>18</v>
      </c>
      <c r="C1571" s="233">
        <v>16</v>
      </c>
      <c r="D1571" s="234">
        <v>1</v>
      </c>
      <c r="E1571" s="234">
        <v>0</v>
      </c>
      <c r="G1571" s="507"/>
      <c r="H1571" s="487" t="s">
        <v>1237</v>
      </c>
      <c r="I1571" s="452" t="s">
        <v>6061</v>
      </c>
      <c r="J1571" s="489" t="s">
        <v>2278</v>
      </c>
      <c r="K1571" s="490"/>
      <c r="L1571" s="491"/>
      <c r="M1571" s="491"/>
      <c r="N1571" s="456">
        <v>14880.66</v>
      </c>
      <c r="O1571" s="492"/>
      <c r="P1571" s="430"/>
    </row>
    <row r="1572" spans="1:16" ht="12.75" hidden="1" customHeight="1" outlineLevel="3" x14ac:dyDescent="0.2">
      <c r="A1572" s="233">
        <v>0</v>
      </c>
      <c r="B1572" s="233">
        <v>18</v>
      </c>
      <c r="C1572" s="233">
        <v>16</v>
      </c>
      <c r="D1572" s="234">
        <v>1</v>
      </c>
      <c r="E1572" s="234">
        <v>1</v>
      </c>
      <c r="G1572" s="508" t="s">
        <v>51</v>
      </c>
      <c r="H1572" s="493" t="s">
        <v>1238</v>
      </c>
      <c r="I1572" s="460" t="s">
        <v>6062</v>
      </c>
      <c r="J1572" s="495" t="s">
        <v>816</v>
      </c>
      <c r="K1572" s="496" t="s">
        <v>533</v>
      </c>
      <c r="L1572" s="497">
        <v>3</v>
      </c>
      <c r="M1572" s="497">
        <v>2306.36</v>
      </c>
      <c r="N1572" s="464">
        <v>6919.08</v>
      </c>
      <c r="O1572" s="498" t="s">
        <v>2704</v>
      </c>
      <c r="P1572" s="431" t="s">
        <v>6711</v>
      </c>
    </row>
    <row r="1573" spans="1:16" ht="13.5" hidden="1" customHeight="1" outlineLevel="3" x14ac:dyDescent="0.2">
      <c r="A1573" s="233">
        <v>0</v>
      </c>
      <c r="B1573" s="233">
        <v>18</v>
      </c>
      <c r="C1573" s="233">
        <v>16</v>
      </c>
      <c r="D1573" s="234">
        <v>1</v>
      </c>
      <c r="E1573" s="234">
        <v>2</v>
      </c>
      <c r="G1573" s="508" t="s">
        <v>51</v>
      </c>
      <c r="H1573" s="493" t="s">
        <v>1238</v>
      </c>
      <c r="I1573" s="460" t="s">
        <v>6063</v>
      </c>
      <c r="J1573" s="495" t="s">
        <v>818</v>
      </c>
      <c r="K1573" s="496" t="s">
        <v>533</v>
      </c>
      <c r="L1573" s="497">
        <v>3</v>
      </c>
      <c r="M1573" s="497">
        <v>2653.86</v>
      </c>
      <c r="N1573" s="464">
        <v>7961.58</v>
      </c>
      <c r="O1573" s="498" t="s">
        <v>2704</v>
      </c>
      <c r="P1573" s="431" t="s">
        <v>6711</v>
      </c>
    </row>
    <row r="1574" spans="1:16" ht="13.5" hidden="1" customHeight="1" outlineLevel="2" x14ac:dyDescent="0.2">
      <c r="A1574" s="233">
        <v>0</v>
      </c>
      <c r="B1574" s="233">
        <v>18</v>
      </c>
      <c r="C1574" s="233">
        <v>16</v>
      </c>
      <c r="D1574" s="234">
        <v>2</v>
      </c>
      <c r="E1574" s="234">
        <v>0</v>
      </c>
      <c r="G1574" s="507"/>
      <c r="H1574" s="487" t="s">
        <v>1237</v>
      </c>
      <c r="I1574" s="452" t="s">
        <v>6064</v>
      </c>
      <c r="J1574" s="489" t="s">
        <v>14</v>
      </c>
      <c r="K1574" s="490"/>
      <c r="L1574" s="491"/>
      <c r="M1574" s="491"/>
      <c r="N1574" s="456">
        <v>1800</v>
      </c>
      <c r="O1574" s="492"/>
      <c r="P1574" s="430"/>
    </row>
    <row r="1575" spans="1:16" ht="13.5" hidden="1" customHeight="1" outlineLevel="3" x14ac:dyDescent="0.2">
      <c r="A1575" s="233">
        <v>0</v>
      </c>
      <c r="B1575" s="233">
        <v>18</v>
      </c>
      <c r="C1575" s="233">
        <v>16</v>
      </c>
      <c r="D1575" s="234">
        <v>2</v>
      </c>
      <c r="E1575" s="234">
        <v>1</v>
      </c>
      <c r="G1575" s="508" t="s">
        <v>51</v>
      </c>
      <c r="H1575" s="493" t="s">
        <v>1238</v>
      </c>
      <c r="I1575" s="460" t="s">
        <v>6065</v>
      </c>
      <c r="J1575" s="495" t="s">
        <v>845</v>
      </c>
      <c r="K1575" s="496" t="s">
        <v>533</v>
      </c>
      <c r="L1575" s="497">
        <v>6</v>
      </c>
      <c r="M1575" s="497">
        <v>300</v>
      </c>
      <c r="N1575" s="464">
        <v>1800</v>
      </c>
      <c r="O1575" s="498" t="s">
        <v>2704</v>
      </c>
      <c r="P1575" s="431" t="s">
        <v>6711</v>
      </c>
    </row>
    <row r="1576" spans="1:16" ht="13.5" hidden="1" customHeight="1" outlineLevel="1" x14ac:dyDescent="0.2">
      <c r="A1576" s="233">
        <v>0</v>
      </c>
      <c r="B1576" s="233">
        <v>18</v>
      </c>
      <c r="C1576" s="233">
        <v>17</v>
      </c>
      <c r="D1576" s="234">
        <v>0</v>
      </c>
      <c r="E1576" s="234">
        <v>1</v>
      </c>
      <c r="G1576" s="506"/>
      <c r="H1576" s="481" t="s">
        <v>38</v>
      </c>
      <c r="I1576" s="445" t="s">
        <v>6066</v>
      </c>
      <c r="J1576" s="483" t="s">
        <v>3053</v>
      </c>
      <c r="K1576" s="484"/>
      <c r="L1576" s="485"/>
      <c r="M1576" s="485"/>
      <c r="N1576" s="449">
        <v>20329.52</v>
      </c>
      <c r="O1576" s="486">
        <v>1.21372659879269</v>
      </c>
      <c r="P1576" s="429"/>
    </row>
    <row r="1577" spans="1:16" ht="12.75" hidden="1" customHeight="1" outlineLevel="2" x14ac:dyDescent="0.2">
      <c r="A1577" s="233">
        <v>0</v>
      </c>
      <c r="B1577" s="233">
        <v>18</v>
      </c>
      <c r="C1577" s="233">
        <v>17</v>
      </c>
      <c r="D1577" s="234">
        <v>1</v>
      </c>
      <c r="E1577" s="234">
        <v>0</v>
      </c>
      <c r="G1577" s="507"/>
      <c r="H1577" s="487" t="s">
        <v>1237</v>
      </c>
      <c r="I1577" s="452" t="s">
        <v>6067</v>
      </c>
      <c r="J1577" s="489" t="s">
        <v>2278</v>
      </c>
      <c r="K1577" s="490"/>
      <c r="L1577" s="491"/>
      <c r="M1577" s="491"/>
      <c r="N1577" s="456">
        <v>18229.52</v>
      </c>
      <c r="O1577" s="492"/>
      <c r="P1577" s="430"/>
    </row>
    <row r="1578" spans="1:16" ht="12.75" hidden="1" customHeight="1" outlineLevel="3" x14ac:dyDescent="0.2">
      <c r="A1578" s="233">
        <v>0</v>
      </c>
      <c r="B1578" s="233">
        <v>18</v>
      </c>
      <c r="C1578" s="233">
        <v>17</v>
      </c>
      <c r="D1578" s="234">
        <v>1</v>
      </c>
      <c r="E1578" s="234">
        <v>1</v>
      </c>
      <c r="G1578" s="508" t="s">
        <v>51</v>
      </c>
      <c r="H1578" s="493" t="s">
        <v>1238</v>
      </c>
      <c r="I1578" s="460" t="s">
        <v>6068</v>
      </c>
      <c r="J1578" s="495" t="s">
        <v>816</v>
      </c>
      <c r="K1578" s="496" t="s">
        <v>533</v>
      </c>
      <c r="L1578" s="497">
        <v>1</v>
      </c>
      <c r="M1578" s="497">
        <v>2306.36</v>
      </c>
      <c r="N1578" s="464">
        <v>2306.36</v>
      </c>
      <c r="O1578" s="498" t="s">
        <v>2704</v>
      </c>
      <c r="P1578" s="431" t="s">
        <v>6711</v>
      </c>
    </row>
    <row r="1579" spans="1:16" ht="13.5" hidden="1" customHeight="1" outlineLevel="3" x14ac:dyDescent="0.2">
      <c r="A1579" s="233">
        <v>0</v>
      </c>
      <c r="B1579" s="233">
        <v>18</v>
      </c>
      <c r="C1579" s="233">
        <v>17</v>
      </c>
      <c r="D1579" s="234">
        <v>1</v>
      </c>
      <c r="E1579" s="234">
        <v>2</v>
      </c>
      <c r="G1579" s="508" t="s">
        <v>51</v>
      </c>
      <c r="H1579" s="493" t="s">
        <v>1238</v>
      </c>
      <c r="I1579" s="460" t="s">
        <v>6069</v>
      </c>
      <c r="J1579" s="495" t="s">
        <v>818</v>
      </c>
      <c r="K1579" s="496" t="s">
        <v>533</v>
      </c>
      <c r="L1579" s="497">
        <v>6</v>
      </c>
      <c r="M1579" s="497">
        <v>2653.86</v>
      </c>
      <c r="N1579" s="464">
        <v>15923.16</v>
      </c>
      <c r="O1579" s="498" t="s">
        <v>2704</v>
      </c>
      <c r="P1579" s="431" t="s">
        <v>6711</v>
      </c>
    </row>
    <row r="1580" spans="1:16" ht="13.5" hidden="1" customHeight="1" outlineLevel="2" x14ac:dyDescent="0.2">
      <c r="A1580" s="233">
        <v>0</v>
      </c>
      <c r="B1580" s="233">
        <v>18</v>
      </c>
      <c r="C1580" s="233">
        <v>17</v>
      </c>
      <c r="D1580" s="234">
        <v>2</v>
      </c>
      <c r="E1580" s="234">
        <v>0</v>
      </c>
      <c r="G1580" s="507"/>
      <c r="H1580" s="487" t="s">
        <v>1237</v>
      </c>
      <c r="I1580" s="452" t="s">
        <v>6070</v>
      </c>
      <c r="J1580" s="489" t="s">
        <v>14</v>
      </c>
      <c r="K1580" s="490"/>
      <c r="L1580" s="491"/>
      <c r="M1580" s="491"/>
      <c r="N1580" s="456">
        <v>2100</v>
      </c>
      <c r="O1580" s="492"/>
      <c r="P1580" s="430"/>
    </row>
    <row r="1581" spans="1:16" ht="13.5" hidden="1" customHeight="1" outlineLevel="3" x14ac:dyDescent="0.2">
      <c r="A1581" s="233">
        <v>0</v>
      </c>
      <c r="B1581" s="233">
        <v>18</v>
      </c>
      <c r="C1581" s="233">
        <v>17</v>
      </c>
      <c r="D1581" s="234">
        <v>2</v>
      </c>
      <c r="E1581" s="234">
        <v>1</v>
      </c>
      <c r="G1581" s="508" t="s">
        <v>51</v>
      </c>
      <c r="H1581" s="493" t="s">
        <v>1238</v>
      </c>
      <c r="I1581" s="460" t="s">
        <v>6071</v>
      </c>
      <c r="J1581" s="495" t="s">
        <v>845</v>
      </c>
      <c r="K1581" s="496" t="s">
        <v>533</v>
      </c>
      <c r="L1581" s="497">
        <v>7</v>
      </c>
      <c r="M1581" s="497">
        <v>300</v>
      </c>
      <c r="N1581" s="464">
        <v>2100</v>
      </c>
      <c r="O1581" s="498" t="s">
        <v>2704</v>
      </c>
      <c r="P1581" s="431" t="s">
        <v>6711</v>
      </c>
    </row>
    <row r="1582" spans="1:16" ht="13.5" hidden="1" customHeight="1" outlineLevel="1" x14ac:dyDescent="0.2">
      <c r="A1582" s="233">
        <v>0</v>
      </c>
      <c r="B1582" s="233">
        <v>18</v>
      </c>
      <c r="C1582" s="233">
        <v>18</v>
      </c>
      <c r="D1582" s="234">
        <v>0</v>
      </c>
      <c r="E1582" s="234">
        <v>1</v>
      </c>
      <c r="G1582" s="506"/>
      <c r="H1582" s="481" t="s">
        <v>38</v>
      </c>
      <c r="I1582" s="445" t="s">
        <v>6072</v>
      </c>
      <c r="J1582" s="483" t="s">
        <v>3054</v>
      </c>
      <c r="K1582" s="484"/>
      <c r="L1582" s="485"/>
      <c r="M1582" s="485"/>
      <c r="N1582" s="449">
        <v>39767.32</v>
      </c>
      <c r="O1582" s="486">
        <v>2.3742151337906998</v>
      </c>
      <c r="P1582" s="429"/>
    </row>
    <row r="1583" spans="1:16" ht="12.75" hidden="1" customHeight="1" outlineLevel="2" x14ac:dyDescent="0.2">
      <c r="A1583" s="233">
        <v>0</v>
      </c>
      <c r="B1583" s="233">
        <v>18</v>
      </c>
      <c r="C1583" s="233">
        <v>18</v>
      </c>
      <c r="D1583" s="234">
        <v>1</v>
      </c>
      <c r="E1583" s="234">
        <v>0</v>
      </c>
      <c r="G1583" s="507"/>
      <c r="H1583" s="487" t="s">
        <v>1237</v>
      </c>
      <c r="I1583" s="452" t="s">
        <v>6073</v>
      </c>
      <c r="J1583" s="489" t="s">
        <v>2278</v>
      </c>
      <c r="K1583" s="490"/>
      <c r="L1583" s="491"/>
      <c r="M1583" s="491"/>
      <c r="N1583" s="456">
        <v>32984.04</v>
      </c>
      <c r="O1583" s="492"/>
      <c r="P1583" s="430"/>
    </row>
    <row r="1584" spans="1:16" ht="12.75" hidden="1" customHeight="1" outlineLevel="3" x14ac:dyDescent="0.2">
      <c r="A1584" s="233">
        <v>0</v>
      </c>
      <c r="B1584" s="233">
        <v>18</v>
      </c>
      <c r="C1584" s="233">
        <v>18</v>
      </c>
      <c r="D1584" s="234">
        <v>1</v>
      </c>
      <c r="E1584" s="234">
        <v>1</v>
      </c>
      <c r="G1584" s="508" t="s">
        <v>51</v>
      </c>
      <c r="H1584" s="493" t="s">
        <v>1238</v>
      </c>
      <c r="I1584" s="460" t="s">
        <v>6074</v>
      </c>
      <c r="J1584" s="495" t="s">
        <v>808</v>
      </c>
      <c r="K1584" s="496" t="s">
        <v>533</v>
      </c>
      <c r="L1584" s="497">
        <v>7</v>
      </c>
      <c r="M1584" s="497">
        <v>2306.36</v>
      </c>
      <c r="N1584" s="464">
        <v>16144.52</v>
      </c>
      <c r="O1584" s="498" t="s">
        <v>2704</v>
      </c>
      <c r="P1584" s="431" t="s">
        <v>6711</v>
      </c>
    </row>
    <row r="1585" spans="1:16" ht="12.75" hidden="1" customHeight="1" outlineLevel="3" x14ac:dyDescent="0.2">
      <c r="A1585" s="233">
        <v>0</v>
      </c>
      <c r="B1585" s="233">
        <v>18</v>
      </c>
      <c r="C1585" s="233">
        <v>18</v>
      </c>
      <c r="D1585" s="234">
        <v>1</v>
      </c>
      <c r="E1585" s="234">
        <v>2</v>
      </c>
      <c r="G1585" s="508" t="s">
        <v>51</v>
      </c>
      <c r="H1585" s="493" t="s">
        <v>1238</v>
      </c>
      <c r="I1585" s="460" t="s">
        <v>6075</v>
      </c>
      <c r="J1585" s="495" t="s">
        <v>816</v>
      </c>
      <c r="K1585" s="496" t="s">
        <v>533</v>
      </c>
      <c r="L1585" s="497">
        <v>5</v>
      </c>
      <c r="M1585" s="497">
        <v>2306.36</v>
      </c>
      <c r="N1585" s="464">
        <v>11531.8</v>
      </c>
      <c r="O1585" s="498" t="s">
        <v>2704</v>
      </c>
      <c r="P1585" s="431" t="s">
        <v>6711</v>
      </c>
    </row>
    <row r="1586" spans="1:16" ht="13.5" hidden="1" customHeight="1" outlineLevel="3" x14ac:dyDescent="0.2">
      <c r="A1586" s="233">
        <v>0</v>
      </c>
      <c r="B1586" s="233">
        <v>18</v>
      </c>
      <c r="C1586" s="233">
        <v>18</v>
      </c>
      <c r="D1586" s="234">
        <v>1</v>
      </c>
      <c r="E1586" s="234">
        <v>3</v>
      </c>
      <c r="G1586" s="508" t="s">
        <v>51</v>
      </c>
      <c r="H1586" s="493" t="s">
        <v>1238</v>
      </c>
      <c r="I1586" s="460" t="s">
        <v>6076</v>
      </c>
      <c r="J1586" s="495" t="s">
        <v>818</v>
      </c>
      <c r="K1586" s="496" t="s">
        <v>533</v>
      </c>
      <c r="L1586" s="497">
        <v>2</v>
      </c>
      <c r="M1586" s="497">
        <v>2653.86</v>
      </c>
      <c r="N1586" s="464">
        <v>5307.72</v>
      </c>
      <c r="O1586" s="498" t="s">
        <v>2704</v>
      </c>
      <c r="P1586" s="431" t="s">
        <v>6711</v>
      </c>
    </row>
    <row r="1587" spans="1:16" ht="13.5" hidden="1" customHeight="1" outlineLevel="2" x14ac:dyDescent="0.2">
      <c r="A1587" s="233">
        <v>0</v>
      </c>
      <c r="B1587" s="233">
        <v>18</v>
      </c>
      <c r="C1587" s="233">
        <v>18</v>
      </c>
      <c r="D1587" s="234">
        <v>2</v>
      </c>
      <c r="E1587" s="234">
        <v>0</v>
      </c>
      <c r="G1587" s="507"/>
      <c r="H1587" s="487" t="s">
        <v>1237</v>
      </c>
      <c r="I1587" s="452" t="s">
        <v>6077</v>
      </c>
      <c r="J1587" s="489" t="s">
        <v>2352</v>
      </c>
      <c r="K1587" s="490"/>
      <c r="L1587" s="491"/>
      <c r="M1587" s="491"/>
      <c r="N1587" s="456">
        <v>2583.2800000000002</v>
      </c>
      <c r="O1587" s="492"/>
      <c r="P1587" s="430"/>
    </row>
    <row r="1588" spans="1:16" ht="13.5" hidden="1" customHeight="1" outlineLevel="3" x14ac:dyDescent="0.2">
      <c r="A1588" s="233">
        <v>0</v>
      </c>
      <c r="B1588" s="233">
        <v>18</v>
      </c>
      <c r="C1588" s="233">
        <v>18</v>
      </c>
      <c r="D1588" s="234">
        <v>2</v>
      </c>
      <c r="E1588" s="234">
        <v>1</v>
      </c>
      <c r="G1588" s="508" t="s">
        <v>51</v>
      </c>
      <c r="H1588" s="493" t="s">
        <v>1238</v>
      </c>
      <c r="I1588" s="460" t="s">
        <v>6078</v>
      </c>
      <c r="J1588" s="495" t="s">
        <v>1264</v>
      </c>
      <c r="K1588" s="496" t="s">
        <v>533</v>
      </c>
      <c r="L1588" s="497">
        <v>2</v>
      </c>
      <c r="M1588" s="497">
        <v>1291.6400000000001</v>
      </c>
      <c r="N1588" s="464">
        <v>2583.2800000000002</v>
      </c>
      <c r="O1588" s="498" t="s">
        <v>2710</v>
      </c>
      <c r="P1588" s="431" t="s">
        <v>6711</v>
      </c>
    </row>
    <row r="1589" spans="1:16" ht="13.5" hidden="1" customHeight="1" outlineLevel="2" x14ac:dyDescent="0.2">
      <c r="A1589" s="233">
        <v>0</v>
      </c>
      <c r="B1589" s="233">
        <v>18</v>
      </c>
      <c r="C1589" s="233">
        <v>18</v>
      </c>
      <c r="D1589" s="234">
        <v>3</v>
      </c>
      <c r="E1589" s="234">
        <v>0</v>
      </c>
      <c r="G1589" s="507"/>
      <c r="H1589" s="487" t="s">
        <v>1237</v>
      </c>
      <c r="I1589" s="452" t="s">
        <v>6079</v>
      </c>
      <c r="J1589" s="489" t="s">
        <v>14</v>
      </c>
      <c r="K1589" s="490"/>
      <c r="L1589" s="491"/>
      <c r="M1589" s="491"/>
      <c r="N1589" s="456">
        <v>4200</v>
      </c>
      <c r="O1589" s="492"/>
      <c r="P1589" s="430"/>
    </row>
    <row r="1590" spans="1:16" ht="13.5" hidden="1" customHeight="1" outlineLevel="3" x14ac:dyDescent="0.2">
      <c r="A1590" s="233">
        <v>0</v>
      </c>
      <c r="B1590" s="233">
        <v>18</v>
      </c>
      <c r="C1590" s="233">
        <v>18</v>
      </c>
      <c r="D1590" s="234">
        <v>3</v>
      </c>
      <c r="E1590" s="234">
        <v>1</v>
      </c>
      <c r="G1590" s="508" t="s">
        <v>51</v>
      </c>
      <c r="H1590" s="493" t="s">
        <v>1238</v>
      </c>
      <c r="I1590" s="460" t="s">
        <v>6080</v>
      </c>
      <c r="J1590" s="495" t="s">
        <v>845</v>
      </c>
      <c r="K1590" s="496" t="s">
        <v>533</v>
      </c>
      <c r="L1590" s="497">
        <v>14</v>
      </c>
      <c r="M1590" s="497">
        <v>300</v>
      </c>
      <c r="N1590" s="464">
        <v>4200</v>
      </c>
      <c r="O1590" s="498" t="s">
        <v>2704</v>
      </c>
      <c r="P1590" s="431" t="s">
        <v>6711</v>
      </c>
    </row>
    <row r="1591" spans="1:16" ht="13.5" hidden="1" customHeight="1" outlineLevel="1" x14ac:dyDescent="0.2">
      <c r="A1591" s="233">
        <v>0</v>
      </c>
      <c r="B1591" s="233">
        <v>18</v>
      </c>
      <c r="C1591" s="233">
        <v>19</v>
      </c>
      <c r="D1591" s="234">
        <v>0</v>
      </c>
      <c r="E1591" s="234">
        <v>1</v>
      </c>
      <c r="G1591" s="506"/>
      <c r="H1591" s="481" t="s">
        <v>38</v>
      </c>
      <c r="I1591" s="445" t="s">
        <v>6081</v>
      </c>
      <c r="J1591" s="483" t="s">
        <v>3055</v>
      </c>
      <c r="K1591" s="484"/>
      <c r="L1591" s="485"/>
      <c r="M1591" s="485"/>
      <c r="N1591" s="449">
        <v>318138.56</v>
      </c>
      <c r="O1591" s="486">
        <v>18.993721070325599</v>
      </c>
      <c r="P1591" s="429"/>
    </row>
    <row r="1592" spans="1:16" ht="12.75" hidden="1" customHeight="1" outlineLevel="2" x14ac:dyDescent="0.2">
      <c r="A1592" s="233">
        <v>0</v>
      </c>
      <c r="B1592" s="233">
        <v>18</v>
      </c>
      <c r="C1592" s="233">
        <v>19</v>
      </c>
      <c r="D1592" s="234">
        <v>1</v>
      </c>
      <c r="E1592" s="234">
        <v>0</v>
      </c>
      <c r="G1592" s="507"/>
      <c r="H1592" s="487" t="s">
        <v>1237</v>
      </c>
      <c r="I1592" s="452" t="s">
        <v>6082</v>
      </c>
      <c r="J1592" s="489" t="s">
        <v>2278</v>
      </c>
      <c r="K1592" s="490"/>
      <c r="L1592" s="491"/>
      <c r="M1592" s="491"/>
      <c r="N1592" s="456">
        <v>263872.32</v>
      </c>
      <c r="O1592" s="492"/>
      <c r="P1592" s="430"/>
    </row>
    <row r="1593" spans="1:16" ht="12.75" hidden="1" customHeight="1" outlineLevel="3" x14ac:dyDescent="0.2">
      <c r="A1593" s="233">
        <v>0</v>
      </c>
      <c r="B1593" s="233">
        <v>18</v>
      </c>
      <c r="C1593" s="233">
        <v>19</v>
      </c>
      <c r="D1593" s="234">
        <v>1</v>
      </c>
      <c r="E1593" s="234">
        <v>1</v>
      </c>
      <c r="G1593" s="508" t="s">
        <v>51</v>
      </c>
      <c r="H1593" s="493" t="s">
        <v>1238</v>
      </c>
      <c r="I1593" s="460" t="s">
        <v>6083</v>
      </c>
      <c r="J1593" s="495" t="s">
        <v>808</v>
      </c>
      <c r="K1593" s="496" t="s">
        <v>533</v>
      </c>
      <c r="L1593" s="497">
        <v>56</v>
      </c>
      <c r="M1593" s="497">
        <v>2306.36</v>
      </c>
      <c r="N1593" s="464">
        <v>129156.16</v>
      </c>
      <c r="O1593" s="498" t="s">
        <v>2704</v>
      </c>
      <c r="P1593" s="431" t="s">
        <v>6711</v>
      </c>
    </row>
    <row r="1594" spans="1:16" ht="12.75" hidden="1" customHeight="1" outlineLevel="3" x14ac:dyDescent="0.2">
      <c r="A1594" s="233">
        <v>0</v>
      </c>
      <c r="B1594" s="233">
        <v>18</v>
      </c>
      <c r="C1594" s="233">
        <v>19</v>
      </c>
      <c r="D1594" s="234">
        <v>1</v>
      </c>
      <c r="E1594" s="234">
        <v>2</v>
      </c>
      <c r="G1594" s="508" t="s">
        <v>51</v>
      </c>
      <c r="H1594" s="493" t="s">
        <v>1238</v>
      </c>
      <c r="I1594" s="460" t="s">
        <v>6084</v>
      </c>
      <c r="J1594" s="495" t="s">
        <v>816</v>
      </c>
      <c r="K1594" s="496" t="s">
        <v>533</v>
      </c>
      <c r="L1594" s="497">
        <v>40</v>
      </c>
      <c r="M1594" s="497">
        <v>2306.36</v>
      </c>
      <c r="N1594" s="464">
        <v>92254.399999999994</v>
      </c>
      <c r="O1594" s="498" t="s">
        <v>2704</v>
      </c>
      <c r="P1594" s="431" t="s">
        <v>6711</v>
      </c>
    </row>
    <row r="1595" spans="1:16" ht="13.5" hidden="1" customHeight="1" outlineLevel="3" x14ac:dyDescent="0.2">
      <c r="A1595" s="233">
        <v>0</v>
      </c>
      <c r="B1595" s="233">
        <v>18</v>
      </c>
      <c r="C1595" s="233">
        <v>19</v>
      </c>
      <c r="D1595" s="234">
        <v>1</v>
      </c>
      <c r="E1595" s="234">
        <v>3</v>
      </c>
      <c r="G1595" s="508" t="s">
        <v>51</v>
      </c>
      <c r="H1595" s="493" t="s">
        <v>1238</v>
      </c>
      <c r="I1595" s="460" t="s">
        <v>6085</v>
      </c>
      <c r="J1595" s="495" t="s">
        <v>818</v>
      </c>
      <c r="K1595" s="496" t="s">
        <v>533</v>
      </c>
      <c r="L1595" s="497">
        <v>16</v>
      </c>
      <c r="M1595" s="497">
        <v>2653.86</v>
      </c>
      <c r="N1595" s="464">
        <v>42461.760000000002</v>
      </c>
      <c r="O1595" s="498" t="s">
        <v>2704</v>
      </c>
      <c r="P1595" s="431" t="s">
        <v>6711</v>
      </c>
    </row>
    <row r="1596" spans="1:16" ht="13.5" hidden="1" customHeight="1" outlineLevel="2" x14ac:dyDescent="0.2">
      <c r="A1596" s="233">
        <v>0</v>
      </c>
      <c r="B1596" s="233">
        <v>18</v>
      </c>
      <c r="C1596" s="233">
        <v>19</v>
      </c>
      <c r="D1596" s="234">
        <v>2</v>
      </c>
      <c r="E1596" s="234">
        <v>0</v>
      </c>
      <c r="G1596" s="507"/>
      <c r="H1596" s="487" t="s">
        <v>1237</v>
      </c>
      <c r="I1596" s="452" t="s">
        <v>6086</v>
      </c>
      <c r="J1596" s="489" t="s">
        <v>2352</v>
      </c>
      <c r="K1596" s="490"/>
      <c r="L1596" s="491"/>
      <c r="M1596" s="491"/>
      <c r="N1596" s="456">
        <v>20666.240000000002</v>
      </c>
      <c r="O1596" s="492"/>
      <c r="P1596" s="430"/>
    </row>
    <row r="1597" spans="1:16" ht="13.5" hidden="1" customHeight="1" outlineLevel="3" x14ac:dyDescent="0.2">
      <c r="A1597" s="233">
        <v>0</v>
      </c>
      <c r="B1597" s="233">
        <v>18</v>
      </c>
      <c r="C1597" s="233">
        <v>19</v>
      </c>
      <c r="D1597" s="234">
        <v>2</v>
      </c>
      <c r="E1597" s="234">
        <v>1</v>
      </c>
      <c r="G1597" s="508" t="s">
        <v>51</v>
      </c>
      <c r="H1597" s="493" t="s">
        <v>1238</v>
      </c>
      <c r="I1597" s="460" t="s">
        <v>6087</v>
      </c>
      <c r="J1597" s="495" t="s">
        <v>1264</v>
      </c>
      <c r="K1597" s="496" t="s">
        <v>533</v>
      </c>
      <c r="L1597" s="497">
        <v>16</v>
      </c>
      <c r="M1597" s="497">
        <v>1291.6400000000001</v>
      </c>
      <c r="N1597" s="464">
        <v>20666.240000000002</v>
      </c>
      <c r="O1597" s="498" t="s">
        <v>2710</v>
      </c>
      <c r="P1597" s="431" t="s">
        <v>6711</v>
      </c>
    </row>
    <row r="1598" spans="1:16" ht="13.5" hidden="1" customHeight="1" outlineLevel="2" x14ac:dyDescent="0.2">
      <c r="A1598" s="233">
        <v>0</v>
      </c>
      <c r="B1598" s="233">
        <v>18</v>
      </c>
      <c r="C1598" s="233">
        <v>19</v>
      </c>
      <c r="D1598" s="234">
        <v>3</v>
      </c>
      <c r="E1598" s="234">
        <v>0</v>
      </c>
      <c r="G1598" s="507"/>
      <c r="H1598" s="487" t="s">
        <v>1237</v>
      </c>
      <c r="I1598" s="452" t="s">
        <v>6088</v>
      </c>
      <c r="J1598" s="489" t="s">
        <v>14</v>
      </c>
      <c r="K1598" s="490"/>
      <c r="L1598" s="491"/>
      <c r="M1598" s="491"/>
      <c r="N1598" s="456">
        <v>33600</v>
      </c>
      <c r="O1598" s="492"/>
      <c r="P1598" s="430"/>
    </row>
    <row r="1599" spans="1:16" ht="13.5" hidden="1" customHeight="1" outlineLevel="3" x14ac:dyDescent="0.2">
      <c r="A1599" s="233">
        <v>0</v>
      </c>
      <c r="B1599" s="233">
        <v>18</v>
      </c>
      <c r="C1599" s="233">
        <v>19</v>
      </c>
      <c r="D1599" s="234">
        <v>3</v>
      </c>
      <c r="E1599" s="234">
        <v>1</v>
      </c>
      <c r="G1599" s="508" t="s">
        <v>51</v>
      </c>
      <c r="H1599" s="493" t="s">
        <v>1238</v>
      </c>
      <c r="I1599" s="460" t="s">
        <v>6089</v>
      </c>
      <c r="J1599" s="495" t="s">
        <v>845</v>
      </c>
      <c r="K1599" s="496" t="s">
        <v>533</v>
      </c>
      <c r="L1599" s="497">
        <v>112</v>
      </c>
      <c r="M1599" s="497">
        <v>300</v>
      </c>
      <c r="N1599" s="464">
        <v>33600</v>
      </c>
      <c r="O1599" s="498" t="s">
        <v>2704</v>
      </c>
      <c r="P1599" s="431" t="s">
        <v>6711</v>
      </c>
    </row>
    <row r="1600" spans="1:16" ht="13.5" hidden="1" customHeight="1" outlineLevel="1" x14ac:dyDescent="0.2">
      <c r="A1600" s="233">
        <v>0</v>
      </c>
      <c r="B1600" s="233">
        <v>18</v>
      </c>
      <c r="C1600" s="233">
        <v>20</v>
      </c>
      <c r="D1600" s="234">
        <v>0</v>
      </c>
      <c r="E1600" s="234">
        <v>1</v>
      </c>
      <c r="G1600" s="506"/>
      <c r="H1600" s="481" t="s">
        <v>38</v>
      </c>
      <c r="I1600" s="445" t="s">
        <v>6090</v>
      </c>
      <c r="J1600" s="483" t="s">
        <v>3056</v>
      </c>
      <c r="K1600" s="484"/>
      <c r="L1600" s="485"/>
      <c r="M1600" s="485"/>
      <c r="N1600" s="449">
        <v>724140.12</v>
      </c>
      <c r="O1600" s="486">
        <v>43.233097726701502</v>
      </c>
      <c r="P1600" s="429"/>
    </row>
    <row r="1601" spans="1:16" ht="12.75" hidden="1" customHeight="1" outlineLevel="2" x14ac:dyDescent="0.2">
      <c r="A1601" s="233">
        <v>0</v>
      </c>
      <c r="B1601" s="233">
        <v>18</v>
      </c>
      <c r="C1601" s="233">
        <v>20</v>
      </c>
      <c r="D1601" s="234">
        <v>1</v>
      </c>
      <c r="E1601" s="234">
        <v>0</v>
      </c>
      <c r="G1601" s="507"/>
      <c r="H1601" s="487" t="s">
        <v>1237</v>
      </c>
      <c r="I1601" s="452" t="s">
        <v>6091</v>
      </c>
      <c r="J1601" s="489" t="s">
        <v>2278</v>
      </c>
      <c r="K1601" s="490"/>
      <c r="L1601" s="491"/>
      <c r="M1601" s="491"/>
      <c r="N1601" s="456">
        <v>616524.04</v>
      </c>
      <c r="O1601" s="492"/>
      <c r="P1601" s="430"/>
    </row>
    <row r="1602" spans="1:16" ht="12.75" hidden="1" customHeight="1" outlineLevel="3" x14ac:dyDescent="0.2">
      <c r="A1602" s="233">
        <v>0</v>
      </c>
      <c r="B1602" s="233">
        <v>18</v>
      </c>
      <c r="C1602" s="233">
        <v>20</v>
      </c>
      <c r="D1602" s="234">
        <v>1</v>
      </c>
      <c r="E1602" s="234">
        <v>1</v>
      </c>
      <c r="G1602" s="508" t="s">
        <v>51</v>
      </c>
      <c r="H1602" s="493" t="s">
        <v>1238</v>
      </c>
      <c r="I1602" s="460" t="s">
        <v>6092</v>
      </c>
      <c r="J1602" s="495" t="s">
        <v>808</v>
      </c>
      <c r="K1602" s="496" t="s">
        <v>533</v>
      </c>
      <c r="L1602" s="497">
        <v>132</v>
      </c>
      <c r="M1602" s="497">
        <v>2306.36</v>
      </c>
      <c r="N1602" s="464">
        <v>304439.52</v>
      </c>
      <c r="O1602" s="498" t="s">
        <v>2704</v>
      </c>
      <c r="P1602" s="431" t="s">
        <v>6711</v>
      </c>
    </row>
    <row r="1603" spans="1:16" ht="12.75" hidden="1" customHeight="1" outlineLevel="3" x14ac:dyDescent="0.2">
      <c r="A1603" s="233">
        <v>0</v>
      </c>
      <c r="B1603" s="233">
        <v>18</v>
      </c>
      <c r="C1603" s="233">
        <v>20</v>
      </c>
      <c r="D1603" s="234">
        <v>1</v>
      </c>
      <c r="E1603" s="234">
        <v>2</v>
      </c>
      <c r="G1603" s="508" t="s">
        <v>51</v>
      </c>
      <c r="H1603" s="493" t="s">
        <v>1238</v>
      </c>
      <c r="I1603" s="460" t="s">
        <v>6093</v>
      </c>
      <c r="J1603" s="495" t="s">
        <v>816</v>
      </c>
      <c r="K1603" s="496" t="s">
        <v>533</v>
      </c>
      <c r="L1603" s="497">
        <v>110</v>
      </c>
      <c r="M1603" s="497">
        <v>2306.36</v>
      </c>
      <c r="N1603" s="464">
        <v>253699.6</v>
      </c>
      <c r="O1603" s="498" t="s">
        <v>2704</v>
      </c>
      <c r="P1603" s="431" t="s">
        <v>6711</v>
      </c>
    </row>
    <row r="1604" spans="1:16" ht="13.5" hidden="1" customHeight="1" outlineLevel="3" x14ac:dyDescent="0.2">
      <c r="A1604" s="233">
        <v>0</v>
      </c>
      <c r="B1604" s="233">
        <v>18</v>
      </c>
      <c r="C1604" s="233">
        <v>20</v>
      </c>
      <c r="D1604" s="234">
        <v>1</v>
      </c>
      <c r="E1604" s="234">
        <v>3</v>
      </c>
      <c r="G1604" s="508" t="s">
        <v>51</v>
      </c>
      <c r="H1604" s="493" t="s">
        <v>1238</v>
      </c>
      <c r="I1604" s="460" t="s">
        <v>6094</v>
      </c>
      <c r="J1604" s="495" t="s">
        <v>818</v>
      </c>
      <c r="K1604" s="496" t="s">
        <v>533</v>
      </c>
      <c r="L1604" s="497">
        <v>22</v>
      </c>
      <c r="M1604" s="497">
        <v>2653.86</v>
      </c>
      <c r="N1604" s="464">
        <v>58384.92</v>
      </c>
      <c r="O1604" s="498" t="s">
        <v>2704</v>
      </c>
      <c r="P1604" s="431" t="s">
        <v>6711</v>
      </c>
    </row>
    <row r="1605" spans="1:16" ht="13.5" hidden="1" customHeight="1" outlineLevel="2" x14ac:dyDescent="0.2">
      <c r="A1605" s="233">
        <v>0</v>
      </c>
      <c r="B1605" s="233">
        <v>18</v>
      </c>
      <c r="C1605" s="233">
        <v>20</v>
      </c>
      <c r="D1605" s="234">
        <v>2</v>
      </c>
      <c r="E1605" s="234">
        <v>0</v>
      </c>
      <c r="G1605" s="507"/>
      <c r="H1605" s="487" t="s">
        <v>1237</v>
      </c>
      <c r="I1605" s="452" t="s">
        <v>6095</v>
      </c>
      <c r="J1605" s="489" t="s">
        <v>2352</v>
      </c>
      <c r="K1605" s="490"/>
      <c r="L1605" s="491"/>
      <c r="M1605" s="491"/>
      <c r="N1605" s="456">
        <v>28416.080000000002</v>
      </c>
      <c r="O1605" s="492"/>
      <c r="P1605" s="430"/>
    </row>
    <row r="1606" spans="1:16" ht="13.5" hidden="1" customHeight="1" outlineLevel="3" x14ac:dyDescent="0.2">
      <c r="A1606" s="233">
        <v>0</v>
      </c>
      <c r="B1606" s="233">
        <v>18</v>
      </c>
      <c r="C1606" s="233">
        <v>20</v>
      </c>
      <c r="D1606" s="234">
        <v>2</v>
      </c>
      <c r="E1606" s="234">
        <v>1</v>
      </c>
      <c r="G1606" s="508" t="s">
        <v>51</v>
      </c>
      <c r="H1606" s="493" t="s">
        <v>1238</v>
      </c>
      <c r="I1606" s="460" t="s">
        <v>6096</v>
      </c>
      <c r="J1606" s="495" t="s">
        <v>1264</v>
      </c>
      <c r="K1606" s="496" t="s">
        <v>533</v>
      </c>
      <c r="L1606" s="497">
        <v>22</v>
      </c>
      <c r="M1606" s="497">
        <v>1291.6400000000001</v>
      </c>
      <c r="N1606" s="464">
        <v>28416.080000000002</v>
      </c>
      <c r="O1606" s="498" t="s">
        <v>2710</v>
      </c>
      <c r="P1606" s="431" t="s">
        <v>6711</v>
      </c>
    </row>
    <row r="1607" spans="1:16" ht="13.5" hidden="1" customHeight="1" outlineLevel="2" x14ac:dyDescent="0.2">
      <c r="A1607" s="233">
        <v>0</v>
      </c>
      <c r="B1607" s="233">
        <v>18</v>
      </c>
      <c r="C1607" s="233">
        <v>20</v>
      </c>
      <c r="D1607" s="234">
        <v>3</v>
      </c>
      <c r="E1607" s="234">
        <v>0</v>
      </c>
      <c r="G1607" s="507"/>
      <c r="H1607" s="487" t="s">
        <v>1237</v>
      </c>
      <c r="I1607" s="452" t="s">
        <v>6097</v>
      </c>
      <c r="J1607" s="489" t="s">
        <v>14</v>
      </c>
      <c r="K1607" s="490"/>
      <c r="L1607" s="491"/>
      <c r="M1607" s="491"/>
      <c r="N1607" s="456">
        <v>79200</v>
      </c>
      <c r="O1607" s="492"/>
      <c r="P1607" s="430"/>
    </row>
    <row r="1608" spans="1:16" ht="13.5" hidden="1" customHeight="1" outlineLevel="3" x14ac:dyDescent="0.2">
      <c r="A1608" s="233">
        <v>0</v>
      </c>
      <c r="B1608" s="233">
        <v>18</v>
      </c>
      <c r="C1608" s="233">
        <v>20</v>
      </c>
      <c r="D1608" s="234">
        <v>3</v>
      </c>
      <c r="E1608" s="234">
        <v>1</v>
      </c>
      <c r="G1608" s="508" t="s">
        <v>51</v>
      </c>
      <c r="H1608" s="493" t="s">
        <v>1238</v>
      </c>
      <c r="I1608" s="460" t="s">
        <v>6098</v>
      </c>
      <c r="J1608" s="495" t="s">
        <v>845</v>
      </c>
      <c r="K1608" s="496" t="s">
        <v>533</v>
      </c>
      <c r="L1608" s="497">
        <v>264</v>
      </c>
      <c r="M1608" s="497">
        <v>300</v>
      </c>
      <c r="N1608" s="464">
        <v>79200</v>
      </c>
      <c r="O1608" s="498" t="s">
        <v>2704</v>
      </c>
      <c r="P1608" s="431" t="s">
        <v>6711</v>
      </c>
    </row>
    <row r="1609" spans="1:16" ht="13.5" hidden="1" customHeight="1" outlineLevel="1" x14ac:dyDescent="0.2">
      <c r="A1609" s="233">
        <v>0</v>
      </c>
      <c r="B1609" s="233">
        <v>18</v>
      </c>
      <c r="C1609" s="233">
        <v>21</v>
      </c>
      <c r="D1609" s="234">
        <v>0</v>
      </c>
      <c r="E1609" s="234">
        <v>1</v>
      </c>
      <c r="G1609" s="506"/>
      <c r="H1609" s="481" t="s">
        <v>38</v>
      </c>
      <c r="I1609" s="445" t="s">
        <v>6099</v>
      </c>
      <c r="J1609" s="483" t="s">
        <v>3057</v>
      </c>
      <c r="K1609" s="484"/>
      <c r="L1609" s="485"/>
      <c r="M1609" s="485"/>
      <c r="N1609" s="449">
        <v>45947.26</v>
      </c>
      <c r="O1609" s="486">
        <v>2.74317404462297</v>
      </c>
      <c r="P1609" s="429"/>
    </row>
    <row r="1610" spans="1:16" ht="12.75" hidden="1" customHeight="1" outlineLevel="2" x14ac:dyDescent="0.2">
      <c r="A1610" s="233">
        <v>0</v>
      </c>
      <c r="B1610" s="233">
        <v>18</v>
      </c>
      <c r="C1610" s="233">
        <v>21</v>
      </c>
      <c r="D1610" s="234">
        <v>1</v>
      </c>
      <c r="E1610" s="234">
        <v>0</v>
      </c>
      <c r="G1610" s="507"/>
      <c r="H1610" s="487" t="s">
        <v>1237</v>
      </c>
      <c r="I1610" s="452" t="s">
        <v>6100</v>
      </c>
      <c r="J1610" s="489" t="s">
        <v>2278</v>
      </c>
      <c r="K1610" s="490"/>
      <c r="L1610" s="491"/>
      <c r="M1610" s="491"/>
      <c r="N1610" s="456">
        <v>39555.620000000003</v>
      </c>
      <c r="O1610" s="492"/>
      <c r="P1610" s="430"/>
    </row>
    <row r="1611" spans="1:16" ht="12.75" hidden="1" customHeight="1" outlineLevel="3" x14ac:dyDescent="0.2">
      <c r="A1611" s="233">
        <v>0</v>
      </c>
      <c r="B1611" s="233">
        <v>18</v>
      </c>
      <c r="C1611" s="233">
        <v>21</v>
      </c>
      <c r="D1611" s="234">
        <v>1</v>
      </c>
      <c r="E1611" s="234">
        <v>1</v>
      </c>
      <c r="G1611" s="508" t="s">
        <v>51</v>
      </c>
      <c r="H1611" s="493" t="s">
        <v>1238</v>
      </c>
      <c r="I1611" s="460" t="s">
        <v>6101</v>
      </c>
      <c r="J1611" s="495" t="s">
        <v>808</v>
      </c>
      <c r="K1611" s="496" t="s">
        <v>533</v>
      </c>
      <c r="L1611" s="497">
        <v>8</v>
      </c>
      <c r="M1611" s="497">
        <v>2306.36</v>
      </c>
      <c r="N1611" s="464">
        <v>18450.88</v>
      </c>
      <c r="O1611" s="498" t="s">
        <v>2704</v>
      </c>
      <c r="P1611" s="431" t="s">
        <v>6711</v>
      </c>
    </row>
    <row r="1612" spans="1:16" ht="12.75" hidden="1" customHeight="1" outlineLevel="3" x14ac:dyDescent="0.2">
      <c r="A1612" s="233">
        <v>0</v>
      </c>
      <c r="B1612" s="233">
        <v>18</v>
      </c>
      <c r="C1612" s="233">
        <v>21</v>
      </c>
      <c r="D1612" s="234">
        <v>1</v>
      </c>
      <c r="E1612" s="234">
        <v>2</v>
      </c>
      <c r="G1612" s="508" t="s">
        <v>51</v>
      </c>
      <c r="H1612" s="493" t="s">
        <v>1238</v>
      </c>
      <c r="I1612" s="460" t="s">
        <v>6102</v>
      </c>
      <c r="J1612" s="495" t="s">
        <v>816</v>
      </c>
      <c r="K1612" s="496" t="s">
        <v>533</v>
      </c>
      <c r="L1612" s="497">
        <v>8</v>
      </c>
      <c r="M1612" s="497">
        <v>2306.36</v>
      </c>
      <c r="N1612" s="464">
        <v>18450.88</v>
      </c>
      <c r="O1612" s="498" t="s">
        <v>2704</v>
      </c>
      <c r="P1612" s="431" t="s">
        <v>6711</v>
      </c>
    </row>
    <row r="1613" spans="1:16" ht="13.5" hidden="1" customHeight="1" outlineLevel="3" x14ac:dyDescent="0.2">
      <c r="A1613" s="233">
        <v>0</v>
      </c>
      <c r="B1613" s="233">
        <v>18</v>
      </c>
      <c r="C1613" s="233">
        <v>21</v>
      </c>
      <c r="D1613" s="234">
        <v>1</v>
      </c>
      <c r="E1613" s="234">
        <v>3</v>
      </c>
      <c r="G1613" s="508" t="s">
        <v>51</v>
      </c>
      <c r="H1613" s="493" t="s">
        <v>1238</v>
      </c>
      <c r="I1613" s="460" t="s">
        <v>6103</v>
      </c>
      <c r="J1613" s="495" t="s">
        <v>818</v>
      </c>
      <c r="K1613" s="496" t="s">
        <v>533</v>
      </c>
      <c r="L1613" s="497">
        <v>1</v>
      </c>
      <c r="M1613" s="497">
        <v>2653.86</v>
      </c>
      <c r="N1613" s="464">
        <v>2653.86</v>
      </c>
      <c r="O1613" s="498" t="s">
        <v>2704</v>
      </c>
      <c r="P1613" s="431" t="s">
        <v>6711</v>
      </c>
    </row>
    <row r="1614" spans="1:16" ht="13.5" hidden="1" customHeight="1" outlineLevel="2" x14ac:dyDescent="0.2">
      <c r="A1614" s="233">
        <v>0</v>
      </c>
      <c r="B1614" s="233">
        <v>18</v>
      </c>
      <c r="C1614" s="233">
        <v>21</v>
      </c>
      <c r="D1614" s="234">
        <v>2</v>
      </c>
      <c r="E1614" s="234">
        <v>0</v>
      </c>
      <c r="G1614" s="507"/>
      <c r="H1614" s="487" t="s">
        <v>1237</v>
      </c>
      <c r="I1614" s="452" t="s">
        <v>6104</v>
      </c>
      <c r="J1614" s="489" t="s">
        <v>2352</v>
      </c>
      <c r="K1614" s="490"/>
      <c r="L1614" s="491"/>
      <c r="M1614" s="491"/>
      <c r="N1614" s="456">
        <v>1291.6400000000001</v>
      </c>
      <c r="O1614" s="492"/>
      <c r="P1614" s="430"/>
    </row>
    <row r="1615" spans="1:16" ht="13.5" hidden="1" customHeight="1" outlineLevel="3" x14ac:dyDescent="0.2">
      <c r="A1615" s="233">
        <v>0</v>
      </c>
      <c r="B1615" s="233">
        <v>18</v>
      </c>
      <c r="C1615" s="233">
        <v>21</v>
      </c>
      <c r="D1615" s="234">
        <v>2</v>
      </c>
      <c r="E1615" s="234">
        <v>1</v>
      </c>
      <c r="G1615" s="508" t="s">
        <v>51</v>
      </c>
      <c r="H1615" s="493" t="s">
        <v>1238</v>
      </c>
      <c r="I1615" s="460" t="s">
        <v>6105</v>
      </c>
      <c r="J1615" s="495" t="s">
        <v>1264</v>
      </c>
      <c r="K1615" s="496" t="s">
        <v>533</v>
      </c>
      <c r="L1615" s="497">
        <v>1</v>
      </c>
      <c r="M1615" s="497">
        <v>1291.6400000000001</v>
      </c>
      <c r="N1615" s="464">
        <v>1291.6400000000001</v>
      </c>
      <c r="O1615" s="498" t="s">
        <v>2710</v>
      </c>
      <c r="P1615" s="431" t="s">
        <v>6711</v>
      </c>
    </row>
    <row r="1616" spans="1:16" ht="13.5" hidden="1" customHeight="1" outlineLevel="2" x14ac:dyDescent="0.2">
      <c r="A1616" s="233">
        <v>0</v>
      </c>
      <c r="B1616" s="233">
        <v>18</v>
      </c>
      <c r="C1616" s="233">
        <v>21</v>
      </c>
      <c r="D1616" s="234">
        <v>3</v>
      </c>
      <c r="E1616" s="234">
        <v>0</v>
      </c>
      <c r="G1616" s="507"/>
      <c r="H1616" s="487" t="s">
        <v>1237</v>
      </c>
      <c r="I1616" s="452" t="s">
        <v>6106</v>
      </c>
      <c r="J1616" s="489" t="s">
        <v>14</v>
      </c>
      <c r="K1616" s="490"/>
      <c r="L1616" s="491"/>
      <c r="M1616" s="491"/>
      <c r="N1616" s="456">
        <v>5100</v>
      </c>
      <c r="O1616" s="492"/>
      <c r="P1616" s="430"/>
    </row>
    <row r="1617" spans="1:16" ht="13.5" hidden="1" customHeight="1" outlineLevel="3" x14ac:dyDescent="0.2">
      <c r="A1617" s="233">
        <v>0</v>
      </c>
      <c r="B1617" s="233">
        <v>18</v>
      </c>
      <c r="C1617" s="233">
        <v>21</v>
      </c>
      <c r="D1617" s="234">
        <v>3</v>
      </c>
      <c r="E1617" s="234">
        <v>1</v>
      </c>
      <c r="G1617" s="508" t="s">
        <v>51</v>
      </c>
      <c r="H1617" s="493" t="s">
        <v>1238</v>
      </c>
      <c r="I1617" s="460" t="s">
        <v>6107</v>
      </c>
      <c r="J1617" s="495" t="s">
        <v>845</v>
      </c>
      <c r="K1617" s="496" t="s">
        <v>533</v>
      </c>
      <c r="L1617" s="497">
        <v>17</v>
      </c>
      <c r="M1617" s="497">
        <v>300</v>
      </c>
      <c r="N1617" s="464">
        <v>5100</v>
      </c>
      <c r="O1617" s="498" t="s">
        <v>2704</v>
      </c>
      <c r="P1617" s="431" t="s">
        <v>6711</v>
      </c>
    </row>
    <row r="1618" spans="1:16" ht="13.5" hidden="1" customHeight="1" outlineLevel="1" x14ac:dyDescent="0.2">
      <c r="A1618" s="233">
        <v>0</v>
      </c>
      <c r="B1618" s="233">
        <v>18</v>
      </c>
      <c r="C1618" s="233">
        <v>22</v>
      </c>
      <c r="D1618" s="234">
        <v>0</v>
      </c>
      <c r="E1618" s="234">
        <v>1</v>
      </c>
      <c r="G1618" s="506"/>
      <c r="H1618" s="481" t="s">
        <v>38</v>
      </c>
      <c r="I1618" s="445" t="s">
        <v>6108</v>
      </c>
      <c r="J1618" s="483" t="s">
        <v>3058</v>
      </c>
      <c r="K1618" s="484"/>
      <c r="L1618" s="485"/>
      <c r="M1618" s="485"/>
      <c r="N1618" s="449">
        <v>10772.94</v>
      </c>
      <c r="O1618" s="486">
        <v>0.64317326848827505</v>
      </c>
      <c r="P1618" s="429"/>
    </row>
    <row r="1619" spans="1:16" ht="12.75" hidden="1" customHeight="1" outlineLevel="2" x14ac:dyDescent="0.2">
      <c r="A1619" s="233">
        <v>0</v>
      </c>
      <c r="B1619" s="233">
        <v>18</v>
      </c>
      <c r="C1619" s="233">
        <v>22</v>
      </c>
      <c r="D1619" s="234">
        <v>1</v>
      </c>
      <c r="E1619" s="234">
        <v>0</v>
      </c>
      <c r="G1619" s="507"/>
      <c r="H1619" s="487" t="s">
        <v>1237</v>
      </c>
      <c r="I1619" s="452" t="s">
        <v>6109</v>
      </c>
      <c r="J1619" s="489" t="s">
        <v>2278</v>
      </c>
      <c r="K1619" s="490"/>
      <c r="L1619" s="491"/>
      <c r="M1619" s="491"/>
      <c r="N1619" s="456">
        <v>9572.94</v>
      </c>
      <c r="O1619" s="492"/>
      <c r="P1619" s="430"/>
    </row>
    <row r="1620" spans="1:16" ht="12.75" hidden="1" customHeight="1" outlineLevel="3" x14ac:dyDescent="0.2">
      <c r="A1620" s="233">
        <v>0</v>
      </c>
      <c r="B1620" s="233">
        <v>18</v>
      </c>
      <c r="C1620" s="233">
        <v>22</v>
      </c>
      <c r="D1620" s="234">
        <v>1</v>
      </c>
      <c r="E1620" s="234">
        <v>1</v>
      </c>
      <c r="G1620" s="508" t="s">
        <v>51</v>
      </c>
      <c r="H1620" s="493" t="s">
        <v>1238</v>
      </c>
      <c r="I1620" s="460" t="s">
        <v>6110</v>
      </c>
      <c r="J1620" s="495" t="s">
        <v>808</v>
      </c>
      <c r="K1620" s="496" t="s">
        <v>533</v>
      </c>
      <c r="L1620" s="497">
        <v>1</v>
      </c>
      <c r="M1620" s="497">
        <v>2306.36</v>
      </c>
      <c r="N1620" s="464">
        <v>2306.36</v>
      </c>
      <c r="O1620" s="498" t="s">
        <v>2704</v>
      </c>
      <c r="P1620" s="431" t="s">
        <v>6711</v>
      </c>
    </row>
    <row r="1621" spans="1:16" ht="12.75" hidden="1" customHeight="1" outlineLevel="3" x14ac:dyDescent="0.2">
      <c r="A1621" s="233">
        <v>0</v>
      </c>
      <c r="B1621" s="233">
        <v>18</v>
      </c>
      <c r="C1621" s="233">
        <v>22</v>
      </c>
      <c r="D1621" s="234">
        <v>1</v>
      </c>
      <c r="E1621" s="234">
        <v>2</v>
      </c>
      <c r="G1621" s="508" t="s">
        <v>51</v>
      </c>
      <c r="H1621" s="493" t="s">
        <v>1238</v>
      </c>
      <c r="I1621" s="460" t="s">
        <v>6111</v>
      </c>
      <c r="J1621" s="495" t="s">
        <v>816</v>
      </c>
      <c r="K1621" s="496" t="s">
        <v>533</v>
      </c>
      <c r="L1621" s="497">
        <v>2</v>
      </c>
      <c r="M1621" s="497">
        <v>2306.36</v>
      </c>
      <c r="N1621" s="464">
        <v>4612.72</v>
      </c>
      <c r="O1621" s="498" t="s">
        <v>2704</v>
      </c>
      <c r="P1621" s="431" t="s">
        <v>6711</v>
      </c>
    </row>
    <row r="1622" spans="1:16" ht="13.5" hidden="1" customHeight="1" outlineLevel="3" x14ac:dyDescent="0.2">
      <c r="A1622" s="233">
        <v>0</v>
      </c>
      <c r="B1622" s="233">
        <v>18</v>
      </c>
      <c r="C1622" s="233">
        <v>22</v>
      </c>
      <c r="D1622" s="234">
        <v>1</v>
      </c>
      <c r="E1622" s="234">
        <v>3</v>
      </c>
      <c r="G1622" s="508" t="s">
        <v>51</v>
      </c>
      <c r="H1622" s="493" t="s">
        <v>1238</v>
      </c>
      <c r="I1622" s="460" t="s">
        <v>6112</v>
      </c>
      <c r="J1622" s="495" t="s">
        <v>818</v>
      </c>
      <c r="K1622" s="496" t="s">
        <v>533</v>
      </c>
      <c r="L1622" s="497">
        <v>1</v>
      </c>
      <c r="M1622" s="497">
        <v>2653.86</v>
      </c>
      <c r="N1622" s="464">
        <v>2653.86</v>
      </c>
      <c r="O1622" s="498" t="s">
        <v>2704</v>
      </c>
      <c r="P1622" s="431" t="s">
        <v>6711</v>
      </c>
    </row>
    <row r="1623" spans="1:16" ht="13.5" hidden="1" customHeight="1" outlineLevel="2" x14ac:dyDescent="0.2">
      <c r="A1623" s="233">
        <v>0</v>
      </c>
      <c r="B1623" s="233">
        <v>18</v>
      </c>
      <c r="C1623" s="233">
        <v>22</v>
      </c>
      <c r="D1623" s="234">
        <v>2</v>
      </c>
      <c r="E1623" s="234">
        <v>0</v>
      </c>
      <c r="G1623" s="507"/>
      <c r="H1623" s="487" t="s">
        <v>1237</v>
      </c>
      <c r="I1623" s="452" t="s">
        <v>6113</v>
      </c>
      <c r="J1623" s="489" t="s">
        <v>14</v>
      </c>
      <c r="K1623" s="490"/>
      <c r="L1623" s="491"/>
      <c r="M1623" s="491"/>
      <c r="N1623" s="456">
        <v>1200</v>
      </c>
      <c r="O1623" s="492"/>
      <c r="P1623" s="430"/>
    </row>
    <row r="1624" spans="1:16" ht="13.5" hidden="1" customHeight="1" outlineLevel="3" x14ac:dyDescent="0.2">
      <c r="A1624" s="233">
        <v>0</v>
      </c>
      <c r="B1624" s="233">
        <v>18</v>
      </c>
      <c r="C1624" s="233">
        <v>22</v>
      </c>
      <c r="D1624" s="234">
        <v>2</v>
      </c>
      <c r="E1624" s="234">
        <v>1</v>
      </c>
      <c r="G1624" s="508" t="s">
        <v>51</v>
      </c>
      <c r="H1624" s="493" t="s">
        <v>1238</v>
      </c>
      <c r="I1624" s="460" t="s">
        <v>6114</v>
      </c>
      <c r="J1624" s="495" t="s">
        <v>845</v>
      </c>
      <c r="K1624" s="496" t="s">
        <v>533</v>
      </c>
      <c r="L1624" s="497">
        <v>4</v>
      </c>
      <c r="M1624" s="497">
        <v>300</v>
      </c>
      <c r="N1624" s="464">
        <v>1200</v>
      </c>
      <c r="O1624" s="498" t="s">
        <v>2704</v>
      </c>
      <c r="P1624" s="431" t="s">
        <v>6711</v>
      </c>
    </row>
    <row r="1625" spans="1:16" ht="13.5" hidden="1" customHeight="1" outlineLevel="1" x14ac:dyDescent="0.2">
      <c r="A1625" s="233">
        <v>0</v>
      </c>
      <c r="B1625" s="233">
        <v>18</v>
      </c>
      <c r="C1625" s="233">
        <v>23</v>
      </c>
      <c r="D1625" s="234">
        <v>0</v>
      </c>
      <c r="E1625" s="234">
        <v>1</v>
      </c>
      <c r="G1625" s="506"/>
      <c r="H1625" s="481" t="s">
        <v>38</v>
      </c>
      <c r="I1625" s="445" t="s">
        <v>6115</v>
      </c>
      <c r="J1625" s="483" t="s">
        <v>3059</v>
      </c>
      <c r="K1625" s="484"/>
      <c r="L1625" s="485"/>
      <c r="M1625" s="485"/>
      <c r="N1625" s="449"/>
      <c r="O1625" s="486"/>
      <c r="P1625" s="429"/>
    </row>
    <row r="1626" spans="1:16" ht="13.5" hidden="1" customHeight="1" outlineLevel="2" x14ac:dyDescent="0.2">
      <c r="A1626" s="233">
        <v>0</v>
      </c>
      <c r="B1626" s="233">
        <v>18</v>
      </c>
      <c r="C1626" s="233">
        <v>23</v>
      </c>
      <c r="D1626" s="234">
        <v>1</v>
      </c>
      <c r="E1626" s="234">
        <v>0</v>
      </c>
      <c r="G1626" s="507"/>
      <c r="H1626" s="487" t="s">
        <v>1237</v>
      </c>
      <c r="I1626" s="452" t="s">
        <v>6116</v>
      </c>
      <c r="J1626" s="489" t="s">
        <v>2279</v>
      </c>
      <c r="K1626" s="490"/>
      <c r="L1626" s="491"/>
      <c r="M1626" s="491"/>
      <c r="N1626" s="456">
        <v>6313.74</v>
      </c>
      <c r="O1626" s="492"/>
      <c r="P1626" s="430"/>
    </row>
    <row r="1627" spans="1:16" ht="13.5" hidden="1" customHeight="1" outlineLevel="3" x14ac:dyDescent="0.2">
      <c r="A1627" s="233">
        <v>0</v>
      </c>
      <c r="B1627" s="233">
        <v>18</v>
      </c>
      <c r="C1627" s="233">
        <v>23</v>
      </c>
      <c r="D1627" s="234">
        <v>1</v>
      </c>
      <c r="E1627" s="234">
        <v>1</v>
      </c>
      <c r="G1627" s="508" t="s">
        <v>51</v>
      </c>
      <c r="H1627" s="493" t="s">
        <v>1238</v>
      </c>
      <c r="I1627" s="460" t="s">
        <v>6117</v>
      </c>
      <c r="J1627" s="495" t="s">
        <v>2893</v>
      </c>
      <c r="K1627" s="496" t="s">
        <v>787</v>
      </c>
      <c r="L1627" s="497">
        <v>20.399999999999999</v>
      </c>
      <c r="M1627" s="497">
        <v>66.849999999999994</v>
      </c>
      <c r="N1627" s="464">
        <v>1363.74</v>
      </c>
      <c r="O1627" s="498" t="s">
        <v>2704</v>
      </c>
      <c r="P1627" s="431" t="s">
        <v>6711</v>
      </c>
    </row>
    <row r="1628" spans="1:16" ht="13.5" hidden="1" customHeight="1" outlineLevel="3" x14ac:dyDescent="0.2">
      <c r="A1628" s="233">
        <v>0</v>
      </c>
      <c r="B1628" s="233">
        <v>18</v>
      </c>
      <c r="C1628" s="233">
        <v>23</v>
      </c>
      <c r="D1628" s="234">
        <v>1</v>
      </c>
      <c r="E1628" s="234">
        <v>2</v>
      </c>
      <c r="G1628" s="508" t="s">
        <v>51</v>
      </c>
      <c r="H1628" s="493" t="s">
        <v>1238</v>
      </c>
      <c r="I1628" s="460" t="s">
        <v>6118</v>
      </c>
      <c r="J1628" s="495" t="s">
        <v>1892</v>
      </c>
      <c r="K1628" s="496" t="s">
        <v>533</v>
      </c>
      <c r="L1628" s="497">
        <v>4</v>
      </c>
      <c r="M1628" s="497">
        <v>1237.5</v>
      </c>
      <c r="N1628" s="464">
        <v>4950</v>
      </c>
      <c r="O1628" s="498" t="s">
        <v>2704</v>
      </c>
      <c r="P1628" s="431" t="s">
        <v>6711</v>
      </c>
    </row>
    <row r="1629" spans="1:16" ht="13.5" hidden="1" customHeight="1" outlineLevel="2" x14ac:dyDescent="0.2">
      <c r="A1629" s="233">
        <v>0</v>
      </c>
      <c r="B1629" s="233">
        <v>18</v>
      </c>
      <c r="C1629" s="233">
        <v>23</v>
      </c>
      <c r="D1629" s="234">
        <v>2</v>
      </c>
      <c r="E1629" s="234">
        <v>0</v>
      </c>
      <c r="G1629" s="507"/>
      <c r="H1629" s="487" t="s">
        <v>1237</v>
      </c>
      <c r="I1629" s="452" t="s">
        <v>6119</v>
      </c>
      <c r="J1629" s="489" t="s">
        <v>1885</v>
      </c>
      <c r="K1629" s="490"/>
      <c r="L1629" s="491"/>
      <c r="M1629" s="491"/>
      <c r="N1629" s="456"/>
      <c r="O1629" s="492"/>
      <c r="P1629" s="430"/>
    </row>
    <row r="1630" spans="1:16" ht="13.5" hidden="1" customHeight="1" outlineLevel="3" x14ac:dyDescent="0.2">
      <c r="A1630" s="233">
        <v>0</v>
      </c>
      <c r="B1630" s="233">
        <v>18</v>
      </c>
      <c r="C1630" s="233">
        <v>23</v>
      </c>
      <c r="D1630" s="234">
        <v>2</v>
      </c>
      <c r="E1630" s="234">
        <v>1</v>
      </c>
      <c r="G1630" s="508" t="s">
        <v>51</v>
      </c>
      <c r="H1630" s="493" t="s">
        <v>1238</v>
      </c>
      <c r="I1630" s="460" t="s">
        <v>6120</v>
      </c>
      <c r="J1630" s="495" t="s">
        <v>2706</v>
      </c>
      <c r="K1630" s="496" t="s">
        <v>787</v>
      </c>
      <c r="L1630" s="497" t="e">
        <v>#REF!</v>
      </c>
      <c r="M1630" s="497">
        <v>820</v>
      </c>
      <c r="N1630" s="464"/>
      <c r="O1630" s="498" t="s">
        <v>2703</v>
      </c>
      <c r="P1630" s="431" t="s">
        <v>6711</v>
      </c>
    </row>
    <row r="1631" spans="1:16" ht="13.5" hidden="1" customHeight="1" outlineLevel="3" x14ac:dyDescent="0.2">
      <c r="A1631" s="233">
        <v>0</v>
      </c>
      <c r="B1631" s="233">
        <v>18</v>
      </c>
      <c r="C1631" s="233">
        <v>23</v>
      </c>
      <c r="D1631" s="234">
        <v>2</v>
      </c>
      <c r="E1631" s="234">
        <v>2</v>
      </c>
      <c r="G1631" s="508" t="s">
        <v>51</v>
      </c>
      <c r="H1631" s="493" t="s">
        <v>1238</v>
      </c>
      <c r="I1631" s="460" t="s">
        <v>6121</v>
      </c>
      <c r="J1631" s="495" t="s">
        <v>2707</v>
      </c>
      <c r="K1631" s="496" t="s">
        <v>787</v>
      </c>
      <c r="L1631" s="497" t="e">
        <v>#REF!</v>
      </c>
      <c r="M1631" s="497">
        <v>520</v>
      </c>
      <c r="N1631" s="464"/>
      <c r="O1631" s="498" t="s">
        <v>2703</v>
      </c>
      <c r="P1631" s="431" t="s">
        <v>6711</v>
      </c>
    </row>
    <row r="1632" spans="1:16" ht="12.75" hidden="1" customHeight="1" outlineLevel="2" x14ac:dyDescent="0.2">
      <c r="A1632" s="233">
        <v>0</v>
      </c>
      <c r="B1632" s="233">
        <v>18</v>
      </c>
      <c r="C1632" s="233">
        <v>23</v>
      </c>
      <c r="D1632" s="234">
        <v>3</v>
      </c>
      <c r="E1632" s="234">
        <v>0</v>
      </c>
      <c r="G1632" s="507"/>
      <c r="H1632" s="487" t="s">
        <v>1237</v>
      </c>
      <c r="I1632" s="452" t="s">
        <v>6122</v>
      </c>
      <c r="J1632" s="489" t="s">
        <v>2709</v>
      </c>
      <c r="K1632" s="490"/>
      <c r="L1632" s="491"/>
      <c r="M1632" s="491"/>
      <c r="N1632" s="456"/>
      <c r="O1632" s="492"/>
      <c r="P1632" s="430"/>
    </row>
    <row r="1633" spans="1:16" ht="12.75" hidden="1" customHeight="1" outlineLevel="3" x14ac:dyDescent="0.2">
      <c r="A1633" s="233">
        <v>0</v>
      </c>
      <c r="B1633" s="233">
        <v>18</v>
      </c>
      <c r="C1633" s="233">
        <v>23</v>
      </c>
      <c r="D1633" s="234">
        <v>3</v>
      </c>
      <c r="E1633" s="234">
        <v>1</v>
      </c>
      <c r="G1633" s="508" t="s">
        <v>51</v>
      </c>
      <c r="H1633" s="493" t="s">
        <v>1238</v>
      </c>
      <c r="I1633" s="460" t="s">
        <v>6123</v>
      </c>
      <c r="J1633" s="495" t="s">
        <v>2708</v>
      </c>
      <c r="K1633" s="496" t="s">
        <v>641</v>
      </c>
      <c r="L1633" s="497" t="e">
        <v>#REF!</v>
      </c>
      <c r="M1633" s="497">
        <v>1240</v>
      </c>
      <c r="N1633" s="464"/>
      <c r="O1633" s="498" t="s">
        <v>2703</v>
      </c>
      <c r="P1633" s="431" t="s">
        <v>6711</v>
      </c>
    </row>
    <row r="1634" spans="1:16" ht="13.5" hidden="1" customHeight="1" outlineLevel="2" x14ac:dyDescent="0.2">
      <c r="A1634" s="233">
        <v>0</v>
      </c>
      <c r="B1634" s="233">
        <v>18</v>
      </c>
      <c r="C1634" s="233">
        <v>23</v>
      </c>
      <c r="D1634" s="234">
        <v>4</v>
      </c>
      <c r="E1634" s="234">
        <v>0</v>
      </c>
      <c r="G1634" s="507"/>
      <c r="H1634" s="487" t="s">
        <v>1237</v>
      </c>
      <c r="I1634" s="452" t="s">
        <v>6124</v>
      </c>
      <c r="J1634" s="489" t="s">
        <v>14</v>
      </c>
      <c r="K1634" s="490"/>
      <c r="L1634" s="491"/>
      <c r="M1634" s="491"/>
      <c r="N1634" s="456">
        <v>1200</v>
      </c>
      <c r="O1634" s="492">
        <v>7.1643202522796004E-2</v>
      </c>
      <c r="P1634" s="430"/>
    </row>
    <row r="1635" spans="1:16" ht="13.5" hidden="1" customHeight="1" outlineLevel="3" x14ac:dyDescent="0.2">
      <c r="A1635" s="233">
        <v>0</v>
      </c>
      <c r="B1635" s="233">
        <v>18</v>
      </c>
      <c r="C1635" s="233">
        <v>23</v>
      </c>
      <c r="D1635" s="234">
        <v>4</v>
      </c>
      <c r="E1635" s="234">
        <v>1</v>
      </c>
      <c r="G1635" s="508" t="s">
        <v>51</v>
      </c>
      <c r="H1635" s="493" t="s">
        <v>1238</v>
      </c>
      <c r="I1635" s="460" t="s">
        <v>6125</v>
      </c>
      <c r="J1635" s="495" t="s">
        <v>844</v>
      </c>
      <c r="K1635" s="496" t="s">
        <v>533</v>
      </c>
      <c r="L1635" s="497">
        <v>4</v>
      </c>
      <c r="M1635" s="497">
        <v>300</v>
      </c>
      <c r="N1635" s="464">
        <v>1200</v>
      </c>
      <c r="O1635" s="498" t="s">
        <v>2704</v>
      </c>
      <c r="P1635" s="431" t="s">
        <v>6711</v>
      </c>
    </row>
    <row r="1636" spans="1:16" ht="13.5" hidden="1" customHeight="1" outlineLevel="1" x14ac:dyDescent="0.2">
      <c r="A1636" s="233">
        <v>0</v>
      </c>
      <c r="B1636" s="233">
        <v>18</v>
      </c>
      <c r="C1636" s="233">
        <v>24</v>
      </c>
      <c r="D1636" s="234">
        <v>0</v>
      </c>
      <c r="E1636" s="234">
        <v>1</v>
      </c>
      <c r="G1636" s="506"/>
      <c r="H1636" s="481" t="s">
        <v>38</v>
      </c>
      <c r="I1636" s="445" t="s">
        <v>6126</v>
      </c>
      <c r="J1636" s="483" t="s">
        <v>3060</v>
      </c>
      <c r="K1636" s="484"/>
      <c r="L1636" s="485"/>
      <c r="M1636" s="485"/>
      <c r="N1636" s="449"/>
      <c r="O1636" s="486"/>
      <c r="P1636" s="429"/>
    </row>
    <row r="1637" spans="1:16" ht="13.5" hidden="1" customHeight="1" outlineLevel="2" x14ac:dyDescent="0.2">
      <c r="A1637" s="233">
        <v>0</v>
      </c>
      <c r="B1637" s="233">
        <v>18</v>
      </c>
      <c r="C1637" s="233">
        <v>24</v>
      </c>
      <c r="D1637" s="234">
        <v>1</v>
      </c>
      <c r="E1637" s="234">
        <v>0</v>
      </c>
      <c r="G1637" s="507"/>
      <c r="H1637" s="487" t="s">
        <v>1237</v>
      </c>
      <c r="I1637" s="452" t="s">
        <v>6127</v>
      </c>
      <c r="J1637" s="489" t="s">
        <v>2279</v>
      </c>
      <c r="K1637" s="490"/>
      <c r="L1637" s="491"/>
      <c r="M1637" s="491"/>
      <c r="N1637" s="456">
        <v>3156.87</v>
      </c>
      <c r="O1637" s="492"/>
      <c r="P1637" s="430"/>
    </row>
    <row r="1638" spans="1:16" ht="13.5" hidden="1" customHeight="1" outlineLevel="3" x14ac:dyDescent="0.2">
      <c r="A1638" s="233">
        <v>0</v>
      </c>
      <c r="B1638" s="233">
        <v>18</v>
      </c>
      <c r="C1638" s="233">
        <v>24</v>
      </c>
      <c r="D1638" s="234">
        <v>1</v>
      </c>
      <c r="E1638" s="234">
        <v>1</v>
      </c>
      <c r="G1638" s="508" t="s">
        <v>51</v>
      </c>
      <c r="H1638" s="493" t="s">
        <v>1238</v>
      </c>
      <c r="I1638" s="460" t="s">
        <v>6128</v>
      </c>
      <c r="J1638" s="495" t="s">
        <v>2893</v>
      </c>
      <c r="K1638" s="496" t="s">
        <v>787</v>
      </c>
      <c r="L1638" s="497">
        <v>10.199999999999999</v>
      </c>
      <c r="M1638" s="497">
        <v>66.849999999999994</v>
      </c>
      <c r="N1638" s="464">
        <v>681.87</v>
      </c>
      <c r="O1638" s="498" t="s">
        <v>2704</v>
      </c>
      <c r="P1638" s="431" t="s">
        <v>6711</v>
      </c>
    </row>
    <row r="1639" spans="1:16" ht="13.5" hidden="1" customHeight="1" outlineLevel="3" x14ac:dyDescent="0.2">
      <c r="A1639" s="233">
        <v>0</v>
      </c>
      <c r="B1639" s="233">
        <v>18</v>
      </c>
      <c r="C1639" s="233">
        <v>24</v>
      </c>
      <c r="D1639" s="234">
        <v>1</v>
      </c>
      <c r="E1639" s="234">
        <v>2</v>
      </c>
      <c r="G1639" s="508" t="s">
        <v>51</v>
      </c>
      <c r="H1639" s="493" t="s">
        <v>1238</v>
      </c>
      <c r="I1639" s="460" t="s">
        <v>6129</v>
      </c>
      <c r="J1639" s="495" t="s">
        <v>1892</v>
      </c>
      <c r="K1639" s="496" t="s">
        <v>533</v>
      </c>
      <c r="L1639" s="497">
        <v>2</v>
      </c>
      <c r="M1639" s="497">
        <v>1237.5</v>
      </c>
      <c r="N1639" s="464">
        <v>2475</v>
      </c>
      <c r="O1639" s="498" t="s">
        <v>2704</v>
      </c>
      <c r="P1639" s="431" t="s">
        <v>6711</v>
      </c>
    </row>
    <row r="1640" spans="1:16" ht="13.5" hidden="1" customHeight="1" outlineLevel="2" x14ac:dyDescent="0.2">
      <c r="A1640" s="233">
        <v>0</v>
      </c>
      <c r="B1640" s="233">
        <v>18</v>
      </c>
      <c r="C1640" s="233">
        <v>24</v>
      </c>
      <c r="D1640" s="234">
        <v>2</v>
      </c>
      <c r="E1640" s="234">
        <v>0</v>
      </c>
      <c r="G1640" s="507"/>
      <c r="H1640" s="487" t="s">
        <v>1237</v>
      </c>
      <c r="I1640" s="452" t="s">
        <v>6130</v>
      </c>
      <c r="J1640" s="489" t="s">
        <v>1885</v>
      </c>
      <c r="K1640" s="490"/>
      <c r="L1640" s="491"/>
      <c r="M1640" s="491"/>
      <c r="N1640" s="456"/>
      <c r="O1640" s="492"/>
      <c r="P1640" s="430"/>
    </row>
    <row r="1641" spans="1:16" ht="13.5" hidden="1" customHeight="1" outlineLevel="3" x14ac:dyDescent="0.2">
      <c r="A1641" s="233">
        <v>0</v>
      </c>
      <c r="B1641" s="233">
        <v>18</v>
      </c>
      <c r="C1641" s="233">
        <v>24</v>
      </c>
      <c r="D1641" s="234">
        <v>2</v>
      </c>
      <c r="E1641" s="234">
        <v>1</v>
      </c>
      <c r="G1641" s="508" t="s">
        <v>51</v>
      </c>
      <c r="H1641" s="493" t="s">
        <v>1238</v>
      </c>
      <c r="I1641" s="460" t="s">
        <v>6131</v>
      </c>
      <c r="J1641" s="495" t="s">
        <v>2706</v>
      </c>
      <c r="K1641" s="496" t="s">
        <v>787</v>
      </c>
      <c r="L1641" s="497" t="e">
        <v>#REF!</v>
      </c>
      <c r="M1641" s="497">
        <v>820</v>
      </c>
      <c r="N1641" s="464"/>
      <c r="O1641" s="498" t="s">
        <v>2703</v>
      </c>
      <c r="P1641" s="431" t="s">
        <v>6711</v>
      </c>
    </row>
    <row r="1642" spans="1:16" ht="13.5" hidden="1" customHeight="1" outlineLevel="3" x14ac:dyDescent="0.2">
      <c r="A1642" s="233">
        <v>0</v>
      </c>
      <c r="B1642" s="233">
        <v>18</v>
      </c>
      <c r="C1642" s="233">
        <v>24</v>
      </c>
      <c r="D1642" s="234">
        <v>2</v>
      </c>
      <c r="E1642" s="234">
        <v>2</v>
      </c>
      <c r="G1642" s="508" t="s">
        <v>51</v>
      </c>
      <c r="H1642" s="493" t="s">
        <v>1238</v>
      </c>
      <c r="I1642" s="460" t="s">
        <v>6132</v>
      </c>
      <c r="J1642" s="495" t="s">
        <v>2707</v>
      </c>
      <c r="K1642" s="496" t="s">
        <v>787</v>
      </c>
      <c r="L1642" s="497" t="e">
        <v>#REF!</v>
      </c>
      <c r="M1642" s="497">
        <v>520</v>
      </c>
      <c r="N1642" s="464"/>
      <c r="O1642" s="498" t="s">
        <v>2703</v>
      </c>
      <c r="P1642" s="431" t="s">
        <v>6711</v>
      </c>
    </row>
    <row r="1643" spans="1:16" ht="13.5" hidden="1" customHeight="1" outlineLevel="2" x14ac:dyDescent="0.2">
      <c r="A1643" s="233">
        <v>0</v>
      </c>
      <c r="B1643" s="233">
        <v>18</v>
      </c>
      <c r="C1643" s="233">
        <v>24</v>
      </c>
      <c r="D1643" s="234">
        <v>3</v>
      </c>
      <c r="E1643" s="234">
        <v>0</v>
      </c>
      <c r="G1643" s="507"/>
      <c r="H1643" s="487" t="s">
        <v>1237</v>
      </c>
      <c r="I1643" s="452" t="s">
        <v>6133</v>
      </c>
      <c r="J1643" s="489" t="s">
        <v>14</v>
      </c>
      <c r="K1643" s="490"/>
      <c r="L1643" s="491"/>
      <c r="M1643" s="491"/>
      <c r="N1643" s="456">
        <v>600</v>
      </c>
      <c r="O1643" s="492">
        <v>3.5821601261398002E-2</v>
      </c>
      <c r="P1643" s="430"/>
    </row>
    <row r="1644" spans="1:16" ht="13.5" hidden="1" customHeight="1" outlineLevel="3" x14ac:dyDescent="0.2">
      <c r="A1644" s="233">
        <v>0</v>
      </c>
      <c r="B1644" s="233">
        <v>18</v>
      </c>
      <c r="C1644" s="233">
        <v>24</v>
      </c>
      <c r="D1644" s="234">
        <v>3</v>
      </c>
      <c r="E1644" s="234">
        <v>1</v>
      </c>
      <c r="G1644" s="508" t="s">
        <v>51</v>
      </c>
      <c r="H1644" s="493" t="s">
        <v>1238</v>
      </c>
      <c r="I1644" s="460" t="s">
        <v>6134</v>
      </c>
      <c r="J1644" s="495" t="s">
        <v>844</v>
      </c>
      <c r="K1644" s="496" t="s">
        <v>533</v>
      </c>
      <c r="L1644" s="497">
        <v>2</v>
      </c>
      <c r="M1644" s="497">
        <v>300</v>
      </c>
      <c r="N1644" s="464">
        <v>600</v>
      </c>
      <c r="O1644" s="498" t="s">
        <v>2704</v>
      </c>
      <c r="P1644" s="431" t="s">
        <v>6711</v>
      </c>
    </row>
    <row r="1645" spans="1:16" ht="13.5" hidden="1" customHeight="1" outlineLevel="1" x14ac:dyDescent="0.2">
      <c r="A1645" s="233">
        <v>0</v>
      </c>
      <c r="B1645" s="233">
        <v>18</v>
      </c>
      <c r="C1645" s="233">
        <v>25</v>
      </c>
      <c r="D1645" s="234">
        <v>0</v>
      </c>
      <c r="E1645" s="234">
        <v>1</v>
      </c>
      <c r="G1645" s="506"/>
      <c r="H1645" s="481" t="s">
        <v>38</v>
      </c>
      <c r="I1645" s="445" t="s">
        <v>6135</v>
      </c>
      <c r="J1645" s="483" t="s">
        <v>3061</v>
      </c>
      <c r="K1645" s="484"/>
      <c r="L1645" s="485"/>
      <c r="M1645" s="485"/>
      <c r="N1645" s="449"/>
      <c r="O1645" s="486"/>
      <c r="P1645" s="429"/>
    </row>
    <row r="1646" spans="1:16" ht="13.5" hidden="1" customHeight="1" outlineLevel="2" x14ac:dyDescent="0.2">
      <c r="A1646" s="233">
        <v>0</v>
      </c>
      <c r="B1646" s="233">
        <v>18</v>
      </c>
      <c r="C1646" s="233">
        <v>25</v>
      </c>
      <c r="D1646" s="234">
        <v>1</v>
      </c>
      <c r="E1646" s="234">
        <v>0</v>
      </c>
      <c r="G1646" s="507"/>
      <c r="H1646" s="487" t="s">
        <v>1237</v>
      </c>
      <c r="I1646" s="452" t="s">
        <v>6136</v>
      </c>
      <c r="J1646" s="489" t="s">
        <v>2279</v>
      </c>
      <c r="K1646" s="490"/>
      <c r="L1646" s="491"/>
      <c r="M1646" s="491"/>
      <c r="N1646" s="456">
        <v>4735.3050000000003</v>
      </c>
      <c r="O1646" s="492"/>
      <c r="P1646" s="430"/>
    </row>
    <row r="1647" spans="1:16" ht="13.5" hidden="1" customHeight="1" outlineLevel="3" x14ac:dyDescent="0.2">
      <c r="A1647" s="233">
        <v>0</v>
      </c>
      <c r="B1647" s="233">
        <v>18</v>
      </c>
      <c r="C1647" s="233">
        <v>25</v>
      </c>
      <c r="D1647" s="234">
        <v>1</v>
      </c>
      <c r="E1647" s="234">
        <v>1</v>
      </c>
      <c r="G1647" s="508" t="s">
        <v>51</v>
      </c>
      <c r="H1647" s="493" t="s">
        <v>1238</v>
      </c>
      <c r="I1647" s="460" t="s">
        <v>6137</v>
      </c>
      <c r="J1647" s="495" t="s">
        <v>2893</v>
      </c>
      <c r="K1647" s="496" t="s">
        <v>787</v>
      </c>
      <c r="L1647" s="497">
        <v>15.299999999999999</v>
      </c>
      <c r="M1647" s="497">
        <v>66.849999999999994</v>
      </c>
      <c r="N1647" s="464">
        <v>1022.8049999999999</v>
      </c>
      <c r="O1647" s="498" t="s">
        <v>2704</v>
      </c>
      <c r="P1647" s="431" t="s">
        <v>6711</v>
      </c>
    </row>
    <row r="1648" spans="1:16" ht="13.5" hidden="1" customHeight="1" outlineLevel="3" x14ac:dyDescent="0.2">
      <c r="A1648" s="233">
        <v>0</v>
      </c>
      <c r="B1648" s="233">
        <v>18</v>
      </c>
      <c r="C1648" s="233">
        <v>25</v>
      </c>
      <c r="D1648" s="234">
        <v>1</v>
      </c>
      <c r="E1648" s="234">
        <v>2</v>
      </c>
      <c r="G1648" s="508" t="s">
        <v>51</v>
      </c>
      <c r="H1648" s="493" t="s">
        <v>1238</v>
      </c>
      <c r="I1648" s="460" t="s">
        <v>6138</v>
      </c>
      <c r="J1648" s="495" t="s">
        <v>1892</v>
      </c>
      <c r="K1648" s="496" t="s">
        <v>533</v>
      </c>
      <c r="L1648" s="497">
        <v>3</v>
      </c>
      <c r="M1648" s="497">
        <v>1237.5</v>
      </c>
      <c r="N1648" s="464">
        <v>3712.5</v>
      </c>
      <c r="O1648" s="498" t="s">
        <v>2704</v>
      </c>
      <c r="P1648" s="431" t="s">
        <v>6711</v>
      </c>
    </row>
    <row r="1649" spans="1:16" ht="13.5" hidden="1" customHeight="1" outlineLevel="2" x14ac:dyDescent="0.2">
      <c r="A1649" s="233">
        <v>0</v>
      </c>
      <c r="B1649" s="233">
        <v>18</v>
      </c>
      <c r="C1649" s="233">
        <v>25</v>
      </c>
      <c r="D1649" s="234">
        <v>2</v>
      </c>
      <c r="E1649" s="234">
        <v>0</v>
      </c>
      <c r="G1649" s="507"/>
      <c r="H1649" s="487" t="s">
        <v>1237</v>
      </c>
      <c r="I1649" s="452" t="s">
        <v>6139</v>
      </c>
      <c r="J1649" s="489" t="s">
        <v>1885</v>
      </c>
      <c r="K1649" s="490"/>
      <c r="L1649" s="491"/>
      <c r="M1649" s="491"/>
      <c r="N1649" s="456"/>
      <c r="O1649" s="492"/>
      <c r="P1649" s="430"/>
    </row>
    <row r="1650" spans="1:16" ht="13.5" hidden="1" customHeight="1" outlineLevel="3" x14ac:dyDescent="0.2">
      <c r="A1650" s="233">
        <v>0</v>
      </c>
      <c r="B1650" s="233">
        <v>18</v>
      </c>
      <c r="C1650" s="233">
        <v>25</v>
      </c>
      <c r="D1650" s="234">
        <v>2</v>
      </c>
      <c r="E1650" s="234">
        <v>1</v>
      </c>
      <c r="G1650" s="508" t="s">
        <v>51</v>
      </c>
      <c r="H1650" s="493" t="s">
        <v>1238</v>
      </c>
      <c r="I1650" s="460" t="s">
        <v>6140</v>
      </c>
      <c r="J1650" s="495" t="s">
        <v>2706</v>
      </c>
      <c r="K1650" s="496" t="s">
        <v>787</v>
      </c>
      <c r="L1650" s="497" t="e">
        <v>#REF!</v>
      </c>
      <c r="M1650" s="497">
        <v>820</v>
      </c>
      <c r="N1650" s="464"/>
      <c r="O1650" s="498" t="s">
        <v>2703</v>
      </c>
      <c r="P1650" s="431" t="s">
        <v>6711</v>
      </c>
    </row>
    <row r="1651" spans="1:16" ht="13.5" hidden="1" customHeight="1" outlineLevel="3" x14ac:dyDescent="0.2">
      <c r="A1651" s="233">
        <v>0</v>
      </c>
      <c r="B1651" s="233">
        <v>18</v>
      </c>
      <c r="C1651" s="233">
        <v>25</v>
      </c>
      <c r="D1651" s="234">
        <v>2</v>
      </c>
      <c r="E1651" s="234">
        <v>2</v>
      </c>
      <c r="G1651" s="508" t="s">
        <v>51</v>
      </c>
      <c r="H1651" s="493" t="s">
        <v>1238</v>
      </c>
      <c r="I1651" s="460" t="s">
        <v>6141</v>
      </c>
      <c r="J1651" s="495" t="s">
        <v>2707</v>
      </c>
      <c r="K1651" s="496" t="s">
        <v>787</v>
      </c>
      <c r="L1651" s="497" t="e">
        <v>#REF!</v>
      </c>
      <c r="M1651" s="497">
        <v>520</v>
      </c>
      <c r="N1651" s="464"/>
      <c r="O1651" s="498" t="s">
        <v>2703</v>
      </c>
      <c r="P1651" s="431" t="s">
        <v>6711</v>
      </c>
    </row>
    <row r="1652" spans="1:16" ht="13.5" hidden="1" customHeight="1" outlineLevel="2" x14ac:dyDescent="0.2">
      <c r="A1652" s="233">
        <v>0</v>
      </c>
      <c r="B1652" s="233">
        <v>18</v>
      </c>
      <c r="C1652" s="233">
        <v>25</v>
      </c>
      <c r="D1652" s="234">
        <v>3</v>
      </c>
      <c r="E1652" s="234">
        <v>0</v>
      </c>
      <c r="G1652" s="507"/>
      <c r="H1652" s="487" t="s">
        <v>1237</v>
      </c>
      <c r="I1652" s="452" t="s">
        <v>6142</v>
      </c>
      <c r="J1652" s="489" t="s">
        <v>14</v>
      </c>
      <c r="K1652" s="490"/>
      <c r="L1652" s="491"/>
      <c r="M1652" s="491"/>
      <c r="N1652" s="456">
        <v>900</v>
      </c>
      <c r="O1652" s="492">
        <v>5.3732401892097E-2</v>
      </c>
      <c r="P1652" s="430"/>
    </row>
    <row r="1653" spans="1:16" ht="13.5" hidden="1" customHeight="1" outlineLevel="3" x14ac:dyDescent="0.2">
      <c r="A1653" s="233">
        <v>0</v>
      </c>
      <c r="B1653" s="233">
        <v>18</v>
      </c>
      <c r="C1653" s="233">
        <v>25</v>
      </c>
      <c r="D1653" s="234">
        <v>3</v>
      </c>
      <c r="E1653" s="234">
        <v>1</v>
      </c>
      <c r="G1653" s="508" t="s">
        <v>51</v>
      </c>
      <c r="H1653" s="493" t="s">
        <v>1238</v>
      </c>
      <c r="I1653" s="460" t="s">
        <v>6143</v>
      </c>
      <c r="J1653" s="495" t="s">
        <v>844</v>
      </c>
      <c r="K1653" s="496" t="s">
        <v>533</v>
      </c>
      <c r="L1653" s="497">
        <v>3</v>
      </c>
      <c r="M1653" s="497">
        <v>300</v>
      </c>
      <c r="N1653" s="464">
        <v>900</v>
      </c>
      <c r="O1653" s="498" t="s">
        <v>2704</v>
      </c>
      <c r="P1653" s="431" t="s">
        <v>6711</v>
      </c>
    </row>
    <row r="1654" spans="1:16" ht="13.5" hidden="1" customHeight="1" outlineLevel="1" x14ac:dyDescent="0.2">
      <c r="A1654" s="233">
        <v>0</v>
      </c>
      <c r="B1654" s="233">
        <v>18</v>
      </c>
      <c r="C1654" s="233">
        <v>26</v>
      </c>
      <c r="D1654" s="234">
        <v>0</v>
      </c>
      <c r="E1654" s="234">
        <v>1</v>
      </c>
      <c r="G1654" s="506"/>
      <c r="H1654" s="481" t="s">
        <v>38</v>
      </c>
      <c r="I1654" s="445" t="s">
        <v>6144</v>
      </c>
      <c r="J1654" s="483" t="s">
        <v>3062</v>
      </c>
      <c r="K1654" s="484"/>
      <c r="L1654" s="485"/>
      <c r="M1654" s="485"/>
      <c r="N1654" s="449"/>
      <c r="O1654" s="486"/>
      <c r="P1654" s="429"/>
    </row>
    <row r="1655" spans="1:16" ht="13.5" hidden="1" customHeight="1" outlineLevel="2" x14ac:dyDescent="0.2">
      <c r="A1655" s="233">
        <v>0</v>
      </c>
      <c r="B1655" s="233">
        <v>18</v>
      </c>
      <c r="C1655" s="233">
        <v>26</v>
      </c>
      <c r="D1655" s="234">
        <v>1</v>
      </c>
      <c r="E1655" s="234">
        <v>0</v>
      </c>
      <c r="G1655" s="507"/>
      <c r="H1655" s="487" t="s">
        <v>1237</v>
      </c>
      <c r="I1655" s="452" t="s">
        <v>6145</v>
      </c>
      <c r="J1655" s="489" t="s">
        <v>2279</v>
      </c>
      <c r="K1655" s="490"/>
      <c r="L1655" s="491"/>
      <c r="M1655" s="491"/>
      <c r="N1655" s="456">
        <v>4735.3050000000003</v>
      </c>
      <c r="O1655" s="492"/>
      <c r="P1655" s="430"/>
    </row>
    <row r="1656" spans="1:16" ht="13.5" hidden="1" customHeight="1" outlineLevel="3" x14ac:dyDescent="0.2">
      <c r="A1656" s="233">
        <v>0</v>
      </c>
      <c r="B1656" s="233">
        <v>18</v>
      </c>
      <c r="C1656" s="233">
        <v>26</v>
      </c>
      <c r="D1656" s="234">
        <v>1</v>
      </c>
      <c r="E1656" s="234">
        <v>1</v>
      </c>
      <c r="G1656" s="508" t="s">
        <v>51</v>
      </c>
      <c r="H1656" s="493" t="s">
        <v>1238</v>
      </c>
      <c r="I1656" s="460" t="s">
        <v>6146</v>
      </c>
      <c r="J1656" s="495" t="s">
        <v>2893</v>
      </c>
      <c r="K1656" s="496" t="s">
        <v>787</v>
      </c>
      <c r="L1656" s="497">
        <v>15.299999999999999</v>
      </c>
      <c r="M1656" s="497">
        <v>66.849999999999994</v>
      </c>
      <c r="N1656" s="464">
        <v>1022.8049999999999</v>
      </c>
      <c r="O1656" s="498" t="s">
        <v>2704</v>
      </c>
      <c r="P1656" s="431" t="s">
        <v>6711</v>
      </c>
    </row>
    <row r="1657" spans="1:16" ht="13.5" hidden="1" customHeight="1" outlineLevel="3" x14ac:dyDescent="0.2">
      <c r="A1657" s="233">
        <v>0</v>
      </c>
      <c r="B1657" s="233">
        <v>18</v>
      </c>
      <c r="C1657" s="233">
        <v>26</v>
      </c>
      <c r="D1657" s="234">
        <v>1</v>
      </c>
      <c r="E1657" s="234">
        <v>2</v>
      </c>
      <c r="G1657" s="508" t="s">
        <v>51</v>
      </c>
      <c r="H1657" s="493" t="s">
        <v>1238</v>
      </c>
      <c r="I1657" s="460" t="s">
        <v>6147</v>
      </c>
      <c r="J1657" s="495" t="s">
        <v>1892</v>
      </c>
      <c r="K1657" s="496" t="s">
        <v>533</v>
      </c>
      <c r="L1657" s="497">
        <v>3</v>
      </c>
      <c r="M1657" s="497">
        <v>1237.5</v>
      </c>
      <c r="N1657" s="464">
        <v>3712.5</v>
      </c>
      <c r="O1657" s="498" t="s">
        <v>2704</v>
      </c>
      <c r="P1657" s="431" t="s">
        <v>6711</v>
      </c>
    </row>
    <row r="1658" spans="1:16" ht="13.5" hidden="1" customHeight="1" outlineLevel="2" x14ac:dyDescent="0.2">
      <c r="A1658" s="233">
        <v>0</v>
      </c>
      <c r="B1658" s="233">
        <v>18</v>
      </c>
      <c r="C1658" s="233">
        <v>26</v>
      </c>
      <c r="D1658" s="234">
        <v>2</v>
      </c>
      <c r="E1658" s="234">
        <v>0</v>
      </c>
      <c r="G1658" s="507"/>
      <c r="H1658" s="487" t="s">
        <v>1237</v>
      </c>
      <c r="I1658" s="452" t="s">
        <v>6148</v>
      </c>
      <c r="J1658" s="489" t="s">
        <v>1885</v>
      </c>
      <c r="K1658" s="490"/>
      <c r="L1658" s="491"/>
      <c r="M1658" s="491"/>
      <c r="N1658" s="456"/>
      <c r="O1658" s="492"/>
      <c r="P1658" s="430"/>
    </row>
    <row r="1659" spans="1:16" ht="13.5" hidden="1" customHeight="1" outlineLevel="3" x14ac:dyDescent="0.2">
      <c r="A1659" s="233">
        <v>0</v>
      </c>
      <c r="B1659" s="233">
        <v>18</v>
      </c>
      <c r="C1659" s="233">
        <v>26</v>
      </c>
      <c r="D1659" s="234">
        <v>2</v>
      </c>
      <c r="E1659" s="234">
        <v>1</v>
      </c>
      <c r="G1659" s="508" t="s">
        <v>51</v>
      </c>
      <c r="H1659" s="493" t="s">
        <v>1238</v>
      </c>
      <c r="I1659" s="460" t="s">
        <v>6149</v>
      </c>
      <c r="J1659" s="495" t="s">
        <v>2706</v>
      </c>
      <c r="K1659" s="496" t="s">
        <v>787</v>
      </c>
      <c r="L1659" s="497" t="e">
        <v>#REF!</v>
      </c>
      <c r="M1659" s="497">
        <v>820</v>
      </c>
      <c r="N1659" s="464"/>
      <c r="O1659" s="498" t="s">
        <v>2703</v>
      </c>
      <c r="P1659" s="431" t="s">
        <v>6711</v>
      </c>
    </row>
    <row r="1660" spans="1:16" ht="13.5" hidden="1" customHeight="1" outlineLevel="3" x14ac:dyDescent="0.2">
      <c r="A1660" s="233">
        <v>0</v>
      </c>
      <c r="B1660" s="233">
        <v>18</v>
      </c>
      <c r="C1660" s="233">
        <v>26</v>
      </c>
      <c r="D1660" s="234">
        <v>2</v>
      </c>
      <c r="E1660" s="234">
        <v>2</v>
      </c>
      <c r="G1660" s="508" t="s">
        <v>51</v>
      </c>
      <c r="H1660" s="493" t="s">
        <v>1238</v>
      </c>
      <c r="I1660" s="460" t="s">
        <v>6150</v>
      </c>
      <c r="J1660" s="495" t="s">
        <v>2707</v>
      </c>
      <c r="K1660" s="496" t="s">
        <v>787</v>
      </c>
      <c r="L1660" s="497" t="e">
        <v>#REF!</v>
      </c>
      <c r="M1660" s="497">
        <v>520</v>
      </c>
      <c r="N1660" s="464"/>
      <c r="O1660" s="498" t="s">
        <v>2703</v>
      </c>
      <c r="P1660" s="431" t="s">
        <v>6711</v>
      </c>
    </row>
    <row r="1661" spans="1:16" ht="13.5" hidden="1" customHeight="1" outlineLevel="2" x14ac:dyDescent="0.2">
      <c r="A1661" s="233">
        <v>0</v>
      </c>
      <c r="B1661" s="233">
        <v>18</v>
      </c>
      <c r="C1661" s="233">
        <v>26</v>
      </c>
      <c r="D1661" s="234">
        <v>3</v>
      </c>
      <c r="E1661" s="234">
        <v>0</v>
      </c>
      <c r="G1661" s="507"/>
      <c r="H1661" s="487" t="s">
        <v>1237</v>
      </c>
      <c r="I1661" s="452" t="s">
        <v>6151</v>
      </c>
      <c r="J1661" s="489" t="s">
        <v>14</v>
      </c>
      <c r="K1661" s="490"/>
      <c r="L1661" s="491"/>
      <c r="M1661" s="491"/>
      <c r="N1661" s="456">
        <v>900</v>
      </c>
      <c r="O1661" s="492">
        <v>5.3732401892097E-2</v>
      </c>
      <c r="P1661" s="430"/>
    </row>
    <row r="1662" spans="1:16" ht="13.5" hidden="1" customHeight="1" outlineLevel="3" x14ac:dyDescent="0.2">
      <c r="A1662" s="233">
        <v>0</v>
      </c>
      <c r="B1662" s="233">
        <v>18</v>
      </c>
      <c r="C1662" s="233">
        <v>26</v>
      </c>
      <c r="D1662" s="234">
        <v>3</v>
      </c>
      <c r="E1662" s="234">
        <v>1</v>
      </c>
      <c r="G1662" s="508" t="s">
        <v>51</v>
      </c>
      <c r="H1662" s="493" t="s">
        <v>1238</v>
      </c>
      <c r="I1662" s="460" t="s">
        <v>6152</v>
      </c>
      <c r="J1662" s="495" t="s">
        <v>844</v>
      </c>
      <c r="K1662" s="496" t="s">
        <v>533</v>
      </c>
      <c r="L1662" s="497">
        <v>3</v>
      </c>
      <c r="M1662" s="497">
        <v>300</v>
      </c>
      <c r="N1662" s="464">
        <v>900</v>
      </c>
      <c r="O1662" s="498" t="s">
        <v>2704</v>
      </c>
      <c r="P1662" s="431" t="s">
        <v>6711</v>
      </c>
    </row>
    <row r="1663" spans="1:16" ht="13.5" hidden="1" customHeight="1" outlineLevel="1" x14ac:dyDescent="0.2">
      <c r="A1663" s="233">
        <v>0</v>
      </c>
      <c r="B1663" s="233">
        <v>18</v>
      </c>
      <c r="C1663" s="233">
        <v>27</v>
      </c>
      <c r="D1663" s="234">
        <v>0</v>
      </c>
      <c r="E1663" s="234">
        <v>1</v>
      </c>
      <c r="G1663" s="506"/>
      <c r="H1663" s="481" t="s">
        <v>38</v>
      </c>
      <c r="I1663" s="445" t="s">
        <v>6153</v>
      </c>
      <c r="J1663" s="483" t="s">
        <v>3063</v>
      </c>
      <c r="K1663" s="484"/>
      <c r="L1663" s="485"/>
      <c r="M1663" s="485"/>
      <c r="N1663" s="449"/>
      <c r="O1663" s="486"/>
      <c r="P1663" s="429"/>
    </row>
    <row r="1664" spans="1:16" ht="13.5" hidden="1" customHeight="1" outlineLevel="2" x14ac:dyDescent="0.2">
      <c r="A1664" s="233">
        <v>0</v>
      </c>
      <c r="B1664" s="233">
        <v>18</v>
      </c>
      <c r="C1664" s="233">
        <v>27</v>
      </c>
      <c r="D1664" s="234">
        <v>1</v>
      </c>
      <c r="E1664" s="234">
        <v>0</v>
      </c>
      <c r="G1664" s="507"/>
      <c r="H1664" s="487" t="s">
        <v>1237</v>
      </c>
      <c r="I1664" s="452" t="s">
        <v>6154</v>
      </c>
      <c r="J1664" s="489" t="s">
        <v>2279</v>
      </c>
      <c r="K1664" s="490"/>
      <c r="L1664" s="491"/>
      <c r="M1664" s="491"/>
      <c r="N1664" s="456">
        <v>6313.74</v>
      </c>
      <c r="O1664" s="492"/>
      <c r="P1664" s="430"/>
    </row>
    <row r="1665" spans="1:16" ht="13.5" hidden="1" customHeight="1" outlineLevel="3" x14ac:dyDescent="0.2">
      <c r="A1665" s="233">
        <v>0</v>
      </c>
      <c r="B1665" s="233">
        <v>18</v>
      </c>
      <c r="C1665" s="233">
        <v>27</v>
      </c>
      <c r="D1665" s="234">
        <v>1</v>
      </c>
      <c r="E1665" s="234">
        <v>1</v>
      </c>
      <c r="G1665" s="508" t="s">
        <v>51</v>
      </c>
      <c r="H1665" s="493" t="s">
        <v>1238</v>
      </c>
      <c r="I1665" s="460" t="s">
        <v>6155</v>
      </c>
      <c r="J1665" s="495" t="s">
        <v>2893</v>
      </c>
      <c r="K1665" s="496" t="s">
        <v>787</v>
      </c>
      <c r="L1665" s="497">
        <v>20.399999999999999</v>
      </c>
      <c r="M1665" s="497">
        <v>66.849999999999994</v>
      </c>
      <c r="N1665" s="464">
        <v>1363.74</v>
      </c>
      <c r="O1665" s="498" t="s">
        <v>2704</v>
      </c>
      <c r="P1665" s="431" t="s">
        <v>6711</v>
      </c>
    </row>
    <row r="1666" spans="1:16" ht="13.5" hidden="1" customHeight="1" outlineLevel="3" x14ac:dyDescent="0.2">
      <c r="A1666" s="233">
        <v>0</v>
      </c>
      <c r="B1666" s="233">
        <v>18</v>
      </c>
      <c r="C1666" s="233">
        <v>27</v>
      </c>
      <c r="D1666" s="234">
        <v>1</v>
      </c>
      <c r="E1666" s="234">
        <v>2</v>
      </c>
      <c r="G1666" s="508" t="s">
        <v>51</v>
      </c>
      <c r="H1666" s="493" t="s">
        <v>1238</v>
      </c>
      <c r="I1666" s="460" t="s">
        <v>6156</v>
      </c>
      <c r="J1666" s="495" t="s">
        <v>1892</v>
      </c>
      <c r="K1666" s="496" t="s">
        <v>533</v>
      </c>
      <c r="L1666" s="497">
        <v>4</v>
      </c>
      <c r="M1666" s="497">
        <v>1237.5</v>
      </c>
      <c r="N1666" s="464">
        <v>4950</v>
      </c>
      <c r="O1666" s="498" t="s">
        <v>2704</v>
      </c>
      <c r="P1666" s="431" t="s">
        <v>6711</v>
      </c>
    </row>
    <row r="1667" spans="1:16" ht="13.5" hidden="1" customHeight="1" outlineLevel="2" x14ac:dyDescent="0.2">
      <c r="A1667" s="233">
        <v>0</v>
      </c>
      <c r="B1667" s="233">
        <v>18</v>
      </c>
      <c r="C1667" s="233">
        <v>27</v>
      </c>
      <c r="D1667" s="234">
        <v>2</v>
      </c>
      <c r="E1667" s="234">
        <v>0</v>
      </c>
      <c r="G1667" s="507"/>
      <c r="H1667" s="487" t="s">
        <v>1237</v>
      </c>
      <c r="I1667" s="452" t="s">
        <v>6157</v>
      </c>
      <c r="J1667" s="489" t="s">
        <v>1885</v>
      </c>
      <c r="K1667" s="490"/>
      <c r="L1667" s="491"/>
      <c r="M1667" s="491"/>
      <c r="N1667" s="456"/>
      <c r="O1667" s="492"/>
      <c r="P1667" s="430"/>
    </row>
    <row r="1668" spans="1:16" ht="13.5" hidden="1" customHeight="1" outlineLevel="3" x14ac:dyDescent="0.2">
      <c r="A1668" s="233">
        <v>0</v>
      </c>
      <c r="B1668" s="233">
        <v>18</v>
      </c>
      <c r="C1668" s="233">
        <v>27</v>
      </c>
      <c r="D1668" s="234">
        <v>2</v>
      </c>
      <c r="E1668" s="234">
        <v>1</v>
      </c>
      <c r="G1668" s="508" t="s">
        <v>51</v>
      </c>
      <c r="H1668" s="493" t="s">
        <v>1238</v>
      </c>
      <c r="I1668" s="460" t="s">
        <v>6158</v>
      </c>
      <c r="J1668" s="495" t="s">
        <v>2706</v>
      </c>
      <c r="K1668" s="496" t="s">
        <v>787</v>
      </c>
      <c r="L1668" s="497" t="e">
        <v>#REF!</v>
      </c>
      <c r="M1668" s="497">
        <v>820</v>
      </c>
      <c r="N1668" s="464"/>
      <c r="O1668" s="498" t="s">
        <v>2703</v>
      </c>
      <c r="P1668" s="431" t="s">
        <v>6711</v>
      </c>
    </row>
    <row r="1669" spans="1:16" ht="13.5" hidden="1" customHeight="1" outlineLevel="3" x14ac:dyDescent="0.2">
      <c r="A1669" s="233">
        <v>0</v>
      </c>
      <c r="B1669" s="233">
        <v>18</v>
      </c>
      <c r="C1669" s="233">
        <v>27</v>
      </c>
      <c r="D1669" s="234">
        <v>2</v>
      </c>
      <c r="E1669" s="234">
        <v>2</v>
      </c>
      <c r="G1669" s="508" t="s">
        <v>51</v>
      </c>
      <c r="H1669" s="493" t="s">
        <v>1238</v>
      </c>
      <c r="I1669" s="460" t="s">
        <v>6159</v>
      </c>
      <c r="J1669" s="495" t="s">
        <v>2707</v>
      </c>
      <c r="K1669" s="496" t="s">
        <v>787</v>
      </c>
      <c r="L1669" s="497" t="e">
        <v>#REF!</v>
      </c>
      <c r="M1669" s="497">
        <v>520</v>
      </c>
      <c r="N1669" s="464"/>
      <c r="O1669" s="498" t="s">
        <v>2703</v>
      </c>
      <c r="P1669" s="431" t="s">
        <v>6711</v>
      </c>
    </row>
    <row r="1670" spans="1:16" ht="13.5" hidden="1" customHeight="1" outlineLevel="2" x14ac:dyDescent="0.2">
      <c r="A1670" s="233">
        <v>0</v>
      </c>
      <c r="B1670" s="233">
        <v>18</v>
      </c>
      <c r="C1670" s="233">
        <v>27</v>
      </c>
      <c r="D1670" s="234">
        <v>3</v>
      </c>
      <c r="E1670" s="234">
        <v>0</v>
      </c>
      <c r="G1670" s="507"/>
      <c r="H1670" s="487" t="s">
        <v>1237</v>
      </c>
      <c r="I1670" s="452" t="s">
        <v>6160</v>
      </c>
      <c r="J1670" s="489" t="s">
        <v>14</v>
      </c>
      <c r="K1670" s="490"/>
      <c r="L1670" s="491"/>
      <c r="M1670" s="491"/>
      <c r="N1670" s="456">
        <v>1200</v>
      </c>
      <c r="O1670" s="492">
        <v>7.1643202522796004E-2</v>
      </c>
      <c r="P1670" s="430"/>
    </row>
    <row r="1671" spans="1:16" ht="13.5" hidden="1" customHeight="1" outlineLevel="3" x14ac:dyDescent="0.2">
      <c r="A1671" s="233">
        <v>0</v>
      </c>
      <c r="B1671" s="233">
        <v>18</v>
      </c>
      <c r="C1671" s="233">
        <v>27</v>
      </c>
      <c r="D1671" s="234">
        <v>3</v>
      </c>
      <c r="E1671" s="234">
        <v>1</v>
      </c>
      <c r="G1671" s="508" t="s">
        <v>51</v>
      </c>
      <c r="H1671" s="493" t="s">
        <v>1238</v>
      </c>
      <c r="I1671" s="460" t="s">
        <v>6161</v>
      </c>
      <c r="J1671" s="495" t="s">
        <v>844</v>
      </c>
      <c r="K1671" s="496" t="s">
        <v>533</v>
      </c>
      <c r="L1671" s="497">
        <v>4</v>
      </c>
      <c r="M1671" s="497">
        <v>300</v>
      </c>
      <c r="N1671" s="464">
        <v>1200</v>
      </c>
      <c r="O1671" s="498" t="s">
        <v>2704</v>
      </c>
      <c r="P1671" s="431" t="s">
        <v>6711</v>
      </c>
    </row>
    <row r="1672" spans="1:16" ht="13.5" hidden="1" customHeight="1" outlineLevel="1" x14ac:dyDescent="0.2">
      <c r="A1672" s="233">
        <v>0</v>
      </c>
      <c r="B1672" s="233">
        <v>18</v>
      </c>
      <c r="C1672" s="233">
        <v>28</v>
      </c>
      <c r="D1672" s="234">
        <v>0</v>
      </c>
      <c r="E1672" s="234">
        <v>1</v>
      </c>
      <c r="G1672" s="506"/>
      <c r="H1672" s="481" t="s">
        <v>38</v>
      </c>
      <c r="I1672" s="445" t="s">
        <v>6162</v>
      </c>
      <c r="J1672" s="483" t="s">
        <v>3064</v>
      </c>
      <c r="K1672" s="484"/>
      <c r="L1672" s="485"/>
      <c r="M1672" s="485"/>
      <c r="N1672" s="449"/>
      <c r="O1672" s="486"/>
      <c r="P1672" s="429"/>
    </row>
    <row r="1673" spans="1:16" ht="13.5" hidden="1" customHeight="1" outlineLevel="2" x14ac:dyDescent="0.2">
      <c r="A1673" s="233">
        <v>0</v>
      </c>
      <c r="B1673" s="233">
        <v>18</v>
      </c>
      <c r="C1673" s="233">
        <v>28</v>
      </c>
      <c r="D1673" s="234">
        <v>1</v>
      </c>
      <c r="E1673" s="234">
        <v>0</v>
      </c>
      <c r="G1673" s="507"/>
      <c r="H1673" s="487" t="s">
        <v>1237</v>
      </c>
      <c r="I1673" s="452" t="s">
        <v>6163</v>
      </c>
      <c r="J1673" s="489" t="s">
        <v>2279</v>
      </c>
      <c r="K1673" s="490"/>
      <c r="L1673" s="491"/>
      <c r="M1673" s="491"/>
      <c r="N1673" s="456">
        <v>6313.74</v>
      </c>
      <c r="O1673" s="492"/>
      <c r="P1673" s="430"/>
    </row>
    <row r="1674" spans="1:16" ht="13.5" hidden="1" customHeight="1" outlineLevel="3" x14ac:dyDescent="0.2">
      <c r="A1674" s="233">
        <v>0</v>
      </c>
      <c r="B1674" s="233">
        <v>18</v>
      </c>
      <c r="C1674" s="233">
        <v>28</v>
      </c>
      <c r="D1674" s="234">
        <v>1</v>
      </c>
      <c r="E1674" s="234">
        <v>1</v>
      </c>
      <c r="G1674" s="508" t="s">
        <v>51</v>
      </c>
      <c r="H1674" s="493" t="s">
        <v>1238</v>
      </c>
      <c r="I1674" s="460" t="s">
        <v>6164</v>
      </c>
      <c r="J1674" s="495" t="s">
        <v>2893</v>
      </c>
      <c r="K1674" s="496" t="s">
        <v>787</v>
      </c>
      <c r="L1674" s="497">
        <v>20.399999999999999</v>
      </c>
      <c r="M1674" s="497">
        <v>66.849999999999994</v>
      </c>
      <c r="N1674" s="464">
        <v>1363.74</v>
      </c>
      <c r="O1674" s="498" t="s">
        <v>2704</v>
      </c>
      <c r="P1674" s="431" t="s">
        <v>6711</v>
      </c>
    </row>
    <row r="1675" spans="1:16" ht="13.5" hidden="1" customHeight="1" outlineLevel="3" x14ac:dyDescent="0.2">
      <c r="A1675" s="233">
        <v>0</v>
      </c>
      <c r="B1675" s="233">
        <v>18</v>
      </c>
      <c r="C1675" s="233">
        <v>28</v>
      </c>
      <c r="D1675" s="234">
        <v>1</v>
      </c>
      <c r="E1675" s="234">
        <v>2</v>
      </c>
      <c r="G1675" s="508" t="s">
        <v>51</v>
      </c>
      <c r="H1675" s="493" t="s">
        <v>1238</v>
      </c>
      <c r="I1675" s="460" t="s">
        <v>6165</v>
      </c>
      <c r="J1675" s="495" t="s">
        <v>1892</v>
      </c>
      <c r="K1675" s="496" t="s">
        <v>533</v>
      </c>
      <c r="L1675" s="497">
        <v>4</v>
      </c>
      <c r="M1675" s="497">
        <v>1237.5</v>
      </c>
      <c r="N1675" s="464">
        <v>4950</v>
      </c>
      <c r="O1675" s="498" t="s">
        <v>2704</v>
      </c>
      <c r="P1675" s="431" t="s">
        <v>6711</v>
      </c>
    </row>
    <row r="1676" spans="1:16" ht="13.5" hidden="1" customHeight="1" outlineLevel="2" x14ac:dyDescent="0.2">
      <c r="A1676" s="233">
        <v>0</v>
      </c>
      <c r="B1676" s="233">
        <v>18</v>
      </c>
      <c r="C1676" s="233">
        <v>28</v>
      </c>
      <c r="D1676" s="234">
        <v>2</v>
      </c>
      <c r="E1676" s="234">
        <v>0</v>
      </c>
      <c r="G1676" s="507"/>
      <c r="H1676" s="487" t="s">
        <v>1237</v>
      </c>
      <c r="I1676" s="452" t="s">
        <v>6166</v>
      </c>
      <c r="J1676" s="489" t="s">
        <v>1885</v>
      </c>
      <c r="K1676" s="490"/>
      <c r="L1676" s="491"/>
      <c r="M1676" s="491"/>
      <c r="N1676" s="456"/>
      <c r="O1676" s="492"/>
      <c r="P1676" s="430"/>
    </row>
    <row r="1677" spans="1:16" ht="13.5" hidden="1" customHeight="1" outlineLevel="3" x14ac:dyDescent="0.2">
      <c r="A1677" s="233">
        <v>0</v>
      </c>
      <c r="B1677" s="233">
        <v>18</v>
      </c>
      <c r="C1677" s="233">
        <v>28</v>
      </c>
      <c r="D1677" s="234">
        <v>2</v>
      </c>
      <c r="E1677" s="234">
        <v>1</v>
      </c>
      <c r="G1677" s="508" t="s">
        <v>51</v>
      </c>
      <c r="H1677" s="493" t="s">
        <v>1238</v>
      </c>
      <c r="I1677" s="460" t="s">
        <v>6167</v>
      </c>
      <c r="J1677" s="495" t="s">
        <v>2706</v>
      </c>
      <c r="K1677" s="496" t="s">
        <v>787</v>
      </c>
      <c r="L1677" s="497" t="e">
        <v>#REF!</v>
      </c>
      <c r="M1677" s="497">
        <v>820</v>
      </c>
      <c r="N1677" s="464"/>
      <c r="O1677" s="498" t="s">
        <v>2703</v>
      </c>
      <c r="P1677" s="431" t="s">
        <v>6711</v>
      </c>
    </row>
    <row r="1678" spans="1:16" ht="13.5" hidden="1" customHeight="1" outlineLevel="3" x14ac:dyDescent="0.2">
      <c r="A1678" s="233">
        <v>0</v>
      </c>
      <c r="B1678" s="233">
        <v>18</v>
      </c>
      <c r="C1678" s="233">
        <v>28</v>
      </c>
      <c r="D1678" s="234">
        <v>2</v>
      </c>
      <c r="E1678" s="234">
        <v>2</v>
      </c>
      <c r="G1678" s="508" t="s">
        <v>51</v>
      </c>
      <c r="H1678" s="493" t="s">
        <v>1238</v>
      </c>
      <c r="I1678" s="460" t="s">
        <v>6168</v>
      </c>
      <c r="J1678" s="495" t="s">
        <v>2707</v>
      </c>
      <c r="K1678" s="496" t="s">
        <v>787</v>
      </c>
      <c r="L1678" s="497" t="e">
        <v>#REF!</v>
      </c>
      <c r="M1678" s="497">
        <v>520</v>
      </c>
      <c r="N1678" s="464"/>
      <c r="O1678" s="498" t="s">
        <v>2703</v>
      </c>
      <c r="P1678" s="431" t="s">
        <v>6711</v>
      </c>
    </row>
    <row r="1679" spans="1:16" ht="13.5" hidden="1" customHeight="1" outlineLevel="2" x14ac:dyDescent="0.2">
      <c r="A1679" s="233">
        <v>0</v>
      </c>
      <c r="B1679" s="233">
        <v>18</v>
      </c>
      <c r="C1679" s="233">
        <v>28</v>
      </c>
      <c r="D1679" s="234">
        <v>3</v>
      </c>
      <c r="E1679" s="234">
        <v>0</v>
      </c>
      <c r="G1679" s="507"/>
      <c r="H1679" s="487" t="s">
        <v>1237</v>
      </c>
      <c r="I1679" s="452" t="s">
        <v>6169</v>
      </c>
      <c r="J1679" s="489" t="s">
        <v>14</v>
      </c>
      <c r="K1679" s="490"/>
      <c r="L1679" s="491"/>
      <c r="M1679" s="491"/>
      <c r="N1679" s="456">
        <v>1200</v>
      </c>
      <c r="O1679" s="492">
        <v>7.1643202522796004E-2</v>
      </c>
      <c r="P1679" s="430"/>
    </row>
    <row r="1680" spans="1:16" ht="13.5" hidden="1" customHeight="1" outlineLevel="3" x14ac:dyDescent="0.2">
      <c r="A1680" s="233">
        <v>0</v>
      </c>
      <c r="B1680" s="233">
        <v>18</v>
      </c>
      <c r="C1680" s="233">
        <v>28</v>
      </c>
      <c r="D1680" s="234">
        <v>3</v>
      </c>
      <c r="E1680" s="234">
        <v>1</v>
      </c>
      <c r="G1680" s="508" t="s">
        <v>51</v>
      </c>
      <c r="H1680" s="493" t="s">
        <v>1238</v>
      </c>
      <c r="I1680" s="460" t="s">
        <v>6170</v>
      </c>
      <c r="J1680" s="495" t="s">
        <v>844</v>
      </c>
      <c r="K1680" s="496" t="s">
        <v>533</v>
      </c>
      <c r="L1680" s="497">
        <v>4</v>
      </c>
      <c r="M1680" s="497">
        <v>300</v>
      </c>
      <c r="N1680" s="464">
        <v>1200</v>
      </c>
      <c r="O1680" s="498" t="s">
        <v>2704</v>
      </c>
      <c r="P1680" s="431" t="s">
        <v>6711</v>
      </c>
    </row>
    <row r="1681" spans="1:16" ht="13.5" hidden="1" customHeight="1" outlineLevel="1" x14ac:dyDescent="0.2">
      <c r="A1681" s="233">
        <v>0</v>
      </c>
      <c r="B1681" s="233">
        <v>18</v>
      </c>
      <c r="C1681" s="233">
        <v>29</v>
      </c>
      <c r="D1681" s="234">
        <v>0</v>
      </c>
      <c r="E1681" s="234">
        <v>1</v>
      </c>
      <c r="G1681" s="506"/>
      <c r="H1681" s="481" t="s">
        <v>38</v>
      </c>
      <c r="I1681" s="445" t="s">
        <v>6171</v>
      </c>
      <c r="J1681" s="483" t="s">
        <v>3065</v>
      </c>
      <c r="K1681" s="484"/>
      <c r="L1681" s="485"/>
      <c r="M1681" s="485"/>
      <c r="N1681" s="449"/>
      <c r="O1681" s="486"/>
      <c r="P1681" s="429"/>
    </row>
    <row r="1682" spans="1:16" ht="13.5" hidden="1" customHeight="1" outlineLevel="2" x14ac:dyDescent="0.2">
      <c r="A1682" s="233">
        <v>0</v>
      </c>
      <c r="B1682" s="233">
        <v>18</v>
      </c>
      <c r="C1682" s="233">
        <v>29</v>
      </c>
      <c r="D1682" s="234">
        <v>1</v>
      </c>
      <c r="E1682" s="234">
        <v>0</v>
      </c>
      <c r="G1682" s="507"/>
      <c r="H1682" s="487" t="s">
        <v>1237</v>
      </c>
      <c r="I1682" s="452" t="s">
        <v>6172</v>
      </c>
      <c r="J1682" s="489" t="s">
        <v>2279</v>
      </c>
      <c r="K1682" s="490"/>
      <c r="L1682" s="491"/>
      <c r="M1682" s="491"/>
      <c r="N1682" s="456">
        <v>4735.3050000000003</v>
      </c>
      <c r="O1682" s="492"/>
      <c r="P1682" s="430"/>
    </row>
    <row r="1683" spans="1:16" ht="13.5" hidden="1" customHeight="1" outlineLevel="3" x14ac:dyDescent="0.2">
      <c r="A1683" s="233">
        <v>0</v>
      </c>
      <c r="B1683" s="233">
        <v>18</v>
      </c>
      <c r="C1683" s="233">
        <v>29</v>
      </c>
      <c r="D1683" s="234">
        <v>1</v>
      </c>
      <c r="E1683" s="234">
        <v>1</v>
      </c>
      <c r="G1683" s="508" t="s">
        <v>51</v>
      </c>
      <c r="H1683" s="493" t="s">
        <v>1238</v>
      </c>
      <c r="I1683" s="460" t="s">
        <v>6173</v>
      </c>
      <c r="J1683" s="495" t="s">
        <v>2893</v>
      </c>
      <c r="K1683" s="496" t="s">
        <v>787</v>
      </c>
      <c r="L1683" s="497">
        <v>15.299999999999999</v>
      </c>
      <c r="M1683" s="497">
        <v>66.849999999999994</v>
      </c>
      <c r="N1683" s="464">
        <v>1022.8049999999999</v>
      </c>
      <c r="O1683" s="498" t="s">
        <v>2704</v>
      </c>
      <c r="P1683" s="431" t="s">
        <v>6711</v>
      </c>
    </row>
    <row r="1684" spans="1:16" ht="13.5" hidden="1" customHeight="1" outlineLevel="3" x14ac:dyDescent="0.2">
      <c r="A1684" s="233">
        <v>0</v>
      </c>
      <c r="B1684" s="233">
        <v>18</v>
      </c>
      <c r="C1684" s="233">
        <v>29</v>
      </c>
      <c r="D1684" s="234">
        <v>1</v>
      </c>
      <c r="E1684" s="234">
        <v>2</v>
      </c>
      <c r="G1684" s="508" t="s">
        <v>51</v>
      </c>
      <c r="H1684" s="493" t="s">
        <v>1238</v>
      </c>
      <c r="I1684" s="460" t="s">
        <v>6174</v>
      </c>
      <c r="J1684" s="495" t="s">
        <v>1892</v>
      </c>
      <c r="K1684" s="496" t="s">
        <v>533</v>
      </c>
      <c r="L1684" s="497">
        <v>3</v>
      </c>
      <c r="M1684" s="497">
        <v>1237.5</v>
      </c>
      <c r="N1684" s="464">
        <v>3712.5</v>
      </c>
      <c r="O1684" s="498" t="s">
        <v>2704</v>
      </c>
      <c r="P1684" s="431" t="s">
        <v>6711</v>
      </c>
    </row>
    <row r="1685" spans="1:16" ht="13.5" hidden="1" customHeight="1" outlineLevel="2" x14ac:dyDescent="0.2">
      <c r="A1685" s="233">
        <v>0</v>
      </c>
      <c r="B1685" s="233">
        <v>18</v>
      </c>
      <c r="C1685" s="233">
        <v>29</v>
      </c>
      <c r="D1685" s="234">
        <v>2</v>
      </c>
      <c r="E1685" s="234">
        <v>0</v>
      </c>
      <c r="G1685" s="507"/>
      <c r="H1685" s="487" t="s">
        <v>1237</v>
      </c>
      <c r="I1685" s="452" t="s">
        <v>6175</v>
      </c>
      <c r="J1685" s="489" t="s">
        <v>1885</v>
      </c>
      <c r="K1685" s="490"/>
      <c r="L1685" s="491"/>
      <c r="M1685" s="491"/>
      <c r="N1685" s="456"/>
      <c r="O1685" s="492"/>
      <c r="P1685" s="430"/>
    </row>
    <row r="1686" spans="1:16" ht="13.5" hidden="1" customHeight="1" outlineLevel="3" x14ac:dyDescent="0.2">
      <c r="A1686" s="233">
        <v>0</v>
      </c>
      <c r="B1686" s="233">
        <v>18</v>
      </c>
      <c r="C1686" s="233">
        <v>29</v>
      </c>
      <c r="D1686" s="234">
        <v>2</v>
      </c>
      <c r="E1686" s="234">
        <v>1</v>
      </c>
      <c r="G1686" s="508" t="s">
        <v>51</v>
      </c>
      <c r="H1686" s="493" t="s">
        <v>1238</v>
      </c>
      <c r="I1686" s="460" t="s">
        <v>6176</v>
      </c>
      <c r="J1686" s="495" t="s">
        <v>2706</v>
      </c>
      <c r="K1686" s="496" t="s">
        <v>787</v>
      </c>
      <c r="L1686" s="497" t="e">
        <v>#REF!</v>
      </c>
      <c r="M1686" s="497">
        <v>820</v>
      </c>
      <c r="N1686" s="464"/>
      <c r="O1686" s="498" t="s">
        <v>2703</v>
      </c>
      <c r="P1686" s="431" t="s">
        <v>6711</v>
      </c>
    </row>
    <row r="1687" spans="1:16" ht="13.5" hidden="1" customHeight="1" outlineLevel="3" x14ac:dyDescent="0.2">
      <c r="A1687" s="233">
        <v>0</v>
      </c>
      <c r="B1687" s="233">
        <v>18</v>
      </c>
      <c r="C1687" s="233">
        <v>29</v>
      </c>
      <c r="D1687" s="234">
        <v>2</v>
      </c>
      <c r="E1687" s="234">
        <v>2</v>
      </c>
      <c r="G1687" s="508" t="s">
        <v>51</v>
      </c>
      <c r="H1687" s="493" t="s">
        <v>1238</v>
      </c>
      <c r="I1687" s="460" t="s">
        <v>6177</v>
      </c>
      <c r="J1687" s="495" t="s">
        <v>2707</v>
      </c>
      <c r="K1687" s="496" t="s">
        <v>787</v>
      </c>
      <c r="L1687" s="497" t="e">
        <v>#REF!</v>
      </c>
      <c r="M1687" s="497">
        <v>520</v>
      </c>
      <c r="N1687" s="464"/>
      <c r="O1687" s="498" t="s">
        <v>2703</v>
      </c>
      <c r="P1687" s="431" t="s">
        <v>6711</v>
      </c>
    </row>
    <row r="1688" spans="1:16" ht="12.75" hidden="1" customHeight="1" outlineLevel="2" x14ac:dyDescent="0.2">
      <c r="A1688" s="233">
        <v>0</v>
      </c>
      <c r="B1688" s="233">
        <v>18</v>
      </c>
      <c r="C1688" s="233">
        <v>29</v>
      </c>
      <c r="D1688" s="234">
        <v>3</v>
      </c>
      <c r="E1688" s="234">
        <v>0</v>
      </c>
      <c r="G1688" s="507"/>
      <c r="H1688" s="487" t="s">
        <v>1237</v>
      </c>
      <c r="I1688" s="452" t="s">
        <v>6178</v>
      </c>
      <c r="J1688" s="489" t="s">
        <v>2709</v>
      </c>
      <c r="K1688" s="490"/>
      <c r="L1688" s="491"/>
      <c r="M1688" s="491"/>
      <c r="N1688" s="456"/>
      <c r="O1688" s="492"/>
      <c r="P1688" s="430"/>
    </row>
    <row r="1689" spans="1:16" ht="12.75" hidden="1" customHeight="1" outlineLevel="3" x14ac:dyDescent="0.2">
      <c r="A1689" s="233">
        <v>0</v>
      </c>
      <c r="B1689" s="233">
        <v>18</v>
      </c>
      <c r="C1689" s="233">
        <v>29</v>
      </c>
      <c r="D1689" s="234">
        <v>3</v>
      </c>
      <c r="E1689" s="234">
        <v>1</v>
      </c>
      <c r="G1689" s="508" t="s">
        <v>51</v>
      </c>
      <c r="H1689" s="493" t="s">
        <v>1238</v>
      </c>
      <c r="I1689" s="460" t="s">
        <v>6179</v>
      </c>
      <c r="J1689" s="495" t="s">
        <v>2708</v>
      </c>
      <c r="K1689" s="496" t="s">
        <v>641</v>
      </c>
      <c r="L1689" s="497" t="e">
        <v>#REF!</v>
      </c>
      <c r="M1689" s="497">
        <v>1240</v>
      </c>
      <c r="N1689" s="464"/>
      <c r="O1689" s="498" t="s">
        <v>2703</v>
      </c>
      <c r="P1689" s="431" t="s">
        <v>6711</v>
      </c>
    </row>
    <row r="1690" spans="1:16" ht="13.5" hidden="1" customHeight="1" outlineLevel="2" x14ac:dyDescent="0.2">
      <c r="A1690" s="233">
        <v>0</v>
      </c>
      <c r="B1690" s="233">
        <v>18</v>
      </c>
      <c r="C1690" s="233">
        <v>29</v>
      </c>
      <c r="D1690" s="234">
        <v>4</v>
      </c>
      <c r="E1690" s="234">
        <v>0</v>
      </c>
      <c r="G1690" s="507"/>
      <c r="H1690" s="487" t="s">
        <v>1237</v>
      </c>
      <c r="I1690" s="452" t="s">
        <v>6180</v>
      </c>
      <c r="J1690" s="489" t="s">
        <v>14</v>
      </c>
      <c r="K1690" s="490"/>
      <c r="L1690" s="491"/>
      <c r="M1690" s="491"/>
      <c r="N1690" s="456">
        <v>900</v>
      </c>
      <c r="O1690" s="492">
        <v>5.3732401892097E-2</v>
      </c>
      <c r="P1690" s="430"/>
    </row>
    <row r="1691" spans="1:16" ht="13.5" hidden="1" customHeight="1" outlineLevel="3" x14ac:dyDescent="0.2">
      <c r="A1691" s="233">
        <v>0</v>
      </c>
      <c r="B1691" s="233">
        <v>18</v>
      </c>
      <c r="C1691" s="233">
        <v>29</v>
      </c>
      <c r="D1691" s="234">
        <v>4</v>
      </c>
      <c r="E1691" s="234">
        <v>1</v>
      </c>
      <c r="G1691" s="508" t="s">
        <v>51</v>
      </c>
      <c r="H1691" s="493" t="s">
        <v>1238</v>
      </c>
      <c r="I1691" s="460" t="s">
        <v>6181</v>
      </c>
      <c r="J1691" s="495" t="s">
        <v>844</v>
      </c>
      <c r="K1691" s="496" t="s">
        <v>533</v>
      </c>
      <c r="L1691" s="497">
        <v>3</v>
      </c>
      <c r="M1691" s="497">
        <v>300</v>
      </c>
      <c r="N1691" s="464">
        <v>900</v>
      </c>
      <c r="O1691" s="498" t="s">
        <v>2704</v>
      </c>
      <c r="P1691" s="431" t="s">
        <v>6711</v>
      </c>
    </row>
    <row r="1692" spans="1:16" ht="13.5" hidden="1" customHeight="1" outlineLevel="1" x14ac:dyDescent="0.2">
      <c r="A1692" s="233">
        <v>0</v>
      </c>
      <c r="B1692" s="233">
        <v>18</v>
      </c>
      <c r="C1692" s="233">
        <v>30</v>
      </c>
      <c r="D1692" s="234">
        <v>0</v>
      </c>
      <c r="E1692" s="234">
        <v>1</v>
      </c>
      <c r="G1692" s="506"/>
      <c r="H1692" s="481" t="s">
        <v>38</v>
      </c>
      <c r="I1692" s="445" t="s">
        <v>6182</v>
      </c>
      <c r="J1692" s="483" t="s">
        <v>3066</v>
      </c>
      <c r="K1692" s="484"/>
      <c r="L1692" s="485"/>
      <c r="M1692" s="485"/>
      <c r="N1692" s="449"/>
      <c r="O1692" s="486"/>
      <c r="P1692" s="429"/>
    </row>
    <row r="1693" spans="1:16" ht="13.5" hidden="1" customHeight="1" outlineLevel="2" x14ac:dyDescent="0.2">
      <c r="A1693" s="233">
        <v>0</v>
      </c>
      <c r="B1693" s="233">
        <v>18</v>
      </c>
      <c r="C1693" s="233">
        <v>30</v>
      </c>
      <c r="D1693" s="234">
        <v>1</v>
      </c>
      <c r="E1693" s="234">
        <v>0</v>
      </c>
      <c r="G1693" s="507"/>
      <c r="H1693" s="487" t="s">
        <v>1237</v>
      </c>
      <c r="I1693" s="452" t="s">
        <v>6183</v>
      </c>
      <c r="J1693" s="489" t="s">
        <v>2279</v>
      </c>
      <c r="K1693" s="490"/>
      <c r="L1693" s="491"/>
      <c r="M1693" s="491"/>
      <c r="N1693" s="456">
        <v>3156.87</v>
      </c>
      <c r="O1693" s="492"/>
      <c r="P1693" s="430"/>
    </row>
    <row r="1694" spans="1:16" ht="13.5" hidden="1" customHeight="1" outlineLevel="3" x14ac:dyDescent="0.2">
      <c r="A1694" s="233">
        <v>0</v>
      </c>
      <c r="B1694" s="233">
        <v>18</v>
      </c>
      <c r="C1694" s="233">
        <v>30</v>
      </c>
      <c r="D1694" s="234">
        <v>1</v>
      </c>
      <c r="E1694" s="234">
        <v>1</v>
      </c>
      <c r="G1694" s="508" t="s">
        <v>51</v>
      </c>
      <c r="H1694" s="493" t="s">
        <v>1238</v>
      </c>
      <c r="I1694" s="460" t="s">
        <v>6184</v>
      </c>
      <c r="J1694" s="495" t="s">
        <v>2893</v>
      </c>
      <c r="K1694" s="496" t="s">
        <v>787</v>
      </c>
      <c r="L1694" s="497">
        <v>10.199999999999999</v>
      </c>
      <c r="M1694" s="497">
        <v>66.849999999999994</v>
      </c>
      <c r="N1694" s="464">
        <v>681.87</v>
      </c>
      <c r="O1694" s="498" t="s">
        <v>2704</v>
      </c>
      <c r="P1694" s="431" t="s">
        <v>6711</v>
      </c>
    </row>
    <row r="1695" spans="1:16" ht="13.5" hidden="1" customHeight="1" outlineLevel="3" x14ac:dyDescent="0.2">
      <c r="A1695" s="233">
        <v>0</v>
      </c>
      <c r="B1695" s="233">
        <v>18</v>
      </c>
      <c r="C1695" s="233">
        <v>30</v>
      </c>
      <c r="D1695" s="234">
        <v>1</v>
      </c>
      <c r="E1695" s="234">
        <v>2</v>
      </c>
      <c r="G1695" s="508" t="s">
        <v>51</v>
      </c>
      <c r="H1695" s="493" t="s">
        <v>1238</v>
      </c>
      <c r="I1695" s="460" t="s">
        <v>6185</v>
      </c>
      <c r="J1695" s="495" t="s">
        <v>1892</v>
      </c>
      <c r="K1695" s="496" t="s">
        <v>533</v>
      </c>
      <c r="L1695" s="497">
        <v>2</v>
      </c>
      <c r="M1695" s="497">
        <v>1237.5</v>
      </c>
      <c r="N1695" s="464">
        <v>2475</v>
      </c>
      <c r="O1695" s="498" t="s">
        <v>2704</v>
      </c>
      <c r="P1695" s="431" t="s">
        <v>6711</v>
      </c>
    </row>
    <row r="1696" spans="1:16" ht="13.5" hidden="1" customHeight="1" outlineLevel="2" x14ac:dyDescent="0.2">
      <c r="A1696" s="233">
        <v>0</v>
      </c>
      <c r="B1696" s="233">
        <v>18</v>
      </c>
      <c r="C1696" s="233">
        <v>30</v>
      </c>
      <c r="D1696" s="234">
        <v>2</v>
      </c>
      <c r="E1696" s="234">
        <v>0</v>
      </c>
      <c r="G1696" s="507"/>
      <c r="H1696" s="487" t="s">
        <v>1237</v>
      </c>
      <c r="I1696" s="452" t="s">
        <v>6186</v>
      </c>
      <c r="J1696" s="489" t="s">
        <v>1885</v>
      </c>
      <c r="K1696" s="490"/>
      <c r="L1696" s="491"/>
      <c r="M1696" s="491"/>
      <c r="N1696" s="456"/>
      <c r="O1696" s="492"/>
      <c r="P1696" s="430"/>
    </row>
    <row r="1697" spans="1:16" ht="13.5" hidden="1" customHeight="1" outlineLevel="3" x14ac:dyDescent="0.2">
      <c r="A1697" s="233">
        <v>0</v>
      </c>
      <c r="B1697" s="233">
        <v>18</v>
      </c>
      <c r="C1697" s="233">
        <v>30</v>
      </c>
      <c r="D1697" s="234">
        <v>2</v>
      </c>
      <c r="E1697" s="234">
        <v>1</v>
      </c>
      <c r="G1697" s="508" t="s">
        <v>51</v>
      </c>
      <c r="H1697" s="493" t="s">
        <v>1238</v>
      </c>
      <c r="I1697" s="460" t="s">
        <v>6187</v>
      </c>
      <c r="J1697" s="495" t="s">
        <v>2706</v>
      </c>
      <c r="K1697" s="496" t="s">
        <v>787</v>
      </c>
      <c r="L1697" s="497" t="e">
        <v>#REF!</v>
      </c>
      <c r="M1697" s="497">
        <v>820</v>
      </c>
      <c r="N1697" s="464"/>
      <c r="O1697" s="498" t="s">
        <v>2703</v>
      </c>
      <c r="P1697" s="431" t="s">
        <v>6711</v>
      </c>
    </row>
    <row r="1698" spans="1:16" ht="13.5" hidden="1" customHeight="1" outlineLevel="3" x14ac:dyDescent="0.2">
      <c r="A1698" s="233">
        <v>0</v>
      </c>
      <c r="B1698" s="233">
        <v>18</v>
      </c>
      <c r="C1698" s="233">
        <v>30</v>
      </c>
      <c r="D1698" s="234">
        <v>2</v>
      </c>
      <c r="E1698" s="234">
        <v>2</v>
      </c>
      <c r="G1698" s="508" t="s">
        <v>51</v>
      </c>
      <c r="H1698" s="493" t="s">
        <v>1238</v>
      </c>
      <c r="I1698" s="460" t="s">
        <v>6188</v>
      </c>
      <c r="J1698" s="495" t="s">
        <v>2707</v>
      </c>
      <c r="K1698" s="496" t="s">
        <v>787</v>
      </c>
      <c r="L1698" s="497" t="e">
        <v>#REF!</v>
      </c>
      <c r="M1698" s="497">
        <v>520</v>
      </c>
      <c r="N1698" s="464"/>
      <c r="O1698" s="498" t="s">
        <v>2703</v>
      </c>
      <c r="P1698" s="431" t="s">
        <v>6711</v>
      </c>
    </row>
    <row r="1699" spans="1:16" ht="12.75" hidden="1" customHeight="1" outlineLevel="2" x14ac:dyDescent="0.2">
      <c r="A1699" s="233">
        <v>0</v>
      </c>
      <c r="B1699" s="233">
        <v>18</v>
      </c>
      <c r="C1699" s="233">
        <v>30</v>
      </c>
      <c r="D1699" s="234">
        <v>3</v>
      </c>
      <c r="E1699" s="234">
        <v>0</v>
      </c>
      <c r="G1699" s="507"/>
      <c r="H1699" s="487" t="s">
        <v>1237</v>
      </c>
      <c r="I1699" s="452" t="s">
        <v>6189</v>
      </c>
      <c r="J1699" s="489" t="s">
        <v>2709</v>
      </c>
      <c r="K1699" s="490"/>
      <c r="L1699" s="491"/>
      <c r="M1699" s="491"/>
      <c r="N1699" s="456"/>
      <c r="O1699" s="492"/>
      <c r="P1699" s="430"/>
    </row>
    <row r="1700" spans="1:16" ht="12.75" hidden="1" customHeight="1" outlineLevel="3" x14ac:dyDescent="0.2">
      <c r="A1700" s="233">
        <v>0</v>
      </c>
      <c r="B1700" s="233">
        <v>18</v>
      </c>
      <c r="C1700" s="233">
        <v>30</v>
      </c>
      <c r="D1700" s="234">
        <v>3</v>
      </c>
      <c r="E1700" s="234">
        <v>1</v>
      </c>
      <c r="G1700" s="508" t="s">
        <v>51</v>
      </c>
      <c r="H1700" s="493" t="s">
        <v>1238</v>
      </c>
      <c r="I1700" s="460" t="s">
        <v>6190</v>
      </c>
      <c r="J1700" s="495" t="s">
        <v>2708</v>
      </c>
      <c r="K1700" s="496" t="s">
        <v>641</v>
      </c>
      <c r="L1700" s="497" t="e">
        <v>#REF!</v>
      </c>
      <c r="M1700" s="497">
        <v>1240</v>
      </c>
      <c r="N1700" s="464"/>
      <c r="O1700" s="498" t="s">
        <v>2703</v>
      </c>
      <c r="P1700" s="431" t="s">
        <v>6711</v>
      </c>
    </row>
    <row r="1701" spans="1:16" ht="13.5" hidden="1" customHeight="1" outlineLevel="2" x14ac:dyDescent="0.2">
      <c r="A1701" s="233">
        <v>0</v>
      </c>
      <c r="B1701" s="233">
        <v>18</v>
      </c>
      <c r="C1701" s="233">
        <v>30</v>
      </c>
      <c r="D1701" s="234">
        <v>4</v>
      </c>
      <c r="E1701" s="234">
        <v>0</v>
      </c>
      <c r="G1701" s="507"/>
      <c r="H1701" s="487" t="s">
        <v>1237</v>
      </c>
      <c r="I1701" s="452" t="s">
        <v>6191</v>
      </c>
      <c r="J1701" s="489" t="s">
        <v>14</v>
      </c>
      <c r="K1701" s="490"/>
      <c r="L1701" s="491"/>
      <c r="M1701" s="491"/>
      <c r="N1701" s="456">
        <v>600</v>
      </c>
      <c r="O1701" s="492">
        <v>3.5821601261398002E-2</v>
      </c>
      <c r="P1701" s="430"/>
    </row>
    <row r="1702" spans="1:16" ht="13.5" hidden="1" customHeight="1" outlineLevel="3" x14ac:dyDescent="0.2">
      <c r="A1702" s="233">
        <v>0</v>
      </c>
      <c r="B1702" s="233">
        <v>18</v>
      </c>
      <c r="C1702" s="233">
        <v>30</v>
      </c>
      <c r="D1702" s="234">
        <v>4</v>
      </c>
      <c r="E1702" s="234">
        <v>1</v>
      </c>
      <c r="G1702" s="508" t="s">
        <v>51</v>
      </c>
      <c r="H1702" s="493" t="s">
        <v>1238</v>
      </c>
      <c r="I1702" s="460" t="s">
        <v>6192</v>
      </c>
      <c r="J1702" s="495" t="s">
        <v>844</v>
      </c>
      <c r="K1702" s="496" t="s">
        <v>533</v>
      </c>
      <c r="L1702" s="497">
        <v>2</v>
      </c>
      <c r="M1702" s="497">
        <v>300</v>
      </c>
      <c r="N1702" s="464">
        <v>600</v>
      </c>
      <c r="O1702" s="498" t="s">
        <v>2704</v>
      </c>
      <c r="P1702" s="431" t="s">
        <v>6711</v>
      </c>
    </row>
    <row r="1703" spans="1:16" ht="13.5" hidden="1" customHeight="1" outlineLevel="1" x14ac:dyDescent="0.2">
      <c r="A1703" s="233">
        <v>0</v>
      </c>
      <c r="B1703" s="233">
        <v>18</v>
      </c>
      <c r="C1703" s="233">
        <v>31</v>
      </c>
      <c r="D1703" s="234">
        <v>0</v>
      </c>
      <c r="E1703" s="234">
        <v>1</v>
      </c>
      <c r="G1703" s="506"/>
      <c r="H1703" s="481" t="s">
        <v>38</v>
      </c>
      <c r="I1703" s="445" t="s">
        <v>6193</v>
      </c>
      <c r="J1703" s="483" t="s">
        <v>3067</v>
      </c>
      <c r="K1703" s="484"/>
      <c r="L1703" s="485"/>
      <c r="M1703" s="485"/>
      <c r="N1703" s="449"/>
      <c r="O1703" s="486"/>
      <c r="P1703" s="429"/>
    </row>
    <row r="1704" spans="1:16" ht="13.5" hidden="1" customHeight="1" outlineLevel="2" x14ac:dyDescent="0.2">
      <c r="A1704" s="233">
        <v>0</v>
      </c>
      <c r="B1704" s="233">
        <v>18</v>
      </c>
      <c r="C1704" s="233">
        <v>31</v>
      </c>
      <c r="D1704" s="234">
        <v>1</v>
      </c>
      <c r="E1704" s="234">
        <v>0</v>
      </c>
      <c r="G1704" s="507"/>
      <c r="H1704" s="487" t="s">
        <v>1237</v>
      </c>
      <c r="I1704" s="452" t="s">
        <v>6194</v>
      </c>
      <c r="J1704" s="489" t="s">
        <v>2279</v>
      </c>
      <c r="K1704" s="490"/>
      <c r="L1704" s="491"/>
      <c r="M1704" s="491"/>
      <c r="N1704" s="456">
        <v>2868.5</v>
      </c>
      <c r="O1704" s="492"/>
      <c r="P1704" s="430"/>
    </row>
    <row r="1705" spans="1:16" ht="13.5" hidden="1" customHeight="1" outlineLevel="3" x14ac:dyDescent="0.2">
      <c r="A1705" s="233">
        <v>0</v>
      </c>
      <c r="B1705" s="233">
        <v>18</v>
      </c>
      <c r="C1705" s="233">
        <v>31</v>
      </c>
      <c r="D1705" s="234">
        <v>1</v>
      </c>
      <c r="E1705" s="234">
        <v>1</v>
      </c>
      <c r="G1705" s="508" t="s">
        <v>51</v>
      </c>
      <c r="H1705" s="493" t="s">
        <v>1238</v>
      </c>
      <c r="I1705" s="460" t="s">
        <v>6195</v>
      </c>
      <c r="J1705" s="495" t="s">
        <v>2893</v>
      </c>
      <c r="K1705" s="496" t="s">
        <v>787</v>
      </c>
      <c r="L1705" s="497">
        <v>10</v>
      </c>
      <c r="M1705" s="497">
        <v>66.849999999999994</v>
      </c>
      <c r="N1705" s="464">
        <v>668.5</v>
      </c>
      <c r="O1705" s="498" t="s">
        <v>2704</v>
      </c>
      <c r="P1705" s="431" t="s">
        <v>6711</v>
      </c>
    </row>
    <row r="1706" spans="1:16" ht="13.5" hidden="1" customHeight="1" outlineLevel="3" x14ac:dyDescent="0.2">
      <c r="A1706" s="233">
        <v>0</v>
      </c>
      <c r="B1706" s="233">
        <v>18</v>
      </c>
      <c r="C1706" s="233">
        <v>31</v>
      </c>
      <c r="D1706" s="234">
        <v>1</v>
      </c>
      <c r="E1706" s="234">
        <v>2</v>
      </c>
      <c r="G1706" s="508" t="s">
        <v>51</v>
      </c>
      <c r="H1706" s="493" t="s">
        <v>1238</v>
      </c>
      <c r="I1706" s="460" t="s">
        <v>6196</v>
      </c>
      <c r="J1706" s="495" t="s">
        <v>836</v>
      </c>
      <c r="K1706" s="496" t="s">
        <v>533</v>
      </c>
      <c r="L1706" s="497">
        <v>2</v>
      </c>
      <c r="M1706" s="497">
        <v>1100</v>
      </c>
      <c r="N1706" s="464">
        <v>2200</v>
      </c>
      <c r="O1706" s="498" t="s">
        <v>2704</v>
      </c>
      <c r="P1706" s="431" t="s">
        <v>6711</v>
      </c>
    </row>
    <row r="1707" spans="1:16" ht="13.5" hidden="1" customHeight="1" outlineLevel="2" x14ac:dyDescent="0.2">
      <c r="A1707" s="233">
        <v>0</v>
      </c>
      <c r="B1707" s="233">
        <v>18</v>
      </c>
      <c r="C1707" s="233">
        <v>31</v>
      </c>
      <c r="D1707" s="234">
        <v>2</v>
      </c>
      <c r="E1707" s="234">
        <v>0</v>
      </c>
      <c r="G1707" s="507"/>
      <c r="H1707" s="487" t="s">
        <v>1237</v>
      </c>
      <c r="I1707" s="452" t="s">
        <v>6197</v>
      </c>
      <c r="J1707" s="489" t="s">
        <v>1885</v>
      </c>
      <c r="K1707" s="490"/>
      <c r="L1707" s="491"/>
      <c r="M1707" s="491"/>
      <c r="N1707" s="456"/>
      <c r="O1707" s="492"/>
      <c r="P1707" s="430"/>
    </row>
    <row r="1708" spans="1:16" ht="13.5" hidden="1" customHeight="1" outlineLevel="3" x14ac:dyDescent="0.2">
      <c r="A1708" s="233">
        <v>0</v>
      </c>
      <c r="B1708" s="233">
        <v>18</v>
      </c>
      <c r="C1708" s="233">
        <v>31</v>
      </c>
      <c r="D1708" s="234">
        <v>2</v>
      </c>
      <c r="E1708" s="234">
        <v>1</v>
      </c>
      <c r="G1708" s="508" t="s">
        <v>51</v>
      </c>
      <c r="H1708" s="493" t="s">
        <v>1238</v>
      </c>
      <c r="I1708" s="460" t="s">
        <v>6198</v>
      </c>
      <c r="J1708" s="495" t="s">
        <v>2706</v>
      </c>
      <c r="K1708" s="496" t="s">
        <v>787</v>
      </c>
      <c r="L1708" s="497" t="e">
        <v>#REF!</v>
      </c>
      <c r="M1708" s="497">
        <v>820</v>
      </c>
      <c r="N1708" s="464"/>
      <c r="O1708" s="498" t="s">
        <v>2703</v>
      </c>
      <c r="P1708" s="431" t="s">
        <v>6711</v>
      </c>
    </row>
    <row r="1709" spans="1:16" ht="13.5" hidden="1" customHeight="1" outlineLevel="3" x14ac:dyDescent="0.2">
      <c r="A1709" s="233">
        <v>0</v>
      </c>
      <c r="B1709" s="233">
        <v>18</v>
      </c>
      <c r="C1709" s="233">
        <v>31</v>
      </c>
      <c r="D1709" s="234">
        <v>2</v>
      </c>
      <c r="E1709" s="234">
        <v>2</v>
      </c>
      <c r="G1709" s="508" t="s">
        <v>51</v>
      </c>
      <c r="H1709" s="493" t="s">
        <v>1238</v>
      </c>
      <c r="I1709" s="460" t="s">
        <v>6199</v>
      </c>
      <c r="J1709" s="495" t="s">
        <v>2707</v>
      </c>
      <c r="K1709" s="496" t="s">
        <v>787</v>
      </c>
      <c r="L1709" s="497" t="e">
        <v>#REF!</v>
      </c>
      <c r="M1709" s="497">
        <v>520</v>
      </c>
      <c r="N1709" s="464"/>
      <c r="O1709" s="498" t="s">
        <v>2703</v>
      </c>
      <c r="P1709" s="431" t="s">
        <v>6711</v>
      </c>
    </row>
    <row r="1710" spans="1:16" ht="13.5" hidden="1" customHeight="1" outlineLevel="2" x14ac:dyDescent="0.2">
      <c r="A1710" s="233">
        <v>0</v>
      </c>
      <c r="B1710" s="233">
        <v>18</v>
      </c>
      <c r="C1710" s="233">
        <v>31</v>
      </c>
      <c r="D1710" s="234">
        <v>3</v>
      </c>
      <c r="E1710" s="234">
        <v>0</v>
      </c>
      <c r="G1710" s="507"/>
      <c r="H1710" s="487" t="s">
        <v>1237</v>
      </c>
      <c r="I1710" s="452" t="s">
        <v>6200</v>
      </c>
      <c r="J1710" s="489" t="s">
        <v>14</v>
      </c>
      <c r="K1710" s="490"/>
      <c r="L1710" s="491"/>
      <c r="M1710" s="491"/>
      <c r="N1710" s="456">
        <v>600</v>
      </c>
      <c r="O1710" s="492">
        <v>3.5821601261398002E-2</v>
      </c>
      <c r="P1710" s="430"/>
    </row>
    <row r="1711" spans="1:16" ht="13.5" hidden="1" customHeight="1" outlineLevel="3" x14ac:dyDescent="0.2">
      <c r="A1711" s="233">
        <v>0</v>
      </c>
      <c r="B1711" s="233">
        <v>18</v>
      </c>
      <c r="C1711" s="233">
        <v>31</v>
      </c>
      <c r="D1711" s="234">
        <v>3</v>
      </c>
      <c r="E1711" s="234">
        <v>1</v>
      </c>
      <c r="G1711" s="508" t="s">
        <v>51</v>
      </c>
      <c r="H1711" s="493" t="s">
        <v>1238</v>
      </c>
      <c r="I1711" s="460" t="s">
        <v>6201</v>
      </c>
      <c r="J1711" s="495" t="s">
        <v>844</v>
      </c>
      <c r="K1711" s="496" t="s">
        <v>533</v>
      </c>
      <c r="L1711" s="497">
        <v>2</v>
      </c>
      <c r="M1711" s="497">
        <v>300</v>
      </c>
      <c r="N1711" s="464">
        <v>600</v>
      </c>
      <c r="O1711" s="498" t="s">
        <v>2704</v>
      </c>
      <c r="P1711" s="431" t="s">
        <v>6711</v>
      </c>
    </row>
    <row r="1712" spans="1:16" ht="13.5" hidden="1" customHeight="1" outlineLevel="1" x14ac:dyDescent="0.2">
      <c r="A1712" s="233">
        <v>0</v>
      </c>
      <c r="B1712" s="233">
        <v>18</v>
      </c>
      <c r="C1712" s="233">
        <v>32</v>
      </c>
      <c r="D1712" s="234">
        <v>0</v>
      </c>
      <c r="E1712" s="234">
        <v>1</v>
      </c>
      <c r="G1712" s="506"/>
      <c r="H1712" s="481" t="s">
        <v>38</v>
      </c>
      <c r="I1712" s="445" t="s">
        <v>6202</v>
      </c>
      <c r="J1712" s="483" t="s">
        <v>3068</v>
      </c>
      <c r="K1712" s="484"/>
      <c r="L1712" s="485"/>
      <c r="M1712" s="485"/>
      <c r="N1712" s="449"/>
      <c r="O1712" s="486"/>
      <c r="P1712" s="429"/>
    </row>
    <row r="1713" spans="1:16" ht="13.5" hidden="1" customHeight="1" outlineLevel="2" x14ac:dyDescent="0.2">
      <c r="A1713" s="233">
        <v>0</v>
      </c>
      <c r="B1713" s="233">
        <v>18</v>
      </c>
      <c r="C1713" s="233">
        <v>32</v>
      </c>
      <c r="D1713" s="234">
        <v>1</v>
      </c>
      <c r="E1713" s="234">
        <v>0</v>
      </c>
      <c r="G1713" s="507"/>
      <c r="H1713" s="487" t="s">
        <v>1237</v>
      </c>
      <c r="I1713" s="452" t="s">
        <v>6203</v>
      </c>
      <c r="J1713" s="489" t="s">
        <v>2279</v>
      </c>
      <c r="K1713" s="490"/>
      <c r="L1713" s="491"/>
      <c r="M1713" s="491"/>
      <c r="N1713" s="456">
        <v>22948</v>
      </c>
      <c r="O1713" s="492"/>
      <c r="P1713" s="430"/>
    </row>
    <row r="1714" spans="1:16" ht="13.5" hidden="1" customHeight="1" outlineLevel="3" x14ac:dyDescent="0.2">
      <c r="A1714" s="233">
        <v>0</v>
      </c>
      <c r="B1714" s="233">
        <v>18</v>
      </c>
      <c r="C1714" s="233">
        <v>32</v>
      </c>
      <c r="D1714" s="234">
        <v>1</v>
      </c>
      <c r="E1714" s="234">
        <v>1</v>
      </c>
      <c r="G1714" s="508" t="s">
        <v>51</v>
      </c>
      <c r="H1714" s="493" t="s">
        <v>1238</v>
      </c>
      <c r="I1714" s="460" t="s">
        <v>6204</v>
      </c>
      <c r="J1714" s="495" t="s">
        <v>2893</v>
      </c>
      <c r="K1714" s="496" t="s">
        <v>787</v>
      </c>
      <c r="L1714" s="497">
        <v>80</v>
      </c>
      <c r="M1714" s="497">
        <v>66.849999999999994</v>
      </c>
      <c r="N1714" s="464">
        <v>5348</v>
      </c>
      <c r="O1714" s="498" t="s">
        <v>2704</v>
      </c>
      <c r="P1714" s="431" t="s">
        <v>6711</v>
      </c>
    </row>
    <row r="1715" spans="1:16" ht="13.5" hidden="1" customHeight="1" outlineLevel="3" x14ac:dyDescent="0.2">
      <c r="A1715" s="233">
        <v>0</v>
      </c>
      <c r="B1715" s="233">
        <v>18</v>
      </c>
      <c r="C1715" s="233">
        <v>32</v>
      </c>
      <c r="D1715" s="234">
        <v>1</v>
      </c>
      <c r="E1715" s="234">
        <v>2</v>
      </c>
      <c r="G1715" s="508" t="s">
        <v>51</v>
      </c>
      <c r="H1715" s="493" t="s">
        <v>1238</v>
      </c>
      <c r="I1715" s="460" t="s">
        <v>6205</v>
      </c>
      <c r="J1715" s="495" t="s">
        <v>836</v>
      </c>
      <c r="K1715" s="496" t="s">
        <v>533</v>
      </c>
      <c r="L1715" s="497">
        <v>16</v>
      </c>
      <c r="M1715" s="497">
        <v>1100</v>
      </c>
      <c r="N1715" s="464">
        <v>17600</v>
      </c>
      <c r="O1715" s="498" t="s">
        <v>2704</v>
      </c>
      <c r="P1715" s="431" t="s">
        <v>6711</v>
      </c>
    </row>
    <row r="1716" spans="1:16" ht="13.5" hidden="1" customHeight="1" outlineLevel="2" x14ac:dyDescent="0.2">
      <c r="A1716" s="233">
        <v>0</v>
      </c>
      <c r="B1716" s="233">
        <v>18</v>
      </c>
      <c r="C1716" s="233">
        <v>32</v>
      </c>
      <c r="D1716" s="234">
        <v>2</v>
      </c>
      <c r="E1716" s="234">
        <v>0</v>
      </c>
      <c r="G1716" s="507"/>
      <c r="H1716" s="487" t="s">
        <v>1237</v>
      </c>
      <c r="I1716" s="452" t="s">
        <v>6206</v>
      </c>
      <c r="J1716" s="489" t="s">
        <v>1885</v>
      </c>
      <c r="K1716" s="490"/>
      <c r="L1716" s="491"/>
      <c r="M1716" s="491"/>
      <c r="N1716" s="456"/>
      <c r="O1716" s="492"/>
      <c r="P1716" s="430"/>
    </row>
    <row r="1717" spans="1:16" ht="13.5" hidden="1" customHeight="1" outlineLevel="3" x14ac:dyDescent="0.2">
      <c r="A1717" s="233">
        <v>0</v>
      </c>
      <c r="B1717" s="233">
        <v>18</v>
      </c>
      <c r="C1717" s="233">
        <v>32</v>
      </c>
      <c r="D1717" s="234">
        <v>2</v>
      </c>
      <c r="E1717" s="234">
        <v>1</v>
      </c>
      <c r="G1717" s="508" t="s">
        <v>51</v>
      </c>
      <c r="H1717" s="493" t="s">
        <v>1238</v>
      </c>
      <c r="I1717" s="460" t="s">
        <v>6207</v>
      </c>
      <c r="J1717" s="495" t="s">
        <v>2706</v>
      </c>
      <c r="K1717" s="496" t="s">
        <v>787</v>
      </c>
      <c r="L1717" s="497" t="e">
        <v>#REF!</v>
      </c>
      <c r="M1717" s="497">
        <v>820</v>
      </c>
      <c r="N1717" s="464"/>
      <c r="O1717" s="498" t="s">
        <v>2703</v>
      </c>
      <c r="P1717" s="431" t="s">
        <v>6711</v>
      </c>
    </row>
    <row r="1718" spans="1:16" ht="13.5" hidden="1" customHeight="1" outlineLevel="3" x14ac:dyDescent="0.2">
      <c r="A1718" s="233">
        <v>0</v>
      </c>
      <c r="B1718" s="233">
        <v>18</v>
      </c>
      <c r="C1718" s="233">
        <v>32</v>
      </c>
      <c r="D1718" s="234">
        <v>2</v>
      </c>
      <c r="E1718" s="234">
        <v>2</v>
      </c>
      <c r="G1718" s="508" t="s">
        <v>51</v>
      </c>
      <c r="H1718" s="493" t="s">
        <v>1238</v>
      </c>
      <c r="I1718" s="460" t="s">
        <v>6208</v>
      </c>
      <c r="J1718" s="495" t="s">
        <v>2707</v>
      </c>
      <c r="K1718" s="496" t="s">
        <v>787</v>
      </c>
      <c r="L1718" s="497" t="e">
        <v>#REF!</v>
      </c>
      <c r="M1718" s="497">
        <v>520</v>
      </c>
      <c r="N1718" s="464"/>
      <c r="O1718" s="498" t="s">
        <v>2703</v>
      </c>
      <c r="P1718" s="431" t="s">
        <v>6711</v>
      </c>
    </row>
    <row r="1719" spans="1:16" ht="13.5" hidden="1" customHeight="1" outlineLevel="2" x14ac:dyDescent="0.2">
      <c r="A1719" s="233">
        <v>0</v>
      </c>
      <c r="B1719" s="233">
        <v>18</v>
      </c>
      <c r="C1719" s="233">
        <v>32</v>
      </c>
      <c r="D1719" s="234">
        <v>3</v>
      </c>
      <c r="E1719" s="234">
        <v>0</v>
      </c>
      <c r="G1719" s="507"/>
      <c r="H1719" s="487" t="s">
        <v>1237</v>
      </c>
      <c r="I1719" s="452" t="s">
        <v>6209</v>
      </c>
      <c r="J1719" s="489" t="s">
        <v>14</v>
      </c>
      <c r="K1719" s="490"/>
      <c r="L1719" s="491"/>
      <c r="M1719" s="491"/>
      <c r="N1719" s="456">
        <v>4800</v>
      </c>
      <c r="O1719" s="492">
        <v>0.28657281009118402</v>
      </c>
      <c r="P1719" s="430"/>
    </row>
    <row r="1720" spans="1:16" ht="13.5" hidden="1" customHeight="1" outlineLevel="3" x14ac:dyDescent="0.2">
      <c r="A1720" s="233">
        <v>0</v>
      </c>
      <c r="B1720" s="233">
        <v>18</v>
      </c>
      <c r="C1720" s="233">
        <v>32</v>
      </c>
      <c r="D1720" s="234">
        <v>3</v>
      </c>
      <c r="E1720" s="234">
        <v>1</v>
      </c>
      <c r="G1720" s="508" t="s">
        <v>51</v>
      </c>
      <c r="H1720" s="493" t="s">
        <v>1238</v>
      </c>
      <c r="I1720" s="460" t="s">
        <v>6210</v>
      </c>
      <c r="J1720" s="495" t="s">
        <v>844</v>
      </c>
      <c r="K1720" s="496" t="s">
        <v>533</v>
      </c>
      <c r="L1720" s="497">
        <v>16</v>
      </c>
      <c r="M1720" s="497">
        <v>300</v>
      </c>
      <c r="N1720" s="464">
        <v>4800</v>
      </c>
      <c r="O1720" s="498" t="s">
        <v>2704</v>
      </c>
      <c r="P1720" s="431" t="s">
        <v>6711</v>
      </c>
    </row>
    <row r="1721" spans="1:16" ht="13.5" hidden="1" customHeight="1" outlineLevel="1" x14ac:dyDescent="0.2">
      <c r="A1721" s="233">
        <v>0</v>
      </c>
      <c r="B1721" s="233">
        <v>18</v>
      </c>
      <c r="C1721" s="233">
        <v>33</v>
      </c>
      <c r="D1721" s="234">
        <v>0</v>
      </c>
      <c r="E1721" s="234">
        <v>1</v>
      </c>
      <c r="G1721" s="506"/>
      <c r="H1721" s="481" t="s">
        <v>38</v>
      </c>
      <c r="I1721" s="445" t="s">
        <v>6211</v>
      </c>
      <c r="J1721" s="483" t="s">
        <v>3069</v>
      </c>
      <c r="K1721" s="484"/>
      <c r="L1721" s="485"/>
      <c r="M1721" s="485"/>
      <c r="N1721" s="449"/>
      <c r="O1721" s="486"/>
      <c r="P1721" s="429"/>
    </row>
    <row r="1722" spans="1:16" ht="13.5" hidden="1" customHeight="1" outlineLevel="2" x14ac:dyDescent="0.2">
      <c r="A1722" s="233">
        <v>0</v>
      </c>
      <c r="B1722" s="233">
        <v>18</v>
      </c>
      <c r="C1722" s="233">
        <v>33</v>
      </c>
      <c r="D1722" s="234">
        <v>1</v>
      </c>
      <c r="E1722" s="234">
        <v>0</v>
      </c>
      <c r="G1722" s="507"/>
      <c r="H1722" s="487" t="s">
        <v>1237</v>
      </c>
      <c r="I1722" s="452" t="s">
        <v>6212</v>
      </c>
      <c r="J1722" s="489" t="s">
        <v>2279</v>
      </c>
      <c r="K1722" s="490"/>
      <c r="L1722" s="491"/>
      <c r="M1722" s="491"/>
      <c r="N1722" s="456">
        <v>63107</v>
      </c>
      <c r="O1722" s="492"/>
      <c r="P1722" s="430"/>
    </row>
    <row r="1723" spans="1:16" ht="13.5" hidden="1" customHeight="1" outlineLevel="3" x14ac:dyDescent="0.2">
      <c r="A1723" s="233">
        <v>0</v>
      </c>
      <c r="B1723" s="233">
        <v>18</v>
      </c>
      <c r="C1723" s="233">
        <v>33</v>
      </c>
      <c r="D1723" s="234">
        <v>1</v>
      </c>
      <c r="E1723" s="234">
        <v>1</v>
      </c>
      <c r="G1723" s="508" t="s">
        <v>51</v>
      </c>
      <c r="H1723" s="493" t="s">
        <v>1238</v>
      </c>
      <c r="I1723" s="460" t="s">
        <v>6213</v>
      </c>
      <c r="J1723" s="495" t="s">
        <v>2893</v>
      </c>
      <c r="K1723" s="496" t="s">
        <v>787</v>
      </c>
      <c r="L1723" s="497">
        <v>220</v>
      </c>
      <c r="M1723" s="497">
        <v>66.849999999999994</v>
      </c>
      <c r="N1723" s="464">
        <v>14707</v>
      </c>
      <c r="O1723" s="498" t="s">
        <v>2704</v>
      </c>
      <c r="P1723" s="431" t="s">
        <v>6711</v>
      </c>
    </row>
    <row r="1724" spans="1:16" ht="13.5" hidden="1" customHeight="1" outlineLevel="3" x14ac:dyDescent="0.2">
      <c r="A1724" s="233">
        <v>0</v>
      </c>
      <c r="B1724" s="233">
        <v>18</v>
      </c>
      <c r="C1724" s="233">
        <v>33</v>
      </c>
      <c r="D1724" s="234">
        <v>1</v>
      </c>
      <c r="E1724" s="234">
        <v>2</v>
      </c>
      <c r="G1724" s="508" t="s">
        <v>51</v>
      </c>
      <c r="H1724" s="493" t="s">
        <v>1238</v>
      </c>
      <c r="I1724" s="460" t="s">
        <v>6214</v>
      </c>
      <c r="J1724" s="495" t="s">
        <v>836</v>
      </c>
      <c r="K1724" s="496" t="s">
        <v>533</v>
      </c>
      <c r="L1724" s="497">
        <v>44</v>
      </c>
      <c r="M1724" s="497">
        <v>1100</v>
      </c>
      <c r="N1724" s="464">
        <v>48400</v>
      </c>
      <c r="O1724" s="498" t="s">
        <v>2704</v>
      </c>
      <c r="P1724" s="431" t="s">
        <v>6711</v>
      </c>
    </row>
    <row r="1725" spans="1:16" ht="13.5" hidden="1" customHeight="1" outlineLevel="2" x14ac:dyDescent="0.2">
      <c r="A1725" s="233">
        <v>0</v>
      </c>
      <c r="B1725" s="233">
        <v>18</v>
      </c>
      <c r="C1725" s="233">
        <v>33</v>
      </c>
      <c r="D1725" s="234">
        <v>2</v>
      </c>
      <c r="E1725" s="234">
        <v>0</v>
      </c>
      <c r="G1725" s="507"/>
      <c r="H1725" s="487" t="s">
        <v>1237</v>
      </c>
      <c r="I1725" s="452" t="s">
        <v>6215</v>
      </c>
      <c r="J1725" s="489" t="s">
        <v>1885</v>
      </c>
      <c r="K1725" s="490"/>
      <c r="L1725" s="491"/>
      <c r="M1725" s="491"/>
      <c r="N1725" s="456"/>
      <c r="O1725" s="492"/>
      <c r="P1725" s="430"/>
    </row>
    <row r="1726" spans="1:16" ht="13.5" hidden="1" customHeight="1" outlineLevel="3" x14ac:dyDescent="0.2">
      <c r="A1726" s="233">
        <v>0</v>
      </c>
      <c r="B1726" s="233">
        <v>18</v>
      </c>
      <c r="C1726" s="233">
        <v>33</v>
      </c>
      <c r="D1726" s="234">
        <v>2</v>
      </c>
      <c r="E1726" s="234">
        <v>1</v>
      </c>
      <c r="G1726" s="508" t="s">
        <v>51</v>
      </c>
      <c r="H1726" s="493" t="s">
        <v>1238</v>
      </c>
      <c r="I1726" s="460" t="s">
        <v>6216</v>
      </c>
      <c r="J1726" s="495" t="s">
        <v>2706</v>
      </c>
      <c r="K1726" s="496" t="s">
        <v>787</v>
      </c>
      <c r="L1726" s="497" t="e">
        <v>#REF!</v>
      </c>
      <c r="M1726" s="497">
        <v>820</v>
      </c>
      <c r="N1726" s="464"/>
      <c r="O1726" s="498" t="s">
        <v>2703</v>
      </c>
      <c r="P1726" s="431" t="s">
        <v>6711</v>
      </c>
    </row>
    <row r="1727" spans="1:16" ht="13.5" hidden="1" customHeight="1" outlineLevel="3" x14ac:dyDescent="0.2">
      <c r="A1727" s="233">
        <v>0</v>
      </c>
      <c r="B1727" s="233">
        <v>18</v>
      </c>
      <c r="C1727" s="233">
        <v>33</v>
      </c>
      <c r="D1727" s="234">
        <v>2</v>
      </c>
      <c r="E1727" s="234">
        <v>2</v>
      </c>
      <c r="G1727" s="508" t="s">
        <v>51</v>
      </c>
      <c r="H1727" s="493" t="s">
        <v>1238</v>
      </c>
      <c r="I1727" s="460" t="s">
        <v>6217</v>
      </c>
      <c r="J1727" s="495" t="s">
        <v>2707</v>
      </c>
      <c r="K1727" s="496" t="s">
        <v>787</v>
      </c>
      <c r="L1727" s="497" t="e">
        <v>#REF!</v>
      </c>
      <c r="M1727" s="497">
        <v>520</v>
      </c>
      <c r="N1727" s="464"/>
      <c r="O1727" s="498" t="s">
        <v>2703</v>
      </c>
      <c r="P1727" s="431" t="s">
        <v>6711</v>
      </c>
    </row>
    <row r="1728" spans="1:16" ht="13.5" hidden="1" customHeight="1" outlineLevel="2" x14ac:dyDescent="0.2">
      <c r="A1728" s="233">
        <v>0</v>
      </c>
      <c r="B1728" s="233">
        <v>18</v>
      </c>
      <c r="C1728" s="233">
        <v>33</v>
      </c>
      <c r="D1728" s="234">
        <v>3</v>
      </c>
      <c r="E1728" s="234">
        <v>0</v>
      </c>
      <c r="G1728" s="507"/>
      <c r="H1728" s="487" t="s">
        <v>1237</v>
      </c>
      <c r="I1728" s="452" t="s">
        <v>6218</v>
      </c>
      <c r="J1728" s="489" t="s">
        <v>14</v>
      </c>
      <c r="K1728" s="490"/>
      <c r="L1728" s="491"/>
      <c r="M1728" s="491"/>
      <c r="N1728" s="456">
        <v>13200</v>
      </c>
      <c r="O1728" s="492">
        <v>0.788075227750756</v>
      </c>
      <c r="P1728" s="430"/>
    </row>
    <row r="1729" spans="1:16" ht="13.5" hidden="1" customHeight="1" outlineLevel="3" x14ac:dyDescent="0.2">
      <c r="A1729" s="233">
        <v>0</v>
      </c>
      <c r="B1729" s="233">
        <v>18</v>
      </c>
      <c r="C1729" s="233">
        <v>33</v>
      </c>
      <c r="D1729" s="234">
        <v>3</v>
      </c>
      <c r="E1729" s="234">
        <v>1</v>
      </c>
      <c r="G1729" s="508" t="s">
        <v>51</v>
      </c>
      <c r="H1729" s="493" t="s">
        <v>1238</v>
      </c>
      <c r="I1729" s="460" t="s">
        <v>6219</v>
      </c>
      <c r="J1729" s="495" t="s">
        <v>844</v>
      </c>
      <c r="K1729" s="496" t="s">
        <v>533</v>
      </c>
      <c r="L1729" s="497">
        <v>44</v>
      </c>
      <c r="M1729" s="497">
        <v>300</v>
      </c>
      <c r="N1729" s="464">
        <v>13200</v>
      </c>
      <c r="O1729" s="498" t="s">
        <v>2704</v>
      </c>
      <c r="P1729" s="431" t="s">
        <v>6711</v>
      </c>
    </row>
    <row r="1730" spans="1:16" ht="13.5" hidden="1" customHeight="1" outlineLevel="1" x14ac:dyDescent="0.2">
      <c r="A1730" s="233">
        <v>0</v>
      </c>
      <c r="B1730" s="233">
        <v>18</v>
      </c>
      <c r="C1730" s="233">
        <v>34</v>
      </c>
      <c r="D1730" s="234">
        <v>0</v>
      </c>
      <c r="E1730" s="234">
        <v>1</v>
      </c>
      <c r="G1730" s="506"/>
      <c r="H1730" s="481" t="s">
        <v>38</v>
      </c>
      <c r="I1730" s="445" t="s">
        <v>6220</v>
      </c>
      <c r="J1730" s="483" t="s">
        <v>3070</v>
      </c>
      <c r="K1730" s="484"/>
      <c r="L1730" s="485"/>
      <c r="M1730" s="485"/>
      <c r="N1730" s="449"/>
      <c r="O1730" s="486"/>
      <c r="P1730" s="429"/>
    </row>
    <row r="1731" spans="1:16" ht="13.5" hidden="1" customHeight="1" outlineLevel="2" x14ac:dyDescent="0.2">
      <c r="A1731" s="233">
        <v>0</v>
      </c>
      <c r="B1731" s="233">
        <v>18</v>
      </c>
      <c r="C1731" s="233">
        <v>34</v>
      </c>
      <c r="D1731" s="234">
        <v>1</v>
      </c>
      <c r="E1731" s="234">
        <v>0</v>
      </c>
      <c r="G1731" s="507"/>
      <c r="H1731" s="487" t="s">
        <v>1237</v>
      </c>
      <c r="I1731" s="452" t="s">
        <v>6221</v>
      </c>
      <c r="J1731" s="489" t="s">
        <v>2279</v>
      </c>
      <c r="K1731" s="490"/>
      <c r="L1731" s="491"/>
      <c r="M1731" s="491"/>
      <c r="N1731" s="456">
        <v>2868.5</v>
      </c>
      <c r="O1731" s="492"/>
      <c r="P1731" s="430"/>
    </row>
    <row r="1732" spans="1:16" ht="13.5" hidden="1" customHeight="1" outlineLevel="3" x14ac:dyDescent="0.2">
      <c r="A1732" s="233">
        <v>0</v>
      </c>
      <c r="B1732" s="233">
        <v>18</v>
      </c>
      <c r="C1732" s="233">
        <v>34</v>
      </c>
      <c r="D1732" s="234">
        <v>1</v>
      </c>
      <c r="E1732" s="234">
        <v>1</v>
      </c>
      <c r="G1732" s="508" t="s">
        <v>51</v>
      </c>
      <c r="H1732" s="493" t="s">
        <v>1238</v>
      </c>
      <c r="I1732" s="460" t="s">
        <v>6222</v>
      </c>
      <c r="J1732" s="495" t="s">
        <v>2893</v>
      </c>
      <c r="K1732" s="496" t="s">
        <v>787</v>
      </c>
      <c r="L1732" s="497">
        <v>10</v>
      </c>
      <c r="M1732" s="497">
        <v>66.849999999999994</v>
      </c>
      <c r="N1732" s="464">
        <v>668.5</v>
      </c>
      <c r="O1732" s="498" t="s">
        <v>2704</v>
      </c>
      <c r="P1732" s="431" t="s">
        <v>6711</v>
      </c>
    </row>
    <row r="1733" spans="1:16" ht="13.5" hidden="1" customHeight="1" outlineLevel="3" x14ac:dyDescent="0.2">
      <c r="A1733" s="233">
        <v>0</v>
      </c>
      <c r="B1733" s="233">
        <v>18</v>
      </c>
      <c r="C1733" s="233">
        <v>34</v>
      </c>
      <c r="D1733" s="234">
        <v>1</v>
      </c>
      <c r="E1733" s="234">
        <v>2</v>
      </c>
      <c r="G1733" s="508" t="s">
        <v>51</v>
      </c>
      <c r="H1733" s="493" t="s">
        <v>1238</v>
      </c>
      <c r="I1733" s="460" t="s">
        <v>6223</v>
      </c>
      <c r="J1733" s="495" t="s">
        <v>836</v>
      </c>
      <c r="K1733" s="496" t="s">
        <v>533</v>
      </c>
      <c r="L1733" s="497">
        <v>2</v>
      </c>
      <c r="M1733" s="497">
        <v>1100</v>
      </c>
      <c r="N1733" s="464">
        <v>2200</v>
      </c>
      <c r="O1733" s="498" t="s">
        <v>2704</v>
      </c>
      <c r="P1733" s="431" t="s">
        <v>6711</v>
      </c>
    </row>
    <row r="1734" spans="1:16" ht="13.5" hidden="1" customHeight="1" outlineLevel="2" x14ac:dyDescent="0.2">
      <c r="A1734" s="233">
        <v>0</v>
      </c>
      <c r="B1734" s="233">
        <v>18</v>
      </c>
      <c r="C1734" s="233">
        <v>34</v>
      </c>
      <c r="D1734" s="234">
        <v>2</v>
      </c>
      <c r="E1734" s="234">
        <v>0</v>
      </c>
      <c r="G1734" s="507"/>
      <c r="H1734" s="487" t="s">
        <v>1237</v>
      </c>
      <c r="I1734" s="452" t="s">
        <v>6224</v>
      </c>
      <c r="J1734" s="489" t="s">
        <v>1885</v>
      </c>
      <c r="K1734" s="490"/>
      <c r="L1734" s="491"/>
      <c r="M1734" s="491"/>
      <c r="N1734" s="456"/>
      <c r="O1734" s="492"/>
      <c r="P1734" s="430"/>
    </row>
    <row r="1735" spans="1:16" ht="13.5" hidden="1" customHeight="1" outlineLevel="3" x14ac:dyDescent="0.2">
      <c r="A1735" s="233">
        <v>0</v>
      </c>
      <c r="B1735" s="233">
        <v>18</v>
      </c>
      <c r="C1735" s="233">
        <v>34</v>
      </c>
      <c r="D1735" s="234">
        <v>2</v>
      </c>
      <c r="E1735" s="234">
        <v>1</v>
      </c>
      <c r="G1735" s="508" t="s">
        <v>51</v>
      </c>
      <c r="H1735" s="493" t="s">
        <v>1238</v>
      </c>
      <c r="I1735" s="460" t="s">
        <v>6225</v>
      </c>
      <c r="J1735" s="495" t="s">
        <v>2706</v>
      </c>
      <c r="K1735" s="496" t="s">
        <v>787</v>
      </c>
      <c r="L1735" s="497" t="e">
        <v>#REF!</v>
      </c>
      <c r="M1735" s="497">
        <v>820</v>
      </c>
      <c r="N1735" s="464"/>
      <c r="O1735" s="498" t="s">
        <v>2703</v>
      </c>
      <c r="P1735" s="431" t="s">
        <v>6711</v>
      </c>
    </row>
    <row r="1736" spans="1:16" ht="13.5" hidden="1" customHeight="1" outlineLevel="3" x14ac:dyDescent="0.2">
      <c r="A1736" s="233">
        <v>0</v>
      </c>
      <c r="B1736" s="233">
        <v>18</v>
      </c>
      <c r="C1736" s="233">
        <v>34</v>
      </c>
      <c r="D1736" s="234">
        <v>2</v>
      </c>
      <c r="E1736" s="234">
        <v>2</v>
      </c>
      <c r="G1736" s="508" t="s">
        <v>51</v>
      </c>
      <c r="H1736" s="493" t="s">
        <v>1238</v>
      </c>
      <c r="I1736" s="460" t="s">
        <v>6226</v>
      </c>
      <c r="J1736" s="495" t="s">
        <v>2707</v>
      </c>
      <c r="K1736" s="496" t="s">
        <v>787</v>
      </c>
      <c r="L1736" s="497" t="e">
        <v>#REF!</v>
      </c>
      <c r="M1736" s="497">
        <v>520</v>
      </c>
      <c r="N1736" s="464"/>
      <c r="O1736" s="498" t="s">
        <v>2703</v>
      </c>
      <c r="P1736" s="431" t="s">
        <v>6711</v>
      </c>
    </row>
    <row r="1737" spans="1:16" ht="13.5" hidden="1" customHeight="1" outlineLevel="2" x14ac:dyDescent="0.2">
      <c r="A1737" s="233">
        <v>0</v>
      </c>
      <c r="B1737" s="233">
        <v>18</v>
      </c>
      <c r="C1737" s="233">
        <v>34</v>
      </c>
      <c r="D1737" s="234">
        <v>3</v>
      </c>
      <c r="E1737" s="234">
        <v>0</v>
      </c>
      <c r="G1737" s="507"/>
      <c r="H1737" s="487" t="s">
        <v>1237</v>
      </c>
      <c r="I1737" s="452" t="s">
        <v>6227</v>
      </c>
      <c r="J1737" s="489" t="s">
        <v>14</v>
      </c>
      <c r="K1737" s="490"/>
      <c r="L1737" s="491"/>
      <c r="M1737" s="491"/>
      <c r="N1737" s="456">
        <v>600</v>
      </c>
      <c r="O1737" s="492">
        <v>3.5821601261398002E-2</v>
      </c>
      <c r="P1737" s="430"/>
    </row>
    <row r="1738" spans="1:16" ht="13.5" hidden="1" customHeight="1" outlineLevel="3" x14ac:dyDescent="0.2">
      <c r="A1738" s="233">
        <v>0</v>
      </c>
      <c r="B1738" s="233">
        <v>18</v>
      </c>
      <c r="C1738" s="233">
        <v>34</v>
      </c>
      <c r="D1738" s="234">
        <v>3</v>
      </c>
      <c r="E1738" s="234">
        <v>1</v>
      </c>
      <c r="G1738" s="508" t="s">
        <v>51</v>
      </c>
      <c r="H1738" s="493" t="s">
        <v>1238</v>
      </c>
      <c r="I1738" s="460" t="s">
        <v>6228</v>
      </c>
      <c r="J1738" s="495" t="s">
        <v>844</v>
      </c>
      <c r="K1738" s="496" t="s">
        <v>533</v>
      </c>
      <c r="L1738" s="497">
        <v>2</v>
      </c>
      <c r="M1738" s="497">
        <v>300</v>
      </c>
      <c r="N1738" s="464">
        <v>600</v>
      </c>
      <c r="O1738" s="498" t="s">
        <v>2704</v>
      </c>
      <c r="P1738" s="431" t="s">
        <v>6711</v>
      </c>
    </row>
    <row r="1739" spans="1:16" ht="13.5" hidden="1" customHeight="1" outlineLevel="1" x14ac:dyDescent="0.2">
      <c r="A1739" s="233">
        <v>0</v>
      </c>
      <c r="B1739" s="233">
        <v>18</v>
      </c>
      <c r="C1739" s="233">
        <v>35</v>
      </c>
      <c r="D1739" s="234">
        <v>0</v>
      </c>
      <c r="E1739" s="234">
        <v>1</v>
      </c>
      <c r="G1739" s="506"/>
      <c r="H1739" s="481" t="s">
        <v>38</v>
      </c>
      <c r="I1739" s="445" t="s">
        <v>6229</v>
      </c>
      <c r="J1739" s="483" t="s">
        <v>3071</v>
      </c>
      <c r="K1739" s="484"/>
      <c r="L1739" s="485"/>
      <c r="M1739" s="485"/>
      <c r="N1739" s="449"/>
      <c r="O1739" s="486"/>
      <c r="P1739" s="429"/>
    </row>
    <row r="1740" spans="1:16" ht="13.5" hidden="1" customHeight="1" outlineLevel="2" x14ac:dyDescent="0.2">
      <c r="A1740" s="233">
        <v>0</v>
      </c>
      <c r="B1740" s="233">
        <v>18</v>
      </c>
      <c r="C1740" s="233">
        <v>35</v>
      </c>
      <c r="D1740" s="234">
        <v>1</v>
      </c>
      <c r="E1740" s="234">
        <v>0</v>
      </c>
      <c r="G1740" s="507"/>
      <c r="H1740" s="487" t="s">
        <v>1237</v>
      </c>
      <c r="I1740" s="452" t="s">
        <v>6230</v>
      </c>
      <c r="J1740" s="489" t="s">
        <v>2279</v>
      </c>
      <c r="K1740" s="490"/>
      <c r="L1740" s="491"/>
      <c r="M1740" s="491"/>
      <c r="N1740" s="456">
        <v>2868.5</v>
      </c>
      <c r="O1740" s="492"/>
      <c r="P1740" s="430"/>
    </row>
    <row r="1741" spans="1:16" ht="13.5" hidden="1" customHeight="1" outlineLevel="3" x14ac:dyDescent="0.2">
      <c r="A1741" s="233">
        <v>0</v>
      </c>
      <c r="B1741" s="233">
        <v>18</v>
      </c>
      <c r="C1741" s="233">
        <v>35</v>
      </c>
      <c r="D1741" s="234">
        <v>1</v>
      </c>
      <c r="E1741" s="234">
        <v>1</v>
      </c>
      <c r="G1741" s="508" t="s">
        <v>51</v>
      </c>
      <c r="H1741" s="493" t="s">
        <v>1238</v>
      </c>
      <c r="I1741" s="460" t="s">
        <v>6231</v>
      </c>
      <c r="J1741" s="495" t="s">
        <v>2893</v>
      </c>
      <c r="K1741" s="496" t="s">
        <v>787</v>
      </c>
      <c r="L1741" s="497">
        <v>10</v>
      </c>
      <c r="M1741" s="497">
        <v>66.849999999999994</v>
      </c>
      <c r="N1741" s="464">
        <v>668.5</v>
      </c>
      <c r="O1741" s="498" t="s">
        <v>2704</v>
      </c>
      <c r="P1741" s="431" t="s">
        <v>6711</v>
      </c>
    </row>
    <row r="1742" spans="1:16" ht="13.5" hidden="1" customHeight="1" outlineLevel="3" x14ac:dyDescent="0.2">
      <c r="A1742" s="233">
        <v>0</v>
      </c>
      <c r="B1742" s="233">
        <v>18</v>
      </c>
      <c r="C1742" s="233">
        <v>35</v>
      </c>
      <c r="D1742" s="234">
        <v>1</v>
      </c>
      <c r="E1742" s="234">
        <v>2</v>
      </c>
      <c r="G1742" s="508" t="s">
        <v>51</v>
      </c>
      <c r="H1742" s="493" t="s">
        <v>1238</v>
      </c>
      <c r="I1742" s="460" t="s">
        <v>6232</v>
      </c>
      <c r="J1742" s="495" t="s">
        <v>836</v>
      </c>
      <c r="K1742" s="496" t="s">
        <v>533</v>
      </c>
      <c r="L1742" s="497">
        <v>2</v>
      </c>
      <c r="M1742" s="497">
        <v>1100</v>
      </c>
      <c r="N1742" s="464">
        <v>2200</v>
      </c>
      <c r="O1742" s="498" t="s">
        <v>2704</v>
      </c>
      <c r="P1742" s="431" t="s">
        <v>6711</v>
      </c>
    </row>
    <row r="1743" spans="1:16" ht="13.5" hidden="1" customHeight="1" outlineLevel="2" x14ac:dyDescent="0.2">
      <c r="A1743" s="233">
        <v>0</v>
      </c>
      <c r="B1743" s="233">
        <v>18</v>
      </c>
      <c r="C1743" s="233">
        <v>35</v>
      </c>
      <c r="D1743" s="234">
        <v>2</v>
      </c>
      <c r="E1743" s="234">
        <v>0</v>
      </c>
      <c r="G1743" s="507"/>
      <c r="H1743" s="487" t="s">
        <v>1237</v>
      </c>
      <c r="I1743" s="452" t="s">
        <v>6233</v>
      </c>
      <c r="J1743" s="489" t="s">
        <v>1885</v>
      </c>
      <c r="K1743" s="490"/>
      <c r="L1743" s="491"/>
      <c r="M1743" s="491"/>
      <c r="N1743" s="456"/>
      <c r="O1743" s="492"/>
      <c r="P1743" s="430"/>
    </row>
    <row r="1744" spans="1:16" ht="13.5" hidden="1" customHeight="1" outlineLevel="3" x14ac:dyDescent="0.2">
      <c r="A1744" s="233">
        <v>0</v>
      </c>
      <c r="B1744" s="233">
        <v>18</v>
      </c>
      <c r="C1744" s="233">
        <v>35</v>
      </c>
      <c r="D1744" s="234">
        <v>2</v>
      </c>
      <c r="E1744" s="234">
        <v>1</v>
      </c>
      <c r="G1744" s="508" t="s">
        <v>51</v>
      </c>
      <c r="H1744" s="493" t="s">
        <v>1238</v>
      </c>
      <c r="I1744" s="460" t="s">
        <v>6234</v>
      </c>
      <c r="J1744" s="495" t="s">
        <v>2706</v>
      </c>
      <c r="K1744" s="496" t="s">
        <v>787</v>
      </c>
      <c r="L1744" s="497" t="e">
        <v>#REF!</v>
      </c>
      <c r="M1744" s="497">
        <v>820</v>
      </c>
      <c r="N1744" s="464"/>
      <c r="O1744" s="498" t="s">
        <v>2703</v>
      </c>
      <c r="P1744" s="431" t="s">
        <v>6711</v>
      </c>
    </row>
    <row r="1745" spans="1:16" ht="13.5" hidden="1" customHeight="1" outlineLevel="3" x14ac:dyDescent="0.2">
      <c r="A1745" s="233">
        <v>0</v>
      </c>
      <c r="B1745" s="233">
        <v>18</v>
      </c>
      <c r="C1745" s="233">
        <v>35</v>
      </c>
      <c r="D1745" s="234">
        <v>2</v>
      </c>
      <c r="E1745" s="234">
        <v>2</v>
      </c>
      <c r="G1745" s="508" t="s">
        <v>51</v>
      </c>
      <c r="H1745" s="493" t="s">
        <v>1238</v>
      </c>
      <c r="I1745" s="460" t="s">
        <v>6235</v>
      </c>
      <c r="J1745" s="495" t="s">
        <v>2707</v>
      </c>
      <c r="K1745" s="496" t="s">
        <v>787</v>
      </c>
      <c r="L1745" s="497" t="e">
        <v>#REF!</v>
      </c>
      <c r="M1745" s="497">
        <v>520</v>
      </c>
      <c r="N1745" s="464"/>
      <c r="O1745" s="498" t="s">
        <v>2703</v>
      </c>
      <c r="P1745" s="431" t="s">
        <v>6711</v>
      </c>
    </row>
    <row r="1746" spans="1:16" ht="12.75" hidden="1" customHeight="1" outlineLevel="2" x14ac:dyDescent="0.2">
      <c r="A1746" s="233">
        <v>0</v>
      </c>
      <c r="B1746" s="233">
        <v>18</v>
      </c>
      <c r="C1746" s="233">
        <v>35</v>
      </c>
      <c r="D1746" s="234">
        <v>3</v>
      </c>
      <c r="E1746" s="234">
        <v>0</v>
      </c>
      <c r="G1746" s="507"/>
      <c r="H1746" s="487" t="s">
        <v>1237</v>
      </c>
      <c r="I1746" s="452" t="s">
        <v>6236</v>
      </c>
      <c r="J1746" s="489" t="s">
        <v>2709</v>
      </c>
      <c r="K1746" s="490"/>
      <c r="L1746" s="491"/>
      <c r="M1746" s="491"/>
      <c r="N1746" s="456"/>
      <c r="O1746" s="492"/>
      <c r="P1746" s="430"/>
    </row>
    <row r="1747" spans="1:16" ht="12.75" hidden="1" customHeight="1" outlineLevel="3" x14ac:dyDescent="0.2">
      <c r="A1747" s="233">
        <v>0</v>
      </c>
      <c r="B1747" s="233">
        <v>18</v>
      </c>
      <c r="C1747" s="233">
        <v>35</v>
      </c>
      <c r="D1747" s="234">
        <v>3</v>
      </c>
      <c r="E1747" s="234">
        <v>1</v>
      </c>
      <c r="G1747" s="508" t="s">
        <v>51</v>
      </c>
      <c r="H1747" s="493" t="s">
        <v>1238</v>
      </c>
      <c r="I1747" s="460" t="s">
        <v>6237</v>
      </c>
      <c r="J1747" s="495" t="s">
        <v>2708</v>
      </c>
      <c r="K1747" s="496" t="s">
        <v>641</v>
      </c>
      <c r="L1747" s="497" t="e">
        <v>#REF!</v>
      </c>
      <c r="M1747" s="497">
        <v>1240</v>
      </c>
      <c r="N1747" s="464"/>
      <c r="O1747" s="498" t="s">
        <v>2703</v>
      </c>
      <c r="P1747" s="431" t="s">
        <v>6711</v>
      </c>
    </row>
    <row r="1748" spans="1:16" ht="13.5" hidden="1" customHeight="1" outlineLevel="2" x14ac:dyDescent="0.2">
      <c r="A1748" s="233">
        <v>0</v>
      </c>
      <c r="B1748" s="233">
        <v>18</v>
      </c>
      <c r="C1748" s="233">
        <v>35</v>
      </c>
      <c r="D1748" s="234">
        <v>4</v>
      </c>
      <c r="E1748" s="234">
        <v>0</v>
      </c>
      <c r="G1748" s="507"/>
      <c r="H1748" s="487" t="s">
        <v>1237</v>
      </c>
      <c r="I1748" s="452" t="s">
        <v>6238</v>
      </c>
      <c r="J1748" s="489" t="s">
        <v>14</v>
      </c>
      <c r="K1748" s="490"/>
      <c r="L1748" s="491"/>
      <c r="M1748" s="491"/>
      <c r="N1748" s="456">
        <v>600</v>
      </c>
      <c r="O1748" s="492">
        <v>3.5821601261398002E-2</v>
      </c>
      <c r="P1748" s="430"/>
    </row>
    <row r="1749" spans="1:16" ht="13.5" hidden="1" customHeight="1" outlineLevel="3" x14ac:dyDescent="0.2">
      <c r="A1749" s="233">
        <v>0</v>
      </c>
      <c r="B1749" s="233">
        <v>18</v>
      </c>
      <c r="C1749" s="233">
        <v>35</v>
      </c>
      <c r="D1749" s="234">
        <v>4</v>
      </c>
      <c r="E1749" s="234">
        <v>1</v>
      </c>
      <c r="G1749" s="508" t="s">
        <v>51</v>
      </c>
      <c r="H1749" s="493" t="s">
        <v>1238</v>
      </c>
      <c r="I1749" s="460" t="s">
        <v>6239</v>
      </c>
      <c r="J1749" s="495" t="s">
        <v>844</v>
      </c>
      <c r="K1749" s="496" t="s">
        <v>533</v>
      </c>
      <c r="L1749" s="497">
        <v>2</v>
      </c>
      <c r="M1749" s="497">
        <v>300</v>
      </c>
      <c r="N1749" s="464">
        <v>600</v>
      </c>
      <c r="O1749" s="498" t="s">
        <v>2704</v>
      </c>
      <c r="P1749" s="431" t="s">
        <v>6711</v>
      </c>
    </row>
    <row r="1750" spans="1:16" ht="13.5" hidden="1" customHeight="1" outlineLevel="1" x14ac:dyDescent="0.2">
      <c r="A1750" s="233">
        <v>0</v>
      </c>
      <c r="B1750" s="233">
        <v>18</v>
      </c>
      <c r="C1750" s="233">
        <v>36</v>
      </c>
      <c r="D1750" s="234">
        <v>0</v>
      </c>
      <c r="E1750" s="234">
        <v>1</v>
      </c>
      <c r="G1750" s="506"/>
      <c r="H1750" s="481" t="s">
        <v>38</v>
      </c>
      <c r="I1750" s="445" t="s">
        <v>6240</v>
      </c>
      <c r="J1750" s="483" t="s">
        <v>3072</v>
      </c>
      <c r="K1750" s="484"/>
      <c r="L1750" s="485"/>
      <c r="M1750" s="485"/>
      <c r="N1750" s="449"/>
      <c r="O1750" s="486"/>
      <c r="P1750" s="429"/>
    </row>
    <row r="1751" spans="1:16" ht="13.5" hidden="1" customHeight="1" outlineLevel="2" x14ac:dyDescent="0.2">
      <c r="A1751" s="233">
        <v>0</v>
      </c>
      <c r="B1751" s="233">
        <v>18</v>
      </c>
      <c r="C1751" s="233">
        <v>36</v>
      </c>
      <c r="D1751" s="234">
        <v>1</v>
      </c>
      <c r="E1751" s="234">
        <v>0</v>
      </c>
      <c r="G1751" s="507"/>
      <c r="H1751" s="487" t="s">
        <v>1237</v>
      </c>
      <c r="I1751" s="452" t="s">
        <v>6241</v>
      </c>
      <c r="J1751" s="489" t="s">
        <v>2279</v>
      </c>
      <c r="K1751" s="490"/>
      <c r="L1751" s="491"/>
      <c r="M1751" s="491"/>
      <c r="N1751" s="456">
        <v>1434.25</v>
      </c>
      <c r="O1751" s="492"/>
      <c r="P1751" s="430"/>
    </row>
    <row r="1752" spans="1:16" ht="13.5" hidden="1" customHeight="1" outlineLevel="3" x14ac:dyDescent="0.2">
      <c r="A1752" s="233">
        <v>0</v>
      </c>
      <c r="B1752" s="233">
        <v>18</v>
      </c>
      <c r="C1752" s="233">
        <v>36</v>
      </c>
      <c r="D1752" s="234">
        <v>1</v>
      </c>
      <c r="E1752" s="234">
        <v>1</v>
      </c>
      <c r="G1752" s="508" t="s">
        <v>51</v>
      </c>
      <c r="H1752" s="493" t="s">
        <v>1238</v>
      </c>
      <c r="I1752" s="460" t="s">
        <v>6242</v>
      </c>
      <c r="J1752" s="495" t="s">
        <v>2893</v>
      </c>
      <c r="K1752" s="496" t="s">
        <v>787</v>
      </c>
      <c r="L1752" s="497">
        <v>5</v>
      </c>
      <c r="M1752" s="497">
        <v>66.849999999999994</v>
      </c>
      <c r="N1752" s="464">
        <v>334.25</v>
      </c>
      <c r="O1752" s="498" t="s">
        <v>2704</v>
      </c>
      <c r="P1752" s="431" t="s">
        <v>6711</v>
      </c>
    </row>
    <row r="1753" spans="1:16" ht="13.5" hidden="1" customHeight="1" outlineLevel="3" x14ac:dyDescent="0.2">
      <c r="A1753" s="233">
        <v>0</v>
      </c>
      <c r="B1753" s="233">
        <v>18</v>
      </c>
      <c r="C1753" s="233">
        <v>36</v>
      </c>
      <c r="D1753" s="234">
        <v>1</v>
      </c>
      <c r="E1753" s="234">
        <v>2</v>
      </c>
      <c r="G1753" s="508" t="s">
        <v>51</v>
      </c>
      <c r="H1753" s="493" t="s">
        <v>1238</v>
      </c>
      <c r="I1753" s="460" t="s">
        <v>6243</v>
      </c>
      <c r="J1753" s="495" t="s">
        <v>836</v>
      </c>
      <c r="K1753" s="496" t="s">
        <v>533</v>
      </c>
      <c r="L1753" s="497">
        <v>1</v>
      </c>
      <c r="M1753" s="497">
        <v>1100</v>
      </c>
      <c r="N1753" s="464">
        <v>1100</v>
      </c>
      <c r="O1753" s="498" t="s">
        <v>2704</v>
      </c>
      <c r="P1753" s="431" t="s">
        <v>6711</v>
      </c>
    </row>
    <row r="1754" spans="1:16" ht="12.75" hidden="1" customHeight="1" outlineLevel="2" x14ac:dyDescent="0.2">
      <c r="A1754" s="233">
        <v>0</v>
      </c>
      <c r="B1754" s="233">
        <v>18</v>
      </c>
      <c r="C1754" s="233">
        <v>36</v>
      </c>
      <c r="D1754" s="234">
        <v>2</v>
      </c>
      <c r="E1754" s="234">
        <v>0</v>
      </c>
      <c r="G1754" s="507"/>
      <c r="H1754" s="487" t="s">
        <v>1237</v>
      </c>
      <c r="I1754" s="452" t="s">
        <v>6244</v>
      </c>
      <c r="J1754" s="489" t="s">
        <v>2709</v>
      </c>
      <c r="K1754" s="490"/>
      <c r="L1754" s="491"/>
      <c r="M1754" s="491"/>
      <c r="N1754" s="456"/>
      <c r="O1754" s="492"/>
      <c r="P1754" s="430"/>
    </row>
    <row r="1755" spans="1:16" ht="12.75" hidden="1" customHeight="1" outlineLevel="3" x14ac:dyDescent="0.2">
      <c r="A1755" s="233">
        <v>0</v>
      </c>
      <c r="B1755" s="233">
        <v>18</v>
      </c>
      <c r="C1755" s="233">
        <v>36</v>
      </c>
      <c r="D1755" s="234">
        <v>2</v>
      </c>
      <c r="E1755" s="234">
        <v>1</v>
      </c>
      <c r="G1755" s="508" t="s">
        <v>51</v>
      </c>
      <c r="H1755" s="493" t="s">
        <v>1238</v>
      </c>
      <c r="I1755" s="460" t="s">
        <v>6245</v>
      </c>
      <c r="J1755" s="495" t="s">
        <v>2708</v>
      </c>
      <c r="K1755" s="496" t="s">
        <v>641</v>
      </c>
      <c r="L1755" s="497" t="e">
        <v>#REF!</v>
      </c>
      <c r="M1755" s="497">
        <v>1240</v>
      </c>
      <c r="N1755" s="464"/>
      <c r="O1755" s="498" t="s">
        <v>2703</v>
      </c>
      <c r="P1755" s="431" t="s">
        <v>6711</v>
      </c>
    </row>
    <row r="1756" spans="1:16" ht="12.75" hidden="1" customHeight="1" outlineLevel="2" x14ac:dyDescent="0.2">
      <c r="A1756" s="233">
        <v>0</v>
      </c>
      <c r="B1756" s="233">
        <v>18</v>
      </c>
      <c r="C1756" s="233">
        <v>36</v>
      </c>
      <c r="D1756" s="234">
        <v>3</v>
      </c>
      <c r="E1756" s="234">
        <v>0</v>
      </c>
      <c r="G1756" s="507"/>
      <c r="H1756" s="487" t="s">
        <v>1237</v>
      </c>
      <c r="I1756" s="452" t="s">
        <v>6246</v>
      </c>
      <c r="J1756" s="489" t="s">
        <v>29</v>
      </c>
      <c r="K1756" s="490"/>
      <c r="L1756" s="491"/>
      <c r="M1756" s="491"/>
      <c r="N1756" s="456">
        <v>2405</v>
      </c>
      <c r="O1756" s="492"/>
      <c r="P1756" s="430"/>
    </row>
    <row r="1757" spans="1:16" ht="12.75" hidden="1" customHeight="1" outlineLevel="3" x14ac:dyDescent="0.2">
      <c r="A1757" s="233">
        <v>0</v>
      </c>
      <c r="B1757" s="233">
        <v>18</v>
      </c>
      <c r="C1757" s="233">
        <v>36</v>
      </c>
      <c r="D1757" s="234">
        <v>3</v>
      </c>
      <c r="E1757" s="234">
        <v>1</v>
      </c>
      <c r="G1757" s="508" t="s">
        <v>51</v>
      </c>
      <c r="H1757" s="493" t="s">
        <v>1238</v>
      </c>
      <c r="I1757" s="460" t="s">
        <v>6247</v>
      </c>
      <c r="J1757" s="495" t="s">
        <v>842</v>
      </c>
      <c r="K1757" s="496" t="s">
        <v>533</v>
      </c>
      <c r="L1757" s="497">
        <v>1</v>
      </c>
      <c r="M1757" s="497">
        <v>2405</v>
      </c>
      <c r="N1757" s="464">
        <v>2405</v>
      </c>
      <c r="O1757" s="498"/>
      <c r="P1757" s="431" t="s">
        <v>6711</v>
      </c>
    </row>
    <row r="1758" spans="1:16" ht="13.5" hidden="1" customHeight="1" outlineLevel="2" x14ac:dyDescent="0.2">
      <c r="A1758" s="233">
        <v>0</v>
      </c>
      <c r="B1758" s="233">
        <v>18</v>
      </c>
      <c r="C1758" s="233">
        <v>36</v>
      </c>
      <c r="D1758" s="234">
        <v>4</v>
      </c>
      <c r="E1758" s="234">
        <v>0</v>
      </c>
      <c r="G1758" s="507"/>
      <c r="H1758" s="487" t="s">
        <v>1237</v>
      </c>
      <c r="I1758" s="452" t="s">
        <v>6248</v>
      </c>
      <c r="J1758" s="489" t="s">
        <v>14</v>
      </c>
      <c r="K1758" s="490"/>
      <c r="L1758" s="491"/>
      <c r="M1758" s="491"/>
      <c r="N1758" s="456">
        <v>300</v>
      </c>
      <c r="O1758" s="492">
        <v>1.7910800630699001E-2</v>
      </c>
      <c r="P1758" s="430"/>
    </row>
    <row r="1759" spans="1:16" ht="13.5" hidden="1" customHeight="1" outlineLevel="3" x14ac:dyDescent="0.2">
      <c r="A1759" s="233">
        <v>0</v>
      </c>
      <c r="B1759" s="233">
        <v>18</v>
      </c>
      <c r="C1759" s="233">
        <v>36</v>
      </c>
      <c r="D1759" s="234">
        <v>4</v>
      </c>
      <c r="E1759" s="234">
        <v>1</v>
      </c>
      <c r="G1759" s="508" t="s">
        <v>51</v>
      </c>
      <c r="H1759" s="493" t="s">
        <v>1238</v>
      </c>
      <c r="I1759" s="460" t="s">
        <v>6249</v>
      </c>
      <c r="J1759" s="495" t="s">
        <v>844</v>
      </c>
      <c r="K1759" s="496" t="s">
        <v>533</v>
      </c>
      <c r="L1759" s="497">
        <v>1</v>
      </c>
      <c r="M1759" s="497">
        <v>300</v>
      </c>
      <c r="N1759" s="464">
        <v>300</v>
      </c>
      <c r="O1759" s="498" t="s">
        <v>2704</v>
      </c>
      <c r="P1759" s="431" t="s">
        <v>6711</v>
      </c>
    </row>
    <row r="1760" spans="1:16" ht="13.9" customHeight="1" collapsed="1" x14ac:dyDescent="0.2">
      <c r="A1760" s="233">
        <v>0</v>
      </c>
      <c r="B1760" s="233">
        <v>19</v>
      </c>
      <c r="C1760" s="233">
        <v>0</v>
      </c>
      <c r="D1760" s="234">
        <v>4</v>
      </c>
      <c r="E1760" s="234">
        <v>1</v>
      </c>
      <c r="F1760" s="238"/>
      <c r="G1760" s="504"/>
      <c r="H1760" s="476" t="s">
        <v>1236</v>
      </c>
      <c r="I1760" s="438" t="s">
        <v>6250</v>
      </c>
      <c r="J1760" s="505" t="s">
        <v>52</v>
      </c>
      <c r="K1760" s="478"/>
      <c r="L1760" s="479"/>
      <c r="M1760" s="479"/>
      <c r="N1760" s="442">
        <v>500535.85</v>
      </c>
      <c r="O1760" s="480">
        <v>29.8833260595582</v>
      </c>
      <c r="P1760" s="434"/>
    </row>
    <row r="1761" spans="1:16" ht="13.9" hidden="1" customHeight="1" outlineLevel="1" x14ac:dyDescent="0.2">
      <c r="A1761" s="233">
        <v>0</v>
      </c>
      <c r="B1761" s="233">
        <v>19</v>
      </c>
      <c r="C1761" s="233">
        <v>1</v>
      </c>
      <c r="D1761" s="234">
        <v>0</v>
      </c>
      <c r="E1761" s="234">
        <v>1</v>
      </c>
      <c r="F1761" s="238"/>
      <c r="G1761" s="506"/>
      <c r="H1761" s="481" t="s">
        <v>38</v>
      </c>
      <c r="I1761" s="445" t="s">
        <v>6251</v>
      </c>
      <c r="J1761" s="483" t="s">
        <v>2609</v>
      </c>
      <c r="K1761" s="484"/>
      <c r="L1761" s="485"/>
      <c r="M1761" s="485"/>
      <c r="N1761" s="449">
        <v>110511.67</v>
      </c>
      <c r="O1761" s="486"/>
      <c r="P1761" s="435"/>
    </row>
    <row r="1762" spans="1:16" ht="15.75" hidden="1" customHeight="1" outlineLevel="2" x14ac:dyDescent="0.2">
      <c r="A1762" s="233">
        <v>0</v>
      </c>
      <c r="B1762" s="233">
        <v>19</v>
      </c>
      <c r="C1762" s="233">
        <v>1</v>
      </c>
      <c r="D1762" s="234">
        <v>1</v>
      </c>
      <c r="E1762" s="234">
        <v>0</v>
      </c>
      <c r="F1762" s="238"/>
      <c r="G1762" s="507"/>
      <c r="H1762" s="487" t="s">
        <v>1237</v>
      </c>
      <c r="I1762" s="452" t="s">
        <v>6252</v>
      </c>
      <c r="J1762" s="489" t="s">
        <v>31</v>
      </c>
      <c r="K1762" s="490"/>
      <c r="L1762" s="491"/>
      <c r="M1762" s="491"/>
      <c r="N1762" s="456">
        <v>14835.12</v>
      </c>
      <c r="O1762" s="492"/>
      <c r="P1762" s="430"/>
    </row>
    <row r="1763" spans="1:16" ht="13.9" hidden="1" customHeight="1" outlineLevel="3" x14ac:dyDescent="0.2">
      <c r="A1763" s="233">
        <v>0</v>
      </c>
      <c r="B1763" s="233">
        <v>19</v>
      </c>
      <c r="C1763" s="233">
        <v>1</v>
      </c>
      <c r="D1763" s="234">
        <v>1</v>
      </c>
      <c r="E1763" s="234">
        <v>1</v>
      </c>
      <c r="F1763" s="238"/>
      <c r="G1763" s="508" t="s">
        <v>52</v>
      </c>
      <c r="H1763" s="493" t="s">
        <v>1238</v>
      </c>
      <c r="I1763" s="460" t="s">
        <v>6253</v>
      </c>
      <c r="J1763" s="495" t="s">
        <v>1265</v>
      </c>
      <c r="K1763" s="496" t="s">
        <v>1129</v>
      </c>
      <c r="L1763" s="497">
        <v>1</v>
      </c>
      <c r="M1763" s="497">
        <v>14835.119999999999</v>
      </c>
      <c r="N1763" s="464">
        <v>14835.12</v>
      </c>
      <c r="O1763" s="498"/>
      <c r="P1763" s="431" t="s">
        <v>6711</v>
      </c>
    </row>
    <row r="1764" spans="1:16" ht="13.9" hidden="1" customHeight="1" outlineLevel="2" x14ac:dyDescent="0.2">
      <c r="A1764" s="233">
        <v>0</v>
      </c>
      <c r="B1764" s="233">
        <v>19</v>
      </c>
      <c r="C1764" s="233">
        <v>1</v>
      </c>
      <c r="D1764" s="234">
        <v>2</v>
      </c>
      <c r="E1764" s="234">
        <v>0</v>
      </c>
      <c r="F1764" s="238"/>
      <c r="G1764" s="507"/>
      <c r="H1764" s="487" t="s">
        <v>1237</v>
      </c>
      <c r="I1764" s="452" t="s">
        <v>6254</v>
      </c>
      <c r="J1764" s="489" t="s">
        <v>2353</v>
      </c>
      <c r="K1764" s="490"/>
      <c r="L1764" s="491"/>
      <c r="M1764" s="491"/>
      <c r="N1764" s="456">
        <v>67242.11</v>
      </c>
      <c r="O1764" s="492"/>
      <c r="P1764" s="430"/>
    </row>
    <row r="1765" spans="1:16" ht="13.9" hidden="1" customHeight="1" outlineLevel="3" x14ac:dyDescent="0.2">
      <c r="A1765" s="233">
        <v>0</v>
      </c>
      <c r="B1765" s="233">
        <v>19</v>
      </c>
      <c r="C1765" s="233">
        <v>1</v>
      </c>
      <c r="D1765" s="234">
        <v>2</v>
      </c>
      <c r="E1765" s="234">
        <v>1</v>
      </c>
      <c r="F1765" s="238"/>
      <c r="G1765" s="508" t="s">
        <v>52</v>
      </c>
      <c r="H1765" s="493" t="s">
        <v>1238</v>
      </c>
      <c r="I1765" s="460" t="s">
        <v>6255</v>
      </c>
      <c r="J1765" s="495" t="s">
        <v>1266</v>
      </c>
      <c r="K1765" s="496" t="s">
        <v>1129</v>
      </c>
      <c r="L1765" s="497">
        <v>1</v>
      </c>
      <c r="M1765" s="497">
        <v>67242.11</v>
      </c>
      <c r="N1765" s="464">
        <v>67242.11</v>
      </c>
      <c r="O1765" s="498"/>
      <c r="P1765" s="431" t="s">
        <v>6711</v>
      </c>
    </row>
    <row r="1766" spans="1:16" ht="13.9" hidden="1" customHeight="1" outlineLevel="2" x14ac:dyDescent="0.2">
      <c r="A1766" s="233">
        <v>0</v>
      </c>
      <c r="B1766" s="233">
        <v>19</v>
      </c>
      <c r="C1766" s="233">
        <v>1</v>
      </c>
      <c r="D1766" s="234">
        <v>3</v>
      </c>
      <c r="E1766" s="234">
        <v>0</v>
      </c>
      <c r="F1766" s="238"/>
      <c r="G1766" s="507"/>
      <c r="H1766" s="487" t="s">
        <v>1237</v>
      </c>
      <c r="I1766" s="452" t="s">
        <v>6256</v>
      </c>
      <c r="J1766" s="489" t="s">
        <v>2354</v>
      </c>
      <c r="K1766" s="490"/>
      <c r="L1766" s="491"/>
      <c r="M1766" s="491"/>
      <c r="N1766" s="456">
        <v>22157.8</v>
      </c>
      <c r="O1766" s="492"/>
      <c r="P1766" s="430"/>
    </row>
    <row r="1767" spans="1:16" ht="13.9" hidden="1" customHeight="1" outlineLevel="3" x14ac:dyDescent="0.2">
      <c r="A1767" s="233">
        <v>0</v>
      </c>
      <c r="B1767" s="233">
        <v>19</v>
      </c>
      <c r="C1767" s="233">
        <v>1</v>
      </c>
      <c r="D1767" s="234">
        <v>3</v>
      </c>
      <c r="E1767" s="234">
        <v>1</v>
      </c>
      <c r="F1767" s="238"/>
      <c r="G1767" s="508" t="s">
        <v>52</v>
      </c>
      <c r="H1767" s="493" t="s">
        <v>1238</v>
      </c>
      <c r="I1767" s="460" t="s">
        <v>6257</v>
      </c>
      <c r="J1767" s="495" t="s">
        <v>1267</v>
      </c>
      <c r="K1767" s="496" t="s">
        <v>1129</v>
      </c>
      <c r="L1767" s="497">
        <v>1</v>
      </c>
      <c r="M1767" s="497">
        <v>22157.8</v>
      </c>
      <c r="N1767" s="464">
        <v>22157.8</v>
      </c>
      <c r="O1767" s="498"/>
      <c r="P1767" s="431" t="s">
        <v>6711</v>
      </c>
    </row>
    <row r="1768" spans="1:16" ht="13.9" hidden="1" customHeight="1" outlineLevel="2" x14ac:dyDescent="0.2">
      <c r="A1768" s="233">
        <v>0</v>
      </c>
      <c r="B1768" s="233">
        <v>19</v>
      </c>
      <c r="C1768" s="233">
        <v>1</v>
      </c>
      <c r="D1768" s="234">
        <v>4</v>
      </c>
      <c r="E1768" s="234">
        <v>0</v>
      </c>
      <c r="F1768" s="238"/>
      <c r="G1768" s="507"/>
      <c r="H1768" s="487" t="s">
        <v>1237</v>
      </c>
      <c r="I1768" s="452" t="s">
        <v>6258</v>
      </c>
      <c r="J1768" s="489" t="s">
        <v>14</v>
      </c>
      <c r="K1768" s="490"/>
      <c r="L1768" s="491"/>
      <c r="M1768" s="491"/>
      <c r="N1768" s="456">
        <v>6276.64</v>
      </c>
      <c r="O1768" s="492"/>
      <c r="P1768" s="430"/>
    </row>
    <row r="1769" spans="1:16" ht="13.9" hidden="1" customHeight="1" outlineLevel="3" x14ac:dyDescent="0.2">
      <c r="A1769" s="233">
        <v>0</v>
      </c>
      <c r="B1769" s="233">
        <v>19</v>
      </c>
      <c r="C1769" s="233">
        <v>1</v>
      </c>
      <c r="D1769" s="234">
        <v>4</v>
      </c>
      <c r="E1769" s="234">
        <v>1</v>
      </c>
      <c r="F1769" s="238"/>
      <c r="G1769" s="508" t="s">
        <v>52</v>
      </c>
      <c r="H1769" s="493" t="s">
        <v>1238</v>
      </c>
      <c r="I1769" s="460" t="s">
        <v>6259</v>
      </c>
      <c r="J1769" s="495" t="s">
        <v>1268</v>
      </c>
      <c r="K1769" s="496" t="s">
        <v>1129</v>
      </c>
      <c r="L1769" s="497">
        <v>1</v>
      </c>
      <c r="M1769" s="497">
        <v>6276.64</v>
      </c>
      <c r="N1769" s="464">
        <v>6276.64</v>
      </c>
      <c r="O1769" s="498"/>
      <c r="P1769" s="431" t="s">
        <v>6711</v>
      </c>
    </row>
    <row r="1770" spans="1:16" ht="13.9" hidden="1" customHeight="1" outlineLevel="1" x14ac:dyDescent="0.2">
      <c r="A1770" s="233">
        <v>0</v>
      </c>
      <c r="B1770" s="233">
        <v>19</v>
      </c>
      <c r="C1770" s="233">
        <v>2</v>
      </c>
      <c r="D1770" s="234">
        <v>0</v>
      </c>
      <c r="E1770" s="234">
        <v>1</v>
      </c>
      <c r="F1770" s="238"/>
      <c r="G1770" s="506"/>
      <c r="H1770" s="481" t="s">
        <v>38</v>
      </c>
      <c r="I1770" s="445" t="s">
        <v>6260</v>
      </c>
      <c r="J1770" s="483" t="s">
        <v>2610</v>
      </c>
      <c r="K1770" s="484"/>
      <c r="L1770" s="485"/>
      <c r="M1770" s="485"/>
      <c r="N1770" s="449">
        <v>6937.22</v>
      </c>
      <c r="O1770" s="486"/>
      <c r="P1770" s="435"/>
    </row>
    <row r="1771" spans="1:16" ht="13.9" hidden="1" customHeight="1" outlineLevel="2" x14ac:dyDescent="0.2">
      <c r="A1771" s="233">
        <v>0</v>
      </c>
      <c r="B1771" s="233">
        <v>19</v>
      </c>
      <c r="C1771" s="233">
        <v>2</v>
      </c>
      <c r="D1771" s="234">
        <v>1</v>
      </c>
      <c r="E1771" s="234">
        <v>0</v>
      </c>
      <c r="F1771" s="238"/>
      <c r="G1771" s="507"/>
      <c r="H1771" s="487" t="s">
        <v>1237</v>
      </c>
      <c r="I1771" s="452" t="s">
        <v>6261</v>
      </c>
      <c r="J1771" s="489" t="s">
        <v>2353</v>
      </c>
      <c r="K1771" s="490"/>
      <c r="L1771" s="491"/>
      <c r="M1771" s="491"/>
      <c r="N1771" s="456">
        <v>528.02</v>
      </c>
      <c r="O1771" s="492"/>
      <c r="P1771" s="430"/>
    </row>
    <row r="1772" spans="1:16" ht="13.9" hidden="1" customHeight="1" outlineLevel="3" x14ac:dyDescent="0.2">
      <c r="A1772" s="233">
        <v>0</v>
      </c>
      <c r="B1772" s="233">
        <v>19</v>
      </c>
      <c r="C1772" s="233">
        <v>2</v>
      </c>
      <c r="D1772" s="234">
        <v>1</v>
      </c>
      <c r="E1772" s="234">
        <v>1</v>
      </c>
      <c r="F1772" s="238"/>
      <c r="G1772" s="508" t="s">
        <v>52</v>
      </c>
      <c r="H1772" s="493" t="s">
        <v>1238</v>
      </c>
      <c r="I1772" s="460" t="s">
        <v>6262</v>
      </c>
      <c r="J1772" s="495" t="s">
        <v>1266</v>
      </c>
      <c r="K1772" s="496" t="s">
        <v>1129</v>
      </c>
      <c r="L1772" s="497">
        <v>1</v>
      </c>
      <c r="M1772" s="497">
        <v>528.02</v>
      </c>
      <c r="N1772" s="464">
        <v>528.02</v>
      </c>
      <c r="O1772" s="498"/>
      <c r="P1772" s="431" t="s">
        <v>6711</v>
      </c>
    </row>
    <row r="1773" spans="1:16" ht="13.9" hidden="1" customHeight="1" outlineLevel="2" x14ac:dyDescent="0.2">
      <c r="A1773" s="233">
        <v>0</v>
      </c>
      <c r="B1773" s="233">
        <v>19</v>
      </c>
      <c r="C1773" s="233">
        <v>2</v>
      </c>
      <c r="D1773" s="234">
        <v>2</v>
      </c>
      <c r="E1773" s="234">
        <v>0</v>
      </c>
      <c r="F1773" s="238"/>
      <c r="G1773" s="507"/>
      <c r="H1773" s="487" t="s">
        <v>1237</v>
      </c>
      <c r="I1773" s="452" t="s">
        <v>6263</v>
      </c>
      <c r="J1773" s="489" t="s">
        <v>14</v>
      </c>
      <c r="K1773" s="490"/>
      <c r="L1773" s="491"/>
      <c r="M1773" s="491"/>
      <c r="N1773" s="456">
        <v>6409.2</v>
      </c>
      <c r="O1773" s="492"/>
      <c r="P1773" s="430"/>
    </row>
    <row r="1774" spans="1:16" ht="13.9" hidden="1" customHeight="1" outlineLevel="3" x14ac:dyDescent="0.2">
      <c r="A1774" s="233">
        <v>0</v>
      </c>
      <c r="B1774" s="233">
        <v>19</v>
      </c>
      <c r="C1774" s="233">
        <v>2</v>
      </c>
      <c r="D1774" s="234">
        <v>2</v>
      </c>
      <c r="E1774" s="234">
        <v>1</v>
      </c>
      <c r="F1774" s="238"/>
      <c r="G1774" s="508" t="s">
        <v>52</v>
      </c>
      <c r="H1774" s="493" t="s">
        <v>1238</v>
      </c>
      <c r="I1774" s="460" t="s">
        <v>6264</v>
      </c>
      <c r="J1774" s="495" t="s">
        <v>1268</v>
      </c>
      <c r="K1774" s="496" t="s">
        <v>1129</v>
      </c>
      <c r="L1774" s="497">
        <v>1</v>
      </c>
      <c r="M1774" s="497">
        <v>6409.2</v>
      </c>
      <c r="N1774" s="464">
        <v>6409.2</v>
      </c>
      <c r="O1774" s="498"/>
      <c r="P1774" s="431" t="s">
        <v>6711</v>
      </c>
    </row>
    <row r="1775" spans="1:16" ht="13.9" hidden="1" customHeight="1" outlineLevel="1" x14ac:dyDescent="0.2">
      <c r="A1775" s="233">
        <v>0</v>
      </c>
      <c r="B1775" s="233">
        <v>19</v>
      </c>
      <c r="C1775" s="233">
        <v>3</v>
      </c>
      <c r="D1775" s="234">
        <v>0</v>
      </c>
      <c r="E1775" s="234">
        <v>1</v>
      </c>
      <c r="F1775" s="238"/>
      <c r="G1775" s="506"/>
      <c r="H1775" s="481" t="s">
        <v>38</v>
      </c>
      <c r="I1775" s="445" t="s">
        <v>6265</v>
      </c>
      <c r="J1775" s="483" t="s">
        <v>2611</v>
      </c>
      <c r="K1775" s="484"/>
      <c r="L1775" s="485"/>
      <c r="M1775" s="485"/>
      <c r="N1775" s="449">
        <v>7556.02</v>
      </c>
      <c r="O1775" s="486"/>
      <c r="P1775" s="435"/>
    </row>
    <row r="1776" spans="1:16" ht="13.9" hidden="1" customHeight="1" outlineLevel="2" x14ac:dyDescent="0.2">
      <c r="A1776" s="233">
        <v>0</v>
      </c>
      <c r="B1776" s="233">
        <v>19</v>
      </c>
      <c r="C1776" s="233">
        <v>3</v>
      </c>
      <c r="D1776" s="234">
        <v>1</v>
      </c>
      <c r="E1776" s="234">
        <v>0</v>
      </c>
      <c r="F1776" s="238"/>
      <c r="G1776" s="507"/>
      <c r="H1776" s="487" t="s">
        <v>1237</v>
      </c>
      <c r="I1776" s="452" t="s">
        <v>6266</v>
      </c>
      <c r="J1776" s="489" t="s">
        <v>2353</v>
      </c>
      <c r="K1776" s="490"/>
      <c r="L1776" s="491"/>
      <c r="M1776" s="491"/>
      <c r="N1776" s="456">
        <v>528.02</v>
      </c>
      <c r="O1776" s="492"/>
      <c r="P1776" s="430"/>
    </row>
    <row r="1777" spans="1:16" ht="13.9" hidden="1" customHeight="1" outlineLevel="3" x14ac:dyDescent="0.2">
      <c r="A1777" s="233">
        <v>0</v>
      </c>
      <c r="B1777" s="233">
        <v>19</v>
      </c>
      <c r="C1777" s="233">
        <v>3</v>
      </c>
      <c r="D1777" s="234">
        <v>1</v>
      </c>
      <c r="E1777" s="234">
        <v>1</v>
      </c>
      <c r="F1777" s="238"/>
      <c r="G1777" s="508" t="s">
        <v>52</v>
      </c>
      <c r="H1777" s="493" t="s">
        <v>1238</v>
      </c>
      <c r="I1777" s="460" t="s">
        <v>6267</v>
      </c>
      <c r="J1777" s="495" t="s">
        <v>1266</v>
      </c>
      <c r="K1777" s="496" t="s">
        <v>1129</v>
      </c>
      <c r="L1777" s="497">
        <v>1</v>
      </c>
      <c r="M1777" s="497">
        <v>528.02</v>
      </c>
      <c r="N1777" s="464">
        <v>528.02</v>
      </c>
      <c r="O1777" s="498"/>
      <c r="P1777" s="431" t="s">
        <v>6711</v>
      </c>
    </row>
    <row r="1778" spans="1:16" ht="13.9" hidden="1" customHeight="1" outlineLevel="2" x14ac:dyDescent="0.2">
      <c r="A1778" s="233">
        <v>0</v>
      </c>
      <c r="B1778" s="233">
        <v>19</v>
      </c>
      <c r="C1778" s="233">
        <v>3</v>
      </c>
      <c r="D1778" s="234">
        <v>2</v>
      </c>
      <c r="E1778" s="234">
        <v>0</v>
      </c>
      <c r="F1778" s="238"/>
      <c r="G1778" s="507"/>
      <c r="H1778" s="487" t="s">
        <v>1237</v>
      </c>
      <c r="I1778" s="452" t="s">
        <v>6268</v>
      </c>
      <c r="J1778" s="489" t="s">
        <v>14</v>
      </c>
      <c r="K1778" s="490"/>
      <c r="L1778" s="491"/>
      <c r="M1778" s="491"/>
      <c r="N1778" s="456">
        <v>7028</v>
      </c>
      <c r="O1778" s="492"/>
      <c r="P1778" s="430"/>
    </row>
    <row r="1779" spans="1:16" ht="13.9" hidden="1" customHeight="1" outlineLevel="3" x14ac:dyDescent="0.2">
      <c r="A1779" s="233">
        <v>0</v>
      </c>
      <c r="B1779" s="233">
        <v>19</v>
      </c>
      <c r="C1779" s="233">
        <v>3</v>
      </c>
      <c r="D1779" s="234">
        <v>2</v>
      </c>
      <c r="E1779" s="234">
        <v>1</v>
      </c>
      <c r="F1779" s="238"/>
      <c r="G1779" s="508" t="s">
        <v>52</v>
      </c>
      <c r="H1779" s="493" t="s">
        <v>1238</v>
      </c>
      <c r="I1779" s="460" t="s">
        <v>6269</v>
      </c>
      <c r="J1779" s="495" t="s">
        <v>1268</v>
      </c>
      <c r="K1779" s="496" t="s">
        <v>1129</v>
      </c>
      <c r="L1779" s="497">
        <v>1</v>
      </c>
      <c r="M1779" s="497">
        <v>7028</v>
      </c>
      <c r="N1779" s="464">
        <v>7028</v>
      </c>
      <c r="O1779" s="498"/>
      <c r="P1779" s="431" t="s">
        <v>6711</v>
      </c>
    </row>
    <row r="1780" spans="1:16" ht="13.9" hidden="1" customHeight="1" outlineLevel="1" x14ac:dyDescent="0.2">
      <c r="A1780" s="233">
        <v>0</v>
      </c>
      <c r="B1780" s="233">
        <v>19</v>
      </c>
      <c r="C1780" s="233">
        <v>4</v>
      </c>
      <c r="D1780" s="234">
        <v>0</v>
      </c>
      <c r="E1780" s="234">
        <v>1</v>
      </c>
      <c r="F1780" s="238"/>
      <c r="G1780" s="506"/>
      <c r="H1780" s="481" t="s">
        <v>38</v>
      </c>
      <c r="I1780" s="445" t="s">
        <v>6270</v>
      </c>
      <c r="J1780" s="483" t="s">
        <v>2612</v>
      </c>
      <c r="K1780" s="484"/>
      <c r="L1780" s="485"/>
      <c r="M1780" s="485"/>
      <c r="N1780" s="449">
        <v>7556.02</v>
      </c>
      <c r="O1780" s="486"/>
      <c r="P1780" s="435"/>
    </row>
    <row r="1781" spans="1:16" ht="13.9" hidden="1" customHeight="1" outlineLevel="2" x14ac:dyDescent="0.2">
      <c r="A1781" s="233">
        <v>0</v>
      </c>
      <c r="B1781" s="233">
        <v>19</v>
      </c>
      <c r="C1781" s="233">
        <v>4</v>
      </c>
      <c r="D1781" s="234">
        <v>1</v>
      </c>
      <c r="E1781" s="234">
        <v>0</v>
      </c>
      <c r="F1781" s="238"/>
      <c r="G1781" s="507"/>
      <c r="H1781" s="487" t="s">
        <v>1237</v>
      </c>
      <c r="I1781" s="452" t="s">
        <v>6271</v>
      </c>
      <c r="J1781" s="489" t="s">
        <v>2353</v>
      </c>
      <c r="K1781" s="490"/>
      <c r="L1781" s="491"/>
      <c r="M1781" s="491"/>
      <c r="N1781" s="456">
        <v>528.02</v>
      </c>
      <c r="O1781" s="492"/>
      <c r="P1781" s="430"/>
    </row>
    <row r="1782" spans="1:16" ht="13.9" hidden="1" customHeight="1" outlineLevel="3" x14ac:dyDescent="0.2">
      <c r="A1782" s="233">
        <v>0</v>
      </c>
      <c r="B1782" s="233">
        <v>19</v>
      </c>
      <c r="C1782" s="233">
        <v>4</v>
      </c>
      <c r="D1782" s="234">
        <v>1</v>
      </c>
      <c r="E1782" s="234">
        <v>1</v>
      </c>
      <c r="F1782" s="238"/>
      <c r="G1782" s="508" t="s">
        <v>52</v>
      </c>
      <c r="H1782" s="493" t="s">
        <v>1238</v>
      </c>
      <c r="I1782" s="460" t="s">
        <v>6272</v>
      </c>
      <c r="J1782" s="495" t="s">
        <v>1266</v>
      </c>
      <c r="K1782" s="496" t="s">
        <v>1129</v>
      </c>
      <c r="L1782" s="497">
        <v>1</v>
      </c>
      <c r="M1782" s="497">
        <v>528.02</v>
      </c>
      <c r="N1782" s="464">
        <v>528.02</v>
      </c>
      <c r="O1782" s="498"/>
      <c r="P1782" s="431" t="s">
        <v>6711</v>
      </c>
    </row>
    <row r="1783" spans="1:16" ht="13.9" hidden="1" customHeight="1" outlineLevel="2" x14ac:dyDescent="0.2">
      <c r="A1783" s="233">
        <v>0</v>
      </c>
      <c r="B1783" s="233">
        <v>19</v>
      </c>
      <c r="C1783" s="233">
        <v>4</v>
      </c>
      <c r="D1783" s="234">
        <v>2</v>
      </c>
      <c r="E1783" s="234">
        <v>0</v>
      </c>
      <c r="F1783" s="238"/>
      <c r="G1783" s="507"/>
      <c r="H1783" s="487" t="s">
        <v>1237</v>
      </c>
      <c r="I1783" s="452" t="s">
        <v>6273</v>
      </c>
      <c r="J1783" s="489" t="s">
        <v>14</v>
      </c>
      <c r="K1783" s="490"/>
      <c r="L1783" s="491"/>
      <c r="M1783" s="491"/>
      <c r="N1783" s="456">
        <v>7028</v>
      </c>
      <c r="O1783" s="492"/>
      <c r="P1783" s="430"/>
    </row>
    <row r="1784" spans="1:16" ht="13.9" hidden="1" customHeight="1" outlineLevel="3" x14ac:dyDescent="0.2">
      <c r="A1784" s="233">
        <v>0</v>
      </c>
      <c r="B1784" s="233">
        <v>19</v>
      </c>
      <c r="C1784" s="233">
        <v>4</v>
      </c>
      <c r="D1784" s="234">
        <v>2</v>
      </c>
      <c r="E1784" s="234">
        <v>1</v>
      </c>
      <c r="F1784" s="238"/>
      <c r="G1784" s="508" t="s">
        <v>52</v>
      </c>
      <c r="H1784" s="493" t="s">
        <v>1238</v>
      </c>
      <c r="I1784" s="460" t="s">
        <v>6274</v>
      </c>
      <c r="J1784" s="495" t="s">
        <v>1268</v>
      </c>
      <c r="K1784" s="496" t="s">
        <v>1129</v>
      </c>
      <c r="L1784" s="497">
        <v>1</v>
      </c>
      <c r="M1784" s="497">
        <v>7028</v>
      </c>
      <c r="N1784" s="464">
        <v>7028</v>
      </c>
      <c r="O1784" s="498"/>
      <c r="P1784" s="431" t="s">
        <v>6711</v>
      </c>
    </row>
    <row r="1785" spans="1:16" ht="13.9" hidden="1" customHeight="1" outlineLevel="1" x14ac:dyDescent="0.2">
      <c r="A1785" s="233">
        <v>0</v>
      </c>
      <c r="B1785" s="233">
        <v>19</v>
      </c>
      <c r="C1785" s="233">
        <v>5</v>
      </c>
      <c r="D1785" s="234">
        <v>0</v>
      </c>
      <c r="E1785" s="234">
        <v>1</v>
      </c>
      <c r="F1785" s="238"/>
      <c r="G1785" s="506"/>
      <c r="H1785" s="481" t="s">
        <v>38</v>
      </c>
      <c r="I1785" s="445" t="s">
        <v>6275</v>
      </c>
      <c r="J1785" s="483" t="s">
        <v>2613</v>
      </c>
      <c r="K1785" s="484"/>
      <c r="L1785" s="485"/>
      <c r="M1785" s="485"/>
      <c r="N1785" s="449">
        <v>7556.02</v>
      </c>
      <c r="O1785" s="486"/>
      <c r="P1785" s="435"/>
    </row>
    <row r="1786" spans="1:16" ht="13.9" hidden="1" customHeight="1" outlineLevel="2" x14ac:dyDescent="0.2">
      <c r="A1786" s="233">
        <v>0</v>
      </c>
      <c r="B1786" s="233">
        <v>19</v>
      </c>
      <c r="C1786" s="233">
        <v>5</v>
      </c>
      <c r="D1786" s="234">
        <v>1</v>
      </c>
      <c r="E1786" s="234">
        <v>0</v>
      </c>
      <c r="F1786" s="238"/>
      <c r="G1786" s="507"/>
      <c r="H1786" s="487" t="s">
        <v>1237</v>
      </c>
      <c r="I1786" s="452" t="s">
        <v>6276</v>
      </c>
      <c r="J1786" s="489" t="s">
        <v>2353</v>
      </c>
      <c r="K1786" s="490"/>
      <c r="L1786" s="491"/>
      <c r="M1786" s="491"/>
      <c r="N1786" s="456">
        <v>528.02</v>
      </c>
      <c r="O1786" s="492"/>
      <c r="P1786" s="430"/>
    </row>
    <row r="1787" spans="1:16" ht="13.9" hidden="1" customHeight="1" outlineLevel="3" x14ac:dyDescent="0.2">
      <c r="A1787" s="233">
        <v>0</v>
      </c>
      <c r="B1787" s="233">
        <v>19</v>
      </c>
      <c r="C1787" s="233">
        <v>5</v>
      </c>
      <c r="D1787" s="234">
        <v>1</v>
      </c>
      <c r="E1787" s="234">
        <v>1</v>
      </c>
      <c r="F1787" s="238"/>
      <c r="G1787" s="508" t="s">
        <v>52</v>
      </c>
      <c r="H1787" s="493" t="s">
        <v>1238</v>
      </c>
      <c r="I1787" s="460" t="s">
        <v>6277</v>
      </c>
      <c r="J1787" s="495" t="s">
        <v>1266</v>
      </c>
      <c r="K1787" s="496" t="s">
        <v>1129</v>
      </c>
      <c r="L1787" s="497">
        <v>1</v>
      </c>
      <c r="M1787" s="497">
        <v>528.02</v>
      </c>
      <c r="N1787" s="464">
        <v>528.02</v>
      </c>
      <c r="O1787" s="498"/>
      <c r="P1787" s="431" t="s">
        <v>6711</v>
      </c>
    </row>
    <row r="1788" spans="1:16" ht="13.9" hidden="1" customHeight="1" outlineLevel="2" x14ac:dyDescent="0.2">
      <c r="A1788" s="233">
        <v>0</v>
      </c>
      <c r="B1788" s="233">
        <v>19</v>
      </c>
      <c r="C1788" s="233">
        <v>5</v>
      </c>
      <c r="D1788" s="234">
        <v>2</v>
      </c>
      <c r="E1788" s="234">
        <v>0</v>
      </c>
      <c r="F1788" s="238"/>
      <c r="G1788" s="507"/>
      <c r="H1788" s="487" t="s">
        <v>1237</v>
      </c>
      <c r="I1788" s="452" t="s">
        <v>6278</v>
      </c>
      <c r="J1788" s="489" t="s">
        <v>14</v>
      </c>
      <c r="K1788" s="490"/>
      <c r="L1788" s="491"/>
      <c r="M1788" s="491"/>
      <c r="N1788" s="456">
        <v>7028</v>
      </c>
      <c r="O1788" s="492"/>
      <c r="P1788" s="430"/>
    </row>
    <row r="1789" spans="1:16" ht="13.9" hidden="1" customHeight="1" outlineLevel="3" x14ac:dyDescent="0.2">
      <c r="A1789" s="233">
        <v>0</v>
      </c>
      <c r="B1789" s="233">
        <v>19</v>
      </c>
      <c r="C1789" s="233">
        <v>5</v>
      </c>
      <c r="D1789" s="234">
        <v>2</v>
      </c>
      <c r="E1789" s="234">
        <v>1</v>
      </c>
      <c r="F1789" s="238"/>
      <c r="G1789" s="508" t="s">
        <v>52</v>
      </c>
      <c r="H1789" s="493" t="s">
        <v>1238</v>
      </c>
      <c r="I1789" s="460" t="s">
        <v>6279</v>
      </c>
      <c r="J1789" s="495" t="s">
        <v>1268</v>
      </c>
      <c r="K1789" s="496" t="s">
        <v>1129</v>
      </c>
      <c r="L1789" s="497">
        <v>1</v>
      </c>
      <c r="M1789" s="497">
        <v>7028</v>
      </c>
      <c r="N1789" s="464">
        <v>7028</v>
      </c>
      <c r="O1789" s="498"/>
      <c r="P1789" s="431" t="s">
        <v>6711</v>
      </c>
    </row>
    <row r="1790" spans="1:16" ht="13.9" hidden="1" customHeight="1" outlineLevel="1" x14ac:dyDescent="0.2">
      <c r="A1790" s="233">
        <v>0</v>
      </c>
      <c r="B1790" s="233">
        <v>19</v>
      </c>
      <c r="C1790" s="233">
        <v>6</v>
      </c>
      <c r="D1790" s="234">
        <v>0</v>
      </c>
      <c r="E1790" s="234">
        <v>1</v>
      </c>
      <c r="F1790" s="238"/>
      <c r="G1790" s="506"/>
      <c r="H1790" s="481" t="s">
        <v>38</v>
      </c>
      <c r="I1790" s="445" t="s">
        <v>6280</v>
      </c>
      <c r="J1790" s="483" t="s">
        <v>2614</v>
      </c>
      <c r="K1790" s="484"/>
      <c r="L1790" s="485"/>
      <c r="M1790" s="485"/>
      <c r="N1790" s="449">
        <v>7667.62</v>
      </c>
      <c r="O1790" s="486"/>
      <c r="P1790" s="435"/>
    </row>
    <row r="1791" spans="1:16" ht="13.9" hidden="1" customHeight="1" outlineLevel="2" x14ac:dyDescent="0.2">
      <c r="A1791" s="233">
        <v>0</v>
      </c>
      <c r="B1791" s="233">
        <v>19</v>
      </c>
      <c r="C1791" s="233">
        <v>6</v>
      </c>
      <c r="D1791" s="234">
        <v>1</v>
      </c>
      <c r="E1791" s="234">
        <v>0</v>
      </c>
      <c r="F1791" s="238"/>
      <c r="G1791" s="507"/>
      <c r="H1791" s="487" t="s">
        <v>1237</v>
      </c>
      <c r="I1791" s="452" t="s">
        <v>6281</v>
      </c>
      <c r="J1791" s="489" t="s">
        <v>2353</v>
      </c>
      <c r="K1791" s="490"/>
      <c r="L1791" s="491"/>
      <c r="M1791" s="491"/>
      <c r="N1791" s="456">
        <v>528.02</v>
      </c>
      <c r="O1791" s="492"/>
      <c r="P1791" s="430"/>
    </row>
    <row r="1792" spans="1:16" ht="13.9" hidden="1" customHeight="1" outlineLevel="3" x14ac:dyDescent="0.2">
      <c r="A1792" s="233">
        <v>0</v>
      </c>
      <c r="B1792" s="233">
        <v>19</v>
      </c>
      <c r="C1792" s="233">
        <v>6</v>
      </c>
      <c r="D1792" s="234">
        <v>1</v>
      </c>
      <c r="E1792" s="234">
        <v>1</v>
      </c>
      <c r="F1792" s="238"/>
      <c r="G1792" s="508" t="s">
        <v>52</v>
      </c>
      <c r="H1792" s="493" t="s">
        <v>1238</v>
      </c>
      <c r="I1792" s="460" t="s">
        <v>6282</v>
      </c>
      <c r="J1792" s="495" t="s">
        <v>1266</v>
      </c>
      <c r="K1792" s="496" t="s">
        <v>1129</v>
      </c>
      <c r="L1792" s="497">
        <v>1</v>
      </c>
      <c r="M1792" s="497">
        <v>528.02</v>
      </c>
      <c r="N1792" s="464">
        <v>528.02</v>
      </c>
      <c r="O1792" s="498"/>
      <c r="P1792" s="431" t="s">
        <v>6711</v>
      </c>
    </row>
    <row r="1793" spans="1:16" ht="13.9" hidden="1" customHeight="1" outlineLevel="2" x14ac:dyDescent="0.2">
      <c r="A1793" s="233">
        <v>0</v>
      </c>
      <c r="B1793" s="233">
        <v>19</v>
      </c>
      <c r="C1793" s="233">
        <v>6</v>
      </c>
      <c r="D1793" s="234">
        <v>2</v>
      </c>
      <c r="E1793" s="234">
        <v>0</v>
      </c>
      <c r="F1793" s="238"/>
      <c r="G1793" s="507"/>
      <c r="H1793" s="487" t="s">
        <v>1237</v>
      </c>
      <c r="I1793" s="452" t="s">
        <v>6283</v>
      </c>
      <c r="J1793" s="489" t="s">
        <v>14</v>
      </c>
      <c r="K1793" s="490"/>
      <c r="L1793" s="491"/>
      <c r="M1793" s="491"/>
      <c r="N1793" s="456">
        <v>7139.6</v>
      </c>
      <c r="O1793" s="492"/>
      <c r="P1793" s="430"/>
    </row>
    <row r="1794" spans="1:16" ht="13.9" hidden="1" customHeight="1" outlineLevel="3" x14ac:dyDescent="0.2">
      <c r="A1794" s="233">
        <v>0</v>
      </c>
      <c r="B1794" s="233">
        <v>19</v>
      </c>
      <c r="C1794" s="233">
        <v>6</v>
      </c>
      <c r="D1794" s="234">
        <v>2</v>
      </c>
      <c r="E1794" s="234">
        <v>1</v>
      </c>
      <c r="F1794" s="238"/>
      <c r="G1794" s="508" t="s">
        <v>52</v>
      </c>
      <c r="H1794" s="493" t="s">
        <v>1238</v>
      </c>
      <c r="I1794" s="460" t="s">
        <v>6284</v>
      </c>
      <c r="J1794" s="495" t="s">
        <v>1268</v>
      </c>
      <c r="K1794" s="496" t="s">
        <v>1129</v>
      </c>
      <c r="L1794" s="497">
        <v>1</v>
      </c>
      <c r="M1794" s="497">
        <v>7139.6</v>
      </c>
      <c r="N1794" s="464">
        <v>7139.6</v>
      </c>
      <c r="O1794" s="498"/>
      <c r="P1794" s="431" t="s">
        <v>6711</v>
      </c>
    </row>
    <row r="1795" spans="1:16" ht="13.9" hidden="1" customHeight="1" outlineLevel="1" x14ac:dyDescent="0.2">
      <c r="A1795" s="233">
        <v>0</v>
      </c>
      <c r="B1795" s="233">
        <v>19</v>
      </c>
      <c r="C1795" s="233">
        <v>7</v>
      </c>
      <c r="D1795" s="234">
        <v>0</v>
      </c>
      <c r="E1795" s="234">
        <v>1</v>
      </c>
      <c r="F1795" s="238"/>
      <c r="G1795" s="506"/>
      <c r="H1795" s="481" t="s">
        <v>38</v>
      </c>
      <c r="I1795" s="445" t="s">
        <v>6285</v>
      </c>
      <c r="J1795" s="483" t="s">
        <v>2615</v>
      </c>
      <c r="K1795" s="484"/>
      <c r="L1795" s="485"/>
      <c r="M1795" s="485"/>
      <c r="N1795" s="449">
        <v>28431.88</v>
      </c>
      <c r="O1795" s="486"/>
      <c r="P1795" s="435"/>
    </row>
    <row r="1796" spans="1:16" ht="15.75" hidden="1" customHeight="1" outlineLevel="2" x14ac:dyDescent="0.2">
      <c r="A1796" s="233">
        <v>0</v>
      </c>
      <c r="B1796" s="233">
        <v>19</v>
      </c>
      <c r="C1796" s="233">
        <v>7</v>
      </c>
      <c r="D1796" s="234">
        <v>1</v>
      </c>
      <c r="E1796" s="234">
        <v>0</v>
      </c>
      <c r="F1796" s="238"/>
      <c r="G1796" s="507"/>
      <c r="H1796" s="487" t="s">
        <v>1237</v>
      </c>
      <c r="I1796" s="452" t="s">
        <v>6286</v>
      </c>
      <c r="J1796" s="489" t="s">
        <v>31</v>
      </c>
      <c r="K1796" s="490"/>
      <c r="L1796" s="491"/>
      <c r="M1796" s="491"/>
      <c r="N1796" s="456">
        <v>4387.07</v>
      </c>
      <c r="O1796" s="492"/>
      <c r="P1796" s="430"/>
    </row>
    <row r="1797" spans="1:16" ht="13.9" hidden="1" customHeight="1" outlineLevel="3" x14ac:dyDescent="0.2">
      <c r="A1797" s="233">
        <v>0</v>
      </c>
      <c r="B1797" s="233">
        <v>19</v>
      </c>
      <c r="C1797" s="233">
        <v>7</v>
      </c>
      <c r="D1797" s="234">
        <v>1</v>
      </c>
      <c r="E1797" s="234">
        <v>1</v>
      </c>
      <c r="F1797" s="238"/>
      <c r="G1797" s="508" t="s">
        <v>52</v>
      </c>
      <c r="H1797" s="493" t="s">
        <v>1238</v>
      </c>
      <c r="I1797" s="460" t="s">
        <v>6287</v>
      </c>
      <c r="J1797" s="495" t="s">
        <v>1265</v>
      </c>
      <c r="K1797" s="496" t="s">
        <v>1129</v>
      </c>
      <c r="L1797" s="497">
        <v>1</v>
      </c>
      <c r="M1797" s="497">
        <v>4387.07</v>
      </c>
      <c r="N1797" s="464">
        <v>4387.07</v>
      </c>
      <c r="O1797" s="498"/>
      <c r="P1797" s="431" t="s">
        <v>6711</v>
      </c>
    </row>
    <row r="1798" spans="1:16" ht="13.9" hidden="1" customHeight="1" outlineLevel="2" x14ac:dyDescent="0.2">
      <c r="A1798" s="233">
        <v>0</v>
      </c>
      <c r="B1798" s="233">
        <v>19</v>
      </c>
      <c r="C1798" s="233">
        <v>7</v>
      </c>
      <c r="D1798" s="234">
        <v>2</v>
      </c>
      <c r="E1798" s="234">
        <v>0</v>
      </c>
      <c r="F1798" s="238"/>
      <c r="G1798" s="507"/>
      <c r="H1798" s="487" t="s">
        <v>1237</v>
      </c>
      <c r="I1798" s="452" t="s">
        <v>6288</v>
      </c>
      <c r="J1798" s="489" t="s">
        <v>2353</v>
      </c>
      <c r="K1798" s="490"/>
      <c r="L1798" s="491"/>
      <c r="M1798" s="491"/>
      <c r="N1798" s="456">
        <v>16905.21</v>
      </c>
      <c r="O1798" s="492"/>
      <c r="P1798" s="430"/>
    </row>
    <row r="1799" spans="1:16" ht="13.9" hidden="1" customHeight="1" outlineLevel="3" x14ac:dyDescent="0.2">
      <c r="A1799" s="233">
        <v>0</v>
      </c>
      <c r="B1799" s="233">
        <v>19</v>
      </c>
      <c r="C1799" s="233">
        <v>7</v>
      </c>
      <c r="D1799" s="234">
        <v>2</v>
      </c>
      <c r="E1799" s="234">
        <v>1</v>
      </c>
      <c r="F1799" s="238"/>
      <c r="G1799" s="508" t="s">
        <v>52</v>
      </c>
      <c r="H1799" s="493" t="s">
        <v>1238</v>
      </c>
      <c r="I1799" s="460" t="s">
        <v>6289</v>
      </c>
      <c r="J1799" s="495" t="s">
        <v>1266</v>
      </c>
      <c r="K1799" s="496" t="s">
        <v>1129</v>
      </c>
      <c r="L1799" s="497">
        <v>1</v>
      </c>
      <c r="M1799" s="497">
        <v>16905.21</v>
      </c>
      <c r="N1799" s="464">
        <v>16905.21</v>
      </c>
      <c r="O1799" s="498"/>
      <c r="P1799" s="431" t="s">
        <v>6711</v>
      </c>
    </row>
    <row r="1800" spans="1:16" ht="13.9" hidden="1" customHeight="1" outlineLevel="2" x14ac:dyDescent="0.2">
      <c r="A1800" s="233">
        <v>0</v>
      </c>
      <c r="B1800" s="233">
        <v>19</v>
      </c>
      <c r="C1800" s="233">
        <v>7</v>
      </c>
      <c r="D1800" s="234">
        <v>3</v>
      </c>
      <c r="E1800" s="234">
        <v>0</v>
      </c>
      <c r="F1800" s="238"/>
      <c r="G1800" s="507"/>
      <c r="H1800" s="487" t="s">
        <v>1237</v>
      </c>
      <c r="I1800" s="452" t="s">
        <v>6290</v>
      </c>
      <c r="J1800" s="489" t="s">
        <v>14</v>
      </c>
      <c r="K1800" s="490"/>
      <c r="L1800" s="491"/>
      <c r="M1800" s="491"/>
      <c r="N1800" s="456">
        <v>7139.6</v>
      </c>
      <c r="O1800" s="492"/>
      <c r="P1800" s="430"/>
    </row>
    <row r="1801" spans="1:16" ht="13.9" hidden="1" customHeight="1" outlineLevel="3" x14ac:dyDescent="0.2">
      <c r="A1801" s="233">
        <v>0</v>
      </c>
      <c r="B1801" s="233">
        <v>19</v>
      </c>
      <c r="C1801" s="233">
        <v>7</v>
      </c>
      <c r="D1801" s="234">
        <v>3</v>
      </c>
      <c r="E1801" s="234">
        <v>1</v>
      </c>
      <c r="F1801" s="238"/>
      <c r="G1801" s="508" t="s">
        <v>52</v>
      </c>
      <c r="H1801" s="493" t="s">
        <v>1238</v>
      </c>
      <c r="I1801" s="460" t="s">
        <v>6291</v>
      </c>
      <c r="J1801" s="495" t="s">
        <v>1268</v>
      </c>
      <c r="K1801" s="496" t="s">
        <v>1129</v>
      </c>
      <c r="L1801" s="497">
        <v>1</v>
      </c>
      <c r="M1801" s="497">
        <v>7139.6</v>
      </c>
      <c r="N1801" s="464">
        <v>7139.6</v>
      </c>
      <c r="O1801" s="498"/>
      <c r="P1801" s="431" t="s">
        <v>6711</v>
      </c>
    </row>
    <row r="1802" spans="1:16" ht="13.9" hidden="1" customHeight="1" outlineLevel="1" x14ac:dyDescent="0.2">
      <c r="A1802" s="233">
        <v>0</v>
      </c>
      <c r="B1802" s="233">
        <v>19</v>
      </c>
      <c r="C1802" s="233">
        <v>8</v>
      </c>
      <c r="D1802" s="234">
        <v>0</v>
      </c>
      <c r="E1802" s="234">
        <v>1</v>
      </c>
      <c r="F1802" s="238"/>
      <c r="G1802" s="506"/>
      <c r="H1802" s="481" t="s">
        <v>38</v>
      </c>
      <c r="I1802" s="445" t="s">
        <v>6292</v>
      </c>
      <c r="J1802" s="483" t="s">
        <v>2616</v>
      </c>
      <c r="K1802" s="484"/>
      <c r="L1802" s="485"/>
      <c r="M1802" s="485"/>
      <c r="N1802" s="449">
        <v>38811.06</v>
      </c>
      <c r="O1802" s="486"/>
      <c r="P1802" s="435"/>
    </row>
    <row r="1803" spans="1:16" ht="15.75" hidden="1" customHeight="1" outlineLevel="2" x14ac:dyDescent="0.2">
      <c r="A1803" s="233">
        <v>0</v>
      </c>
      <c r="B1803" s="233">
        <v>19</v>
      </c>
      <c r="C1803" s="233">
        <v>8</v>
      </c>
      <c r="D1803" s="234">
        <v>1</v>
      </c>
      <c r="E1803" s="234">
        <v>0</v>
      </c>
      <c r="F1803" s="238"/>
      <c r="G1803" s="507"/>
      <c r="H1803" s="487" t="s">
        <v>1237</v>
      </c>
      <c r="I1803" s="452" t="s">
        <v>6293</v>
      </c>
      <c r="J1803" s="489" t="s">
        <v>31</v>
      </c>
      <c r="K1803" s="490"/>
      <c r="L1803" s="491"/>
      <c r="M1803" s="491"/>
      <c r="N1803" s="456">
        <v>5408.04</v>
      </c>
      <c r="O1803" s="492"/>
      <c r="P1803" s="430"/>
    </row>
    <row r="1804" spans="1:16" ht="13.9" hidden="1" customHeight="1" outlineLevel="3" x14ac:dyDescent="0.2">
      <c r="A1804" s="233">
        <v>0</v>
      </c>
      <c r="B1804" s="233">
        <v>19</v>
      </c>
      <c r="C1804" s="233">
        <v>8</v>
      </c>
      <c r="D1804" s="234">
        <v>1</v>
      </c>
      <c r="E1804" s="234">
        <v>1</v>
      </c>
      <c r="F1804" s="238"/>
      <c r="G1804" s="508" t="s">
        <v>52</v>
      </c>
      <c r="H1804" s="493" t="s">
        <v>1238</v>
      </c>
      <c r="I1804" s="460" t="s">
        <v>6294</v>
      </c>
      <c r="J1804" s="495" t="s">
        <v>1265</v>
      </c>
      <c r="K1804" s="496" t="s">
        <v>1129</v>
      </c>
      <c r="L1804" s="497">
        <v>1</v>
      </c>
      <c r="M1804" s="497">
        <v>5408.04</v>
      </c>
      <c r="N1804" s="464">
        <v>5408.04</v>
      </c>
      <c r="O1804" s="498"/>
      <c r="P1804" s="431" t="s">
        <v>6711</v>
      </c>
    </row>
    <row r="1805" spans="1:16" ht="13.9" hidden="1" customHeight="1" outlineLevel="2" x14ac:dyDescent="0.2">
      <c r="A1805" s="233">
        <v>0</v>
      </c>
      <c r="B1805" s="233">
        <v>19</v>
      </c>
      <c r="C1805" s="233">
        <v>8</v>
      </c>
      <c r="D1805" s="234">
        <v>2</v>
      </c>
      <c r="E1805" s="234">
        <v>0</v>
      </c>
      <c r="F1805" s="238"/>
      <c r="G1805" s="507"/>
      <c r="H1805" s="487" t="s">
        <v>1237</v>
      </c>
      <c r="I1805" s="452" t="s">
        <v>6295</v>
      </c>
      <c r="J1805" s="489" t="s">
        <v>2353</v>
      </c>
      <c r="K1805" s="490"/>
      <c r="L1805" s="491"/>
      <c r="M1805" s="491"/>
      <c r="N1805" s="456">
        <v>20630.86</v>
      </c>
      <c r="O1805" s="492"/>
      <c r="P1805" s="430"/>
    </row>
    <row r="1806" spans="1:16" ht="13.9" hidden="1" customHeight="1" outlineLevel="3" x14ac:dyDescent="0.2">
      <c r="A1806" s="233">
        <v>0</v>
      </c>
      <c r="B1806" s="233">
        <v>19</v>
      </c>
      <c r="C1806" s="233">
        <v>8</v>
      </c>
      <c r="D1806" s="234">
        <v>2</v>
      </c>
      <c r="E1806" s="234">
        <v>1</v>
      </c>
      <c r="F1806" s="238"/>
      <c r="G1806" s="508" t="s">
        <v>52</v>
      </c>
      <c r="H1806" s="493" t="s">
        <v>1238</v>
      </c>
      <c r="I1806" s="460" t="s">
        <v>6296</v>
      </c>
      <c r="J1806" s="495" t="s">
        <v>1266</v>
      </c>
      <c r="K1806" s="496" t="s">
        <v>1129</v>
      </c>
      <c r="L1806" s="497">
        <v>1</v>
      </c>
      <c r="M1806" s="497">
        <v>20630.860000000004</v>
      </c>
      <c r="N1806" s="464">
        <v>20630.86</v>
      </c>
      <c r="O1806" s="498"/>
      <c r="P1806" s="431" t="s">
        <v>6711</v>
      </c>
    </row>
    <row r="1807" spans="1:16" ht="13.9" hidden="1" customHeight="1" outlineLevel="2" x14ac:dyDescent="0.2">
      <c r="A1807" s="233">
        <v>0</v>
      </c>
      <c r="B1807" s="233">
        <v>19</v>
      </c>
      <c r="C1807" s="233">
        <v>8</v>
      </c>
      <c r="D1807" s="234">
        <v>3</v>
      </c>
      <c r="E1807" s="234">
        <v>0</v>
      </c>
      <c r="F1807" s="238"/>
      <c r="G1807" s="507"/>
      <c r="H1807" s="487" t="s">
        <v>1237</v>
      </c>
      <c r="I1807" s="452" t="s">
        <v>6297</v>
      </c>
      <c r="J1807" s="489" t="s">
        <v>2354</v>
      </c>
      <c r="K1807" s="490"/>
      <c r="L1807" s="491"/>
      <c r="M1807" s="491"/>
      <c r="N1807" s="456">
        <v>8778</v>
      </c>
      <c r="O1807" s="492"/>
      <c r="P1807" s="430"/>
    </row>
    <row r="1808" spans="1:16" ht="13.9" hidden="1" customHeight="1" outlineLevel="3" x14ac:dyDescent="0.2">
      <c r="A1808" s="233">
        <v>0</v>
      </c>
      <c r="B1808" s="233">
        <v>19</v>
      </c>
      <c r="C1808" s="233">
        <v>8</v>
      </c>
      <c r="D1808" s="234">
        <v>3</v>
      </c>
      <c r="E1808" s="234">
        <v>1</v>
      </c>
      <c r="F1808" s="238"/>
      <c r="G1808" s="508" t="s">
        <v>52</v>
      </c>
      <c r="H1808" s="493" t="s">
        <v>1238</v>
      </c>
      <c r="I1808" s="460" t="s">
        <v>6298</v>
      </c>
      <c r="J1808" s="495" t="s">
        <v>1267</v>
      </c>
      <c r="K1808" s="496" t="s">
        <v>1129</v>
      </c>
      <c r="L1808" s="497">
        <v>1</v>
      </c>
      <c r="M1808" s="497">
        <v>8778</v>
      </c>
      <c r="N1808" s="464">
        <v>8778</v>
      </c>
      <c r="O1808" s="498"/>
      <c r="P1808" s="431" t="s">
        <v>6711</v>
      </c>
    </row>
    <row r="1809" spans="1:16" ht="13.9" hidden="1" customHeight="1" outlineLevel="2" x14ac:dyDescent="0.2">
      <c r="A1809" s="233">
        <v>0</v>
      </c>
      <c r="B1809" s="233">
        <v>19</v>
      </c>
      <c r="C1809" s="233">
        <v>8</v>
      </c>
      <c r="D1809" s="234">
        <v>4</v>
      </c>
      <c r="E1809" s="234">
        <v>0</v>
      </c>
      <c r="F1809" s="238"/>
      <c r="G1809" s="507"/>
      <c r="H1809" s="487" t="s">
        <v>1237</v>
      </c>
      <c r="I1809" s="452" t="s">
        <v>6299</v>
      </c>
      <c r="J1809" s="489" t="s">
        <v>14</v>
      </c>
      <c r="K1809" s="490"/>
      <c r="L1809" s="491"/>
      <c r="M1809" s="491"/>
      <c r="N1809" s="456">
        <v>3994.16</v>
      </c>
      <c r="O1809" s="492"/>
      <c r="P1809" s="430"/>
    </row>
    <row r="1810" spans="1:16" ht="13.9" hidden="1" customHeight="1" outlineLevel="3" x14ac:dyDescent="0.2">
      <c r="A1810" s="233">
        <v>0</v>
      </c>
      <c r="B1810" s="233">
        <v>19</v>
      </c>
      <c r="C1810" s="233">
        <v>8</v>
      </c>
      <c r="D1810" s="234">
        <v>4</v>
      </c>
      <c r="E1810" s="234">
        <v>1</v>
      </c>
      <c r="F1810" s="238"/>
      <c r="G1810" s="508" t="s">
        <v>52</v>
      </c>
      <c r="H1810" s="493" t="s">
        <v>1238</v>
      </c>
      <c r="I1810" s="460" t="s">
        <v>6300</v>
      </c>
      <c r="J1810" s="495" t="s">
        <v>1268</v>
      </c>
      <c r="K1810" s="496" t="s">
        <v>1129</v>
      </c>
      <c r="L1810" s="497">
        <v>1</v>
      </c>
      <c r="M1810" s="497">
        <v>3994.16</v>
      </c>
      <c r="N1810" s="464">
        <v>3994.16</v>
      </c>
      <c r="O1810" s="498"/>
      <c r="P1810" s="431" t="s">
        <v>6711</v>
      </c>
    </row>
    <row r="1811" spans="1:16" ht="13.9" hidden="1" customHeight="1" outlineLevel="1" x14ac:dyDescent="0.2">
      <c r="A1811" s="233">
        <v>0</v>
      </c>
      <c r="B1811" s="233">
        <v>19</v>
      </c>
      <c r="C1811" s="233">
        <v>9</v>
      </c>
      <c r="D1811" s="234">
        <v>0</v>
      </c>
      <c r="E1811" s="234">
        <v>1</v>
      </c>
      <c r="F1811" s="238"/>
      <c r="G1811" s="506"/>
      <c r="H1811" s="481" t="s">
        <v>38</v>
      </c>
      <c r="I1811" s="445" t="s">
        <v>6301</v>
      </c>
      <c r="J1811" s="483" t="s">
        <v>2617</v>
      </c>
      <c r="K1811" s="484"/>
      <c r="L1811" s="485"/>
      <c r="M1811" s="485"/>
      <c r="N1811" s="449">
        <v>10604.46</v>
      </c>
      <c r="O1811" s="486"/>
      <c r="P1811" s="435"/>
    </row>
    <row r="1812" spans="1:16" ht="15.75" hidden="1" customHeight="1" outlineLevel="2" x14ac:dyDescent="0.2">
      <c r="A1812" s="233">
        <v>0</v>
      </c>
      <c r="B1812" s="233">
        <v>19</v>
      </c>
      <c r="C1812" s="233">
        <v>9</v>
      </c>
      <c r="D1812" s="234">
        <v>1</v>
      </c>
      <c r="E1812" s="234">
        <v>0</v>
      </c>
      <c r="F1812" s="238"/>
      <c r="G1812" s="507"/>
      <c r="H1812" s="487" t="s">
        <v>1237</v>
      </c>
      <c r="I1812" s="452" t="s">
        <v>6302</v>
      </c>
      <c r="J1812" s="489" t="s">
        <v>31</v>
      </c>
      <c r="K1812" s="490"/>
      <c r="L1812" s="491"/>
      <c r="M1812" s="491"/>
      <c r="N1812" s="456">
        <v>5974.08</v>
      </c>
      <c r="O1812" s="492"/>
      <c r="P1812" s="430"/>
    </row>
    <row r="1813" spans="1:16" ht="13.9" hidden="1" customHeight="1" outlineLevel="3" x14ac:dyDescent="0.2">
      <c r="A1813" s="233">
        <v>0</v>
      </c>
      <c r="B1813" s="233">
        <v>19</v>
      </c>
      <c r="C1813" s="233">
        <v>9</v>
      </c>
      <c r="D1813" s="234">
        <v>1</v>
      </c>
      <c r="E1813" s="234">
        <v>1</v>
      </c>
      <c r="F1813" s="238"/>
      <c r="G1813" s="508" t="s">
        <v>52</v>
      </c>
      <c r="H1813" s="493" t="s">
        <v>1238</v>
      </c>
      <c r="I1813" s="460" t="s">
        <v>6303</v>
      </c>
      <c r="J1813" s="495" t="s">
        <v>1265</v>
      </c>
      <c r="K1813" s="496" t="s">
        <v>1129</v>
      </c>
      <c r="L1813" s="497">
        <v>1</v>
      </c>
      <c r="M1813" s="497">
        <v>5974.08</v>
      </c>
      <c r="N1813" s="464">
        <v>5974.08</v>
      </c>
      <c r="O1813" s="498"/>
      <c r="P1813" s="431" t="s">
        <v>6711</v>
      </c>
    </row>
    <row r="1814" spans="1:16" ht="13.9" hidden="1" customHeight="1" outlineLevel="2" x14ac:dyDescent="0.2">
      <c r="A1814" s="233">
        <v>0</v>
      </c>
      <c r="B1814" s="233">
        <v>19</v>
      </c>
      <c r="C1814" s="233">
        <v>9</v>
      </c>
      <c r="D1814" s="234">
        <v>2</v>
      </c>
      <c r="E1814" s="234">
        <v>0</v>
      </c>
      <c r="F1814" s="238"/>
      <c r="G1814" s="507"/>
      <c r="H1814" s="487" t="s">
        <v>1237</v>
      </c>
      <c r="I1814" s="452" t="s">
        <v>6304</v>
      </c>
      <c r="J1814" s="489" t="s">
        <v>2353</v>
      </c>
      <c r="K1814" s="490"/>
      <c r="L1814" s="491"/>
      <c r="M1814" s="491"/>
      <c r="N1814" s="456">
        <v>1866.14</v>
      </c>
      <c r="O1814" s="492"/>
      <c r="P1814" s="430"/>
    </row>
    <row r="1815" spans="1:16" ht="13.9" hidden="1" customHeight="1" outlineLevel="3" x14ac:dyDescent="0.2">
      <c r="A1815" s="233">
        <v>0</v>
      </c>
      <c r="B1815" s="233">
        <v>19</v>
      </c>
      <c r="C1815" s="233">
        <v>9</v>
      </c>
      <c r="D1815" s="234">
        <v>2</v>
      </c>
      <c r="E1815" s="234">
        <v>1</v>
      </c>
      <c r="F1815" s="238"/>
      <c r="G1815" s="508" t="s">
        <v>52</v>
      </c>
      <c r="H1815" s="493" t="s">
        <v>1238</v>
      </c>
      <c r="I1815" s="460" t="s">
        <v>6305</v>
      </c>
      <c r="J1815" s="495" t="s">
        <v>1266</v>
      </c>
      <c r="K1815" s="496" t="s">
        <v>1129</v>
      </c>
      <c r="L1815" s="497">
        <v>1</v>
      </c>
      <c r="M1815" s="497">
        <v>1866.1399999999999</v>
      </c>
      <c r="N1815" s="464">
        <v>1866.14</v>
      </c>
      <c r="O1815" s="498"/>
      <c r="P1815" s="431" t="s">
        <v>6711</v>
      </c>
    </row>
    <row r="1816" spans="1:16" ht="13.9" hidden="1" customHeight="1" outlineLevel="2" x14ac:dyDescent="0.2">
      <c r="A1816" s="233">
        <v>0</v>
      </c>
      <c r="B1816" s="233">
        <v>19</v>
      </c>
      <c r="C1816" s="233">
        <v>9</v>
      </c>
      <c r="D1816" s="234">
        <v>3</v>
      </c>
      <c r="E1816" s="234">
        <v>0</v>
      </c>
      <c r="F1816" s="238"/>
      <c r="G1816" s="507"/>
      <c r="H1816" s="487" t="s">
        <v>1237</v>
      </c>
      <c r="I1816" s="452" t="s">
        <v>6306</v>
      </c>
      <c r="J1816" s="489" t="s">
        <v>14</v>
      </c>
      <c r="K1816" s="490"/>
      <c r="L1816" s="491"/>
      <c r="M1816" s="491"/>
      <c r="N1816" s="456">
        <v>2764.24</v>
      </c>
      <c r="O1816" s="492"/>
      <c r="P1816" s="430"/>
    </row>
    <row r="1817" spans="1:16" ht="13.9" hidden="1" customHeight="1" outlineLevel="3" x14ac:dyDescent="0.2">
      <c r="A1817" s="233">
        <v>0</v>
      </c>
      <c r="B1817" s="233">
        <v>19</v>
      </c>
      <c r="C1817" s="233">
        <v>9</v>
      </c>
      <c r="D1817" s="234">
        <v>3</v>
      </c>
      <c r="E1817" s="234">
        <v>1</v>
      </c>
      <c r="F1817" s="238"/>
      <c r="G1817" s="508" t="s">
        <v>52</v>
      </c>
      <c r="H1817" s="493" t="s">
        <v>1238</v>
      </c>
      <c r="I1817" s="460" t="s">
        <v>6307</v>
      </c>
      <c r="J1817" s="495" t="s">
        <v>1268</v>
      </c>
      <c r="K1817" s="496" t="s">
        <v>1129</v>
      </c>
      <c r="L1817" s="497">
        <v>1</v>
      </c>
      <c r="M1817" s="497">
        <v>2764.24</v>
      </c>
      <c r="N1817" s="464">
        <v>2764.24</v>
      </c>
      <c r="O1817" s="498"/>
      <c r="P1817" s="431" t="s">
        <v>6711</v>
      </c>
    </row>
    <row r="1818" spans="1:16" ht="13.9" hidden="1" customHeight="1" outlineLevel="1" x14ac:dyDescent="0.2">
      <c r="A1818" s="233">
        <v>0</v>
      </c>
      <c r="B1818" s="233">
        <v>19</v>
      </c>
      <c r="C1818" s="233">
        <v>10</v>
      </c>
      <c r="D1818" s="234">
        <v>0</v>
      </c>
      <c r="E1818" s="234">
        <v>1</v>
      </c>
      <c r="F1818" s="238"/>
      <c r="G1818" s="506"/>
      <c r="H1818" s="481" t="s">
        <v>38</v>
      </c>
      <c r="I1818" s="445" t="s">
        <v>6308</v>
      </c>
      <c r="J1818" s="483" t="s">
        <v>2618</v>
      </c>
      <c r="K1818" s="484"/>
      <c r="L1818" s="485"/>
      <c r="M1818" s="485"/>
      <c r="N1818" s="449">
        <v>82140</v>
      </c>
      <c r="O1818" s="486"/>
      <c r="P1818" s="435"/>
    </row>
    <row r="1819" spans="1:16" ht="15.75" hidden="1" customHeight="1" outlineLevel="2" x14ac:dyDescent="0.2">
      <c r="A1819" s="233">
        <v>0</v>
      </c>
      <c r="B1819" s="233">
        <v>19</v>
      </c>
      <c r="C1819" s="233">
        <v>10</v>
      </c>
      <c r="D1819" s="234">
        <v>1</v>
      </c>
      <c r="E1819" s="234">
        <v>0</v>
      </c>
      <c r="F1819" s="238"/>
      <c r="G1819" s="507"/>
      <c r="H1819" s="487" t="s">
        <v>1237</v>
      </c>
      <c r="I1819" s="452" t="s">
        <v>6309</v>
      </c>
      <c r="J1819" s="489" t="s">
        <v>31</v>
      </c>
      <c r="K1819" s="490"/>
      <c r="L1819" s="491"/>
      <c r="M1819" s="491"/>
      <c r="N1819" s="456">
        <v>47792.639999999999</v>
      </c>
      <c r="O1819" s="492"/>
      <c r="P1819" s="430"/>
    </row>
    <row r="1820" spans="1:16" ht="13.9" hidden="1" customHeight="1" outlineLevel="3" x14ac:dyDescent="0.2">
      <c r="A1820" s="233">
        <v>0</v>
      </c>
      <c r="B1820" s="233">
        <v>19</v>
      </c>
      <c r="C1820" s="233">
        <v>10</v>
      </c>
      <c r="D1820" s="234">
        <v>1</v>
      </c>
      <c r="E1820" s="234">
        <v>1</v>
      </c>
      <c r="F1820" s="238"/>
      <c r="G1820" s="508" t="s">
        <v>52</v>
      </c>
      <c r="H1820" s="493" t="s">
        <v>1238</v>
      </c>
      <c r="I1820" s="460" t="s">
        <v>6310</v>
      </c>
      <c r="J1820" s="495" t="s">
        <v>1265</v>
      </c>
      <c r="K1820" s="496" t="s">
        <v>1129</v>
      </c>
      <c r="L1820" s="497">
        <v>1</v>
      </c>
      <c r="M1820" s="497">
        <v>47792.639999999999</v>
      </c>
      <c r="N1820" s="464">
        <v>47792.639999999999</v>
      </c>
      <c r="O1820" s="498"/>
      <c r="P1820" s="431" t="s">
        <v>6711</v>
      </c>
    </row>
    <row r="1821" spans="1:16" ht="13.9" hidden="1" customHeight="1" outlineLevel="2" x14ac:dyDescent="0.2">
      <c r="A1821" s="233">
        <v>0</v>
      </c>
      <c r="B1821" s="233">
        <v>19</v>
      </c>
      <c r="C1821" s="233">
        <v>10</v>
      </c>
      <c r="D1821" s="234">
        <v>2</v>
      </c>
      <c r="E1821" s="234">
        <v>0</v>
      </c>
      <c r="F1821" s="238"/>
      <c r="G1821" s="507"/>
      <c r="H1821" s="487" t="s">
        <v>1237</v>
      </c>
      <c r="I1821" s="452" t="s">
        <v>6311</v>
      </c>
      <c r="J1821" s="489" t="s">
        <v>2353</v>
      </c>
      <c r="K1821" s="490"/>
      <c r="L1821" s="491"/>
      <c r="M1821" s="491"/>
      <c r="N1821" s="456">
        <v>14929.12</v>
      </c>
      <c r="O1821" s="492"/>
      <c r="P1821" s="430"/>
    </row>
    <row r="1822" spans="1:16" ht="13.9" hidden="1" customHeight="1" outlineLevel="3" x14ac:dyDescent="0.2">
      <c r="A1822" s="233">
        <v>0</v>
      </c>
      <c r="B1822" s="233">
        <v>19</v>
      </c>
      <c r="C1822" s="233">
        <v>10</v>
      </c>
      <c r="D1822" s="234">
        <v>2</v>
      </c>
      <c r="E1822" s="234">
        <v>1</v>
      </c>
      <c r="F1822" s="238"/>
      <c r="G1822" s="508" t="s">
        <v>52</v>
      </c>
      <c r="H1822" s="493" t="s">
        <v>1238</v>
      </c>
      <c r="I1822" s="460" t="s">
        <v>6312</v>
      </c>
      <c r="J1822" s="495" t="s">
        <v>1266</v>
      </c>
      <c r="K1822" s="496" t="s">
        <v>1129</v>
      </c>
      <c r="L1822" s="497">
        <v>1</v>
      </c>
      <c r="M1822" s="497">
        <v>14929.119999999999</v>
      </c>
      <c r="N1822" s="464">
        <v>14929.12</v>
      </c>
      <c r="O1822" s="498"/>
      <c r="P1822" s="431" t="s">
        <v>6711</v>
      </c>
    </row>
    <row r="1823" spans="1:16" ht="13.9" hidden="1" customHeight="1" outlineLevel="2" x14ac:dyDescent="0.2">
      <c r="A1823" s="233">
        <v>0</v>
      </c>
      <c r="B1823" s="233">
        <v>19</v>
      </c>
      <c r="C1823" s="233">
        <v>10</v>
      </c>
      <c r="D1823" s="234">
        <v>3</v>
      </c>
      <c r="E1823" s="234">
        <v>0</v>
      </c>
      <c r="F1823" s="238"/>
      <c r="G1823" s="507"/>
      <c r="H1823" s="487" t="s">
        <v>1237</v>
      </c>
      <c r="I1823" s="452" t="s">
        <v>6313</v>
      </c>
      <c r="J1823" s="489" t="s">
        <v>14</v>
      </c>
      <c r="K1823" s="490"/>
      <c r="L1823" s="491"/>
      <c r="M1823" s="491"/>
      <c r="N1823" s="456">
        <v>19418.240000000002</v>
      </c>
      <c r="O1823" s="492"/>
      <c r="P1823" s="430"/>
    </row>
    <row r="1824" spans="1:16" ht="13.9" hidden="1" customHeight="1" outlineLevel="3" x14ac:dyDescent="0.2">
      <c r="A1824" s="233">
        <v>0</v>
      </c>
      <c r="B1824" s="233">
        <v>19</v>
      </c>
      <c r="C1824" s="233">
        <v>10</v>
      </c>
      <c r="D1824" s="234">
        <v>3</v>
      </c>
      <c r="E1824" s="234">
        <v>1</v>
      </c>
      <c r="F1824" s="238"/>
      <c r="G1824" s="508" t="s">
        <v>52</v>
      </c>
      <c r="H1824" s="493" t="s">
        <v>1238</v>
      </c>
      <c r="I1824" s="460" t="s">
        <v>6314</v>
      </c>
      <c r="J1824" s="495" t="s">
        <v>1268</v>
      </c>
      <c r="K1824" s="496" t="s">
        <v>1129</v>
      </c>
      <c r="L1824" s="497">
        <v>1</v>
      </c>
      <c r="M1824" s="497">
        <v>19418.240000000002</v>
      </c>
      <c r="N1824" s="464">
        <v>19418.240000000002</v>
      </c>
      <c r="O1824" s="498"/>
      <c r="P1824" s="431" t="s">
        <v>6711</v>
      </c>
    </row>
    <row r="1825" spans="1:16" ht="13.9" hidden="1" customHeight="1" outlineLevel="1" x14ac:dyDescent="0.2">
      <c r="A1825" s="233">
        <v>0</v>
      </c>
      <c r="B1825" s="233">
        <v>19</v>
      </c>
      <c r="C1825" s="233">
        <v>11</v>
      </c>
      <c r="D1825" s="234">
        <v>0</v>
      </c>
      <c r="E1825" s="234">
        <v>1</v>
      </c>
      <c r="F1825" s="238"/>
      <c r="G1825" s="506"/>
      <c r="H1825" s="481" t="s">
        <v>38</v>
      </c>
      <c r="I1825" s="445" t="s">
        <v>6315</v>
      </c>
      <c r="J1825" s="483" t="s">
        <v>2619</v>
      </c>
      <c r="K1825" s="484"/>
      <c r="L1825" s="485"/>
      <c r="M1825" s="485"/>
      <c r="N1825" s="449">
        <v>179316.28</v>
      </c>
      <c r="O1825" s="486"/>
      <c r="P1825" s="435"/>
    </row>
    <row r="1826" spans="1:16" ht="15.75" hidden="1" customHeight="1" outlineLevel="2" x14ac:dyDescent="0.2">
      <c r="A1826" s="233">
        <v>0</v>
      </c>
      <c r="B1826" s="233">
        <v>19</v>
      </c>
      <c r="C1826" s="233">
        <v>11</v>
      </c>
      <c r="D1826" s="234">
        <v>1</v>
      </c>
      <c r="E1826" s="234">
        <v>0</v>
      </c>
      <c r="F1826" s="238"/>
      <c r="G1826" s="507"/>
      <c r="H1826" s="487" t="s">
        <v>1237</v>
      </c>
      <c r="I1826" s="452" t="s">
        <v>6316</v>
      </c>
      <c r="J1826" s="489" t="s">
        <v>31</v>
      </c>
      <c r="K1826" s="490"/>
      <c r="L1826" s="491"/>
      <c r="M1826" s="491"/>
      <c r="N1826" s="456">
        <v>93083.32</v>
      </c>
      <c r="O1826" s="492"/>
      <c r="P1826" s="430"/>
    </row>
    <row r="1827" spans="1:16" ht="13.9" hidden="1" customHeight="1" outlineLevel="3" x14ac:dyDescent="0.2">
      <c r="A1827" s="233">
        <v>0</v>
      </c>
      <c r="B1827" s="233">
        <v>19</v>
      </c>
      <c r="C1827" s="233">
        <v>11</v>
      </c>
      <c r="D1827" s="234">
        <v>1</v>
      </c>
      <c r="E1827" s="234">
        <v>1</v>
      </c>
      <c r="F1827" s="238"/>
      <c r="G1827" s="508" t="s">
        <v>52</v>
      </c>
      <c r="H1827" s="493" t="s">
        <v>1238</v>
      </c>
      <c r="I1827" s="460" t="s">
        <v>6317</v>
      </c>
      <c r="J1827" s="495" t="s">
        <v>1265</v>
      </c>
      <c r="K1827" s="496" t="s">
        <v>1129</v>
      </c>
      <c r="L1827" s="497">
        <v>1</v>
      </c>
      <c r="M1827" s="497">
        <v>93083.319999999992</v>
      </c>
      <c r="N1827" s="464">
        <v>93083.32</v>
      </c>
      <c r="O1827" s="498"/>
      <c r="P1827" s="431" t="s">
        <v>6711</v>
      </c>
    </row>
    <row r="1828" spans="1:16" ht="13.9" hidden="1" customHeight="1" outlineLevel="2" x14ac:dyDescent="0.2">
      <c r="A1828" s="233">
        <v>0</v>
      </c>
      <c r="B1828" s="233">
        <v>19</v>
      </c>
      <c r="C1828" s="233">
        <v>11</v>
      </c>
      <c r="D1828" s="234">
        <v>2</v>
      </c>
      <c r="E1828" s="234">
        <v>0</v>
      </c>
      <c r="F1828" s="238"/>
      <c r="G1828" s="507"/>
      <c r="H1828" s="487" t="s">
        <v>1237</v>
      </c>
      <c r="I1828" s="452" t="s">
        <v>6318</v>
      </c>
      <c r="J1828" s="489" t="s">
        <v>2353</v>
      </c>
      <c r="K1828" s="490"/>
      <c r="L1828" s="491"/>
      <c r="M1828" s="491"/>
      <c r="N1828" s="456">
        <v>32804.639999999999</v>
      </c>
      <c r="O1828" s="492"/>
      <c r="P1828" s="430"/>
    </row>
    <row r="1829" spans="1:16" ht="13.9" hidden="1" customHeight="1" outlineLevel="3" x14ac:dyDescent="0.2">
      <c r="A1829" s="233">
        <v>0</v>
      </c>
      <c r="B1829" s="233">
        <v>19</v>
      </c>
      <c r="C1829" s="233">
        <v>11</v>
      </c>
      <c r="D1829" s="234">
        <v>2</v>
      </c>
      <c r="E1829" s="234">
        <v>1</v>
      </c>
      <c r="F1829" s="238"/>
      <c r="G1829" s="508" t="s">
        <v>52</v>
      </c>
      <c r="H1829" s="493" t="s">
        <v>1238</v>
      </c>
      <c r="I1829" s="460" t="s">
        <v>6319</v>
      </c>
      <c r="J1829" s="495" t="s">
        <v>1266</v>
      </c>
      <c r="K1829" s="496" t="s">
        <v>1129</v>
      </c>
      <c r="L1829" s="497">
        <v>1</v>
      </c>
      <c r="M1829" s="497">
        <v>32804.639999999999</v>
      </c>
      <c r="N1829" s="464">
        <v>32804.639999999999</v>
      </c>
      <c r="O1829" s="498"/>
      <c r="P1829" s="431" t="s">
        <v>6711</v>
      </c>
    </row>
    <row r="1830" spans="1:16" ht="13.9" hidden="1" customHeight="1" outlineLevel="2" x14ac:dyDescent="0.2">
      <c r="A1830" s="233">
        <v>0</v>
      </c>
      <c r="B1830" s="233">
        <v>19</v>
      </c>
      <c r="C1830" s="233">
        <v>11</v>
      </c>
      <c r="D1830" s="234">
        <v>3</v>
      </c>
      <c r="E1830" s="234">
        <v>0</v>
      </c>
      <c r="F1830" s="238"/>
      <c r="G1830" s="507"/>
      <c r="H1830" s="487" t="s">
        <v>1237</v>
      </c>
      <c r="I1830" s="452" t="s">
        <v>6320</v>
      </c>
      <c r="J1830" s="489" t="s">
        <v>14</v>
      </c>
      <c r="K1830" s="490"/>
      <c r="L1830" s="491"/>
      <c r="M1830" s="491"/>
      <c r="N1830" s="456">
        <v>53428.32</v>
      </c>
      <c r="O1830" s="492"/>
      <c r="P1830" s="430"/>
    </row>
    <row r="1831" spans="1:16" ht="13.9" hidden="1" customHeight="1" outlineLevel="3" x14ac:dyDescent="0.2">
      <c r="A1831" s="233">
        <v>0</v>
      </c>
      <c r="B1831" s="233">
        <v>19</v>
      </c>
      <c r="C1831" s="233">
        <v>11</v>
      </c>
      <c r="D1831" s="234">
        <v>3</v>
      </c>
      <c r="E1831" s="234">
        <v>1</v>
      </c>
      <c r="F1831" s="238"/>
      <c r="G1831" s="508" t="s">
        <v>52</v>
      </c>
      <c r="H1831" s="493" t="s">
        <v>1238</v>
      </c>
      <c r="I1831" s="460" t="s">
        <v>6321</v>
      </c>
      <c r="J1831" s="495" t="s">
        <v>1268</v>
      </c>
      <c r="K1831" s="496" t="s">
        <v>1129</v>
      </c>
      <c r="L1831" s="497">
        <v>1</v>
      </c>
      <c r="M1831" s="497">
        <v>53428.32</v>
      </c>
      <c r="N1831" s="464">
        <v>53428.32</v>
      </c>
      <c r="O1831" s="498"/>
      <c r="P1831" s="431" t="s">
        <v>6711</v>
      </c>
    </row>
    <row r="1832" spans="1:16" ht="13.9" hidden="1" customHeight="1" outlineLevel="1" x14ac:dyDescent="0.2">
      <c r="A1832" s="233">
        <v>0</v>
      </c>
      <c r="B1832" s="233">
        <v>19</v>
      </c>
      <c r="C1832" s="233">
        <v>12</v>
      </c>
      <c r="D1832" s="234">
        <v>0</v>
      </c>
      <c r="E1832" s="234">
        <v>1</v>
      </c>
      <c r="F1832" s="238"/>
      <c r="G1832" s="506"/>
      <c r="H1832" s="481" t="s">
        <v>38</v>
      </c>
      <c r="I1832" s="445" t="s">
        <v>6322</v>
      </c>
      <c r="J1832" s="483" t="s">
        <v>2620</v>
      </c>
      <c r="K1832" s="484"/>
      <c r="L1832" s="485"/>
      <c r="M1832" s="485"/>
      <c r="N1832" s="449">
        <v>8437.39</v>
      </c>
      <c r="O1832" s="486"/>
      <c r="P1832" s="435"/>
    </row>
    <row r="1833" spans="1:16" ht="15.75" hidden="1" customHeight="1" outlineLevel="2" x14ac:dyDescent="0.2">
      <c r="A1833" s="233">
        <v>0</v>
      </c>
      <c r="B1833" s="233">
        <v>19</v>
      </c>
      <c r="C1833" s="233">
        <v>12</v>
      </c>
      <c r="D1833" s="234">
        <v>1</v>
      </c>
      <c r="E1833" s="234">
        <v>0</v>
      </c>
      <c r="F1833" s="238"/>
      <c r="G1833" s="507"/>
      <c r="H1833" s="487" t="s">
        <v>1237</v>
      </c>
      <c r="I1833" s="452" t="s">
        <v>6323</v>
      </c>
      <c r="J1833" s="489" t="s">
        <v>31</v>
      </c>
      <c r="K1833" s="490"/>
      <c r="L1833" s="491"/>
      <c r="M1833" s="491"/>
      <c r="N1833" s="456">
        <v>4354.07</v>
      </c>
      <c r="O1833" s="492"/>
      <c r="P1833" s="430"/>
    </row>
    <row r="1834" spans="1:16" ht="13.9" hidden="1" customHeight="1" outlineLevel="3" x14ac:dyDescent="0.2">
      <c r="A1834" s="233">
        <v>0</v>
      </c>
      <c r="B1834" s="233">
        <v>19</v>
      </c>
      <c r="C1834" s="233">
        <v>12</v>
      </c>
      <c r="D1834" s="234">
        <v>1</v>
      </c>
      <c r="E1834" s="234">
        <v>1</v>
      </c>
      <c r="F1834" s="238"/>
      <c r="G1834" s="508" t="s">
        <v>52</v>
      </c>
      <c r="H1834" s="493" t="s">
        <v>1238</v>
      </c>
      <c r="I1834" s="460" t="s">
        <v>6324</v>
      </c>
      <c r="J1834" s="495" t="s">
        <v>1265</v>
      </c>
      <c r="K1834" s="496" t="s">
        <v>1129</v>
      </c>
      <c r="L1834" s="497">
        <v>1</v>
      </c>
      <c r="M1834" s="497">
        <v>4354.07</v>
      </c>
      <c r="N1834" s="464">
        <v>4354.07</v>
      </c>
      <c r="O1834" s="498"/>
      <c r="P1834" s="431" t="s">
        <v>6711</v>
      </c>
    </row>
    <row r="1835" spans="1:16" ht="13.9" hidden="1" customHeight="1" outlineLevel="2" x14ac:dyDescent="0.2">
      <c r="A1835" s="233">
        <v>0</v>
      </c>
      <c r="B1835" s="233">
        <v>19</v>
      </c>
      <c r="C1835" s="233">
        <v>12</v>
      </c>
      <c r="D1835" s="234">
        <v>2</v>
      </c>
      <c r="E1835" s="234">
        <v>0</v>
      </c>
      <c r="F1835" s="238"/>
      <c r="G1835" s="507"/>
      <c r="H1835" s="487" t="s">
        <v>1237</v>
      </c>
      <c r="I1835" s="452" t="s">
        <v>6325</v>
      </c>
      <c r="J1835" s="489" t="s">
        <v>2353</v>
      </c>
      <c r="K1835" s="490"/>
      <c r="L1835" s="491"/>
      <c r="M1835" s="491"/>
      <c r="N1835" s="456">
        <v>1739.64</v>
      </c>
      <c r="O1835" s="492"/>
      <c r="P1835" s="430"/>
    </row>
    <row r="1836" spans="1:16" ht="13.9" hidden="1" customHeight="1" outlineLevel="3" x14ac:dyDescent="0.2">
      <c r="A1836" s="233">
        <v>0</v>
      </c>
      <c r="B1836" s="233">
        <v>19</v>
      </c>
      <c r="C1836" s="233">
        <v>12</v>
      </c>
      <c r="D1836" s="234">
        <v>2</v>
      </c>
      <c r="E1836" s="234">
        <v>1</v>
      </c>
      <c r="F1836" s="238"/>
      <c r="G1836" s="508" t="s">
        <v>52</v>
      </c>
      <c r="H1836" s="493" t="s">
        <v>1238</v>
      </c>
      <c r="I1836" s="460" t="s">
        <v>6326</v>
      </c>
      <c r="J1836" s="495" t="s">
        <v>1266</v>
      </c>
      <c r="K1836" s="496" t="s">
        <v>1129</v>
      </c>
      <c r="L1836" s="497">
        <v>1</v>
      </c>
      <c r="M1836" s="497">
        <v>1739.6399999999999</v>
      </c>
      <c r="N1836" s="464">
        <v>1739.64</v>
      </c>
      <c r="O1836" s="498"/>
      <c r="P1836" s="431" t="s">
        <v>6711</v>
      </c>
    </row>
    <row r="1837" spans="1:16" ht="13.9" hidden="1" customHeight="1" outlineLevel="2" x14ac:dyDescent="0.2">
      <c r="A1837" s="233">
        <v>0</v>
      </c>
      <c r="B1837" s="233">
        <v>19</v>
      </c>
      <c r="C1837" s="233">
        <v>12</v>
      </c>
      <c r="D1837" s="234">
        <v>3</v>
      </c>
      <c r="E1837" s="234">
        <v>0</v>
      </c>
      <c r="F1837" s="238"/>
      <c r="G1837" s="507"/>
      <c r="H1837" s="487" t="s">
        <v>1237</v>
      </c>
      <c r="I1837" s="452" t="s">
        <v>6327</v>
      </c>
      <c r="J1837" s="489" t="s">
        <v>14</v>
      </c>
      <c r="K1837" s="490"/>
      <c r="L1837" s="491"/>
      <c r="M1837" s="491"/>
      <c r="N1837" s="456">
        <v>2343.6799999999998</v>
      </c>
      <c r="O1837" s="492"/>
      <c r="P1837" s="430"/>
    </row>
    <row r="1838" spans="1:16" ht="13.9" hidden="1" customHeight="1" outlineLevel="3" x14ac:dyDescent="0.2">
      <c r="A1838" s="233">
        <v>0</v>
      </c>
      <c r="B1838" s="233">
        <v>19</v>
      </c>
      <c r="C1838" s="233">
        <v>12</v>
      </c>
      <c r="D1838" s="234">
        <v>3</v>
      </c>
      <c r="E1838" s="234">
        <v>1</v>
      </c>
      <c r="F1838" s="238"/>
      <c r="G1838" s="508" t="s">
        <v>52</v>
      </c>
      <c r="H1838" s="493" t="s">
        <v>1238</v>
      </c>
      <c r="I1838" s="460" t="s">
        <v>6328</v>
      </c>
      <c r="J1838" s="495" t="s">
        <v>1268</v>
      </c>
      <c r="K1838" s="496" t="s">
        <v>1129</v>
      </c>
      <c r="L1838" s="497">
        <v>1</v>
      </c>
      <c r="M1838" s="497">
        <v>2343.6799999999998</v>
      </c>
      <c r="N1838" s="464">
        <v>2343.6799999999998</v>
      </c>
      <c r="O1838" s="498"/>
      <c r="P1838" s="431" t="s">
        <v>6711</v>
      </c>
    </row>
    <row r="1839" spans="1:16" ht="13.9" hidden="1" customHeight="1" outlineLevel="1" x14ac:dyDescent="0.2">
      <c r="A1839" s="233">
        <v>0</v>
      </c>
      <c r="B1839" s="233">
        <v>19</v>
      </c>
      <c r="C1839" s="233">
        <v>13</v>
      </c>
      <c r="D1839" s="234">
        <v>0</v>
      </c>
      <c r="E1839" s="234">
        <v>1</v>
      </c>
      <c r="F1839" s="238"/>
      <c r="G1839" s="506"/>
      <c r="H1839" s="481" t="s">
        <v>38</v>
      </c>
      <c r="I1839" s="445" t="s">
        <v>6329</v>
      </c>
      <c r="J1839" s="483" t="s">
        <v>2621</v>
      </c>
      <c r="K1839" s="484"/>
      <c r="L1839" s="485"/>
      <c r="M1839" s="485"/>
      <c r="N1839" s="449">
        <v>3820.45</v>
      </c>
      <c r="O1839" s="486"/>
      <c r="P1839" s="435"/>
    </row>
    <row r="1840" spans="1:16" ht="15.75" hidden="1" customHeight="1" outlineLevel="2" x14ac:dyDescent="0.2">
      <c r="A1840" s="233">
        <v>0</v>
      </c>
      <c r="B1840" s="233">
        <v>19</v>
      </c>
      <c r="C1840" s="233">
        <v>13</v>
      </c>
      <c r="D1840" s="234">
        <v>1</v>
      </c>
      <c r="E1840" s="234">
        <v>0</v>
      </c>
      <c r="F1840" s="238"/>
      <c r="G1840" s="507"/>
      <c r="H1840" s="487" t="s">
        <v>1237</v>
      </c>
      <c r="I1840" s="452" t="s">
        <v>6330</v>
      </c>
      <c r="J1840" s="489" t="s">
        <v>31</v>
      </c>
      <c r="K1840" s="490"/>
      <c r="L1840" s="491"/>
      <c r="M1840" s="491"/>
      <c r="N1840" s="456">
        <v>1244.02</v>
      </c>
      <c r="O1840" s="492"/>
      <c r="P1840" s="430"/>
    </row>
    <row r="1841" spans="1:16" ht="13.9" hidden="1" customHeight="1" outlineLevel="3" x14ac:dyDescent="0.2">
      <c r="A1841" s="233">
        <v>0</v>
      </c>
      <c r="B1841" s="233">
        <v>19</v>
      </c>
      <c r="C1841" s="233">
        <v>13</v>
      </c>
      <c r="D1841" s="234">
        <v>1</v>
      </c>
      <c r="E1841" s="234">
        <v>1</v>
      </c>
      <c r="F1841" s="238"/>
      <c r="G1841" s="508" t="s">
        <v>52</v>
      </c>
      <c r="H1841" s="493" t="s">
        <v>1238</v>
      </c>
      <c r="I1841" s="460" t="s">
        <v>6331</v>
      </c>
      <c r="J1841" s="495" t="s">
        <v>1265</v>
      </c>
      <c r="K1841" s="496" t="s">
        <v>1129</v>
      </c>
      <c r="L1841" s="497">
        <v>1</v>
      </c>
      <c r="M1841" s="497">
        <v>1244.02</v>
      </c>
      <c r="N1841" s="464">
        <v>1244.02</v>
      </c>
      <c r="O1841" s="498"/>
      <c r="P1841" s="431" t="s">
        <v>6711</v>
      </c>
    </row>
    <row r="1842" spans="1:16" ht="13.9" hidden="1" customHeight="1" outlineLevel="2" x14ac:dyDescent="0.2">
      <c r="A1842" s="233">
        <v>0</v>
      </c>
      <c r="B1842" s="233">
        <v>19</v>
      </c>
      <c r="C1842" s="233">
        <v>13</v>
      </c>
      <c r="D1842" s="234">
        <v>2</v>
      </c>
      <c r="E1842" s="234">
        <v>0</v>
      </c>
      <c r="F1842" s="238"/>
      <c r="G1842" s="507"/>
      <c r="H1842" s="487" t="s">
        <v>1237</v>
      </c>
      <c r="I1842" s="452" t="s">
        <v>6332</v>
      </c>
      <c r="J1842" s="489" t="s">
        <v>2353</v>
      </c>
      <c r="K1842" s="490"/>
      <c r="L1842" s="491"/>
      <c r="M1842" s="491"/>
      <c r="N1842" s="456">
        <v>346.03</v>
      </c>
      <c r="O1842" s="492"/>
      <c r="P1842" s="430"/>
    </row>
    <row r="1843" spans="1:16" ht="13.9" hidden="1" customHeight="1" outlineLevel="3" x14ac:dyDescent="0.2">
      <c r="A1843" s="233">
        <v>0</v>
      </c>
      <c r="B1843" s="233">
        <v>19</v>
      </c>
      <c r="C1843" s="233">
        <v>13</v>
      </c>
      <c r="D1843" s="234">
        <v>2</v>
      </c>
      <c r="E1843" s="234">
        <v>1</v>
      </c>
      <c r="F1843" s="238"/>
      <c r="G1843" s="508" t="s">
        <v>52</v>
      </c>
      <c r="H1843" s="493" t="s">
        <v>1238</v>
      </c>
      <c r="I1843" s="460" t="s">
        <v>6333</v>
      </c>
      <c r="J1843" s="495" t="s">
        <v>1266</v>
      </c>
      <c r="K1843" s="496" t="s">
        <v>1129</v>
      </c>
      <c r="L1843" s="497">
        <v>1</v>
      </c>
      <c r="M1843" s="497">
        <v>346.03</v>
      </c>
      <c r="N1843" s="464">
        <v>346.03</v>
      </c>
      <c r="O1843" s="498"/>
      <c r="P1843" s="431" t="s">
        <v>6711</v>
      </c>
    </row>
    <row r="1844" spans="1:16" ht="13.9" hidden="1" customHeight="1" outlineLevel="2" x14ac:dyDescent="0.2">
      <c r="A1844" s="233">
        <v>0</v>
      </c>
      <c r="B1844" s="233">
        <v>19</v>
      </c>
      <c r="C1844" s="233">
        <v>13</v>
      </c>
      <c r="D1844" s="234">
        <v>3</v>
      </c>
      <c r="E1844" s="234">
        <v>0</v>
      </c>
      <c r="F1844" s="238"/>
      <c r="G1844" s="507"/>
      <c r="H1844" s="487" t="s">
        <v>1237</v>
      </c>
      <c r="I1844" s="452" t="s">
        <v>6334</v>
      </c>
      <c r="J1844" s="489" t="s">
        <v>14</v>
      </c>
      <c r="K1844" s="490"/>
      <c r="L1844" s="491"/>
      <c r="M1844" s="491"/>
      <c r="N1844" s="456">
        <v>2230.4</v>
      </c>
      <c r="O1844" s="492"/>
      <c r="P1844" s="430"/>
    </row>
    <row r="1845" spans="1:16" ht="13.9" hidden="1" customHeight="1" outlineLevel="3" x14ac:dyDescent="0.2">
      <c r="A1845" s="233">
        <v>0</v>
      </c>
      <c r="B1845" s="233">
        <v>19</v>
      </c>
      <c r="C1845" s="233">
        <v>13</v>
      </c>
      <c r="D1845" s="234">
        <v>3</v>
      </c>
      <c r="E1845" s="234">
        <v>1</v>
      </c>
      <c r="F1845" s="238"/>
      <c r="G1845" s="508" t="s">
        <v>52</v>
      </c>
      <c r="H1845" s="493" t="s">
        <v>1238</v>
      </c>
      <c r="I1845" s="460" t="s">
        <v>6335</v>
      </c>
      <c r="J1845" s="495" t="s">
        <v>1268</v>
      </c>
      <c r="K1845" s="496" t="s">
        <v>1129</v>
      </c>
      <c r="L1845" s="497">
        <v>1</v>
      </c>
      <c r="M1845" s="497">
        <v>2230.4</v>
      </c>
      <c r="N1845" s="464">
        <v>2230.4</v>
      </c>
      <c r="O1845" s="498"/>
      <c r="P1845" s="431" t="s">
        <v>6711</v>
      </c>
    </row>
    <row r="1846" spans="1:16" ht="13.9" hidden="1" customHeight="1" outlineLevel="1" x14ac:dyDescent="0.2">
      <c r="A1846" s="233">
        <v>0</v>
      </c>
      <c r="B1846" s="233">
        <v>19</v>
      </c>
      <c r="C1846" s="233">
        <v>14</v>
      </c>
      <c r="D1846" s="234">
        <v>0</v>
      </c>
      <c r="E1846" s="234">
        <v>1</v>
      </c>
      <c r="F1846" s="238"/>
      <c r="G1846" s="506"/>
      <c r="H1846" s="481" t="s">
        <v>38</v>
      </c>
      <c r="I1846" s="445" t="s">
        <v>6336</v>
      </c>
      <c r="J1846" s="483" t="s">
        <v>2622</v>
      </c>
      <c r="K1846" s="484"/>
      <c r="L1846" s="485"/>
      <c r="M1846" s="485"/>
      <c r="N1846" s="449">
        <v>1189.76</v>
      </c>
      <c r="O1846" s="486"/>
      <c r="P1846" s="435"/>
    </row>
    <row r="1847" spans="1:16" ht="13.9" hidden="1" customHeight="1" outlineLevel="2" x14ac:dyDescent="0.2">
      <c r="A1847" s="233">
        <v>0</v>
      </c>
      <c r="B1847" s="233">
        <v>19</v>
      </c>
      <c r="C1847" s="233">
        <v>14</v>
      </c>
      <c r="D1847" s="234">
        <v>1</v>
      </c>
      <c r="E1847" s="234">
        <v>0</v>
      </c>
      <c r="F1847" s="238"/>
      <c r="G1847" s="507"/>
      <c r="H1847" s="487" t="s">
        <v>1237</v>
      </c>
      <c r="I1847" s="452" t="s">
        <v>6337</v>
      </c>
      <c r="J1847" s="489" t="s">
        <v>2353</v>
      </c>
      <c r="K1847" s="490"/>
      <c r="L1847" s="491"/>
      <c r="M1847" s="491"/>
      <c r="N1847" s="456">
        <v>600</v>
      </c>
      <c r="O1847" s="492"/>
      <c r="P1847" s="430"/>
    </row>
    <row r="1848" spans="1:16" ht="13.9" hidden="1" customHeight="1" outlineLevel="3" x14ac:dyDescent="0.2">
      <c r="A1848" s="233">
        <v>0</v>
      </c>
      <c r="B1848" s="233">
        <v>19</v>
      </c>
      <c r="C1848" s="233">
        <v>14</v>
      </c>
      <c r="D1848" s="234">
        <v>1</v>
      </c>
      <c r="E1848" s="234">
        <v>1</v>
      </c>
      <c r="F1848" s="238"/>
      <c r="G1848" s="508" t="s">
        <v>52</v>
      </c>
      <c r="H1848" s="493" t="s">
        <v>1238</v>
      </c>
      <c r="I1848" s="460" t="s">
        <v>6338</v>
      </c>
      <c r="J1848" s="495" t="s">
        <v>1266</v>
      </c>
      <c r="K1848" s="496" t="s">
        <v>1129</v>
      </c>
      <c r="L1848" s="497">
        <v>1</v>
      </c>
      <c r="M1848" s="497">
        <v>600</v>
      </c>
      <c r="N1848" s="464">
        <v>600</v>
      </c>
      <c r="O1848" s="498"/>
      <c r="P1848" s="431" t="s">
        <v>6711</v>
      </c>
    </row>
    <row r="1849" spans="1:16" ht="13.9" hidden="1" customHeight="1" outlineLevel="2" x14ac:dyDescent="0.2">
      <c r="A1849" s="233">
        <v>0</v>
      </c>
      <c r="B1849" s="233">
        <v>19</v>
      </c>
      <c r="C1849" s="233">
        <v>14</v>
      </c>
      <c r="D1849" s="234">
        <v>2</v>
      </c>
      <c r="E1849" s="234">
        <v>0</v>
      </c>
      <c r="F1849" s="238"/>
      <c r="G1849" s="507"/>
      <c r="H1849" s="487" t="s">
        <v>1237</v>
      </c>
      <c r="I1849" s="452" t="s">
        <v>6339</v>
      </c>
      <c r="J1849" s="489" t="s">
        <v>14</v>
      </c>
      <c r="K1849" s="490"/>
      <c r="L1849" s="491"/>
      <c r="M1849" s="491"/>
      <c r="N1849" s="456">
        <v>589.76</v>
      </c>
      <c r="O1849" s="492"/>
      <c r="P1849" s="430"/>
    </row>
    <row r="1850" spans="1:16" ht="13.9" hidden="1" customHeight="1" outlineLevel="3" x14ac:dyDescent="0.2">
      <c r="A1850" s="233">
        <v>0</v>
      </c>
      <c r="B1850" s="233">
        <v>19</v>
      </c>
      <c r="C1850" s="233">
        <v>14</v>
      </c>
      <c r="D1850" s="234">
        <v>2</v>
      </c>
      <c r="E1850" s="234">
        <v>1</v>
      </c>
      <c r="F1850" s="238"/>
      <c r="G1850" s="508" t="s">
        <v>52</v>
      </c>
      <c r="H1850" s="493" t="s">
        <v>1238</v>
      </c>
      <c r="I1850" s="460" t="s">
        <v>6340</v>
      </c>
      <c r="J1850" s="495" t="s">
        <v>1268</v>
      </c>
      <c r="K1850" s="496" t="s">
        <v>1129</v>
      </c>
      <c r="L1850" s="497">
        <v>1</v>
      </c>
      <c r="M1850" s="497">
        <v>589.76</v>
      </c>
      <c r="N1850" s="464">
        <v>589.76</v>
      </c>
      <c r="O1850" s="498"/>
      <c r="P1850" s="431" t="s">
        <v>6711</v>
      </c>
    </row>
    <row r="1851" spans="1:16" ht="13.9" customHeight="1" collapsed="1" x14ac:dyDescent="0.2">
      <c r="A1851" s="233">
        <v>0</v>
      </c>
      <c r="B1851" s="233">
        <v>20</v>
      </c>
      <c r="C1851" s="233">
        <v>0</v>
      </c>
      <c r="D1851" s="234">
        <v>2</v>
      </c>
      <c r="E1851" s="234">
        <v>1</v>
      </c>
      <c r="F1851" s="238"/>
      <c r="G1851" s="504"/>
      <c r="H1851" s="476" t="s">
        <v>1236</v>
      </c>
      <c r="I1851" s="438" t="s">
        <v>6341</v>
      </c>
      <c r="J1851" s="505" t="s">
        <v>32</v>
      </c>
      <c r="K1851" s="478"/>
      <c r="L1851" s="479"/>
      <c r="M1851" s="479"/>
      <c r="N1851" s="442">
        <v>34721</v>
      </c>
      <c r="O1851" s="480">
        <v>2.0729363623283299</v>
      </c>
      <c r="P1851" s="434"/>
    </row>
    <row r="1852" spans="1:16" ht="13.9" hidden="1" customHeight="1" outlineLevel="1" x14ac:dyDescent="0.2">
      <c r="A1852" s="233">
        <v>0</v>
      </c>
      <c r="B1852" s="233">
        <v>20</v>
      </c>
      <c r="C1852" s="233">
        <v>1</v>
      </c>
      <c r="D1852" s="234">
        <v>0</v>
      </c>
      <c r="E1852" s="234">
        <v>1</v>
      </c>
      <c r="F1852" s="238"/>
      <c r="G1852" s="506"/>
      <c r="H1852" s="481" t="s">
        <v>38</v>
      </c>
      <c r="I1852" s="445" t="s">
        <v>6342</v>
      </c>
      <c r="J1852" s="483" t="s">
        <v>32</v>
      </c>
      <c r="K1852" s="484"/>
      <c r="L1852" s="485"/>
      <c r="M1852" s="485"/>
      <c r="N1852" s="449">
        <v>34721</v>
      </c>
      <c r="O1852" s="486"/>
      <c r="P1852" s="435"/>
    </row>
    <row r="1853" spans="1:16" ht="13.9" hidden="1" customHeight="1" outlineLevel="2" x14ac:dyDescent="0.2">
      <c r="A1853" s="233">
        <v>0</v>
      </c>
      <c r="B1853" s="233">
        <v>20</v>
      </c>
      <c r="C1853" s="233">
        <v>1</v>
      </c>
      <c r="D1853" s="234">
        <v>1</v>
      </c>
      <c r="E1853" s="234">
        <v>0</v>
      </c>
      <c r="F1853" s="238"/>
      <c r="G1853" s="507"/>
      <c r="H1853" s="487" t="s">
        <v>1237</v>
      </c>
      <c r="I1853" s="452" t="s">
        <v>6343</v>
      </c>
      <c r="J1853" s="489" t="s">
        <v>2355</v>
      </c>
      <c r="K1853" s="490"/>
      <c r="L1853" s="491"/>
      <c r="M1853" s="491"/>
      <c r="N1853" s="456">
        <v>34721</v>
      </c>
      <c r="O1853" s="492"/>
      <c r="P1853" s="430"/>
    </row>
    <row r="1854" spans="1:16" ht="13.9" hidden="1" customHeight="1" outlineLevel="3" x14ac:dyDescent="0.2">
      <c r="A1854" s="233">
        <v>0</v>
      </c>
      <c r="B1854" s="233">
        <v>20</v>
      </c>
      <c r="C1854" s="233">
        <v>1</v>
      </c>
      <c r="D1854" s="234">
        <v>1</v>
      </c>
      <c r="E1854" s="234">
        <v>1</v>
      </c>
      <c r="F1854" s="238"/>
      <c r="G1854" s="508" t="s">
        <v>32</v>
      </c>
      <c r="H1854" s="493" t="s">
        <v>1238</v>
      </c>
      <c r="I1854" s="460" t="s">
        <v>6344</v>
      </c>
      <c r="J1854" s="495" t="s">
        <v>1005</v>
      </c>
      <c r="K1854" s="496" t="s">
        <v>2712</v>
      </c>
      <c r="L1854" s="497">
        <v>1</v>
      </c>
      <c r="M1854" s="497">
        <v>34721</v>
      </c>
      <c r="N1854" s="464">
        <v>34721</v>
      </c>
      <c r="O1854" s="498"/>
      <c r="P1854" s="431" t="s">
        <v>6711</v>
      </c>
    </row>
    <row r="1855" spans="1:16" ht="13.9" customHeight="1" collapsed="1" x14ac:dyDescent="0.2">
      <c r="A1855" s="233">
        <v>0</v>
      </c>
      <c r="B1855" s="233">
        <v>22</v>
      </c>
      <c r="C1855" s="233">
        <v>0</v>
      </c>
      <c r="D1855" s="234">
        <v>4</v>
      </c>
      <c r="E1855" s="234">
        <v>5</v>
      </c>
      <c r="F1855" s="238"/>
      <c r="G1855" s="504"/>
      <c r="H1855" s="476" t="s">
        <v>1236</v>
      </c>
      <c r="I1855" s="438" t="s">
        <v>6442</v>
      </c>
      <c r="J1855" s="505" t="s">
        <v>30</v>
      </c>
      <c r="K1855" s="478"/>
      <c r="L1855" s="479"/>
      <c r="M1855" s="479"/>
      <c r="N1855" s="442"/>
      <c r="O1855" s="480"/>
      <c r="P1855" s="433"/>
    </row>
    <row r="1856" spans="1:16" ht="13.9" hidden="1" customHeight="1" outlineLevel="1" x14ac:dyDescent="0.2">
      <c r="A1856" s="233">
        <v>0</v>
      </c>
      <c r="B1856" s="233">
        <v>22</v>
      </c>
      <c r="C1856" s="233">
        <v>1</v>
      </c>
      <c r="D1856" s="234">
        <v>0</v>
      </c>
      <c r="E1856" s="234">
        <v>5</v>
      </c>
      <c r="F1856" s="125"/>
      <c r="G1856" s="506"/>
      <c r="H1856" s="481" t="s">
        <v>38</v>
      </c>
      <c r="I1856" s="445" t="s">
        <v>6443</v>
      </c>
      <c r="J1856" s="483" t="s">
        <v>33</v>
      </c>
      <c r="K1856" s="484"/>
      <c r="L1856" s="485"/>
      <c r="M1856" s="485"/>
      <c r="N1856" s="449"/>
      <c r="O1856" s="486"/>
      <c r="P1856" s="435"/>
    </row>
    <row r="1857" spans="1:16" ht="13.9" hidden="1" customHeight="1" outlineLevel="2" x14ac:dyDescent="0.2">
      <c r="A1857" s="233">
        <v>0</v>
      </c>
      <c r="B1857" s="233">
        <v>22</v>
      </c>
      <c r="C1857" s="233">
        <v>1</v>
      </c>
      <c r="D1857" s="234">
        <v>1</v>
      </c>
      <c r="E1857" s="234">
        <v>0</v>
      </c>
      <c r="F1857" s="125"/>
      <c r="G1857" s="507"/>
      <c r="H1857" s="487" t="s">
        <v>1237</v>
      </c>
      <c r="I1857" s="452" t="s">
        <v>6444</v>
      </c>
      <c r="J1857" s="489" t="s">
        <v>2249</v>
      </c>
      <c r="K1857" s="490"/>
      <c r="L1857" s="491"/>
      <c r="M1857" s="491"/>
      <c r="N1857" s="456"/>
      <c r="O1857" s="492"/>
      <c r="P1857" s="430"/>
    </row>
    <row r="1858" spans="1:16" ht="13.9" hidden="1" customHeight="1" outlineLevel="3" x14ac:dyDescent="0.2">
      <c r="A1858" s="233">
        <v>0</v>
      </c>
      <c r="B1858" s="233">
        <v>22</v>
      </c>
      <c r="C1858" s="233">
        <v>1</v>
      </c>
      <c r="D1858" s="234">
        <v>1</v>
      </c>
      <c r="E1858" s="234">
        <v>1</v>
      </c>
      <c r="F1858" s="125"/>
      <c r="G1858" s="508" t="s">
        <v>53</v>
      </c>
      <c r="H1858" s="493" t="s">
        <v>1238</v>
      </c>
      <c r="I1858" s="460" t="s">
        <v>6445</v>
      </c>
      <c r="J1858" s="495" t="s">
        <v>1798</v>
      </c>
      <c r="K1858" s="496" t="s">
        <v>641</v>
      </c>
      <c r="L1858" s="497" t="e">
        <v>#REF!</v>
      </c>
      <c r="M1858" s="497">
        <v>77.366820666666669</v>
      </c>
      <c r="N1858" s="464"/>
      <c r="O1858" s="498" t="s">
        <v>2508</v>
      </c>
      <c r="P1858" s="431" t="s">
        <v>6711</v>
      </c>
    </row>
    <row r="1859" spans="1:16" ht="13.9" hidden="1" customHeight="1" outlineLevel="3" x14ac:dyDescent="0.2">
      <c r="A1859" s="233">
        <v>0</v>
      </c>
      <c r="B1859" s="233">
        <v>22</v>
      </c>
      <c r="C1859" s="233">
        <v>1</v>
      </c>
      <c r="D1859" s="234">
        <v>1</v>
      </c>
      <c r="E1859" s="234">
        <v>2</v>
      </c>
      <c r="F1859" s="125"/>
      <c r="G1859" s="508" t="s">
        <v>53</v>
      </c>
      <c r="H1859" s="493" t="s">
        <v>1238</v>
      </c>
      <c r="I1859" s="460" t="s">
        <v>6446</v>
      </c>
      <c r="J1859" s="495" t="s">
        <v>740</v>
      </c>
      <c r="K1859" s="496" t="s">
        <v>641</v>
      </c>
      <c r="L1859" s="497" t="e">
        <v>#REF!</v>
      </c>
      <c r="M1859" s="497">
        <v>25</v>
      </c>
      <c r="N1859" s="464"/>
      <c r="O1859" s="498"/>
      <c r="P1859" s="431" t="s">
        <v>6711</v>
      </c>
    </row>
    <row r="1860" spans="1:16" ht="13.9" hidden="1" customHeight="1" outlineLevel="2" x14ac:dyDescent="0.2">
      <c r="A1860" s="233">
        <v>0</v>
      </c>
      <c r="B1860" s="233">
        <v>22</v>
      </c>
      <c r="C1860" s="233">
        <v>1</v>
      </c>
      <c r="D1860" s="234">
        <v>2</v>
      </c>
      <c r="E1860" s="234">
        <v>0</v>
      </c>
      <c r="F1860" s="125"/>
      <c r="G1860" s="507"/>
      <c r="H1860" s="487" t="s">
        <v>1237</v>
      </c>
      <c r="I1860" s="452" t="s">
        <v>6447</v>
      </c>
      <c r="J1860" s="489" t="s">
        <v>2250</v>
      </c>
      <c r="K1860" s="490"/>
      <c r="L1860" s="491"/>
      <c r="M1860" s="491"/>
      <c r="N1860" s="456">
        <v>167496.70000000001</v>
      </c>
      <c r="O1860" s="492"/>
      <c r="P1860" s="430"/>
    </row>
    <row r="1861" spans="1:16" ht="13.9" hidden="1" customHeight="1" outlineLevel="3" x14ac:dyDescent="0.2">
      <c r="A1861" s="233">
        <v>0</v>
      </c>
      <c r="B1861" s="233">
        <v>22</v>
      </c>
      <c r="C1861" s="233">
        <v>1</v>
      </c>
      <c r="D1861" s="234">
        <v>2</v>
      </c>
      <c r="E1861" s="234">
        <v>1</v>
      </c>
      <c r="F1861" s="125"/>
      <c r="G1861" s="508" t="s">
        <v>53</v>
      </c>
      <c r="H1861" s="493" t="s">
        <v>1238</v>
      </c>
      <c r="I1861" s="460" t="s">
        <v>6448</v>
      </c>
      <c r="J1861" s="495" t="s">
        <v>2250</v>
      </c>
      <c r="K1861" s="496" t="s">
        <v>1129</v>
      </c>
      <c r="L1861" s="497">
        <v>1</v>
      </c>
      <c r="M1861" s="497">
        <v>167496.70000000001</v>
      </c>
      <c r="N1861" s="464">
        <v>167496.70000000001</v>
      </c>
      <c r="O1861" s="498"/>
      <c r="P1861" s="431" t="s">
        <v>6711</v>
      </c>
    </row>
    <row r="1862" spans="1:16" ht="13.9" hidden="1" customHeight="1" outlineLevel="2" x14ac:dyDescent="0.2">
      <c r="A1862" s="233">
        <v>0</v>
      </c>
      <c r="B1862" s="233">
        <v>22</v>
      </c>
      <c r="C1862" s="233">
        <v>1</v>
      </c>
      <c r="D1862" s="234">
        <v>3</v>
      </c>
      <c r="E1862" s="234">
        <v>0</v>
      </c>
      <c r="F1862" s="125"/>
      <c r="G1862" s="507"/>
      <c r="H1862" s="487" t="s">
        <v>1237</v>
      </c>
      <c r="I1862" s="452" t="s">
        <v>6449</v>
      </c>
      <c r="J1862" s="489" t="s">
        <v>2251</v>
      </c>
      <c r="K1862" s="490"/>
      <c r="L1862" s="491"/>
      <c r="M1862" s="491"/>
      <c r="N1862" s="456">
        <v>167496.70000000001</v>
      </c>
      <c r="O1862" s="492"/>
      <c r="P1862" s="430"/>
    </row>
    <row r="1863" spans="1:16" ht="13.9" hidden="1" customHeight="1" outlineLevel="3" x14ac:dyDescent="0.2">
      <c r="A1863" s="233">
        <v>0</v>
      </c>
      <c r="B1863" s="233">
        <v>22</v>
      </c>
      <c r="C1863" s="233">
        <v>1</v>
      </c>
      <c r="D1863" s="234">
        <v>3</v>
      </c>
      <c r="E1863" s="234">
        <v>1</v>
      </c>
      <c r="F1863" s="125"/>
      <c r="G1863" s="508" t="s">
        <v>53</v>
      </c>
      <c r="H1863" s="493" t="s">
        <v>1238</v>
      </c>
      <c r="I1863" s="460" t="s">
        <v>6450</v>
      </c>
      <c r="J1863" s="495" t="s">
        <v>2251</v>
      </c>
      <c r="K1863" s="496" t="s">
        <v>1129</v>
      </c>
      <c r="L1863" s="497">
        <v>1</v>
      </c>
      <c r="M1863" s="497">
        <v>167496.70000000001</v>
      </c>
      <c r="N1863" s="464">
        <v>167496.70000000001</v>
      </c>
      <c r="O1863" s="498"/>
      <c r="P1863" s="431" t="s">
        <v>6711</v>
      </c>
    </row>
    <row r="1864" spans="1:16" ht="13.9" hidden="1" customHeight="1" outlineLevel="1" x14ac:dyDescent="0.2">
      <c r="A1864" s="233">
        <v>0</v>
      </c>
      <c r="B1864" s="233">
        <v>22</v>
      </c>
      <c r="C1864" s="233">
        <v>2</v>
      </c>
      <c r="D1864" s="234">
        <v>0</v>
      </c>
      <c r="E1864" s="234">
        <v>1</v>
      </c>
      <c r="F1864" s="125"/>
      <c r="G1864" s="506"/>
      <c r="H1864" s="481" t="s">
        <v>38</v>
      </c>
      <c r="I1864" s="445" t="s">
        <v>6451</v>
      </c>
      <c r="J1864" s="483" t="s">
        <v>53</v>
      </c>
      <c r="K1864" s="484"/>
      <c r="L1864" s="485"/>
      <c r="M1864" s="485"/>
      <c r="N1864" s="449">
        <v>5698605.0458000004</v>
      </c>
      <c r="O1864" s="486"/>
      <c r="P1864" s="435"/>
    </row>
    <row r="1865" spans="1:16" ht="13.9" hidden="1" customHeight="1" outlineLevel="2" x14ac:dyDescent="0.2">
      <c r="A1865" s="233">
        <v>0</v>
      </c>
      <c r="B1865" s="233">
        <v>22</v>
      </c>
      <c r="C1865" s="233">
        <v>2</v>
      </c>
      <c r="D1865" s="234">
        <v>1</v>
      </c>
      <c r="E1865" s="234">
        <v>0</v>
      </c>
      <c r="F1865" s="125"/>
      <c r="G1865" s="507"/>
      <c r="H1865" s="487" t="s">
        <v>1237</v>
      </c>
      <c r="I1865" s="452" t="s">
        <v>6452</v>
      </c>
      <c r="J1865" s="489" t="s">
        <v>34</v>
      </c>
      <c r="K1865" s="490"/>
      <c r="L1865" s="491"/>
      <c r="M1865" s="491"/>
      <c r="N1865" s="456">
        <v>586238.44999999995</v>
      </c>
      <c r="O1865" s="492"/>
      <c r="P1865" s="430"/>
    </row>
    <row r="1866" spans="1:16" ht="13.9" hidden="1" customHeight="1" outlineLevel="3" x14ac:dyDescent="0.2">
      <c r="A1866" s="233">
        <v>0</v>
      </c>
      <c r="B1866" s="233">
        <v>22</v>
      </c>
      <c r="C1866" s="233">
        <v>2</v>
      </c>
      <c r="D1866" s="234">
        <v>1</v>
      </c>
      <c r="E1866" s="234">
        <v>1</v>
      </c>
      <c r="F1866" s="125"/>
      <c r="G1866" s="508" t="s">
        <v>53</v>
      </c>
      <c r="H1866" s="493" t="s">
        <v>1238</v>
      </c>
      <c r="I1866" s="460" t="s">
        <v>6453</v>
      </c>
      <c r="J1866" s="495" t="s">
        <v>1269</v>
      </c>
      <c r="K1866" s="496" t="s">
        <v>1129</v>
      </c>
      <c r="L1866" s="497">
        <v>1</v>
      </c>
      <c r="M1866" s="497">
        <v>586238.45000000007</v>
      </c>
      <c r="N1866" s="464">
        <v>586238.44999999995</v>
      </c>
      <c r="O1866" s="498"/>
      <c r="P1866" s="431" t="s">
        <v>6711</v>
      </c>
    </row>
    <row r="1867" spans="1:16" ht="13.9" hidden="1" customHeight="1" outlineLevel="2" x14ac:dyDescent="0.2">
      <c r="A1867" s="233">
        <v>0</v>
      </c>
      <c r="B1867" s="233">
        <v>22</v>
      </c>
      <c r="C1867" s="233">
        <v>2</v>
      </c>
      <c r="D1867" s="234">
        <v>2</v>
      </c>
      <c r="E1867" s="234">
        <v>0</v>
      </c>
      <c r="F1867" s="125"/>
      <c r="G1867" s="507"/>
      <c r="H1867" s="487" t="s">
        <v>1237</v>
      </c>
      <c r="I1867" s="452" t="s">
        <v>6454</v>
      </c>
      <c r="J1867" s="489" t="s">
        <v>35</v>
      </c>
      <c r="K1867" s="490"/>
      <c r="L1867" s="491"/>
      <c r="M1867" s="491"/>
      <c r="N1867" s="456">
        <v>4563982.4000000004</v>
      </c>
      <c r="O1867" s="492"/>
      <c r="P1867" s="430"/>
    </row>
    <row r="1868" spans="1:16" ht="13.9" hidden="1" customHeight="1" outlineLevel="3" x14ac:dyDescent="0.2">
      <c r="A1868" s="233">
        <v>0</v>
      </c>
      <c r="B1868" s="233">
        <v>22</v>
      </c>
      <c r="C1868" s="233">
        <v>2</v>
      </c>
      <c r="D1868" s="234">
        <v>2</v>
      </c>
      <c r="E1868" s="234">
        <v>1</v>
      </c>
      <c r="F1868" s="125"/>
      <c r="G1868" s="508" t="s">
        <v>53</v>
      </c>
      <c r="H1868" s="493" t="s">
        <v>1238</v>
      </c>
      <c r="I1868" s="460" t="s">
        <v>6455</v>
      </c>
      <c r="J1868" s="495" t="s">
        <v>1270</v>
      </c>
      <c r="K1868" s="496" t="s">
        <v>1129</v>
      </c>
      <c r="L1868" s="497">
        <v>1</v>
      </c>
      <c r="M1868" s="497">
        <v>4563982.4000000004</v>
      </c>
      <c r="N1868" s="464">
        <v>4563982.4000000004</v>
      </c>
      <c r="O1868" s="498"/>
      <c r="P1868" s="431" t="s">
        <v>6711</v>
      </c>
    </row>
    <row r="1869" spans="1:16" ht="13.9" hidden="1" customHeight="1" outlineLevel="2" x14ac:dyDescent="0.2">
      <c r="A1869" s="233">
        <v>0</v>
      </c>
      <c r="B1869" s="233">
        <v>22</v>
      </c>
      <c r="C1869" s="233">
        <v>2</v>
      </c>
      <c r="D1869" s="234">
        <v>3</v>
      </c>
      <c r="E1869" s="234">
        <v>0</v>
      </c>
      <c r="F1869" s="125"/>
      <c r="G1869" s="507"/>
      <c r="H1869" s="487" t="s">
        <v>1237</v>
      </c>
      <c r="I1869" s="452" t="s">
        <v>6456</v>
      </c>
      <c r="J1869" s="489" t="s">
        <v>36</v>
      </c>
      <c r="K1869" s="490"/>
      <c r="L1869" s="491"/>
      <c r="M1869" s="491"/>
      <c r="N1869" s="456">
        <v>184246.37</v>
      </c>
      <c r="O1869" s="492"/>
      <c r="P1869" s="430"/>
    </row>
    <row r="1870" spans="1:16" ht="13.9" hidden="1" customHeight="1" outlineLevel="3" x14ac:dyDescent="0.2">
      <c r="A1870" s="233">
        <v>0</v>
      </c>
      <c r="B1870" s="233">
        <v>22</v>
      </c>
      <c r="C1870" s="233">
        <v>2</v>
      </c>
      <c r="D1870" s="234">
        <v>3</v>
      </c>
      <c r="E1870" s="234">
        <v>1</v>
      </c>
      <c r="F1870" s="125"/>
      <c r="G1870" s="508" t="s">
        <v>53</v>
      </c>
      <c r="H1870" s="493" t="s">
        <v>1238</v>
      </c>
      <c r="I1870" s="460" t="s">
        <v>6457</v>
      </c>
      <c r="J1870" s="495" t="s">
        <v>36</v>
      </c>
      <c r="K1870" s="496" t="s">
        <v>1129</v>
      </c>
      <c r="L1870" s="497">
        <v>1</v>
      </c>
      <c r="M1870" s="497">
        <v>184246.37000000002</v>
      </c>
      <c r="N1870" s="464">
        <v>184246.37</v>
      </c>
      <c r="O1870" s="498"/>
      <c r="P1870" s="431" t="s">
        <v>6711</v>
      </c>
    </row>
    <row r="1871" spans="1:16" ht="13.9" hidden="1" customHeight="1" outlineLevel="2" x14ac:dyDescent="0.2">
      <c r="A1871" s="233">
        <v>0</v>
      </c>
      <c r="B1871" s="233">
        <v>22</v>
      </c>
      <c r="C1871" s="233">
        <v>2</v>
      </c>
      <c r="D1871" s="234">
        <v>4</v>
      </c>
      <c r="E1871" s="234">
        <v>0</v>
      </c>
      <c r="F1871" s="125"/>
      <c r="G1871" s="507"/>
      <c r="H1871" s="487" t="s">
        <v>1237</v>
      </c>
      <c r="I1871" s="452" t="s">
        <v>6458</v>
      </c>
      <c r="J1871" s="489" t="s">
        <v>37</v>
      </c>
      <c r="K1871" s="490"/>
      <c r="L1871" s="491"/>
      <c r="M1871" s="491"/>
      <c r="N1871" s="456">
        <v>213390.79579999999</v>
      </c>
      <c r="O1871" s="492"/>
      <c r="P1871" s="430"/>
    </row>
    <row r="1872" spans="1:16" ht="13.9" hidden="1" customHeight="1" outlineLevel="3" x14ac:dyDescent="0.2">
      <c r="A1872" s="233">
        <v>0</v>
      </c>
      <c r="B1872" s="233">
        <v>22</v>
      </c>
      <c r="C1872" s="233">
        <v>2</v>
      </c>
      <c r="D1872" s="234">
        <v>4</v>
      </c>
      <c r="E1872" s="234">
        <v>1</v>
      </c>
      <c r="F1872" s="125"/>
      <c r="G1872" s="508" t="s">
        <v>53</v>
      </c>
      <c r="H1872" s="493" t="s">
        <v>1238</v>
      </c>
      <c r="I1872" s="460" t="s">
        <v>6459</v>
      </c>
      <c r="J1872" s="495" t="s">
        <v>1271</v>
      </c>
      <c r="K1872" s="496" t="s">
        <v>1129</v>
      </c>
      <c r="L1872" s="497">
        <v>1</v>
      </c>
      <c r="M1872" s="497">
        <v>133997.36000000002</v>
      </c>
      <c r="N1872" s="464">
        <v>133997.35999999999</v>
      </c>
      <c r="O1872" s="471" t="s">
        <v>3017</v>
      </c>
      <c r="P1872" s="431" t="s">
        <v>6711</v>
      </c>
    </row>
    <row r="1873" spans="1:16" ht="13.9" hidden="1" customHeight="1" outlineLevel="3" x14ac:dyDescent="0.2">
      <c r="A1873" s="233">
        <v>0</v>
      </c>
      <c r="B1873" s="233">
        <v>22</v>
      </c>
      <c r="C1873" s="233">
        <v>2</v>
      </c>
      <c r="D1873" s="234">
        <v>4</v>
      </c>
      <c r="E1873" s="234">
        <v>2</v>
      </c>
      <c r="F1873" s="125"/>
      <c r="G1873" s="508" t="s">
        <v>53</v>
      </c>
      <c r="H1873" s="493" t="s">
        <v>1238</v>
      </c>
      <c r="I1873" s="460" t="s">
        <v>6460</v>
      </c>
      <c r="J1873" s="495" t="s">
        <v>2358</v>
      </c>
      <c r="K1873" s="496" t="s">
        <v>1129</v>
      </c>
      <c r="L1873" s="497">
        <v>1</v>
      </c>
      <c r="M1873" s="497">
        <v>45894.09580000001</v>
      </c>
      <c r="N1873" s="464">
        <v>45894.095800000003</v>
      </c>
      <c r="O1873" s="498"/>
      <c r="P1873" s="431" t="s">
        <v>6711</v>
      </c>
    </row>
    <row r="1874" spans="1:16" ht="13.9" hidden="1" customHeight="1" outlineLevel="3" x14ac:dyDescent="0.2">
      <c r="A1874" s="233">
        <v>0</v>
      </c>
      <c r="B1874" s="233">
        <v>22</v>
      </c>
      <c r="C1874" s="233">
        <v>2</v>
      </c>
      <c r="D1874" s="234">
        <v>4</v>
      </c>
      <c r="E1874" s="234">
        <v>3</v>
      </c>
      <c r="F1874" s="125"/>
      <c r="G1874" s="508" t="s">
        <v>53</v>
      </c>
      <c r="H1874" s="493" t="s">
        <v>1238</v>
      </c>
      <c r="I1874" s="460" t="s">
        <v>6461</v>
      </c>
      <c r="J1874" s="495" t="s">
        <v>2359</v>
      </c>
      <c r="K1874" s="496" t="s">
        <v>1129</v>
      </c>
      <c r="L1874" s="497">
        <v>1</v>
      </c>
      <c r="M1874" s="497">
        <v>33499.340000000004</v>
      </c>
      <c r="N1874" s="464">
        <v>33499.339999999997</v>
      </c>
      <c r="O1874" s="498"/>
      <c r="P1874" s="431" t="s">
        <v>6711</v>
      </c>
    </row>
    <row r="1875" spans="1:16" ht="13.9" hidden="1" customHeight="1" outlineLevel="2" x14ac:dyDescent="0.2">
      <c r="A1875" s="233">
        <v>0</v>
      </c>
      <c r="B1875" s="233">
        <v>22</v>
      </c>
      <c r="C1875" s="233">
        <v>2</v>
      </c>
      <c r="D1875" s="234">
        <v>5</v>
      </c>
      <c r="E1875" s="234">
        <v>0</v>
      </c>
      <c r="F1875" s="125"/>
      <c r="G1875" s="507"/>
      <c r="H1875" s="487" t="s">
        <v>1237</v>
      </c>
      <c r="I1875" s="452" t="s">
        <v>6462</v>
      </c>
      <c r="J1875" s="489" t="s">
        <v>1272</v>
      </c>
      <c r="K1875" s="490"/>
      <c r="L1875" s="491"/>
      <c r="M1875" s="491"/>
      <c r="N1875" s="456">
        <v>150747.03</v>
      </c>
      <c r="O1875" s="492"/>
      <c r="P1875" s="430"/>
    </row>
    <row r="1876" spans="1:16" ht="13.9" hidden="1" customHeight="1" outlineLevel="3" x14ac:dyDescent="0.2">
      <c r="A1876" s="233">
        <v>0</v>
      </c>
      <c r="B1876" s="233">
        <v>22</v>
      </c>
      <c r="C1876" s="233">
        <v>2</v>
      </c>
      <c r="D1876" s="234">
        <v>5</v>
      </c>
      <c r="E1876" s="234">
        <v>1</v>
      </c>
      <c r="F1876" s="125"/>
      <c r="G1876" s="508" t="s">
        <v>53</v>
      </c>
      <c r="H1876" s="493" t="s">
        <v>1238</v>
      </c>
      <c r="I1876" s="460" t="s">
        <v>6463</v>
      </c>
      <c r="J1876" s="495" t="s">
        <v>1273</v>
      </c>
      <c r="K1876" s="496" t="s">
        <v>1129</v>
      </c>
      <c r="L1876" s="497">
        <v>1</v>
      </c>
      <c r="M1876" s="497">
        <v>83748.350000000006</v>
      </c>
      <c r="N1876" s="464">
        <v>83748.350000000006</v>
      </c>
      <c r="O1876" s="498"/>
      <c r="P1876" s="431" t="s">
        <v>6711</v>
      </c>
    </row>
    <row r="1877" spans="1:16" ht="11.25" hidden="1" customHeight="1" outlineLevel="3" x14ac:dyDescent="0.2">
      <c r="A1877" s="233">
        <v>0</v>
      </c>
      <c r="B1877" s="233">
        <v>22</v>
      </c>
      <c r="C1877" s="233">
        <v>2</v>
      </c>
      <c r="D1877" s="234">
        <v>5</v>
      </c>
      <c r="E1877" s="234">
        <v>2</v>
      </c>
      <c r="F1877" s="125"/>
      <c r="G1877" s="508" t="s">
        <v>53</v>
      </c>
      <c r="H1877" s="493" t="s">
        <v>1238</v>
      </c>
      <c r="I1877" s="460" t="s">
        <v>6464</v>
      </c>
      <c r="J1877" s="495" t="s">
        <v>1274</v>
      </c>
      <c r="K1877" s="496" t="s">
        <v>1129</v>
      </c>
      <c r="L1877" s="497">
        <v>1</v>
      </c>
      <c r="M1877" s="497">
        <v>66998.680000000008</v>
      </c>
      <c r="N1877" s="464">
        <v>66998.679999999993</v>
      </c>
      <c r="O1877" s="498"/>
      <c r="P1877" s="431" t="s">
        <v>6711</v>
      </c>
    </row>
    <row r="1878" spans="1:16" ht="13.9" customHeight="1" collapsed="1" x14ac:dyDescent="0.2">
      <c r="A1878" s="233">
        <v>0</v>
      </c>
      <c r="B1878" s="233">
        <v>23</v>
      </c>
      <c r="C1878" s="233">
        <v>0</v>
      </c>
      <c r="D1878" s="234">
        <v>5</v>
      </c>
      <c r="E1878" s="234">
        <v>2</v>
      </c>
      <c r="F1878" s="238"/>
      <c r="G1878" s="504"/>
      <c r="H1878" s="476" t="s">
        <v>1236</v>
      </c>
      <c r="I1878" s="438" t="s">
        <v>6465</v>
      </c>
      <c r="J1878" s="505" t="s">
        <v>2686</v>
      </c>
      <c r="K1878" s="478"/>
      <c r="L1878" s="479"/>
      <c r="M1878" s="479"/>
      <c r="N1878" s="442"/>
      <c r="O1878" s="480"/>
      <c r="P1878" s="433"/>
    </row>
    <row r="1879" spans="1:16" ht="13.9" hidden="1" customHeight="1" outlineLevel="1" x14ac:dyDescent="0.2">
      <c r="A1879" s="233">
        <v>0</v>
      </c>
      <c r="B1879" s="233">
        <v>23</v>
      </c>
      <c r="C1879" s="233">
        <v>1</v>
      </c>
      <c r="D1879" s="234">
        <v>0</v>
      </c>
      <c r="E1879" s="234">
        <v>2</v>
      </c>
      <c r="F1879" s="125"/>
      <c r="G1879" s="506"/>
      <c r="H1879" s="481" t="s">
        <v>38</v>
      </c>
      <c r="I1879" s="445" t="s">
        <v>6466</v>
      </c>
      <c r="J1879" s="483" t="s">
        <v>2252</v>
      </c>
      <c r="K1879" s="484"/>
      <c r="L1879" s="485"/>
      <c r="M1879" s="485"/>
      <c r="N1879" s="449"/>
      <c r="O1879" s="486"/>
      <c r="P1879" s="435"/>
    </row>
    <row r="1880" spans="1:16" ht="13.9" hidden="1" customHeight="1" outlineLevel="2" x14ac:dyDescent="0.2">
      <c r="A1880" s="233">
        <v>0</v>
      </c>
      <c r="B1880" s="233">
        <v>23</v>
      </c>
      <c r="C1880" s="233">
        <v>1</v>
      </c>
      <c r="D1880" s="234">
        <v>1</v>
      </c>
      <c r="E1880" s="234">
        <v>0</v>
      </c>
      <c r="F1880" s="125"/>
      <c r="G1880" s="507"/>
      <c r="H1880" s="487" t="s">
        <v>1237</v>
      </c>
      <c r="I1880" s="452" t="s">
        <v>6467</v>
      </c>
      <c r="J1880" s="489" t="s">
        <v>2252</v>
      </c>
      <c r="K1880" s="490"/>
      <c r="L1880" s="491"/>
      <c r="M1880" s="491"/>
      <c r="N1880" s="456"/>
      <c r="O1880" s="492"/>
      <c r="P1880" s="430"/>
    </row>
    <row r="1881" spans="1:16" ht="12.75" hidden="1" outlineLevel="3" x14ac:dyDescent="0.2">
      <c r="A1881" s="233">
        <v>0</v>
      </c>
      <c r="B1881" s="233">
        <v>23</v>
      </c>
      <c r="C1881" s="233">
        <v>1</v>
      </c>
      <c r="D1881" s="234">
        <v>1</v>
      </c>
      <c r="E1881" s="234">
        <v>1</v>
      </c>
      <c r="F1881" s="125"/>
      <c r="G1881" s="508" t="s">
        <v>54</v>
      </c>
      <c r="H1881" s="493" t="s">
        <v>1238</v>
      </c>
      <c r="I1881" s="494" t="s">
        <v>6468</v>
      </c>
      <c r="J1881" s="495" t="s">
        <v>2252</v>
      </c>
      <c r="K1881" s="496" t="s">
        <v>1129</v>
      </c>
      <c r="L1881" s="497">
        <v>1</v>
      </c>
      <c r="M1881" s="497" t="e">
        <v>#REF!</v>
      </c>
      <c r="N1881" s="464"/>
      <c r="O1881" s="498"/>
      <c r="P1881" s="431" t="s">
        <v>6711</v>
      </c>
    </row>
    <row r="1882" spans="1:16" ht="12.75" hidden="1" x14ac:dyDescent="0.2">
      <c r="A1882" s="233">
        <v>0</v>
      </c>
      <c r="B1882" s="233">
        <v>23</v>
      </c>
      <c r="C1882" s="233">
        <v>1</v>
      </c>
      <c r="D1882" s="234">
        <v>1</v>
      </c>
      <c r="E1882" s="234">
        <v>1</v>
      </c>
      <c r="G1882" s="59"/>
      <c r="H1882" s="59"/>
      <c r="I1882" s="59"/>
      <c r="J1882" s="62"/>
      <c r="K1882" s="60"/>
      <c r="L1882" s="58" t="e">
        <v>#REF!</v>
      </c>
      <c r="M1882" s="64" t="e">
        <v>#REF!</v>
      </c>
      <c r="N1882" s="61" t="s">
        <v>1236</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0" priority="10614">
      <formula>$H29="SUBETAPA"</formula>
    </cfRule>
    <cfRule type="expression" dxfId="6409" priority="10615">
      <formula>$H29="ETAPA"</formula>
    </cfRule>
    <cfRule type="expression" dxfId="6408" priority="10613">
      <formula>$H29="CÉLULA CONSTRUTIVA"</formula>
    </cfRule>
  </conditionalFormatting>
  <conditionalFormatting sqref="G32">
    <cfRule type="expression" dxfId="6407" priority="10611">
      <formula>$H32="SUBETAPA"</formula>
    </cfRule>
    <cfRule type="expression" dxfId="6406" priority="10612">
      <formula>$H32="ETAPA"</formula>
    </cfRule>
  </conditionalFormatting>
  <conditionalFormatting sqref="G35:G38">
    <cfRule type="expression" dxfId="6405" priority="10607">
      <formula>$H35="CÉLULA CONSTRUTIVA"</formula>
    </cfRule>
    <cfRule type="expression" dxfId="6404" priority="10608">
      <formula>$H35="SUBETAPA"</formula>
    </cfRule>
    <cfRule type="expression" dxfId="6403" priority="10609">
      <formula>$H35="ETAPA"</formula>
    </cfRule>
  </conditionalFormatting>
  <conditionalFormatting sqref="G40">
    <cfRule type="expression" dxfId="6402" priority="10605">
      <formula>$H40="SUBETAPA"</formula>
    </cfRule>
    <cfRule type="expression" dxfId="6401" priority="10606">
      <formula>$H40="ETAPA"</formula>
    </cfRule>
  </conditionalFormatting>
  <conditionalFormatting sqref="G42">
    <cfRule type="expression" dxfId="6400" priority="10603">
      <formula>$H42="SUBETAPA"</formula>
    </cfRule>
  </conditionalFormatting>
  <conditionalFormatting sqref="G42:G43">
    <cfRule type="expression" dxfId="6399" priority="10601">
      <formula>$H42="ETAPA"</formula>
    </cfRule>
  </conditionalFormatting>
  <conditionalFormatting sqref="G43">
    <cfRule type="expression" dxfId="6398" priority="10600">
      <formula>$H43="SUBETAPA"</formula>
    </cfRule>
  </conditionalFormatting>
  <conditionalFormatting sqref="G45:G48">
    <cfRule type="expression" dxfId="6397" priority="10597">
      <formula>$H45="SUBETAPA"</formula>
    </cfRule>
    <cfRule type="expression" dxfId="6396" priority="10598">
      <formula>$H45="ETAPA"</formula>
    </cfRule>
    <cfRule type="expression" dxfId="6395" priority="10596">
      <formula>$H45="CÉLULA CONSTRUTIVA"</formula>
    </cfRule>
  </conditionalFormatting>
  <conditionalFormatting sqref="G50">
    <cfRule type="expression" dxfId="6394" priority="10595">
      <formula>$H50="ETAPA"</formula>
    </cfRule>
    <cfRule type="expression" dxfId="6393" priority="10594">
      <formula>$H50="SUBETAPA"</formula>
    </cfRule>
  </conditionalFormatting>
  <conditionalFormatting sqref="G53">
    <cfRule type="expression" dxfId="6392" priority="10592">
      <formula>$H53="ETAPA"</formula>
    </cfRule>
  </conditionalFormatting>
  <conditionalFormatting sqref="G53:G54">
    <cfRule type="expression" dxfId="6391" priority="10588">
      <formula>$H53="SUBETAPA"</formula>
    </cfRule>
    <cfRule type="expression" dxfId="6390" priority="10587">
      <formula>$H53="CÉLULA CONSTRUTIVA"</formula>
    </cfRule>
  </conditionalFormatting>
  <conditionalFormatting sqref="G54">
    <cfRule type="expression" dxfId="6389" priority="10589">
      <formula>$H54="ETAPA"</formula>
    </cfRule>
  </conditionalFormatting>
  <conditionalFormatting sqref="G57">
    <cfRule type="expression" dxfId="6388" priority="10586">
      <formula>$H57="ETAPA"</formula>
    </cfRule>
    <cfRule type="expression" dxfId="6387" priority="10585">
      <formula>$H57="SUBETAPA"</formula>
    </cfRule>
    <cfRule type="expression" dxfId="6386" priority="10584">
      <formula>$H57="CÉLULA CONSTRUTIVA"</formula>
    </cfRule>
  </conditionalFormatting>
  <conditionalFormatting sqref="G80:G82 M95">
    <cfRule type="expression" dxfId="6385" priority="10583">
      <formula>$H80="ETAPA"</formula>
    </cfRule>
  </conditionalFormatting>
  <conditionalFormatting sqref="G706:G718">
    <cfRule type="expression" dxfId="6384" priority="10582">
      <formula>$H706="SUBETAPA"</formula>
    </cfRule>
  </conditionalFormatting>
  <conditionalFormatting sqref="G721:G733">
    <cfRule type="expression" dxfId="6383" priority="10580">
      <formula>$H721="SUBETAPA"</formula>
    </cfRule>
  </conditionalFormatting>
  <conditionalFormatting sqref="G736:G748">
    <cfRule type="expression" dxfId="6382" priority="10578">
      <formula>$H736="SUBETAPA"</formula>
    </cfRule>
  </conditionalFormatting>
  <conditionalFormatting sqref="G751:G763">
    <cfRule type="expression" dxfId="6381" priority="10576">
      <formula>$H751="SUBETAPA"</formula>
    </cfRule>
  </conditionalFormatting>
  <conditionalFormatting sqref="G766:G778">
    <cfRule type="expression" dxfId="6380" priority="10574">
      <formula>$H766="SUBETAPA"</formula>
    </cfRule>
  </conditionalFormatting>
  <conditionalFormatting sqref="G781:G793">
    <cfRule type="expression" dxfId="6379" priority="10572">
      <formula>$H781="SUBETAPA"</formula>
    </cfRule>
  </conditionalFormatting>
  <conditionalFormatting sqref="G796:G808">
    <cfRule type="expression" dxfId="6378" priority="10570">
      <formula>$H796="SUBETAPA"</formula>
    </cfRule>
  </conditionalFormatting>
  <conditionalFormatting sqref="G811:G823">
    <cfRule type="expression" dxfId="6377" priority="10568">
      <formula>$H811="SUBETAPA"</formula>
    </cfRule>
  </conditionalFormatting>
  <conditionalFormatting sqref="G826:G838">
    <cfRule type="expression" dxfId="6376" priority="10566">
      <formula>$H826="SUBETAPA"</formula>
    </cfRule>
  </conditionalFormatting>
  <conditionalFormatting sqref="G841:G853">
    <cfRule type="expression" dxfId="6375" priority="10564">
      <formula>$H841="SUBETAPA"</formula>
    </cfRule>
  </conditionalFormatting>
  <conditionalFormatting sqref="G856:G868">
    <cfRule type="expression" dxfId="6374" priority="10562">
      <formula>$H856="SUBETAPA"</formula>
    </cfRule>
  </conditionalFormatting>
  <conditionalFormatting sqref="G871:G883">
    <cfRule type="expression" dxfId="6373" priority="10560">
      <formula>$H871="SUBETAPA"</formula>
    </cfRule>
  </conditionalFormatting>
  <conditionalFormatting sqref="G886:G898">
    <cfRule type="expression" dxfId="6372" priority="10558">
      <formula>$H886="SUBETAPA"</formula>
    </cfRule>
  </conditionalFormatting>
  <conditionalFormatting sqref="G1002">
    <cfRule type="expression" dxfId="6371" priority="10555">
      <formula>$H1002="ETAPA"</formula>
    </cfRule>
  </conditionalFormatting>
  <conditionalFormatting sqref="G1002:G1003">
    <cfRule type="expression" dxfId="6370" priority="10551">
      <formula>$H1002="SUBETAPA"</formula>
    </cfRule>
  </conditionalFormatting>
  <conditionalFormatting sqref="G1003">
    <cfRule type="expression" dxfId="6369" priority="10552">
      <formula>$H1003="ETAPA"</formula>
    </cfRule>
  </conditionalFormatting>
  <conditionalFormatting sqref="G1005:G1009">
    <cfRule type="expression" dxfId="6368" priority="10549">
      <formula>$H1005="ETAPA"</formula>
    </cfRule>
    <cfRule type="expression" dxfId="6367" priority="10548">
      <formula>$H1005="SUBETAPA"</formula>
    </cfRule>
  </conditionalFormatting>
  <conditionalFormatting sqref="G1011">
    <cfRule type="expression" dxfId="6366" priority="10547">
      <formula>$H1011="CÉLULA CONSTRUTIVA"</formula>
    </cfRule>
    <cfRule type="expression" dxfId="6365" priority="10546">
      <formula>$H1011="ETAPA"</formula>
    </cfRule>
    <cfRule type="expression" dxfId="6364" priority="10545">
      <formula>$H1011="SUBETAPA"</formula>
    </cfRule>
  </conditionalFormatting>
  <conditionalFormatting sqref="G1027:G1036">
    <cfRule type="expression" dxfId="6363" priority="10544">
      <formula>$H1027="CÉLULA CONSTRUTIVA"</formula>
    </cfRule>
  </conditionalFormatting>
  <conditionalFormatting sqref="G1041:G1050">
    <cfRule type="expression" dxfId="6362" priority="10543">
      <formula>$H1041="CÉLULA CONSTRUTIVA"</formula>
    </cfRule>
  </conditionalFormatting>
  <conditionalFormatting sqref="G1055:G1064">
    <cfRule type="expression" dxfId="6361" priority="10542">
      <formula>$H1055="CÉLULA CONSTRUTIVA"</formula>
    </cfRule>
  </conditionalFormatting>
  <conditionalFormatting sqref="G1069:G1078">
    <cfRule type="expression" dxfId="6360" priority="10541">
      <formula>$H1069="CÉLULA CONSTRUTIVA"</formula>
    </cfRule>
  </conditionalFormatting>
  <conditionalFormatting sqref="G1083:G1092">
    <cfRule type="expression" dxfId="6359" priority="10540">
      <formula>$H1083="CÉLULA CONSTRUTIVA"</formula>
    </cfRule>
  </conditionalFormatting>
  <conditionalFormatting sqref="G1097:G1106">
    <cfRule type="expression" dxfId="6358" priority="10539">
      <formula>$H1097="CÉLULA CONSTRUTIVA"</formula>
    </cfRule>
  </conditionalFormatting>
  <conditionalFormatting sqref="G1130">
    <cfRule type="expression" dxfId="6357" priority="10538">
      <formula>$H1130="CÉLULA CONSTRUTIVA"</formula>
    </cfRule>
  </conditionalFormatting>
  <conditionalFormatting sqref="G1133">
    <cfRule type="expression" dxfId="6356" priority="10537">
      <formula>$H1133="CÉLULA CONSTRUTIVA"</formula>
    </cfRule>
  </conditionalFormatting>
  <conditionalFormatting sqref="G1136">
    <cfRule type="expression" dxfId="6355" priority="10536">
      <formula>$H1136="CÉLULA CONSTRUTIVA"</formula>
    </cfRule>
  </conditionalFormatting>
  <conditionalFormatting sqref="G1139">
    <cfRule type="expression" dxfId="6354" priority="10535">
      <formula>$H1139="CÉLULA CONSTRUTIVA"</formula>
    </cfRule>
  </conditionalFormatting>
  <conditionalFormatting sqref="G1142">
    <cfRule type="expression" dxfId="6353" priority="10534">
      <formula>$H1142="CÉLULA CONSTRUTIVA"</formula>
    </cfRule>
  </conditionalFormatting>
  <conditionalFormatting sqref="G1145">
    <cfRule type="expression" dxfId="6352" priority="10533">
      <formula>$H1145="CÉLULA CONSTRUTIVA"</formula>
    </cfRule>
  </conditionalFormatting>
  <conditionalFormatting sqref="G1148">
    <cfRule type="expression" dxfId="6351" priority="10532">
      <formula>$H1148="ETAPA"</formula>
    </cfRule>
  </conditionalFormatting>
  <conditionalFormatting sqref="G1150">
    <cfRule type="expression" dxfId="6350" priority="10530">
      <formula>$H1150="ETAPA"</formula>
    </cfRule>
  </conditionalFormatting>
  <conditionalFormatting sqref="G1152">
    <cfRule type="expression" dxfId="6349" priority="10528">
      <formula>$H1152="ETAPA"</formula>
    </cfRule>
  </conditionalFormatting>
  <conditionalFormatting sqref="G1155">
    <cfRule type="expression" dxfId="6348" priority="10526">
      <formula>$H1155="ETAPA"</formula>
    </cfRule>
  </conditionalFormatting>
  <conditionalFormatting sqref="G1157">
    <cfRule type="expression" dxfId="6347" priority="10524">
      <formula>$H1157="ETAPA"</formula>
    </cfRule>
  </conditionalFormatting>
  <conditionalFormatting sqref="G1159">
    <cfRule type="expression" dxfId="6346" priority="10522">
      <formula>$H1159="ETAPA"</formula>
    </cfRule>
  </conditionalFormatting>
  <conditionalFormatting sqref="G1164">
    <cfRule type="expression" dxfId="6345" priority="10520">
      <formula>$H1164="CÉLULA CONSTRUTIVA"</formula>
    </cfRule>
  </conditionalFormatting>
  <conditionalFormatting sqref="G1169">
    <cfRule type="expression" dxfId="6344" priority="10519">
      <formula>$H1169="CÉLULA CONSTRUTIVA"</formula>
    </cfRule>
  </conditionalFormatting>
  <conditionalFormatting sqref="G1174">
    <cfRule type="expression" dxfId="6343" priority="10518">
      <formula>$H1174="CÉLULA CONSTRUTIVA"</formula>
    </cfRule>
  </conditionalFormatting>
  <conditionalFormatting sqref="G1179">
    <cfRule type="expression" dxfId="6342" priority="10517">
      <formula>$H1179="CÉLULA CONSTRUTIVA"</formula>
    </cfRule>
  </conditionalFormatting>
  <conditionalFormatting sqref="G1182">
    <cfRule type="expression" dxfId="6341" priority="10516">
      <formula>$H1182="CÉLULA CONSTRUTIVA"</formula>
    </cfRule>
  </conditionalFormatting>
  <conditionalFormatting sqref="G1149:H1155 J1150:L1152">
    <cfRule type="expression" dxfId="6340" priority="9216">
      <formula>$H1149="CÉLULA CONSTRUTIVA"</formula>
    </cfRule>
  </conditionalFormatting>
  <conditionalFormatting sqref="G1156:H1162 J1157:L1159">
    <cfRule type="expression" dxfId="6339" priority="9207">
      <formula>$H1156="CÉLULA CONSTRUTIVA"</formula>
    </cfRule>
  </conditionalFormatting>
  <conditionalFormatting sqref="G1191:H1191 J1191:M1191">
    <cfRule type="expression" dxfId="6338" priority="9995">
      <formula>$H1191="SUBETAPA"</formula>
    </cfRule>
  </conditionalFormatting>
  <conditionalFormatting sqref="G1200:H1201 J1200:L1201">
    <cfRule type="expression" dxfId="6337" priority="9994">
      <formula>$H1200="CÉLULA CONSTRUTIVA"</formula>
    </cfRule>
    <cfRule type="expression" dxfId="6336" priority="9993">
      <formula>$H1200="SUBETAPA"</formula>
    </cfRule>
  </conditionalFormatting>
  <conditionalFormatting sqref="G1200:H1202 J1201:L1202 H1204 J1204:K1204 O1204 J1205 H1206 J1206:K1206 O1206">
    <cfRule type="expression" dxfId="6335" priority="9992">
      <formula>$H1200="ETAPA"</formula>
    </cfRule>
  </conditionalFormatting>
  <conditionalFormatting sqref="G1240:H1241">
    <cfRule type="expression" dxfId="6334" priority="9989">
      <formula>$H1240="CÉLULA CONSTRUTIVA"</formula>
    </cfRule>
    <cfRule type="expression" dxfId="6333" priority="9988">
      <formula>$H1240="SUBETAPA"</formula>
    </cfRule>
  </conditionalFormatting>
  <conditionalFormatting sqref="G1271:H1272">
    <cfRule type="expression" dxfId="6332" priority="9986">
      <formula>$H1271="SUBETAPA"</formula>
    </cfRule>
    <cfRule type="expression" dxfId="6331" priority="9987">
      <formula>$H1271="CÉLULA CONSTRUTIVA"</formula>
    </cfRule>
  </conditionalFormatting>
  <conditionalFormatting sqref="G1293:H1294 J1293:L1294 L1295:L1298">
    <cfRule type="expression" dxfId="6330" priority="9985">
      <formula>$H1293="CÉLULA CONSTRUTIVA"</formula>
    </cfRule>
  </conditionalFormatting>
  <conditionalFormatting sqref="G1315:H1316 J1315:L1316 L1317:L1320">
    <cfRule type="expression" dxfId="6329" priority="9983">
      <formula>$H1315="CÉLULA CONSTRUTIVA"</formula>
    </cfRule>
  </conditionalFormatting>
  <conditionalFormatting sqref="G1353:H1354 J1353:L1354 L1355:L1358">
    <cfRule type="expression" dxfId="6328" priority="9981">
      <formula>$H1353="CÉLULA CONSTRUTIVA"</formula>
    </cfRule>
  </conditionalFormatting>
  <conditionalFormatting sqref="G1374:H1375 J1374:L1375 L1376:L1379">
    <cfRule type="expression" dxfId="6327" priority="9979">
      <formula>$H1374="CÉLULA CONSTRUTIVA"</formula>
    </cfRule>
  </conditionalFormatting>
  <conditionalFormatting sqref="G1398:H1399 J1398:L1399 L1400:L1403">
    <cfRule type="expression" dxfId="6326" priority="9977">
      <formula>$H1398="CÉLULA CONSTRUTIVA"</formula>
    </cfRule>
  </conditionalFormatting>
  <conditionalFormatting sqref="G1416:H1417 J1416:L1417">
    <cfRule type="expression" dxfId="6325" priority="9975">
      <formula>$H1416="CÉLULA CONSTRUTIVA"</formula>
    </cfRule>
  </conditionalFormatting>
  <conditionalFormatting sqref="G1416:H1417">
    <cfRule type="expression" dxfId="6324" priority="9974">
      <formula>$H1416="SUBETAPA"</formula>
    </cfRule>
  </conditionalFormatting>
  <conditionalFormatting sqref="G1441:H1441 J1441:L1441">
    <cfRule type="expression" dxfId="6323" priority="9912">
      <formula>$H1441="SUBETAPA"</formula>
    </cfRule>
    <cfRule type="expression" dxfId="6322" priority="9911">
      <formula>$H1441="ETAPA"</formula>
    </cfRule>
  </conditionalFormatting>
  <conditionalFormatting sqref="G1525:H1526 J1525:K1526 H1528:H1531 G1536:H1537 J1536:K1537 H1539:H1542">
    <cfRule type="expression" dxfId="6321" priority="8622">
      <formula>$H1525="CÉLULA CONSTRUTIVA"</formula>
    </cfRule>
  </conditionalFormatting>
  <conditionalFormatting sqref="G1525:H1526 J1525:M1526 H1527:H1531 G1536:H1537 J1536:M1537 H1538:H1542 J1527:K1531 J1538:K1542">
    <cfRule type="expression" dxfId="6320" priority="8624">
      <formula>$H1525="ETAPA"</formula>
    </cfRule>
  </conditionalFormatting>
  <conditionalFormatting sqref="G1564:H1564 J1564:M1564">
    <cfRule type="expression" dxfId="6319" priority="9909">
      <formula>$H1564="SUBETAPA"</formula>
    </cfRule>
    <cfRule type="expression" dxfId="6318" priority="9910">
      <formula>$H1564="CÉLULA CONSTRUTIVA"</formula>
    </cfRule>
  </conditionalFormatting>
  <conditionalFormatting sqref="G1564:H1564">
    <cfRule type="expression" dxfId="6317" priority="9908">
      <formula>$H1564="ETAPA"</formula>
    </cfRule>
  </conditionalFormatting>
  <conditionalFormatting sqref="G1569:H1570 J1570:M1570">
    <cfRule type="expression" dxfId="6316" priority="9905">
      <formula>$H1569="CÉLULA CONSTRUTIVA"</formula>
    </cfRule>
  </conditionalFormatting>
  <conditionalFormatting sqref="G1569:H1570">
    <cfRule type="expression" dxfId="6315" priority="9903">
      <formula>$H1569="ETAPA"</formula>
    </cfRule>
  </conditionalFormatting>
  <conditionalFormatting sqref="G1570:H1570 J1570:M1570">
    <cfRule type="expression" dxfId="6314" priority="9904">
      <formula>$H1570="SUBETAPA"</formula>
    </cfRule>
  </conditionalFormatting>
  <conditionalFormatting sqref="G1575:H1576 J1576:M1576">
    <cfRule type="expression" dxfId="6313" priority="9900">
      <formula>$H1575="CÉLULA CONSTRUTIVA"</formula>
    </cfRule>
  </conditionalFormatting>
  <conditionalFormatting sqref="G1575:H1576">
    <cfRule type="expression" dxfId="6312" priority="9898">
      <formula>$H1575="ETAPA"</formula>
    </cfRule>
  </conditionalFormatting>
  <conditionalFormatting sqref="G1576:H1576 J1576:M1576">
    <cfRule type="expression" dxfId="6311" priority="9899">
      <formula>$H1576="SUBETAPA"</formula>
    </cfRule>
  </conditionalFormatting>
  <conditionalFormatting sqref="G1581:H1582">
    <cfRule type="expression" dxfId="6310" priority="9893">
      <formula>$H1581="ETAPA"</formula>
    </cfRule>
    <cfRule type="expression" dxfId="6309" priority="9895">
      <formula>$H1581="CÉLULA CONSTRUTIVA"</formula>
    </cfRule>
  </conditionalFormatting>
  <conditionalFormatting sqref="G1582:H1582">
    <cfRule type="expression" dxfId="6308" priority="9894">
      <formula>$H1582="SUBETAPA"</formula>
    </cfRule>
  </conditionalFormatting>
  <conditionalFormatting sqref="G1588:H1588 G1590:H1590 H1589 J1589:K1589 J1590:L1590 O1589">
    <cfRule type="expression" dxfId="6307" priority="9891">
      <formula>$H1588="SUBETAPA"</formula>
    </cfRule>
  </conditionalFormatting>
  <conditionalFormatting sqref="G1588:H1588 G1590:H1590">
    <cfRule type="expression" dxfId="6306" priority="9892">
      <formula>$H1588="ETAPA"</formula>
    </cfRule>
  </conditionalFormatting>
  <conditionalFormatting sqref="G1588:H1588">
    <cfRule type="expression" dxfId="6305" priority="9890">
      <formula>$H1588="CÉLULA CONSTRUTIVA"</formula>
    </cfRule>
  </conditionalFormatting>
  <conditionalFormatting sqref="G1590:H1591">
    <cfRule type="expression" dxfId="6304" priority="9888">
      <formula>$H1590="CÉLULA CONSTRUTIVA"</formula>
    </cfRule>
  </conditionalFormatting>
  <conditionalFormatting sqref="G1591:H1591">
    <cfRule type="expression" dxfId="6303" priority="9887">
      <formula>$H1591="SUBETAPA"</formula>
    </cfRule>
    <cfRule type="expression" dxfId="6302" priority="9886">
      <formula>$H1591="ETAPA"</formula>
    </cfRule>
  </conditionalFormatting>
  <conditionalFormatting sqref="G1597:H1597 G1599:H1599 H1598 J1598:K1598 J1599:L1599 O1598">
    <cfRule type="expression" dxfId="6301" priority="9884">
      <formula>$H1597="SUBETAPA"</formula>
    </cfRule>
  </conditionalFormatting>
  <conditionalFormatting sqref="G1597:H1597 G1599:H1599">
    <cfRule type="expression" dxfId="6300" priority="9885">
      <formula>$H1597="ETAPA"</formula>
    </cfRule>
  </conditionalFormatting>
  <conditionalFormatting sqref="G1597:H1597">
    <cfRule type="expression" dxfId="6299" priority="9883">
      <formula>$H1597="CÉLULA CONSTRUTIVA"</formula>
    </cfRule>
  </conditionalFormatting>
  <conditionalFormatting sqref="G1599:H1600">
    <cfRule type="expression" dxfId="6298" priority="9881">
      <formula>$H1599="CÉLULA CONSTRUTIVA"</formula>
    </cfRule>
  </conditionalFormatting>
  <conditionalFormatting sqref="G1600:H1600">
    <cfRule type="expression" dxfId="6297" priority="9879">
      <formula>$H1600="ETAPA"</formula>
    </cfRule>
    <cfRule type="expression" dxfId="6296" priority="9880">
      <formula>$H1600="SUBETAPA"</formula>
    </cfRule>
  </conditionalFormatting>
  <conditionalFormatting sqref="G1606:H1606 G1608:H1608">
    <cfRule type="expression" dxfId="6295" priority="9878">
      <formula>$H1606="ETAPA"</formula>
    </cfRule>
  </conditionalFormatting>
  <conditionalFormatting sqref="G1606:H1606 J1607:K1608 G1608:H1608 H1607 O1607">
    <cfRule type="expression" dxfId="6294" priority="9877">
      <formula>$H1606="SUBETAPA"</formula>
    </cfRule>
  </conditionalFormatting>
  <conditionalFormatting sqref="G1606:H1606">
    <cfRule type="expression" dxfId="6293" priority="9876">
      <formula>$H1606="CÉLULA CONSTRUTIVA"</formula>
    </cfRule>
  </conditionalFormatting>
  <conditionalFormatting sqref="G1608:H1609">
    <cfRule type="expression" dxfId="6292" priority="9874">
      <formula>$H1608="CÉLULA CONSTRUTIVA"</formula>
    </cfRule>
  </conditionalFormatting>
  <conditionalFormatting sqref="G1609:H1609">
    <cfRule type="expression" dxfId="6291" priority="9872">
      <formula>$H1609="ETAPA"</formula>
    </cfRule>
    <cfRule type="expression" dxfId="6290" priority="9873">
      <formula>$H1609="SUBETAPA"</formula>
    </cfRule>
  </conditionalFormatting>
  <conditionalFormatting sqref="G1615:H1615 G1617:H1617">
    <cfRule type="expression" dxfId="6289" priority="9871">
      <formula>$H1615="ETAPA"</formula>
    </cfRule>
  </conditionalFormatting>
  <conditionalFormatting sqref="G1615:H1615 J1616:K1617 G1617:H1617 H1616 O1616">
    <cfRule type="expression" dxfId="6288" priority="9870">
      <formula>$H1615="SUBETAPA"</formula>
    </cfRule>
  </conditionalFormatting>
  <conditionalFormatting sqref="G1615:H1615">
    <cfRule type="expression" dxfId="6287" priority="9869">
      <formula>$H1615="CÉLULA CONSTRUTIVA"</formula>
    </cfRule>
  </conditionalFormatting>
  <conditionalFormatting sqref="G1617:H1618">
    <cfRule type="expression" dxfId="6286" priority="9867">
      <formula>$H1617="CÉLULA CONSTRUTIVA"</formula>
    </cfRule>
  </conditionalFormatting>
  <conditionalFormatting sqref="G1618:H1618">
    <cfRule type="expression" dxfId="6285" priority="9866">
      <formula>$H1618="SUBETAPA"</formula>
    </cfRule>
    <cfRule type="expression" dxfId="6284" priority="9865">
      <formula>$H1618="ETAPA"</formula>
    </cfRule>
  </conditionalFormatting>
  <conditionalFormatting sqref="G1624:H1624 J1624:K1624">
    <cfRule type="expression" dxfId="6283" priority="9864">
      <formula>$H1624="CÉLULA CONSTRUTIVA"</formula>
    </cfRule>
  </conditionalFormatting>
  <conditionalFormatting sqref="G1624:H1624">
    <cfRule type="expression" dxfId="6282" priority="9863">
      <formula>$H1624="ETAPA"</formula>
    </cfRule>
  </conditionalFormatting>
  <conditionalFormatting sqref="G1634:H1634 J1634:L1634">
    <cfRule type="expression" dxfId="6281" priority="9860">
      <formula>$H1634="SUBETAPA"</formula>
    </cfRule>
    <cfRule type="expression" dxfId="6280" priority="9862">
      <formula>$H1634="ETAPA"</formula>
    </cfRule>
    <cfRule type="expression" dxfId="6279" priority="9861">
      <formula>$H1634="CÉLULA CONSTRUTIVA"</formula>
    </cfRule>
  </conditionalFormatting>
  <conditionalFormatting sqref="G1643:H1643 J1643:L1643">
    <cfRule type="expression" dxfId="6278" priority="9859">
      <formula>$H1643="ETAPA"</formula>
    </cfRule>
    <cfRule type="expression" dxfId="6277" priority="9858">
      <formula>$H1643="CÉLULA CONSTRUTIVA"</formula>
    </cfRule>
    <cfRule type="expression" dxfId="6276" priority="9857">
      <formula>$H1643="SUBETAPA"</formula>
    </cfRule>
  </conditionalFormatting>
  <conditionalFormatting sqref="G1652:H1652 J1652:L1652">
    <cfRule type="expression" dxfId="6275" priority="9855">
      <formula>$H1652="CÉLULA CONSTRUTIVA"</formula>
    </cfRule>
    <cfRule type="expression" dxfId="6274" priority="9854">
      <formula>$H1652="SUBETAPA"</formula>
    </cfRule>
    <cfRule type="expression" dxfId="6273" priority="9856">
      <formula>$H1652="ETAPA"</formula>
    </cfRule>
  </conditionalFormatting>
  <conditionalFormatting sqref="G1661:H1661 J1661:L1661">
    <cfRule type="expression" dxfId="6272" priority="9853">
      <formula>$H1661="ETAPA"</formula>
    </cfRule>
    <cfRule type="expression" dxfId="6271" priority="9852">
      <formula>$H1661="CÉLULA CONSTRUTIVA"</formula>
    </cfRule>
    <cfRule type="expression" dxfId="6270" priority="9851">
      <formula>$H1661="SUBETAPA"</formula>
    </cfRule>
  </conditionalFormatting>
  <conditionalFormatting sqref="G1670:H1670 J1670:L1670">
    <cfRule type="expression" dxfId="6269" priority="9849">
      <formula>$H1670="CÉLULA CONSTRUTIVA"</formula>
    </cfRule>
    <cfRule type="expression" dxfId="6268" priority="9848">
      <formula>$H1670="SUBETAPA"</formula>
    </cfRule>
    <cfRule type="expression" dxfId="6267" priority="9850">
      <formula>$H1670="ETAPA"</formula>
    </cfRule>
  </conditionalFormatting>
  <conditionalFormatting sqref="G1679:H1679 J1679:L1679">
    <cfRule type="expression" dxfId="6266" priority="9847">
      <formula>$H1679="ETAPA"</formula>
    </cfRule>
    <cfRule type="expression" dxfId="6265" priority="9846">
      <formula>$H1679="CÉLULA CONSTRUTIVA"</formula>
    </cfRule>
    <cfRule type="expression" dxfId="6264" priority="9845">
      <formula>$H1679="SUBETAPA"</formula>
    </cfRule>
  </conditionalFormatting>
  <conditionalFormatting sqref="G1690:H1690 J1690:L1690">
    <cfRule type="expression" dxfId="6263" priority="9844">
      <formula>$H1690="ETAPA"</formula>
    </cfRule>
    <cfRule type="expression" dxfId="6262" priority="9843">
      <formula>$H1690="CÉLULA CONSTRUTIVA"</formula>
    </cfRule>
    <cfRule type="expression" dxfId="6261" priority="9842">
      <formula>$H1690="SUBETAPA"</formula>
    </cfRule>
  </conditionalFormatting>
  <conditionalFormatting sqref="G1701:H1701 J1701:L1701">
    <cfRule type="expression" dxfId="6260" priority="9841">
      <formula>$H1701="ETAPA"</formula>
    </cfRule>
    <cfRule type="expression" dxfId="6259" priority="9840">
      <formula>$H1701="CÉLULA CONSTRUTIVA"</formula>
    </cfRule>
  </conditionalFormatting>
  <conditionalFormatting sqref="G1701:H1701">
    <cfRule type="expression" dxfId="6258" priority="9839">
      <formula>$H1701="SUBETAPA"</formula>
    </cfRule>
  </conditionalFormatting>
  <conditionalFormatting sqref="G1710:H1710 J1710:L1710">
    <cfRule type="expression" dxfId="6257" priority="9838">
      <formula>$H1710="ETAPA"</formula>
    </cfRule>
    <cfRule type="expression" dxfId="6256" priority="9837">
      <formula>$H1710="CÉLULA CONSTRUTIVA"</formula>
    </cfRule>
    <cfRule type="expression" dxfId="6255" priority="9836">
      <formula>$H1710="SUBETAPA"</formula>
    </cfRule>
  </conditionalFormatting>
  <conditionalFormatting sqref="G1719:H1719 J1719:L1719">
    <cfRule type="expression" dxfId="6254" priority="9833">
      <formula>$H1719="SUBETAPA"</formula>
    </cfRule>
    <cfRule type="expression" dxfId="6253" priority="9834">
      <formula>$H1719="CÉLULA CONSTRUTIVA"</formula>
    </cfRule>
    <cfRule type="expression" dxfId="6252" priority="9835">
      <formula>$H1719="ETAPA"</formula>
    </cfRule>
  </conditionalFormatting>
  <conditionalFormatting sqref="G1728:H1728 J1728:L1728">
    <cfRule type="expression" dxfId="6251" priority="9831">
      <formula>$H1728="CÉLULA CONSTRUTIVA"</formula>
    </cfRule>
    <cfRule type="expression" dxfId="6250" priority="9830">
      <formula>$H1728="SUBETAPA"</formula>
    </cfRule>
    <cfRule type="expression" dxfId="6249" priority="9832">
      <formula>$H1728="ETAPA"</formula>
    </cfRule>
  </conditionalFormatting>
  <conditionalFormatting sqref="G1737:H1737 J1737:L1737">
    <cfRule type="expression" dxfId="6248" priority="9827">
      <formula>$H1737="SUBETAPA"</formula>
    </cfRule>
    <cfRule type="expression" dxfId="6247" priority="9828">
      <formula>$H1737="CÉLULA CONSTRUTIVA"</formula>
    </cfRule>
    <cfRule type="expression" dxfId="6246" priority="9829">
      <formula>$H1737="ETAPA"</formula>
    </cfRule>
  </conditionalFormatting>
  <conditionalFormatting sqref="G1748:H1748 J1748:L1748">
    <cfRule type="expression" dxfId="6245" priority="9826">
      <formula>$H1748="ETAPA"</formula>
    </cfRule>
    <cfRule type="expression" dxfId="6244" priority="9825">
      <formula>$H1748="CÉLULA CONSTRUTIVA"</formula>
    </cfRule>
  </conditionalFormatting>
  <conditionalFormatting sqref="G1748:H1748">
    <cfRule type="expression" dxfId="6243" priority="9824">
      <formula>$H1748="SUBETAPA"</formula>
    </cfRule>
  </conditionalFormatting>
  <conditionalFormatting sqref="G1758:H1758 J1758:L1758">
    <cfRule type="expression" dxfId="6242" priority="9822">
      <formula>$H1758="CÉLULA CONSTRUTIVA"</formula>
    </cfRule>
    <cfRule type="expression" dxfId="6241" priority="9823">
      <formula>$H1758="ETAPA"</formula>
    </cfRule>
  </conditionalFormatting>
  <conditionalFormatting sqref="G1758:H1758">
    <cfRule type="expression" dxfId="6240"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39"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38"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7" priority="9784">
      <formula>$H1760="SUBETAPA"</formula>
    </cfRule>
  </conditionalFormatting>
  <conditionalFormatting sqref="G88:I88 G89:K89 G90:I90 G91:K92 G83:K83 G85:K87">
    <cfRule type="expression" dxfId="6236" priority="9629">
      <formula>$H83="SUBETAPA"</formula>
    </cfRule>
  </conditionalFormatting>
  <conditionalFormatting sqref="G88:I88 G89:K89 G90:I90 G91:K92 M95:N95 G80:G82 M94:O94">
    <cfRule type="expression" dxfId="6235" priority="9628">
      <formula>$H80="CÉLULA CONSTRUTIVA"</formula>
    </cfRule>
  </conditionalFormatting>
  <conditionalFormatting sqref="G157:I157">
    <cfRule type="expression" dxfId="6234" priority="9783">
      <formula>$H157="SUBETAPA"</formula>
    </cfRule>
  </conditionalFormatting>
  <conditionalFormatting sqref="G167:I167">
    <cfRule type="expression" dxfId="6233" priority="9781">
      <formula>$H167="SUBETAPA"</formula>
    </cfRule>
  </conditionalFormatting>
  <conditionalFormatting sqref="G303:I303 K303 N303:N304 G304:K304">
    <cfRule type="expression" dxfId="6232" priority="9779">
      <formula>$H303="ETAPA"</formula>
    </cfRule>
  </conditionalFormatting>
  <conditionalFormatting sqref="G317:I317 K317:L317 N317">
    <cfRule type="expression" dxfId="6231" priority="9777">
      <formula>$H317="ETAPA"</formula>
    </cfRule>
  </conditionalFormatting>
  <conditionalFormatting sqref="G321:I321 K321:L321 N321">
    <cfRule type="expression" dxfId="6230" priority="9774">
      <formula>$H321="ETAPA"</formula>
    </cfRule>
  </conditionalFormatting>
  <conditionalFormatting sqref="G325:I325 K325:L325 N325">
    <cfRule type="expression" dxfId="6229" priority="9771">
      <formula>$H325="ETAPA"</formula>
    </cfRule>
  </conditionalFormatting>
  <conditionalFormatting sqref="G331:I331 K331:L331 N331">
    <cfRule type="expression" dxfId="6228" priority="9768">
      <formula>$H331="ETAPA"</formula>
    </cfRule>
  </conditionalFormatting>
  <conditionalFormatting sqref="G335:I335 K335:L335 N335">
    <cfRule type="expression" dxfId="6227" priority="9765">
      <formula>$H335="ETAPA"</formula>
    </cfRule>
  </conditionalFormatting>
  <conditionalFormatting sqref="G339:I339 K339:L339 N339">
    <cfRule type="expression" dxfId="6226" priority="9762">
      <formula>$H339="ETAPA"</formula>
    </cfRule>
  </conditionalFormatting>
  <conditionalFormatting sqref="G343:I343 K343:L343 N343">
    <cfRule type="expression" dxfId="6225" priority="9759">
      <formula>$H343="ETAPA"</formula>
    </cfRule>
  </conditionalFormatting>
  <conditionalFormatting sqref="G20:J20">
    <cfRule type="expression" dxfId="6224" priority="8438">
      <formula>$H20="SUBETAPA"</formula>
    </cfRule>
  </conditionalFormatting>
  <conditionalFormatting sqref="G23:J23">
    <cfRule type="expression" dxfId="6223" priority="8425">
      <formula>$H23="SUBETAPA"</formula>
    </cfRule>
    <cfRule type="expression" dxfId="6222" priority="8424">
      <formula>$H23="ETAPA"</formula>
    </cfRule>
  </conditionalFormatting>
  <conditionalFormatting sqref="G65:J65 G571:G579 G582:G588 G591:G597 G600:G606 G609:G615 G618:G624 G627:G633 G636:G642 G645:G651 G654:G662 G665:G673 G676:G682 G685:G691 G694:G702">
    <cfRule type="expression" dxfId="6221" priority="9737">
      <formula>$H65="ETAPA"</formula>
    </cfRule>
    <cfRule type="expression" dxfId="6220" priority="9738">
      <formula>$H65="CÉLULA CONSTRUTIVA"</formula>
    </cfRule>
  </conditionalFormatting>
  <conditionalFormatting sqref="G145:J147">
    <cfRule type="expression" dxfId="6219" priority="9736">
      <formula>$H145="SUBETAPA"</formula>
    </cfRule>
    <cfRule type="expression" dxfId="6218" priority="9735">
      <formula>$H145="ETAPA"</formula>
    </cfRule>
  </conditionalFormatting>
  <conditionalFormatting sqref="G154:J156">
    <cfRule type="expression" dxfId="6217" priority="9733">
      <formula>$H154="SUBETAPA"</formula>
    </cfRule>
  </conditionalFormatting>
  <conditionalFormatting sqref="G157:J157">
    <cfRule type="expression" dxfId="6216" priority="7933">
      <formula>$H157="ETAPA"</formula>
    </cfRule>
  </conditionalFormatting>
  <conditionalFormatting sqref="G164:J166">
    <cfRule type="expression" dxfId="6215" priority="9730">
      <formula>$H164="SUBETAPA"</formula>
    </cfRule>
  </conditionalFormatting>
  <conditionalFormatting sqref="G167:J167">
    <cfRule type="expression" dxfId="6214" priority="7930">
      <formula>$H167="ETAPA"</formula>
    </cfRule>
  </conditionalFormatting>
  <conditionalFormatting sqref="G174:J176">
    <cfRule type="expression" dxfId="6213" priority="9727">
      <formula>$H174="SUBETAPA"</formula>
    </cfRule>
  </conditionalFormatting>
  <conditionalFormatting sqref="G179:J182 L177:M177">
    <cfRule type="expression" dxfId="6212" priority="9725">
      <formula>$H177="CÉLULA CONSTRUTIVA"</formula>
    </cfRule>
  </conditionalFormatting>
  <conditionalFormatting sqref="G179:J182">
    <cfRule type="expression" dxfId="6211" priority="9724">
      <formula>$H179="ETAPA"</formula>
    </cfRule>
    <cfRule type="expression" dxfId="6210" priority="6425">
      <formula>$H179="SUBETAPA"</formula>
    </cfRule>
  </conditionalFormatting>
  <conditionalFormatting sqref="G185:J185 N185">
    <cfRule type="expression" dxfId="6209" priority="9723">
      <formula>$H185="SUBETAPA"</formula>
    </cfRule>
  </conditionalFormatting>
  <conditionalFormatting sqref="G188:J191 L186:M186">
    <cfRule type="expression" dxfId="6208" priority="9721">
      <formula>$H186="CÉLULA CONSTRUTIVA"</formula>
    </cfRule>
  </conditionalFormatting>
  <conditionalFormatting sqref="G188:J191">
    <cfRule type="expression" dxfId="6207" priority="6403">
      <formula>$H188="SUBETAPA"</formula>
    </cfRule>
    <cfRule type="expression" dxfId="6206" priority="9720">
      <formula>$H188="ETAPA"</formula>
    </cfRule>
  </conditionalFormatting>
  <conditionalFormatting sqref="G194:J194 N194">
    <cfRule type="expression" dxfId="6205" priority="9719">
      <formula>$H194="SUBETAPA"</formula>
    </cfRule>
  </conditionalFormatting>
  <conditionalFormatting sqref="G197:J200 L195:M195">
    <cfRule type="expression" dxfId="6204" priority="9717">
      <formula>$H195="CÉLULA CONSTRUTIVA"</formula>
    </cfRule>
  </conditionalFormatting>
  <conditionalFormatting sqref="G197:J200">
    <cfRule type="expression" dxfId="6203" priority="9716">
      <formula>$H197="ETAPA"</formula>
    </cfRule>
    <cfRule type="expression" dxfId="6202" priority="6381">
      <formula>$H197="SUBETAPA"</formula>
    </cfRule>
  </conditionalFormatting>
  <conditionalFormatting sqref="G203:J203">
    <cfRule type="expression" dxfId="6201" priority="9715">
      <formula>$H203="SUBETAPA"</formula>
    </cfRule>
  </conditionalFormatting>
  <conditionalFormatting sqref="G206:J209 L204:M204">
    <cfRule type="expression" dxfId="6200" priority="9712">
      <formula>$H204="CÉLULA CONSTRUTIVA"</formula>
    </cfRule>
  </conditionalFormatting>
  <conditionalFormatting sqref="G206:J209">
    <cfRule type="expression" dxfId="6199" priority="9711">
      <formula>$H206="ETAPA"</formula>
    </cfRule>
  </conditionalFormatting>
  <conditionalFormatting sqref="G215:J218 L213:M213">
    <cfRule type="expression" dxfId="6198" priority="9708">
      <formula>$H213="CÉLULA CONSTRUTIVA"</formula>
    </cfRule>
  </conditionalFormatting>
  <conditionalFormatting sqref="G215:J218">
    <cfRule type="expression" dxfId="6197" priority="6338">
      <formula>$H215="SUBETAPA"</formula>
    </cfRule>
    <cfRule type="expression" dxfId="6196" priority="9707">
      <formula>$H215="ETAPA"</formula>
    </cfRule>
  </conditionalFormatting>
  <conditionalFormatting sqref="G221:J221">
    <cfRule type="expression" dxfId="6195" priority="9706">
      <formula>$H221="SUBETAPA"</formula>
    </cfRule>
  </conditionalFormatting>
  <conditionalFormatting sqref="G228:J230">
    <cfRule type="expression" dxfId="6194" priority="9703">
      <formula>$H228="SUBETAPA"</formula>
    </cfRule>
  </conditionalFormatting>
  <conditionalFormatting sqref="G237:J239">
    <cfRule type="expression" dxfId="6193" priority="9700">
      <formula>$H237="SUBETAPA"</formula>
    </cfRule>
  </conditionalFormatting>
  <conditionalFormatting sqref="G246:J248">
    <cfRule type="expression" dxfId="6192" priority="9697">
      <formula>$H246="SUBETAPA"</formula>
    </cfRule>
  </conditionalFormatting>
  <conditionalFormatting sqref="G255:J257">
    <cfRule type="expression" dxfId="6191" priority="9694">
      <formula>$H255="SUBETAPA"</formula>
    </cfRule>
  </conditionalFormatting>
  <conditionalFormatting sqref="G264:J266">
    <cfRule type="expression" dxfId="6190" priority="9691">
      <formula>$H264="SUBETAPA"</formula>
    </cfRule>
  </conditionalFormatting>
  <conditionalFormatting sqref="G349:J349 N349:N350 G350:I350">
    <cfRule type="expression" dxfId="6189" priority="9688">
      <formula>$H349="ETAPA"</formula>
    </cfRule>
  </conditionalFormatting>
  <conditionalFormatting sqref="G351:J351 N351:N352 G352:I352">
    <cfRule type="expression" dxfId="6188" priority="9685">
      <formula>$H351="ETAPA"</formula>
    </cfRule>
  </conditionalFormatting>
  <conditionalFormatting sqref="G353:J353 N353:N354 G354:I354">
    <cfRule type="expression" dxfId="6187" priority="9682">
      <formula>$H353="ETAPA"</formula>
    </cfRule>
  </conditionalFormatting>
  <conditionalFormatting sqref="G355:J355 N355:N356 G356:I356">
    <cfRule type="expression" dxfId="6186" priority="9679">
      <formula>$H355="ETAPA"</formula>
    </cfRule>
  </conditionalFormatting>
  <conditionalFormatting sqref="G357:J357 N357:N358 G358:I358">
    <cfRule type="expression" dxfId="6185" priority="9676">
      <formula>$H357="ETAPA"</formula>
    </cfRule>
  </conditionalFormatting>
  <conditionalFormatting sqref="G359:J359 N359:N360 G360:I360">
    <cfRule type="expression" dxfId="6184" priority="9673">
      <formula>$H359="ETAPA"</formula>
    </cfRule>
  </conditionalFormatting>
  <conditionalFormatting sqref="G359:J378">
    <cfRule type="expression" dxfId="6183" priority="7857">
      <formula>$H359="SUBETAPA"</formula>
    </cfRule>
  </conditionalFormatting>
  <conditionalFormatting sqref="G361:J361 N361:N362 G362:I362">
    <cfRule type="expression" dxfId="6182" priority="9670">
      <formula>$H361="ETAPA"</formula>
    </cfRule>
  </conditionalFormatting>
  <conditionalFormatting sqref="G363:J363 N363:N364 G364:I364">
    <cfRule type="expression" dxfId="6181" priority="9667">
      <formula>$H363="ETAPA"</formula>
    </cfRule>
  </conditionalFormatting>
  <conditionalFormatting sqref="G365:J365 N365:N366 G366:I366">
    <cfRule type="expression" dxfId="6180" priority="9664">
      <formula>$H365="ETAPA"</formula>
    </cfRule>
  </conditionalFormatting>
  <conditionalFormatting sqref="G367:J367 N367:N368 G368:I368">
    <cfRule type="expression" dxfId="6179" priority="9661">
      <formula>$H367="ETAPA"</formula>
    </cfRule>
  </conditionalFormatting>
  <conditionalFormatting sqref="G369:J369 N369:N370 G370:I370">
    <cfRule type="expression" dxfId="6178" priority="9658">
      <formula>$H369="ETAPA"</formula>
    </cfRule>
  </conditionalFormatting>
  <conditionalFormatting sqref="G371:J371 N371:N372 G372:I372">
    <cfRule type="expression" dxfId="6177" priority="9655">
      <formula>$H371="ETAPA"</formula>
    </cfRule>
  </conditionalFormatting>
  <conditionalFormatting sqref="G373:J373 N373:N374 G374:I374">
    <cfRule type="expression" dxfId="6176" priority="9652">
      <formula>$H373="ETAPA"</formula>
    </cfRule>
  </conditionalFormatting>
  <conditionalFormatting sqref="G375:J375 N375:N376 G376:I376">
    <cfRule type="expression" dxfId="6175" priority="9649">
      <formula>$H375="ETAPA"</formula>
    </cfRule>
  </conditionalFormatting>
  <conditionalFormatting sqref="G377:J377 N377:N378 G378:I378">
    <cfRule type="expression" dxfId="6174" priority="9646">
      <formula>$H377="ETAPA"</formula>
    </cfRule>
  </conditionalFormatting>
  <conditionalFormatting sqref="G568:J568">
    <cfRule type="expression" dxfId="6173" priority="9643">
      <formula>$H568="CÉLULA CONSTRUTIVA"</formula>
    </cfRule>
    <cfRule type="expression" dxfId="6172" priority="9642">
      <formula>$H568="ETAPA"</formula>
    </cfRule>
  </conditionalFormatting>
  <conditionalFormatting sqref="G31:K31 G32:I32 K32">
    <cfRule type="expression" dxfId="6171" priority="9639">
      <formula>$H31="CÉLULA CONSTRUTIVA"</formula>
    </cfRule>
  </conditionalFormatting>
  <conditionalFormatting sqref="G31:K31 H32:K32">
    <cfRule type="expression" dxfId="6170" priority="9640">
      <formula>$H31="ETAPA"</formula>
    </cfRule>
  </conditionalFormatting>
  <conditionalFormatting sqref="G34:K34">
    <cfRule type="expression" dxfId="6169" priority="9638">
      <formula>$H34="ETAPA"</formula>
    </cfRule>
  </conditionalFormatting>
  <conditionalFormatting sqref="G39:K39 G40:I40 K40">
    <cfRule type="expression" dxfId="6168" priority="9636">
      <formula>$H39="CÉLULA CONSTRUTIVA"</formula>
    </cfRule>
  </conditionalFormatting>
  <conditionalFormatting sqref="G39:K39 H40:I40 K40">
    <cfRule type="expression" dxfId="6167" priority="9637">
      <formula>$H39="ETAPA"</formula>
    </cfRule>
  </conditionalFormatting>
  <conditionalFormatting sqref="G44:K44">
    <cfRule type="expression" dxfId="6166" priority="9635">
      <formula>$H44="ETAPA"</formula>
    </cfRule>
  </conditionalFormatting>
  <conditionalFormatting sqref="G49:K49 G50:I50 K50">
    <cfRule type="expression" dxfId="6165" priority="9633">
      <formula>$H49="CÉLULA CONSTRUTIVA"</formula>
    </cfRule>
  </conditionalFormatting>
  <conditionalFormatting sqref="G49:K49 H50:K50">
    <cfRule type="expression" dxfId="6164" priority="9634">
      <formula>$H49="ETAPA"</formula>
    </cfRule>
  </conditionalFormatting>
  <conditionalFormatting sqref="G52:K52">
    <cfRule type="expression" dxfId="6163" priority="9632">
      <formula>$H52="CÉLULA CONSTRUTIVA"</formula>
    </cfRule>
  </conditionalFormatting>
  <conditionalFormatting sqref="G56:K56">
    <cfRule type="expression" dxfId="6162" priority="9631">
      <formula>$H56="CÉLULA CONSTRUTIVA"</formula>
    </cfRule>
  </conditionalFormatting>
  <conditionalFormatting sqref="G83:K87 N80:N93">
    <cfRule type="expression" dxfId="6161" priority="9627">
      <formula>$H80="CÉLULA CONSTRUTIVA"</formula>
    </cfRule>
  </conditionalFormatting>
  <conditionalFormatting sqref="G84:K84">
    <cfRule type="expression" dxfId="6160" priority="9626">
      <formula>$H84="SUBETAPA"</formula>
    </cfRule>
  </conditionalFormatting>
  <conditionalFormatting sqref="G97:K98">
    <cfRule type="expression" dxfId="6159" priority="9625">
      <formula>$H97="SUBETAPA"</formula>
    </cfRule>
  </conditionalFormatting>
  <conditionalFormatting sqref="G104:K104">
    <cfRule type="expression" dxfId="6158" priority="9624">
      <formula>$H104="SUBETAPA"</formula>
    </cfRule>
  </conditionalFormatting>
  <conditionalFormatting sqref="G106:K106">
    <cfRule type="expression" dxfId="6157" priority="9623">
      <formula>$H106="SUBETAPA"</formula>
    </cfRule>
  </conditionalFormatting>
  <conditionalFormatting sqref="G108:K108">
    <cfRule type="expression" dxfId="6156" priority="9622">
      <formula>$H108="SUBETAPA"</formula>
    </cfRule>
  </conditionalFormatting>
  <conditionalFormatting sqref="G110:K110">
    <cfRule type="expression" dxfId="6155" priority="9621">
      <formula>$H110="SUBETAPA"</formula>
    </cfRule>
  </conditionalFormatting>
  <conditionalFormatting sqref="G112:K112">
    <cfRule type="expression" dxfId="6154" priority="9620">
      <formula>$H112="SUBETAPA"</formula>
    </cfRule>
  </conditionalFormatting>
  <conditionalFormatting sqref="G114:K116">
    <cfRule type="expression" dxfId="6153" priority="9618">
      <formula>$H114="SUBETAPA"</formula>
    </cfRule>
  </conditionalFormatting>
  <conditionalFormatting sqref="G118:K118">
    <cfRule type="expression" dxfId="6152" priority="9617">
      <formula>$H118="SUBETAPA"</formula>
    </cfRule>
  </conditionalFormatting>
  <conditionalFormatting sqref="G120:K120">
    <cfRule type="expression" dxfId="6151" priority="9616">
      <formula>$H120="SUBETAPA"</formula>
    </cfRule>
  </conditionalFormatting>
  <conditionalFormatting sqref="G122:K122">
    <cfRule type="expression" dxfId="6150" priority="9615">
      <formula>$H122="SUBETAPA"</formula>
    </cfRule>
  </conditionalFormatting>
  <conditionalFormatting sqref="G125:K125">
    <cfRule type="expression" dxfId="6149" priority="9614">
      <formula>$H125="SUBETAPA"</formula>
    </cfRule>
  </conditionalFormatting>
  <conditionalFormatting sqref="G128:K128">
    <cfRule type="expression" dxfId="6148" priority="9613">
      <formula>$H128="SUBETAPA"</formula>
    </cfRule>
  </conditionalFormatting>
  <conditionalFormatting sqref="G131:K131">
    <cfRule type="expression" dxfId="6147" priority="9612">
      <formula>$H131="SUBETAPA"</formula>
    </cfRule>
  </conditionalFormatting>
  <conditionalFormatting sqref="G133:K133">
    <cfRule type="expression" dxfId="6146" priority="9611">
      <formula>$H133="SUBETAPA"</formula>
    </cfRule>
  </conditionalFormatting>
  <conditionalFormatting sqref="G136:K136">
    <cfRule type="expression" dxfId="6145" priority="9610">
      <formula>$H136="SUBETAPA"</formula>
    </cfRule>
  </conditionalFormatting>
  <conditionalFormatting sqref="G148:K149 G150:J153 K150:K156 L148:M148 N148:N153">
    <cfRule type="expression" dxfId="6144" priority="9734">
      <formula>$H148="CÉLULA CONSTRUTIVA"</formula>
    </cfRule>
  </conditionalFormatting>
  <conditionalFormatting sqref="G148:K149 G150:J153 K150:K156">
    <cfRule type="expression" dxfId="6143" priority="6497">
      <formula>$H148="SUBETAPA"</formula>
    </cfRule>
  </conditionalFormatting>
  <conditionalFormatting sqref="G149:K156">
    <cfRule type="expression" dxfId="6142" priority="9609">
      <formula>$H149="ETAPA"</formula>
    </cfRule>
  </conditionalFormatting>
  <conditionalFormatting sqref="G158:K159 G160:J163 K160:K166 L158:M158 N158:N163">
    <cfRule type="expression" dxfId="6141" priority="9731">
      <formula>$H158="CÉLULA CONSTRUTIVA"</formula>
    </cfRule>
  </conditionalFormatting>
  <conditionalFormatting sqref="G158:K159 G160:J163 K160:K166">
    <cfRule type="expression" dxfId="6140" priority="6472">
      <formula>$H158="SUBETAPA"</formula>
    </cfRule>
  </conditionalFormatting>
  <conditionalFormatting sqref="G159:K166">
    <cfRule type="expression" dxfId="6139" priority="9608">
      <formula>$H159="ETAPA"</formula>
    </cfRule>
  </conditionalFormatting>
  <conditionalFormatting sqref="G168:K169 G170:J173 K170:K176 L168:M168 N168:N173">
    <cfRule type="expression" dxfId="6138" priority="9728">
      <formula>$H168="CÉLULA CONSTRUTIVA"</formula>
    </cfRule>
  </conditionalFormatting>
  <conditionalFormatting sqref="G169:K176">
    <cfRule type="expression" dxfId="6137" priority="9607">
      <formula>$H169="ETAPA"</formula>
    </cfRule>
  </conditionalFormatting>
  <conditionalFormatting sqref="G178:K178 N178">
    <cfRule type="expression" dxfId="6136" priority="9606">
      <formula>$H178="SUBETAPA"</formula>
    </cfRule>
  </conditionalFormatting>
  <conditionalFormatting sqref="G178:K178">
    <cfRule type="expression" dxfId="6135" priority="9605">
      <formula>$H178="CÉLULA CONSTRUTIVA"</formula>
    </cfRule>
  </conditionalFormatting>
  <conditionalFormatting sqref="G185:K185">
    <cfRule type="expression" dxfId="6134" priority="6818">
      <formula>$H185="ETAPA"</formula>
    </cfRule>
  </conditionalFormatting>
  <conditionalFormatting sqref="G187:K187 N187">
    <cfRule type="expression" dxfId="6133" priority="9603">
      <formula>$H187="SUBETAPA"</formula>
    </cfRule>
  </conditionalFormatting>
  <conditionalFormatting sqref="G187:K187">
    <cfRule type="expression" dxfId="6132" priority="9602">
      <formula>$H187="CÉLULA CONSTRUTIVA"</formula>
    </cfRule>
  </conditionalFormatting>
  <conditionalFormatting sqref="G194:K194">
    <cfRule type="expression" dxfId="6131" priority="6815">
      <formula>$H194="ETAPA"</formula>
    </cfRule>
  </conditionalFormatting>
  <conditionalFormatting sqref="G196:K196 N196">
    <cfRule type="expression" dxfId="6130" priority="9600">
      <formula>$H196="SUBETAPA"</formula>
    </cfRule>
  </conditionalFormatting>
  <conditionalFormatting sqref="G196:K196">
    <cfRule type="expression" dxfId="6129" priority="9599">
      <formula>$H196="CÉLULA CONSTRUTIVA"</formula>
    </cfRule>
  </conditionalFormatting>
  <conditionalFormatting sqref="G203:K203">
    <cfRule type="expression" dxfId="6128" priority="6812">
      <formula>$H203="ETAPA"</formula>
    </cfRule>
  </conditionalFormatting>
  <conditionalFormatting sqref="G204:K205 M206:O211 G210:J211">
    <cfRule type="expression" dxfId="6127" priority="6808">
      <formula>$H204="CÉLULA CONSTRUTIVA"</formula>
    </cfRule>
  </conditionalFormatting>
  <conditionalFormatting sqref="G205:K205">
    <cfRule type="expression" dxfId="6126" priority="9597">
      <formula>$H205="SUBETAPA"</formula>
    </cfRule>
  </conditionalFormatting>
  <conditionalFormatting sqref="G212:K212">
    <cfRule type="expression" dxfId="6125" priority="6807">
      <formula>$H212="ETAPA"</formula>
    </cfRule>
  </conditionalFormatting>
  <conditionalFormatting sqref="G214:K214 N214">
    <cfRule type="expression" dxfId="6124" priority="9594">
      <formula>$H214="SUBETAPA"</formula>
    </cfRule>
  </conditionalFormatting>
  <conditionalFormatting sqref="G214:K214">
    <cfRule type="expression" dxfId="6123" priority="9593">
      <formula>$H214="CÉLULA CONSTRUTIVA"</formula>
    </cfRule>
  </conditionalFormatting>
  <conditionalFormatting sqref="G221:K221">
    <cfRule type="expression" dxfId="6122" priority="6804">
      <formula>$H221="ETAPA"</formula>
    </cfRule>
  </conditionalFormatting>
  <conditionalFormatting sqref="G222:K223 G224:J227 K224:K230 L222:M222 N222:N227">
    <cfRule type="expression" dxfId="6121" priority="9704">
      <formula>$H222="CÉLULA CONSTRUTIVA"</formula>
    </cfRule>
  </conditionalFormatting>
  <conditionalFormatting sqref="G222:K223 G224:J227 K224:K230">
    <cfRule type="expression" dxfId="6120" priority="6316">
      <formula>$H222="SUBETAPA"</formula>
    </cfRule>
  </conditionalFormatting>
  <conditionalFormatting sqref="G223:K230">
    <cfRule type="expression" dxfId="6119" priority="9591">
      <formula>$H223="ETAPA"</formula>
    </cfRule>
  </conditionalFormatting>
  <conditionalFormatting sqref="G231:K232 G233:J236 K233:K239 L231:M231 N231:N236">
    <cfRule type="expression" dxfId="6118" priority="9701">
      <formula>$H231="CÉLULA CONSTRUTIVA"</formula>
    </cfRule>
  </conditionalFormatting>
  <conditionalFormatting sqref="G231:K232 G233:J236 K233:K239">
    <cfRule type="expression" dxfId="6117" priority="6294">
      <formula>$H231="SUBETAPA"</formula>
    </cfRule>
  </conditionalFormatting>
  <conditionalFormatting sqref="G232:K239">
    <cfRule type="expression" dxfId="6116" priority="9590">
      <formula>$H232="ETAPA"</formula>
    </cfRule>
  </conditionalFormatting>
  <conditionalFormatting sqref="G240:K241 G242:J245 K242:K248 L240:M240 N240:N245">
    <cfRule type="expression" dxfId="6115" priority="9698">
      <formula>$H240="CÉLULA CONSTRUTIVA"</formula>
    </cfRule>
  </conditionalFormatting>
  <conditionalFormatting sqref="G240:K241 G242:J245 K242:K248">
    <cfRule type="expression" dxfId="6114" priority="6290">
      <formula>$H240="SUBETAPA"</formula>
    </cfRule>
  </conditionalFormatting>
  <conditionalFormatting sqref="G241:K248">
    <cfRule type="expression" dxfId="6113" priority="9589">
      <formula>$H241="ETAPA"</formula>
    </cfRule>
  </conditionalFormatting>
  <conditionalFormatting sqref="G249:K250 G251:J254 K251:K257 L249:M249 N249:N254">
    <cfRule type="expression" dxfId="6112" priority="9695">
      <formula>$H249="CÉLULA CONSTRUTIVA"</formula>
    </cfRule>
  </conditionalFormatting>
  <conditionalFormatting sqref="G249:K250 G251:J254 K251:K257">
    <cfRule type="expression" dxfId="6111" priority="6286">
      <formula>$H249="SUBETAPA"</formula>
    </cfRule>
  </conditionalFormatting>
  <conditionalFormatting sqref="G250:K257">
    <cfRule type="expression" dxfId="6110" priority="9588">
      <formula>$H250="ETAPA"</formula>
    </cfRule>
  </conditionalFormatting>
  <conditionalFormatting sqref="G258:K259 G260:J263 K260:K266 L258:M258 N258:N263">
    <cfRule type="expression" dxfId="6109" priority="9692">
      <formula>$H258="CÉLULA CONSTRUTIVA"</formula>
    </cfRule>
  </conditionalFormatting>
  <conditionalFormatting sqref="G258:K259 G260:J263 K260:K266">
    <cfRule type="expression" dxfId="6108" priority="6264">
      <formula>$H258="SUBETAPA"</formula>
    </cfRule>
  </conditionalFormatting>
  <conditionalFormatting sqref="G259:K266">
    <cfRule type="expression" dxfId="6107" priority="9587">
      <formula>$H259="ETAPA"</formula>
    </cfRule>
  </conditionalFormatting>
  <conditionalFormatting sqref="G267:K268 G269:J272 L267:M267 N267:N272">
    <cfRule type="expression" dxfId="6106" priority="9689">
      <formula>$H267="CÉLULA CONSTRUTIVA"</formula>
    </cfRule>
  </conditionalFormatting>
  <conditionalFormatting sqref="G268:K268 G269:J272">
    <cfRule type="expression" dxfId="6105" priority="9586">
      <formula>$H268="ETAPA"</formula>
    </cfRule>
  </conditionalFormatting>
  <conditionalFormatting sqref="G274:K275 L274:M274">
    <cfRule type="expression" dxfId="6104" priority="9585">
      <formula>$H274="CÉLULA CONSTRUTIVA"</formula>
    </cfRule>
  </conditionalFormatting>
  <conditionalFormatting sqref="G274:K275">
    <cfRule type="expression" dxfId="6103" priority="6226">
      <formula>$H274="SUBETAPA"</formula>
    </cfRule>
  </conditionalFormatting>
  <conditionalFormatting sqref="G275:K275">
    <cfRule type="expression" dxfId="6102" priority="9584">
      <formula>$H275="ETAPA"</formula>
    </cfRule>
  </conditionalFormatting>
  <conditionalFormatting sqref="G280:K280 N280">
    <cfRule type="expression" dxfId="6101" priority="9582">
      <formula>$H280="SUBETAPA"</formula>
    </cfRule>
    <cfRule type="expression" dxfId="6100" priority="9583">
      <formula>$H280="ETAPA"</formula>
    </cfRule>
  </conditionalFormatting>
  <conditionalFormatting sqref="G283:K284 N283:N284">
    <cfRule type="expression" dxfId="6099" priority="9581">
      <formula>$H283="ETAPA"</formula>
    </cfRule>
  </conditionalFormatting>
  <conditionalFormatting sqref="G283:K302">
    <cfRule type="expression" dxfId="6098" priority="9553">
      <formula>$H283="SUBETAPA"</formula>
    </cfRule>
  </conditionalFormatting>
  <conditionalFormatting sqref="G283:K303">
    <cfRule type="expression" dxfId="6097" priority="7925">
      <formula>$H283="CÉLULA CONSTRUTIVA"</formula>
    </cfRule>
  </conditionalFormatting>
  <conditionalFormatting sqref="G285:K286 N285:N286">
    <cfRule type="expression" dxfId="6096" priority="9578">
      <formula>$H285="ETAPA"</formula>
    </cfRule>
  </conditionalFormatting>
  <conditionalFormatting sqref="G287:K288 N287:N288">
    <cfRule type="expression" dxfId="6095" priority="9575">
      <formula>$H287="ETAPA"</formula>
    </cfRule>
  </conditionalFormatting>
  <conditionalFormatting sqref="G289:K290 N289:N290">
    <cfRule type="expression" dxfId="6094" priority="9572">
      <formula>$H289="ETAPA"</formula>
    </cfRule>
  </conditionalFormatting>
  <conditionalFormatting sqref="G291:K292 N291:N292">
    <cfRule type="expression" dxfId="6093" priority="9569">
      <formula>$H291="ETAPA"</formula>
    </cfRule>
  </conditionalFormatting>
  <conditionalFormatting sqref="G293:K294 N293:N294">
    <cfRule type="expression" dxfId="6092" priority="9566">
      <formula>$H293="ETAPA"</formula>
    </cfRule>
  </conditionalFormatting>
  <conditionalFormatting sqref="G295:K296 N295:N296">
    <cfRule type="expression" dxfId="6091" priority="9563">
      <formula>$H295="ETAPA"</formula>
    </cfRule>
  </conditionalFormatting>
  <conditionalFormatting sqref="G297:K298 N297:N298">
    <cfRule type="expression" dxfId="6090" priority="9560">
      <formula>$H297="ETAPA"</formula>
    </cfRule>
  </conditionalFormatting>
  <conditionalFormatting sqref="G299:K300 N299:N300">
    <cfRule type="expression" dxfId="6089" priority="9557">
      <formula>$H299="ETAPA"</formula>
    </cfRule>
  </conditionalFormatting>
  <conditionalFormatting sqref="G301:K302 N301:N302">
    <cfRule type="expression" dxfId="6088" priority="9554">
      <formula>$H301="ETAPA"</formula>
    </cfRule>
  </conditionalFormatting>
  <conditionalFormatting sqref="G304:K306 N283:N306">
    <cfRule type="expression" dxfId="6087" priority="9549">
      <formula>$H283="SUBETAPA"</formula>
    </cfRule>
  </conditionalFormatting>
  <conditionalFormatting sqref="G304:K307 G308:I308 K308">
    <cfRule type="expression" dxfId="6086" priority="9546">
      <formula>$H304="CÉLULA CONSTRUTIVA"</formula>
    </cfRule>
  </conditionalFormatting>
  <conditionalFormatting sqref="G305:K306 N305:N306">
    <cfRule type="expression" dxfId="6085" priority="9550">
      <formula>$H305="ETAPA"</formula>
    </cfRule>
  </conditionalFormatting>
  <conditionalFormatting sqref="G307:K307 G308:I308 K308">
    <cfRule type="expression" dxfId="6084" priority="9547">
      <formula>$H307="ETAPA"</formula>
    </cfRule>
  </conditionalFormatting>
  <conditionalFormatting sqref="G308:K308">
    <cfRule type="expression" dxfId="6083" priority="7923">
      <formula>$H308="SUBETAPA"</formula>
    </cfRule>
  </conditionalFormatting>
  <conditionalFormatting sqref="G309:K312 N309:N312">
    <cfRule type="expression" dxfId="6082" priority="9541">
      <formula>$H309="SUBETAPA"</formula>
    </cfRule>
  </conditionalFormatting>
  <conditionalFormatting sqref="G311:K312 N311:N312">
    <cfRule type="expression" dxfId="6081" priority="9542">
      <formula>$H311="ETAPA"</formula>
    </cfRule>
  </conditionalFormatting>
  <conditionalFormatting sqref="G347:K347">
    <cfRule type="expression" dxfId="6080" priority="9538">
      <formula>$H347="CÉLULA CONSTRUTIVA"</formula>
    </cfRule>
    <cfRule type="expression" dxfId="6079" priority="9539">
      <formula>$H347="ETAPA"</formula>
    </cfRule>
  </conditionalFormatting>
  <conditionalFormatting sqref="G569:K569 G570:J570 H571:K571 H576:K576 H577:J577">
    <cfRule type="expression" dxfId="6078" priority="9533">
      <formula>$H569="CÉLULA CONSTRUTIVA"</formula>
    </cfRule>
    <cfRule type="expression" dxfId="6077" priority="9532">
      <formula>$H569="ETAPA"</formula>
    </cfRule>
  </conditionalFormatting>
  <conditionalFormatting sqref="G580:K580 G581:J581 H582:K582">
    <cfRule type="expression" dxfId="6076" priority="9531">
      <formula>$H580="CÉLULA CONSTRUTIVA"</formula>
    </cfRule>
    <cfRule type="expression" dxfId="6075" priority="9530">
      <formula>$H580="ETAPA"</formula>
    </cfRule>
  </conditionalFormatting>
  <conditionalFormatting sqref="G589:K589 G590:J590 H591:K591">
    <cfRule type="expression" dxfId="6074" priority="9529">
      <formula>$H589="ETAPA"</formula>
    </cfRule>
  </conditionalFormatting>
  <conditionalFormatting sqref="G598:K598 G599:J599 H600:K600">
    <cfRule type="expression" dxfId="6073" priority="9527">
      <formula>$H598="ETAPA"</formula>
    </cfRule>
  </conditionalFormatting>
  <conditionalFormatting sqref="G607:K607 G608:J608 H609:K609">
    <cfRule type="expression" dxfId="6072" priority="9525">
      <formula>$H607="ETAPA"</formula>
    </cfRule>
  </conditionalFormatting>
  <conditionalFormatting sqref="G616:K616 G617:J617 H618:K618">
    <cfRule type="expression" dxfId="6071" priority="9523">
      <formula>$H616="ETAPA"</formula>
    </cfRule>
  </conditionalFormatting>
  <conditionalFormatting sqref="G625:K625 G626:J626 H627:K627">
    <cfRule type="expression" dxfId="6070" priority="9521">
      <formula>$H625="ETAPA"</formula>
    </cfRule>
  </conditionalFormatting>
  <conditionalFormatting sqref="G634:K634 G635:J635 H636:K636">
    <cfRule type="expression" dxfId="6069" priority="9519">
      <formula>$H634="ETAPA"</formula>
    </cfRule>
  </conditionalFormatting>
  <conditionalFormatting sqref="G643:K643 G644:J644 H645:K645">
    <cfRule type="expression" dxfId="6068" priority="9517">
      <formula>$H643="ETAPA"</formula>
    </cfRule>
  </conditionalFormatting>
  <conditionalFormatting sqref="G652:K652 G653:J653 H654:K654 H659:K659 H660:J660">
    <cfRule type="expression" dxfId="6067" priority="9515">
      <formula>$H652="ETAPA"</formula>
    </cfRule>
  </conditionalFormatting>
  <conditionalFormatting sqref="G663:K663 G664:J664 H665:K665 H670:K670 H671:J671">
    <cfRule type="expression" dxfId="6066" priority="9513">
      <formula>$H663="ETAPA"</formula>
    </cfRule>
  </conditionalFormatting>
  <conditionalFormatting sqref="G674:K674 G675:J675 H676:K676">
    <cfRule type="expression" dxfId="6065" priority="9511">
      <formula>$H674="ETAPA"</formula>
    </cfRule>
  </conditionalFormatting>
  <conditionalFormatting sqref="G683:K683 G684:J684 H685:K685">
    <cfRule type="expression" dxfId="6064" priority="9509">
      <formula>$H683="ETAPA"</formula>
    </cfRule>
  </conditionalFormatting>
  <conditionalFormatting sqref="G692:K692 G693:J693 H694:K694 H699:K699 H700:J700">
    <cfRule type="expression" dxfId="6063"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2" priority="9505">
      <formula>$H379="CÉLULA CONSTRUTIVA"</formula>
    </cfRule>
  </conditionalFormatting>
  <conditionalFormatting sqref="G999:K1001">
    <cfRule type="expression" dxfId="6061" priority="9504">
      <formula>$H999="ETAPA"</formula>
    </cfRule>
  </conditionalFormatting>
  <conditionalFormatting sqref="G1633:K1633">
    <cfRule type="expression" dxfId="6060" priority="6724">
      <formula>$H1633="CÉLULA CONSTRUTIVA"</formula>
    </cfRule>
  </conditionalFormatting>
  <conditionalFormatting sqref="G1689:K1689">
    <cfRule type="expression" dxfId="6059" priority="6721">
      <formula>$H1689="CÉLULA CONSTRUTIVA"</formula>
    </cfRule>
  </conditionalFormatting>
  <conditionalFormatting sqref="G1700:K1700">
    <cfRule type="expression" dxfId="6058" priority="6718">
      <formula>$H1700="CÉLULA CONSTRUTIVA"</formula>
    </cfRule>
  </conditionalFormatting>
  <conditionalFormatting sqref="G1882:K1882">
    <cfRule type="expression" dxfId="6057" priority="9355">
      <formula>$H1882="ETAPA"</formula>
    </cfRule>
  </conditionalFormatting>
  <conditionalFormatting sqref="G20:L20">
    <cfRule type="expression" dxfId="6056" priority="8437">
      <formula>$H20="ETAPA"</formula>
    </cfRule>
  </conditionalFormatting>
  <conditionalFormatting sqref="G21:L22 N21:N22">
    <cfRule type="expression" dxfId="6055" priority="9503">
      <formula>$H21="CÉLULA CONSTRUTIVA"</formula>
    </cfRule>
  </conditionalFormatting>
  <conditionalFormatting sqref="G21:L22">
    <cfRule type="expression" dxfId="6054" priority="9502">
      <formula>$H21="ETAPA"</formula>
    </cfRule>
  </conditionalFormatting>
  <conditionalFormatting sqref="G24:L24">
    <cfRule type="expression" dxfId="6053" priority="9500">
      <formula>$H24="CÉLULA CONSTRUTIVA"</formula>
    </cfRule>
  </conditionalFormatting>
  <conditionalFormatting sqref="G24:L25 N25">
    <cfRule type="expression" dxfId="6052" priority="9498">
      <formula>$H24="ETAPA"</formula>
    </cfRule>
  </conditionalFormatting>
  <conditionalFormatting sqref="G26:L27 N26:N27">
    <cfRule type="expression" dxfId="6051" priority="3491">
      <formula>$H26="CÉLULA CONSTRUTIVA"</formula>
    </cfRule>
  </conditionalFormatting>
  <conditionalFormatting sqref="G33:L33 N33 K35:K36 O36 K38 O38">
    <cfRule type="expression" dxfId="6050" priority="9496">
      <formula>$H33="ETAPA"</formula>
    </cfRule>
  </conditionalFormatting>
  <conditionalFormatting sqref="G34:L34">
    <cfRule type="expression" dxfId="6049" priority="9495">
      <formula>$H34="SUBETAPA"</formula>
    </cfRule>
  </conditionalFormatting>
  <conditionalFormatting sqref="G39:L39">
    <cfRule type="expression" dxfId="6048" priority="9494">
      <formula>$H39="SUBETAPA"</formula>
    </cfRule>
  </conditionalFormatting>
  <conditionalFormatting sqref="G41:L41 N41">
    <cfRule type="expression" dxfId="6047" priority="9493">
      <formula>$H41="ETAPA"</formula>
    </cfRule>
  </conditionalFormatting>
  <conditionalFormatting sqref="G42:L43 N42:N43">
    <cfRule type="expression" dxfId="6046" priority="3471">
      <formula>$H42="CÉLULA CONSTRUTIVA"</formula>
    </cfRule>
  </conditionalFormatting>
  <conditionalFormatting sqref="G44:L44 M44:M45">
    <cfRule type="expression" dxfId="6045" priority="9492">
      <formula>$H44="SUBETAPA"</formula>
    </cfRule>
  </conditionalFormatting>
  <conditionalFormatting sqref="G52:L52">
    <cfRule type="expression" dxfId="6044" priority="9491">
      <formula>$H52="SUBETAPA"</formula>
    </cfRule>
    <cfRule type="expression" dxfId="6043" priority="9490">
      <formula>$H52="ETAPA"</formula>
    </cfRule>
  </conditionalFormatting>
  <conditionalFormatting sqref="G56:L56">
    <cfRule type="expression" dxfId="6042" priority="9488">
      <formula>$H56="ETAPA"</formula>
    </cfRule>
    <cfRule type="expression" dxfId="6041" priority="9489">
      <formula>$H56="SUBETAPA"</formula>
    </cfRule>
  </conditionalFormatting>
  <conditionalFormatting sqref="G58:L58 N58">
    <cfRule type="expression" dxfId="6040" priority="9487">
      <formula>$H58="CÉLULA CONSTRUTIVA"</formula>
    </cfRule>
  </conditionalFormatting>
  <conditionalFormatting sqref="G58:L58">
    <cfRule type="expression" dxfId="6039" priority="9486">
      <formula>$H58="ETAPA"</formula>
    </cfRule>
  </conditionalFormatting>
  <conditionalFormatting sqref="G104:L104">
    <cfRule type="expression" dxfId="6038" priority="9485">
      <formula>$H104="CÉLULA CONSTRUTIVA"</formula>
    </cfRule>
  </conditionalFormatting>
  <conditionalFormatting sqref="G106:L106">
    <cfRule type="expression" dxfId="6037" priority="9484">
      <formula>$H106="CÉLULA CONSTRUTIVA"</formula>
    </cfRule>
  </conditionalFormatting>
  <conditionalFormatting sqref="G108:L108">
    <cfRule type="expression" dxfId="6036" priority="9483">
      <formula>$H108="CÉLULA CONSTRUTIVA"</formula>
    </cfRule>
  </conditionalFormatting>
  <conditionalFormatting sqref="G110:L110">
    <cfRule type="expression" dxfId="6035" priority="9482">
      <formula>$H110="CÉLULA CONSTRUTIVA"</formula>
    </cfRule>
  </conditionalFormatting>
  <conditionalFormatting sqref="G112:L112">
    <cfRule type="expression" dxfId="6034" priority="9481">
      <formula>$H112="CÉLULA CONSTRUTIVA"</formula>
    </cfRule>
  </conditionalFormatting>
  <conditionalFormatting sqref="G114:L114">
    <cfRule type="expression" dxfId="6033" priority="9480">
      <formula>$H114="CÉLULA CONSTRUTIVA"</formula>
    </cfRule>
  </conditionalFormatting>
  <conditionalFormatting sqref="G116:L116">
    <cfRule type="expression" dxfId="6032" priority="9479">
      <formula>$H116="CÉLULA CONSTRUTIVA"</formula>
    </cfRule>
  </conditionalFormatting>
  <conditionalFormatting sqref="G118:L118">
    <cfRule type="expression" dxfId="6031" priority="9478">
      <formula>$H118="CÉLULA CONSTRUTIVA"</formula>
    </cfRule>
  </conditionalFormatting>
  <conditionalFormatting sqref="G120:L120">
    <cfRule type="expression" dxfId="6030" priority="9477">
      <formula>$H120="CÉLULA CONSTRUTIVA"</formula>
    </cfRule>
  </conditionalFormatting>
  <conditionalFormatting sqref="G131:L131">
    <cfRule type="expression" dxfId="6029" priority="9476">
      <formula>$H131="CÉLULA CONSTRUTIVA"</formula>
    </cfRule>
  </conditionalFormatting>
  <conditionalFormatting sqref="G139:L139 N139">
    <cfRule type="expression" dxfId="6028" priority="9475">
      <formula>$H139="SUBETAPA"</formula>
    </cfRule>
  </conditionalFormatting>
  <conditionalFormatting sqref="G178:L178">
    <cfRule type="expression" dxfId="6027" priority="6424">
      <formula>$H178="ETAPA"</formula>
    </cfRule>
  </conditionalFormatting>
  <conditionalFormatting sqref="G187:L187">
    <cfRule type="expression" dxfId="6026" priority="6402">
      <formula>$H187="ETAPA"</formula>
    </cfRule>
  </conditionalFormatting>
  <conditionalFormatting sqref="G196:L196">
    <cfRule type="expression" dxfId="6025" priority="6380">
      <formula>$H196="ETAPA"</formula>
    </cfRule>
  </conditionalFormatting>
  <conditionalFormatting sqref="G205:L205">
    <cfRule type="expression" dxfId="6024" priority="6359">
      <formula>$H205="ETAPA"</formula>
    </cfRule>
  </conditionalFormatting>
  <conditionalFormatting sqref="G214:L214">
    <cfRule type="expression" dxfId="6023" priority="6337">
      <formula>$H214="ETAPA"</formula>
    </cfRule>
  </conditionalFormatting>
  <conditionalFormatting sqref="G313:L313 N313">
    <cfRule type="expression" dxfId="6022" priority="9474">
      <formula>$H313="ETAPA"</formula>
    </cfRule>
    <cfRule type="expression" dxfId="6021" priority="9473">
      <formula>$H313="SUBETAPA"</formula>
    </cfRule>
  </conditionalFormatting>
  <conditionalFormatting sqref="G315:L315 J348:M348 J1213 J1220 J1227 J1252">
    <cfRule type="expression" dxfId="6020" priority="9470">
      <formula>$H315="CÉLULA CONSTRUTIVA"</formula>
    </cfRule>
  </conditionalFormatting>
  <conditionalFormatting sqref="G315:L315 N315 J348:M348 J1213 J1220 J1227 J1252">
    <cfRule type="expression" dxfId="6019" priority="9471">
      <formula>$H315="SUBETAPA"</formula>
    </cfRule>
  </conditionalFormatting>
  <conditionalFormatting sqref="G315:L315 N315 J348:M348 L349 K350:L350 L351 K352:L352 L353 K354:L354 L355 K356:L356 L357 K358:L358 J1213 J1220 J1227 J1252">
    <cfRule type="expression" dxfId="6018" priority="9472">
      <formula>$H315="ETAPA"</formula>
    </cfRule>
  </conditionalFormatting>
  <conditionalFormatting sqref="G317:L317">
    <cfRule type="expression" dxfId="6017" priority="7920">
      <formula>$H317="SUBETAPA"</formula>
    </cfRule>
    <cfRule type="expression" dxfId="6016" priority="7919">
      <formula>$H317="CÉLULA CONSTRUTIVA"</formula>
    </cfRule>
  </conditionalFormatting>
  <conditionalFormatting sqref="G319:L319 N319">
    <cfRule type="expression" dxfId="6015" priority="9469">
      <formula>$H319="ETAPA"</formula>
    </cfRule>
    <cfRule type="expression" dxfId="6014" priority="9468">
      <formula>$H319="SUBETAPA"</formula>
    </cfRule>
  </conditionalFormatting>
  <conditionalFormatting sqref="G319:L319">
    <cfRule type="expression" dxfId="6013" priority="9467">
      <formula>$H319="CÉLULA CONSTRUTIVA"</formula>
    </cfRule>
  </conditionalFormatting>
  <conditionalFormatting sqref="G321:L321">
    <cfRule type="expression" dxfId="6012" priority="7916">
      <formula>$H321="CÉLULA CONSTRUTIVA"</formula>
    </cfRule>
    <cfRule type="expression" dxfId="6011" priority="7917">
      <formula>$H321="SUBETAPA"</formula>
    </cfRule>
  </conditionalFormatting>
  <conditionalFormatting sqref="G323:L323 N323">
    <cfRule type="expression" dxfId="6010" priority="9465">
      <formula>$H323="SUBETAPA"</formula>
    </cfRule>
    <cfRule type="expression" dxfId="6009" priority="9466">
      <formula>$H323="ETAPA"</formula>
    </cfRule>
  </conditionalFormatting>
  <conditionalFormatting sqref="G325:L325">
    <cfRule type="expression" dxfId="6008" priority="7914">
      <formula>$H325="SUBETAPA"</formula>
    </cfRule>
    <cfRule type="expression" dxfId="6007" priority="7913">
      <formula>$H325="CÉLULA CONSTRUTIVA"</formula>
    </cfRule>
  </conditionalFormatting>
  <conditionalFormatting sqref="G327:L327 N327">
    <cfRule type="expression" dxfId="6006" priority="9463">
      <formula>$H327="ETAPA"</formula>
    </cfRule>
  </conditionalFormatting>
  <conditionalFormatting sqref="G327:L329 N327:N329">
    <cfRule type="expression" dxfId="6005" priority="9456">
      <formula>$H327="SUBETAPA"</formula>
    </cfRule>
  </conditionalFormatting>
  <conditionalFormatting sqref="G328:L328 N328">
    <cfRule type="expression" dxfId="6004" priority="9460">
      <formula>$H328="ETAPA"</formula>
    </cfRule>
  </conditionalFormatting>
  <conditionalFormatting sqref="G329:L329 N329">
    <cfRule type="expression" dxfId="6003" priority="9457">
      <formula>$H329="ETAPA"</formula>
    </cfRule>
  </conditionalFormatting>
  <conditionalFormatting sqref="G331:L331">
    <cfRule type="expression" dxfId="6002" priority="7911">
      <formula>$H331="SUBETAPA"</formula>
    </cfRule>
  </conditionalFormatting>
  <conditionalFormatting sqref="G333:L333 N333">
    <cfRule type="expression" dxfId="6001" priority="9453">
      <formula>$H333="SUBETAPA"</formula>
    </cfRule>
    <cfRule type="expression" dxfId="6000" priority="9454">
      <formula>$H333="ETAPA"</formula>
    </cfRule>
  </conditionalFormatting>
  <conditionalFormatting sqref="G335:L335">
    <cfRule type="expression" dxfId="5999" priority="7908">
      <formula>$H335="SUBETAPA"</formula>
    </cfRule>
  </conditionalFormatting>
  <conditionalFormatting sqref="G337:L337 N337">
    <cfRule type="expression" dxfId="5998" priority="9450">
      <formula>$H337="SUBETAPA"</formula>
    </cfRule>
    <cfRule type="expression" dxfId="5997" priority="9451">
      <formula>$H337="ETAPA"</formula>
    </cfRule>
  </conditionalFormatting>
  <conditionalFormatting sqref="G339:L339">
    <cfRule type="expression" dxfId="5996" priority="7905">
      <formula>$H339="SUBETAPA"</formula>
    </cfRule>
  </conditionalFormatting>
  <conditionalFormatting sqref="G341:L341 N341">
    <cfRule type="expression" dxfId="5995" priority="9447">
      <formula>$H341="SUBETAPA"</formula>
    </cfRule>
    <cfRule type="expression" dxfId="5994" priority="9448">
      <formula>$H341="ETAPA"</formula>
    </cfRule>
  </conditionalFormatting>
  <conditionalFormatting sqref="G343:L343">
    <cfRule type="expression" dxfId="5993" priority="7902">
      <formula>$H343="SUBETAPA"</formula>
    </cfRule>
  </conditionalFormatting>
  <conditionalFormatting sqref="G345:L345 N345">
    <cfRule type="expression" dxfId="5992" priority="9444">
      <formula>$H345="SUBETAPA"</formula>
    </cfRule>
    <cfRule type="expression" dxfId="5991" priority="9445">
      <formula>$H345="ETAPA"</formula>
    </cfRule>
    <cfRule type="expression" dxfId="5990" priority="9443">
      <formula>$H345="CÉLULA CONSTRUTIVA"</formula>
    </cfRule>
  </conditionalFormatting>
  <conditionalFormatting sqref="G346:L346 N346">
    <cfRule type="expression" dxfId="5989" priority="9442">
      <formula>$H346="ETAPA"</formula>
    </cfRule>
  </conditionalFormatting>
  <conditionalFormatting sqref="G349:L358 K361 K363 K365 K367 K369 K371 K373 K375 K377">
    <cfRule type="expression" dxfId="5988" priority="6797">
      <formula>$H349="SUBETAPA"</formula>
    </cfRule>
  </conditionalFormatting>
  <conditionalFormatting sqref="G349:L378">
    <cfRule type="expression" dxfId="5987" priority="6160">
      <formula>$H349="CÉLULA CONSTRUTIVA"</formula>
    </cfRule>
  </conditionalFormatting>
  <conditionalFormatting sqref="G379:L381 H386:M386 H388:M388 H389:L389 H390:M390 H391:L391 H392:M392 G382:M382 G383:G398 H393:L394 H395:M395 K397:M397 O397">
    <cfRule type="expression" dxfId="5986" priority="9412">
      <formula>$H379="ETAPA"</formula>
    </cfRule>
  </conditionalFormatting>
  <conditionalFormatting sqref="G1125:L1125">
    <cfRule type="expression" dxfId="5985" priority="5874">
      <formula>$H1125="SUBETAPA"</formula>
    </cfRule>
  </conditionalFormatting>
  <conditionalFormatting sqref="G20:M20">
    <cfRule type="expression" dxfId="5984" priority="5307">
      <formula>$H20="CÉLULA CONSTRUTIVA"</formula>
    </cfRule>
  </conditionalFormatting>
  <conditionalFormatting sqref="G21:M21">
    <cfRule type="expression" dxfId="5983" priority="9411">
      <formula>$H21="SUBETAPA"</formula>
    </cfRule>
  </conditionalFormatting>
  <conditionalFormatting sqref="G122:M122">
    <cfRule type="expression" dxfId="5982" priority="9410">
      <formula>$H122="ETAPA"</formula>
    </cfRule>
  </conditionalFormatting>
  <conditionalFormatting sqref="G125:M125">
    <cfRule type="expression" dxfId="5981" priority="9409">
      <formula>$H125="ETAPA"</formula>
    </cfRule>
  </conditionalFormatting>
  <conditionalFormatting sqref="G128:M128">
    <cfRule type="expression" dxfId="5980" priority="9408">
      <formula>$H128="ETAPA"</formula>
    </cfRule>
  </conditionalFormatting>
  <conditionalFormatting sqref="G133:M133">
    <cfRule type="expression" dxfId="5979" priority="9407">
      <formula>$H133="ETAPA"</formula>
    </cfRule>
  </conditionalFormatting>
  <conditionalFormatting sqref="G136:M136">
    <cfRule type="expression" dxfId="5978" priority="9406">
      <formula>$H136="ETAPA"</formula>
    </cfRule>
  </conditionalFormatting>
  <conditionalFormatting sqref="G148:M148 N148:N153">
    <cfRule type="expression" dxfId="5977" priority="9405">
      <formula>$H148="ETAPA"</formula>
    </cfRule>
  </conditionalFormatting>
  <conditionalFormatting sqref="G158:M158 N158:N163">
    <cfRule type="expression" dxfId="5976" priority="9404">
      <formula>$H158="ETAPA"</formula>
    </cfRule>
  </conditionalFormatting>
  <conditionalFormatting sqref="G168:M168 N168:N173">
    <cfRule type="expression" dxfId="5975" priority="9403">
      <formula>$H168="ETAPA"</formula>
    </cfRule>
  </conditionalFormatting>
  <conditionalFormatting sqref="G222:M222 N222:N227">
    <cfRule type="expression" dxfId="5974" priority="9402">
      <formula>$H222="ETAPA"</formula>
    </cfRule>
  </conditionalFormatting>
  <conditionalFormatting sqref="G231:M231 N231:N236">
    <cfRule type="expression" dxfId="5973" priority="9401">
      <formula>$H231="ETAPA"</formula>
    </cfRule>
  </conditionalFormatting>
  <conditionalFormatting sqref="G240:M240 N240:N245">
    <cfRule type="expression" dxfId="5972" priority="9400">
      <formula>$H240="ETAPA"</formula>
    </cfRule>
  </conditionalFormatting>
  <conditionalFormatting sqref="G249:M249 N249:N254">
    <cfRule type="expression" dxfId="5971" priority="9399">
      <formula>$H249="ETAPA"</formula>
    </cfRule>
  </conditionalFormatting>
  <conditionalFormatting sqref="G258:M258 N258:N263">
    <cfRule type="expression" dxfId="5970" priority="9398">
      <formula>$H258="ETAPA"</formula>
    </cfRule>
  </conditionalFormatting>
  <conditionalFormatting sqref="G267:M267 N267:N272">
    <cfRule type="expression" dxfId="5969" priority="9397">
      <formula>$H267="ETAPA"</formula>
    </cfRule>
  </conditionalFormatting>
  <conditionalFormatting sqref="G303:M303">
    <cfRule type="expression" dxfId="5968" priority="7926">
      <formula>$H303="SUBETAPA"</formula>
    </cfRule>
  </conditionalFormatting>
  <conditionalFormatting sqref="G307:M307 N307:N308">
    <cfRule type="expression" dxfId="5967" priority="9396">
      <formula>$H307="SUBETAPA"</formula>
    </cfRule>
  </conditionalFormatting>
  <conditionalFormatting sqref="G347:M347">
    <cfRule type="expression" dxfId="5966" priority="9395">
      <formula>$H347="SUBETAPA"</formula>
    </cfRule>
  </conditionalFormatting>
  <conditionalFormatting sqref="G379:M382 H383:M383 G383:G398 J384:M384 H385:M385 K386:M386 H387:M387 K388:M388 M389 K390:M390 M391 K392:M392 H393:M396 K397:M397 O397 H398:M398">
    <cfRule type="expression" dxfId="5965" priority="8153">
      <formula>$H379="SUBETAPA"</formula>
    </cfRule>
  </conditionalFormatting>
  <conditionalFormatting sqref="G899:M913 J905">
    <cfRule type="expression" dxfId="5964" priority="8086">
      <formula>$H899="SUBETAPA"</formula>
    </cfRule>
  </conditionalFormatting>
  <conditionalFormatting sqref="G1708:M1709">
    <cfRule type="expression" dxfId="5963" priority="9353">
      <formula>$H1708="ETAPA"</formula>
    </cfRule>
  </conditionalFormatting>
  <conditionalFormatting sqref="G1717:M1718">
    <cfRule type="expression" dxfId="5962" priority="9352">
      <formula>$H1717="ETAPA"</formula>
    </cfRule>
  </conditionalFormatting>
  <conditionalFormatting sqref="G1726:M1727">
    <cfRule type="expression" dxfId="5961" priority="9351">
      <formula>$H1726="ETAPA"</formula>
    </cfRule>
  </conditionalFormatting>
  <conditionalFormatting sqref="G1735:M1736">
    <cfRule type="expression" dxfId="5960" priority="9350">
      <formula>$H1735="ETAPA"</formula>
    </cfRule>
  </conditionalFormatting>
  <conditionalFormatting sqref="G1744:M1745">
    <cfRule type="expression" dxfId="5959" priority="9349">
      <formula>$H1744="ETAPA"</formula>
    </cfRule>
  </conditionalFormatting>
  <conditionalFormatting sqref="G1744:M1747">
    <cfRule type="expression" dxfId="5958" priority="6715">
      <formula>$H1744="CÉLULA CONSTRUTIVA"</formula>
    </cfRule>
  </conditionalFormatting>
  <conditionalFormatting sqref="G25:N25">
    <cfRule type="expression" dxfId="5957" priority="9348">
      <formula>$H25="SUBETAPA"</formula>
    </cfRule>
    <cfRule type="expression" dxfId="5956" priority="9347">
      <formula>$H25="CÉLULA CONSTRUTIVA"</formula>
    </cfRule>
  </conditionalFormatting>
  <conditionalFormatting sqref="G41:N41">
    <cfRule type="expression" dxfId="5955" priority="9345">
      <formula>$H41="SUBETAPA"</formula>
    </cfRule>
  </conditionalFormatting>
  <conditionalFormatting sqref="G51:N51">
    <cfRule type="expression" dxfId="5954" priority="9344">
      <formula>$H51="ETAPA"</formula>
    </cfRule>
    <cfRule type="expression" dxfId="5953" priority="9343">
      <formula>$H51="SUBETAPA"</formula>
    </cfRule>
  </conditionalFormatting>
  <conditionalFormatting sqref="G55:N55">
    <cfRule type="expression" dxfId="5952" priority="9342">
      <formula>$H55="ETAPA"</formula>
    </cfRule>
    <cfRule type="expression" dxfId="5951" priority="9341">
      <formula>$H55="SUBETAPA"</formula>
    </cfRule>
  </conditionalFormatting>
  <conditionalFormatting sqref="G58:N58">
    <cfRule type="expression" dxfId="5950" priority="9340">
      <formula>$H58="SUBETAPA"</formula>
    </cfRule>
  </conditionalFormatting>
  <conditionalFormatting sqref="G97:N99">
    <cfRule type="expression" dxfId="5949" priority="9339">
      <formula>$H97="ETAPA"</formula>
    </cfRule>
  </conditionalFormatting>
  <conditionalFormatting sqref="G104:N104">
    <cfRule type="expression" dxfId="5948" priority="9338">
      <formula>$H104="ETAPA"</formula>
    </cfRule>
  </conditionalFormatting>
  <conditionalFormatting sqref="G106:N106">
    <cfRule type="expression" dxfId="5947" priority="9337">
      <formula>$H106="ETAPA"</formula>
    </cfRule>
  </conditionalFormatting>
  <conditionalFormatting sqref="G108:N108">
    <cfRule type="expression" dxfId="5946" priority="9336">
      <formula>$H108="ETAPA"</formula>
    </cfRule>
  </conditionalFormatting>
  <conditionalFormatting sqref="G110:N110">
    <cfRule type="expression" dxfId="5945" priority="9335">
      <formula>$H110="ETAPA"</formula>
    </cfRule>
  </conditionalFormatting>
  <conditionalFormatting sqref="G112:N112">
    <cfRule type="expression" dxfId="5944" priority="9334">
      <formula>$H112="ETAPA"</formula>
    </cfRule>
  </conditionalFormatting>
  <conditionalFormatting sqref="G114:N114">
    <cfRule type="expression" dxfId="5943" priority="9333">
      <formula>$H114="ETAPA"</formula>
    </cfRule>
  </conditionalFormatting>
  <conditionalFormatting sqref="G116:N116">
    <cfRule type="expression" dxfId="5942" priority="9332">
      <formula>$H116="ETAPA"</formula>
    </cfRule>
  </conditionalFormatting>
  <conditionalFormatting sqref="G118:N118">
    <cfRule type="expression" dxfId="5941" priority="9331">
      <formula>$H118="ETAPA"</formula>
    </cfRule>
  </conditionalFormatting>
  <conditionalFormatting sqref="G120:N120">
    <cfRule type="expression" dxfId="5940" priority="9330">
      <formula>$H120="ETAPA"</formula>
    </cfRule>
  </conditionalFormatting>
  <conditionalFormatting sqref="G131:N131">
    <cfRule type="expression" dxfId="5939" priority="9329">
      <formula>$H131="ETAPA"</formula>
    </cfRule>
  </conditionalFormatting>
  <conditionalFormatting sqref="G139:N139">
    <cfRule type="expression" dxfId="5938" priority="9328">
      <formula>$H139="ETAPA"</formula>
    </cfRule>
  </conditionalFormatting>
  <conditionalFormatting sqref="G177:N177">
    <cfRule type="expression" dxfId="5937" priority="9327">
      <formula>$H177="ETAPA"</formula>
    </cfRule>
  </conditionalFormatting>
  <conditionalFormatting sqref="G186:N186">
    <cfRule type="expression" dxfId="5936" priority="9326">
      <formula>$H186="ETAPA"</formula>
    </cfRule>
  </conditionalFormatting>
  <conditionalFormatting sqref="G195:N195">
    <cfRule type="expression" dxfId="5935" priority="9325">
      <formula>$H195="ETAPA"</formula>
    </cfRule>
  </conditionalFormatting>
  <conditionalFormatting sqref="G204:N204">
    <cfRule type="expression" dxfId="5934" priority="9324">
      <formula>$H204="ETAPA"</formula>
    </cfRule>
  </conditionalFormatting>
  <conditionalFormatting sqref="G213:N213">
    <cfRule type="expression" dxfId="5933" priority="9323">
      <formula>$H213="ETAPA"</formula>
    </cfRule>
  </conditionalFormatting>
  <conditionalFormatting sqref="G274:N274">
    <cfRule type="expression" dxfId="5932" priority="9322">
      <formula>$H274="ETAPA"</formula>
    </cfRule>
  </conditionalFormatting>
  <conditionalFormatting sqref="G323:N323">
    <cfRule type="expression" dxfId="5931" priority="5043">
      <formula>$H323="CÉLULA CONSTRUTIVA"</formula>
    </cfRule>
  </conditionalFormatting>
  <conditionalFormatting sqref="G331:N331 G333:N333 G335:N335 G337:N337 G339:N339 G341:N341 G343:N343">
    <cfRule type="expression" dxfId="5930" priority="5001">
      <formula>$H331="CÉLULA CONSTRUTIVA"</formula>
    </cfRule>
  </conditionalFormatting>
  <conditionalFormatting sqref="G346:N346">
    <cfRule type="expression" dxfId="5929" priority="9321">
      <formula>$H346="SUBETAPA"</formula>
    </cfRule>
  </conditionalFormatting>
  <conditionalFormatting sqref="G115:O115">
    <cfRule type="expression" dxfId="5928" priority="9320">
      <formula>$H115="ETAPA"</formula>
    </cfRule>
  </conditionalFormatting>
  <conditionalFormatting sqref="H26:H27">
    <cfRule type="expression" dxfId="5927" priority="9319">
      <formula>$H26="SUBETAPA"</formula>
    </cfRule>
    <cfRule type="expression" dxfId="5926" priority="9318">
      <formula>$H26="ETAPA"</formula>
    </cfRule>
  </conditionalFormatting>
  <conditionalFormatting sqref="H42:H43">
    <cfRule type="expression" dxfId="5925" priority="9316">
      <formula>$H42="SUBETAPA"</formula>
    </cfRule>
    <cfRule type="expression" dxfId="5924" priority="9315">
      <formula>$H42="ETAPA"</formula>
    </cfRule>
  </conditionalFormatting>
  <conditionalFormatting sqref="H80:H92">
    <cfRule type="expression" dxfId="5923" priority="9311">
      <formula>$H80="SUBETAPA"</formula>
    </cfRule>
    <cfRule type="expression" dxfId="5922" priority="9310">
      <formula>$H80="ETAPA"</formula>
    </cfRule>
    <cfRule type="expression" dxfId="5921" priority="9308">
      <formula>$H80="CÉLULA CONSTRUTIVA"</formula>
    </cfRule>
  </conditionalFormatting>
  <conditionalFormatting sqref="H914:H919 H947:H951 H954:H958 H961:H965 H968:H972 H975:H979">
    <cfRule type="expression" dxfId="5920" priority="9270">
      <formula>$H914="SUBETAPA"</formula>
    </cfRule>
  </conditionalFormatting>
  <conditionalFormatting sqref="H914:H921">
    <cfRule type="expression" dxfId="5919" priority="9305">
      <formula>$H914="ETAPA"</formula>
    </cfRule>
  </conditionalFormatting>
  <conditionalFormatting sqref="H914:H1001">
    <cfRule type="expression" dxfId="5918" priority="9260">
      <formula>$H914="CÉLULA CONSTRUTIVA"</formula>
    </cfRule>
  </conditionalFormatting>
  <conditionalFormatting sqref="H920:H921">
    <cfRule type="expression" dxfId="5917" priority="9306">
      <formula>$H920="SUBETAPA"</formula>
    </cfRule>
  </conditionalFormatting>
  <conditionalFormatting sqref="H922:H924 H927:H929 H932:H934 H937:H939 H942:H944 H982:H984 H994:H996">
    <cfRule type="expression" dxfId="5916" priority="10500">
      <formula>$H922="SUBETAPA"</formula>
    </cfRule>
  </conditionalFormatting>
  <conditionalFormatting sqref="H925:H926">
    <cfRule type="expression" dxfId="5915" priority="9303">
      <formula>$H925="SUBETAPA"</formula>
    </cfRule>
    <cfRule type="expression" dxfId="5914" priority="9302">
      <formula>$H925="ETAPA"</formula>
    </cfRule>
  </conditionalFormatting>
  <conditionalFormatting sqref="H930:H931">
    <cfRule type="expression" dxfId="5913" priority="9300">
      <formula>$H930="SUBETAPA"</formula>
    </cfRule>
    <cfRule type="expression" dxfId="5912" priority="9299">
      <formula>$H930="ETAPA"</formula>
    </cfRule>
  </conditionalFormatting>
  <conditionalFormatting sqref="H935:H936">
    <cfRule type="expression" dxfId="5911" priority="9296">
      <formula>$H935="ETAPA"</formula>
    </cfRule>
    <cfRule type="expression" dxfId="5910" priority="9297">
      <formula>$H935="SUBETAPA"</formula>
    </cfRule>
  </conditionalFormatting>
  <conditionalFormatting sqref="H940:H941">
    <cfRule type="expression" dxfId="5909" priority="9293">
      <formula>$H940="ETAPA"</formula>
    </cfRule>
    <cfRule type="expression" dxfId="5908" priority="9294">
      <formula>$H940="SUBETAPA"</formula>
    </cfRule>
  </conditionalFormatting>
  <conditionalFormatting sqref="H945:H946">
    <cfRule type="expression" dxfId="5907" priority="9291">
      <formula>$H945="SUBETAPA"</formula>
    </cfRule>
  </conditionalFormatting>
  <conditionalFormatting sqref="H945:H981">
    <cfRule type="expression" dxfId="5906" priority="9275">
      <formula>$H945="ETAPA"</formula>
    </cfRule>
  </conditionalFormatting>
  <conditionalFormatting sqref="H952:H953">
    <cfRule type="expression" dxfId="5905" priority="9288">
      <formula>$H952="SUBETAPA"</formula>
    </cfRule>
  </conditionalFormatting>
  <conditionalFormatting sqref="H959:H960">
    <cfRule type="expression" dxfId="5904" priority="9285">
      <formula>$H959="SUBETAPA"</formula>
    </cfRule>
  </conditionalFormatting>
  <conditionalFormatting sqref="H966:H967">
    <cfRule type="expression" dxfId="5903" priority="9282">
      <formula>$H966="SUBETAPA"</formula>
    </cfRule>
  </conditionalFormatting>
  <conditionalFormatting sqref="H973:H974">
    <cfRule type="expression" dxfId="5902" priority="9279">
      <formula>$H973="SUBETAPA"</formula>
    </cfRule>
  </conditionalFormatting>
  <conditionalFormatting sqref="H980:H981">
    <cfRule type="expression" dxfId="5901" priority="9276">
      <formula>$H980="SUBETAPA"</formula>
    </cfRule>
  </conditionalFormatting>
  <conditionalFormatting sqref="H985:H986">
    <cfRule type="expression" dxfId="5900" priority="9273">
      <formula>$H985="SUBETAPA"</formula>
    </cfRule>
  </conditionalFormatting>
  <conditionalFormatting sqref="H985:H991">
    <cfRule type="expression" dxfId="5899" priority="9272">
      <formula>$H985="ETAPA"</formula>
    </cfRule>
  </conditionalFormatting>
  <conditionalFormatting sqref="H987:H993">
    <cfRule type="expression" dxfId="5898" priority="9268">
      <formula>$H987="SUBETAPA"</formula>
    </cfRule>
  </conditionalFormatting>
  <conditionalFormatting sqref="H992:H993">
    <cfRule type="expression" dxfId="5897" priority="9267">
      <formula>$H992="ETAPA"</formula>
    </cfRule>
  </conditionalFormatting>
  <conditionalFormatting sqref="H997:H1001">
    <cfRule type="expression" dxfId="5896" priority="9262">
      <formula>$H997="SUBETAPA"</formula>
    </cfRule>
    <cfRule type="expression" dxfId="5895" priority="9261">
      <formula>$H997="ETAPA"</formula>
    </cfRule>
  </conditionalFormatting>
  <conditionalFormatting sqref="H1013:H1128 H1135:H1148 H1153:H1155 H1160:H1162 H1165:H1172">
    <cfRule type="expression" dxfId="5894" priority="9184">
      <formula>$H1013="CÉLULA CONSTRUTIVA"</formula>
    </cfRule>
  </conditionalFormatting>
  <conditionalFormatting sqref="H1013:H1128 H1145:H1148 H1151:H1155 H1158:H1162 H1165:H1167 H1169:H1172">
    <cfRule type="expression" dxfId="5893" priority="9185">
      <formula>$H1013="SUBETAPA"</formula>
    </cfRule>
  </conditionalFormatting>
  <conditionalFormatting sqref="H1013:H1129">
    <cfRule type="expression" dxfId="5892" priority="9251">
      <formula>$H1013="ETAPA"</formula>
    </cfRule>
  </conditionalFormatting>
  <conditionalFormatting sqref="H1129">
    <cfRule type="expression" dxfId="5891" priority="9252">
      <formula>$H1129="SUBETAPA"</formula>
    </cfRule>
  </conditionalFormatting>
  <conditionalFormatting sqref="H1129:H1131 J1130:L1130">
    <cfRule type="expression" dxfId="5890" priority="9248">
      <formula>$H1129="CÉLULA CONSTRUTIVA"</formula>
    </cfRule>
  </conditionalFormatting>
  <conditionalFormatting sqref="H1130 J1130:L1130">
    <cfRule type="expression" dxfId="5889" priority="9247">
      <formula>$H1130="ETAPA"</formula>
    </cfRule>
  </conditionalFormatting>
  <conditionalFormatting sqref="H1132">
    <cfRule type="expression" dxfId="5888" priority="9246">
      <formula>$H1132="SUBETAPA"</formula>
    </cfRule>
    <cfRule type="expression" dxfId="5887" priority="9245">
      <formula>$H1132="ETAPA"</formula>
    </cfRule>
  </conditionalFormatting>
  <conditionalFormatting sqref="H1132:H1134 J1133:L1133">
    <cfRule type="expression" dxfId="5886" priority="9242">
      <formula>$H1132="CÉLULA CONSTRUTIVA"</formula>
    </cfRule>
  </conditionalFormatting>
  <conditionalFormatting sqref="H1133 J1133:L1133">
    <cfRule type="expression" dxfId="5885" priority="9241">
      <formula>$H1133="ETAPA"</formula>
    </cfRule>
  </conditionalFormatting>
  <conditionalFormatting sqref="H1135">
    <cfRule type="expression" dxfId="5884" priority="9239">
      <formula>$H1135="ETAPA"</formula>
    </cfRule>
    <cfRule type="expression" dxfId="5883" priority="9240">
      <formula>$H1135="SUBETAPA"</formula>
    </cfRule>
  </conditionalFormatting>
  <conditionalFormatting sqref="H1136:H1138">
    <cfRule type="expression" dxfId="5882" priority="9235">
      <formula>$H1136="SUBETAPA"</formula>
    </cfRule>
  </conditionalFormatting>
  <conditionalFormatting sqref="H1138">
    <cfRule type="expression" dxfId="5881" priority="9234">
      <formula>$H1138="ETAPA"</formula>
    </cfRule>
  </conditionalFormatting>
  <conditionalFormatting sqref="H1139:H1141">
    <cfRule type="expression" dxfId="5880" priority="9230">
      <formula>$H1139="SUBETAPA"</formula>
    </cfRule>
  </conditionalFormatting>
  <conditionalFormatting sqref="H1141">
    <cfRule type="expression" dxfId="5879" priority="9229">
      <formula>$H1141="ETAPA"</formula>
    </cfRule>
  </conditionalFormatting>
  <conditionalFormatting sqref="H1142:H1144">
    <cfRule type="expression" dxfId="5878" priority="9225">
      <formula>$H1142="SUBETAPA"</formula>
    </cfRule>
  </conditionalFormatting>
  <conditionalFormatting sqref="H1144">
    <cfRule type="expression" dxfId="5877" priority="9224">
      <formula>$H1144="ETAPA"</formula>
    </cfRule>
  </conditionalFormatting>
  <conditionalFormatting sqref="H1146:H1149">
    <cfRule type="expression" dxfId="5876" priority="9219">
      <formula>$H1146="ETAPA"</formula>
    </cfRule>
  </conditionalFormatting>
  <conditionalFormatting sqref="H1149">
    <cfRule type="expression" dxfId="5875" priority="9220">
      <formula>$H1149="SUBETAPA"</formula>
    </cfRule>
  </conditionalFormatting>
  <conditionalFormatting sqref="H1150 J1150:L1150">
    <cfRule type="expression" dxfId="5874" priority="9217">
      <formula>$H1150="SUBETAPA"</formula>
    </cfRule>
  </conditionalFormatting>
  <conditionalFormatting sqref="H1151 J1151:L1151">
    <cfRule type="expression" dxfId="5873" priority="9215">
      <formula>$H1151="ETAPA"</formula>
    </cfRule>
  </conditionalFormatting>
  <conditionalFormatting sqref="H1156">
    <cfRule type="expression" dxfId="5872" priority="9211">
      <formula>$H1156="SUBETAPA"</formula>
    </cfRule>
    <cfRule type="expression" dxfId="5871" priority="9210">
      <formula>$H1156="ETAPA"</formula>
    </cfRule>
  </conditionalFormatting>
  <conditionalFormatting sqref="H1157 J1157:L1157">
    <cfRule type="expression" dxfId="5870" priority="9208">
      <formula>$H1157="SUBETAPA"</formula>
    </cfRule>
  </conditionalFormatting>
  <conditionalFormatting sqref="H1158 J1158:L1158">
    <cfRule type="expression" dxfId="5869" priority="9206">
      <formula>$H1158="ETAPA"</formula>
    </cfRule>
  </conditionalFormatting>
  <conditionalFormatting sqref="H1163">
    <cfRule type="expression" dxfId="5868" priority="9201">
      <formula>$H1163="ETAPA"</formula>
    </cfRule>
    <cfRule type="expression" dxfId="5867" priority="9202">
      <formula>$H1163="SUBETAPA"</formula>
    </cfRule>
  </conditionalFormatting>
  <conditionalFormatting sqref="H1164 J1164:L1164">
    <cfRule type="expression" dxfId="5866" priority="9199">
      <formula>$H1164="SUBETAPA"</formula>
    </cfRule>
  </conditionalFormatting>
  <conditionalFormatting sqref="H1164:H1168">
    <cfRule type="expression" dxfId="5865" priority="9195">
      <formula>$H1164="ETAPA"</formula>
    </cfRule>
  </conditionalFormatting>
  <conditionalFormatting sqref="H1168">
    <cfRule type="expression" dxfId="5864" priority="9196">
      <formula>$H1168="SUBETAPA"</formula>
    </cfRule>
  </conditionalFormatting>
  <conditionalFormatting sqref="H1170:H1173">
    <cfRule type="expression" dxfId="5863" priority="9190">
      <formula>$H1170="ETAPA"</formula>
    </cfRule>
  </conditionalFormatting>
  <conditionalFormatting sqref="H1173">
    <cfRule type="expression" dxfId="5862" priority="9191">
      <formula>$H1173="SUBETAPA"</formula>
    </cfRule>
  </conditionalFormatting>
  <conditionalFormatting sqref="H1173:H1174 J1174:L1174">
    <cfRule type="expression" dxfId="5861" priority="9187">
      <formula>$H1173="CÉLULA CONSTRUTIVA"</formula>
    </cfRule>
  </conditionalFormatting>
  <conditionalFormatting sqref="H1174 J1174:L1174">
    <cfRule type="expression" dxfId="5860" priority="9188">
      <formula>$H1174="SUBETAPA"</formula>
    </cfRule>
  </conditionalFormatting>
  <conditionalFormatting sqref="H1174:H1177 J1174:L1174">
    <cfRule type="expression" dxfId="5859" priority="9186">
      <formula>$H1174="ETAPA"</formula>
    </cfRule>
  </conditionalFormatting>
  <conditionalFormatting sqref="H1175:H1178">
    <cfRule type="expression" dxfId="5858" priority="9183">
      <formula>$H1175="SUBETAPA"</formula>
    </cfRule>
  </conditionalFormatting>
  <conditionalFormatting sqref="H1175:H1180 J1179:L1179">
    <cfRule type="expression" dxfId="5857" priority="9179">
      <formula>$H1175="CÉLULA CONSTRUTIVA"</formula>
    </cfRule>
  </conditionalFormatting>
  <conditionalFormatting sqref="H1178">
    <cfRule type="expression" dxfId="5856" priority="9182">
      <formula>$H1178="ETAPA"</formula>
    </cfRule>
  </conditionalFormatting>
  <conditionalFormatting sqref="H1179 J1179:L1179">
    <cfRule type="expression" dxfId="5855" priority="9178">
      <formula>$H1179="ETAPA"</formula>
    </cfRule>
  </conditionalFormatting>
  <conditionalFormatting sqref="H1181">
    <cfRule type="expression" dxfId="5854" priority="9176">
      <formula>$H1181="ETAPA"</formula>
    </cfRule>
    <cfRule type="expression" dxfId="5853" priority="9177">
      <formula>$H1181="SUBETAPA"</formula>
    </cfRule>
  </conditionalFormatting>
  <conditionalFormatting sqref="H1181:H1182 J1182:L1182">
    <cfRule type="expression" dxfId="5852" priority="9173">
      <formula>$H1181="CÉLULA CONSTRUTIVA"</formula>
    </cfRule>
  </conditionalFormatting>
  <conditionalFormatting sqref="H1182 J1182:L1182">
    <cfRule type="expression" dxfId="5851" priority="9172">
      <formula>$H1182="ETAPA"</formula>
    </cfRule>
    <cfRule type="expression" dxfId="5850" priority="9174">
      <formula>$H1182="SUBETAPA"</formula>
    </cfRule>
  </conditionalFormatting>
  <conditionalFormatting sqref="H1193:H1194">
    <cfRule type="expression" dxfId="5849" priority="9171">
      <formula>$H1193="SUBETAPA"</formula>
    </cfRule>
  </conditionalFormatting>
  <conditionalFormatting sqref="H1203 J1203:K1203 O1203 J1204:J1205">
    <cfRule type="expression" dxfId="5848" priority="9170">
      <formula>$H1203="ETAPA"</formula>
    </cfRule>
  </conditionalFormatting>
  <conditionalFormatting sqref="H1205 J1205:K1205 O1205">
    <cfRule type="expression" dxfId="5847" priority="9167">
      <formula>$H1205="ETAPA"</formula>
    </cfRule>
  </conditionalFormatting>
  <conditionalFormatting sqref="H1208:H1209">
    <cfRule type="expression" dxfId="5846" priority="9165">
      <formula>$H1208="ETAPA"</formula>
    </cfRule>
    <cfRule type="expression" dxfId="5845" priority="9164">
      <formula>$H1208="SUBETAPA"</formula>
    </cfRule>
  </conditionalFormatting>
  <conditionalFormatting sqref="H1213 K1213 O1213">
    <cfRule type="expression" dxfId="5844" priority="9163">
      <formula>$H1213="ETAPA"</formula>
    </cfRule>
  </conditionalFormatting>
  <conditionalFormatting sqref="H1213 K1213:L1213 O1213">
    <cfRule type="expression" dxfId="5843" priority="9162">
      <formula>$H1213="SUBETAPA"</formula>
    </cfRule>
  </conditionalFormatting>
  <conditionalFormatting sqref="H1215:H1216">
    <cfRule type="expression" dxfId="5842" priority="9161">
      <formula>$H1215="ETAPA"</formula>
    </cfRule>
    <cfRule type="expression" dxfId="5841" priority="9160">
      <formula>$H1215="SUBETAPA"</formula>
    </cfRule>
  </conditionalFormatting>
  <conditionalFormatting sqref="H1220">
    <cfRule type="expression" dxfId="5840" priority="9158">
      <formula>$H1220="SUBETAPA"</formula>
    </cfRule>
    <cfRule type="expression" dxfId="5839" priority="9159">
      <formula>$H1220="ETAPA"</formula>
    </cfRule>
  </conditionalFormatting>
  <conditionalFormatting sqref="H1222:H1223">
    <cfRule type="expression" dxfId="5838" priority="9156">
      <formula>$H1222="SUBETAPA"</formula>
    </cfRule>
    <cfRule type="expression" dxfId="5837" priority="9157">
      <formula>$H1222="ETAPA"</formula>
    </cfRule>
  </conditionalFormatting>
  <conditionalFormatting sqref="H1227">
    <cfRule type="expression" dxfId="5836" priority="9154">
      <formula>$H1227="SUBETAPA"</formula>
    </cfRule>
    <cfRule type="expression" dxfId="5835" priority="9155">
      <formula>$H1227="ETAPA"</formula>
    </cfRule>
  </conditionalFormatting>
  <conditionalFormatting sqref="H1232:H1233">
    <cfRule type="expression" dxfId="5834" priority="9152">
      <formula>$H1232="SUBETAPA"</formula>
    </cfRule>
    <cfRule type="expression" dxfId="5833" priority="9153">
      <formula>$H1232="ETAPA"</formula>
    </cfRule>
  </conditionalFormatting>
  <conditionalFormatting sqref="H1242">
    <cfRule type="expression" dxfId="5832" priority="9151">
      <formula>$H1242="ETAPA"</formula>
    </cfRule>
    <cfRule type="expression" dxfId="5831" priority="9150">
      <formula>$H1242="SUBETAPA"</formula>
    </cfRule>
  </conditionalFormatting>
  <conditionalFormatting sqref="H1242:H1245">
    <cfRule type="expression" dxfId="5830" priority="9149">
      <formula>$H1242="CÉLULA CONSTRUTIVA"</formula>
    </cfRule>
  </conditionalFormatting>
  <conditionalFormatting sqref="H1243 H1245">
    <cfRule type="expression" dxfId="5829" priority="9148">
      <formula>$H1243="ETAPA"</formula>
    </cfRule>
  </conditionalFormatting>
  <conditionalFormatting sqref="H1243:H1245">
    <cfRule type="expression" dxfId="5828" priority="9145">
      <formula>$H1243="SUBETAPA"</formula>
    </cfRule>
  </conditionalFormatting>
  <conditionalFormatting sqref="H1244">
    <cfRule type="expression" dxfId="5827" priority="9146">
      <formula>$H1244="ETAPA"</formula>
    </cfRule>
  </conditionalFormatting>
  <conditionalFormatting sqref="H1247:H1248">
    <cfRule type="expression" dxfId="5826" priority="9144">
      <formula>$H1247="ETAPA"</formula>
    </cfRule>
    <cfRule type="expression" dxfId="5825" priority="9143">
      <formula>$H1247="SUBETAPA"</formula>
    </cfRule>
  </conditionalFormatting>
  <conditionalFormatting sqref="H1252:H1253">
    <cfRule type="expression" dxfId="5824" priority="9142">
      <formula>$H1252="ETAPA"</formula>
    </cfRule>
    <cfRule type="expression" dxfId="5823" priority="9141">
      <formula>$H1252="SUBETAPA"</formula>
    </cfRule>
  </conditionalFormatting>
  <conditionalFormatting sqref="H1264:H1265">
    <cfRule type="expression" dxfId="5822" priority="9140">
      <formula>$H1264="ETAPA"</formula>
    </cfRule>
    <cfRule type="expression" dxfId="5821" priority="9139">
      <formula>$H1264="SUBETAPA"</formula>
    </cfRule>
  </conditionalFormatting>
  <conditionalFormatting sqref="H1273">
    <cfRule type="expression" dxfId="5820" priority="9138">
      <formula>$H1273="ETAPA"</formula>
    </cfRule>
    <cfRule type="expression" dxfId="5819" priority="9137">
      <formula>$H1273="SUBETAPA"</formula>
    </cfRule>
  </conditionalFormatting>
  <conditionalFormatting sqref="H1273:H1278">
    <cfRule type="expression" dxfId="5818" priority="9136">
      <formula>$H1273="CÉLULA CONSTRUTIVA"</formula>
    </cfRule>
  </conditionalFormatting>
  <conditionalFormatting sqref="H1274:H1278">
    <cfRule type="expression" dxfId="5817" priority="9132">
      <formula>$H1274="SUBETAPA"</formula>
    </cfRule>
    <cfRule type="expression" dxfId="5816" priority="9134">
      <formula>$H1274="ETAPA"</formula>
    </cfRule>
  </conditionalFormatting>
  <conditionalFormatting sqref="H1286:H1287">
    <cfRule type="expression" dxfId="5815" priority="9131">
      <formula>$H1286="ETAPA"</formula>
    </cfRule>
    <cfRule type="expression" dxfId="5814" priority="9130">
      <formula>$H1286="SUBETAPA"</formula>
    </cfRule>
  </conditionalFormatting>
  <conditionalFormatting sqref="H1295 K1295 O1295">
    <cfRule type="expression" dxfId="5813" priority="9129">
      <formula>$H1295="ETAPA"</formula>
    </cfRule>
  </conditionalFormatting>
  <conditionalFormatting sqref="H1295 K1295">
    <cfRule type="expression" dxfId="5812" priority="9128">
      <formula>$H1295="SUBETAPA"</formula>
    </cfRule>
  </conditionalFormatting>
  <conditionalFormatting sqref="H1296 K1296 O1296 H1298 J1298:K1298 O1298">
    <cfRule type="expression" dxfId="5811" priority="9126">
      <formula>$H1296="ETAPA"</formula>
    </cfRule>
  </conditionalFormatting>
  <conditionalFormatting sqref="H1297 K1297 O1297">
    <cfRule type="expression" dxfId="5810" priority="9124">
      <formula>$H1297="ETAPA"</formula>
    </cfRule>
  </conditionalFormatting>
  <conditionalFormatting sqref="H1304:H1305">
    <cfRule type="expression" dxfId="5809" priority="9122">
      <formula>$H1304="SUBETAPA"</formula>
    </cfRule>
  </conditionalFormatting>
  <conditionalFormatting sqref="H1310:H1311">
    <cfRule type="expression" dxfId="5808" priority="9120">
      <formula>$H1310="SUBETAPA"</formula>
    </cfRule>
    <cfRule type="expression" dxfId="5807" priority="9121">
      <formula>$H1310="ETAPA"</formula>
    </cfRule>
  </conditionalFormatting>
  <conditionalFormatting sqref="H1317 K1317 O1317">
    <cfRule type="expression" dxfId="5806" priority="9119">
      <formula>$H1317="ETAPA"</formula>
    </cfRule>
  </conditionalFormatting>
  <conditionalFormatting sqref="H1317 K1317">
    <cfRule type="expression" dxfId="5805" priority="9118">
      <formula>$H1317="SUBETAPA"</formula>
    </cfRule>
  </conditionalFormatting>
  <conditionalFormatting sqref="H1318 K1318 O1318 H1320 J1320:K1320 O1320">
    <cfRule type="expression" dxfId="5804" priority="9116">
      <formula>$H1318="ETAPA"</formula>
    </cfRule>
  </conditionalFormatting>
  <conditionalFormatting sqref="H1319 K1319 O1319">
    <cfRule type="expression" dxfId="5803" priority="9114">
      <formula>$H1319="ETAPA"</formula>
    </cfRule>
  </conditionalFormatting>
  <conditionalFormatting sqref="H1329:H1330">
    <cfRule type="expression" dxfId="5802" priority="9112">
      <formula>$H1329="ETAPA"</formula>
    </cfRule>
    <cfRule type="expression" dxfId="5801" priority="9111">
      <formula>$H1329="SUBETAPA"</formula>
    </cfRule>
  </conditionalFormatting>
  <conditionalFormatting sqref="H1335 K1335 O1335">
    <cfRule type="expression" dxfId="5800" priority="9110">
      <formula>$H1335="ETAPA"</formula>
    </cfRule>
  </conditionalFormatting>
  <conditionalFormatting sqref="H1336 K1336 O1336">
    <cfRule type="expression" dxfId="5799" priority="9108">
      <formula>$H1336="ETAPA"</formula>
    </cfRule>
  </conditionalFormatting>
  <conditionalFormatting sqref="H1337 J1337:K1337 O1337">
    <cfRule type="expression" dxfId="5798" priority="9106">
      <formula>$H1337="ETAPA"</formula>
    </cfRule>
  </conditionalFormatting>
  <conditionalFormatting sqref="H1348:H1349">
    <cfRule type="expression" dxfId="5797" priority="9104">
      <formula>$H1348="ETAPA"</formula>
    </cfRule>
    <cfRule type="expression" dxfId="5796" priority="9103">
      <formula>$H1348="SUBETAPA"</formula>
    </cfRule>
  </conditionalFormatting>
  <conditionalFormatting sqref="H1355 K1355 O1355">
    <cfRule type="expression" dxfId="5795" priority="9102">
      <formula>$H1355="ETAPA"</formula>
    </cfRule>
  </conditionalFormatting>
  <conditionalFormatting sqref="H1355 K1355">
    <cfRule type="expression" dxfId="5794" priority="9101">
      <formula>$H1355="SUBETAPA"</formula>
    </cfRule>
  </conditionalFormatting>
  <conditionalFormatting sqref="H1356 K1356 O1356 H1358 J1358:K1358 O1358">
    <cfRule type="expression" dxfId="5793" priority="9099">
      <formula>$H1356="ETAPA"</formula>
    </cfRule>
  </conditionalFormatting>
  <conditionalFormatting sqref="H1357 K1357 O1357">
    <cfRule type="expression" dxfId="5792" priority="9097">
      <formula>$H1357="ETAPA"</formula>
    </cfRule>
  </conditionalFormatting>
  <conditionalFormatting sqref="H1369:H1370">
    <cfRule type="expression" dxfId="5791" priority="9095">
      <formula>$H1369="ETAPA"</formula>
    </cfRule>
    <cfRule type="expression" dxfId="5790" priority="9094">
      <formula>$H1369="SUBETAPA"</formula>
    </cfRule>
  </conditionalFormatting>
  <conditionalFormatting sqref="H1376 K1376 O1376">
    <cfRule type="expression" dxfId="5789" priority="9093">
      <formula>$H1376="ETAPA"</formula>
    </cfRule>
  </conditionalFormatting>
  <conditionalFormatting sqref="H1376 K1376">
    <cfRule type="expression" dxfId="5788" priority="9092">
      <formula>$H1376="SUBETAPA"</formula>
    </cfRule>
  </conditionalFormatting>
  <conditionalFormatting sqref="H1377 K1377 O1377 H1379 J1379:K1379 O1379">
    <cfRule type="expression" dxfId="5787" priority="9090">
      <formula>$H1377="ETAPA"</formula>
    </cfRule>
  </conditionalFormatting>
  <conditionalFormatting sqref="H1378 K1378 O1378">
    <cfRule type="expression" dxfId="5786" priority="9088">
      <formula>$H1378="ETAPA"</formula>
    </cfRule>
  </conditionalFormatting>
  <conditionalFormatting sqref="H1385:H1386">
    <cfRule type="expression" dxfId="5785" priority="9086">
      <formula>$H1385="SUBETAPA"</formula>
    </cfRule>
  </conditionalFormatting>
  <conditionalFormatting sqref="H1393:H1394">
    <cfRule type="expression" dxfId="5784" priority="9085">
      <formula>$H1393="ETAPA"</formula>
    </cfRule>
    <cfRule type="expression" dxfId="5783" priority="9084">
      <formula>$H1393="SUBETAPA"</formula>
    </cfRule>
  </conditionalFormatting>
  <conditionalFormatting sqref="H1400 K1400 O1400">
    <cfRule type="expression" dxfId="5782" priority="9083">
      <formula>$H1400="ETAPA"</formula>
    </cfRule>
  </conditionalFormatting>
  <conditionalFormatting sqref="H1400 K1400">
    <cfRule type="expression" dxfId="5781" priority="9082">
      <formula>$H1400="SUBETAPA"</formula>
    </cfRule>
  </conditionalFormatting>
  <conditionalFormatting sqref="H1401 K1401 O1401 H1403 J1403:K1403 O1403">
    <cfRule type="expression" dxfId="5780" priority="9080">
      <formula>$H1401="ETAPA"</formula>
    </cfRule>
  </conditionalFormatting>
  <conditionalFormatting sqref="H1402 K1402 O1402">
    <cfRule type="expression" dxfId="5779" priority="9078">
      <formula>$H1402="ETAPA"</formula>
    </cfRule>
  </conditionalFormatting>
  <conditionalFormatting sqref="H1409:H1410">
    <cfRule type="expression" dxfId="5778" priority="9076">
      <formula>$H1409="SUBETAPA"</formula>
    </cfRule>
  </conditionalFormatting>
  <conditionalFormatting sqref="H1413:H1414">
    <cfRule type="expression" dxfId="5777" priority="9075">
      <formula>$H1413="ETAPA"</formula>
    </cfRule>
    <cfRule type="expression" dxfId="5776" priority="9074">
      <formula>$H1413="SUBETAPA"</formula>
    </cfRule>
  </conditionalFormatting>
  <conditionalFormatting sqref="H1418 K1418 O1418">
    <cfRule type="expression" dxfId="5775" priority="9073">
      <formula>$H1418="ETAPA"</formula>
    </cfRule>
  </conditionalFormatting>
  <conditionalFormatting sqref="H1419 K1419 O1419">
    <cfRule type="expression" dxfId="5774" priority="9071">
      <formula>$H1419="ETAPA"</formula>
    </cfRule>
  </conditionalFormatting>
  <conditionalFormatting sqref="H1420 K1420 O1420">
    <cfRule type="expression" dxfId="5773" priority="9069">
      <formula>$H1420="ETAPA"</formula>
    </cfRule>
  </conditionalFormatting>
  <conditionalFormatting sqref="H1430 K1430 O1430">
    <cfRule type="expression" dxfId="5772" priority="9067">
      <formula>$H1430="ETAPA"</formula>
    </cfRule>
  </conditionalFormatting>
  <conditionalFormatting sqref="H1431 K1431 O1431">
    <cfRule type="expression" dxfId="5771" priority="9065">
      <formula>$H1431="ETAPA"</formula>
    </cfRule>
  </conditionalFormatting>
  <conditionalFormatting sqref="H1432 K1432 O1432">
    <cfRule type="expression" dxfId="5770" priority="9063">
      <formula>$H1432="ETAPA"</formula>
    </cfRule>
  </conditionalFormatting>
  <conditionalFormatting sqref="H1435 J1435:L1435 L1436:L1440">
    <cfRule type="expression" dxfId="5769" priority="8666">
      <formula>$H1435="SUBETAPA"</formula>
    </cfRule>
  </conditionalFormatting>
  <conditionalFormatting sqref="H1435 J1435:M1435">
    <cfRule type="expression" dxfId="5768" priority="8665">
      <formula>$H1435="CÉLULA CONSTRUTIVA"</formula>
    </cfRule>
  </conditionalFormatting>
  <conditionalFormatting sqref="H1437:H1440 J1437:J1440">
    <cfRule type="expression" dxfId="5767" priority="8664">
      <formula>$H1437="SUBETAPA"</formula>
    </cfRule>
  </conditionalFormatting>
  <conditionalFormatting sqref="H1437:H1440">
    <cfRule type="expression" dxfId="5766" priority="8662">
      <formula>$H1437="CÉLULA CONSTRUTIVA"</formula>
    </cfRule>
    <cfRule type="expression" dxfId="5765" priority="8663">
      <formula>$H1437="ETAPA"</formula>
    </cfRule>
  </conditionalFormatting>
  <conditionalFormatting sqref="H1446 J1446:K1446">
    <cfRule type="expression" dxfId="5764" priority="8661">
      <formula>$H1446="CÉLULA CONSTRUTIVA"</formula>
    </cfRule>
    <cfRule type="expression" dxfId="5763"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2" priority="10198">
      <formula>$H1448="ETAPA"</formula>
    </cfRule>
  </conditionalFormatting>
  <conditionalFormatting sqref="H1456 J1456:K1456">
    <cfRule type="expression" dxfId="5761" priority="8659">
      <formula>$H1456="CÉLULA CONSTRUTIVA"</formula>
    </cfRule>
    <cfRule type="expression" dxfId="5760" priority="8658">
      <formula>$H1456="SUBETAPA"</formula>
    </cfRule>
  </conditionalFormatting>
  <conditionalFormatting sqref="H1458:H1461 H1467:H1468 H1474:H1475 H1481:H1483 H1489:H1493 H1448:H1449 H1499:H1500 H1507:H1509 H1518:H1520 H1551:H1553 H1562:H1563">
    <cfRule type="expression" dxfId="5759" priority="10197">
      <formula>$H1448="CÉLULA CONSTRUTIVA"</formula>
    </cfRule>
  </conditionalFormatting>
  <conditionalFormatting sqref="H1459:H1462 J1462:M1462">
    <cfRule type="expression" dxfId="5758" priority="8657">
      <formula>$H1459="SUBETAPA"</formula>
    </cfRule>
  </conditionalFormatting>
  <conditionalFormatting sqref="H1462 J1462:M1462">
    <cfRule type="expression" dxfId="5757" priority="8656">
      <formula>$H1462="CÉLULA CONSTRUTIVA"</formula>
    </cfRule>
  </conditionalFormatting>
  <conditionalFormatting sqref="H1462">
    <cfRule type="expression" dxfId="5756" priority="8655">
      <formula>$H1462="ETAPA"</formula>
    </cfRule>
  </conditionalFormatting>
  <conditionalFormatting sqref="H1465 J1465:K1465">
    <cfRule type="expression" dxfId="5755" priority="8654">
      <formula>$H1465="CÉLULA CONSTRUTIVA"</formula>
    </cfRule>
    <cfRule type="expression" dxfId="5754" priority="8653">
      <formula>$H1465="SUBETAPA"</formula>
    </cfRule>
  </conditionalFormatting>
  <conditionalFormatting sqref="H1468:H1469 J1469:M1469">
    <cfRule type="expression" dxfId="5753" priority="8652">
      <formula>$H1468="SUBETAPA"</formula>
    </cfRule>
  </conditionalFormatting>
  <conditionalFormatting sqref="H1469 J1469:M1469">
    <cfRule type="expression" dxfId="5752" priority="8651">
      <formula>$H1469="CÉLULA CONSTRUTIVA"</formula>
    </cfRule>
  </conditionalFormatting>
  <conditionalFormatting sqref="H1469">
    <cfRule type="expression" dxfId="5751" priority="8650">
      <formula>$H1469="ETAPA"</formula>
    </cfRule>
  </conditionalFormatting>
  <conditionalFormatting sqref="H1472 J1472:K1472">
    <cfRule type="expression" dxfId="5750" priority="8648">
      <formula>$H1472="SUBETAPA"</formula>
    </cfRule>
    <cfRule type="expression" dxfId="5749" priority="8649">
      <formula>$H1472="CÉLULA CONSTRUTIVA"</formula>
    </cfRule>
  </conditionalFormatting>
  <conditionalFormatting sqref="H1475:H1476 J1476:M1476">
    <cfRule type="expression" dxfId="5748" priority="8647">
      <formula>$H1475="SUBETAPA"</formula>
    </cfRule>
  </conditionalFormatting>
  <conditionalFormatting sqref="H1476 J1476:M1476">
    <cfRule type="expression" dxfId="5747" priority="8646">
      <formula>$H1476="CÉLULA CONSTRUTIVA"</formula>
    </cfRule>
  </conditionalFormatting>
  <conditionalFormatting sqref="H1476">
    <cfRule type="expression" dxfId="5746" priority="8645">
      <formula>$H1476="ETAPA"</formula>
    </cfRule>
  </conditionalFormatting>
  <conditionalFormatting sqref="H1479 J1479:K1479 L1480">
    <cfRule type="expression" dxfId="5745" priority="8644">
      <formula>$H1479="CÉLULA CONSTRUTIVA"</formula>
    </cfRule>
  </conditionalFormatting>
  <conditionalFormatting sqref="H1479 J1479:K1479">
    <cfRule type="expression" dxfId="5744" priority="8643">
      <formula>$H1479="SUBETAPA"</formula>
    </cfRule>
  </conditionalFormatting>
  <conditionalFormatting sqref="H1483:H1484 J1484:M1484">
    <cfRule type="expression" dxfId="5743" priority="8642">
      <formula>$H1483="SUBETAPA"</formula>
    </cfRule>
  </conditionalFormatting>
  <conditionalFormatting sqref="H1484 J1484:M1484">
    <cfRule type="expression" dxfId="5742" priority="8641">
      <formula>$H1484="CÉLULA CONSTRUTIVA"</formula>
    </cfRule>
  </conditionalFormatting>
  <conditionalFormatting sqref="H1484">
    <cfRule type="expression" dxfId="5741" priority="8640">
      <formula>$H1484="ETAPA"</formula>
    </cfRule>
  </conditionalFormatting>
  <conditionalFormatting sqref="H1487 J1487:K1487 L1488">
    <cfRule type="expression" dxfId="5740" priority="8639">
      <formula>$H1487="CÉLULA CONSTRUTIVA"</formula>
    </cfRule>
  </conditionalFormatting>
  <conditionalFormatting sqref="H1487 J1487:K1487">
    <cfRule type="expression" dxfId="5739" priority="8638">
      <formula>$H1487="SUBETAPA"</formula>
    </cfRule>
  </conditionalFormatting>
  <conditionalFormatting sqref="H1491:H1494 J1494:M1494">
    <cfRule type="expression" dxfId="5738" priority="8637">
      <formula>$H1491="SUBETAPA"</formula>
    </cfRule>
  </conditionalFormatting>
  <conditionalFormatting sqref="H1494 J1494:M1494">
    <cfRule type="expression" dxfId="5737" priority="8636">
      <formula>$H1494="CÉLULA CONSTRUTIVA"</formula>
    </cfRule>
  </conditionalFormatting>
  <conditionalFormatting sqref="H1494">
    <cfRule type="expression" dxfId="5736" priority="8635">
      <formula>$H1494="ETAPA"</formula>
    </cfRule>
  </conditionalFormatting>
  <conditionalFormatting sqref="H1497 J1497:K1497 L1498">
    <cfRule type="expression" dxfId="5735" priority="8634">
      <formula>$H1497="CÉLULA CONSTRUTIVA"</formula>
    </cfRule>
  </conditionalFormatting>
  <conditionalFormatting sqref="H1497 J1497:K1497">
    <cfRule type="expression" dxfId="5734" priority="8633">
      <formula>$H1497="SUBETAPA"</formula>
    </cfRule>
  </conditionalFormatting>
  <conditionalFormatting sqref="H1505 J1505:K1505 L1506">
    <cfRule type="expression" dxfId="5733" priority="8632">
      <formula>$H1505="CÉLULA CONSTRUTIVA"</formula>
    </cfRule>
  </conditionalFormatting>
  <conditionalFormatting sqref="H1505 J1505:K1505">
    <cfRule type="expression" dxfId="5732" priority="8631">
      <formula>$H1505="SUBETAPA"</formula>
    </cfRule>
  </conditionalFormatting>
  <conditionalFormatting sqref="H1516 J1516:K1516 L1517">
    <cfRule type="expression" dxfId="5731" priority="8630">
      <formula>$H1516="CÉLULA CONSTRUTIVA"</formula>
    </cfRule>
  </conditionalFormatting>
  <conditionalFormatting sqref="H1516 J1516:K1516">
    <cfRule type="expression" dxfId="5730" priority="8629">
      <formula>$H1516="SUBETAPA"</formula>
    </cfRule>
  </conditionalFormatting>
  <conditionalFormatting sqref="H1527 J1527:K1527 L1528">
    <cfRule type="expression" dxfId="5729" priority="8628">
      <formula>$H1527="CÉLULA CONSTRUTIVA"</formula>
    </cfRule>
  </conditionalFormatting>
  <conditionalFormatting sqref="H1527 J1527:K1527">
    <cfRule type="expression" dxfId="5728" priority="8627">
      <formula>$H1527="SUBETAPA"</formula>
    </cfRule>
  </conditionalFormatting>
  <conditionalFormatting sqref="H1538 J1538:K1538 L1539">
    <cfRule type="expression" dxfId="5727" priority="8626">
      <formula>$H1538="CÉLULA CONSTRUTIVA"</formula>
    </cfRule>
  </conditionalFormatting>
  <conditionalFormatting sqref="H1538 J1538:K1538">
    <cfRule type="expression" dxfId="5726" priority="8625">
      <formula>$H1538="SUBETAPA"</formula>
    </cfRule>
  </conditionalFormatting>
  <conditionalFormatting sqref="H1549 J1549:K1549 L1550">
    <cfRule type="expression" dxfId="5725" priority="8621">
      <formula>$H1549="CÉLULA CONSTRUTIVA"</formula>
    </cfRule>
  </conditionalFormatting>
  <conditionalFormatting sqref="H1549 J1549:K1549">
    <cfRule type="expression" dxfId="5724" priority="8620">
      <formula>$H1549="SUBETAPA"</formula>
    </cfRule>
  </conditionalFormatting>
  <conditionalFormatting sqref="H1560 J1560:K1560 L1561">
    <cfRule type="expression" dxfId="5723" priority="5719">
      <formula>$H1560="SUBETAPA"</formula>
    </cfRule>
  </conditionalFormatting>
  <conditionalFormatting sqref="H1567 J1567:K1567 M1567:M1569">
    <cfRule type="expression" dxfId="5722" priority="8617">
      <formula>$H1567="ETAPA"</formula>
    </cfRule>
  </conditionalFormatting>
  <conditionalFormatting sqref="H1567:H1568 J1567:K1568 O1568 G1569:H1569 J1569:L1569">
    <cfRule type="expression" dxfId="5721" priority="8614">
      <formula>$H1567="SUBETAPA"</formula>
    </cfRule>
  </conditionalFormatting>
  <conditionalFormatting sqref="H1568 J1568:L1569">
    <cfRule type="expression" dxfId="5720" priority="8615">
      <formula>$H1568="CÉLULA CONSTRUTIVA"</formula>
    </cfRule>
  </conditionalFormatting>
  <conditionalFormatting sqref="H1568">
    <cfRule type="expression" dxfId="5719" priority="8613">
      <formula>$H1568="ETAPA"</formula>
    </cfRule>
  </conditionalFormatting>
  <conditionalFormatting sqref="H1573 J1573:K1573 M1573:M1575">
    <cfRule type="expression" dxfId="5718" priority="8611">
      <formula>$H1573="ETAPA"</formula>
    </cfRule>
  </conditionalFormatting>
  <conditionalFormatting sqref="H1573:H1574 J1573:K1574 O1574 G1575:H1575 J1575:L1575">
    <cfRule type="expression" dxfId="5717" priority="8608">
      <formula>$H1573="SUBETAPA"</formula>
    </cfRule>
  </conditionalFormatting>
  <conditionalFormatting sqref="H1574 J1574:L1575">
    <cfRule type="expression" dxfId="5716" priority="8609">
      <formula>$H1574="CÉLULA CONSTRUTIVA"</formula>
    </cfRule>
  </conditionalFormatting>
  <conditionalFormatting sqref="H1574">
    <cfRule type="expression" dxfId="5715" priority="8607">
      <formula>$H1574="ETAPA"</formula>
    </cfRule>
  </conditionalFormatting>
  <conditionalFormatting sqref="H1579 J1579:K1579 M1579:M1581">
    <cfRule type="expression" dxfId="5714" priority="8605">
      <formula>$H1579="ETAPA"</formula>
    </cfRule>
  </conditionalFormatting>
  <conditionalFormatting sqref="H1579:H1580 J1579:K1580 O1580 G1581:H1581 J1581:L1581">
    <cfRule type="expression" dxfId="5713" priority="8602">
      <formula>$H1579="SUBETAPA"</formula>
    </cfRule>
  </conditionalFormatting>
  <conditionalFormatting sqref="H1580 J1580:L1581">
    <cfRule type="expression" dxfId="5712" priority="8603">
      <formula>$H1580="CÉLULA CONSTRUTIVA"</formula>
    </cfRule>
  </conditionalFormatting>
  <conditionalFormatting sqref="H1580">
    <cfRule type="expression" dxfId="5711" priority="8601">
      <formula>$H1580="ETAPA"</formula>
    </cfRule>
  </conditionalFormatting>
  <conditionalFormatting sqref="H1583:H1585 J1584:K1585 M1584:M1585 J1582:M1583 O1583">
    <cfRule type="expression" dxfId="5710" priority="8599">
      <formula>$H1582="SUBETAPA"</formula>
    </cfRule>
  </conditionalFormatting>
  <conditionalFormatting sqref="H1584:H1586 J1584:M1586 M1587:M1590">
    <cfRule type="expression" dxfId="5709" priority="8598">
      <formula>$H1584="CÉLULA CONSTRUTIVA"</formula>
    </cfRule>
  </conditionalFormatting>
  <conditionalFormatting sqref="H1586 J1586:K1586 M1586">
    <cfRule type="expression" dxfId="5708" priority="8597">
      <formula>$H1586="ETAPA"</formula>
    </cfRule>
  </conditionalFormatting>
  <conditionalFormatting sqref="H1587 J1587:L1587 O1587">
    <cfRule type="expression" dxfId="5707" priority="8595">
      <formula>$H1587="ETAPA"</formula>
    </cfRule>
  </conditionalFormatting>
  <conditionalFormatting sqref="H1592:H1594 J1593:K1594 M1593:M1594 J1591:M1592 O1592">
    <cfRule type="expression" dxfId="5706" priority="8591">
      <formula>$H1591="SUBETAPA"</formula>
    </cfRule>
  </conditionalFormatting>
  <conditionalFormatting sqref="H1593:H1595 J1593:M1595 M1596:M1599">
    <cfRule type="expression" dxfId="5705" priority="8590">
      <formula>$H1593="CÉLULA CONSTRUTIVA"</formula>
    </cfRule>
  </conditionalFormatting>
  <conditionalFormatting sqref="H1595 J1595:K1595 M1595">
    <cfRule type="expression" dxfId="5704" priority="8589">
      <formula>$H1595="ETAPA"</formula>
    </cfRule>
  </conditionalFormatting>
  <conditionalFormatting sqref="H1596 J1596:L1596 O1596">
    <cfRule type="expression" dxfId="5703" priority="8587">
      <formula>$H1596="ETAPA"</formula>
    </cfRule>
  </conditionalFormatting>
  <conditionalFormatting sqref="H1601:H1603 J1602:K1603 M1602:M1603 J1600:M1601 O1601">
    <cfRule type="expression" dxfId="5702" priority="8583">
      <formula>$H1600="SUBETAPA"</formula>
    </cfRule>
  </conditionalFormatting>
  <conditionalFormatting sqref="H1602:H1604 J1602:M1604 M1605:M1608">
    <cfRule type="expression" dxfId="5701" priority="8582">
      <formula>$H1602="CÉLULA CONSTRUTIVA"</formula>
    </cfRule>
  </conditionalFormatting>
  <conditionalFormatting sqref="H1604 J1604:K1604 M1604">
    <cfRule type="expression" dxfId="5700" priority="8581">
      <formula>$H1604="ETAPA"</formula>
    </cfRule>
  </conditionalFormatting>
  <conditionalFormatting sqref="H1605 J1605:L1605 O1605">
    <cfRule type="expression" dxfId="5699" priority="8579">
      <formula>$H1605="ETAPA"</formula>
    </cfRule>
  </conditionalFormatting>
  <conditionalFormatting sqref="H1610:H1612 J1611:K1612 M1611:M1612 J1609:M1610 O1610">
    <cfRule type="expression" dxfId="5698" priority="8575">
      <formula>$H1609="SUBETAPA"</formula>
    </cfRule>
  </conditionalFormatting>
  <conditionalFormatting sqref="H1611:H1613 J1611:M1613 M1614:M1617">
    <cfRule type="expression" dxfId="5697" priority="8574">
      <formula>$H1611="CÉLULA CONSTRUTIVA"</formula>
    </cfRule>
  </conditionalFormatting>
  <conditionalFormatting sqref="H1613 J1613:K1613 M1613">
    <cfRule type="expression" dxfId="5696" priority="8573">
      <formula>$H1613="ETAPA"</formula>
    </cfRule>
  </conditionalFormatting>
  <conditionalFormatting sqref="H1614 J1614:L1614 O1614">
    <cfRule type="expression" dxfId="5695" priority="8571">
      <formula>$H1614="ETAPA"</formula>
    </cfRule>
  </conditionalFormatting>
  <conditionalFormatting sqref="H1619:H1621 J1620:K1621 M1620:M1621 J1618:M1619 O1619">
    <cfRule type="expression" dxfId="5694" priority="8567">
      <formula>$H1618="SUBETAPA"</formula>
    </cfRule>
  </conditionalFormatting>
  <conditionalFormatting sqref="H1620:H1622 J1620:M1622">
    <cfRule type="expression" dxfId="5693" priority="8566">
      <formula>$H1620="CÉLULA CONSTRUTIVA"</formula>
    </cfRule>
  </conditionalFormatting>
  <conditionalFormatting sqref="H1622 J1622:K1622 M1622:M1624">
    <cfRule type="expression" dxfId="5692" priority="8565">
      <formula>$H1622="ETAPA"</formula>
    </cfRule>
  </conditionalFormatting>
  <conditionalFormatting sqref="H1622:H1623 J1622:K1624 O1623 G1624:H1624">
    <cfRule type="expression" dxfId="5691" priority="8561">
      <formula>$H1622="SUBETAPA"</formula>
    </cfRule>
  </conditionalFormatting>
  <conditionalFormatting sqref="H1623 J1624:K1624">
    <cfRule type="expression" dxfId="5690" priority="8563">
      <formula>$H1623="ETAPA"</formula>
    </cfRule>
  </conditionalFormatting>
  <conditionalFormatting sqref="H1623 J1623:L1623">
    <cfRule type="expression" dxfId="5689" priority="8562">
      <formula>$H1623="CÉLULA CONSTRUTIVA"</formula>
    </cfRule>
  </conditionalFormatting>
  <conditionalFormatting sqref="H1632 J1632:K1632">
    <cfRule type="expression" dxfId="5688" priority="8559">
      <formula>$H1632="ETAPA"</formula>
    </cfRule>
  </conditionalFormatting>
  <conditionalFormatting sqref="H1632:H1633">
    <cfRule type="expression" dxfId="5687" priority="8556">
      <formula>$H1632="SUBETAPA"</formula>
    </cfRule>
  </conditionalFormatting>
  <conditionalFormatting sqref="H1633 J1633">
    <cfRule type="expression" dxfId="5686" priority="8557">
      <formula>$H1633="ETAPA"</formula>
    </cfRule>
  </conditionalFormatting>
  <conditionalFormatting sqref="H1635 J1635:K1635">
    <cfRule type="expression" dxfId="5685" priority="8554">
      <formula>$H1635="CÉLULA CONSTRUTIVA"</formula>
    </cfRule>
    <cfRule type="expression" dxfId="5684" priority="8555">
      <formula>$H1635="SUBETAPA"</formula>
    </cfRule>
  </conditionalFormatting>
  <conditionalFormatting sqref="H1635">
    <cfRule type="expression" dxfId="5683" priority="8553">
      <formula>$H1635="ETAPA"</formula>
    </cfRule>
  </conditionalFormatting>
  <conditionalFormatting sqref="H1644 J1644:K1644">
    <cfRule type="expression" dxfId="5682" priority="8550">
      <formula>$H1644="CÉLULA CONSTRUTIVA"</formula>
    </cfRule>
    <cfRule type="expression" dxfId="5681" priority="8551">
      <formula>$H1644="SUBETAPA"</formula>
    </cfRule>
  </conditionalFormatting>
  <conditionalFormatting sqref="H1644">
    <cfRule type="expression" dxfId="5680" priority="8549">
      <formula>$H1644="ETAPA"</formula>
    </cfRule>
  </conditionalFormatting>
  <conditionalFormatting sqref="H1653 J1653:K1653">
    <cfRule type="expression" dxfId="5679" priority="8546">
      <formula>$H1653="CÉLULA CONSTRUTIVA"</formula>
    </cfRule>
    <cfRule type="expression" dxfId="5678" priority="8547">
      <formula>$H1653="SUBETAPA"</formula>
    </cfRule>
  </conditionalFormatting>
  <conditionalFormatting sqref="H1653">
    <cfRule type="expression" dxfId="5677" priority="8545">
      <formula>$H1653="ETAPA"</formula>
    </cfRule>
  </conditionalFormatting>
  <conditionalFormatting sqref="H1662 J1662:K1662">
    <cfRule type="expression" dxfId="5676" priority="8542">
      <formula>$H1662="CÉLULA CONSTRUTIVA"</formula>
    </cfRule>
    <cfRule type="expression" dxfId="5675" priority="8543">
      <formula>$H1662="SUBETAPA"</formula>
    </cfRule>
  </conditionalFormatting>
  <conditionalFormatting sqref="H1662">
    <cfRule type="expression" dxfId="5674" priority="8541">
      <formula>$H1662="ETAPA"</formula>
    </cfRule>
  </conditionalFormatting>
  <conditionalFormatting sqref="H1671 J1671:K1671">
    <cfRule type="expression" dxfId="5673" priority="8539">
      <formula>$H1671="SUBETAPA"</formula>
    </cfRule>
    <cfRule type="expression" dxfId="5672" priority="8538">
      <formula>$H1671="CÉLULA CONSTRUTIVA"</formula>
    </cfRule>
  </conditionalFormatting>
  <conditionalFormatting sqref="H1671">
    <cfRule type="expression" dxfId="5671" priority="8537">
      <formula>$H1671="ETAPA"</formula>
    </cfRule>
  </conditionalFormatting>
  <conditionalFormatting sqref="H1680 J1680:K1680">
    <cfRule type="expression" dxfId="5670" priority="8534">
      <formula>$H1680="CÉLULA CONSTRUTIVA"</formula>
    </cfRule>
    <cfRule type="expression" dxfId="5669" priority="8535">
      <formula>$H1680="SUBETAPA"</formula>
    </cfRule>
  </conditionalFormatting>
  <conditionalFormatting sqref="H1680">
    <cfRule type="expression" dxfId="5668" priority="8533">
      <formula>$H1680="ETAPA"</formula>
    </cfRule>
  </conditionalFormatting>
  <conditionalFormatting sqref="H1688 J1688:K1688">
    <cfRule type="expression" dxfId="5667" priority="8531">
      <formula>$H1688="ETAPA"</formula>
    </cfRule>
  </conditionalFormatting>
  <conditionalFormatting sqref="H1688:H1689">
    <cfRule type="expression" dxfId="5666" priority="8528">
      <formula>$H1688="SUBETAPA"</formula>
    </cfRule>
  </conditionalFormatting>
  <conditionalFormatting sqref="H1689 J1689">
    <cfRule type="expression" dxfId="5665" priority="8529">
      <formula>$H1689="ETAPA"</formula>
    </cfRule>
  </conditionalFormatting>
  <conditionalFormatting sqref="H1691 J1691:K1691">
    <cfRule type="expression" dxfId="5664" priority="8527">
      <formula>$H1691="SUBETAPA"</formula>
    </cfRule>
    <cfRule type="expression" dxfId="5663" priority="8526">
      <formula>$H1691="CÉLULA CONSTRUTIVA"</formula>
    </cfRule>
  </conditionalFormatting>
  <conditionalFormatting sqref="H1691">
    <cfRule type="expression" dxfId="5662" priority="8525">
      <formula>$H1691="ETAPA"</formula>
    </cfRule>
  </conditionalFormatting>
  <conditionalFormatting sqref="H1699 J1699:K1699">
    <cfRule type="expression" dxfId="5661" priority="8523">
      <formula>$H1699="ETAPA"</formula>
    </cfRule>
  </conditionalFormatting>
  <conditionalFormatting sqref="H1699:H1700">
    <cfRule type="expression" dxfId="5660" priority="8520">
      <formula>$H1699="SUBETAPA"</formula>
    </cfRule>
  </conditionalFormatting>
  <conditionalFormatting sqref="H1700 J1700">
    <cfRule type="expression" dxfId="5659" priority="8521">
      <formula>$H1700="ETAPA"</formula>
    </cfRule>
  </conditionalFormatting>
  <conditionalFormatting sqref="H1702 J1702:L1702">
    <cfRule type="expression" dxfId="5658" priority="8518">
      <formula>$H1702="CÉLULA CONSTRUTIVA"</formula>
    </cfRule>
  </conditionalFormatting>
  <conditionalFormatting sqref="H1702">
    <cfRule type="expression" dxfId="5657" priority="8517">
      <formula>$H1702="ETAPA"</formula>
    </cfRule>
  </conditionalFormatting>
  <conditionalFormatting sqref="H1711 J1711:K1711">
    <cfRule type="expression" dxfId="5656" priority="8515">
      <formula>$H1711="SUBETAPA"</formula>
    </cfRule>
    <cfRule type="expression" dxfId="5655" priority="8514">
      <formula>$H1711="CÉLULA CONSTRUTIVA"</formula>
    </cfRule>
  </conditionalFormatting>
  <conditionalFormatting sqref="H1711">
    <cfRule type="expression" dxfId="5654" priority="8513">
      <formula>$H1711="ETAPA"</formula>
    </cfRule>
  </conditionalFormatting>
  <conditionalFormatting sqref="H1720 J1720:K1720">
    <cfRule type="expression" dxfId="5653" priority="8511">
      <formula>$H1720="SUBETAPA"</formula>
    </cfRule>
    <cfRule type="expression" dxfId="5652" priority="8510">
      <formula>$H1720="CÉLULA CONSTRUTIVA"</formula>
    </cfRule>
  </conditionalFormatting>
  <conditionalFormatting sqref="H1720">
    <cfRule type="expression" dxfId="5651" priority="8509">
      <formula>$H1720="ETAPA"</formula>
    </cfRule>
  </conditionalFormatting>
  <conditionalFormatting sqref="H1729 J1729:K1729">
    <cfRule type="expression" dxfId="5650" priority="8507">
      <formula>$H1729="SUBETAPA"</formula>
    </cfRule>
    <cfRule type="expression" dxfId="5649" priority="8506">
      <formula>$H1729="CÉLULA CONSTRUTIVA"</formula>
    </cfRule>
  </conditionalFormatting>
  <conditionalFormatting sqref="H1729">
    <cfRule type="expression" dxfId="5648" priority="8505">
      <formula>$H1729="ETAPA"</formula>
    </cfRule>
  </conditionalFormatting>
  <conditionalFormatting sqref="H1738 J1738:K1738">
    <cfRule type="expression" dxfId="5647" priority="8503">
      <formula>$H1738="SUBETAPA"</formula>
    </cfRule>
    <cfRule type="expression" dxfId="5646" priority="8502">
      <formula>$H1738="CÉLULA CONSTRUTIVA"</formula>
    </cfRule>
  </conditionalFormatting>
  <conditionalFormatting sqref="H1738">
    <cfRule type="expression" dxfId="5645" priority="8501">
      <formula>$H1738="ETAPA"</formula>
    </cfRule>
  </conditionalFormatting>
  <conditionalFormatting sqref="H1746 J1746:K1746">
    <cfRule type="expression" dxfId="5644" priority="8499">
      <formula>$H1746="ETAPA"</formula>
    </cfRule>
  </conditionalFormatting>
  <conditionalFormatting sqref="H1746:H1747">
    <cfRule type="expression" dxfId="5643" priority="8496">
      <formula>$H1746="SUBETAPA"</formula>
    </cfRule>
  </conditionalFormatting>
  <conditionalFormatting sqref="H1747 J1747">
    <cfRule type="expression" dxfId="5642" priority="8497">
      <formula>$H1747="ETAPA"</formula>
    </cfRule>
  </conditionalFormatting>
  <conditionalFormatting sqref="H1749 J1749:L1749">
    <cfRule type="expression" dxfId="5641" priority="8494">
      <formula>$H1749="CÉLULA CONSTRUTIVA"</formula>
    </cfRule>
  </conditionalFormatting>
  <conditionalFormatting sqref="H1749">
    <cfRule type="expression" dxfId="5640" priority="8493">
      <formula>$H1749="ETAPA"</formula>
    </cfRule>
  </conditionalFormatting>
  <conditionalFormatting sqref="H1754 J1754:K1754">
    <cfRule type="expression" dxfId="5639" priority="8491">
      <formula>$H1754="ETAPA"</formula>
    </cfRule>
  </conditionalFormatting>
  <conditionalFormatting sqref="H1754:H1757 J1756:K1757">
    <cfRule type="expression" dxfId="5638" priority="8485">
      <formula>$H1754="SUBETAPA"</formula>
    </cfRule>
  </conditionalFormatting>
  <conditionalFormatting sqref="H1755 J1755">
    <cfRule type="expression" dxfId="5637" priority="8489">
      <formula>$H1755="ETAPA"</formula>
    </cfRule>
  </conditionalFormatting>
  <conditionalFormatting sqref="H1756 J1756:K1756">
    <cfRule type="expression" dxfId="5636" priority="8487">
      <formula>$H1756="ETAPA"</formula>
    </cfRule>
  </conditionalFormatting>
  <conditionalFormatting sqref="H1757 J1757:K1757">
    <cfRule type="expression" dxfId="5635" priority="8484">
      <formula>$H1757="ETAPA"</formula>
    </cfRule>
  </conditionalFormatting>
  <conditionalFormatting sqref="H1759 J1759:L1759">
    <cfRule type="expression" dxfId="5634" priority="8482">
      <formula>$H1759="CÉLULA CONSTRUTIVA"</formula>
    </cfRule>
  </conditionalFormatting>
  <conditionalFormatting sqref="H1759">
    <cfRule type="expression" dxfId="5633" priority="8481">
      <formula>$H1759="ETAPA"</formula>
    </cfRule>
  </conditionalFormatting>
  <conditionalFormatting sqref="H1763 J1763:L1763 L1765:L1766">
    <cfRule type="expression" dxfId="5632" priority="8480">
      <formula>$H1763="SUBETAPA"</formula>
    </cfRule>
  </conditionalFormatting>
  <conditionalFormatting sqref="H1765:H1766 J1766">
    <cfRule type="expression" dxfId="5631" priority="8478">
      <formula>$H1765="SUBETAPA"</formula>
    </cfRule>
  </conditionalFormatting>
  <conditionalFormatting sqref="H1766 J1766:K1766">
    <cfRule type="expression" dxfId="5630" priority="8477">
      <formula>$H1766="ETAPA"</formula>
    </cfRule>
  </conditionalFormatting>
  <conditionalFormatting sqref="H1806:H1807 J1807">
    <cfRule type="expression" dxfId="5629" priority="8471">
      <formula>$H1806="SUBETAPA"</formula>
    </cfRule>
  </conditionalFormatting>
  <conditionalFormatting sqref="H1807 J1807:K1807">
    <cfRule type="expression" dxfId="5628" priority="8470">
      <formula>$H1807="ETAPA"</formula>
    </cfRule>
  </conditionalFormatting>
  <conditionalFormatting sqref="H1813 J1813:L1813">
    <cfRule type="expression" dxfId="5627" priority="8468">
      <formula>$H1813="SUBETAPA"</formula>
    </cfRule>
  </conditionalFormatting>
  <conditionalFormatting sqref="H1860:H1864 H1867 J1867 G1872:H1878 J1874">
    <cfRule type="expression" dxfId="5626" priority="8441">
      <formula>$H1860="SUBETAPA"</formula>
    </cfRule>
  </conditionalFormatting>
  <conditionalFormatting sqref="H1861 H1863:H1864 H1867 J1867:K1867 H1874 J1874:K1874">
    <cfRule type="expression" dxfId="5625" priority="8440">
      <formula>$H1861="CÉLULA CONSTRUTIVA"</formula>
    </cfRule>
  </conditionalFormatting>
  <conditionalFormatting sqref="H29:I30 G28:K28">
    <cfRule type="expression" dxfId="5624" priority="9641">
      <formula>$H28="ETAPA"</formula>
    </cfRule>
  </conditionalFormatting>
  <conditionalFormatting sqref="H29:I30 L29:L30 G31:L31">
    <cfRule type="expression" dxfId="5623" priority="9497">
      <formula>$H29="SUBETAPA"</formula>
    </cfRule>
  </conditionalFormatting>
  <conditionalFormatting sqref="H37:I37">
    <cfRule type="expression" dxfId="5622" priority="8434">
      <formula>$H37="ETAPA"</formula>
    </cfRule>
    <cfRule type="expression" dxfId="5621" priority="8435">
      <formula>$H37="CÉLULA CONSTRUTIVA"</formula>
    </cfRule>
  </conditionalFormatting>
  <conditionalFormatting sqref="H38:I38 N38:N39">
    <cfRule type="expression" dxfId="5620" priority="8432">
      <formula>$H38="ETAPA"</formula>
    </cfRule>
  </conditionalFormatting>
  <conditionalFormatting sqref="H38:I38">
    <cfRule type="expression" dxfId="5619" priority="8431">
      <formula>$H38="CÉLULA CONSTRUTIVA"</formula>
    </cfRule>
  </conditionalFormatting>
  <conditionalFormatting sqref="H45:I45 H48:I48 L45 G49:L49">
    <cfRule type="expression" dxfId="5618" priority="8430">
      <formula>$H45="SUBETAPA"</formula>
    </cfRule>
  </conditionalFormatting>
  <conditionalFormatting sqref="H45:I48">
    <cfRule type="expression" dxfId="5617" priority="8429">
      <formula>$H45="ETAPA"</formula>
    </cfRule>
  </conditionalFormatting>
  <conditionalFormatting sqref="H46:I47">
    <cfRule type="expression" dxfId="5616" priority="8426">
      <formula>$H46="CÉLULA CONSTRUTIVA"</formula>
    </cfRule>
  </conditionalFormatting>
  <conditionalFormatting sqref="H47:I47">
    <cfRule type="expression" dxfId="5615" priority="8427">
      <formula>$H47="SUBETAPA"</formula>
    </cfRule>
  </conditionalFormatting>
  <conditionalFormatting sqref="H1011:I1011">
    <cfRule type="expression" dxfId="5614" priority="8080">
      <formula>$H1011="CÉLULA CONSTRUTIVA"</formula>
    </cfRule>
  </conditionalFormatting>
  <conditionalFormatting sqref="H1881:I1881">
    <cfRule type="expression" dxfId="5613" priority="8078">
      <formula>$H1881="SUBETAPA"</formula>
    </cfRule>
    <cfRule type="expression" dxfId="5612" priority="8079">
      <formula>$H1881="CÉLULA CONSTRUTIVA"</formula>
    </cfRule>
  </conditionalFormatting>
  <conditionalFormatting sqref="H35:J36 J38">
    <cfRule type="expression" dxfId="5611" priority="7954">
      <formula>$H35="ETAPA"</formula>
    </cfRule>
  </conditionalFormatting>
  <conditionalFormatting sqref="H35:J37">
    <cfRule type="expression" dxfId="5610" priority="7957">
      <formula>$H35="SUBETAPA"</formula>
    </cfRule>
  </conditionalFormatting>
  <conditionalFormatting sqref="H384:J384">
    <cfRule type="expression" dxfId="5609" priority="8422">
      <formula>$H384="SUBETAPA"</formula>
    </cfRule>
  </conditionalFormatting>
  <conditionalFormatting sqref="H386:J386 H388:J388 H389:L389 H390:J390 H391:L391 H392:J392 H397:J397">
    <cfRule type="expression" dxfId="5608" priority="8420">
      <formula>$H386="SUBETAPA"</formula>
    </cfRule>
  </conditionalFormatting>
  <conditionalFormatting sqref="H595:J595">
    <cfRule type="expression" dxfId="5607" priority="8401">
      <formula>$H595="ETAPA"</formula>
    </cfRule>
  </conditionalFormatting>
  <conditionalFormatting sqref="H604:J604">
    <cfRule type="expression" dxfId="5606" priority="8399">
      <formula>$H604="ETAPA"</formula>
    </cfRule>
  </conditionalFormatting>
  <conditionalFormatting sqref="H613:J613">
    <cfRule type="expression" dxfId="5605" priority="8397">
      <formula>$H613="ETAPA"</formula>
    </cfRule>
  </conditionalFormatting>
  <conditionalFormatting sqref="H622:J622">
    <cfRule type="expression" dxfId="5604" priority="8395">
      <formula>$H622="ETAPA"</formula>
    </cfRule>
  </conditionalFormatting>
  <conditionalFormatting sqref="H631:J631">
    <cfRule type="expression" dxfId="5603" priority="8393">
      <formula>$H631="ETAPA"</formula>
    </cfRule>
  </conditionalFormatting>
  <conditionalFormatting sqref="H640:J640">
    <cfRule type="expression" dxfId="5602" priority="8391">
      <formula>$H640="ETAPA"</formula>
    </cfRule>
  </conditionalFormatting>
  <conditionalFormatting sqref="H649:J649">
    <cfRule type="expression" dxfId="5601" priority="8389">
      <formula>$H649="ETAPA"</formula>
    </cfRule>
  </conditionalFormatting>
  <conditionalFormatting sqref="H658:J658">
    <cfRule type="expression" dxfId="5600" priority="8387">
      <formula>$H658="ETAPA"</formula>
    </cfRule>
  </conditionalFormatting>
  <conditionalFormatting sqref="H669:J669">
    <cfRule type="expression" dxfId="5599" priority="8385">
      <formula>$H669="ETAPA"</formula>
    </cfRule>
  </conditionalFormatting>
  <conditionalFormatting sqref="H680:J680">
    <cfRule type="expression" dxfId="5598" priority="8383">
      <formula>$H680="ETAPA"</formula>
    </cfRule>
  </conditionalFormatting>
  <conditionalFormatting sqref="H689:J689">
    <cfRule type="expression" dxfId="5597" priority="8381">
      <formula>$H689="ETAPA"</formula>
    </cfRule>
  </conditionalFormatting>
  <conditionalFormatting sqref="H698:J698">
    <cfRule type="expression" dxfId="5596" priority="8379">
      <formula>$H698="ETAPA"</formula>
    </cfRule>
  </conditionalFormatting>
  <conditionalFormatting sqref="H1004:J1004">
    <cfRule type="expression" dxfId="5595" priority="8033">
      <formula>$H1004="CÉLULA CONSTRUTIVA"</formula>
    </cfRule>
    <cfRule type="expression" dxfId="5594" priority="8034">
      <formula>$H1004="ETAPA"</formula>
    </cfRule>
  </conditionalFormatting>
  <conditionalFormatting sqref="H1011:J1011">
    <cfRule type="expression" dxfId="5593" priority="8081">
      <formula>$H1011="ETAPA"</formula>
    </cfRule>
    <cfRule type="expression" dxfId="5592" priority="8082">
      <formula>$H1011="SUBETAPA"</formula>
    </cfRule>
  </conditionalFormatting>
  <conditionalFormatting sqref="H38:K38">
    <cfRule type="expression" dxfId="5591" priority="7959">
      <formula>$H38="SUBETAPA"</formula>
    </cfRule>
  </conditionalFormatting>
  <conditionalFormatting sqref="H389:K389 H390:J390 H391:K391 H392:J392">
    <cfRule type="expression" dxfId="5590" priority="8376">
      <formula>$H389="CÉLULA CONSTRUTIVA"</formula>
    </cfRule>
  </conditionalFormatting>
  <conditionalFormatting sqref="H574:K574 H575:J575">
    <cfRule type="expression" dxfId="5589" priority="8405">
      <formula>$H574="ETAPA"</formula>
    </cfRule>
  </conditionalFormatting>
  <conditionalFormatting sqref="H585:K585 H586:J586">
    <cfRule type="expression" dxfId="5588" priority="8403">
      <formula>$H585="ETAPA"</formula>
    </cfRule>
  </conditionalFormatting>
  <conditionalFormatting sqref="H713:K713 M708 M710:M711">
    <cfRule type="expression" dxfId="5587" priority="8348">
      <formula>$H708="ETAPA"</formula>
    </cfRule>
  </conditionalFormatting>
  <conditionalFormatting sqref="H715:K715 H716:J716 H717:K717 H718:J718">
    <cfRule type="expression" dxfId="5586" priority="8345">
      <formula>$H715="ETAPA"</formula>
    </cfRule>
  </conditionalFormatting>
  <conditionalFormatting sqref="H728:K728 M723 M726">
    <cfRule type="expression" dxfId="5585" priority="8344">
      <formula>$H723="ETAPA"</formula>
    </cfRule>
  </conditionalFormatting>
  <conditionalFormatting sqref="H730:K730 H731:J731 H732:K732 H733:J733">
    <cfRule type="expression" dxfId="5584" priority="8341">
      <formula>$H730="ETAPA"</formula>
    </cfRule>
  </conditionalFormatting>
  <conditionalFormatting sqref="H743:K743 M738 M741">
    <cfRule type="expression" dxfId="5583" priority="8340">
      <formula>$H738="ETAPA"</formula>
    </cfRule>
  </conditionalFormatting>
  <conditionalFormatting sqref="H745:K745 H746:J746 H747:K747 H748:J748">
    <cfRule type="expression" dxfId="5582" priority="8337">
      <formula>$H745="ETAPA"</formula>
    </cfRule>
  </conditionalFormatting>
  <conditionalFormatting sqref="H758:K758 M753 M756">
    <cfRule type="expression" dxfId="5581" priority="8336">
      <formula>$H753="ETAPA"</formula>
    </cfRule>
  </conditionalFormatting>
  <conditionalFormatting sqref="H760:K760 H761:J761 H762:K762 H763:J763">
    <cfRule type="expression" dxfId="5580" priority="8333">
      <formula>$H760="ETAPA"</formula>
    </cfRule>
  </conditionalFormatting>
  <conditionalFormatting sqref="H773:K773 M768 M771">
    <cfRule type="expression" dxfId="5579" priority="8332">
      <formula>$H768="ETAPA"</formula>
    </cfRule>
  </conditionalFormatting>
  <conditionalFormatting sqref="H775:K775 H776:J776 H777:K777 H778:J778">
    <cfRule type="expression" dxfId="5578" priority="8329">
      <formula>$H775="ETAPA"</formula>
    </cfRule>
  </conditionalFormatting>
  <conditionalFormatting sqref="H788:K788 M783 M786">
    <cfRule type="expression" dxfId="5577" priority="8328">
      <formula>$H783="ETAPA"</formula>
    </cfRule>
  </conditionalFormatting>
  <conditionalFormatting sqref="H790:K790 H791:J791 H792:K792 H793:J793">
    <cfRule type="expression" dxfId="5576" priority="8325">
      <formula>$H790="ETAPA"</formula>
    </cfRule>
  </conditionalFormatting>
  <conditionalFormatting sqref="H803:K803 M798 M801">
    <cfRule type="expression" dxfId="5575" priority="8324">
      <formula>$H798="ETAPA"</formula>
    </cfRule>
  </conditionalFormatting>
  <conditionalFormatting sqref="H805:K805 H806:J806 H807:K807 H808:J808">
    <cfRule type="expression" dxfId="5574" priority="8321">
      <formula>$H805="ETAPA"</formula>
    </cfRule>
  </conditionalFormatting>
  <conditionalFormatting sqref="H818:K818 M813 M816">
    <cfRule type="expression" dxfId="5573" priority="8320">
      <formula>$H813="ETAPA"</formula>
    </cfRule>
  </conditionalFormatting>
  <conditionalFormatting sqref="H820:K820 H821:J821 H822:K822 H823:J823">
    <cfRule type="expression" dxfId="5572" priority="8317">
      <formula>$H820="ETAPA"</formula>
    </cfRule>
  </conditionalFormatting>
  <conditionalFormatting sqref="H833:K833 M828 M831">
    <cfRule type="expression" dxfId="5571" priority="8316">
      <formula>$H828="ETAPA"</formula>
    </cfRule>
  </conditionalFormatting>
  <conditionalFormatting sqref="H835:K835 H836:J836 H837:K837 H838:J838">
    <cfRule type="expression" dxfId="5570" priority="8313">
      <formula>$H835="ETAPA"</formula>
    </cfRule>
  </conditionalFormatting>
  <conditionalFormatting sqref="H848:K848 M843 M846">
    <cfRule type="expression" dxfId="5569" priority="8312">
      <formula>$H843="ETAPA"</formula>
    </cfRule>
  </conditionalFormatting>
  <conditionalFormatting sqref="H850:K850 H851:J851 H852:K852 H853:J853">
    <cfRule type="expression" dxfId="5568" priority="8309">
      <formula>$H850="ETAPA"</formula>
    </cfRule>
  </conditionalFormatting>
  <conditionalFormatting sqref="H863:K863 M858 M861">
    <cfRule type="expression" dxfId="5567" priority="8308">
      <formula>$H858="ETAPA"</formula>
    </cfRule>
  </conditionalFormatting>
  <conditionalFormatting sqref="H865:K865 H866:J866 H867:K867 H868:J868">
    <cfRule type="expression" dxfId="5566" priority="8305">
      <formula>$H865="ETAPA"</formula>
    </cfRule>
  </conditionalFormatting>
  <conditionalFormatting sqref="H878:K878 M873 M876">
    <cfRule type="expression" dxfId="5565" priority="8304">
      <formula>$H873="ETAPA"</formula>
    </cfRule>
  </conditionalFormatting>
  <conditionalFormatting sqref="H880:K880 H881:J881 H882:K882 H883:J883">
    <cfRule type="expression" dxfId="5564" priority="8301">
      <formula>$H880="ETAPA"</formula>
    </cfRule>
  </conditionalFormatting>
  <conditionalFormatting sqref="H893:K893 M888 M891">
    <cfRule type="expression" dxfId="5563" priority="8300">
      <formula>$H888="ETAPA"</formula>
    </cfRule>
  </conditionalFormatting>
  <conditionalFormatting sqref="H895:K895 H896:J896 H897:K897 H898:J898">
    <cfRule type="expression" dxfId="5562" priority="8297">
      <formula>$H895="ETAPA"</formula>
    </cfRule>
  </conditionalFormatting>
  <conditionalFormatting sqref="H908:K908 M903 M906">
    <cfRule type="expression" dxfId="5561" priority="8296">
      <formula>$H903="ETAPA"</formula>
    </cfRule>
  </conditionalFormatting>
  <conditionalFormatting sqref="H910:K910 H911:J911 H912:K912 H913:J913">
    <cfRule type="expression" dxfId="5560" priority="8293">
      <formula>$H910="ETAPA"</formula>
    </cfRule>
  </conditionalFormatting>
  <conditionalFormatting sqref="H918:K918">
    <cfRule type="expression" dxfId="5559"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58"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7"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6" priority="9990">
      <formula>$H570="CÉLULA CONSTRUTIVA"</formula>
    </cfRule>
  </conditionalFormatting>
  <conditionalFormatting sqref="H923:K923">
    <cfRule type="expression" dxfId="5555" priority="8290">
      <formula>$H923="ETAPA"</formula>
    </cfRule>
  </conditionalFormatting>
  <conditionalFormatting sqref="H928:K928">
    <cfRule type="expression" dxfId="5554" priority="8289">
      <formula>$H928="ETAPA"</formula>
    </cfRule>
  </conditionalFormatting>
  <conditionalFormatting sqref="H933:K933">
    <cfRule type="expression" dxfId="5553" priority="8288">
      <formula>$H933="ETAPA"</formula>
    </cfRule>
  </conditionalFormatting>
  <conditionalFormatting sqref="H938:K938">
    <cfRule type="expression" dxfId="5552" priority="8287">
      <formula>$H938="ETAPA"</formula>
    </cfRule>
  </conditionalFormatting>
  <conditionalFormatting sqref="H943:K943">
    <cfRule type="expression" dxfId="5551" priority="8286">
      <formula>$H943="ETAPA"</formula>
    </cfRule>
  </conditionalFormatting>
  <conditionalFormatting sqref="H950:K950">
    <cfRule type="expression" dxfId="5550" priority="8285">
      <formula>$H950="ETAPA"</formula>
    </cfRule>
  </conditionalFormatting>
  <conditionalFormatting sqref="H957:K957">
    <cfRule type="expression" dxfId="5549" priority="8284">
      <formula>$H957="ETAPA"</formula>
    </cfRule>
  </conditionalFormatting>
  <conditionalFormatting sqref="H964:K964">
    <cfRule type="expression" dxfId="5548" priority="8283">
      <formula>$H964="ETAPA"</formula>
    </cfRule>
  </conditionalFormatting>
  <conditionalFormatting sqref="H971:K971">
    <cfRule type="expression" dxfId="5547" priority="8282">
      <formula>$H971="ETAPA"</formula>
    </cfRule>
  </conditionalFormatting>
  <conditionalFormatting sqref="H978:K978">
    <cfRule type="expression" dxfId="5546" priority="8281">
      <formula>$H978="ETAPA"</formula>
    </cfRule>
  </conditionalFormatting>
  <conditionalFormatting sqref="H983:K983">
    <cfRule type="expression" dxfId="5545" priority="8280">
      <formula>$H983="ETAPA"</formula>
    </cfRule>
  </conditionalFormatting>
  <conditionalFormatting sqref="H990:K990">
    <cfRule type="expression" dxfId="5544" priority="8279">
      <formula>$H990="ETAPA"</formula>
    </cfRule>
  </conditionalFormatting>
  <conditionalFormatting sqref="H995:K995">
    <cfRule type="expression" dxfId="5543" priority="8278">
      <formula>$H995="ETAPA"</formula>
    </cfRule>
  </conditionalFormatting>
  <conditionalFormatting sqref="H1017:K1017 H1022:K1026">
    <cfRule type="expression" dxfId="5542" priority="8277">
      <formula>$H1017="ETAPA"</formula>
    </cfRule>
  </conditionalFormatting>
  <conditionalFormatting sqref="H1019:K1019">
    <cfRule type="expression" dxfId="5541" priority="8276">
      <formula>$H1019="ETAPA"</formula>
    </cfRule>
  </conditionalFormatting>
  <conditionalFormatting sqref="H1031:K1031 H1036:K1040">
    <cfRule type="expression" dxfId="5540" priority="8275">
      <formula>$H1031="ETAPA"</formula>
    </cfRule>
  </conditionalFormatting>
  <conditionalFormatting sqref="H1033:K1033">
    <cfRule type="expression" dxfId="5539" priority="8274">
      <formula>$H1033="ETAPA"</formula>
    </cfRule>
  </conditionalFormatting>
  <conditionalFormatting sqref="H1045:K1045 H1050:K1054">
    <cfRule type="expression" dxfId="5538" priority="8273">
      <formula>$H1045="ETAPA"</formula>
    </cfRule>
  </conditionalFormatting>
  <conditionalFormatting sqref="H1047:K1047">
    <cfRule type="expression" dxfId="5537" priority="8272">
      <formula>$H1047="ETAPA"</formula>
    </cfRule>
  </conditionalFormatting>
  <conditionalFormatting sqref="H1059:K1059 H1064:K1068">
    <cfRule type="expression" dxfId="5536" priority="8271">
      <formula>$H1059="ETAPA"</formula>
    </cfRule>
  </conditionalFormatting>
  <conditionalFormatting sqref="H1061:K1061">
    <cfRule type="expression" dxfId="5535" priority="8270">
      <formula>$H1061="ETAPA"</formula>
    </cfRule>
  </conditionalFormatting>
  <conditionalFormatting sqref="H1073:K1073 H1078:K1082">
    <cfRule type="expression" dxfId="5534" priority="8269">
      <formula>$H1073="ETAPA"</formula>
    </cfRule>
  </conditionalFormatting>
  <conditionalFormatting sqref="H1075:K1075">
    <cfRule type="expression" dxfId="5533" priority="8268">
      <formula>$H1075="ETAPA"</formula>
    </cfRule>
  </conditionalFormatting>
  <conditionalFormatting sqref="H1087:K1087 H1092:K1096">
    <cfRule type="expression" dxfId="5532" priority="8267">
      <formula>$H1087="ETAPA"</formula>
    </cfRule>
  </conditionalFormatting>
  <conditionalFormatting sqref="H1089:K1089">
    <cfRule type="expression" dxfId="5531" priority="8266">
      <formula>$H1089="ETAPA"</formula>
    </cfRule>
  </conditionalFormatting>
  <conditionalFormatting sqref="H1101:K1101 H1106:K1110">
    <cfRule type="expression" dxfId="5530" priority="8265">
      <formula>$H1101="ETAPA"</formula>
    </cfRule>
  </conditionalFormatting>
  <conditionalFormatting sqref="H1103:K1103">
    <cfRule type="expression" dxfId="5529"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28" priority="8263">
      <formula>$H1115="ETAPA"</formula>
    </cfRule>
  </conditionalFormatting>
  <conditionalFormatting sqref="H1117:K1117">
    <cfRule type="expression" dxfId="5527" priority="8262">
      <formula>$H1117="ETAPA"</formula>
    </cfRule>
  </conditionalFormatting>
  <conditionalFormatting sqref="H32:L32">
    <cfRule type="expression" dxfId="5526" priority="7961">
      <formula>$H32="SUBETAPA"</formula>
    </cfRule>
  </conditionalFormatting>
  <conditionalFormatting sqref="H40:L40">
    <cfRule type="expression" dxfId="5525" priority="7952">
      <formula>$H40="SUBETAPA"</formula>
    </cfRule>
  </conditionalFormatting>
  <conditionalFormatting sqref="H50:L50">
    <cfRule type="expression" dxfId="5524" priority="7944">
      <formula>$H50="SUBETAPA"</formula>
    </cfRule>
  </conditionalFormatting>
  <conditionalFormatting sqref="H383:L383 H384:J384">
    <cfRule type="expression" dxfId="5523" priority="8378">
      <formula>$H383="CÉLULA CONSTRUTIVA"</formula>
    </cfRule>
  </conditionalFormatting>
  <conditionalFormatting sqref="H383:L383">
    <cfRule type="expression" dxfId="5522" priority="8260">
      <formula>$H383="ETAPA"</formula>
    </cfRule>
  </conditionalFormatting>
  <conditionalFormatting sqref="H385:L385 H387:L387 H386:J386 H388:J388">
    <cfRule type="expression" dxfId="5521" priority="8377">
      <formula>$H385="CÉLULA CONSTRUTIVA"</formula>
    </cfRule>
  </conditionalFormatting>
  <conditionalFormatting sqref="H385:L385 H387:L387">
    <cfRule type="expression" dxfId="5520" priority="8259">
      <formula>$H385="ETAPA"</formula>
    </cfRule>
  </conditionalFormatting>
  <conditionalFormatting sqref="H396:L396 H398:L398 H397:J397">
    <cfRule type="expression" dxfId="5519" priority="8375">
      <formula>$H396="CÉLULA CONSTRUTIVA"</formula>
    </cfRule>
  </conditionalFormatting>
  <conditionalFormatting sqref="H396:L396 H398:L398">
    <cfRule type="expression" dxfId="5518" priority="8258">
      <formula>$H396="ETAPA"</formula>
    </cfRule>
  </conditionalFormatting>
  <conditionalFormatting sqref="H400:L400 H401:M401">
    <cfRule type="expression" dxfId="5517" priority="8419">
      <formula>$H400="CÉLULA CONSTRUTIVA"</formula>
    </cfRule>
  </conditionalFormatting>
  <conditionalFormatting sqref="H400:L400">
    <cfRule type="expression" dxfId="5516" priority="8257">
      <formula>$H400="ETAPA"</formula>
    </cfRule>
  </conditionalFormatting>
  <conditionalFormatting sqref="H402:L402 H403:M403 H404:L404 H405:M408">
    <cfRule type="expression" dxfId="5515" priority="8374">
      <formula>$H402="CÉLULA CONSTRUTIVA"</formula>
    </cfRule>
  </conditionalFormatting>
  <conditionalFormatting sqref="H411:L411 H409:L409 H410:M410">
    <cfRule type="expression" dxfId="5514" priority="8373">
      <formula>$H409="CÉLULA CONSTRUTIVA"</formula>
    </cfRule>
  </conditionalFormatting>
  <conditionalFormatting sqref="H411:L411">
    <cfRule type="expression" dxfId="5513" priority="8255">
      <formula>$H411="ETAPA"</formula>
    </cfRule>
  </conditionalFormatting>
  <conditionalFormatting sqref="H413:L413 H414:M414">
    <cfRule type="expression" dxfId="5512" priority="8418">
      <formula>$H413="CÉLULA CONSTRUTIVA"</formula>
    </cfRule>
  </conditionalFormatting>
  <conditionalFormatting sqref="H413:L413">
    <cfRule type="expression" dxfId="5511" priority="8254">
      <formula>$H413="ETAPA"</formula>
    </cfRule>
  </conditionalFormatting>
  <conditionalFormatting sqref="H415:L415 H416:M416 H417:L417 H418:M421">
    <cfRule type="expression" dxfId="5510" priority="8372">
      <formula>$H415="CÉLULA CONSTRUTIVA"</formula>
    </cfRule>
  </conditionalFormatting>
  <conditionalFormatting sqref="H424:L424 H422:L422 H423:M423">
    <cfRule type="expression" dxfId="5509" priority="8371">
      <formula>$H422="CÉLULA CONSTRUTIVA"</formula>
    </cfRule>
  </conditionalFormatting>
  <conditionalFormatting sqref="H424:L424">
    <cfRule type="expression" dxfId="5508" priority="8252">
      <formula>$H424="ETAPA"</formula>
    </cfRule>
  </conditionalFormatting>
  <conditionalFormatting sqref="H426:L426 H427:M427">
    <cfRule type="expression" dxfId="5507" priority="8417">
      <formula>$H426="CÉLULA CONSTRUTIVA"</formula>
    </cfRule>
  </conditionalFormatting>
  <conditionalFormatting sqref="H426:L426">
    <cfRule type="expression" dxfId="5506" priority="8251">
      <formula>$H426="ETAPA"</formula>
    </cfRule>
  </conditionalFormatting>
  <conditionalFormatting sqref="H428:L428 H429:M429 H430:L430 H431:M434">
    <cfRule type="expression" dxfId="5505" priority="8370">
      <formula>$H428="CÉLULA CONSTRUTIVA"</formula>
    </cfRule>
  </conditionalFormatting>
  <conditionalFormatting sqref="H437:L437 H435:L435 H436:M436">
    <cfRule type="expression" dxfId="5504" priority="8369">
      <formula>$H435="CÉLULA CONSTRUTIVA"</formula>
    </cfRule>
  </conditionalFormatting>
  <conditionalFormatting sqref="H437:L437">
    <cfRule type="expression" dxfId="5503" priority="8249">
      <formula>$H437="ETAPA"</formula>
    </cfRule>
  </conditionalFormatting>
  <conditionalFormatting sqref="H439:L439 H440:M440">
    <cfRule type="expression" dxfId="5502" priority="8416">
      <formula>$H439="CÉLULA CONSTRUTIVA"</formula>
    </cfRule>
  </conditionalFormatting>
  <conditionalFormatting sqref="H439:L439">
    <cfRule type="expression" dxfId="5501" priority="8248">
      <formula>$H439="ETAPA"</formula>
    </cfRule>
  </conditionalFormatting>
  <conditionalFormatting sqref="H441:L441 H442:M442 H443:L443 H444:M447">
    <cfRule type="expression" dxfId="5500" priority="8368">
      <formula>$H441="CÉLULA CONSTRUTIVA"</formula>
    </cfRule>
  </conditionalFormatting>
  <conditionalFormatting sqref="H450:L450 H448:L448 H449:M449">
    <cfRule type="expression" dxfId="5499" priority="8367">
      <formula>$H448="CÉLULA CONSTRUTIVA"</formula>
    </cfRule>
  </conditionalFormatting>
  <conditionalFormatting sqref="H450:L450">
    <cfRule type="expression" dxfId="5498" priority="8246">
      <formula>$H450="ETAPA"</formula>
    </cfRule>
  </conditionalFormatting>
  <conditionalFormatting sqref="H452:L452 H453:M453">
    <cfRule type="expression" dxfId="5497" priority="8415">
      <formula>$H452="CÉLULA CONSTRUTIVA"</formula>
    </cfRule>
  </conditionalFormatting>
  <conditionalFormatting sqref="H452:L452">
    <cfRule type="expression" dxfId="5496" priority="8245">
      <formula>$H452="ETAPA"</formula>
    </cfRule>
  </conditionalFormatting>
  <conditionalFormatting sqref="H454:L454 H455:M455 H456:L456 H457:M460">
    <cfRule type="expression" dxfId="5495" priority="8366">
      <formula>$H454="CÉLULA CONSTRUTIVA"</formula>
    </cfRule>
  </conditionalFormatting>
  <conditionalFormatting sqref="H463:L463 H461:L461 H462:M462">
    <cfRule type="expression" dxfId="5494" priority="8365">
      <formula>$H461="CÉLULA CONSTRUTIVA"</formula>
    </cfRule>
  </conditionalFormatting>
  <conditionalFormatting sqref="H463:L463">
    <cfRule type="expression" dxfId="5493" priority="8243">
      <formula>$H463="ETAPA"</formula>
    </cfRule>
  </conditionalFormatting>
  <conditionalFormatting sqref="H465:L465 H466:M466">
    <cfRule type="expression" dxfId="5492" priority="8414">
      <formula>$H465="CÉLULA CONSTRUTIVA"</formula>
    </cfRule>
  </conditionalFormatting>
  <conditionalFormatting sqref="H465:L465">
    <cfRule type="expression" dxfId="5491" priority="8242">
      <formula>$H465="ETAPA"</formula>
    </cfRule>
  </conditionalFormatting>
  <conditionalFormatting sqref="H467:L467 H468:M468 H469:L469 H470:M473">
    <cfRule type="expression" dxfId="5490" priority="8364">
      <formula>$H467="CÉLULA CONSTRUTIVA"</formula>
    </cfRule>
  </conditionalFormatting>
  <conditionalFormatting sqref="H476:L476 H474:L474 H475:M475">
    <cfRule type="expression" dxfId="5489" priority="8363">
      <formula>$H474="CÉLULA CONSTRUTIVA"</formula>
    </cfRule>
  </conditionalFormatting>
  <conditionalFormatting sqref="H476:L476">
    <cfRule type="expression" dxfId="5488" priority="8240">
      <formula>$H476="ETAPA"</formula>
    </cfRule>
  </conditionalFormatting>
  <conditionalFormatting sqref="H478:L478 H479:M479">
    <cfRule type="expression" dxfId="5487" priority="8413">
      <formula>$H478="CÉLULA CONSTRUTIVA"</formula>
    </cfRule>
  </conditionalFormatting>
  <conditionalFormatting sqref="H478:L478">
    <cfRule type="expression" dxfId="5486" priority="8239">
      <formula>$H478="ETAPA"</formula>
    </cfRule>
  </conditionalFormatting>
  <conditionalFormatting sqref="H480:L480 H481:M481 H482:L482 H483:M486">
    <cfRule type="expression" dxfId="5485" priority="8362">
      <formula>$H480="CÉLULA CONSTRUTIVA"</formula>
    </cfRule>
  </conditionalFormatting>
  <conditionalFormatting sqref="H489:L489 H487:L487 H488:M488">
    <cfRule type="expression" dxfId="5484" priority="8361">
      <formula>$H487="CÉLULA CONSTRUTIVA"</formula>
    </cfRule>
  </conditionalFormatting>
  <conditionalFormatting sqref="H489:L489">
    <cfRule type="expression" dxfId="5483" priority="8237">
      <formula>$H489="ETAPA"</formula>
    </cfRule>
  </conditionalFormatting>
  <conditionalFormatting sqref="H491:L491 H492:M492">
    <cfRule type="expression" dxfId="5482" priority="8412">
      <formula>$H491="CÉLULA CONSTRUTIVA"</formula>
    </cfRule>
  </conditionalFormatting>
  <conditionalFormatting sqref="H491:L491">
    <cfRule type="expression" dxfId="5481" priority="8236">
      <formula>$H491="ETAPA"</formula>
    </cfRule>
  </conditionalFormatting>
  <conditionalFormatting sqref="H493:L493 H494:M494 H495:L495 H496:M499">
    <cfRule type="expression" dxfId="5480" priority="8360">
      <formula>$H493="CÉLULA CONSTRUTIVA"</formula>
    </cfRule>
  </conditionalFormatting>
  <conditionalFormatting sqref="H502:L502 H500:L500 H501:M501">
    <cfRule type="expression" dxfId="5479" priority="8359">
      <formula>$H500="CÉLULA CONSTRUTIVA"</formula>
    </cfRule>
  </conditionalFormatting>
  <conditionalFormatting sqref="H502:L502">
    <cfRule type="expression" dxfId="5478" priority="8234">
      <formula>$H502="ETAPA"</formula>
    </cfRule>
  </conditionalFormatting>
  <conditionalFormatting sqref="H504:L504 H505:M505">
    <cfRule type="expression" dxfId="5477" priority="8411">
      <formula>$H504="CÉLULA CONSTRUTIVA"</formula>
    </cfRule>
  </conditionalFormatting>
  <conditionalFormatting sqref="H504:L504">
    <cfRule type="expression" dxfId="5476" priority="8233">
      <formula>$H504="ETAPA"</formula>
    </cfRule>
  </conditionalFormatting>
  <conditionalFormatting sqref="H506:L506 H507:M507 H508:L508 H509:M512">
    <cfRule type="expression" dxfId="5475" priority="8358">
      <formula>$H506="CÉLULA CONSTRUTIVA"</formula>
    </cfRule>
  </conditionalFormatting>
  <conditionalFormatting sqref="H515:L515 H513:L513 H514:M514">
    <cfRule type="expression" dxfId="5474" priority="8357">
      <formula>$H513="CÉLULA CONSTRUTIVA"</formula>
    </cfRule>
  </conditionalFormatting>
  <conditionalFormatting sqref="H515:L515">
    <cfRule type="expression" dxfId="5473" priority="8231">
      <formula>$H515="ETAPA"</formula>
    </cfRule>
  </conditionalFormatting>
  <conditionalFormatting sqref="H517:L517 H518:M518">
    <cfRule type="expression" dxfId="5472" priority="8410">
      <formula>$H517="CÉLULA CONSTRUTIVA"</formula>
    </cfRule>
  </conditionalFormatting>
  <conditionalFormatting sqref="H517:L517">
    <cfRule type="expression" dxfId="5471" priority="8230">
      <formula>$H517="ETAPA"</formula>
    </cfRule>
  </conditionalFormatting>
  <conditionalFormatting sqref="H519:L519 H520:M520 H521:L521 H522:M525">
    <cfRule type="expression" dxfId="5470" priority="8356">
      <formula>$H519="CÉLULA CONSTRUTIVA"</formula>
    </cfRule>
  </conditionalFormatting>
  <conditionalFormatting sqref="H528:L528 H526:L526 H527:M527">
    <cfRule type="expression" dxfId="5469" priority="8355">
      <formula>$H526="CÉLULA CONSTRUTIVA"</formula>
    </cfRule>
  </conditionalFormatting>
  <conditionalFormatting sqref="H528:L528">
    <cfRule type="expression" dxfId="5468" priority="8228">
      <formula>$H528="ETAPA"</formula>
    </cfRule>
  </conditionalFormatting>
  <conditionalFormatting sqref="H530:L530 H531:M531">
    <cfRule type="expression" dxfId="5467" priority="8409">
      <formula>$H530="CÉLULA CONSTRUTIVA"</formula>
    </cfRule>
  </conditionalFormatting>
  <conditionalFormatting sqref="H530:L530">
    <cfRule type="expression" dxfId="5466" priority="8227">
      <formula>$H530="ETAPA"</formula>
    </cfRule>
  </conditionalFormatting>
  <conditionalFormatting sqref="H532:L532 H533:M533 H534:L534 H535:M538">
    <cfRule type="expression" dxfId="5465" priority="8354">
      <formula>$H532="CÉLULA CONSTRUTIVA"</formula>
    </cfRule>
  </conditionalFormatting>
  <conditionalFormatting sqref="H541:L541 H539:L539 H540:M540">
    <cfRule type="expression" dxfId="5464" priority="8353">
      <formula>$H539="CÉLULA CONSTRUTIVA"</formula>
    </cfRule>
  </conditionalFormatting>
  <conditionalFormatting sqref="H541:L541">
    <cfRule type="expression" dxfId="5463" priority="8225">
      <formula>$H541="ETAPA"</formula>
    </cfRule>
  </conditionalFormatting>
  <conditionalFormatting sqref="H543:L543 H544:M544">
    <cfRule type="expression" dxfId="5462" priority="8408">
      <formula>$H543="CÉLULA CONSTRUTIVA"</formula>
    </cfRule>
  </conditionalFormatting>
  <conditionalFormatting sqref="H543:L543">
    <cfRule type="expression" dxfId="5461" priority="8224">
      <formula>$H543="ETAPA"</formula>
    </cfRule>
  </conditionalFormatting>
  <conditionalFormatting sqref="H545:L545 H546:M546 H547:L547 H548:M551">
    <cfRule type="expression" dxfId="5460" priority="8352">
      <formula>$H545="CÉLULA CONSTRUTIVA"</formula>
    </cfRule>
  </conditionalFormatting>
  <conditionalFormatting sqref="H554:L554 H552:L552 H553:M553">
    <cfRule type="expression" dxfId="5459" priority="8351">
      <formula>$H552="CÉLULA CONSTRUTIVA"</formula>
    </cfRule>
  </conditionalFormatting>
  <conditionalFormatting sqref="H554:L554">
    <cfRule type="expression" dxfId="5458" priority="8222">
      <formula>$H554="ETAPA"</formula>
    </cfRule>
  </conditionalFormatting>
  <conditionalFormatting sqref="H556:L556 H557:M557">
    <cfRule type="expression" dxfId="5457" priority="8407">
      <formula>$H556="CÉLULA CONSTRUTIVA"</formula>
    </cfRule>
  </conditionalFormatting>
  <conditionalFormatting sqref="H556:L556">
    <cfRule type="expression" dxfId="5456" priority="8221">
      <formula>$H556="ETAPA"</formula>
    </cfRule>
  </conditionalFormatting>
  <conditionalFormatting sqref="H558:L558 H559:M559 H560:L560 H561:M564">
    <cfRule type="expression" dxfId="5455" priority="8350">
      <formula>$H558="CÉLULA CONSTRUTIVA"</formula>
    </cfRule>
  </conditionalFormatting>
  <conditionalFormatting sqref="H567:L567 H565:L565 H566:M566">
    <cfRule type="expression" dxfId="5454" priority="8349">
      <formula>$H565="CÉLULA CONSTRUTIVA"</formula>
    </cfRule>
  </conditionalFormatting>
  <conditionalFormatting sqref="H567:L567">
    <cfRule type="expression" dxfId="5453" priority="8219">
      <formula>$H567="ETAPA"</formula>
    </cfRule>
  </conditionalFormatting>
  <conditionalFormatting sqref="H574:L574 H575:M575">
    <cfRule type="expression" dxfId="5452" priority="8406">
      <formula>$H574="CÉLULA CONSTRUTIVA"</formula>
    </cfRule>
  </conditionalFormatting>
  <conditionalFormatting sqref="H585:L585 H586:M588">
    <cfRule type="expression" dxfId="5451" priority="8404">
      <formula>$H585="CÉLULA CONSTRUTIVA"</formula>
    </cfRule>
  </conditionalFormatting>
  <conditionalFormatting sqref="H594:L594">
    <cfRule type="expression" dxfId="5450" priority="8218">
      <formula>$H594="ETAPA"</formula>
    </cfRule>
  </conditionalFormatting>
  <conditionalFormatting sqref="H603:L603">
    <cfRule type="expression" dxfId="5449" priority="8217">
      <formula>$H603="ETAPA"</formula>
    </cfRule>
  </conditionalFormatting>
  <conditionalFormatting sqref="H612:L612">
    <cfRule type="expression" dxfId="5448" priority="8216">
      <formula>$H612="ETAPA"</formula>
    </cfRule>
  </conditionalFormatting>
  <conditionalFormatting sqref="H621:L621">
    <cfRule type="expression" dxfId="5447" priority="8215">
      <formula>$H621="ETAPA"</formula>
    </cfRule>
  </conditionalFormatting>
  <conditionalFormatting sqref="H630:L630">
    <cfRule type="expression" dxfId="5446" priority="8214">
      <formula>$H630="ETAPA"</formula>
    </cfRule>
  </conditionalFormatting>
  <conditionalFormatting sqref="H639:L639">
    <cfRule type="expression" dxfId="5445" priority="8213">
      <formula>$H639="ETAPA"</formula>
    </cfRule>
  </conditionalFormatting>
  <conditionalFormatting sqref="H648:L648">
    <cfRule type="expression" dxfId="5444" priority="8212">
      <formula>$H648="ETAPA"</formula>
    </cfRule>
  </conditionalFormatting>
  <conditionalFormatting sqref="H657:L657">
    <cfRule type="expression" dxfId="5443" priority="8211">
      <formula>$H657="ETAPA"</formula>
    </cfRule>
  </conditionalFormatting>
  <conditionalFormatting sqref="H668:L668">
    <cfRule type="expression" dxfId="5442" priority="8210">
      <formula>$H668="ETAPA"</formula>
    </cfRule>
  </conditionalFormatting>
  <conditionalFormatting sqref="H679:L679">
    <cfRule type="expression" dxfId="5441" priority="8209">
      <formula>$H679="ETAPA"</formula>
    </cfRule>
  </conditionalFormatting>
  <conditionalFormatting sqref="H688:L688">
    <cfRule type="expression" dxfId="5440" priority="8208">
      <formula>$H688="ETAPA"</formula>
    </cfRule>
  </conditionalFormatting>
  <conditionalFormatting sqref="H697:L697">
    <cfRule type="expression" dxfId="5439" priority="8207">
      <formula>$H697="ETAPA"</formula>
    </cfRule>
  </conditionalFormatting>
  <conditionalFormatting sqref="H707:L707">
    <cfRule type="expression" dxfId="5438" priority="8206">
      <formula>$H707="ETAPA"</formula>
    </cfRule>
  </conditionalFormatting>
  <conditionalFormatting sqref="H715:L715 H716:M716 H717:L717 H718:M718">
    <cfRule type="expression" dxfId="5437" priority="8346">
      <formula>$H715="CÉLULA CONSTRUTIVA"</formula>
    </cfRule>
  </conditionalFormatting>
  <conditionalFormatting sqref="H722:L722">
    <cfRule type="expression" dxfId="5436" priority="8203">
      <formula>$H722="ETAPA"</formula>
    </cfRule>
  </conditionalFormatting>
  <conditionalFormatting sqref="H730:L730 H731:M731 H732:L732 H733:M733">
    <cfRule type="expression" dxfId="5435" priority="8342">
      <formula>$H730="CÉLULA CONSTRUTIVA"</formula>
    </cfRule>
  </conditionalFormatting>
  <conditionalFormatting sqref="H737:L737">
    <cfRule type="expression" dxfId="5434" priority="8200">
      <formula>$H737="ETAPA"</formula>
    </cfRule>
  </conditionalFormatting>
  <conditionalFormatting sqref="H745:L745 H746:M746 H747:L747 H748:M748">
    <cfRule type="expression" dxfId="5433" priority="8338">
      <formula>$H745="CÉLULA CONSTRUTIVA"</formula>
    </cfRule>
  </conditionalFormatting>
  <conditionalFormatting sqref="H752:L752">
    <cfRule type="expression" dxfId="5432" priority="8197">
      <formula>$H752="ETAPA"</formula>
    </cfRule>
  </conditionalFormatting>
  <conditionalFormatting sqref="H760:L760 H761:M761 H762:L762 H763:M763">
    <cfRule type="expression" dxfId="5431" priority="8334">
      <formula>$H760="CÉLULA CONSTRUTIVA"</formula>
    </cfRule>
  </conditionalFormatting>
  <conditionalFormatting sqref="H767:L767">
    <cfRule type="expression" dxfId="5430" priority="8194">
      <formula>$H767="ETAPA"</formula>
    </cfRule>
  </conditionalFormatting>
  <conditionalFormatting sqref="H775:L775 H776:M776 H777:L777 H778:M778">
    <cfRule type="expression" dxfId="5429" priority="8330">
      <formula>$H775="CÉLULA CONSTRUTIVA"</formula>
    </cfRule>
  </conditionalFormatting>
  <conditionalFormatting sqref="H782:L782">
    <cfRule type="expression" dxfId="5428" priority="8191">
      <formula>$H782="ETAPA"</formula>
    </cfRule>
  </conditionalFormatting>
  <conditionalFormatting sqref="H790:L790 H791:M791 H792:L792 H793:M793">
    <cfRule type="expression" dxfId="5427" priority="8326">
      <formula>$H790="CÉLULA CONSTRUTIVA"</formula>
    </cfRule>
  </conditionalFormatting>
  <conditionalFormatting sqref="H797:L797">
    <cfRule type="expression" dxfId="5426" priority="8188">
      <formula>$H797="ETAPA"</formula>
    </cfRule>
  </conditionalFormatting>
  <conditionalFormatting sqref="H805:L805 H806:M806 H807:L807 H808:M808">
    <cfRule type="expression" dxfId="5425" priority="8322">
      <formula>$H805="CÉLULA CONSTRUTIVA"</formula>
    </cfRule>
  </conditionalFormatting>
  <conditionalFormatting sqref="H812:L812">
    <cfRule type="expression" dxfId="5424" priority="8185">
      <formula>$H812="ETAPA"</formula>
    </cfRule>
  </conditionalFormatting>
  <conditionalFormatting sqref="H820:L820 H821:M821 H822:L822 H823:M823">
    <cfRule type="expression" dxfId="5423" priority="8318">
      <formula>$H820="CÉLULA CONSTRUTIVA"</formula>
    </cfRule>
  </conditionalFormatting>
  <conditionalFormatting sqref="H827:L827">
    <cfRule type="expression" dxfId="5422" priority="8182">
      <formula>$H827="ETAPA"</formula>
    </cfRule>
  </conditionalFormatting>
  <conditionalFormatting sqref="H835:L835 H836:M836 H837:L837 H838:M838">
    <cfRule type="expression" dxfId="5421" priority="8314">
      <formula>$H835="CÉLULA CONSTRUTIVA"</formula>
    </cfRule>
  </conditionalFormatting>
  <conditionalFormatting sqref="H842:L842">
    <cfRule type="expression" dxfId="5420" priority="8179">
      <formula>$H842="ETAPA"</formula>
    </cfRule>
  </conditionalFormatting>
  <conditionalFormatting sqref="H850:L850 H851:M851 H852:L852 H853:M853">
    <cfRule type="expression" dxfId="5419" priority="8310">
      <formula>$H850="CÉLULA CONSTRUTIVA"</formula>
    </cfRule>
  </conditionalFormatting>
  <conditionalFormatting sqref="H857:L857">
    <cfRule type="expression" dxfId="5418" priority="8176">
      <formula>$H857="ETAPA"</formula>
    </cfRule>
  </conditionalFormatting>
  <conditionalFormatting sqref="H865:L865 H866:M866 H867:L867 H868:M868">
    <cfRule type="expression" dxfId="5417" priority="8306">
      <formula>$H865="CÉLULA CONSTRUTIVA"</formula>
    </cfRule>
  </conditionalFormatting>
  <conditionalFormatting sqref="H872:L872">
    <cfRule type="expression" dxfId="5416" priority="8173">
      <formula>$H872="ETAPA"</formula>
    </cfRule>
  </conditionalFormatting>
  <conditionalFormatting sqref="H880:L880 H881:M881 H882:L882 H883:M883">
    <cfRule type="expression" dxfId="5415" priority="8302">
      <formula>$H880="CÉLULA CONSTRUTIVA"</formula>
    </cfRule>
  </conditionalFormatting>
  <conditionalFormatting sqref="H887:L887">
    <cfRule type="expression" dxfId="5414" priority="8170">
      <formula>$H887="ETAPA"</formula>
    </cfRule>
  </conditionalFormatting>
  <conditionalFormatting sqref="H895:L895 H896:M896 H897:L897 H898:M898">
    <cfRule type="expression" dxfId="5413" priority="8298">
      <formula>$H895="CÉLULA CONSTRUTIVA"</formula>
    </cfRule>
  </conditionalFormatting>
  <conditionalFormatting sqref="H902:L902">
    <cfRule type="expression" dxfId="5412" priority="8167">
      <formula>$H902="ETAPA"</formula>
    </cfRule>
  </conditionalFormatting>
  <conditionalFormatting sqref="H910:L910 H911:M911 H912:L912 H913:M913">
    <cfRule type="expression" dxfId="5411" priority="8294">
      <formula>$H910="CÉLULA CONSTRUTIVA"</formula>
    </cfRule>
  </conditionalFormatting>
  <conditionalFormatting sqref="H1002:L1002">
    <cfRule type="expression" dxfId="5410" priority="8164">
      <formula>$H1002="ETAPA"</formula>
    </cfRule>
  </conditionalFormatting>
  <conditionalFormatting sqref="H1019:L1019">
    <cfRule type="expression" dxfId="5409" priority="8161">
      <formula>$H1019="SUBETAPA"</formula>
    </cfRule>
  </conditionalFormatting>
  <conditionalFormatting sqref="H1033:L1033">
    <cfRule type="expression" dxfId="5408" priority="8160">
      <formula>$H1033="SUBETAPA"</formula>
    </cfRule>
  </conditionalFormatting>
  <conditionalFormatting sqref="H1047:L1047">
    <cfRule type="expression" dxfId="5407" priority="8159">
      <formula>$H1047="SUBETAPA"</formula>
    </cfRule>
  </conditionalFormatting>
  <conditionalFormatting sqref="H1061:L1061">
    <cfRule type="expression" dxfId="5406" priority="8158">
      <formula>$H1061="SUBETAPA"</formula>
    </cfRule>
  </conditionalFormatting>
  <conditionalFormatting sqref="H1075:L1075">
    <cfRule type="expression" dxfId="5405" priority="8157">
      <formula>$H1075="SUBETAPA"</formula>
    </cfRule>
  </conditionalFormatting>
  <conditionalFormatting sqref="H1089:L1089">
    <cfRule type="expression" dxfId="5404" priority="8156">
      <formula>$H1089="SUBETAPA"</formula>
    </cfRule>
  </conditionalFormatting>
  <conditionalFormatting sqref="H1103:L1103">
    <cfRule type="expression" dxfId="5403" priority="8155">
      <formula>$H1103="SUBETAPA"</formula>
    </cfRule>
  </conditionalFormatting>
  <conditionalFormatting sqref="H1117:L1117">
    <cfRule type="expression" dxfId="5402" priority="8154">
      <formula>$H1117="SUBETAPA"</formula>
    </cfRule>
  </conditionalFormatting>
  <conditionalFormatting sqref="H53:M53">
    <cfRule type="expression" dxfId="5401" priority="5242">
      <formula>$H53="ETAPA"</formula>
    </cfRule>
  </conditionalFormatting>
  <conditionalFormatting sqref="H384:M384">
    <cfRule type="expression" dxfId="5400" priority="8421">
      <formula>$H384="ETAPA"</formula>
    </cfRule>
  </conditionalFormatting>
  <conditionalFormatting sqref="H400:M408 O410 H410:M411 H409:L409">
    <cfRule type="expression" dxfId="5399" priority="8152">
      <formula>$H400="SUBETAPA"</formula>
    </cfRule>
  </conditionalFormatting>
  <conditionalFormatting sqref="H401:M401 H402:L402 H403:M403 H404:L404 H405:M405 H406:L407 K410:M410 O410">
    <cfRule type="expression" dxfId="5398" priority="8151">
      <formula>$H401="ETAPA"</formula>
    </cfRule>
  </conditionalFormatting>
  <conditionalFormatting sqref="H408:M409">
    <cfRule type="expression" dxfId="5397" priority="8150">
      <formula>$H408="ETAPA"</formula>
    </cfRule>
  </conditionalFormatting>
  <conditionalFormatting sqref="H413:M421 O423 H423:M424 H422:L422">
    <cfRule type="expression" dxfId="5396" priority="8149">
      <formula>$H413="SUBETAPA"</formula>
    </cfRule>
  </conditionalFormatting>
  <conditionalFormatting sqref="H414:M414 H415:L415 H416:M416 H417:L417 H418:M418 H419:L420 K423:M423 O423">
    <cfRule type="expression" dxfId="5395" priority="8148">
      <formula>$H414="ETAPA"</formula>
    </cfRule>
  </conditionalFormatting>
  <conditionalFormatting sqref="H421:M422">
    <cfRule type="expression" dxfId="5394" priority="8147">
      <formula>$H421="ETAPA"</formula>
    </cfRule>
  </conditionalFormatting>
  <conditionalFormatting sqref="H426:M434 O436 H436:M437 H435:L435">
    <cfRule type="expression" dxfId="5393" priority="8146">
      <formula>$H426="SUBETAPA"</formula>
    </cfRule>
  </conditionalFormatting>
  <conditionalFormatting sqref="H427:M427 H428:L428 H429:M429 H430:L430 H431:M431 H432:L433 K436:M436 O436">
    <cfRule type="expression" dxfId="5392" priority="8145">
      <formula>$H427="ETAPA"</formula>
    </cfRule>
  </conditionalFormatting>
  <conditionalFormatting sqref="H434:M435">
    <cfRule type="expression" dxfId="5391" priority="8144">
      <formula>$H434="ETAPA"</formula>
    </cfRule>
  </conditionalFormatting>
  <conditionalFormatting sqref="H439:M447 O449 H449:M450 H448:L448">
    <cfRule type="expression" dxfId="5390" priority="8143">
      <formula>$H439="SUBETAPA"</formula>
    </cfRule>
  </conditionalFormatting>
  <conditionalFormatting sqref="H440:M440 H441:L441 H442:M442 H443:L443 H444:M444 H445:L446 K449:M449 O449">
    <cfRule type="expression" dxfId="5389" priority="8142">
      <formula>$H440="ETAPA"</formula>
    </cfRule>
  </conditionalFormatting>
  <conditionalFormatting sqref="H447:M448">
    <cfRule type="expression" dxfId="5388" priority="8141">
      <formula>$H447="ETAPA"</formula>
    </cfRule>
  </conditionalFormatting>
  <conditionalFormatting sqref="H452:M460 O462 H462:M463 H461:L461">
    <cfRule type="expression" dxfId="5387" priority="8140">
      <formula>$H452="SUBETAPA"</formula>
    </cfRule>
  </conditionalFormatting>
  <conditionalFormatting sqref="H453:M453 H454:L454 H455:M455 H456:L456 H457:M457 H458:L459 K462:M462 O462">
    <cfRule type="expression" dxfId="5386" priority="8139">
      <formula>$H453="ETAPA"</formula>
    </cfRule>
  </conditionalFormatting>
  <conditionalFormatting sqref="H460:M461">
    <cfRule type="expression" dxfId="5385" priority="8138">
      <formula>$H460="ETAPA"</formula>
    </cfRule>
  </conditionalFormatting>
  <conditionalFormatting sqref="H465:M473 O475 H475:M476 H474:L474">
    <cfRule type="expression" dxfId="5384" priority="8137">
      <formula>$H465="SUBETAPA"</formula>
    </cfRule>
  </conditionalFormatting>
  <conditionalFormatting sqref="H466:M466 H467:L467 H468:M468 H469:L469 H470:M470 H471:L472 K475:M475 O475">
    <cfRule type="expression" dxfId="5383" priority="8136">
      <formula>$H466="ETAPA"</formula>
    </cfRule>
  </conditionalFormatting>
  <conditionalFormatting sqref="H473:M474">
    <cfRule type="expression" dxfId="5382" priority="8135">
      <formula>$H473="ETAPA"</formula>
    </cfRule>
  </conditionalFormatting>
  <conditionalFormatting sqref="H478:M486 O488 H488:M489 H487:L487">
    <cfRule type="expression" dxfId="5381" priority="8134">
      <formula>$H478="SUBETAPA"</formula>
    </cfRule>
  </conditionalFormatting>
  <conditionalFormatting sqref="H479:M479 H480:L480 H481:M481 H482:L482 H483:M483 H484:L485 K488:M488 O488">
    <cfRule type="expression" dxfId="5380" priority="8133">
      <formula>$H479="ETAPA"</formula>
    </cfRule>
  </conditionalFormatting>
  <conditionalFormatting sqref="H486:M487">
    <cfRule type="expression" dxfId="5379" priority="8132">
      <formula>$H486="ETAPA"</formula>
    </cfRule>
  </conditionalFormatting>
  <conditionalFormatting sqref="H491:M499 O501 H501:M502 H500:L500">
    <cfRule type="expression" dxfId="5378" priority="8131">
      <formula>$H491="SUBETAPA"</formula>
    </cfRule>
  </conditionalFormatting>
  <conditionalFormatting sqref="H492:M492 H493:L493 H494:M494 H495:L495 H496:M496 H497:L498 K501:M501 O501">
    <cfRule type="expression" dxfId="5377" priority="8130">
      <formula>$H492="ETAPA"</formula>
    </cfRule>
  </conditionalFormatting>
  <conditionalFormatting sqref="H499:M500">
    <cfRule type="expression" dxfId="5376" priority="8129">
      <formula>$H499="ETAPA"</formula>
    </cfRule>
  </conditionalFormatting>
  <conditionalFormatting sqref="H504:M512 O514 H514:M515 H513:L513">
    <cfRule type="expression" dxfId="5375" priority="8128">
      <formula>$H504="SUBETAPA"</formula>
    </cfRule>
  </conditionalFormatting>
  <conditionalFormatting sqref="H505:M505 H506:L506 H507:M507 H508:L508 H509:M509 H510:L511 K514:M514 O514">
    <cfRule type="expression" dxfId="5374" priority="8127">
      <formula>$H505="ETAPA"</formula>
    </cfRule>
  </conditionalFormatting>
  <conditionalFormatting sqref="H512:M513">
    <cfRule type="expression" dxfId="5373" priority="8126">
      <formula>$H512="ETAPA"</formula>
    </cfRule>
  </conditionalFormatting>
  <conditionalFormatting sqref="H517:M525 O527 H527:M528 H526:L526">
    <cfRule type="expression" dxfId="5372" priority="8125">
      <formula>$H517="SUBETAPA"</formula>
    </cfRule>
  </conditionalFormatting>
  <conditionalFormatting sqref="H518:M518 H519:L519 H520:M520 H521:L521 H522:M522 H523:L524 K527:M527 O527">
    <cfRule type="expression" dxfId="5371" priority="8124">
      <formula>$H518="ETAPA"</formula>
    </cfRule>
  </conditionalFormatting>
  <conditionalFormatting sqref="H525:M526">
    <cfRule type="expression" dxfId="5370" priority="8123">
      <formula>$H525="ETAPA"</formula>
    </cfRule>
  </conditionalFormatting>
  <conditionalFormatting sqref="H530:M538 O540 H540:M541 H539:L539">
    <cfRule type="expression" dxfId="5369" priority="8122">
      <formula>$H530="SUBETAPA"</formula>
    </cfRule>
  </conditionalFormatting>
  <conditionalFormatting sqref="H531:M531 H532:L532 H533:M533 H534:L534 H535:M535 H536:L537 K540:M540 O540">
    <cfRule type="expression" dxfId="5368" priority="8121">
      <formula>$H531="ETAPA"</formula>
    </cfRule>
  </conditionalFormatting>
  <conditionalFormatting sqref="H538:M539">
    <cfRule type="expression" dxfId="5367" priority="8120">
      <formula>$H538="ETAPA"</formula>
    </cfRule>
  </conditionalFormatting>
  <conditionalFormatting sqref="H543:M551 O553 H553:M554 H552:L552">
    <cfRule type="expression" dxfId="5366" priority="8119">
      <formula>$H543="SUBETAPA"</formula>
    </cfRule>
  </conditionalFormatting>
  <conditionalFormatting sqref="H544:M544 H545:L545 H546:M546 H547:L547 H548:M548 H549:L550 K553:M553 O553">
    <cfRule type="expression" dxfId="5365" priority="8118">
      <formula>$H544="ETAPA"</formula>
    </cfRule>
  </conditionalFormatting>
  <conditionalFormatting sqref="H551:M552">
    <cfRule type="expression" dxfId="5364" priority="8117">
      <formula>$H551="ETAPA"</formula>
    </cfRule>
  </conditionalFormatting>
  <conditionalFormatting sqref="H556:M564 O566 H566:M567 H565:L565">
    <cfRule type="expression" dxfId="5363" priority="8116">
      <formula>$H556="SUBETAPA"</formula>
    </cfRule>
  </conditionalFormatting>
  <conditionalFormatting sqref="H557:M557 H558:L558 H559:M559 H560:L560 H561:M561 H562:L563 K566:M566 O566">
    <cfRule type="expression" dxfId="5362" priority="8115">
      <formula>$H557="ETAPA"</formula>
    </cfRule>
  </conditionalFormatting>
  <conditionalFormatting sqref="H564:M565">
    <cfRule type="expression" dxfId="5361" priority="8114">
      <formula>$H564="ETAPA"</formula>
    </cfRule>
  </conditionalFormatting>
  <conditionalFormatting sqref="H595:M597 H594:L594">
    <cfRule type="expression" dxfId="5360" priority="8402">
      <formula>$H594="CÉLULA CONSTRUTIVA"</formula>
    </cfRule>
  </conditionalFormatting>
  <conditionalFormatting sqref="H604:M606 H603:L603">
    <cfRule type="expression" dxfId="5359" priority="8400">
      <formula>$H603="CÉLULA CONSTRUTIVA"</formula>
    </cfRule>
  </conditionalFormatting>
  <conditionalFormatting sqref="H613:M615 H612:L612">
    <cfRule type="expression" dxfId="5358" priority="8398">
      <formula>$H612="CÉLULA CONSTRUTIVA"</formula>
    </cfRule>
  </conditionalFormatting>
  <conditionalFormatting sqref="H622:M624 H621:L621">
    <cfRule type="expression" dxfId="5357" priority="8396">
      <formula>$H621="CÉLULA CONSTRUTIVA"</formula>
    </cfRule>
  </conditionalFormatting>
  <conditionalFormatting sqref="H631:M633 H630:L630">
    <cfRule type="expression" dxfId="5356" priority="8394">
      <formula>$H630="CÉLULA CONSTRUTIVA"</formula>
    </cfRule>
  </conditionalFormatting>
  <conditionalFormatting sqref="H640:M642 H639:L639">
    <cfRule type="expression" dxfId="5355" priority="8392">
      <formula>$H639="CÉLULA CONSTRUTIVA"</formula>
    </cfRule>
  </conditionalFormatting>
  <conditionalFormatting sqref="H649:M651 H648:L648">
    <cfRule type="expression" dxfId="5354" priority="8390">
      <formula>$H648="CÉLULA CONSTRUTIVA"</formula>
    </cfRule>
  </conditionalFormatting>
  <conditionalFormatting sqref="H658:M658 H657:L657">
    <cfRule type="expression" dxfId="5353" priority="8388">
      <formula>$H657="CÉLULA CONSTRUTIVA"</formula>
    </cfRule>
  </conditionalFormatting>
  <conditionalFormatting sqref="H669:M669 H668:L668">
    <cfRule type="expression" dxfId="5352" priority="8386">
      <formula>$H668="CÉLULA CONSTRUTIVA"</formula>
    </cfRule>
  </conditionalFormatting>
  <conditionalFormatting sqref="H680:M682 H679:L679">
    <cfRule type="expression" dxfId="5351" priority="8384">
      <formula>$H679="CÉLULA CONSTRUTIVA"</formula>
    </cfRule>
  </conditionalFormatting>
  <conditionalFormatting sqref="H689:M691 H688:L688">
    <cfRule type="expression" dxfId="5350" priority="8382">
      <formula>$H688="CÉLULA CONSTRUTIVA"</formula>
    </cfRule>
  </conditionalFormatting>
  <conditionalFormatting sqref="H698:M698 H697:L697">
    <cfRule type="expression" dxfId="5349" priority="8380">
      <formula>$H697="CÉLULA CONSTRUTIVA"</formula>
    </cfRule>
  </conditionalFormatting>
  <conditionalFormatting sqref="H706:M718 J710">
    <cfRule type="expression" dxfId="5348" priority="8112">
      <formula>$H706="SUBETAPA"</formula>
    </cfRule>
  </conditionalFormatting>
  <conditionalFormatting sqref="H713:M714">
    <cfRule type="expression" dxfId="5347" priority="8347">
      <formula>$H713="CÉLULA CONSTRUTIVA"</formula>
    </cfRule>
  </conditionalFormatting>
  <conditionalFormatting sqref="H721:M733 J725">
    <cfRule type="expression" dxfId="5346" priority="8110">
      <formula>$H721="SUBETAPA"</formula>
    </cfRule>
  </conditionalFormatting>
  <conditionalFormatting sqref="H728:M729">
    <cfRule type="expression" dxfId="5345" priority="8343">
      <formula>$H728="CÉLULA CONSTRUTIVA"</formula>
    </cfRule>
  </conditionalFormatting>
  <conditionalFormatting sqref="H736:M748 J740">
    <cfRule type="expression" dxfId="5344" priority="8108">
      <formula>$H736="SUBETAPA"</formula>
    </cfRule>
  </conditionalFormatting>
  <conditionalFormatting sqref="H743:M744">
    <cfRule type="expression" dxfId="5343" priority="8339">
      <formula>$H743="CÉLULA CONSTRUTIVA"</formula>
    </cfRule>
  </conditionalFormatting>
  <conditionalFormatting sqref="H751:M763 J755">
    <cfRule type="expression" dxfId="5342" priority="8106">
      <formula>$H751="SUBETAPA"</formula>
    </cfRule>
  </conditionalFormatting>
  <conditionalFormatting sqref="H758:M759">
    <cfRule type="expression" dxfId="5341" priority="8335">
      <formula>$H758="CÉLULA CONSTRUTIVA"</formula>
    </cfRule>
  </conditionalFormatting>
  <conditionalFormatting sqref="H766:M778 J770">
    <cfRule type="expression" dxfId="5340" priority="8104">
      <formula>$H766="SUBETAPA"</formula>
    </cfRule>
  </conditionalFormatting>
  <conditionalFormatting sqref="H773:M774">
    <cfRule type="expression" dxfId="5339" priority="8331">
      <formula>$H773="CÉLULA CONSTRUTIVA"</formula>
    </cfRule>
  </conditionalFormatting>
  <conditionalFormatting sqref="H781:M793 J785">
    <cfRule type="expression" dxfId="5338" priority="8102">
      <formula>$H781="SUBETAPA"</formula>
    </cfRule>
  </conditionalFormatting>
  <conditionalFormatting sqref="H788:M789">
    <cfRule type="expression" dxfId="5337" priority="8327">
      <formula>$H788="CÉLULA CONSTRUTIVA"</formula>
    </cfRule>
  </conditionalFormatting>
  <conditionalFormatting sqref="H796:M808 J800">
    <cfRule type="expression" dxfId="5336" priority="8100">
      <formula>$H796="SUBETAPA"</formula>
    </cfRule>
  </conditionalFormatting>
  <conditionalFormatting sqref="H803:M804">
    <cfRule type="expression" dxfId="5335" priority="8323">
      <formula>$H803="CÉLULA CONSTRUTIVA"</formula>
    </cfRule>
  </conditionalFormatting>
  <conditionalFormatting sqref="H811:M823 J815">
    <cfRule type="expression" dxfId="5334" priority="8098">
      <formula>$H811="SUBETAPA"</formula>
    </cfRule>
  </conditionalFormatting>
  <conditionalFormatting sqref="H818:M819">
    <cfRule type="expression" dxfId="5333" priority="8319">
      <formula>$H818="CÉLULA CONSTRUTIVA"</formula>
    </cfRule>
  </conditionalFormatting>
  <conditionalFormatting sqref="H826:M838 J830">
    <cfRule type="expression" dxfId="5332" priority="8096">
      <formula>$H826="SUBETAPA"</formula>
    </cfRule>
  </conditionalFormatting>
  <conditionalFormatting sqref="H833:M834">
    <cfRule type="expression" dxfId="5331" priority="8315">
      <formula>$H833="CÉLULA CONSTRUTIVA"</formula>
    </cfRule>
  </conditionalFormatting>
  <conditionalFormatting sqref="H841:M853 J845">
    <cfRule type="expression" dxfId="5330" priority="8094">
      <formula>$H841="SUBETAPA"</formula>
    </cfRule>
  </conditionalFormatting>
  <conditionalFormatting sqref="H848:M849">
    <cfRule type="expression" dxfId="5329" priority="8311">
      <formula>$H848="CÉLULA CONSTRUTIVA"</formula>
    </cfRule>
  </conditionalFormatting>
  <conditionalFormatting sqref="H856:M868 J860">
    <cfRule type="expression" dxfId="5328" priority="8092">
      <formula>$H856="SUBETAPA"</formula>
    </cfRule>
  </conditionalFormatting>
  <conditionalFormatting sqref="H863:M864">
    <cfRule type="expression" dxfId="5327" priority="8307">
      <formula>$H863="CÉLULA CONSTRUTIVA"</formula>
    </cfRule>
  </conditionalFormatting>
  <conditionalFormatting sqref="H871:M883 J875">
    <cfRule type="expression" dxfId="5326" priority="8090">
      <formula>$H871="SUBETAPA"</formula>
    </cfRule>
  </conditionalFormatting>
  <conditionalFormatting sqref="H878:M879">
    <cfRule type="expression" dxfId="5325" priority="8303">
      <formula>$H878="CÉLULA CONSTRUTIVA"</formula>
    </cfRule>
  </conditionalFormatting>
  <conditionalFormatting sqref="H886:M898 J890">
    <cfRule type="expression" dxfId="5324" priority="8088">
      <formula>$H886="SUBETAPA"</formula>
    </cfRule>
  </conditionalFormatting>
  <conditionalFormatting sqref="H893:M894">
    <cfRule type="expression" dxfId="5323" priority="8299">
      <formula>$H893="CÉLULA CONSTRUTIVA"</formula>
    </cfRule>
  </conditionalFormatting>
  <conditionalFormatting sqref="H908:M909">
    <cfRule type="expression" dxfId="5322" priority="8295">
      <formula>$H908="CÉLULA CONSTRUTIVA"</formula>
    </cfRule>
  </conditionalFormatting>
  <conditionalFormatting sqref="H1004:M1004">
    <cfRule type="expression" dxfId="5321"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0" priority="8085">
      <formula>$H568="SUBETAPA"</formula>
    </cfRule>
  </conditionalFormatting>
  <conditionalFormatting sqref="H1010:M1010 G1012:L1012">
    <cfRule type="expression" dxfId="5319" priority="8084">
      <formula>$H1010="ETAPA"</formula>
    </cfRule>
  </conditionalFormatting>
  <conditionalFormatting sqref="H1191:M1191">
    <cfRule type="expression" dxfId="5318" priority="8083">
      <formula>$H1191="ETAPA"</formula>
    </cfRule>
  </conditionalFormatting>
  <conditionalFormatting sqref="I919:J919">
    <cfRule type="expression" dxfId="5317" priority="8077">
      <formula>$H919="SUBETAPA"</formula>
    </cfRule>
    <cfRule type="expression" dxfId="5316" priority="8076">
      <formula>$H919="ETAPA"</formula>
    </cfRule>
  </conditionalFormatting>
  <conditionalFormatting sqref="I924:J924">
    <cfRule type="expression" dxfId="5315" priority="8074">
      <formula>$H924="SUBETAPA"</formula>
    </cfRule>
    <cfRule type="expression" dxfId="5314" priority="8073">
      <formula>$H924="ETAPA"</formula>
    </cfRule>
  </conditionalFormatting>
  <conditionalFormatting sqref="I929:J929">
    <cfRule type="expression" dxfId="5313" priority="8071">
      <formula>$H929="SUBETAPA"</formula>
    </cfRule>
    <cfRule type="expression" dxfId="5312" priority="8070">
      <formula>$H929="ETAPA"</formula>
    </cfRule>
  </conditionalFormatting>
  <conditionalFormatting sqref="I934:J934">
    <cfRule type="expression" dxfId="5311" priority="8067">
      <formula>$H934="ETAPA"</formula>
    </cfRule>
    <cfRule type="expression" dxfId="5310" priority="8068">
      <formula>$H934="SUBETAPA"</formula>
    </cfRule>
  </conditionalFormatting>
  <conditionalFormatting sqref="I939:J939">
    <cfRule type="expression" dxfId="5309" priority="8064">
      <formula>$H939="ETAPA"</formula>
    </cfRule>
    <cfRule type="expression" dxfId="5308" priority="8065">
      <formula>$H939="SUBETAPA"</formula>
    </cfRule>
  </conditionalFormatting>
  <conditionalFormatting sqref="I944:J944">
    <cfRule type="expression" dxfId="5307" priority="8062">
      <formula>$H944="SUBETAPA"</formula>
    </cfRule>
    <cfRule type="expression" dxfId="5306" priority="8061">
      <formula>$H944="ETAPA"</formula>
    </cfRule>
  </conditionalFormatting>
  <conditionalFormatting sqref="I951:J951">
    <cfRule type="expression" dxfId="5305" priority="8059">
      <formula>$H951="SUBETAPA"</formula>
    </cfRule>
    <cfRule type="expression" dxfId="5304" priority="8058">
      <formula>$H951="ETAPA"</formula>
    </cfRule>
  </conditionalFormatting>
  <conditionalFormatting sqref="I958:J958">
    <cfRule type="expression" dxfId="5303" priority="8055">
      <formula>$H958="ETAPA"</formula>
    </cfRule>
    <cfRule type="expression" dxfId="5302" priority="8056">
      <formula>$H958="SUBETAPA"</formula>
    </cfRule>
  </conditionalFormatting>
  <conditionalFormatting sqref="I965:J965">
    <cfRule type="expression" dxfId="5301" priority="8053">
      <formula>$H965="SUBETAPA"</formula>
    </cfRule>
    <cfRule type="expression" dxfId="5300" priority="8052">
      <formula>$H965="ETAPA"</formula>
    </cfRule>
  </conditionalFormatting>
  <conditionalFormatting sqref="I972:J972">
    <cfRule type="expression" dxfId="5299" priority="8050">
      <formula>$H972="SUBETAPA"</formula>
    </cfRule>
    <cfRule type="expression" dxfId="5298" priority="8049">
      <formula>$H972="ETAPA"</formula>
    </cfRule>
  </conditionalFormatting>
  <conditionalFormatting sqref="I979:J979">
    <cfRule type="expression" dxfId="5297" priority="8047">
      <formula>$H979="SUBETAPA"</formula>
    </cfRule>
    <cfRule type="expression" dxfId="5296" priority="8046">
      <formula>$H979="ETAPA"</formula>
    </cfRule>
  </conditionalFormatting>
  <conditionalFormatting sqref="I984:J984">
    <cfRule type="expression" dxfId="5295" priority="8044">
      <formula>$H984="SUBETAPA"</formula>
    </cfRule>
    <cfRule type="expression" dxfId="5294" priority="8043">
      <formula>$H984="ETAPA"</formula>
    </cfRule>
  </conditionalFormatting>
  <conditionalFormatting sqref="I991:J991">
    <cfRule type="expression" dxfId="5293" priority="8040">
      <formula>$H991="ETAPA"</formula>
    </cfRule>
    <cfRule type="expression" dxfId="5292" priority="8041">
      <formula>$H991="SUBETAPA"</formula>
    </cfRule>
  </conditionalFormatting>
  <conditionalFormatting sqref="I996:J996">
    <cfRule type="expression" dxfId="5291" priority="8038">
      <formula>$H996="SUBETAPA"</formula>
    </cfRule>
    <cfRule type="expression" dxfId="5290" priority="8037">
      <formula>$H996="ETAPA"</formula>
    </cfRule>
  </conditionalFormatting>
  <conditionalFormatting sqref="I1018:J1018">
    <cfRule type="expression" dxfId="5289" priority="8032">
      <formula>$H1018="SUBETAPA"</formula>
    </cfRule>
    <cfRule type="expression" dxfId="5288" priority="8031">
      <formula>$H1018="ETAPA"</formula>
    </cfRule>
  </conditionalFormatting>
  <conditionalFormatting sqref="I1020:J1021">
    <cfRule type="expression" dxfId="5287" priority="8028">
      <formula>$H1020="ETAPA"</formula>
    </cfRule>
    <cfRule type="expression" dxfId="5286" priority="8029">
      <formula>$H1020="SUBETAPA"</formula>
    </cfRule>
  </conditionalFormatting>
  <conditionalFormatting sqref="I1032:J1032">
    <cfRule type="expression" dxfId="5285" priority="8025">
      <formula>$H1032="ETAPA"</formula>
    </cfRule>
    <cfRule type="expression" dxfId="5284" priority="8026">
      <formula>$H1032="SUBETAPA"</formula>
    </cfRule>
  </conditionalFormatting>
  <conditionalFormatting sqref="I1034:J1035">
    <cfRule type="expression" dxfId="5283" priority="8022">
      <formula>$H1034="ETAPA"</formula>
    </cfRule>
    <cfRule type="expression" dxfId="5282" priority="8023">
      <formula>$H1034="SUBETAPA"</formula>
    </cfRule>
  </conditionalFormatting>
  <conditionalFormatting sqref="I1046:J1046">
    <cfRule type="expression" dxfId="5281" priority="8020">
      <formula>$H1046="SUBETAPA"</formula>
    </cfRule>
    <cfRule type="expression" dxfId="5280" priority="8019">
      <formula>$H1046="ETAPA"</formula>
    </cfRule>
  </conditionalFormatting>
  <conditionalFormatting sqref="I1048:J1049">
    <cfRule type="expression" dxfId="5279" priority="8017">
      <formula>$H1048="SUBETAPA"</formula>
    </cfRule>
    <cfRule type="expression" dxfId="5278" priority="8016">
      <formula>$H1048="ETAPA"</formula>
    </cfRule>
  </conditionalFormatting>
  <conditionalFormatting sqref="I1060:J1060">
    <cfRule type="expression" dxfId="5277" priority="8014">
      <formula>$H1060="SUBETAPA"</formula>
    </cfRule>
    <cfRule type="expression" dxfId="5276" priority="8013">
      <formula>$H1060="ETAPA"</formula>
    </cfRule>
  </conditionalFormatting>
  <conditionalFormatting sqref="I1062:J1063">
    <cfRule type="expression" dxfId="5275" priority="8010">
      <formula>$H1062="ETAPA"</formula>
    </cfRule>
    <cfRule type="expression" dxfId="5274" priority="8011">
      <formula>$H1062="SUBETAPA"</formula>
    </cfRule>
  </conditionalFormatting>
  <conditionalFormatting sqref="I1074:J1074">
    <cfRule type="expression" dxfId="5273" priority="8007">
      <formula>$H1074="ETAPA"</formula>
    </cfRule>
    <cfRule type="expression" dxfId="5272" priority="8008">
      <formula>$H1074="SUBETAPA"</formula>
    </cfRule>
  </conditionalFormatting>
  <conditionalFormatting sqref="I1076:J1077">
    <cfRule type="expression" dxfId="5271" priority="8005">
      <formula>$H1076="SUBETAPA"</formula>
    </cfRule>
    <cfRule type="expression" dxfId="5270" priority="8004">
      <formula>$H1076="ETAPA"</formula>
    </cfRule>
  </conditionalFormatting>
  <conditionalFormatting sqref="I1088:J1088">
    <cfRule type="expression" dxfId="5269" priority="8001">
      <formula>$H1088="ETAPA"</formula>
    </cfRule>
    <cfRule type="expression" dxfId="5268" priority="8002">
      <formula>$H1088="SUBETAPA"</formula>
    </cfRule>
  </conditionalFormatting>
  <conditionalFormatting sqref="I1090:J1091">
    <cfRule type="expression" dxfId="5267" priority="7998">
      <formula>$H1090="ETAPA"</formula>
    </cfRule>
    <cfRule type="expression" dxfId="5266" priority="7999">
      <formula>$H1090="SUBETAPA"</formula>
    </cfRule>
  </conditionalFormatting>
  <conditionalFormatting sqref="I1102:J1102">
    <cfRule type="expression" dxfId="5265" priority="7995">
      <formula>$H1102="ETAPA"</formula>
    </cfRule>
    <cfRule type="expression" dxfId="5264" priority="7996">
      <formula>$H1102="SUBETAPA"</formula>
    </cfRule>
  </conditionalFormatting>
  <conditionalFormatting sqref="I1104:J1105">
    <cfRule type="expression" dxfId="5263" priority="7992">
      <formula>$H1104="ETAPA"</formula>
    </cfRule>
    <cfRule type="expression" dxfId="5262" priority="7993">
      <formula>$H1104="SUBETAPA"</formula>
    </cfRule>
  </conditionalFormatting>
  <conditionalFormatting sqref="I1116:J1116">
    <cfRule type="expression" dxfId="5261" priority="7988">
      <formula>$H1116="CÉLULA CONSTRUTIVA"</formula>
    </cfRule>
    <cfRule type="expression" dxfId="5260" priority="7989">
      <formula>$H1116="ETAPA"</formula>
    </cfRule>
  </conditionalFormatting>
  <conditionalFormatting sqref="I1118:J1118">
    <cfRule type="expression" dxfId="5259" priority="7987">
      <formula>$H1118="SUBETAPA"</formula>
    </cfRule>
  </conditionalFormatting>
  <conditionalFormatting sqref="I1118:J1119">
    <cfRule type="expression" dxfId="5258" priority="7985">
      <formula>$H1118="CÉLULA CONSTRUTIVA"</formula>
    </cfRule>
    <cfRule type="expression" dxfId="5257" priority="7986">
      <formula>$H1118="ETAPA"</formula>
    </cfRule>
  </conditionalFormatting>
  <conditionalFormatting sqref="I26:K27 M26:M27">
    <cfRule type="expression" dxfId="5256"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5"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4" priority="7981">
      <formula>$H914="SUBETAPA"</formula>
    </cfRule>
  </conditionalFormatting>
  <conditionalFormatting sqref="I1016:K1016">
    <cfRule type="expression" dxfId="5253" priority="7978">
      <formula>$H1016="ETAPA"</formula>
    </cfRule>
  </conditionalFormatting>
  <conditionalFormatting sqref="I1030:K1030">
    <cfRule type="expression" dxfId="5252" priority="7976">
      <formula>$H1030="ETAPA"</formula>
    </cfRule>
  </conditionalFormatting>
  <conditionalFormatting sqref="I1044:K1044">
    <cfRule type="expression" dxfId="5251" priority="7974">
      <formula>$H1044="ETAPA"</formula>
    </cfRule>
  </conditionalFormatting>
  <conditionalFormatting sqref="I1058:K1058">
    <cfRule type="expression" dxfId="5250" priority="7972">
      <formula>$H1058="ETAPA"</formula>
    </cfRule>
  </conditionalFormatting>
  <conditionalFormatting sqref="I1072:K1072 M1073">
    <cfRule type="expression" dxfId="5249" priority="7970">
      <formula>$H1072="ETAPA"</formula>
    </cfRule>
  </conditionalFormatting>
  <conditionalFormatting sqref="I1086:K1086 M1087">
    <cfRule type="expression" dxfId="5248" priority="7968">
      <formula>$H1086="ETAPA"</formula>
    </cfRule>
  </conditionalFormatting>
  <conditionalFormatting sqref="I1100:K1100">
    <cfRule type="expression" dxfId="5247" priority="7966">
      <formula>$H1100="ETAPA"</formula>
    </cfRule>
  </conditionalFormatting>
  <conditionalFormatting sqref="I1114:K1114">
    <cfRule type="expression" dxfId="5246" priority="7964">
      <formula>$H1114="ETAPA"</formula>
    </cfRule>
  </conditionalFormatting>
  <conditionalFormatting sqref="I26:L27">
    <cfRule type="expression" dxfId="5245" priority="7963">
      <formula>$H26="SUBETAPA"</formula>
    </cfRule>
  </conditionalFormatting>
  <conditionalFormatting sqref="I919:L919">
    <cfRule type="expression" dxfId="5244" priority="8075">
      <formula>$H919="CÉLULA CONSTRUTIVA"</formula>
    </cfRule>
  </conditionalFormatting>
  <conditionalFormatting sqref="I924:L924">
    <cfRule type="expression" dxfId="5243" priority="8072">
      <formula>$H924="CÉLULA CONSTRUTIVA"</formula>
    </cfRule>
  </conditionalFormatting>
  <conditionalFormatting sqref="I929:L929">
    <cfRule type="expression" dxfId="5242" priority="8069">
      <formula>$H929="CÉLULA CONSTRUTIVA"</formula>
    </cfRule>
  </conditionalFormatting>
  <conditionalFormatting sqref="I934:L934">
    <cfRule type="expression" dxfId="5241" priority="8066">
      <formula>$H934="CÉLULA CONSTRUTIVA"</formula>
    </cfRule>
  </conditionalFormatting>
  <conditionalFormatting sqref="I939:L939">
    <cfRule type="expression" dxfId="5240" priority="8063">
      <formula>$H939="CÉLULA CONSTRUTIVA"</formula>
    </cfRule>
  </conditionalFormatting>
  <conditionalFormatting sqref="I944:L944">
    <cfRule type="expression" dxfId="5239" priority="8060">
      <formula>$H944="CÉLULA CONSTRUTIVA"</formula>
    </cfRule>
  </conditionalFormatting>
  <conditionalFormatting sqref="I951:L951">
    <cfRule type="expression" dxfId="5238" priority="8057">
      <formula>$H951="CÉLULA CONSTRUTIVA"</formula>
    </cfRule>
  </conditionalFormatting>
  <conditionalFormatting sqref="I958:L958">
    <cfRule type="expression" dxfId="5237" priority="8054">
      <formula>$H958="CÉLULA CONSTRUTIVA"</formula>
    </cfRule>
  </conditionalFormatting>
  <conditionalFormatting sqref="I965:L965">
    <cfRule type="expression" dxfId="5236" priority="8051">
      <formula>$H965="CÉLULA CONSTRUTIVA"</formula>
    </cfRule>
  </conditionalFormatting>
  <conditionalFormatting sqref="I972:L972">
    <cfRule type="expression" dxfId="5235" priority="8048">
      <formula>$H972="CÉLULA CONSTRUTIVA"</formula>
    </cfRule>
  </conditionalFormatting>
  <conditionalFormatting sqref="I979:L979">
    <cfRule type="expression" dxfId="5234" priority="8045">
      <formula>$H979="CÉLULA CONSTRUTIVA"</formula>
    </cfRule>
  </conditionalFormatting>
  <conditionalFormatting sqref="I984:L984">
    <cfRule type="expression" dxfId="5233" priority="8042">
      <formula>$H984="CÉLULA CONSTRUTIVA"</formula>
    </cfRule>
  </conditionalFormatting>
  <conditionalFormatting sqref="I991:L991">
    <cfRule type="expression" dxfId="5232" priority="8039">
      <formula>$H991="CÉLULA CONSTRUTIVA"</formula>
    </cfRule>
  </conditionalFormatting>
  <conditionalFormatting sqref="I996:L996">
    <cfRule type="expression" dxfId="5231" priority="8036">
      <formula>$H996="CÉLULA CONSTRUTIVA"</formula>
    </cfRule>
  </conditionalFormatting>
  <conditionalFormatting sqref="I1016:L1016 I1013:L1014">
    <cfRule type="expression" dxfId="5230" priority="7979">
      <formula>$H1013="SUBETAPA"</formula>
    </cfRule>
  </conditionalFormatting>
  <conditionalFormatting sqref="I1030:L1030 I1027:L1028">
    <cfRule type="expression" dxfId="5229" priority="7977">
      <formula>$H1027="SUBETAPA"</formula>
    </cfRule>
  </conditionalFormatting>
  <conditionalFormatting sqref="I1044:L1044 I1041:L1042">
    <cfRule type="expression" dxfId="5228" priority="7975">
      <formula>$H1041="SUBETAPA"</formula>
    </cfRule>
  </conditionalFormatting>
  <conditionalFormatting sqref="I1058:L1058 I1055:L1056">
    <cfRule type="expression" dxfId="5227" priority="7973">
      <formula>$H1055="SUBETAPA"</formula>
    </cfRule>
  </conditionalFormatting>
  <conditionalFormatting sqref="I1072:L1072 I1069:L1070">
    <cfRule type="expression" dxfId="5226" priority="7971">
      <formula>$H1069="SUBETAPA"</formula>
    </cfRule>
  </conditionalFormatting>
  <conditionalFormatting sqref="I1083:L1085 K1088:L1088 O1088 K1091:L1091">
    <cfRule type="expression" dxfId="5225" priority="6659">
      <formula>$H1083="SUBETAPA"</formula>
    </cfRule>
  </conditionalFormatting>
  <conditionalFormatting sqref="I1086:L1086">
    <cfRule type="expression" dxfId="5224" priority="7969">
      <formula>$H1086="SUBETAPA"</formula>
    </cfRule>
  </conditionalFormatting>
  <conditionalFormatting sqref="I1088:L1088">
    <cfRule type="expression" dxfId="5223" priority="8000">
      <formula>$H1088="CÉLULA CONSTRUTIVA"</formula>
    </cfRule>
  </conditionalFormatting>
  <conditionalFormatting sqref="I1090:L1091">
    <cfRule type="expression" dxfId="5222" priority="7997">
      <formula>$H1090="CÉLULA CONSTRUTIVA"</formula>
    </cfRule>
  </conditionalFormatting>
  <conditionalFormatting sqref="I1100:L1100 I1097:L1098">
    <cfRule type="expression" dxfId="5221" priority="7967">
      <formula>$H1097="SUBETAPA"</formula>
    </cfRule>
  </conditionalFormatting>
  <conditionalFormatting sqref="I1114:L1114 I1111:L1112 I1113:M1113">
    <cfRule type="expression" dxfId="5220"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19" priority="7980">
      <formula>$H914="CÉLULA CONSTRUTIVA"</formula>
    </cfRule>
  </conditionalFormatting>
  <conditionalFormatting sqref="I1015:M1015 K1018:M1018 O1018 K1021:M1021">
    <cfRule type="expression" dxfId="5218" priority="6639">
      <formula>$H1015="SUBETAPA"</formula>
    </cfRule>
  </conditionalFormatting>
  <conditionalFormatting sqref="I1018:M1018">
    <cfRule type="expression" dxfId="5217" priority="8030">
      <formula>$H1018="CÉLULA CONSTRUTIVA"</formula>
    </cfRule>
  </conditionalFormatting>
  <conditionalFormatting sqref="I1020:M1021">
    <cfRule type="expression" dxfId="5216" priority="8027">
      <formula>$H1020="CÉLULA CONSTRUTIVA"</formula>
    </cfRule>
  </conditionalFormatting>
  <conditionalFormatting sqref="I1029:M1029 K1032:M1032 O1032 K1035:M1035">
    <cfRule type="expression" dxfId="5215" priority="6636">
      <formula>$H1029="SUBETAPA"</formula>
    </cfRule>
  </conditionalFormatting>
  <conditionalFormatting sqref="I1032:M1032">
    <cfRule type="expression" dxfId="5214" priority="8024">
      <formula>$H1032="CÉLULA CONSTRUTIVA"</formula>
    </cfRule>
  </conditionalFormatting>
  <conditionalFormatting sqref="I1034:M1035">
    <cfRule type="expression" dxfId="5213" priority="8021">
      <formula>$H1034="CÉLULA CONSTRUTIVA"</formula>
    </cfRule>
  </conditionalFormatting>
  <conditionalFormatting sqref="I1043:M1043 K1046:M1046 O1046 K1049:M1049">
    <cfRule type="expression" dxfId="5212" priority="6633">
      <formula>$H1043="SUBETAPA"</formula>
    </cfRule>
  </conditionalFormatting>
  <conditionalFormatting sqref="I1046:M1046">
    <cfRule type="expression" dxfId="5211" priority="8018">
      <formula>$H1046="CÉLULA CONSTRUTIVA"</formula>
    </cfRule>
  </conditionalFormatting>
  <conditionalFormatting sqref="I1048:M1049">
    <cfRule type="expression" dxfId="5210" priority="8015">
      <formula>$H1048="CÉLULA CONSTRUTIVA"</formula>
    </cfRule>
  </conditionalFormatting>
  <conditionalFormatting sqref="I1057:M1057 K1060:M1060 O1060 K1063:M1063">
    <cfRule type="expression" dxfId="5209" priority="6630">
      <formula>$H1057="SUBETAPA"</formula>
    </cfRule>
  </conditionalFormatting>
  <conditionalFormatting sqref="I1060:M1060">
    <cfRule type="expression" dxfId="5208" priority="8012">
      <formula>$H1060="CÉLULA CONSTRUTIVA"</formula>
    </cfRule>
  </conditionalFormatting>
  <conditionalFormatting sqref="I1062:M1063">
    <cfRule type="expression" dxfId="5207" priority="8009">
      <formula>$H1062="CÉLULA CONSTRUTIVA"</formula>
    </cfRule>
  </conditionalFormatting>
  <conditionalFormatting sqref="I1071:M1071 K1074:M1074 O1074 K1077:M1077">
    <cfRule type="expression" dxfId="5206" priority="6627">
      <formula>$H1071="SUBETAPA"</formula>
    </cfRule>
  </conditionalFormatting>
  <conditionalFormatting sqref="I1074:M1074">
    <cfRule type="expression" dxfId="5205" priority="8006">
      <formula>$H1074="CÉLULA CONSTRUTIVA"</formula>
    </cfRule>
  </conditionalFormatting>
  <conditionalFormatting sqref="I1076:M1077">
    <cfRule type="expression" dxfId="5204" priority="8003">
      <formula>$H1076="CÉLULA CONSTRUTIVA"</formula>
    </cfRule>
  </conditionalFormatting>
  <conditionalFormatting sqref="I1099:M1099 K1102:M1102 O1102 K1105:M1105">
    <cfRule type="expression" dxfId="5203" priority="6624">
      <formula>$H1099="SUBETAPA"</formula>
    </cfRule>
  </conditionalFormatting>
  <conditionalFormatting sqref="I1102:M1102">
    <cfRule type="expression" dxfId="5202" priority="7994">
      <formula>$H1102="CÉLULA CONSTRUTIVA"</formula>
    </cfRule>
  </conditionalFormatting>
  <conditionalFormatting sqref="I1104:M1105">
    <cfRule type="expression" dxfId="5201" priority="7991">
      <formula>$H1104="CÉLULA CONSTRUTIVA"</formula>
    </cfRule>
  </conditionalFormatting>
  <conditionalFormatting sqref="I1116:M1116 I1119:M1119">
    <cfRule type="expression" dxfId="5200" priority="7990">
      <formula>$H1116="SUBETAPA"</formula>
    </cfRule>
  </conditionalFormatting>
  <conditionalFormatting sqref="I42:N43">
    <cfRule type="expression" dxfId="5199" priority="7962">
      <formula>$H42="SUBETAPA"</formula>
    </cfRule>
  </conditionalFormatting>
  <conditionalFormatting sqref="J32">
    <cfRule type="expression" dxfId="5198" priority="7960">
      <formula>$H32="CÉLULA CONSTRUTIVA"</formula>
    </cfRule>
  </conditionalFormatting>
  <conditionalFormatting sqref="J35:J38">
    <cfRule type="expression" dxfId="5197" priority="7955">
      <formula>$H35="CÉLULA CONSTRUTIVA"</formula>
    </cfRule>
  </conditionalFormatting>
  <conditionalFormatting sqref="J37">
    <cfRule type="expression" dxfId="5196" priority="7956">
      <formula>$H37="ETAPA"</formula>
    </cfRule>
  </conditionalFormatting>
  <conditionalFormatting sqref="J40">
    <cfRule type="expression" dxfId="5195" priority="7953">
      <formula>$H40="ETAPA"</formula>
    </cfRule>
    <cfRule type="expression" dxfId="5194" priority="7951">
      <formula>$H40="CÉLULA CONSTRUTIVA"</formula>
    </cfRule>
  </conditionalFormatting>
  <conditionalFormatting sqref="J45:J46">
    <cfRule type="expression" dxfId="5193" priority="7947">
      <formula>$H45="SUBETAPA"</formula>
    </cfRule>
    <cfRule type="expression" dxfId="5192" priority="7946">
      <formula>$H45="ETAPA"</formula>
    </cfRule>
    <cfRule type="expression" dxfId="5191" priority="7945">
      <formula>$H45="CÉLULA CONSTRUTIVA"</formula>
    </cfRule>
  </conditionalFormatting>
  <conditionalFormatting sqref="J50">
    <cfRule type="expression" dxfId="5190" priority="7943">
      <formula>$H50="CÉLULA CONSTRUTIVA"</formula>
    </cfRule>
  </conditionalFormatting>
  <conditionalFormatting sqref="J61">
    <cfRule type="expression" dxfId="5189" priority="7942">
      <formula>$H61="ETAPA"</formula>
    </cfRule>
    <cfRule type="expression" dxfId="5188" priority="7941">
      <formula>$H61="SUBETAPA"</formula>
    </cfRule>
    <cfRule type="expression" dxfId="5187" priority="7940">
      <formula>$H61="CÉLULA CONSTRUTIVA"</formula>
    </cfRule>
  </conditionalFormatting>
  <conditionalFormatting sqref="J88">
    <cfRule type="expression" dxfId="5186" priority="7939">
      <formula>$H88="ETAPA"</formula>
    </cfRule>
  </conditionalFormatting>
  <conditionalFormatting sqref="J90">
    <cfRule type="expression" dxfId="5185" priority="7936">
      <formula>$H90="ETAPA"</formula>
    </cfRule>
  </conditionalFormatting>
  <conditionalFormatting sqref="J303">
    <cfRule type="expression" dxfId="5184" priority="7927">
      <formula>$H303="ETAPA"</formula>
    </cfRule>
  </conditionalFormatting>
  <conditionalFormatting sqref="J308">
    <cfRule type="expression" dxfId="5183" priority="7924">
      <formula>$H308="ETAPA"</formula>
    </cfRule>
    <cfRule type="expression" dxfId="5182" priority="7922">
      <formula>$H308="CÉLULA CONSTRUTIVA"</formula>
    </cfRule>
  </conditionalFormatting>
  <conditionalFormatting sqref="J317">
    <cfRule type="expression" dxfId="5181" priority="7921">
      <formula>$H317="ETAPA"</formula>
    </cfRule>
  </conditionalFormatting>
  <conditionalFormatting sqref="J321">
    <cfRule type="expression" dxfId="5180" priority="7918">
      <formula>$H321="ETAPA"</formula>
    </cfRule>
  </conditionalFormatting>
  <conditionalFormatting sqref="J325">
    <cfRule type="expression" dxfId="5179" priority="7915">
      <formula>$H325="ETAPA"</formula>
    </cfRule>
  </conditionalFormatting>
  <conditionalFormatting sqref="J331">
    <cfRule type="expression" dxfId="5178" priority="7912">
      <formula>$H331="ETAPA"</formula>
    </cfRule>
  </conditionalFormatting>
  <conditionalFormatting sqref="J335">
    <cfRule type="expression" dxfId="5177" priority="7909">
      <formula>$H335="ETAPA"</formula>
    </cfRule>
  </conditionalFormatting>
  <conditionalFormatting sqref="J339">
    <cfRule type="expression" dxfId="5176" priority="7906">
      <formula>$H339="ETAPA"</formula>
    </cfRule>
  </conditionalFormatting>
  <conditionalFormatting sqref="J343">
    <cfRule type="expression" dxfId="5175" priority="7903">
      <formula>$H343="ETAPA"</formula>
    </cfRule>
  </conditionalFormatting>
  <conditionalFormatting sqref="J350">
    <cfRule type="expression" dxfId="5174" priority="7900">
      <formula>$H350="ETAPA"</formula>
    </cfRule>
  </conditionalFormatting>
  <conditionalFormatting sqref="J352">
    <cfRule type="expression" dxfId="5173" priority="7897">
      <formula>$H352="ETAPA"</formula>
    </cfRule>
  </conditionalFormatting>
  <conditionalFormatting sqref="J354">
    <cfRule type="expression" dxfId="5172" priority="7894">
      <formula>$H354="ETAPA"</formula>
    </cfRule>
  </conditionalFormatting>
  <conditionalFormatting sqref="J356">
    <cfRule type="expression" dxfId="5171" priority="7891">
      <formula>$H356="ETAPA"</formula>
    </cfRule>
  </conditionalFormatting>
  <conditionalFormatting sqref="J358">
    <cfRule type="expression" dxfId="5170" priority="7888">
      <formula>$H358="ETAPA"</formula>
    </cfRule>
  </conditionalFormatting>
  <conditionalFormatting sqref="J360">
    <cfRule type="expression" dxfId="5169" priority="7885">
      <formula>$H360="ETAPA"</formula>
    </cfRule>
  </conditionalFormatting>
  <conditionalFormatting sqref="J362">
    <cfRule type="expression" dxfId="5168" priority="7882">
      <formula>$H362="ETAPA"</formula>
    </cfRule>
  </conditionalFormatting>
  <conditionalFormatting sqref="J364">
    <cfRule type="expression" dxfId="5167" priority="7879">
      <formula>$H364="ETAPA"</formula>
    </cfRule>
  </conditionalFormatting>
  <conditionalFormatting sqref="J366">
    <cfRule type="expression" dxfId="5166" priority="7876">
      <formula>$H366="ETAPA"</formula>
    </cfRule>
  </conditionalFormatting>
  <conditionalFormatting sqref="J368">
    <cfRule type="expression" dxfId="5165" priority="7873">
      <formula>$H368="ETAPA"</formula>
    </cfRule>
  </conditionalFormatting>
  <conditionalFormatting sqref="J370">
    <cfRule type="expression" dxfId="5164" priority="7870">
      <formula>$H370="ETAPA"</formula>
    </cfRule>
  </conditionalFormatting>
  <conditionalFormatting sqref="J372">
    <cfRule type="expression" dxfId="5163" priority="7867">
      <formula>$H372="ETAPA"</formula>
    </cfRule>
  </conditionalFormatting>
  <conditionalFormatting sqref="J374">
    <cfRule type="expression" dxfId="5162" priority="7864">
      <formula>$H374="ETAPA"</formula>
    </cfRule>
  </conditionalFormatting>
  <conditionalFormatting sqref="J376">
    <cfRule type="expression" dxfId="5161" priority="7861">
      <formula>$H376="ETAPA"</formula>
    </cfRule>
  </conditionalFormatting>
  <conditionalFormatting sqref="J378">
    <cfRule type="expression" dxfId="5160" priority="7858">
      <formula>$H378="ETAPA"</formula>
    </cfRule>
  </conditionalFormatting>
  <conditionalFormatting sqref="J710 H709:L709">
    <cfRule type="expression" dxfId="5159" priority="8205">
      <formula>$H709="ETAPA"</formula>
    </cfRule>
  </conditionalFormatting>
  <conditionalFormatting sqref="J725 H724:L724">
    <cfRule type="expression" dxfId="5158" priority="8202">
      <formula>$H724="ETAPA"</formula>
    </cfRule>
  </conditionalFormatting>
  <conditionalFormatting sqref="J740 H739:L739">
    <cfRule type="expression" dxfId="5157" priority="8199">
      <formula>$H739="ETAPA"</formula>
    </cfRule>
  </conditionalFormatting>
  <conditionalFormatting sqref="J755 H754:L754">
    <cfRule type="expression" dxfId="5156" priority="8196">
      <formula>$H754="ETAPA"</formula>
    </cfRule>
  </conditionalFormatting>
  <conditionalFormatting sqref="J770 H769:L769">
    <cfRule type="expression" dxfId="5155" priority="8193">
      <formula>$H769="ETAPA"</formula>
    </cfRule>
  </conditionalFormatting>
  <conditionalFormatting sqref="J785 H784:L784">
    <cfRule type="expression" dxfId="5154" priority="8190">
      <formula>$H784="ETAPA"</formula>
    </cfRule>
  </conditionalFormatting>
  <conditionalFormatting sqref="J800 H799:L799">
    <cfRule type="expression" dxfId="5153" priority="8187">
      <formula>$H799="ETAPA"</formula>
    </cfRule>
  </conditionalFormatting>
  <conditionalFormatting sqref="J815 H814:L814">
    <cfRule type="expression" dxfId="5152" priority="8184">
      <formula>$H814="ETAPA"</formula>
    </cfRule>
  </conditionalFormatting>
  <conditionalFormatting sqref="J830 H829:L829">
    <cfRule type="expression" dxfId="5151" priority="8181">
      <formula>$H829="ETAPA"</formula>
    </cfRule>
  </conditionalFormatting>
  <conditionalFormatting sqref="J845 H844:L844">
    <cfRule type="expression" dxfId="5150" priority="8178">
      <formula>$H844="ETAPA"</formula>
    </cfRule>
  </conditionalFormatting>
  <conditionalFormatting sqref="J860 H859:L859">
    <cfRule type="expression" dxfId="5149" priority="8175">
      <formula>$H859="ETAPA"</formula>
    </cfRule>
  </conditionalFormatting>
  <conditionalFormatting sqref="J875 H874:L874">
    <cfRule type="expression" dxfId="5148" priority="8172">
      <formula>$H874="ETAPA"</formula>
    </cfRule>
  </conditionalFormatting>
  <conditionalFormatting sqref="J890 H889:L889">
    <cfRule type="expression" dxfId="5147" priority="8169">
      <formula>$H889="ETAPA"</formula>
    </cfRule>
  </conditionalFormatting>
  <conditionalFormatting sqref="J905 H904:L904">
    <cfRule type="expression" dxfId="5146" priority="8166">
      <formula>$H904="ETAPA"</formula>
    </cfRule>
  </conditionalFormatting>
  <conditionalFormatting sqref="J1129">
    <cfRule type="expression" dxfId="5145" priority="7703">
      <formula>$H1129="SUBETAPA"</formula>
    </cfRule>
    <cfRule type="expression" dxfId="5144" priority="7702">
      <formula>$H1129="ETAPA"</formula>
    </cfRule>
  </conditionalFormatting>
  <conditionalFormatting sqref="J1132">
    <cfRule type="expression" dxfId="5143" priority="7700">
      <formula>$H1132="SUBETAPA"</formula>
    </cfRule>
    <cfRule type="expression" dxfId="5142" priority="7699">
      <formula>$H1132="ETAPA"</formula>
    </cfRule>
  </conditionalFormatting>
  <conditionalFormatting sqref="J1135">
    <cfRule type="expression" dxfId="5141" priority="7696">
      <formula>$H1135="ETAPA"</formula>
    </cfRule>
    <cfRule type="expression" dxfId="5140" priority="7697">
      <formula>$H1135="SUBETAPA"</formula>
    </cfRule>
  </conditionalFormatting>
  <conditionalFormatting sqref="J1138">
    <cfRule type="expression" dxfId="5139" priority="7693">
      <formula>$H1138="ETAPA"</formula>
    </cfRule>
    <cfRule type="expression" dxfId="5138" priority="7694">
      <formula>$H1138="SUBETAPA"</formula>
    </cfRule>
  </conditionalFormatting>
  <conditionalFormatting sqref="J1141">
    <cfRule type="expression" dxfId="5137" priority="7690">
      <formula>$H1141="ETAPA"</formula>
    </cfRule>
    <cfRule type="expression" dxfId="5136" priority="7691">
      <formula>$H1141="SUBETAPA"</formula>
    </cfRule>
  </conditionalFormatting>
  <conditionalFormatting sqref="J1144">
    <cfRule type="expression" dxfId="5135" priority="7687">
      <formula>$H1144="ETAPA"</formula>
    </cfRule>
    <cfRule type="expression" dxfId="5134" priority="7688">
      <formula>$H1144="SUBETAPA"</formula>
    </cfRule>
  </conditionalFormatting>
  <conditionalFormatting sqref="J1149">
    <cfRule type="expression" dxfId="5133" priority="7683">
      <formula>$H1149="CÉLULA CONSTRUTIVA"</formula>
    </cfRule>
    <cfRule type="expression" dxfId="5132" priority="7684">
      <formula>$H1149="ETAPA"</formula>
    </cfRule>
  </conditionalFormatting>
  <conditionalFormatting sqref="J1156">
    <cfRule type="expression" dxfId="5131" priority="7681">
      <formula>$H1156="ETAPA"</formula>
    </cfRule>
    <cfRule type="expression" dxfId="5130" priority="7680">
      <formula>$H1156="CÉLULA CONSTRUTIVA"</formula>
    </cfRule>
  </conditionalFormatting>
  <conditionalFormatting sqref="J1163">
    <cfRule type="expression" dxfId="5129" priority="7678">
      <formula>$H1163="ETAPA"</formula>
    </cfRule>
    <cfRule type="expression" dxfId="5128" priority="7679">
      <formula>$H1163="SUBETAPA"</formula>
    </cfRule>
  </conditionalFormatting>
  <conditionalFormatting sqref="J1168">
    <cfRule type="expression" dxfId="5127" priority="7675">
      <formula>$H1168="ETAPA"</formula>
    </cfRule>
    <cfRule type="expression" dxfId="5126" priority="7676">
      <formula>$H1168="SUBETAPA"</formula>
    </cfRule>
  </conditionalFormatting>
  <conditionalFormatting sqref="J1173">
    <cfRule type="expression" dxfId="5125" priority="7672">
      <formula>$H1173="ETAPA"</formula>
    </cfRule>
    <cfRule type="expression" dxfId="5124" priority="7673">
      <formula>$H1173="SUBETAPA"</formula>
    </cfRule>
  </conditionalFormatting>
  <conditionalFormatting sqref="J1178">
    <cfRule type="expression" dxfId="5123" priority="7669">
      <formula>$H1178="ETAPA"</formula>
    </cfRule>
    <cfRule type="expression" dxfId="5122" priority="7670">
      <formula>$H1178="SUBETAPA"</formula>
    </cfRule>
  </conditionalFormatting>
  <conditionalFormatting sqref="J1181">
    <cfRule type="expression" dxfId="5121" priority="7667">
      <formula>$H1181="SUBETAPA"</formula>
    </cfRule>
    <cfRule type="expression" dxfId="5120" priority="7666">
      <formula>$H1181="ETAPA"</formula>
    </cfRule>
  </conditionalFormatting>
  <conditionalFormatting sqref="J1193:J1194 J1199:K1199">
    <cfRule type="expression" dxfId="5119" priority="7664">
      <formula>$H1193="CÉLULA CONSTRUTIVA"</formula>
    </cfRule>
    <cfRule type="expression" dxfId="5118" priority="7663">
      <formula>$H1193="SUBETAPA"</formula>
    </cfRule>
  </conditionalFormatting>
  <conditionalFormatting sqref="J1194">
    <cfRule type="expression" dxfId="5117" priority="7662">
      <formula>$H1194="CÉLULA CONSTRUTIVA"</formula>
    </cfRule>
    <cfRule type="expression" dxfId="5116" priority="7661">
      <formula>$H1194="SUBETAPA"</formula>
    </cfRule>
  </conditionalFormatting>
  <conditionalFormatting sqref="J1208:J1209">
    <cfRule type="expression" dxfId="5115" priority="7660">
      <formula>$H1208="CÉLULA CONSTRUTIVA"</formula>
    </cfRule>
    <cfRule type="expression" dxfId="5114" priority="7659">
      <formula>$H1208="SUBETAPA"</formula>
    </cfRule>
  </conditionalFormatting>
  <conditionalFormatting sqref="J1209">
    <cfRule type="expression" dxfId="5113" priority="7657">
      <formula>$H1209="SUBETAPA"</formula>
    </cfRule>
    <cfRule type="expression" dxfId="5112" priority="7658">
      <formula>$H1209="CÉLULA CONSTRUTIVA"</formula>
    </cfRule>
  </conditionalFormatting>
  <conditionalFormatting sqref="J1215:J1216">
    <cfRule type="expression" dxfId="5111" priority="7653">
      <formula>$H1215="SUBETAPA"</formula>
    </cfRule>
    <cfRule type="expression" dxfId="5110" priority="7654">
      <formula>$H1215="CÉLULA CONSTRUTIVA"</formula>
    </cfRule>
  </conditionalFormatting>
  <conditionalFormatting sqref="J1216">
    <cfRule type="expression" dxfId="5109" priority="7652">
      <formula>$H1216="CÉLULA CONSTRUTIVA"</formula>
    </cfRule>
    <cfRule type="expression" dxfId="5108" priority="7651">
      <formula>$H1216="SUBETAPA"</formula>
    </cfRule>
  </conditionalFormatting>
  <conditionalFormatting sqref="J1222:J1223">
    <cfRule type="expression" dxfId="5107" priority="7648">
      <formula>$H1222="CÉLULA CONSTRUTIVA"</formula>
    </cfRule>
    <cfRule type="expression" dxfId="5106" priority="7647">
      <formula>$H1222="SUBETAPA"</formula>
    </cfRule>
  </conditionalFormatting>
  <conditionalFormatting sqref="J1223">
    <cfRule type="expression" dxfId="5105" priority="7646">
      <formula>$H1223="CÉLULA CONSTRUTIVA"</formula>
    </cfRule>
    <cfRule type="expression" dxfId="5104" priority="7645">
      <formula>$H1223="SUBETAPA"</formula>
    </cfRule>
  </conditionalFormatting>
  <conditionalFormatting sqref="J1232:J1233">
    <cfRule type="expression" dxfId="5103" priority="7642">
      <formula>$H1232="CÉLULA CONSTRUTIVA"</formula>
    </cfRule>
    <cfRule type="expression" dxfId="5102" priority="7641">
      <formula>$H1232="SUBETAPA"</formula>
    </cfRule>
  </conditionalFormatting>
  <conditionalFormatting sqref="J1233">
    <cfRule type="expression" dxfId="5101" priority="7640">
      <formula>$H1233="CÉLULA CONSTRUTIVA"</formula>
    </cfRule>
    <cfRule type="expression" dxfId="5100" priority="7639">
      <formula>$H1233="SUBETAPA"</formula>
    </cfRule>
  </conditionalFormatting>
  <conditionalFormatting sqref="J1242:J1244">
    <cfRule type="expression" dxfId="5099" priority="7638">
      <formula>$H1242="ETAPA"</formula>
    </cfRule>
    <cfRule type="expression" dxfId="5098" priority="7636">
      <formula>$H1242="CÉLULA CONSTRUTIVA"</formula>
    </cfRule>
    <cfRule type="expression" dxfId="5097" priority="7637">
      <formula>$H1242="SUBETAPA"</formula>
    </cfRule>
  </conditionalFormatting>
  <conditionalFormatting sqref="J1243:J1244">
    <cfRule type="expression" dxfId="5096" priority="7635">
      <formula>$H1243="ETAPA"</formula>
    </cfRule>
    <cfRule type="expression" dxfId="5095" priority="7634">
      <formula>$H1243="SUBETAPA"</formula>
    </cfRule>
  </conditionalFormatting>
  <conditionalFormatting sqref="J1244">
    <cfRule type="expression" dxfId="5094" priority="7633">
      <formula>$H1244="ETAPA"</formula>
    </cfRule>
    <cfRule type="expression" dxfId="5093" priority="7632">
      <formula>$H1244="SUBETAPA"</formula>
    </cfRule>
  </conditionalFormatting>
  <conditionalFormatting sqref="J1247:J1248">
    <cfRule type="expression" dxfId="5092" priority="7629">
      <formula>$H1247="CÉLULA CONSTRUTIVA"</formula>
    </cfRule>
    <cfRule type="expression" dxfId="5091" priority="7628">
      <formula>$H1247="SUBETAPA"</formula>
    </cfRule>
  </conditionalFormatting>
  <conditionalFormatting sqref="J1248">
    <cfRule type="expression" dxfId="5090" priority="7627">
      <formula>$H1248="CÉLULA CONSTRUTIVA"</formula>
    </cfRule>
    <cfRule type="expression" dxfId="5089" priority="7626">
      <formula>$H1248="SUBETAPA"</formula>
    </cfRule>
  </conditionalFormatting>
  <conditionalFormatting sqref="J1264:J1265">
    <cfRule type="expression" dxfId="5088" priority="7623">
      <formula>$H1264="CÉLULA CONSTRUTIVA"</formula>
    </cfRule>
    <cfRule type="expression" dxfId="5087" priority="7622">
      <formula>$H1264="SUBETAPA"</formula>
    </cfRule>
  </conditionalFormatting>
  <conditionalFormatting sqref="J1265">
    <cfRule type="expression" dxfId="5086" priority="7620">
      <formula>$H1265="SUBETAPA"</formula>
    </cfRule>
    <cfRule type="expression" dxfId="5085" priority="7621">
      <formula>$H1265="CÉLULA CONSTRUTIVA"</formula>
    </cfRule>
  </conditionalFormatting>
  <conditionalFormatting sqref="J1273:J1277 J1335:J1336">
    <cfRule type="expression" dxfId="5084" priority="7619">
      <formula>$H1273="ETAPA"</formula>
    </cfRule>
    <cfRule type="expression" dxfId="5083" priority="7617">
      <formula>$H1273="ETAPA"</formula>
    </cfRule>
    <cfRule type="expression" dxfId="5082" priority="7615">
      <formula>$H1273="CÉLULA CONSTRUTIVA"</formula>
    </cfRule>
    <cfRule type="expression" dxfId="5081" priority="7616">
      <formula>$H1273="SUBETAPA"</formula>
    </cfRule>
  </conditionalFormatting>
  <conditionalFormatting sqref="J1273:J1277 J1334:L1337">
    <cfRule type="expression" dxfId="5080" priority="7618">
      <formula>$H1273="SUBETAPA"</formula>
    </cfRule>
  </conditionalFormatting>
  <conditionalFormatting sqref="J1274:J1277">
    <cfRule type="expression" dxfId="5079" priority="7614">
      <formula>$H1274="ETAPA"</formula>
    </cfRule>
    <cfRule type="expression" dxfId="5078" priority="7613">
      <formula>$H1274="SUBETAPA"</formula>
    </cfRule>
  </conditionalFormatting>
  <conditionalFormatting sqref="J1286:J1287">
    <cfRule type="expression" dxfId="5077" priority="7612">
      <formula>$H1286="CÉLULA CONSTRUTIVA"</formula>
    </cfRule>
    <cfRule type="expression" dxfId="5076" priority="7611">
      <formula>$H1286="SUBETAPA"</formula>
    </cfRule>
  </conditionalFormatting>
  <conditionalFormatting sqref="J1287">
    <cfRule type="expression" dxfId="5075" priority="7609">
      <formula>$H1287="SUBETAPA"</formula>
    </cfRule>
    <cfRule type="expression" dxfId="5074" priority="7610">
      <formula>$H1287="CÉLULA CONSTRUTIVA"</formula>
    </cfRule>
  </conditionalFormatting>
  <conditionalFormatting sqref="J1295:J1297">
    <cfRule type="expression" dxfId="5073" priority="7604">
      <formula>$H1295="CÉLULA CONSTRUTIVA"</formula>
    </cfRule>
    <cfRule type="expression" dxfId="5072" priority="7606">
      <formula>$H1295="ETAPA"</formula>
    </cfRule>
    <cfRule type="expression" dxfId="5071" priority="7608">
      <formula>$H1295="ETAPA"</formula>
    </cfRule>
    <cfRule type="expression" dxfId="5070" priority="7607">
      <formula>$H1295="SUBETAPA"</formula>
    </cfRule>
    <cfRule type="expression" dxfId="5069" priority="7605">
      <formula>$H1295="SUBETAPA"</formula>
    </cfRule>
  </conditionalFormatting>
  <conditionalFormatting sqref="J1296:J1297">
    <cfRule type="expression" dxfId="5068" priority="7603">
      <formula>$H1296="ETAPA"</formula>
    </cfRule>
  </conditionalFormatting>
  <conditionalFormatting sqref="J1304">
    <cfRule type="expression" dxfId="5067" priority="7601">
      <formula>$H1304="CÉLULA CONSTRUTIVA"</formula>
    </cfRule>
    <cfRule type="expression" dxfId="5066" priority="7600">
      <formula>$H1304="SUBETAPA"</formula>
    </cfRule>
  </conditionalFormatting>
  <conditionalFormatting sqref="J1304:J1305">
    <cfRule type="expression" dxfId="5065" priority="7598">
      <formula>$H1304="SUBETAPA"</formula>
    </cfRule>
    <cfRule type="expression" dxfId="5064" priority="7599">
      <formula>$H1304="CÉLULA CONSTRUTIVA"</formula>
    </cfRule>
  </conditionalFormatting>
  <conditionalFormatting sqref="J1305">
    <cfRule type="expression" dxfId="5063" priority="7596">
      <formula>$H1305="SUBETAPA"</formula>
    </cfRule>
    <cfRule type="expression" dxfId="5062" priority="7597">
      <formula>$H1305="CÉLULA CONSTRUTIVA"</formula>
    </cfRule>
  </conditionalFormatting>
  <conditionalFormatting sqref="J1310:J1311">
    <cfRule type="expression" dxfId="5061" priority="7595">
      <formula>$H1310="CÉLULA CONSTRUTIVA"</formula>
    </cfRule>
    <cfRule type="expression" dxfId="5060" priority="7594">
      <formula>$H1310="SUBETAPA"</formula>
    </cfRule>
  </conditionalFormatting>
  <conditionalFormatting sqref="J1311">
    <cfRule type="expression" dxfId="5059" priority="7593">
      <formula>$H1311="CÉLULA CONSTRUTIVA"</formula>
    </cfRule>
    <cfRule type="expression" dxfId="5058" priority="7592">
      <formula>$H1311="SUBETAPA"</formula>
    </cfRule>
  </conditionalFormatting>
  <conditionalFormatting sqref="J1317:J1319">
    <cfRule type="expression" dxfId="5057" priority="7591">
      <formula>$H1317="ETAPA"</formula>
    </cfRule>
    <cfRule type="expression" dxfId="5056" priority="7590">
      <formula>$H1317="SUBETAPA"</formula>
    </cfRule>
    <cfRule type="expression" dxfId="5055" priority="7589">
      <formula>$H1317="ETAPA"</formula>
    </cfRule>
    <cfRule type="expression" dxfId="5054" priority="7587">
      <formula>$H1317="CÉLULA CONSTRUTIVA"</formula>
    </cfRule>
    <cfRule type="expression" dxfId="5053" priority="7588">
      <formula>$H1317="SUBETAPA"</formula>
    </cfRule>
  </conditionalFormatting>
  <conditionalFormatting sqref="J1318:J1319">
    <cfRule type="expression" dxfId="5052" priority="7586">
      <formula>$H1318="ETAPA"</formula>
    </cfRule>
  </conditionalFormatting>
  <conditionalFormatting sqref="J1325">
    <cfRule type="expression" dxfId="5051" priority="7584">
      <formula>$H1325="CÉLULA CONSTRUTIVA"</formula>
    </cfRule>
    <cfRule type="expression" dxfId="5050" priority="7583">
      <formula>$H1325="SUBETAPA"</formula>
    </cfRule>
  </conditionalFormatting>
  <conditionalFormatting sqref="J1329:J1330">
    <cfRule type="expression" dxfId="5049" priority="7582">
      <formula>$H1329="CÉLULA CONSTRUTIVA"</formula>
    </cfRule>
    <cfRule type="expression" dxfId="5048" priority="7581">
      <formula>$H1329="SUBETAPA"</formula>
    </cfRule>
  </conditionalFormatting>
  <conditionalFormatting sqref="J1330">
    <cfRule type="expression" dxfId="5047" priority="7579">
      <formula>$H1330="SUBETAPA"</formula>
    </cfRule>
    <cfRule type="expression" dxfId="5046" priority="7580">
      <formula>$H1330="CÉLULA CONSTRUTIVA"</formula>
    </cfRule>
  </conditionalFormatting>
  <conditionalFormatting sqref="J1343">
    <cfRule type="expression" dxfId="5045" priority="7577">
      <formula>$H1343="SUBETAPA"</formula>
    </cfRule>
    <cfRule type="expression" dxfId="5044" priority="7578">
      <formula>$H1343="CÉLULA CONSTRUTIVA"</formula>
    </cfRule>
  </conditionalFormatting>
  <conditionalFormatting sqref="J1348:J1349">
    <cfRule type="expression" dxfId="5043" priority="7576">
      <formula>$H1348="CÉLULA CONSTRUTIVA"</formula>
    </cfRule>
    <cfRule type="expression" dxfId="5042" priority="7575">
      <formula>$H1348="SUBETAPA"</formula>
    </cfRule>
  </conditionalFormatting>
  <conditionalFormatting sqref="J1349">
    <cfRule type="expression" dxfId="5041" priority="7574">
      <formula>$H1349="CÉLULA CONSTRUTIVA"</formula>
    </cfRule>
    <cfRule type="expression" dxfId="5040" priority="7573">
      <formula>$H1349="SUBETAPA"</formula>
    </cfRule>
  </conditionalFormatting>
  <conditionalFormatting sqref="J1355:J1357">
    <cfRule type="expression" dxfId="5039" priority="7571">
      <formula>$H1355="SUBETAPA"</formula>
    </cfRule>
    <cfRule type="expression" dxfId="5038" priority="7570">
      <formula>$H1355="ETAPA"</formula>
    </cfRule>
    <cfRule type="expression" dxfId="5037" priority="7569">
      <formula>$H1355="SUBETAPA"</formula>
    </cfRule>
    <cfRule type="expression" dxfId="5036" priority="7572">
      <formula>$H1355="ETAPA"</formula>
    </cfRule>
    <cfRule type="expression" dxfId="5035" priority="7568">
      <formula>$H1355="CÉLULA CONSTRUTIVA"</formula>
    </cfRule>
  </conditionalFormatting>
  <conditionalFormatting sqref="J1356:J1357">
    <cfRule type="expression" dxfId="5034" priority="7567">
      <formula>$H1356="ETAPA"</formula>
    </cfRule>
  </conditionalFormatting>
  <conditionalFormatting sqref="J1364">
    <cfRule type="expression" dxfId="5033" priority="7564">
      <formula>$H1364="SUBETAPA"</formula>
    </cfRule>
    <cfRule type="expression" dxfId="5032" priority="7565">
      <formula>$H1364="CÉLULA CONSTRUTIVA"</formula>
    </cfRule>
  </conditionalFormatting>
  <conditionalFormatting sqref="J1369:J1370">
    <cfRule type="expression" dxfId="5031" priority="7563">
      <formula>$H1369="CÉLULA CONSTRUTIVA"</formula>
    </cfRule>
    <cfRule type="expression" dxfId="5030" priority="7562">
      <formula>$H1369="SUBETAPA"</formula>
    </cfRule>
  </conditionalFormatting>
  <conditionalFormatting sqref="J1370">
    <cfRule type="expression" dxfId="5029" priority="7560">
      <formula>$H1370="SUBETAPA"</formula>
    </cfRule>
    <cfRule type="expression" dxfId="5028" priority="7561">
      <formula>$H1370="CÉLULA CONSTRUTIVA"</formula>
    </cfRule>
  </conditionalFormatting>
  <conditionalFormatting sqref="J1376:J1378">
    <cfRule type="expression" dxfId="5027" priority="7558">
      <formula>$H1376="SUBETAPA"</formula>
    </cfRule>
    <cfRule type="expression" dxfId="5026" priority="7556">
      <formula>$H1376="SUBETAPA"</formula>
    </cfRule>
    <cfRule type="expression" dxfId="5025" priority="7555">
      <formula>$H1376="CÉLULA CONSTRUTIVA"</formula>
    </cfRule>
    <cfRule type="expression" dxfId="5024" priority="7559">
      <formula>$H1376="ETAPA"</formula>
    </cfRule>
    <cfRule type="expression" dxfId="5023" priority="7557">
      <formula>$H1376="ETAPA"</formula>
    </cfRule>
  </conditionalFormatting>
  <conditionalFormatting sqref="J1377:J1378">
    <cfRule type="expression" dxfId="5022" priority="7554">
      <formula>$H1377="ETAPA"</formula>
    </cfRule>
  </conditionalFormatting>
  <conditionalFormatting sqref="J1385">
    <cfRule type="expression" dxfId="5021" priority="7552">
      <formula>$H1385="CÉLULA CONSTRUTIVA"</formula>
    </cfRule>
    <cfRule type="expression" dxfId="5020" priority="7551">
      <formula>$H1385="SUBETAPA"</formula>
    </cfRule>
  </conditionalFormatting>
  <conditionalFormatting sqref="J1385:J1386">
    <cfRule type="expression" dxfId="5019" priority="7549">
      <formula>$H1385="SUBETAPA"</formula>
    </cfRule>
    <cfRule type="expression" dxfId="5018" priority="7550">
      <formula>$H1385="CÉLULA CONSTRUTIVA"</formula>
    </cfRule>
  </conditionalFormatting>
  <conditionalFormatting sqref="J1386">
    <cfRule type="expression" dxfId="5017" priority="7547">
      <formula>$H1386="SUBETAPA"</formula>
    </cfRule>
    <cfRule type="expression" dxfId="5016" priority="7548">
      <formula>$H1386="CÉLULA CONSTRUTIVA"</formula>
    </cfRule>
  </conditionalFormatting>
  <conditionalFormatting sqref="J1393:J1394 O1388:O1389">
    <cfRule type="expression" dxfId="5015" priority="7545">
      <formula>$H1388="SUBETAPA"</formula>
    </cfRule>
  </conditionalFormatting>
  <conditionalFormatting sqref="J1394">
    <cfRule type="expression" dxfId="5014" priority="7543">
      <formula>$H1394="SUBETAPA"</formula>
    </cfRule>
    <cfRule type="expression" dxfId="5013" priority="7544">
      <formula>$H1394="CÉLULA CONSTRUTIVA"</formula>
    </cfRule>
  </conditionalFormatting>
  <conditionalFormatting sqref="J1400:J1402">
    <cfRule type="expression" dxfId="5012" priority="7539">
      <formula>$H1400="SUBETAPA"</formula>
    </cfRule>
    <cfRule type="expression" dxfId="5011" priority="7538">
      <formula>$H1400="CÉLULA CONSTRUTIVA"</formula>
    </cfRule>
    <cfRule type="expression" dxfId="5010" priority="7541">
      <formula>$H1400="SUBETAPA"</formula>
    </cfRule>
    <cfRule type="expression" dxfId="5009" priority="7540">
      <formula>$H1400="ETAPA"</formula>
    </cfRule>
    <cfRule type="expression" dxfId="5008" priority="7542">
      <formula>$H1400="ETAPA"</formula>
    </cfRule>
  </conditionalFormatting>
  <conditionalFormatting sqref="J1401:J1402">
    <cfRule type="expression" dxfId="5007" priority="7537">
      <formula>$H1401="ETAPA"</formula>
    </cfRule>
  </conditionalFormatting>
  <conditionalFormatting sqref="J1409">
    <cfRule type="expression" dxfId="5006" priority="7534">
      <formula>$H1409="SUBETAPA"</formula>
    </cfRule>
    <cfRule type="expression" dxfId="5005" priority="7535">
      <formula>$H1409="CÉLULA CONSTRUTIVA"</formula>
    </cfRule>
  </conditionalFormatting>
  <conditionalFormatting sqref="J1409:J1410">
    <cfRule type="expression" dxfId="5004" priority="7533">
      <formula>$H1409="CÉLULA CONSTRUTIVA"</formula>
    </cfRule>
    <cfRule type="expression" dxfId="5003" priority="7532">
      <formula>$H1409="SUBETAPA"</formula>
    </cfRule>
  </conditionalFormatting>
  <conditionalFormatting sqref="J1410">
    <cfRule type="expression" dxfId="5002" priority="7531">
      <formula>$H1410="CÉLULA CONSTRUTIVA"</formula>
    </cfRule>
    <cfRule type="expression" dxfId="5001" priority="7530">
      <formula>$H1410="SUBETAPA"</formula>
    </cfRule>
  </conditionalFormatting>
  <conditionalFormatting sqref="J1413:J1414">
    <cfRule type="expression" dxfId="5000" priority="7528">
      <formula>$H1413="SUBETAPA"</formula>
    </cfRule>
    <cfRule type="expression" dxfId="4999" priority="7529">
      <formula>$H1413="CÉLULA CONSTRUTIVA"</formula>
    </cfRule>
  </conditionalFormatting>
  <conditionalFormatting sqref="J1414">
    <cfRule type="expression" dxfId="4998" priority="7526">
      <formula>$H1414="SUBETAPA"</formula>
    </cfRule>
    <cfRule type="expression" dxfId="4997" priority="7527">
      <formula>$H1414="CÉLULA CONSTRUTIVA"</formula>
    </cfRule>
  </conditionalFormatting>
  <conditionalFormatting sqref="J1418:J1420">
    <cfRule type="expression" dxfId="4996" priority="7525">
      <formula>$H1418="ETAPA"</formula>
    </cfRule>
    <cfRule type="expression" dxfId="4995" priority="7523">
      <formula>$H1418="ETAPA"</formula>
    </cfRule>
    <cfRule type="expression" dxfId="4994" priority="7521">
      <formula>$H1418="CÉLULA CONSTRUTIVA"</formula>
    </cfRule>
    <cfRule type="expression" dxfId="4993" priority="7522">
      <formula>$H1418="SUBETAPA"</formula>
    </cfRule>
  </conditionalFormatting>
  <conditionalFormatting sqref="J1419:J1420">
    <cfRule type="expression" dxfId="4992" priority="7520">
      <formula>$H1419="ETAPA"</formula>
    </cfRule>
    <cfRule type="expression" dxfId="4991" priority="7519">
      <formula>$H1419="SUBETAPA"</formula>
    </cfRule>
  </conditionalFormatting>
  <conditionalFormatting sqref="J1430:J1432">
    <cfRule type="expression" dxfId="4990" priority="7515">
      <formula>$H1430="SUBETAPA"</formula>
    </cfRule>
    <cfRule type="expression" dxfId="4989" priority="7518">
      <formula>$H1430="ETAPA"</formula>
    </cfRule>
    <cfRule type="expression" dxfId="4988" priority="7516">
      <formula>$H1430="ETAPA"</formula>
    </cfRule>
    <cfRule type="expression" dxfId="4987" priority="7514">
      <formula>$H1430="CÉLULA CONSTRUTIVA"</formula>
    </cfRule>
  </conditionalFormatting>
  <conditionalFormatting sqref="J1431:J1432">
    <cfRule type="expression" dxfId="4986" priority="7512">
      <formula>$H1431="SUBETAPA"</formula>
    </cfRule>
    <cfRule type="expression" dxfId="4985" priority="7513">
      <formula>$H1431="ETAPA"</formula>
    </cfRule>
  </conditionalFormatting>
  <conditionalFormatting sqref="J1632">
    <cfRule type="expression" dxfId="4984" priority="7292">
      <formula>$H1632="ETAPA"</formula>
    </cfRule>
  </conditionalFormatting>
  <conditionalFormatting sqref="J1632:J1633">
    <cfRule type="expression" dxfId="4983" priority="7291">
      <formula>$H1632="SUBETAPA"</formula>
    </cfRule>
  </conditionalFormatting>
  <conditionalFormatting sqref="J1688">
    <cfRule type="expression" dxfId="4982" priority="7290">
      <formula>$H1688="ETAPA"</formula>
    </cfRule>
  </conditionalFormatting>
  <conditionalFormatting sqref="J1688:J1689">
    <cfRule type="expression" dxfId="4981" priority="7289">
      <formula>$H1688="SUBETAPA"</formula>
    </cfRule>
  </conditionalFormatting>
  <conditionalFormatting sqref="J1699">
    <cfRule type="expression" dxfId="4980" priority="7288">
      <formula>$H1699="ETAPA"</formula>
    </cfRule>
  </conditionalFormatting>
  <conditionalFormatting sqref="J1699:J1700">
    <cfRule type="expression" dxfId="4979" priority="7287">
      <formula>$H1699="SUBETAPA"</formula>
    </cfRule>
  </conditionalFormatting>
  <conditionalFormatting sqref="J1746">
    <cfRule type="expression" dxfId="4978" priority="7286">
      <formula>$H1746="ETAPA"</formula>
    </cfRule>
  </conditionalFormatting>
  <conditionalFormatting sqref="J1746:J1747">
    <cfRule type="expression" dxfId="4977" priority="7285">
      <formula>$H1746="SUBETAPA"</formula>
    </cfRule>
  </conditionalFormatting>
  <conditionalFormatting sqref="J1754">
    <cfRule type="expression" dxfId="4976" priority="7284">
      <formula>$H1754="ETAPA"</formula>
    </cfRule>
  </conditionalFormatting>
  <conditionalFormatting sqref="J1754:J1755">
    <cfRule type="expression" dxfId="4975" priority="7283">
      <formula>$H1754="SUBETAPA"</formula>
    </cfRule>
  </conditionalFormatting>
  <conditionalFormatting sqref="J1754:J1757">
    <cfRule type="expression" dxfId="4974" priority="7282">
      <formula>$H1754="ETAPA"</formula>
    </cfRule>
  </conditionalFormatting>
  <conditionalFormatting sqref="J12:K12">
    <cfRule type="expression" dxfId="4973" priority="7247">
      <formula>$H12="ETAPA"</formula>
    </cfRule>
    <cfRule type="expression" dxfId="4972" priority="7245">
      <formula>$H12="SUBETAPA"</formula>
    </cfRule>
    <cfRule type="expression" dxfId="4971" priority="7246">
      <formula>$H12="CÉLULA CONSTRUTIVA"</formula>
    </cfRule>
  </conditionalFormatting>
  <conditionalFormatting sqref="J13:K13">
    <cfRule type="expression" dxfId="4970" priority="7244">
      <formula>$H13="ETAPA"</formula>
    </cfRule>
    <cfRule type="expression" dxfId="4969" priority="7242">
      <formula>$H13="SUBETAPA"</formula>
    </cfRule>
    <cfRule type="expression" dxfId="4968" priority="7243">
      <formula>$H13="CÉLULA CONSTRUTIVA"</formula>
    </cfRule>
  </conditionalFormatting>
  <conditionalFormatting sqref="J14:K14">
    <cfRule type="expression" dxfId="4967" priority="7241">
      <formula>$H14="ETAPA"</formula>
    </cfRule>
    <cfRule type="expression" dxfId="4966" priority="7240">
      <formula>$H14="CÉLULA CONSTRUTIVA"</formula>
    </cfRule>
  </conditionalFormatting>
  <conditionalFormatting sqref="J15:K15">
    <cfRule type="expression" dxfId="4965" priority="7238">
      <formula>$H15="CÉLULA CONSTRUTIVA"</formula>
    </cfRule>
    <cfRule type="expression" dxfId="4964" priority="7239">
      <formula>$H15="ETAPA"</formula>
    </cfRule>
  </conditionalFormatting>
  <conditionalFormatting sqref="J17:K17">
    <cfRule type="expression" dxfId="4963" priority="7237">
      <formula>$H17="SUBETAPA"</formula>
    </cfRule>
  </conditionalFormatting>
  <conditionalFormatting sqref="J47:K47 N47:O47">
    <cfRule type="expression" dxfId="4962" priority="7236">
      <formula>$H47="ETAPA"</formula>
    </cfRule>
  </conditionalFormatting>
  <conditionalFormatting sqref="J47:K47">
    <cfRule type="expression" dxfId="4961" priority="7234">
      <formula>$H47="CÉLULA CONSTRUTIVA"</formula>
    </cfRule>
  </conditionalFormatting>
  <conditionalFormatting sqref="J88:K88">
    <cfRule type="expression" dxfId="4960" priority="7937">
      <formula>$H88="CÉLULA CONSTRUTIVA"</formula>
    </cfRule>
    <cfRule type="expression" dxfId="4959" priority="7938">
      <formula>$H88="SUBETAPA"</formula>
    </cfRule>
  </conditionalFormatting>
  <conditionalFormatting sqref="J90:K90">
    <cfRule type="expression" dxfId="4958" priority="7934">
      <formula>$H90="CÉLULA CONSTRUTIVA"</formula>
    </cfRule>
    <cfRule type="expression" dxfId="4957" priority="7935">
      <formula>$H90="SUBETAPA"</formula>
    </cfRule>
  </conditionalFormatting>
  <conditionalFormatting sqref="J157:K157">
    <cfRule type="expression" dxfId="4956" priority="6823">
      <formula>$H157="SUBETAPA"</formula>
    </cfRule>
  </conditionalFormatting>
  <conditionalFormatting sqref="J167:K167">
    <cfRule type="expression" dxfId="4955" priority="6820">
      <formula>$H167="SUBETAPA"</formula>
    </cfRule>
  </conditionalFormatting>
  <conditionalFormatting sqref="J1202:K1203 H1203:H1204 J1204:J1205">
    <cfRule type="expression" dxfId="4954" priority="9169">
      <formula>$H1202="SUBETAPA"</formula>
    </cfRule>
  </conditionalFormatting>
  <conditionalFormatting sqref="J1202:K1206 H1203:H1206">
    <cfRule type="expression" dxfId="4953" priority="9168">
      <formula>$H1202="CÉLULA CONSTRUTIVA"</formula>
    </cfRule>
  </conditionalFormatting>
  <conditionalFormatting sqref="J1212:K1212">
    <cfRule type="expression" dxfId="4952" priority="7208">
      <formula>$H1212="SUBETAPA"</formula>
    </cfRule>
    <cfRule type="expression" dxfId="4951" priority="7209">
      <formula>$H1212="CÉLULA CONSTRUTIVA"</formula>
    </cfRule>
  </conditionalFormatting>
  <conditionalFormatting sqref="J1219:K1219">
    <cfRule type="expression" dxfId="4950" priority="7207">
      <formula>$H1219="CÉLULA CONSTRUTIVA"</formula>
    </cfRule>
    <cfRule type="expression" dxfId="4949" priority="7206">
      <formula>$H1219="SUBETAPA"</formula>
    </cfRule>
  </conditionalFormatting>
  <conditionalFormatting sqref="J1226:K1226">
    <cfRule type="expression" dxfId="4948" priority="7204">
      <formula>$H1226="SUBETAPA"</formula>
    </cfRule>
    <cfRule type="expression" dxfId="4947" priority="7205">
      <formula>$H1226="CÉLULA CONSTRUTIVA"</formula>
    </cfRule>
  </conditionalFormatting>
  <conditionalFormatting sqref="J1239:K1241">
    <cfRule type="expression" dxfId="4946" priority="7200">
      <formula>$H1239="CÉLULA CONSTRUTIVA"</formula>
    </cfRule>
    <cfRule type="expression" dxfId="4945" priority="7199">
      <formula>$H1239="SUBETAPA"</formula>
    </cfRule>
  </conditionalFormatting>
  <conditionalFormatting sqref="J1240:K1240">
    <cfRule type="expression" dxfId="4944" priority="7201">
      <formula>$H1240="ETAPA"</formula>
    </cfRule>
  </conditionalFormatting>
  <conditionalFormatting sqref="J1251:K1251">
    <cfRule type="expression" dxfId="4943" priority="7196">
      <formula>$H1251="SUBETAPA"</formula>
    </cfRule>
    <cfRule type="expression" dxfId="4942" priority="7197">
      <formula>$H1251="CÉLULA CONSTRUTIVA"</formula>
    </cfRule>
  </conditionalFormatting>
  <conditionalFormatting sqref="J1253:K1253">
    <cfRule type="expression" dxfId="4941" priority="7195">
      <formula>$H1253="CÉLULA CONSTRUTIVA"</formula>
    </cfRule>
  </conditionalFormatting>
  <conditionalFormatting sqref="J1270:K1272">
    <cfRule type="expression" dxfId="4940" priority="7190">
      <formula>$H1270="SUBETAPA"</formula>
    </cfRule>
    <cfRule type="expression" dxfId="4939" priority="7191">
      <formula>$H1270="CÉLULA CONSTRUTIVA"</formula>
    </cfRule>
  </conditionalFormatting>
  <conditionalFormatting sqref="J1271:K1271">
    <cfRule type="expression" dxfId="4938" priority="7192">
      <formula>$H1271="ETAPA"</formula>
    </cfRule>
  </conditionalFormatting>
  <conditionalFormatting sqref="J1292:K1292">
    <cfRule type="expression" dxfId="4937" priority="7188">
      <formula>$H1292="CÉLULA CONSTRUTIVA"</formula>
    </cfRule>
    <cfRule type="expression" dxfId="4936" priority="7187">
      <formula>$H1292="SUBETAPA"</formula>
    </cfRule>
  </conditionalFormatting>
  <conditionalFormatting sqref="J1296:K1298">
    <cfRule type="expression" dxfId="4935" priority="7602">
      <formula>$H1296="SUBETAPA"</formula>
    </cfRule>
  </conditionalFormatting>
  <conditionalFormatting sqref="J1314:K1314">
    <cfRule type="expression" dxfId="4934" priority="7184">
      <formula>$H1314="SUBETAPA"</formula>
    </cfRule>
    <cfRule type="expression" dxfId="4933" priority="7185">
      <formula>$H1314="CÉLULA CONSTRUTIVA"</formula>
    </cfRule>
  </conditionalFormatting>
  <conditionalFormatting sqref="J1318:K1320">
    <cfRule type="expression" dxfId="4932" priority="7585">
      <formula>$H1318="SUBETAPA"</formula>
    </cfRule>
  </conditionalFormatting>
  <conditionalFormatting sqref="J1333:K1333">
    <cfRule type="expression" dxfId="4931" priority="7181">
      <formula>$H1333="SUBETAPA"</formula>
    </cfRule>
    <cfRule type="expression" dxfId="4930" priority="7182">
      <formula>$H1333="CÉLULA CONSTRUTIVA"</formula>
    </cfRule>
  </conditionalFormatting>
  <conditionalFormatting sqref="J1337:K1337">
    <cfRule type="expression" dxfId="4929" priority="7180">
      <formula>$H1337="CÉLULA CONSTRUTIVA"</formula>
    </cfRule>
  </conditionalFormatting>
  <conditionalFormatting sqref="J1352:K1352">
    <cfRule type="expression" dxfId="4928" priority="7178">
      <formula>$H1352="SUBETAPA"</formula>
    </cfRule>
    <cfRule type="expression" dxfId="4927" priority="7179">
      <formula>$H1352="CÉLULA CONSTRUTIVA"</formula>
    </cfRule>
  </conditionalFormatting>
  <conditionalFormatting sqref="J1356:K1358">
    <cfRule type="expression" dxfId="4926" priority="7566">
      <formula>$H1356="SUBETAPA"</formula>
    </cfRule>
  </conditionalFormatting>
  <conditionalFormatting sqref="J1373:K1373">
    <cfRule type="expression" dxfId="4925" priority="7175">
      <formula>$H1373="SUBETAPA"</formula>
    </cfRule>
    <cfRule type="expression" dxfId="4924" priority="7176">
      <formula>$H1373="CÉLULA CONSTRUTIVA"</formula>
    </cfRule>
  </conditionalFormatting>
  <conditionalFormatting sqref="J1377:K1379">
    <cfRule type="expression" dxfId="4923" priority="7553">
      <formula>$H1377="SUBETAPA"</formula>
    </cfRule>
  </conditionalFormatting>
  <conditionalFormatting sqref="J1397:K1397">
    <cfRule type="expression" dxfId="4922" priority="7172">
      <formula>$H1397="SUBETAPA"</formula>
    </cfRule>
    <cfRule type="expression" dxfId="4921" priority="7173">
      <formula>$H1397="CÉLULA CONSTRUTIVA"</formula>
    </cfRule>
  </conditionalFormatting>
  <conditionalFormatting sqref="J1401:K1403">
    <cfRule type="expression" dxfId="4920" priority="7536">
      <formula>$H1401="SUBETAPA"</formula>
    </cfRule>
  </conditionalFormatting>
  <conditionalFormatting sqref="J1415:K1415">
    <cfRule type="expression" dxfId="4919" priority="7169">
      <formula>$H1415="SUBETAPA"</formula>
    </cfRule>
    <cfRule type="expression" dxfId="4918" priority="7170">
      <formula>$H1415="CÉLULA CONSTRUTIVA"</formula>
    </cfRule>
  </conditionalFormatting>
  <conditionalFormatting sqref="J1428:K1428">
    <cfRule type="expression" dxfId="4917" priority="7167">
      <formula>$H1428="CÉLULA CONSTRUTIVA"</formula>
    </cfRule>
    <cfRule type="expression" dxfId="4916"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5" priority="8619">
      <formula>$H1435="ETAPA"</formula>
    </cfRule>
  </conditionalFormatting>
  <conditionalFormatting sqref="J1436:K1436">
    <cfRule type="expression" dxfId="4914" priority="7045">
      <formula>$H1436="SUBETAPA"</formula>
    </cfRule>
  </conditionalFormatting>
  <conditionalFormatting sqref="J1480:K1482">
    <cfRule type="expression" dxfId="4913" priority="7036">
      <formula>$H1480="CÉLULA CONSTRUTIVA"</formula>
    </cfRule>
  </conditionalFormatting>
  <conditionalFormatting sqref="J1488:K1490">
    <cfRule type="expression" dxfId="4912" priority="7034">
      <formula>$H1488="CÉLULA CONSTRUTIVA"</formula>
    </cfRule>
  </conditionalFormatting>
  <conditionalFormatting sqref="J1498:K1500">
    <cfRule type="expression" dxfId="4911" priority="7032">
      <formula>$H1498="CÉLULA CONSTRUTIVA"</formula>
    </cfRule>
  </conditionalFormatting>
  <conditionalFormatting sqref="J1506:K1509">
    <cfRule type="expression" dxfId="4910" priority="7030">
      <formula>$H1506="CÉLULA CONSTRUTIVA"</formula>
    </cfRule>
  </conditionalFormatting>
  <conditionalFormatting sqref="J1517:K1520">
    <cfRule type="expression" dxfId="4909" priority="7028">
      <formula>$H1517="CÉLULA CONSTRUTIVA"</formula>
    </cfRule>
  </conditionalFormatting>
  <conditionalFormatting sqref="J1521:K1526 G1525:H1526 H1528 J1532:K1537 G1536:H1537 H1539">
    <cfRule type="expression" dxfId="4908" priority="8623">
      <formula>$H1521="SUBETAPA"</formula>
    </cfRule>
  </conditionalFormatting>
  <conditionalFormatting sqref="J1528:K1531">
    <cfRule type="expression" dxfId="4907" priority="7026">
      <formula>$H1528="CÉLULA CONSTRUTIVA"</formula>
    </cfRule>
  </conditionalFormatting>
  <conditionalFormatting sqref="J1539:K1542">
    <cfRule type="expression" dxfId="4906" priority="7024">
      <formula>$H1539="CÉLULA CONSTRUTIVA"</formula>
    </cfRule>
  </conditionalFormatting>
  <conditionalFormatting sqref="J1550:K1553">
    <cfRule type="expression" dxfId="4905" priority="7022">
      <formula>$H1550="CÉLULA CONSTRUTIVA"</formula>
    </cfRule>
  </conditionalFormatting>
  <conditionalFormatting sqref="J1586:K1586 M1586">
    <cfRule type="expression" dxfId="4904" priority="8596">
      <formula>$H1586="SUBETAPA"</formula>
    </cfRule>
  </conditionalFormatting>
  <conditionalFormatting sqref="J1595:K1595 M1595">
    <cfRule type="expression" dxfId="4903" priority="8588">
      <formula>$H1595="SUBETAPA"</formula>
    </cfRule>
  </conditionalFormatting>
  <conditionalFormatting sqref="J1604:K1604 M1604">
    <cfRule type="expression" dxfId="4902" priority="8580">
      <formula>$H1604="SUBETAPA"</formula>
    </cfRule>
  </conditionalFormatting>
  <conditionalFormatting sqref="J1613:K1613 M1613">
    <cfRule type="expression" dxfId="4901" priority="8572">
      <formula>$H1613="SUBETAPA"</formula>
    </cfRule>
  </conditionalFormatting>
  <conditionalFormatting sqref="J1626:K1626 H1626">
    <cfRule type="expression" dxfId="4900" priority="8560">
      <formula>$H1626="CÉLULA CONSTRUTIVA"</formula>
    </cfRule>
  </conditionalFormatting>
  <conditionalFormatting sqref="J1632:K1632">
    <cfRule type="expression" dxfId="4899" priority="8558">
      <formula>$H1632="SUBETAPA"</formula>
    </cfRule>
  </conditionalFormatting>
  <conditionalFormatting sqref="J1637:K1637 H1637">
    <cfRule type="expression" dxfId="4898" priority="8552">
      <formula>$H1637="CÉLULA CONSTRUTIVA"</formula>
    </cfRule>
  </conditionalFormatting>
  <conditionalFormatting sqref="J1646:K1646 H1646">
    <cfRule type="expression" dxfId="4897" priority="8548">
      <formula>$H1646="CÉLULA CONSTRUTIVA"</formula>
    </cfRule>
  </conditionalFormatting>
  <conditionalFormatting sqref="J1655:K1655 H1655">
    <cfRule type="expression" dxfId="4896" priority="8544">
      <formula>$H1655="CÉLULA CONSTRUTIVA"</formula>
    </cfRule>
  </conditionalFormatting>
  <conditionalFormatting sqref="J1664:K1664 H1664">
    <cfRule type="expression" dxfId="4895" priority="8540">
      <formula>$H1664="CÉLULA CONSTRUTIVA"</formula>
    </cfRule>
  </conditionalFormatting>
  <conditionalFormatting sqref="J1673:K1673 H1673">
    <cfRule type="expression" dxfId="4894" priority="8536">
      <formula>$H1673="CÉLULA CONSTRUTIVA"</formula>
    </cfRule>
  </conditionalFormatting>
  <conditionalFormatting sqref="J1682:K1682 H1682">
    <cfRule type="expression" dxfId="4893" priority="8532">
      <formula>$H1682="CÉLULA CONSTRUTIVA"</formula>
    </cfRule>
  </conditionalFormatting>
  <conditionalFormatting sqref="J1688:K1688">
    <cfRule type="expression" dxfId="4892" priority="8530">
      <formula>$H1688="SUBETAPA"</formula>
    </cfRule>
  </conditionalFormatting>
  <conditionalFormatting sqref="J1693:K1693 H1693">
    <cfRule type="expression" dxfId="4891" priority="8524">
      <formula>$H1693="CÉLULA CONSTRUTIVA"</formula>
    </cfRule>
  </conditionalFormatting>
  <conditionalFormatting sqref="J1699:K1699">
    <cfRule type="expression" dxfId="4890" priority="8522">
      <formula>$H1699="SUBETAPA"</formula>
    </cfRule>
  </conditionalFormatting>
  <conditionalFormatting sqref="J1704:K1704 H1704">
    <cfRule type="expression" dxfId="4889" priority="8516">
      <formula>$H1704="CÉLULA CONSTRUTIVA"</formula>
    </cfRule>
  </conditionalFormatting>
  <conditionalFormatting sqref="J1713:K1713 H1713">
    <cfRule type="expression" dxfId="4888" priority="8512">
      <formula>$H1713="CÉLULA CONSTRUTIVA"</formula>
    </cfRule>
  </conditionalFormatting>
  <conditionalFormatting sqref="J1722:K1722 H1722">
    <cfRule type="expression" dxfId="4887" priority="8508">
      <formula>$H1722="CÉLULA CONSTRUTIVA"</formula>
    </cfRule>
  </conditionalFormatting>
  <conditionalFormatting sqref="J1731:K1731 H1731">
    <cfRule type="expression" dxfId="4886" priority="8504">
      <formula>$H1731="CÉLULA CONSTRUTIVA"</formula>
    </cfRule>
  </conditionalFormatting>
  <conditionalFormatting sqref="J1740:K1740 H1740">
    <cfRule type="expression" dxfId="4885" priority="8500">
      <formula>$H1740="CÉLULA CONSTRUTIVA"</formula>
    </cfRule>
  </conditionalFormatting>
  <conditionalFormatting sqref="J1746:K1746">
    <cfRule type="expression" dxfId="4884" priority="8498">
      <formula>$H1746="SUBETAPA"</formula>
    </cfRule>
  </conditionalFormatting>
  <conditionalFormatting sqref="J1751:K1751 H1751">
    <cfRule type="expression" dxfId="4883" priority="8492">
      <formula>$H1751="CÉLULA CONSTRUTIVA"</formula>
    </cfRule>
  </conditionalFormatting>
  <conditionalFormatting sqref="J1754:K1754">
    <cfRule type="expression" dxfId="4882" priority="8490">
      <formula>$H1754="SUBETAPA"</formula>
    </cfRule>
  </conditionalFormatting>
  <conditionalFormatting sqref="J1766:K1766 H1766">
    <cfRule type="expression" dxfId="4881" priority="8476">
      <formula>$H1766="CÉLULA CONSTRUTIVA"</formula>
    </cfRule>
  </conditionalFormatting>
  <conditionalFormatting sqref="J1807:K1807 H1807">
    <cfRule type="expression" dxfId="4880"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79" priority="10514">
      <formula>$H490="SUBETAPA"</formula>
    </cfRule>
  </conditionalFormatting>
  <conditionalFormatting sqref="J1867:K1867 J1874:K1874 H1861 H1863 H1867 H1874">
    <cfRule type="expression" dxfId="4878" priority="8439">
      <formula>$H1861="ETAPA"</formula>
    </cfRule>
  </conditionalFormatting>
  <conditionalFormatting sqref="J47:L47 N47:O47">
    <cfRule type="expression" dxfId="4877" priority="7235">
      <formula>$H47="SUBETAPA"</formula>
    </cfRule>
  </conditionalFormatting>
  <conditionalFormatting sqref="J1130:L1130 H1130:H1131">
    <cfRule type="expression" dxfId="4876" priority="9249">
      <formula>$H1130="SUBETAPA"</formula>
    </cfRule>
  </conditionalFormatting>
  <conditionalFormatting sqref="J1133:L1133 H1133:H1134">
    <cfRule type="expression" dxfId="4875" priority="9243">
      <formula>$H1133="SUBETAPA"</formula>
    </cfRule>
  </conditionalFormatting>
  <conditionalFormatting sqref="J1136:L1136">
    <cfRule type="expression" dxfId="4874" priority="9237">
      <formula>$H1136="SUBETAPA"</formula>
    </cfRule>
  </conditionalFormatting>
  <conditionalFormatting sqref="J1139:L1139">
    <cfRule type="expression" dxfId="4873" priority="9232">
      <formula>$H1139="SUBETAPA"</formula>
    </cfRule>
  </conditionalFormatting>
  <conditionalFormatting sqref="J1142:L1142">
    <cfRule type="expression" dxfId="4872" priority="9227">
      <formula>$H1142="SUBETAPA"</formula>
    </cfRule>
  </conditionalFormatting>
  <conditionalFormatting sqref="J1145:L1145">
    <cfRule type="expression" dxfId="4871" priority="9222">
      <formula>$H1145="SUBETAPA"</formula>
    </cfRule>
  </conditionalFormatting>
  <conditionalFormatting sqref="J1164:L1164 H1163:H1164">
    <cfRule type="expression" dxfId="4870" priority="9198">
      <formula>$H1163="CÉLULA CONSTRUTIVA"</formula>
    </cfRule>
  </conditionalFormatting>
  <conditionalFormatting sqref="J1164:L1164">
    <cfRule type="expression" dxfId="4869" priority="9197">
      <formula>$H1164="ETAPA"</formula>
    </cfRule>
  </conditionalFormatting>
  <conditionalFormatting sqref="J1169:L1169">
    <cfRule type="expression" dxfId="4868" priority="9193">
      <formula>$H1169="SUBETAPA"</formula>
    </cfRule>
  </conditionalFormatting>
  <conditionalFormatting sqref="J1179:L1179 H1179:H1180">
    <cfRule type="expression" dxfId="4867" priority="9180">
      <formula>$H1179="SUBETAPA"</formula>
    </cfRule>
  </conditionalFormatting>
  <conditionalFormatting sqref="J1187:L1187">
    <cfRule type="expression" dxfId="4866" priority="6994">
      <formula>$H1187="ETAPA"</formula>
    </cfRule>
  </conditionalFormatting>
  <conditionalFormatting sqref="J1200:L1200">
    <cfRule type="expression" dxfId="4865" priority="5790">
      <formula>$H1200="ETAPA"</formula>
    </cfRule>
  </conditionalFormatting>
  <conditionalFormatting sqref="J1293:L1293">
    <cfRule type="expression" dxfId="4864" priority="5776">
      <formula>$H1293="ETAPA"</formula>
    </cfRule>
  </conditionalFormatting>
  <conditionalFormatting sqref="J1293:L1294 G1293:H1294 L1295:L1298">
    <cfRule type="expression" dxfId="4863" priority="9984">
      <formula>$H1293="SUBETAPA"</formula>
    </cfRule>
  </conditionalFormatting>
  <conditionalFormatting sqref="J1315:L1315">
    <cfRule type="expression" dxfId="4862" priority="5774">
      <formula>$H1315="ETAPA"</formula>
    </cfRule>
  </conditionalFormatting>
  <conditionalFormatting sqref="J1315:L1316 G1315:H1316 L1317:L1320">
    <cfRule type="expression" dxfId="4861" priority="9982">
      <formula>$H1315="SUBETAPA"</formula>
    </cfRule>
  </conditionalFormatting>
  <conditionalFormatting sqref="J1333:L1334">
    <cfRule type="expression" dxfId="4860" priority="6993">
      <formula>$H1333="ETAPA"</formula>
    </cfRule>
  </conditionalFormatting>
  <conditionalFormatting sqref="J1353:L1353">
    <cfRule type="expression" dxfId="4859" priority="5772">
      <formula>$H1353="ETAPA"</formula>
    </cfRule>
  </conditionalFormatting>
  <conditionalFormatting sqref="J1353:L1354 G1353:H1354 L1355:L1358">
    <cfRule type="expression" dxfId="4858" priority="9980">
      <formula>$H1353="SUBETAPA"</formula>
    </cfRule>
  </conditionalFormatting>
  <conditionalFormatting sqref="J1374:L1374">
    <cfRule type="expression" dxfId="4857" priority="5770">
      <formula>$H1374="ETAPA"</formula>
    </cfRule>
  </conditionalFormatting>
  <conditionalFormatting sqref="J1374:L1375 G1374:H1375 L1376:L1379">
    <cfRule type="expression" dxfId="4856" priority="9978">
      <formula>$H1374="SUBETAPA"</formula>
    </cfRule>
  </conditionalFormatting>
  <conditionalFormatting sqref="J1398:L1398">
    <cfRule type="expression" dxfId="4855" priority="5766">
      <formula>$H1398="ETAPA"</formula>
    </cfRule>
  </conditionalFormatting>
  <conditionalFormatting sqref="J1398:L1399 G1398:H1399 L1400:L1403">
    <cfRule type="expression" dxfId="4854" priority="9976">
      <formula>$H1398="SUBETAPA"</formula>
    </cfRule>
  </conditionalFormatting>
  <conditionalFormatting sqref="J1416:L1416">
    <cfRule type="expression" dxfId="4853" priority="5764">
      <formula>$H1416="ETAPA"</formula>
    </cfRule>
  </conditionalFormatting>
  <conditionalFormatting sqref="J1416:L1420">
    <cfRule type="expression" dxfId="4852" priority="7524">
      <formula>$H1416="SUBETAPA"</formula>
    </cfRule>
  </conditionalFormatting>
  <conditionalFormatting sqref="J1428:L1429">
    <cfRule type="expression" dxfId="4851" priority="6992">
      <formula>$H1428="ETAPA"</formula>
    </cfRule>
  </conditionalFormatting>
  <conditionalFormatting sqref="J1429:L1432">
    <cfRule type="expression" dxfId="4850" priority="7517">
      <formula>$H1429="SUBETAPA"</formula>
    </cfRule>
  </conditionalFormatting>
  <conditionalFormatting sqref="J1436:L1441 G1441:H1441">
    <cfRule type="expression" dxfId="4849" priority="7046">
      <formula>$H1436="CÉLULA CONSTRUTIVA"</formula>
    </cfRule>
  </conditionalFormatting>
  <conditionalFormatting sqref="J1447:L1447">
    <cfRule type="expression" dxfId="4848" priority="7043">
      <formula>$H1447="SUBETAPA"</formula>
    </cfRule>
  </conditionalFormatting>
  <conditionalFormatting sqref="J1447:L1449">
    <cfRule type="expression" dxfId="4847" priority="7044">
      <formula>$H1447="CÉLULA CONSTRUTIVA"</formula>
    </cfRule>
  </conditionalFormatting>
  <conditionalFormatting sqref="J1457:L1457">
    <cfRule type="expression" dxfId="4846" priority="7041">
      <formula>$H1457="SUBETAPA"</formula>
    </cfRule>
  </conditionalFormatting>
  <conditionalFormatting sqref="J1457:L1458">
    <cfRule type="expression" dxfId="4845" priority="7042">
      <formula>$H1457="CÉLULA CONSTRUTIVA"</formula>
    </cfRule>
  </conditionalFormatting>
  <conditionalFormatting sqref="J1466:L1466">
    <cfRule type="expression" dxfId="4844" priority="7039">
      <formula>$H1466="SUBETAPA"</formula>
    </cfRule>
  </conditionalFormatting>
  <conditionalFormatting sqref="J1466:L1467">
    <cfRule type="expression" dxfId="4843" priority="7040">
      <formula>$H1466="CÉLULA CONSTRUTIVA"</formula>
    </cfRule>
  </conditionalFormatting>
  <conditionalFormatting sqref="J1473:L1473">
    <cfRule type="expression" dxfId="4842" priority="7037">
      <formula>$H1473="SUBETAPA"</formula>
    </cfRule>
  </conditionalFormatting>
  <conditionalFormatting sqref="J1473:L1474">
    <cfRule type="expression" dxfId="4841" priority="7038">
      <formula>$H1473="CÉLULA CONSTRUTIVA"</formula>
    </cfRule>
  </conditionalFormatting>
  <conditionalFormatting sqref="J1480:L1480">
    <cfRule type="expression" dxfId="4840" priority="7035">
      <formula>$H1480="SUBETAPA"</formula>
    </cfRule>
  </conditionalFormatting>
  <conditionalFormatting sqref="J1488:L1488">
    <cfRule type="expression" dxfId="4839" priority="7033">
      <formula>$H1488="SUBETAPA"</formula>
    </cfRule>
  </conditionalFormatting>
  <conditionalFormatting sqref="J1498:L1498">
    <cfRule type="expression" dxfId="4838" priority="7031">
      <formula>$H1498="SUBETAPA"</formula>
    </cfRule>
  </conditionalFormatting>
  <conditionalFormatting sqref="J1506:L1506">
    <cfRule type="expression" dxfId="4837" priority="7029">
      <formula>$H1506="SUBETAPA"</formula>
    </cfRule>
  </conditionalFormatting>
  <conditionalFormatting sqref="J1517:L1517">
    <cfRule type="expression" dxfId="4836" priority="7027">
      <formula>$H1517="SUBETAPA"</formula>
    </cfRule>
  </conditionalFormatting>
  <conditionalFormatting sqref="J1528:L1528">
    <cfRule type="expression" dxfId="4835" priority="7025">
      <formula>$H1528="SUBETAPA"</formula>
    </cfRule>
  </conditionalFormatting>
  <conditionalFormatting sqref="J1539:L1539">
    <cfRule type="expression" dxfId="4834" priority="7023">
      <formula>$H1539="SUBETAPA"</formula>
    </cfRule>
  </conditionalFormatting>
  <conditionalFormatting sqref="J1550:L1550">
    <cfRule type="expression" dxfId="4833" priority="7021">
      <formula>$H1550="SUBETAPA"</formula>
    </cfRule>
  </conditionalFormatting>
  <conditionalFormatting sqref="J1587:L1588 H1586:H1587">
    <cfRule type="expression" dxfId="4832" priority="8594">
      <formula>$H1586="SUBETAPA"</formula>
    </cfRule>
  </conditionalFormatting>
  <conditionalFormatting sqref="J1588:L1590 H1589">
    <cfRule type="expression" dxfId="4831" priority="6927">
      <formula>$H1588="ETAPA"</formula>
    </cfRule>
    <cfRule type="expression" dxfId="4830" priority="8593">
      <formula>$H1588="CÉLULA CONSTRUTIVA"</formula>
    </cfRule>
  </conditionalFormatting>
  <conditionalFormatting sqref="J1596:L1597 H1595:H1596">
    <cfRule type="expression" dxfId="4829" priority="8586">
      <formula>$H1595="SUBETAPA"</formula>
    </cfRule>
  </conditionalFormatting>
  <conditionalFormatting sqref="J1597:L1599 H1598">
    <cfRule type="expression" dxfId="4828" priority="8585">
      <formula>$H1597="CÉLULA CONSTRUTIVA"</formula>
    </cfRule>
    <cfRule type="expression" dxfId="4827" priority="6926">
      <formula>$H1597="ETAPA"</formula>
    </cfRule>
  </conditionalFormatting>
  <conditionalFormatting sqref="J1605:L1606 H1604:H1605">
    <cfRule type="expression" dxfId="4826" priority="8578">
      <formula>$H1604="SUBETAPA"</formula>
    </cfRule>
  </conditionalFormatting>
  <conditionalFormatting sqref="J1606:L1607 H1607">
    <cfRule type="expression" dxfId="4825" priority="8577">
      <formula>$H1606="CÉLULA CONSTRUTIVA"</formula>
    </cfRule>
    <cfRule type="expression" dxfId="4824" priority="6925">
      <formula>$H1606="ETAPA"</formula>
    </cfRule>
  </conditionalFormatting>
  <conditionalFormatting sqref="J1608:L1608">
    <cfRule type="expression" dxfId="4823" priority="5477">
      <formula>$H1608="CÉLULA CONSTRUTIVA"</formula>
    </cfRule>
    <cfRule type="expression" dxfId="4822" priority="5476">
      <formula>$H1608="ETAPA"</formula>
    </cfRule>
  </conditionalFormatting>
  <conditionalFormatting sqref="J1614:L1615 H1613:H1614">
    <cfRule type="expression" dxfId="4821" priority="8570">
      <formula>$H1613="SUBETAPA"</formula>
    </cfRule>
  </conditionalFormatting>
  <conditionalFormatting sqref="J1615:L1616 H1616">
    <cfRule type="expression" dxfId="4820" priority="8569">
      <formula>$H1615="CÉLULA CONSTRUTIVA"</formula>
    </cfRule>
    <cfRule type="expression" dxfId="4819" priority="6924">
      <formula>$H1615="ETAPA"</formula>
    </cfRule>
  </conditionalFormatting>
  <conditionalFormatting sqref="J1617:L1617">
    <cfRule type="expression" dxfId="4818" priority="5472">
      <formula>$H1617="ETAPA"</formula>
    </cfRule>
    <cfRule type="expression" dxfId="4817" priority="5473">
      <formula>$H1617="CÉLULA CONSTRUTIVA"</formula>
    </cfRule>
  </conditionalFormatting>
  <conditionalFormatting sqref="J1626:L1626">
    <cfRule type="expression" dxfId="4816" priority="6923">
      <formula>$H1626="ETAPA"</formula>
    </cfRule>
  </conditionalFormatting>
  <conditionalFormatting sqref="J1627:L1627">
    <cfRule type="expression" dxfId="4815" priority="5463">
      <formula>$H1627="ETAPA"</formula>
    </cfRule>
  </conditionalFormatting>
  <conditionalFormatting sqref="J1628:L1629 O1628:O1629 G1630:M1631">
    <cfRule type="expression" dxfId="4814" priority="6922">
      <formula>$H1628="ETAPA"</formula>
    </cfRule>
  </conditionalFormatting>
  <conditionalFormatting sqref="J1635:L1635">
    <cfRule type="expression" dxfId="4813" priority="5460">
      <formula>$H1635="ETAPA"</formula>
    </cfRule>
  </conditionalFormatting>
  <conditionalFormatting sqref="J1637:L1637">
    <cfRule type="expression" dxfId="4812" priority="6919">
      <formula>$H1637="ETAPA"</formula>
    </cfRule>
  </conditionalFormatting>
  <conditionalFormatting sqref="J1638:L1638">
    <cfRule type="expression" dxfId="4811" priority="5456">
      <formula>$H1638="ETAPA"</formula>
    </cfRule>
  </conditionalFormatting>
  <conditionalFormatting sqref="J1639:L1640 O1639:O1640 G1641:M1642">
    <cfRule type="expression" dxfId="4810" priority="6918">
      <formula>$H1639="ETAPA"</formula>
    </cfRule>
  </conditionalFormatting>
  <conditionalFormatting sqref="J1644:L1644">
    <cfRule type="expression" dxfId="4809" priority="5453">
      <formula>$H1644="ETAPA"</formula>
    </cfRule>
  </conditionalFormatting>
  <conditionalFormatting sqref="J1646:L1646">
    <cfRule type="expression" dxfId="4808" priority="6915">
      <formula>$H1646="ETAPA"</formula>
    </cfRule>
  </conditionalFormatting>
  <conditionalFormatting sqref="J1647:L1647">
    <cfRule type="expression" dxfId="4807" priority="5449">
      <formula>$H1647="ETAPA"</formula>
    </cfRule>
  </conditionalFormatting>
  <conditionalFormatting sqref="J1648:L1649 O1648:O1649 G1650:M1651">
    <cfRule type="expression" dxfId="4806" priority="6914">
      <formula>$H1648="ETAPA"</formula>
    </cfRule>
  </conditionalFormatting>
  <conditionalFormatting sqref="J1653:L1653">
    <cfRule type="expression" dxfId="4805" priority="5446">
      <formula>$H1653="ETAPA"</formula>
    </cfRule>
  </conditionalFormatting>
  <conditionalFormatting sqref="J1655:L1655">
    <cfRule type="expression" dxfId="4804" priority="6911">
      <formula>$H1655="ETAPA"</formula>
    </cfRule>
  </conditionalFormatting>
  <conditionalFormatting sqref="J1656:L1656">
    <cfRule type="expression" dxfId="4803" priority="5442">
      <formula>$H1656="ETAPA"</formula>
    </cfRule>
  </conditionalFormatting>
  <conditionalFormatting sqref="J1657:L1658 O1657:O1658 G1659:M1660">
    <cfRule type="expression" dxfId="4802" priority="6910">
      <formula>$H1657="ETAPA"</formula>
    </cfRule>
  </conditionalFormatting>
  <conditionalFormatting sqref="J1662:L1662">
    <cfRule type="expression" dxfId="4801" priority="5439">
      <formula>$H1662="ETAPA"</formula>
    </cfRule>
  </conditionalFormatting>
  <conditionalFormatting sqref="J1664:L1664">
    <cfRule type="expression" dxfId="4800" priority="6907">
      <formula>$H1664="ETAPA"</formula>
    </cfRule>
  </conditionalFormatting>
  <conditionalFormatting sqref="J1665:L1665">
    <cfRule type="expression" dxfId="4799" priority="5435">
      <formula>$H1665="ETAPA"</formula>
    </cfRule>
  </conditionalFormatting>
  <conditionalFormatting sqref="J1666:L1667 O1666:O1667 G1668:M1669">
    <cfRule type="expression" dxfId="4798" priority="6906">
      <formula>$H1666="ETAPA"</formula>
    </cfRule>
  </conditionalFormatting>
  <conditionalFormatting sqref="J1671:L1671">
    <cfRule type="expression" dxfId="4797" priority="5432">
      <formula>$H1671="ETAPA"</formula>
    </cfRule>
  </conditionalFormatting>
  <conditionalFormatting sqref="J1673:L1673">
    <cfRule type="expression" dxfId="4796" priority="6903">
      <formula>$H1673="ETAPA"</formula>
    </cfRule>
  </conditionalFormatting>
  <conditionalFormatting sqref="J1674:L1674">
    <cfRule type="expression" dxfId="4795" priority="5428">
      <formula>$H1674="ETAPA"</formula>
    </cfRule>
  </conditionalFormatting>
  <conditionalFormatting sqref="J1675:L1676 O1675:O1676 G1677:M1678">
    <cfRule type="expression" dxfId="4794" priority="6902">
      <formula>$H1675="ETAPA"</formula>
    </cfRule>
  </conditionalFormatting>
  <conditionalFormatting sqref="J1680:L1680">
    <cfRule type="expression" dxfId="4793" priority="5425">
      <formula>$H1680="ETAPA"</formula>
    </cfRule>
  </conditionalFormatting>
  <conditionalFormatting sqref="J1682:L1682">
    <cfRule type="expression" dxfId="4792" priority="6899">
      <formula>$H1682="ETAPA"</formula>
    </cfRule>
  </conditionalFormatting>
  <conditionalFormatting sqref="J1683:L1683">
    <cfRule type="expression" dxfId="4791" priority="5421">
      <formula>$H1683="ETAPA"</formula>
    </cfRule>
  </conditionalFormatting>
  <conditionalFormatting sqref="J1684:L1685 O1684:O1685 G1686:M1687">
    <cfRule type="expression" dxfId="4790" priority="6898">
      <formula>$H1684="ETAPA"</formula>
    </cfRule>
  </conditionalFormatting>
  <conditionalFormatting sqref="J1691:L1691">
    <cfRule type="expression" dxfId="4789" priority="5418">
      <formula>$H1691="ETAPA"</formula>
    </cfRule>
  </conditionalFormatting>
  <conditionalFormatting sqref="J1693:L1693">
    <cfRule type="expression" dxfId="4788" priority="6895">
      <formula>$H1693="ETAPA"</formula>
    </cfRule>
  </conditionalFormatting>
  <conditionalFormatting sqref="J1694:L1694">
    <cfRule type="expression" dxfId="4787" priority="5414">
      <formula>$H1694="ETAPA"</formula>
    </cfRule>
  </conditionalFormatting>
  <conditionalFormatting sqref="J1695:L1696 O1695:O1696 G1697:M1698">
    <cfRule type="expression" dxfId="4786" priority="6894">
      <formula>$H1695="ETAPA"</formula>
    </cfRule>
  </conditionalFormatting>
  <conditionalFormatting sqref="J1701:L1702 H1702">
    <cfRule type="expression" dxfId="4785" priority="8519">
      <formula>$H1701="SUBETAPA"</formula>
    </cfRule>
  </conditionalFormatting>
  <conditionalFormatting sqref="J1702:L1702">
    <cfRule type="expression" dxfId="4784" priority="6891">
      <formula>$H1702="ETAPA"</formula>
    </cfRule>
  </conditionalFormatting>
  <conditionalFormatting sqref="J1704:L1704">
    <cfRule type="expression" dxfId="4783" priority="6890">
      <formula>$H1704="ETAPA"</formula>
    </cfRule>
  </conditionalFormatting>
  <conditionalFormatting sqref="J1705:L1706">
    <cfRule type="expression" dxfId="4782" priority="5410">
      <formula>$H1705="ETAPA"</formula>
    </cfRule>
  </conditionalFormatting>
  <conditionalFormatting sqref="J1707:L1707">
    <cfRule type="expression" dxfId="4781" priority="6887">
      <formula>$H1707="CÉLULA CONSTRUTIVA"</formula>
    </cfRule>
  </conditionalFormatting>
  <conditionalFormatting sqref="J1711:L1711">
    <cfRule type="expression" dxfId="4780" priority="5407">
      <formula>$H1711="ETAPA"</formula>
    </cfRule>
  </conditionalFormatting>
  <conditionalFormatting sqref="J1713:L1713">
    <cfRule type="expression" dxfId="4779" priority="6886">
      <formula>$H1713="ETAPA"</formula>
    </cfRule>
  </conditionalFormatting>
  <conditionalFormatting sqref="J1714:L1715">
    <cfRule type="expression" dxfId="4778" priority="5403">
      <formula>$H1714="ETAPA"</formula>
    </cfRule>
  </conditionalFormatting>
  <conditionalFormatting sqref="J1716:L1716">
    <cfRule type="expression" dxfId="4777" priority="6883">
      <formula>$H1716="CÉLULA CONSTRUTIVA"</formula>
    </cfRule>
  </conditionalFormatting>
  <conditionalFormatting sqref="J1720:L1720">
    <cfRule type="expression" dxfId="4776" priority="5400">
      <formula>$H1720="ETAPA"</formula>
    </cfRule>
  </conditionalFormatting>
  <conditionalFormatting sqref="J1722:L1722">
    <cfRule type="expression" dxfId="4775" priority="6882">
      <formula>$H1722="ETAPA"</formula>
    </cfRule>
  </conditionalFormatting>
  <conditionalFormatting sqref="J1723:L1724">
    <cfRule type="expression" dxfId="4774" priority="5396">
      <formula>$H1723="ETAPA"</formula>
    </cfRule>
  </conditionalFormatting>
  <conditionalFormatting sqref="J1725:L1725">
    <cfRule type="expression" dxfId="4773" priority="6879">
      <formula>$H1725="CÉLULA CONSTRUTIVA"</formula>
    </cfRule>
  </conditionalFormatting>
  <conditionalFormatting sqref="J1729:L1729">
    <cfRule type="expression" dxfId="4772" priority="5393">
      <formula>$H1729="ETAPA"</formula>
    </cfRule>
  </conditionalFormatting>
  <conditionalFormatting sqref="J1731:L1731">
    <cfRule type="expression" dxfId="4771" priority="6878">
      <formula>$H1731="ETAPA"</formula>
    </cfRule>
  </conditionalFormatting>
  <conditionalFormatting sqref="J1732:L1733">
    <cfRule type="expression" dxfId="4770" priority="5389">
      <formula>$H1732="ETAPA"</formula>
    </cfRule>
  </conditionalFormatting>
  <conditionalFormatting sqref="J1734:L1734">
    <cfRule type="expression" dxfId="4769" priority="6875">
      <formula>$H1734="CÉLULA CONSTRUTIVA"</formula>
    </cfRule>
  </conditionalFormatting>
  <conditionalFormatting sqref="J1738:L1738">
    <cfRule type="expression" dxfId="4768" priority="5386">
      <formula>$H1738="ETAPA"</formula>
    </cfRule>
  </conditionalFormatting>
  <conditionalFormatting sqref="J1740:L1740">
    <cfRule type="expression" dxfId="4767" priority="6874">
      <formula>$H1740="ETAPA"</formula>
    </cfRule>
  </conditionalFormatting>
  <conditionalFormatting sqref="J1741:L1742">
    <cfRule type="expression" dxfId="4766" priority="5382">
      <formula>$H1741="ETAPA"</formula>
    </cfRule>
  </conditionalFormatting>
  <conditionalFormatting sqref="J1743:L1743">
    <cfRule type="expression" dxfId="4765" priority="6871">
      <formula>$H1743="CÉLULA CONSTRUTIVA"</formula>
    </cfRule>
  </conditionalFormatting>
  <conditionalFormatting sqref="J1748:L1749 H1749">
    <cfRule type="expression" dxfId="4764" priority="8495">
      <formula>$H1748="SUBETAPA"</formula>
    </cfRule>
  </conditionalFormatting>
  <conditionalFormatting sqref="J1749:L1749">
    <cfRule type="expression" dxfId="4763" priority="6870">
      <formula>$H1749="ETAPA"</formula>
    </cfRule>
  </conditionalFormatting>
  <conditionalFormatting sqref="J1751:L1751 L1754:L1757">
    <cfRule type="expression" dxfId="4762" priority="6869">
      <formula>$H1751="ETAPA"</formula>
    </cfRule>
  </conditionalFormatting>
  <conditionalFormatting sqref="J1752:L1753">
    <cfRule type="expression" dxfId="4761" priority="5376">
      <formula>$H1752="ETAPA"</formula>
    </cfRule>
  </conditionalFormatting>
  <conditionalFormatting sqref="J1758:L1759 H1759">
    <cfRule type="expression" dxfId="4760" priority="8483">
      <formula>$H1758="SUBETAPA"</formula>
    </cfRule>
  </conditionalFormatting>
  <conditionalFormatting sqref="J1759:L1759">
    <cfRule type="expression" dxfId="4759" priority="6867">
      <formula>$H1759="ETAPA"</formula>
    </cfRule>
  </conditionalFormatting>
  <conditionalFormatting sqref="J1763:L1763 L1765:L1766 H1763 O1763">
    <cfRule type="expression" dxfId="4758" priority="8479">
      <formula>$H1763="CÉLULA CONSTRUTIVA"</formula>
    </cfRule>
  </conditionalFormatting>
  <conditionalFormatting sqref="J1793:L1797 H1797">
    <cfRule type="expression" dxfId="4757" priority="8475">
      <formula>$H1793="SUBETAPA"</formula>
    </cfRule>
  </conditionalFormatting>
  <conditionalFormatting sqref="J1797:L1797 H1797 O1797">
    <cfRule type="expression" dxfId="4756" priority="8474">
      <formula>$H1797="CÉLULA CONSTRUTIVA"</formula>
    </cfRule>
  </conditionalFormatting>
  <conditionalFormatting sqref="J1800:L1804 H1804 L1806:L1807">
    <cfRule type="expression" dxfId="4755" priority="8473">
      <formula>$H1800="SUBETAPA"</formula>
    </cfRule>
  </conditionalFormatting>
  <conditionalFormatting sqref="J1804:L1804 L1806:L1807 H1804 O1804">
    <cfRule type="expression" dxfId="4754" priority="8472">
      <formula>$H1804="CÉLULA CONSTRUTIVA"</formula>
    </cfRule>
  </conditionalFormatting>
  <conditionalFormatting sqref="J1813:L1813 H1813 O1813">
    <cfRule type="expression" dxfId="4753" priority="8467">
      <formula>$H1813="CÉLULA CONSTRUTIVA"</formula>
    </cfRule>
  </conditionalFormatting>
  <conditionalFormatting sqref="J1816:L1820 H1820">
    <cfRule type="expression" dxfId="4752" priority="8466">
      <formula>$H1816="SUBETAPA"</formula>
    </cfRule>
  </conditionalFormatting>
  <conditionalFormatting sqref="J1820:L1820 H1820 O1820">
    <cfRule type="expression" dxfId="4751" priority="8465">
      <formula>$H1820="CÉLULA CONSTRUTIVA"</formula>
    </cfRule>
  </conditionalFormatting>
  <conditionalFormatting sqref="J1823:L1827 H1827">
    <cfRule type="expression" dxfId="4750" priority="8464">
      <formula>$H1823="SUBETAPA"</formula>
    </cfRule>
  </conditionalFormatting>
  <conditionalFormatting sqref="J1827:L1827 H1827 O1827">
    <cfRule type="expression" dxfId="4749" priority="8463">
      <formula>$H1827="CÉLULA CONSTRUTIVA"</formula>
    </cfRule>
  </conditionalFormatting>
  <conditionalFormatting sqref="J1830:L1834 H1834">
    <cfRule type="expression" dxfId="4748" priority="8462">
      <formula>$H1830="SUBETAPA"</formula>
    </cfRule>
  </conditionalFormatting>
  <conditionalFormatting sqref="J1834:L1834 H1834 O1834">
    <cfRule type="expression" dxfId="4747"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6"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5" priority="8459">
      <formula>$H1841="CÉLULA CONSTRUTIVA"</formula>
    </cfRule>
  </conditionalFormatting>
  <conditionalFormatting sqref="J16:M16">
    <cfRule type="expression" dxfId="4744" priority="6866">
      <formula>$H16="SUBETAPA"</formula>
    </cfRule>
  </conditionalFormatting>
  <conditionalFormatting sqref="J17:M17">
    <cfRule type="expression" dxfId="4743" priority="6865">
      <formula>$H17="ETAPA"</formula>
    </cfRule>
    <cfRule type="expression" dxfId="4742" priority="6864">
      <formula>$H17="CÉLULA CONSTRUTIVA"</formula>
    </cfRule>
  </conditionalFormatting>
  <conditionalFormatting sqref="J1129:M1129">
    <cfRule type="expression" dxfId="4741" priority="7701">
      <formula>$H1129="CÉLULA CONSTRUTIVA"</formula>
    </cfRule>
  </conditionalFormatting>
  <conditionalFormatting sqref="J1132:M1132">
    <cfRule type="expression" dxfId="4740" priority="7698">
      <formula>$H1132="CÉLULA CONSTRUTIVA"</formula>
    </cfRule>
  </conditionalFormatting>
  <conditionalFormatting sqref="J1135:M1135">
    <cfRule type="expression" dxfId="4739" priority="7695">
      <formula>$H1135="CÉLULA CONSTRUTIVA"</formula>
    </cfRule>
  </conditionalFormatting>
  <conditionalFormatting sqref="J1136:M1136">
    <cfRule type="expression" dxfId="4738" priority="4506">
      <formula>$H1136="CÉLULA CONSTRUTIVA"</formula>
    </cfRule>
  </conditionalFormatting>
  <conditionalFormatting sqref="J1138:M1138">
    <cfRule type="expression" dxfId="4737" priority="7692">
      <formula>$H1138="CÉLULA CONSTRUTIVA"</formula>
    </cfRule>
  </conditionalFormatting>
  <conditionalFormatting sqref="J1139:M1139">
    <cfRule type="expression" dxfId="4736" priority="4503">
      <formula>$H1139="CÉLULA CONSTRUTIVA"</formula>
    </cfRule>
  </conditionalFormatting>
  <conditionalFormatting sqref="J1141:M1141">
    <cfRule type="expression" dxfId="4735" priority="7689">
      <formula>$H1141="CÉLULA CONSTRUTIVA"</formula>
    </cfRule>
  </conditionalFormatting>
  <conditionalFormatting sqref="J1142:M1142">
    <cfRule type="expression" dxfId="4734" priority="4500">
      <formula>$H1142="CÉLULA CONSTRUTIVA"</formula>
    </cfRule>
  </conditionalFormatting>
  <conditionalFormatting sqref="J1144:M1144">
    <cfRule type="expression" dxfId="4733" priority="7686">
      <formula>$H1144="CÉLULA CONSTRUTIVA"</formula>
    </cfRule>
  </conditionalFormatting>
  <conditionalFormatting sqref="J1145:M1145">
    <cfRule type="expression" dxfId="4732" priority="4497">
      <formula>$H1145="CÉLULA CONSTRUTIVA"</formula>
    </cfRule>
  </conditionalFormatting>
  <conditionalFormatting sqref="J1149:M1149">
    <cfRule type="expression" dxfId="4731" priority="7685">
      <formula>$H1149="SUBETAPA"</formula>
    </cfRule>
  </conditionalFormatting>
  <conditionalFormatting sqref="J1151:M1152">
    <cfRule type="expression" dxfId="4730" priority="9212">
      <formula>$H1151="SUBETAPA"</formula>
    </cfRule>
  </conditionalFormatting>
  <conditionalFormatting sqref="J1156:M1156">
    <cfRule type="expression" dxfId="4729" priority="7682">
      <formula>$H1156="SUBETAPA"</formula>
    </cfRule>
  </conditionalFormatting>
  <conditionalFormatting sqref="J1158:M1159">
    <cfRule type="expression" dxfId="4728" priority="9203">
      <formula>$H1158="SUBETAPA"</formula>
    </cfRule>
  </conditionalFormatting>
  <conditionalFormatting sqref="J1163:M1163">
    <cfRule type="expression" dxfId="4727" priority="7677">
      <formula>$H1163="CÉLULA CONSTRUTIVA"</formula>
    </cfRule>
  </conditionalFormatting>
  <conditionalFormatting sqref="J1168:M1168">
    <cfRule type="expression" dxfId="4726" priority="7674">
      <formula>$H1168="CÉLULA CONSTRUTIVA"</formula>
    </cfRule>
  </conditionalFormatting>
  <conditionalFormatting sqref="J1169:M1169">
    <cfRule type="expression" dxfId="4725" priority="4479">
      <formula>$H1169="CÉLULA CONSTRUTIVA"</formula>
    </cfRule>
  </conditionalFormatting>
  <conditionalFormatting sqref="J1173:M1173">
    <cfRule type="expression" dxfId="4724" priority="7671">
      <formula>$H1173="CÉLULA CONSTRUTIVA"</formula>
    </cfRule>
  </conditionalFormatting>
  <conditionalFormatting sqref="J1178:M1178">
    <cfRule type="expression" dxfId="4723" priority="7668">
      <formula>$H1178="CÉLULA CONSTRUTIVA"</formula>
    </cfRule>
  </conditionalFormatting>
  <conditionalFormatting sqref="J1181:M1181">
    <cfRule type="expression" dxfId="4722" priority="7665">
      <formula>$H1181="CÉLULA CONSTRUTIVA"</formula>
    </cfRule>
  </conditionalFormatting>
  <conditionalFormatting sqref="J1433:M1434 G1433:H1434">
    <cfRule type="expression" dxfId="4721" priority="10602">
      <formula>$H1433="ETAPA"</formula>
    </cfRule>
  </conditionalFormatting>
  <conditionalFormatting sqref="J1564:M1565 O1565">
    <cfRule type="expression" dxfId="4720" priority="6842">
      <formula>$H1564="ETAPA"</formula>
    </cfRule>
  </conditionalFormatting>
  <conditionalFormatting sqref="J1565:M1565 O1565 H1565">
    <cfRule type="expression" dxfId="4719" priority="8618">
      <formula>$H1565="CÉLULA CONSTRUTIVA"</formula>
    </cfRule>
  </conditionalFormatting>
  <conditionalFormatting sqref="J1565:M1565 O1565">
    <cfRule type="expression" dxfId="4718" priority="6841">
      <formula>$H1565="SUBETAPA"</formula>
    </cfRule>
  </conditionalFormatting>
  <conditionalFormatting sqref="J1570:M1571 O1571">
    <cfRule type="expression" dxfId="4717" priority="6840">
      <formula>$H1570="ETAPA"</formula>
    </cfRule>
  </conditionalFormatting>
  <conditionalFormatting sqref="J1571:M1571 O1571 H1571">
    <cfRule type="expression" dxfId="4716" priority="8612">
      <formula>$H1571="CÉLULA CONSTRUTIVA"</formula>
    </cfRule>
  </conditionalFormatting>
  <conditionalFormatting sqref="J1571:M1571 O1571">
    <cfRule type="expression" dxfId="4715" priority="6839">
      <formula>$H1571="SUBETAPA"</formula>
    </cfRule>
  </conditionalFormatting>
  <conditionalFormatting sqref="J1576:M1577 O1577">
    <cfRule type="expression" dxfId="4714" priority="6838">
      <formula>$H1576="ETAPA"</formula>
    </cfRule>
  </conditionalFormatting>
  <conditionalFormatting sqref="J1577:M1577 O1577 H1577">
    <cfRule type="expression" dxfId="4713" priority="8606">
      <formula>$H1577="CÉLULA CONSTRUTIVA"</formula>
    </cfRule>
  </conditionalFormatting>
  <conditionalFormatting sqref="J1577:M1577 O1577">
    <cfRule type="expression" dxfId="4712" priority="6837">
      <formula>$H1577="SUBETAPA"</formula>
    </cfRule>
  </conditionalFormatting>
  <conditionalFormatting sqref="J1582:M1583 H1583 O1583">
    <cfRule type="expression" dxfId="4711" priority="8600">
      <formula>$H1582="CÉLULA CONSTRUTIVA"</formula>
    </cfRule>
  </conditionalFormatting>
  <conditionalFormatting sqref="J1582:M1583 O1583 H1583:H1585 J1584:K1585 M1584:M1585">
    <cfRule type="expression" dxfId="4710" priority="6836">
      <formula>$H1582="ETAPA"</formula>
    </cfRule>
  </conditionalFormatting>
  <conditionalFormatting sqref="J1591:M1592 H1592 O1592">
    <cfRule type="expression" dxfId="4709" priority="8592">
      <formula>$H1591="CÉLULA CONSTRUTIVA"</formula>
    </cfRule>
  </conditionalFormatting>
  <conditionalFormatting sqref="J1591:M1592 O1592 H1592:H1594 J1593:K1594 M1593:M1594">
    <cfRule type="expression" dxfId="4708" priority="6835">
      <formula>$H1591="ETAPA"</formula>
    </cfRule>
  </conditionalFormatting>
  <conditionalFormatting sqref="J1600:M1601 H1601 O1601">
    <cfRule type="expression" dxfId="4707" priority="8584">
      <formula>$H1600="CÉLULA CONSTRUTIVA"</formula>
    </cfRule>
  </conditionalFormatting>
  <conditionalFormatting sqref="J1600:M1601 O1601 H1601:H1603 J1602:K1603 M1602:M1603">
    <cfRule type="expression" dxfId="4706" priority="6834">
      <formula>$H1600="ETAPA"</formula>
    </cfRule>
  </conditionalFormatting>
  <conditionalFormatting sqref="J1609:M1610 H1610 O1610">
    <cfRule type="expression" dxfId="4705" priority="8576">
      <formula>$H1609="CÉLULA CONSTRUTIVA"</formula>
    </cfRule>
  </conditionalFormatting>
  <conditionalFormatting sqref="J1609:M1610 O1610 H1610:H1612 J1611:K1612 M1611:M1612">
    <cfRule type="expression" dxfId="4704" priority="6833">
      <formula>$H1609="ETAPA"</formula>
    </cfRule>
  </conditionalFormatting>
  <conditionalFormatting sqref="J1618:M1619 H1619 O1619">
    <cfRule type="expression" dxfId="4703" priority="8568">
      <formula>$H1618="CÉLULA CONSTRUTIVA"</formula>
    </cfRule>
  </conditionalFormatting>
  <conditionalFormatting sqref="J1618:M1619 O1619 H1619:H1621 J1620:K1621 M1620:M1621">
    <cfRule type="expression" dxfId="4702" priority="6832">
      <formula>$H1618="ETAPA"</formula>
    </cfRule>
  </conditionalFormatting>
  <conditionalFormatting sqref="K23">
    <cfRule type="expression" dxfId="4701" priority="6831">
      <formula>$H23="ETAPA"</formula>
    </cfRule>
    <cfRule type="expression" dxfId="4700" priority="6830">
      <formula>$H23="SUBETAPA"</formula>
    </cfRule>
  </conditionalFormatting>
  <conditionalFormatting sqref="K35:K38 O36:O38">
    <cfRule type="expression" dxfId="4699" priority="6826">
      <formula>$H35="CÉLULA CONSTRUTIVA"</formula>
    </cfRule>
  </conditionalFormatting>
  <conditionalFormatting sqref="K37 N37:O37">
    <cfRule type="expression" dxfId="4698" priority="6828">
      <formula>$H37="ETAPA"</formula>
    </cfRule>
    <cfRule type="expression" dxfId="4697" priority="6827">
      <formula>$H37="SUBETAPA"</formula>
    </cfRule>
  </conditionalFormatting>
  <conditionalFormatting sqref="K46">
    <cfRule type="expression" dxfId="4696" priority="6825">
      <formula>$H46="ETAPA"</formula>
    </cfRule>
  </conditionalFormatting>
  <conditionalFormatting sqref="K157">
    <cfRule type="expression" dxfId="4695" priority="6824">
      <formula>$H157="ETAPA"</formula>
    </cfRule>
  </conditionalFormatting>
  <conditionalFormatting sqref="K167">
    <cfRule type="expression" dxfId="4694" priority="6821">
      <formula>$H167="ETAPA"</formula>
    </cfRule>
  </conditionalFormatting>
  <conditionalFormatting sqref="K185">
    <cfRule type="expression" dxfId="4693" priority="6817">
      <formula>$H185="SUBETAPA"</formula>
    </cfRule>
  </conditionalFormatting>
  <conditionalFormatting sqref="K194">
    <cfRule type="expression" dxfId="4692" priority="6814">
      <formula>$H194="SUBETAPA"</formula>
    </cfRule>
  </conditionalFormatting>
  <conditionalFormatting sqref="K203">
    <cfRule type="expression" dxfId="4691" priority="6811">
      <formula>$H203="SUBETAPA"</formula>
    </cfRule>
  </conditionalFormatting>
  <conditionalFormatting sqref="K206:K212">
    <cfRule type="expression" dxfId="4690" priority="6805">
      <formula>$H206="CÉLULA CONSTRUTIVA"</formula>
    </cfRule>
    <cfRule type="expression" dxfId="4689" priority="6806">
      <formula>$H206="SUBETAPA"</formula>
    </cfRule>
  </conditionalFormatting>
  <conditionalFormatting sqref="K221">
    <cfRule type="expression" dxfId="4688" priority="6803">
      <formula>$H221="SUBETAPA"</formula>
    </cfRule>
  </conditionalFormatting>
  <conditionalFormatting sqref="K349 K351 K353 K355 K357 K361 K363 K365 K367 K369 K371 K373 K375 K377">
    <cfRule type="expression" dxfId="4687" priority="6801">
      <formula>$H349="ETAPA"</formula>
    </cfRule>
  </conditionalFormatting>
  <conditionalFormatting sqref="K359">
    <cfRule type="expression" dxfId="4686" priority="6799">
      <formula>$H359="SUBETAPA"</formula>
    </cfRule>
    <cfRule type="expression" dxfId="4685" priority="6800">
      <formula>$H359="ETAPA"</formula>
    </cfRule>
  </conditionalFormatting>
  <conditionalFormatting sqref="K1011">
    <cfRule type="expression" dxfId="4684" priority="6791">
      <formula>$H1011="ETAPA"</formula>
    </cfRule>
    <cfRule type="expression" dxfId="4683" priority="6790">
      <formula>$H1011="CÉLULA CONSTRUTIVA"</formula>
    </cfRule>
  </conditionalFormatting>
  <conditionalFormatting sqref="K1242:K1244 J1245:K1245">
    <cfRule type="expression" dxfId="4682" priority="7198">
      <formula>$H1242="CÉLULA CONSTRUTIVA"</formula>
    </cfRule>
  </conditionalFormatting>
  <conditionalFormatting sqref="K1273:K1277 J1278:K1278">
    <cfRule type="expression" dxfId="4681" priority="7189">
      <formula>$H1273="CÉLULA CONSTRUTIVA"</formula>
    </cfRule>
  </conditionalFormatting>
  <conditionalFormatting sqref="K1295:K1297 H1295:H1298 J1298:K1298">
    <cfRule type="expression" dxfId="4680" priority="9127">
      <formula>$H1295="CÉLULA CONSTRUTIVA"</formula>
    </cfRule>
  </conditionalFormatting>
  <conditionalFormatting sqref="K1317:K1319 H1317:H1320 J1320:K1320">
    <cfRule type="expression" dxfId="4679" priority="9117">
      <formula>$H1317="CÉLULA CONSTRUTIVA"</formula>
    </cfRule>
  </conditionalFormatting>
  <conditionalFormatting sqref="K1355:K1357 H1355:H1358 J1358:K1358">
    <cfRule type="expression" dxfId="4678" priority="9100">
      <formula>$H1355="CÉLULA CONSTRUTIVA"</formula>
    </cfRule>
  </conditionalFormatting>
  <conditionalFormatting sqref="K1376:K1378 H1376:H1379 J1379:K1379">
    <cfRule type="expression" dxfId="4677" priority="9091">
      <formula>$H1376="CÉLULA CONSTRUTIVA"</formula>
    </cfRule>
  </conditionalFormatting>
  <conditionalFormatting sqref="K1400:K1402 H1400:H1403 J1403:K1403">
    <cfRule type="expression" dxfId="4676" priority="9081">
      <formula>$H1400="CÉLULA CONSTRUTIVA"</formula>
    </cfRule>
  </conditionalFormatting>
  <conditionalFormatting sqref="K1418:K1420">
    <cfRule type="expression" dxfId="4675" priority="6789">
      <formula>$H1418="CÉLULA CONSTRUTIVA"</formula>
    </cfRule>
  </conditionalFormatting>
  <conditionalFormatting sqref="K1430:K1432">
    <cfRule type="expression" dxfId="4674" priority="6788">
      <formula>$H1430="CÉLULA CONSTRUTIVA"</formula>
    </cfRule>
  </conditionalFormatting>
  <conditionalFormatting sqref="K1437:K1440">
    <cfRule type="expression" dxfId="4673" priority="6727">
      <formula>$H1437="SUBETAPA"</formula>
    </cfRule>
  </conditionalFormatting>
  <conditionalFormatting sqref="K1633">
    <cfRule type="expression" dxfId="4672" priority="6726">
      <formula>$H1633="ETAPA"</formula>
    </cfRule>
    <cfRule type="expression" dxfId="4671" priority="6725">
      <formula>$H1633="SUBETAPA"</formula>
    </cfRule>
  </conditionalFormatting>
  <conditionalFormatting sqref="K1689">
    <cfRule type="expression" dxfId="4670" priority="6723">
      <formula>$H1689="ETAPA"</formula>
    </cfRule>
    <cfRule type="expression" dxfId="4669" priority="6722">
      <formula>$H1689="SUBETAPA"</formula>
    </cfRule>
  </conditionalFormatting>
  <conditionalFormatting sqref="K1700">
    <cfRule type="expression" dxfId="4668" priority="6720">
      <formula>$H1700="ETAPA"</formula>
    </cfRule>
    <cfRule type="expression" dxfId="4667" priority="6719">
      <formula>$H1700="SUBETAPA"</formula>
    </cfRule>
  </conditionalFormatting>
  <conditionalFormatting sqref="K1747">
    <cfRule type="expression" dxfId="4666" priority="6716">
      <formula>$H1747="SUBETAPA"</formula>
    </cfRule>
    <cfRule type="expression" dxfId="4665" priority="6717">
      <formula>$H1747="ETAPA"</formula>
    </cfRule>
  </conditionalFormatting>
  <conditionalFormatting sqref="K1755">
    <cfRule type="expression" dxfId="4664" priority="6713">
      <formula>$H1755="SUBETAPA"</formula>
    </cfRule>
    <cfRule type="expression" dxfId="4663" priority="6714">
      <formula>$H1755="ETAPA"</formula>
    </cfRule>
  </conditionalFormatting>
  <conditionalFormatting sqref="K1766 O1766:O1770">
    <cfRule type="expression" dxfId="4662" priority="6711">
      <formula>$H1766="SUBETAPA"</formula>
    </cfRule>
  </conditionalFormatting>
  <conditionalFormatting sqref="K1807 O1807">
    <cfRule type="expression" dxfId="4661" priority="6710">
      <formula>$H1807="SUBETAPA"</formula>
    </cfRule>
  </conditionalFormatting>
  <conditionalFormatting sqref="K360:L360">
    <cfRule type="expression" dxfId="4660" priority="6699">
      <formula>$H360="ETAPA"</formula>
    </cfRule>
    <cfRule type="expression" dxfId="4659" priority="6698">
      <formula>$H360="SUBETAPA"</formula>
    </cfRule>
  </conditionalFormatting>
  <conditionalFormatting sqref="K362:L362">
    <cfRule type="expression" dxfId="4658" priority="6695">
      <formula>$H362="SUBETAPA"</formula>
    </cfRule>
    <cfRule type="expression" dxfId="4657" priority="6696">
      <formula>$H362="ETAPA"</formula>
    </cfRule>
  </conditionalFormatting>
  <conditionalFormatting sqref="K364:L364">
    <cfRule type="expression" dxfId="4656" priority="6693">
      <formula>$H364="ETAPA"</formula>
    </cfRule>
    <cfRule type="expression" dxfId="4655" priority="6692">
      <formula>$H364="SUBETAPA"</formula>
    </cfRule>
  </conditionalFormatting>
  <conditionalFormatting sqref="K366:L366">
    <cfRule type="expression" dxfId="4654" priority="6690">
      <formula>$H366="ETAPA"</formula>
    </cfRule>
    <cfRule type="expression" dxfId="4653" priority="6689">
      <formula>$H366="SUBETAPA"</formula>
    </cfRule>
  </conditionalFormatting>
  <conditionalFormatting sqref="K368:L368">
    <cfRule type="expression" dxfId="4652" priority="6687">
      <formula>$H368="ETAPA"</formula>
    </cfRule>
    <cfRule type="expression" dxfId="4651" priority="6686">
      <formula>$H368="SUBETAPA"</formula>
    </cfRule>
  </conditionalFormatting>
  <conditionalFormatting sqref="K370:L370">
    <cfRule type="expression" dxfId="4650" priority="6683">
      <formula>$H370="SUBETAPA"</formula>
    </cfRule>
    <cfRule type="expression" dxfId="4649" priority="6684">
      <formula>$H370="ETAPA"</formula>
    </cfRule>
  </conditionalFormatting>
  <conditionalFormatting sqref="K372:L372">
    <cfRule type="expression" dxfId="4648" priority="6681">
      <formula>$H372="ETAPA"</formula>
    </cfRule>
    <cfRule type="expression" dxfId="4647" priority="6680">
      <formula>$H372="SUBETAPA"</formula>
    </cfRule>
  </conditionalFormatting>
  <conditionalFormatting sqref="K374:L374">
    <cfRule type="expression" dxfId="4646" priority="6678">
      <formula>$H374="ETAPA"</formula>
    </cfRule>
    <cfRule type="expression" dxfId="4645" priority="6677">
      <formula>$H374="SUBETAPA"</formula>
    </cfRule>
  </conditionalFormatting>
  <conditionalFormatting sqref="K376:L376 K378:L378">
    <cfRule type="expression" dxfId="4644" priority="6675">
      <formula>$H376="ETAPA"</formula>
    </cfRule>
    <cfRule type="expression" dxfId="4643" priority="6674">
      <formula>$H376="SUBETAPA"</formula>
    </cfRule>
  </conditionalFormatting>
  <conditionalFormatting sqref="K924:L924">
    <cfRule type="expression" dxfId="4642" priority="6672">
      <formula>$H924="SUBETAPA"</formula>
    </cfRule>
  </conditionalFormatting>
  <conditionalFormatting sqref="K929:L929">
    <cfRule type="expression" dxfId="4641" priority="6671">
      <formula>$H929="SUBETAPA"</formula>
    </cfRule>
  </conditionalFormatting>
  <conditionalFormatting sqref="K934:L934">
    <cfRule type="expression" dxfId="4640" priority="6670">
      <formula>$H934="SUBETAPA"</formula>
    </cfRule>
  </conditionalFormatting>
  <conditionalFormatting sqref="K939:L939">
    <cfRule type="expression" dxfId="4639" priority="6669">
      <formula>$H939="SUBETAPA"</formula>
    </cfRule>
  </conditionalFormatting>
  <conditionalFormatting sqref="K944:L944">
    <cfRule type="expression" dxfId="4638" priority="6668">
      <formula>$H944="SUBETAPA"</formula>
    </cfRule>
  </conditionalFormatting>
  <conditionalFormatting sqref="K948:L948 K951:L951">
    <cfRule type="expression" dxfId="4637" priority="6667">
      <formula>$H948="SUBETAPA"</formula>
    </cfRule>
  </conditionalFormatting>
  <conditionalFormatting sqref="K955:L955 K958:L958">
    <cfRule type="expression" dxfId="4636" priority="6666">
      <formula>$H955="SUBETAPA"</formula>
    </cfRule>
  </conditionalFormatting>
  <conditionalFormatting sqref="K962:L962 K965:L965">
    <cfRule type="expression" dxfId="4635" priority="6665">
      <formula>$H962="SUBETAPA"</formula>
    </cfRule>
  </conditionalFormatting>
  <conditionalFormatting sqref="K969:L969 K972:L972">
    <cfRule type="expression" dxfId="4634" priority="6664">
      <formula>$H969="SUBETAPA"</formula>
    </cfRule>
  </conditionalFormatting>
  <conditionalFormatting sqref="K976:L976 K979:L979">
    <cfRule type="expression" dxfId="4633" priority="6663">
      <formula>$H976="SUBETAPA"</formula>
    </cfRule>
  </conditionalFormatting>
  <conditionalFormatting sqref="K984:L984">
    <cfRule type="expression" dxfId="4632" priority="6662">
      <formula>$H984="SUBETAPA"</formula>
    </cfRule>
  </conditionalFormatting>
  <conditionalFormatting sqref="K988:L988 K991:L991">
    <cfRule type="expression" dxfId="4631" priority="6661">
      <formula>$H988="SUBETAPA"</formula>
    </cfRule>
  </conditionalFormatting>
  <conditionalFormatting sqref="K996:L996">
    <cfRule type="expression" dxfId="4630" priority="6660">
      <formula>$H996="SUBETAPA"</formula>
    </cfRule>
  </conditionalFormatting>
  <conditionalFormatting sqref="K1090:L1090">
    <cfRule type="expression" dxfId="4629" priority="6657">
      <formula>$H1090="SUBETAPA"</formula>
    </cfRule>
  </conditionalFormatting>
  <conditionalFormatting sqref="K1090:L1091 I1083:M1084 I1085:L1085 L1086:L1087 K1088:L1088 O1088 L1089">
    <cfRule type="expression" dxfId="4628"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7" priority="6641">
      <formula>$H568="ETAPA"</formula>
    </cfRule>
  </conditionalFormatting>
  <conditionalFormatting sqref="K916:M916 K919:L919 M948 M955 M962 M969 M976 M988">
    <cfRule type="expression" dxfId="4626" priority="6640">
      <formula>$H916="SUBETAPA"</formula>
    </cfRule>
  </conditionalFormatting>
  <conditionalFormatting sqref="K1011:M1011">
    <cfRule type="expression" dxfId="4625" priority="6792">
      <formula>$H1011="SUBETAPA"</formula>
    </cfRule>
  </conditionalFormatting>
  <conditionalFormatting sqref="K1020:M1020">
    <cfRule type="expression" dxfId="4624" priority="6637">
      <formula>$H1020="SUBETAPA"</formula>
    </cfRule>
  </conditionalFormatting>
  <conditionalFormatting sqref="K1020:M1021 I1013:M1015 L1016:M1017 K1018:M1018 O1018 L1019">
    <cfRule type="expression" dxfId="4623" priority="6638">
      <formula>$H1013="ETAPA"</formula>
    </cfRule>
  </conditionalFormatting>
  <conditionalFormatting sqref="K1034:M1034">
    <cfRule type="expression" dxfId="4622" priority="6634">
      <formula>$H1034="SUBETAPA"</formula>
    </cfRule>
  </conditionalFormatting>
  <conditionalFormatting sqref="K1034:M1035 I1027:M1029 L1030:M1031 K1032:M1032 O1032 L1033">
    <cfRule type="expression" dxfId="4621" priority="6635">
      <formula>$H1027="ETAPA"</formula>
    </cfRule>
  </conditionalFormatting>
  <conditionalFormatting sqref="K1048:M1048">
    <cfRule type="expression" dxfId="4620" priority="6631">
      <formula>$H1048="SUBETAPA"</formula>
    </cfRule>
  </conditionalFormatting>
  <conditionalFormatting sqref="K1048:M1049 I1041:M1043 L1044:M1045 K1046:M1046 O1046 L1047">
    <cfRule type="expression" dxfId="4619" priority="6632">
      <formula>$H1041="ETAPA"</formula>
    </cfRule>
  </conditionalFormatting>
  <conditionalFormatting sqref="K1062:M1062">
    <cfRule type="expression" dxfId="4618" priority="6628">
      <formula>$H1062="SUBETAPA"</formula>
    </cfRule>
  </conditionalFormatting>
  <conditionalFormatting sqref="K1062:M1063 I1055:M1057 L1058:M1059 K1060:M1060 O1060 L1061">
    <cfRule type="expression" dxfId="4617" priority="6629">
      <formula>$H1055="ETAPA"</formula>
    </cfRule>
  </conditionalFormatting>
  <conditionalFormatting sqref="K1076:M1076">
    <cfRule type="expression" dxfId="4616" priority="6625">
      <formula>$H1076="SUBETAPA"</formula>
    </cfRule>
  </conditionalFormatting>
  <conditionalFormatting sqref="K1076:M1077 I1069:M1071 L1072:L1073 K1074:M1074 O1074 L1075">
    <cfRule type="expression" dxfId="4615" priority="6626">
      <formula>$H1069="ETAPA"</formula>
    </cfRule>
  </conditionalFormatting>
  <conditionalFormatting sqref="K1104:M1104">
    <cfRule type="expression" dxfId="4614" priority="6622">
      <formula>$H1104="SUBETAPA"</formula>
    </cfRule>
  </conditionalFormatting>
  <conditionalFormatting sqref="K1104:M1105 I1097:M1099 L1100:M1101 K1102:M1102 O1102 L1103">
    <cfRule type="expression" dxfId="4613" priority="6623">
      <formula>$H1097="ETAPA"</formula>
    </cfRule>
  </conditionalFormatting>
  <conditionalFormatting sqref="K1118:M1118">
    <cfRule type="expression" dxfId="4612" priority="6621">
      <formula>$H1118="SUBETAPA"</formula>
    </cfRule>
  </conditionalFormatting>
  <conditionalFormatting sqref="K1129:M1129 O1129">
    <cfRule type="expression" dxfId="4611" priority="6620">
      <formula>$H1129="ETAPA"</formula>
    </cfRule>
    <cfRule type="expression" dxfId="4610" priority="6619">
      <formula>$H1129="SUBETAPA"</formula>
    </cfRule>
  </conditionalFormatting>
  <conditionalFormatting sqref="K1132:M1132 O1132">
    <cfRule type="expression" dxfId="4609" priority="6618">
      <formula>$H1132="ETAPA"</formula>
    </cfRule>
    <cfRule type="expression" dxfId="4608" priority="6617">
      <formula>$H1132="SUBETAPA"</formula>
    </cfRule>
  </conditionalFormatting>
  <conditionalFormatting sqref="K1135:M1135 O1135">
    <cfRule type="expression" dxfId="4607" priority="6616">
      <formula>$H1135="ETAPA"</formula>
    </cfRule>
  </conditionalFormatting>
  <conditionalFormatting sqref="K1135:M1135 O1135:O1136">
    <cfRule type="expression" dxfId="4606" priority="6615">
      <formula>$H1135="SUBETAPA"</formula>
    </cfRule>
  </conditionalFormatting>
  <conditionalFormatting sqref="K1138:M1138 O1138">
    <cfRule type="expression" dxfId="4605" priority="6614">
      <formula>$H1138="ETAPA"</formula>
    </cfRule>
  </conditionalFormatting>
  <conditionalFormatting sqref="K1138:M1138 O1138:O1139">
    <cfRule type="expression" dxfId="4604" priority="6613">
      <formula>$H1138="SUBETAPA"</formula>
    </cfRule>
  </conditionalFormatting>
  <conditionalFormatting sqref="K1141:M1141 O1141">
    <cfRule type="expression" dxfId="4603" priority="6612">
      <formula>$H1141="ETAPA"</formula>
    </cfRule>
  </conditionalFormatting>
  <conditionalFormatting sqref="K1141:M1141 O1141:O1142">
    <cfRule type="expression" dxfId="4602" priority="6611">
      <formula>$H1141="SUBETAPA"</formula>
    </cfRule>
  </conditionalFormatting>
  <conditionalFormatting sqref="K1144:M1144 O1144">
    <cfRule type="expression" dxfId="4601" priority="6610">
      <formula>$H1144="ETAPA"</formula>
    </cfRule>
  </conditionalFormatting>
  <conditionalFormatting sqref="K1144:M1144 O1144:O1145">
    <cfRule type="expression" dxfId="4600" priority="6609">
      <formula>$H1144="SUBETAPA"</formula>
    </cfRule>
  </conditionalFormatting>
  <conditionalFormatting sqref="K1149:M1149 O1149 J1152:L1152 H1152:H1155">
    <cfRule type="expression" dxfId="4599" priority="9213">
      <formula>$H1149="ETAPA"</formula>
    </cfRule>
  </conditionalFormatting>
  <conditionalFormatting sqref="K1156:M1156 O1156 J1159:L1159 H1159:H1162">
    <cfRule type="expression" dxfId="4598" priority="9204">
      <formula>$H1156="ETAPA"</formula>
    </cfRule>
  </conditionalFormatting>
  <conditionalFormatting sqref="K1163:M1163 O1163">
    <cfRule type="expression" dxfId="4597" priority="6607">
      <formula>$H1163="SUBETAPA"</formula>
    </cfRule>
    <cfRule type="expression" dxfId="4596" priority="6608">
      <formula>$H1163="ETAPA"</formula>
    </cfRule>
  </conditionalFormatting>
  <conditionalFormatting sqref="K1168:M1168 O1168">
    <cfRule type="expression" dxfId="4595" priority="6606">
      <formula>$H1168="ETAPA"</formula>
    </cfRule>
  </conditionalFormatting>
  <conditionalFormatting sqref="K1168:M1168 O1168:O1169">
    <cfRule type="expression" dxfId="4594" priority="6605">
      <formula>$H1168="SUBETAPA"</formula>
    </cfRule>
  </conditionalFormatting>
  <conditionalFormatting sqref="K1173:M1173 O1173">
    <cfRule type="expression" dxfId="4593" priority="6604">
      <formula>$H1173="ETAPA"</formula>
    </cfRule>
    <cfRule type="expression" dxfId="4592" priority="6603">
      <formula>$H1173="SUBETAPA"</formula>
    </cfRule>
  </conditionalFormatting>
  <conditionalFormatting sqref="K1178:M1178 O1178">
    <cfRule type="expression" dxfId="4591" priority="6602">
      <formula>$H1178="ETAPA"</formula>
    </cfRule>
    <cfRule type="expression" dxfId="4590" priority="6601">
      <formula>$H1178="SUBETAPA"</formula>
    </cfRule>
  </conditionalFormatting>
  <conditionalFormatting sqref="K1181:M1181 O1181">
    <cfRule type="expression" dxfId="4589" priority="6599">
      <formula>$H1181="SUBETAPA"</formula>
    </cfRule>
    <cfRule type="expression" dxfId="4588" priority="6600">
      <formula>$H1181="ETAPA"</formula>
    </cfRule>
  </conditionalFormatting>
  <conditionalFormatting sqref="L22:L23">
    <cfRule type="expression" dxfId="4587" priority="6597">
      <formula>$H22="SUBETAPA"</formula>
    </cfRule>
  </conditionalFormatting>
  <conditionalFormatting sqref="L34:L36 G33:N33">
    <cfRule type="expression" dxfId="4586" priority="6829">
      <formula>$H33="CÉLULA CONSTRUTIVA"</formula>
    </cfRule>
  </conditionalFormatting>
  <conditionalFormatting sqref="L34:L38">
    <cfRule type="expression" dxfId="4585" priority="6591">
      <formula>$H34="ETAPA"</formula>
    </cfRule>
  </conditionalFormatting>
  <conditionalFormatting sqref="L37:L38">
    <cfRule type="expression" dxfId="4584" priority="6592">
      <formula>$H37="SUBETAPA"</formula>
    </cfRule>
  </conditionalFormatting>
  <conditionalFormatting sqref="L44:L45 G41:N41">
    <cfRule type="expression" dxfId="4583" priority="6589">
      <formula>$H41="CÉLULA CONSTRUTIVA"</formula>
    </cfRule>
  </conditionalFormatting>
  <conditionalFormatting sqref="L44:L46">
    <cfRule type="expression" dxfId="4582" priority="6586">
      <formula>$H44="ETAPA"</formula>
    </cfRule>
  </conditionalFormatting>
  <conditionalFormatting sqref="L46 H46:I46">
    <cfRule type="expression" dxfId="4581" priority="6587">
      <formula>$H46="SUBETAPA"</formula>
    </cfRule>
  </conditionalFormatting>
  <conditionalFormatting sqref="L46:L47">
    <cfRule type="expression" dxfId="4580" priority="6584">
      <formula>$H46="CÉLULA CONSTRUTIVA"</formula>
    </cfRule>
  </conditionalFormatting>
  <conditionalFormatting sqref="L47:L48">
    <cfRule type="expression" dxfId="4579" priority="6583">
      <formula>$H47="ETAPA"</formula>
    </cfRule>
  </conditionalFormatting>
  <conditionalFormatting sqref="L65">
    <cfRule type="expression" dxfId="4578" priority="6580">
      <formula>$H65="SUBETAPA"</formula>
    </cfRule>
    <cfRule type="expression" dxfId="4577" priority="6579">
      <formula>$H65="ETAPA"</formula>
    </cfRule>
  </conditionalFormatting>
  <conditionalFormatting sqref="L73">
    <cfRule type="expression" dxfId="4576" priority="6577">
      <formula>$H73="ETAPA"</formula>
    </cfRule>
  </conditionalFormatting>
  <conditionalFormatting sqref="L73:L76">
    <cfRule type="expression" dxfId="4575" priority="6566">
      <formula>$H73="CÉLULA CONSTRUTIVA"</formula>
    </cfRule>
    <cfRule type="expression" dxfId="4574" priority="6567">
      <formula>$H73="SUBETAPA"</formula>
    </cfRule>
  </conditionalFormatting>
  <conditionalFormatting sqref="L74">
    <cfRule type="expression" dxfId="4573" priority="6574">
      <formula>$H74="ETAPA"</formula>
    </cfRule>
  </conditionalFormatting>
  <conditionalFormatting sqref="L75">
    <cfRule type="expression" dxfId="4572" priority="6571">
      <formula>$H75="ETAPA"</formula>
    </cfRule>
  </conditionalFormatting>
  <conditionalFormatting sqref="L76">
    <cfRule type="expression" dxfId="4571" priority="6568">
      <formula>$H76="ETAPA"</formula>
    </cfRule>
  </conditionalFormatting>
  <conditionalFormatting sqref="L80:L92">
    <cfRule type="expression" dxfId="4570" priority="6542">
      <formula>$H80="CÉLULA CONSTRUTIVA"</formula>
    </cfRule>
  </conditionalFormatting>
  <conditionalFormatting sqref="L84:L85">
    <cfRule type="expression" dxfId="4569" priority="6565">
      <formula>$H84="ETAPA"</formula>
    </cfRule>
  </conditionalFormatting>
  <conditionalFormatting sqref="L84:L92">
    <cfRule type="expression" dxfId="4568" priority="6543">
      <formula>$H84="SUBETAPA"</formula>
    </cfRule>
  </conditionalFormatting>
  <conditionalFormatting sqref="L86">
    <cfRule type="expression" dxfId="4567" priority="6562">
      <formula>$H86="ETAPA"</formula>
    </cfRule>
  </conditionalFormatting>
  <conditionalFormatting sqref="L87">
    <cfRule type="expression" dxfId="4566" priority="6559">
      <formula>$H87="ETAPA"</formula>
    </cfRule>
  </conditionalFormatting>
  <conditionalFormatting sqref="L88">
    <cfRule type="expression" dxfId="4565" priority="6556">
      <formula>$H88="ETAPA"</formula>
    </cfRule>
  </conditionalFormatting>
  <conditionalFormatting sqref="L89">
    <cfRule type="expression" dxfId="4564" priority="6553">
      <formula>$H89="ETAPA"</formula>
    </cfRule>
  </conditionalFormatting>
  <conditionalFormatting sqref="L90">
    <cfRule type="expression" dxfId="4563" priority="6550">
      <formula>$H90="ETAPA"</formula>
    </cfRule>
  </conditionalFormatting>
  <conditionalFormatting sqref="L91">
    <cfRule type="expression" dxfId="4562" priority="6547">
      <formula>$H91="ETAPA"</formula>
    </cfRule>
  </conditionalFormatting>
  <conditionalFormatting sqref="L92">
    <cfRule type="expression" dxfId="4561" priority="6544">
      <formula>$H92="ETAPA"</formula>
    </cfRule>
  </conditionalFormatting>
  <conditionalFormatting sqref="L97:L99 N97:N99 G99:K99 M99">
    <cfRule type="expression" dxfId="4560" priority="6541">
      <formula>$H97="SUBETAPA"</formula>
    </cfRule>
  </conditionalFormatting>
  <conditionalFormatting sqref="L104">
    <cfRule type="expression" dxfId="4559" priority="6540">
      <formula>$H104="SUBETAPA"</formula>
    </cfRule>
  </conditionalFormatting>
  <conditionalFormatting sqref="L106">
    <cfRule type="expression" dxfId="4558" priority="6539">
      <formula>$H106="SUBETAPA"</formula>
    </cfRule>
  </conditionalFormatting>
  <conditionalFormatting sqref="L108">
    <cfRule type="expression" dxfId="4557" priority="6538">
      <formula>$H108="SUBETAPA"</formula>
    </cfRule>
  </conditionalFormatting>
  <conditionalFormatting sqref="L110">
    <cfRule type="expression" dxfId="4556" priority="6537">
      <formula>$H110="SUBETAPA"</formula>
    </cfRule>
  </conditionalFormatting>
  <conditionalFormatting sqref="L112">
    <cfRule type="expression" dxfId="4555" priority="6536">
      <formula>$H112="SUBETAPA"</formula>
    </cfRule>
  </conditionalFormatting>
  <conditionalFormatting sqref="L114">
    <cfRule type="expression" dxfId="4554" priority="6535">
      <formula>$H114="SUBETAPA"</formula>
    </cfRule>
  </conditionalFormatting>
  <conditionalFormatting sqref="L116">
    <cfRule type="expression" dxfId="4553" priority="6534">
      <formula>$H116="SUBETAPA"</formula>
    </cfRule>
  </conditionalFormatting>
  <conditionalFormatting sqref="L118">
    <cfRule type="expression" dxfId="4552" priority="6533">
      <formula>$H118="SUBETAPA"</formula>
    </cfRule>
  </conditionalFormatting>
  <conditionalFormatting sqref="L120">
    <cfRule type="expression" dxfId="4551" priority="6532">
      <formula>$H120="SUBETAPA"</formula>
    </cfRule>
  </conditionalFormatting>
  <conditionalFormatting sqref="L122:L123">
    <cfRule type="expression" dxfId="4550" priority="6530">
      <formula>$H122="SUBETAPA"</formula>
    </cfRule>
  </conditionalFormatting>
  <conditionalFormatting sqref="L123">
    <cfRule type="expression" dxfId="4549" priority="6529">
      <formula>$H123="CÉLULA CONSTRUTIVA"</formula>
    </cfRule>
  </conditionalFormatting>
  <conditionalFormatting sqref="L125:L126">
    <cfRule type="expression" dxfId="4548" priority="6527">
      <formula>$H125="SUBETAPA"</formula>
    </cfRule>
  </conditionalFormatting>
  <conditionalFormatting sqref="L126">
    <cfRule type="expression" dxfId="4547" priority="6526">
      <formula>$H126="CÉLULA CONSTRUTIVA"</formula>
    </cfRule>
  </conditionalFormatting>
  <conditionalFormatting sqref="L128:L129">
    <cfRule type="expression" dxfId="4546" priority="6524">
      <formula>$H128="SUBETAPA"</formula>
    </cfRule>
  </conditionalFormatting>
  <conditionalFormatting sqref="L129">
    <cfRule type="expression" dxfId="4545" priority="6523">
      <formula>$H129="CÉLULA CONSTRUTIVA"</formula>
    </cfRule>
  </conditionalFormatting>
  <conditionalFormatting sqref="L131">
    <cfRule type="expression" dxfId="4544" priority="6522">
      <formula>$H131="SUBETAPA"</formula>
    </cfRule>
  </conditionalFormatting>
  <conditionalFormatting sqref="L133:L134">
    <cfRule type="expression" dxfId="4543" priority="6520">
      <formula>$H133="SUBETAPA"</formula>
    </cfRule>
  </conditionalFormatting>
  <conditionalFormatting sqref="L134">
    <cfRule type="expression" dxfId="4542" priority="6519">
      <formula>$H134="CÉLULA CONSTRUTIVA"</formula>
    </cfRule>
  </conditionalFormatting>
  <conditionalFormatting sqref="L136:L137">
    <cfRule type="expression" dxfId="4541" priority="6517">
      <formula>$H136="SUBETAPA"</formula>
    </cfRule>
  </conditionalFormatting>
  <conditionalFormatting sqref="L137">
    <cfRule type="expression" dxfId="4540" priority="6516">
      <formula>$H137="CÉLULA CONSTRUTIVA"</formula>
    </cfRule>
  </conditionalFormatting>
  <conditionalFormatting sqref="L142">
    <cfRule type="expression" dxfId="4539" priority="6515">
      <formula>$H142="ETAPA"</formula>
    </cfRule>
  </conditionalFormatting>
  <conditionalFormatting sqref="L142:L147">
    <cfRule type="expression" dxfId="4538" priority="6499">
      <formula>$H142="SUBETAPA"</formula>
    </cfRule>
    <cfRule type="expression" dxfId="4537" priority="6498">
      <formula>$H142="CÉLULA CONSTRUTIVA"</formula>
    </cfRule>
  </conditionalFormatting>
  <conditionalFormatting sqref="L143">
    <cfRule type="expression" dxfId="4536" priority="6512">
      <formula>$H143="ETAPA"</formula>
    </cfRule>
  </conditionalFormatting>
  <conditionalFormatting sqref="L144">
    <cfRule type="expression" dxfId="4535" priority="6509">
      <formula>$H144="ETAPA"</formula>
    </cfRule>
  </conditionalFormatting>
  <conditionalFormatting sqref="L145">
    <cfRule type="expression" dxfId="4534" priority="6506">
      <formula>$H145="ETAPA"</formula>
    </cfRule>
  </conditionalFormatting>
  <conditionalFormatting sqref="L146">
    <cfRule type="expression" dxfId="4533" priority="6503">
      <formula>$H146="ETAPA"</formula>
    </cfRule>
  </conditionalFormatting>
  <conditionalFormatting sqref="L147">
    <cfRule type="expression" dxfId="4532" priority="6500">
      <formula>$H147="ETAPA"</formula>
    </cfRule>
  </conditionalFormatting>
  <conditionalFormatting sqref="L148:L157">
    <cfRule type="expression" dxfId="4531" priority="6474">
      <formula>$H148="SUBETAPA"</formula>
    </cfRule>
  </conditionalFormatting>
  <conditionalFormatting sqref="L149:L150">
    <cfRule type="expression" dxfId="4530" priority="6496">
      <formula>$H149="ETAPA"</formula>
    </cfRule>
  </conditionalFormatting>
  <conditionalFormatting sqref="L151">
    <cfRule type="expression" dxfId="4529" priority="6493">
      <formula>$H151="ETAPA"</formula>
    </cfRule>
  </conditionalFormatting>
  <conditionalFormatting sqref="L152">
    <cfRule type="expression" dxfId="4528" priority="6490">
      <formula>$H152="ETAPA"</formula>
    </cfRule>
  </conditionalFormatting>
  <conditionalFormatting sqref="L153">
    <cfRule type="expression" dxfId="4527" priority="6487">
      <formula>$H153="ETAPA"</formula>
    </cfRule>
  </conditionalFormatting>
  <conditionalFormatting sqref="L154">
    <cfRule type="expression" dxfId="4526" priority="6484">
      <formula>$H154="ETAPA"</formula>
    </cfRule>
  </conditionalFormatting>
  <conditionalFormatting sqref="L155">
    <cfRule type="expression" dxfId="4525" priority="6481">
      <formula>$H155="ETAPA"</formula>
    </cfRule>
  </conditionalFormatting>
  <conditionalFormatting sqref="L156">
    <cfRule type="expression" dxfId="4524" priority="6478">
      <formula>$H156="ETAPA"</formula>
    </cfRule>
  </conditionalFormatting>
  <conditionalFormatting sqref="L157">
    <cfRule type="expression" dxfId="4523" priority="6475">
      <formula>$H157="ETAPA"</formula>
    </cfRule>
  </conditionalFormatting>
  <conditionalFormatting sqref="L158:L167">
    <cfRule type="expression" dxfId="4522" priority="6449">
      <formula>$H158="SUBETAPA"</formula>
    </cfRule>
  </conditionalFormatting>
  <conditionalFormatting sqref="L159:L160">
    <cfRule type="expression" dxfId="4521" priority="6471">
      <formula>$H159="ETAPA"</formula>
    </cfRule>
  </conditionalFormatting>
  <conditionalFormatting sqref="L161">
    <cfRule type="expression" dxfId="4520" priority="6468">
      <formula>$H161="ETAPA"</formula>
    </cfRule>
  </conditionalFormatting>
  <conditionalFormatting sqref="L162">
    <cfRule type="expression" dxfId="4519" priority="6465">
      <formula>$H162="ETAPA"</formula>
    </cfRule>
  </conditionalFormatting>
  <conditionalFormatting sqref="L163">
    <cfRule type="expression" dxfId="4518" priority="6462">
      <formula>$H163="ETAPA"</formula>
    </cfRule>
  </conditionalFormatting>
  <conditionalFormatting sqref="L164">
    <cfRule type="expression" dxfId="4517" priority="6459">
      <formula>$H164="ETAPA"</formula>
    </cfRule>
  </conditionalFormatting>
  <conditionalFormatting sqref="L165">
    <cfRule type="expression" dxfId="4516" priority="6456">
      <formula>$H165="ETAPA"</formula>
    </cfRule>
  </conditionalFormatting>
  <conditionalFormatting sqref="L166">
    <cfRule type="expression" dxfId="4515" priority="6453">
      <formula>$H166="ETAPA"</formula>
    </cfRule>
  </conditionalFormatting>
  <conditionalFormatting sqref="L167">
    <cfRule type="expression" dxfId="4514" priority="6450">
      <formula>$H167="ETAPA"</formula>
    </cfRule>
  </conditionalFormatting>
  <conditionalFormatting sqref="L168:L176">
    <cfRule type="expression" dxfId="4513" priority="6427">
      <formula>$H168="SUBETAPA"</formula>
    </cfRule>
  </conditionalFormatting>
  <conditionalFormatting sqref="L169:L170">
    <cfRule type="expression" dxfId="4512" priority="6446">
      <formula>$H169="ETAPA"</formula>
    </cfRule>
  </conditionalFormatting>
  <conditionalFormatting sqref="L171">
    <cfRule type="expression" dxfId="4511" priority="6443">
      <formula>$H171="ETAPA"</formula>
    </cfRule>
  </conditionalFormatting>
  <conditionalFormatting sqref="L172">
    <cfRule type="expression" dxfId="4510" priority="6440">
      <formula>$H172="ETAPA"</formula>
    </cfRule>
  </conditionalFormatting>
  <conditionalFormatting sqref="L173">
    <cfRule type="expression" dxfId="4509" priority="6437">
      <formula>$H173="ETAPA"</formula>
    </cfRule>
  </conditionalFormatting>
  <conditionalFormatting sqref="L174">
    <cfRule type="expression" dxfId="4508" priority="6434">
      <formula>$H174="ETAPA"</formula>
    </cfRule>
  </conditionalFormatting>
  <conditionalFormatting sqref="L175">
    <cfRule type="expression" dxfId="4507" priority="6431">
      <formula>$H175="ETAPA"</formula>
    </cfRule>
  </conditionalFormatting>
  <conditionalFormatting sqref="L176">
    <cfRule type="expression" dxfId="4506" priority="6428">
      <formula>$H176="ETAPA"</formula>
    </cfRule>
  </conditionalFormatting>
  <conditionalFormatting sqref="L177:L178">
    <cfRule type="expression" dxfId="4505" priority="6423">
      <formula>$H177="SUBETAPA"</formula>
    </cfRule>
  </conditionalFormatting>
  <conditionalFormatting sqref="L180">
    <cfRule type="expression" dxfId="4504" priority="6421">
      <formula>$H180="ETAPA"</formula>
    </cfRule>
  </conditionalFormatting>
  <conditionalFormatting sqref="L180:L185">
    <cfRule type="expression" dxfId="4503" priority="6404">
      <formula>$H180="CÉLULA CONSTRUTIVA"</formula>
    </cfRule>
    <cfRule type="expression" dxfId="4502" priority="6405">
      <formula>$H180="SUBETAPA"</formula>
    </cfRule>
  </conditionalFormatting>
  <conditionalFormatting sqref="L181">
    <cfRule type="expression" dxfId="4501" priority="6418">
      <formula>$H181="ETAPA"</formula>
    </cfRule>
  </conditionalFormatting>
  <conditionalFormatting sqref="L182">
    <cfRule type="expression" dxfId="4500" priority="6415">
      <formula>$H182="ETAPA"</formula>
    </cfRule>
  </conditionalFormatting>
  <conditionalFormatting sqref="L183">
    <cfRule type="expression" dxfId="4499" priority="6412">
      <formula>$H183="ETAPA"</formula>
    </cfRule>
  </conditionalFormatting>
  <conditionalFormatting sqref="L184">
    <cfRule type="expression" dxfId="4498" priority="6409">
      <formula>$H184="ETAPA"</formula>
    </cfRule>
  </conditionalFormatting>
  <conditionalFormatting sqref="L185">
    <cfRule type="expression" dxfId="4497" priority="6406">
      <formula>$H185="ETAPA"</formula>
    </cfRule>
  </conditionalFormatting>
  <conditionalFormatting sqref="L186:L187">
    <cfRule type="expression" dxfId="4496" priority="6401">
      <formula>$H186="SUBETAPA"</formula>
    </cfRule>
  </conditionalFormatting>
  <conditionalFormatting sqref="L189">
    <cfRule type="expression" dxfId="4495" priority="6399">
      <formula>$H189="ETAPA"</formula>
    </cfRule>
  </conditionalFormatting>
  <conditionalFormatting sqref="L189:L194">
    <cfRule type="expression" dxfId="4494" priority="6382">
      <formula>$H189="CÉLULA CONSTRUTIVA"</formula>
    </cfRule>
    <cfRule type="expression" dxfId="4493" priority="6383">
      <formula>$H189="SUBETAPA"</formula>
    </cfRule>
  </conditionalFormatting>
  <conditionalFormatting sqref="L190">
    <cfRule type="expression" dxfId="4492" priority="6396">
      <formula>$H190="ETAPA"</formula>
    </cfRule>
  </conditionalFormatting>
  <conditionalFormatting sqref="L191">
    <cfRule type="expression" dxfId="4491" priority="6393">
      <formula>$H191="ETAPA"</formula>
    </cfRule>
  </conditionalFormatting>
  <conditionalFormatting sqref="L192">
    <cfRule type="expression" dxfId="4490" priority="6390">
      <formula>$H192="ETAPA"</formula>
    </cfRule>
  </conditionalFormatting>
  <conditionalFormatting sqref="L193">
    <cfRule type="expression" dxfId="4489" priority="6387">
      <formula>$H193="ETAPA"</formula>
    </cfRule>
  </conditionalFormatting>
  <conditionalFormatting sqref="L194">
    <cfRule type="expression" dxfId="4488" priority="6384">
      <formula>$H194="ETAPA"</formula>
    </cfRule>
  </conditionalFormatting>
  <conditionalFormatting sqref="L195:L196">
    <cfRule type="expression" dxfId="4487" priority="6379">
      <formula>$H195="SUBETAPA"</formula>
    </cfRule>
  </conditionalFormatting>
  <conditionalFormatting sqref="L198">
    <cfRule type="expression" dxfId="4486" priority="6377">
      <formula>$H198="ETAPA"</formula>
    </cfRule>
  </conditionalFormatting>
  <conditionalFormatting sqref="L198:L203">
    <cfRule type="expression" dxfId="4485" priority="6361">
      <formula>$H198="SUBETAPA"</formula>
    </cfRule>
    <cfRule type="expression" dxfId="4484" priority="6360">
      <formula>$H198="CÉLULA CONSTRUTIVA"</formula>
    </cfRule>
  </conditionalFormatting>
  <conditionalFormatting sqref="L199">
    <cfRule type="expression" dxfId="4483" priority="6374">
      <formula>$H199="ETAPA"</formula>
    </cfRule>
  </conditionalFormatting>
  <conditionalFormatting sqref="L200">
    <cfRule type="expression" dxfId="4482" priority="6371">
      <formula>$H200="ETAPA"</formula>
    </cfRule>
  </conditionalFormatting>
  <conditionalFormatting sqref="L201">
    <cfRule type="expression" dxfId="4481" priority="6368">
      <formula>$H201="ETAPA"</formula>
    </cfRule>
  </conditionalFormatting>
  <conditionalFormatting sqref="L202">
    <cfRule type="expression" dxfId="4480" priority="6365">
      <formula>$H202="ETAPA"</formula>
    </cfRule>
  </conditionalFormatting>
  <conditionalFormatting sqref="L203">
    <cfRule type="expression" dxfId="4479" priority="6362">
      <formula>$H203="ETAPA"</formula>
    </cfRule>
  </conditionalFormatting>
  <conditionalFormatting sqref="L204 G206:J209">
    <cfRule type="expression" dxfId="4478" priority="9713">
      <formula>$H204="SUBETAPA"</formula>
    </cfRule>
  </conditionalFormatting>
  <conditionalFormatting sqref="L205:L212">
    <cfRule type="expression" dxfId="4477" priority="6339">
      <formula>$H205="CÉLULA CONSTRUTIVA"</formula>
    </cfRule>
    <cfRule type="expression" dxfId="4476" priority="6340">
      <formula>$H205="SUBETAPA"</formula>
    </cfRule>
  </conditionalFormatting>
  <conditionalFormatting sqref="L207">
    <cfRule type="expression" dxfId="4475" priority="6356">
      <formula>$H207="ETAPA"</formula>
    </cfRule>
  </conditionalFormatting>
  <conditionalFormatting sqref="L208">
    <cfRule type="expression" dxfId="4474" priority="6353">
      <formula>$H208="ETAPA"</formula>
    </cfRule>
  </conditionalFormatting>
  <conditionalFormatting sqref="L209">
    <cfRule type="expression" dxfId="4473" priority="6350">
      <formula>$H209="ETAPA"</formula>
    </cfRule>
  </conditionalFormatting>
  <conditionalFormatting sqref="L210">
    <cfRule type="expression" dxfId="4472" priority="6347">
      <formula>$H210="ETAPA"</formula>
    </cfRule>
  </conditionalFormatting>
  <conditionalFormatting sqref="L211">
    <cfRule type="expression" dxfId="4471" priority="6344">
      <formula>$H211="ETAPA"</formula>
    </cfRule>
  </conditionalFormatting>
  <conditionalFormatting sqref="L212">
    <cfRule type="expression" dxfId="4470" priority="6341">
      <formula>$H212="ETAPA"</formula>
    </cfRule>
  </conditionalFormatting>
  <conditionalFormatting sqref="L213:L214">
    <cfRule type="expression" dxfId="4469" priority="6336">
      <formula>$H213="SUBETAPA"</formula>
    </cfRule>
  </conditionalFormatting>
  <conditionalFormatting sqref="L216">
    <cfRule type="expression" dxfId="4468" priority="6334">
      <formula>$H216="ETAPA"</formula>
    </cfRule>
  </conditionalFormatting>
  <conditionalFormatting sqref="L216:L221">
    <cfRule type="expression" dxfId="4467" priority="6317">
      <formula>$H216="CÉLULA CONSTRUTIVA"</formula>
    </cfRule>
    <cfRule type="expression" dxfId="4466" priority="6318">
      <formula>$H216="SUBETAPA"</formula>
    </cfRule>
  </conditionalFormatting>
  <conditionalFormatting sqref="L217">
    <cfRule type="expression" dxfId="4465" priority="6331">
      <formula>$H217="ETAPA"</formula>
    </cfRule>
  </conditionalFormatting>
  <conditionalFormatting sqref="L218">
    <cfRule type="expression" dxfId="4464" priority="6328">
      <formula>$H218="ETAPA"</formula>
    </cfRule>
  </conditionalFormatting>
  <conditionalFormatting sqref="L219">
    <cfRule type="expression" dxfId="4463" priority="6325">
      <formula>$H219="ETAPA"</formula>
    </cfRule>
  </conditionalFormatting>
  <conditionalFormatting sqref="L220">
    <cfRule type="expression" dxfId="4462" priority="6322">
      <formula>$H220="ETAPA"</formula>
    </cfRule>
  </conditionalFormatting>
  <conditionalFormatting sqref="L221">
    <cfRule type="expression" dxfId="4461" priority="6319">
      <formula>$H221="ETAPA"</formula>
    </cfRule>
  </conditionalFormatting>
  <conditionalFormatting sqref="L222:L224">
    <cfRule type="expression" dxfId="4460" priority="6314">
      <formula>$H222="SUBETAPA"</formula>
    </cfRule>
  </conditionalFormatting>
  <conditionalFormatting sqref="L223:L224">
    <cfRule type="expression" dxfId="4459" priority="6315">
      <formula>$H223="ETAPA"</formula>
    </cfRule>
  </conditionalFormatting>
  <conditionalFormatting sqref="L225">
    <cfRule type="expression" dxfId="4458" priority="6312">
      <formula>$H225="ETAPA"</formula>
    </cfRule>
    <cfRule type="expression" dxfId="4457" priority="6311">
      <formula>$H225="SUBETAPA"</formula>
    </cfRule>
  </conditionalFormatting>
  <conditionalFormatting sqref="L226">
    <cfRule type="expression" dxfId="4456" priority="6309">
      <formula>$H226="ETAPA"</formula>
    </cfRule>
    <cfRule type="expression" dxfId="4455" priority="6308">
      <formula>$H226="SUBETAPA"</formula>
    </cfRule>
  </conditionalFormatting>
  <conditionalFormatting sqref="L227">
    <cfRule type="expression" dxfId="4454" priority="6306">
      <formula>$H227="ETAPA"</formula>
    </cfRule>
    <cfRule type="expression" dxfId="4453" priority="6305">
      <formula>$H227="SUBETAPA"</formula>
    </cfRule>
  </conditionalFormatting>
  <conditionalFormatting sqref="L228">
    <cfRule type="expression" dxfId="4452" priority="6303">
      <formula>$H228="ETAPA"</formula>
    </cfRule>
    <cfRule type="expression" dxfId="4451" priority="6302">
      <formula>$H228="SUBETAPA"</formula>
    </cfRule>
  </conditionalFormatting>
  <conditionalFormatting sqref="L229">
    <cfRule type="expression" dxfId="4450" priority="6300">
      <formula>$H229="ETAPA"</formula>
    </cfRule>
    <cfRule type="expression" dxfId="4449" priority="6299">
      <formula>$H229="SUBETAPA"</formula>
    </cfRule>
  </conditionalFormatting>
  <conditionalFormatting sqref="L230">
    <cfRule type="expression" dxfId="4448" priority="6297">
      <formula>$H230="ETAPA"</formula>
    </cfRule>
    <cfRule type="expression" dxfId="4447" priority="6296">
      <formula>$H230="SUBETAPA"</formula>
    </cfRule>
  </conditionalFormatting>
  <conditionalFormatting sqref="L231:L239">
    <cfRule type="expression" dxfId="4446" priority="6292">
      <formula>$H231="SUBETAPA"</formula>
    </cfRule>
  </conditionalFormatting>
  <conditionalFormatting sqref="L232:L239">
    <cfRule type="expression" dxfId="4445" priority="6293">
      <formula>$H232="ETAPA"</formula>
    </cfRule>
  </conditionalFormatting>
  <conditionalFormatting sqref="L240:L248">
    <cfRule type="expression" dxfId="4444" priority="6288">
      <formula>$H240="SUBETAPA"</formula>
    </cfRule>
  </conditionalFormatting>
  <conditionalFormatting sqref="L241:L248">
    <cfRule type="expression" dxfId="4443" priority="6289">
      <formula>$H241="ETAPA"</formula>
    </cfRule>
  </conditionalFormatting>
  <conditionalFormatting sqref="L249:L251">
    <cfRule type="expression" dxfId="4442" priority="6284">
      <formula>$H249="SUBETAPA"</formula>
    </cfRule>
  </conditionalFormatting>
  <conditionalFormatting sqref="L250:L251">
    <cfRule type="expression" dxfId="4441" priority="6285">
      <formula>$H250="ETAPA"</formula>
    </cfRule>
  </conditionalFormatting>
  <conditionalFormatting sqref="L252">
    <cfRule type="expression" dxfId="4440" priority="6281">
      <formula>$H252="SUBETAPA"</formula>
    </cfRule>
    <cfRule type="expression" dxfId="4439" priority="6282">
      <formula>$H252="ETAPA"</formula>
    </cfRule>
  </conditionalFormatting>
  <conditionalFormatting sqref="L253">
    <cfRule type="expression" dxfId="4438" priority="6279">
      <formula>$H253="ETAPA"</formula>
    </cfRule>
    <cfRule type="expression" dxfId="4437" priority="6278">
      <formula>$H253="SUBETAPA"</formula>
    </cfRule>
  </conditionalFormatting>
  <conditionalFormatting sqref="L254">
    <cfRule type="expression" dxfId="4436" priority="6275">
      <formula>$H254="SUBETAPA"</formula>
    </cfRule>
    <cfRule type="expression" dxfId="4435" priority="6276">
      <formula>$H254="ETAPA"</formula>
    </cfRule>
  </conditionalFormatting>
  <conditionalFormatting sqref="L255">
    <cfRule type="expression" dxfId="4434" priority="6272">
      <formula>$H255="SUBETAPA"</formula>
    </cfRule>
    <cfRule type="expression" dxfId="4433" priority="6273">
      <formula>$H255="ETAPA"</formula>
    </cfRule>
  </conditionalFormatting>
  <conditionalFormatting sqref="L256">
    <cfRule type="expression" dxfId="4432" priority="6269">
      <formula>$H256="SUBETAPA"</formula>
    </cfRule>
    <cfRule type="expression" dxfId="4431" priority="6270">
      <formula>$H256="ETAPA"</formula>
    </cfRule>
  </conditionalFormatting>
  <conditionalFormatting sqref="L257">
    <cfRule type="expression" dxfId="4430" priority="6267">
      <formula>$H257="ETAPA"</formula>
    </cfRule>
    <cfRule type="expression" dxfId="4429" priority="6266">
      <formula>$H257="SUBETAPA"</formula>
    </cfRule>
  </conditionalFormatting>
  <conditionalFormatting sqref="L258:L260">
    <cfRule type="expression" dxfId="4428" priority="6262">
      <formula>$H258="SUBETAPA"</formula>
    </cfRule>
  </conditionalFormatting>
  <conditionalFormatting sqref="L259:L260">
    <cfRule type="expression" dxfId="4427" priority="6263">
      <formula>$H259="ETAPA"</formula>
    </cfRule>
  </conditionalFormatting>
  <conditionalFormatting sqref="L261">
    <cfRule type="expression" dxfId="4426" priority="6260">
      <formula>$H261="ETAPA"</formula>
    </cfRule>
    <cfRule type="expression" dxfId="4425" priority="6259">
      <formula>$H261="SUBETAPA"</formula>
    </cfRule>
  </conditionalFormatting>
  <conditionalFormatting sqref="L262">
    <cfRule type="expression" dxfId="4424" priority="6256">
      <formula>$H262="SUBETAPA"</formula>
    </cfRule>
    <cfRule type="expression" dxfId="4423" priority="6257">
      <formula>$H262="ETAPA"</formula>
    </cfRule>
  </conditionalFormatting>
  <conditionalFormatting sqref="L263">
    <cfRule type="expression" dxfId="4422" priority="6253">
      <formula>$H263="SUBETAPA"</formula>
    </cfRule>
    <cfRule type="expression" dxfId="4421" priority="6254">
      <formula>$H263="ETAPA"</formula>
    </cfRule>
  </conditionalFormatting>
  <conditionalFormatting sqref="L264">
    <cfRule type="expression" dxfId="4420" priority="6250">
      <formula>$H264="SUBETAPA"</formula>
    </cfRule>
    <cfRule type="expression" dxfId="4419" priority="6251">
      <formula>$H264="ETAPA"</formula>
    </cfRule>
  </conditionalFormatting>
  <conditionalFormatting sqref="L265">
    <cfRule type="expression" dxfId="4418" priority="6248">
      <formula>$H265="ETAPA"</formula>
    </cfRule>
    <cfRule type="expression" dxfId="4417" priority="6247">
      <formula>$H265="SUBETAPA"</formula>
    </cfRule>
  </conditionalFormatting>
  <conditionalFormatting sqref="L266">
    <cfRule type="expression" dxfId="4416" priority="6245">
      <formula>$H266="ETAPA"</formula>
    </cfRule>
    <cfRule type="expression" dxfId="4415" priority="6244">
      <formula>$H266="SUBETAPA"</formula>
    </cfRule>
  </conditionalFormatting>
  <conditionalFormatting sqref="L267:L269">
    <cfRule type="expression" dxfId="4414" priority="6240">
      <formula>$H267="SUBETAPA"</formula>
    </cfRule>
  </conditionalFormatting>
  <conditionalFormatting sqref="L268:L269">
    <cfRule type="expression" dxfId="4413" priority="6241">
      <formula>$H268="ETAPA"</formula>
    </cfRule>
  </conditionalFormatting>
  <conditionalFormatting sqref="L268:L273">
    <cfRule type="expression" dxfId="4412" priority="6227">
      <formula>$H268="CÉLULA CONSTRUTIVA"</formula>
    </cfRule>
  </conditionalFormatting>
  <conditionalFormatting sqref="L270">
    <cfRule type="expression" dxfId="4411" priority="6238">
      <formula>$H270="ETAPA"</formula>
    </cfRule>
    <cfRule type="expression" dxfId="4410" priority="6237">
      <formula>$H270="SUBETAPA"</formula>
    </cfRule>
  </conditionalFormatting>
  <conditionalFormatting sqref="L271">
    <cfRule type="expression" dxfId="4409" priority="6235">
      <formula>$H271="ETAPA"</formula>
    </cfRule>
    <cfRule type="expression" dxfId="4408" priority="6234">
      <formula>$H271="SUBETAPA"</formula>
    </cfRule>
  </conditionalFormatting>
  <conditionalFormatting sqref="L272">
    <cfRule type="expression" dxfId="4407" priority="6231">
      <formula>$H272="SUBETAPA"</formula>
    </cfRule>
    <cfRule type="expression" dxfId="4406" priority="6232">
      <formula>$H272="ETAPA"</formula>
    </cfRule>
  </conditionalFormatting>
  <conditionalFormatting sqref="L273">
    <cfRule type="expression" dxfId="4405" priority="6228">
      <formula>$H273="SUBETAPA"</formula>
    </cfRule>
    <cfRule type="expression" dxfId="4404" priority="6229">
      <formula>$H273="ETAPA"</formula>
    </cfRule>
  </conditionalFormatting>
  <conditionalFormatting sqref="L274:L276">
    <cfRule type="expression" dxfId="4403" priority="6224">
      <formula>$H274="SUBETAPA"</formula>
    </cfRule>
  </conditionalFormatting>
  <conditionalFormatting sqref="L275:L276">
    <cfRule type="expression" dxfId="4402" priority="6225">
      <formula>$H275="ETAPA"</formula>
    </cfRule>
  </conditionalFormatting>
  <conditionalFormatting sqref="L275:L279">
    <cfRule type="expression" dxfId="4401" priority="6214">
      <formula>$H275="CÉLULA CONSTRUTIVA"</formula>
    </cfRule>
  </conditionalFormatting>
  <conditionalFormatting sqref="L277">
    <cfRule type="expression" dxfId="4400" priority="6221">
      <formula>$H277="SUBETAPA"</formula>
    </cfRule>
    <cfRule type="expression" dxfId="4399" priority="6222">
      <formula>$H277="ETAPA"</formula>
    </cfRule>
  </conditionalFormatting>
  <conditionalFormatting sqref="L278">
    <cfRule type="expression" dxfId="4398" priority="6219">
      <formula>$H278="ETAPA"</formula>
    </cfRule>
    <cfRule type="expression" dxfId="4397" priority="6218">
      <formula>$H278="SUBETAPA"</formula>
    </cfRule>
  </conditionalFormatting>
  <conditionalFormatting sqref="L279">
    <cfRule type="expression" dxfId="4396" priority="6216">
      <formula>$H279="ETAPA"</formula>
    </cfRule>
    <cfRule type="expression" dxfId="4395" priority="6215">
      <formula>$H279="SUBETAPA"</formula>
    </cfRule>
  </conditionalFormatting>
  <conditionalFormatting sqref="L282">
    <cfRule type="expression" dxfId="4394" priority="6213">
      <formula>$H282="ETAPA"</formula>
    </cfRule>
    <cfRule type="expression" dxfId="4393" priority="6212">
      <formula>$H282="SUBETAPA"</formula>
    </cfRule>
  </conditionalFormatting>
  <conditionalFormatting sqref="L284">
    <cfRule type="expression" dxfId="4392" priority="6210">
      <formula>$H284="ETAPA"</formula>
    </cfRule>
    <cfRule type="expression" dxfId="4391" priority="6209">
      <formula>$H284="SUBETAPA"</formula>
    </cfRule>
  </conditionalFormatting>
  <conditionalFormatting sqref="L286">
    <cfRule type="expression" dxfId="4390" priority="6207">
      <formula>$H286="ETAPA"</formula>
    </cfRule>
    <cfRule type="expression" dxfId="4389" priority="6206">
      <formula>$H286="SUBETAPA"</formula>
    </cfRule>
  </conditionalFormatting>
  <conditionalFormatting sqref="L288">
    <cfRule type="expression" dxfId="4388" priority="6204">
      <formula>$H288="ETAPA"</formula>
    </cfRule>
    <cfRule type="expression" dxfId="4387" priority="6203">
      <formula>$H288="SUBETAPA"</formula>
    </cfRule>
  </conditionalFormatting>
  <conditionalFormatting sqref="L290">
    <cfRule type="expression" dxfId="4386" priority="6201">
      <formula>$H290="ETAPA"</formula>
    </cfRule>
    <cfRule type="expression" dxfId="4385" priority="6200">
      <formula>$H290="SUBETAPA"</formula>
    </cfRule>
  </conditionalFormatting>
  <conditionalFormatting sqref="L292">
    <cfRule type="expression" dxfId="4384" priority="6198">
      <formula>$H292="ETAPA"</formula>
    </cfRule>
    <cfRule type="expression" dxfId="4383" priority="6197">
      <formula>$H292="SUBETAPA"</formula>
    </cfRule>
  </conditionalFormatting>
  <conditionalFormatting sqref="L294">
    <cfRule type="expression" dxfId="4382" priority="6195">
      <formula>$H294="ETAPA"</formula>
    </cfRule>
    <cfRule type="expression" dxfId="4381" priority="6194">
      <formula>$H294="SUBETAPA"</formula>
    </cfRule>
  </conditionalFormatting>
  <conditionalFormatting sqref="L296">
    <cfRule type="expression" dxfId="4380" priority="6191">
      <formula>$H296="SUBETAPA"</formula>
    </cfRule>
    <cfRule type="expression" dxfId="4379" priority="6192">
      <formula>$H296="ETAPA"</formula>
    </cfRule>
  </conditionalFormatting>
  <conditionalFormatting sqref="L298">
    <cfRule type="expression" dxfId="4378" priority="6189">
      <formula>$H298="ETAPA"</formula>
    </cfRule>
    <cfRule type="expression" dxfId="4377" priority="6188">
      <formula>$H298="SUBETAPA"</formula>
    </cfRule>
  </conditionalFormatting>
  <conditionalFormatting sqref="L300">
    <cfRule type="expression" dxfId="4376" priority="6186">
      <formula>$H300="ETAPA"</formula>
    </cfRule>
    <cfRule type="expression" dxfId="4375" priority="6185">
      <formula>$H300="SUBETAPA"</formula>
    </cfRule>
  </conditionalFormatting>
  <conditionalFormatting sqref="L302">
    <cfRule type="expression" dxfId="4374" priority="6183">
      <formula>$H302="ETAPA"</formula>
    </cfRule>
    <cfRule type="expression" dxfId="4373" priority="6182">
      <formula>$H302="SUBETAPA"</formula>
    </cfRule>
  </conditionalFormatting>
  <conditionalFormatting sqref="L304">
    <cfRule type="expression" dxfId="4372" priority="6179">
      <formula>$H304="SUBETAPA"</formula>
    </cfRule>
    <cfRule type="expression" dxfId="4371" priority="6180">
      <formula>$H304="ETAPA"</formula>
    </cfRule>
  </conditionalFormatting>
  <conditionalFormatting sqref="L306">
    <cfRule type="expression" dxfId="4370" priority="6177">
      <formula>$H306="ETAPA"</formula>
    </cfRule>
    <cfRule type="expression" dxfId="4369" priority="6176">
      <formula>$H306="SUBETAPA"</formula>
    </cfRule>
  </conditionalFormatting>
  <conditionalFormatting sqref="L308">
    <cfRule type="expression" dxfId="4368" priority="6174">
      <formula>$H308="ETAPA"</formula>
    </cfRule>
    <cfRule type="expression" dxfId="4367" priority="6173">
      <formula>$H308="SUBETAPA"</formula>
    </cfRule>
  </conditionalFormatting>
  <conditionalFormatting sqref="L310">
    <cfRule type="expression" dxfId="4366" priority="6171">
      <formula>$H310="ETAPA"</formula>
    </cfRule>
    <cfRule type="expression" dxfId="4365" priority="6170">
      <formula>$H310="SUBETAPA"</formula>
    </cfRule>
  </conditionalFormatting>
  <conditionalFormatting sqref="L312">
    <cfRule type="expression" dxfId="4364" priority="6166">
      <formula>$H312="CÉLULA CONSTRUTIVA"</formula>
    </cfRule>
    <cfRule type="expression" dxfId="4363" priority="6168">
      <formula>$H312="ETAPA"</formula>
    </cfRule>
    <cfRule type="expression" dxfId="4362" priority="6167">
      <formula>$H312="SUBETAPA"</formula>
    </cfRule>
  </conditionalFormatting>
  <conditionalFormatting sqref="L359">
    <cfRule type="expression" dxfId="4361" priority="6165">
      <formula>$H359="ETAPA"</formula>
    </cfRule>
    <cfRule type="expression" dxfId="4360" priority="6164">
      <formula>$H359="SUBETAPA"</formula>
    </cfRule>
  </conditionalFormatting>
  <conditionalFormatting sqref="L361 L363 L365 L367 L369 L371 L373 L375 L377">
    <cfRule type="expression" dxfId="4359" priority="6162">
      <formula>$H361="ETAPA"</formula>
    </cfRule>
    <cfRule type="expression" dxfId="4358" priority="6161">
      <formula>$H361="SUBETAPA"</formula>
    </cfRule>
  </conditionalFormatting>
  <conditionalFormatting sqref="L574">
    <cfRule type="expression" dxfId="4357" priority="6066">
      <formula>$H574="ETAPA"</formula>
    </cfRule>
  </conditionalFormatting>
  <conditionalFormatting sqref="L585">
    <cfRule type="expression" dxfId="4356" priority="6065">
      <formula>$H585="ETAPA"</formula>
    </cfRule>
  </conditionalFormatting>
  <conditionalFormatting sqref="L920">
    <cfRule type="expression" dxfId="4355" priority="6064">
      <formula>$H920="ETAPA"</formula>
    </cfRule>
    <cfRule type="expression" dxfId="4354" priority="6063">
      <formula>$H920="SUBETAPA"</formula>
    </cfRule>
  </conditionalFormatting>
  <conditionalFormatting sqref="L920:L921">
    <cfRule type="expression" dxfId="4353" priority="6059">
      <formula>$H920="CÉLULA CONSTRUTIVA"</formula>
    </cfRule>
  </conditionalFormatting>
  <conditionalFormatting sqref="L921">
    <cfRule type="expression" dxfId="4352" priority="6060">
      <formula>$H921="SUBETAPA"</formula>
    </cfRule>
  </conditionalFormatting>
  <conditionalFormatting sqref="L921:L922">
    <cfRule type="expression" dxfId="4351" priority="6061">
      <formula>$H921="ETAPA"</formula>
    </cfRule>
  </conditionalFormatting>
  <conditionalFormatting sqref="L925">
    <cfRule type="expression" dxfId="4350" priority="6058">
      <formula>$H925="ETAPA"</formula>
    </cfRule>
    <cfRule type="expression" dxfId="4349" priority="6057">
      <formula>$H925="SUBETAPA"</formula>
    </cfRule>
  </conditionalFormatting>
  <conditionalFormatting sqref="L925:L926">
    <cfRule type="expression" dxfId="4348" priority="6053">
      <formula>$H925="CÉLULA CONSTRUTIVA"</formula>
    </cfRule>
  </conditionalFormatting>
  <conditionalFormatting sqref="L926">
    <cfRule type="expression" dxfId="4347" priority="6054">
      <formula>$H926="SUBETAPA"</formula>
    </cfRule>
  </conditionalFormatting>
  <conditionalFormatting sqref="L926:L927">
    <cfRule type="expression" dxfId="4346" priority="6055">
      <formula>$H926="ETAPA"</formula>
    </cfRule>
  </conditionalFormatting>
  <conditionalFormatting sqref="L930">
    <cfRule type="expression" dxfId="4345" priority="6052">
      <formula>$H930="ETAPA"</formula>
    </cfRule>
    <cfRule type="expression" dxfId="4344" priority="6051">
      <formula>$H930="SUBETAPA"</formula>
    </cfRule>
  </conditionalFormatting>
  <conditionalFormatting sqref="L930:L931">
    <cfRule type="expression" dxfId="4343" priority="6047">
      <formula>$H930="CÉLULA CONSTRUTIVA"</formula>
    </cfRule>
  </conditionalFormatting>
  <conditionalFormatting sqref="L931">
    <cfRule type="expression" dxfId="4342" priority="6048">
      <formula>$H931="SUBETAPA"</formula>
    </cfRule>
  </conditionalFormatting>
  <conditionalFormatting sqref="L931:L932">
    <cfRule type="expression" dxfId="4341" priority="6049">
      <formula>$H931="ETAPA"</formula>
    </cfRule>
  </conditionalFormatting>
  <conditionalFormatting sqref="L935">
    <cfRule type="expression" dxfId="4340" priority="6046">
      <formula>$H935="ETAPA"</formula>
    </cfRule>
    <cfRule type="expression" dxfId="4339" priority="6045">
      <formula>$H935="SUBETAPA"</formula>
    </cfRule>
  </conditionalFormatting>
  <conditionalFormatting sqref="L935:L936">
    <cfRule type="expression" dxfId="4338" priority="6041">
      <formula>$H935="CÉLULA CONSTRUTIVA"</formula>
    </cfRule>
  </conditionalFormatting>
  <conditionalFormatting sqref="L936">
    <cfRule type="expression" dxfId="4337" priority="6042">
      <formula>$H936="SUBETAPA"</formula>
    </cfRule>
  </conditionalFormatting>
  <conditionalFormatting sqref="L936:L937">
    <cfRule type="expression" dxfId="4336" priority="6043">
      <formula>$H936="ETAPA"</formula>
    </cfRule>
  </conditionalFormatting>
  <conditionalFormatting sqref="L940">
    <cfRule type="expression" dxfId="4335" priority="6040">
      <formula>$H940="ETAPA"</formula>
    </cfRule>
    <cfRule type="expression" dxfId="4334" priority="6039">
      <formula>$H940="SUBETAPA"</formula>
    </cfRule>
  </conditionalFormatting>
  <conditionalFormatting sqref="L940:L941">
    <cfRule type="expression" dxfId="4333" priority="6035">
      <formula>$H940="CÉLULA CONSTRUTIVA"</formula>
    </cfRule>
  </conditionalFormatting>
  <conditionalFormatting sqref="L941">
    <cfRule type="expression" dxfId="4332" priority="6036">
      <formula>$H941="SUBETAPA"</formula>
    </cfRule>
  </conditionalFormatting>
  <conditionalFormatting sqref="L941:L942">
    <cfRule type="expression" dxfId="4331" priority="6037">
      <formula>$H941="ETAPA"</formula>
    </cfRule>
  </conditionalFormatting>
  <conditionalFormatting sqref="L945">
    <cfRule type="expression" dxfId="4330" priority="6033">
      <formula>$H945="SUBETAPA"</formula>
    </cfRule>
    <cfRule type="expression" dxfId="4329" priority="6034">
      <formula>$H945="ETAPA"</formula>
    </cfRule>
  </conditionalFormatting>
  <conditionalFormatting sqref="L945:L946">
    <cfRule type="expression" dxfId="4328" priority="6029">
      <formula>$H945="CÉLULA CONSTRUTIVA"</formula>
    </cfRule>
  </conditionalFormatting>
  <conditionalFormatting sqref="L946">
    <cfRule type="expression" dxfId="4327" priority="6030">
      <formula>$H946="SUBETAPA"</formula>
    </cfRule>
  </conditionalFormatting>
  <conditionalFormatting sqref="L946:L947">
    <cfRule type="expression" dxfId="4326" priority="6031">
      <formula>$H946="ETAPA"</formula>
    </cfRule>
  </conditionalFormatting>
  <conditionalFormatting sqref="L952">
    <cfRule type="expression" dxfId="4325" priority="6027">
      <formula>$H952="SUBETAPA"</formula>
    </cfRule>
    <cfRule type="expression" dxfId="4324" priority="6028">
      <formula>$H952="ETAPA"</formula>
    </cfRule>
  </conditionalFormatting>
  <conditionalFormatting sqref="L952:L953">
    <cfRule type="expression" dxfId="4323" priority="6023">
      <formula>$H952="CÉLULA CONSTRUTIVA"</formula>
    </cfRule>
  </conditionalFormatting>
  <conditionalFormatting sqref="L953">
    <cfRule type="expression" dxfId="4322" priority="6024">
      <formula>$H953="SUBETAPA"</formula>
    </cfRule>
  </conditionalFormatting>
  <conditionalFormatting sqref="L953:L954">
    <cfRule type="expression" dxfId="4321" priority="6025">
      <formula>$H953="ETAPA"</formula>
    </cfRule>
  </conditionalFormatting>
  <conditionalFormatting sqref="L959">
    <cfRule type="expression" dxfId="4320" priority="6022">
      <formula>$H959="ETAPA"</formula>
    </cfRule>
    <cfRule type="expression" dxfId="4319" priority="6021">
      <formula>$H959="SUBETAPA"</formula>
    </cfRule>
  </conditionalFormatting>
  <conditionalFormatting sqref="L959:L960">
    <cfRule type="expression" dxfId="4318" priority="6017">
      <formula>$H959="CÉLULA CONSTRUTIVA"</formula>
    </cfRule>
  </conditionalFormatting>
  <conditionalFormatting sqref="L960">
    <cfRule type="expression" dxfId="4317" priority="6018">
      <formula>$H960="SUBETAPA"</formula>
    </cfRule>
  </conditionalFormatting>
  <conditionalFormatting sqref="L960:L961">
    <cfRule type="expression" dxfId="4316" priority="6019">
      <formula>$H960="ETAPA"</formula>
    </cfRule>
  </conditionalFormatting>
  <conditionalFormatting sqref="L966">
    <cfRule type="expression" dxfId="4315" priority="6016">
      <formula>$H966="ETAPA"</formula>
    </cfRule>
    <cfRule type="expression" dxfId="4314" priority="6015">
      <formula>$H966="SUBETAPA"</formula>
    </cfRule>
  </conditionalFormatting>
  <conditionalFormatting sqref="L966:L967">
    <cfRule type="expression" dxfId="4313" priority="6011">
      <formula>$H966="CÉLULA CONSTRUTIVA"</formula>
    </cfRule>
  </conditionalFormatting>
  <conditionalFormatting sqref="L967">
    <cfRule type="expression" dxfId="4312" priority="6012">
      <formula>$H967="SUBETAPA"</formula>
    </cfRule>
  </conditionalFormatting>
  <conditionalFormatting sqref="L967:L968">
    <cfRule type="expression" dxfId="4311" priority="6013">
      <formula>$H967="ETAPA"</formula>
    </cfRule>
  </conditionalFormatting>
  <conditionalFormatting sqref="L973">
    <cfRule type="expression" dxfId="4310" priority="6009">
      <formula>$H973="SUBETAPA"</formula>
    </cfRule>
    <cfRule type="expression" dxfId="4309" priority="6010">
      <formula>$H973="ETAPA"</formula>
    </cfRule>
  </conditionalFormatting>
  <conditionalFormatting sqref="L973:L974">
    <cfRule type="expression" dxfId="4308" priority="6005">
      <formula>$H973="CÉLULA CONSTRUTIVA"</formula>
    </cfRule>
  </conditionalFormatting>
  <conditionalFormatting sqref="L974">
    <cfRule type="expression" dxfId="4307" priority="6006">
      <formula>$H974="SUBETAPA"</formula>
    </cfRule>
  </conditionalFormatting>
  <conditionalFormatting sqref="L974:L975">
    <cfRule type="expression" dxfId="4306" priority="6007">
      <formula>$H974="ETAPA"</formula>
    </cfRule>
  </conditionalFormatting>
  <conditionalFormatting sqref="L980">
    <cfRule type="expression" dxfId="4305" priority="6003">
      <formula>$H980="SUBETAPA"</formula>
    </cfRule>
    <cfRule type="expression" dxfId="4304" priority="6004">
      <formula>$H980="ETAPA"</formula>
    </cfRule>
  </conditionalFormatting>
  <conditionalFormatting sqref="L980:L981">
    <cfRule type="expression" dxfId="4303" priority="5999">
      <formula>$H980="CÉLULA CONSTRUTIVA"</formula>
    </cfRule>
  </conditionalFormatting>
  <conditionalFormatting sqref="L981">
    <cfRule type="expression" dxfId="4302" priority="6000">
      <formula>$H981="SUBETAPA"</formula>
    </cfRule>
  </conditionalFormatting>
  <conditionalFormatting sqref="L981:L982">
    <cfRule type="expression" dxfId="4301" priority="6001">
      <formula>$H981="ETAPA"</formula>
    </cfRule>
  </conditionalFormatting>
  <conditionalFormatting sqref="L985">
    <cfRule type="expression" dxfId="4300" priority="5998">
      <formula>$H985="ETAPA"</formula>
    </cfRule>
    <cfRule type="expression" dxfId="4299" priority="5997">
      <formula>$H985="SUBETAPA"</formula>
    </cfRule>
  </conditionalFormatting>
  <conditionalFormatting sqref="L985:L986">
    <cfRule type="expression" dxfId="4298" priority="5993">
      <formula>$H985="CÉLULA CONSTRUTIVA"</formula>
    </cfRule>
  </conditionalFormatting>
  <conditionalFormatting sqref="L986">
    <cfRule type="expression" dxfId="4297" priority="5994">
      <formula>$H986="SUBETAPA"</formula>
    </cfRule>
  </conditionalFormatting>
  <conditionalFormatting sqref="L986:L987">
    <cfRule type="expression" dxfId="4296" priority="5995">
      <formula>$H986="ETAPA"</formula>
    </cfRule>
  </conditionalFormatting>
  <conditionalFormatting sqref="L992">
    <cfRule type="expression" dxfId="4295" priority="5992">
      <formula>$H992="ETAPA"</formula>
    </cfRule>
    <cfRule type="expression" dxfId="4294" priority="5991">
      <formula>$H992="SUBETAPA"</formula>
    </cfRule>
  </conditionalFormatting>
  <conditionalFormatting sqref="L992:L993">
    <cfRule type="expression" dxfId="4293" priority="5987">
      <formula>$H992="CÉLULA CONSTRUTIVA"</formula>
    </cfRule>
  </conditionalFormatting>
  <conditionalFormatting sqref="L993">
    <cfRule type="expression" dxfId="4292" priority="5988">
      <formula>$H993="SUBETAPA"</formula>
    </cfRule>
  </conditionalFormatting>
  <conditionalFormatting sqref="L993:L994">
    <cfRule type="expression" dxfId="4291" priority="5989">
      <formula>$H993="ETAPA"</formula>
    </cfRule>
  </conditionalFormatting>
  <conditionalFormatting sqref="L997">
    <cfRule type="expression" dxfId="4290" priority="5986">
      <formula>$H997="ETAPA"</formula>
    </cfRule>
    <cfRule type="expression" dxfId="4289" priority="5985">
      <formula>$H997="SUBETAPA"</formula>
    </cfRule>
  </conditionalFormatting>
  <conditionalFormatting sqref="L997:L1001">
    <cfRule type="expression" dxfId="4288" priority="5972">
      <formula>$H997="CÉLULA CONSTRUTIVA"</formula>
    </cfRule>
  </conditionalFormatting>
  <conditionalFormatting sqref="L998">
    <cfRule type="expression" dxfId="4287" priority="5982">
      <formula>$H998="SUBETAPA"</formula>
    </cfRule>
    <cfRule type="expression" dxfId="4286" priority="5983">
      <formula>$H998="ETAPA"</formula>
    </cfRule>
  </conditionalFormatting>
  <conditionalFormatting sqref="L999">
    <cfRule type="expression" dxfId="4285" priority="5979">
      <formula>$H999="SUBETAPA"</formula>
    </cfRule>
    <cfRule type="expression" dxfId="4284" priority="5980">
      <formula>$H999="ETAPA"</formula>
    </cfRule>
  </conditionalFormatting>
  <conditionalFormatting sqref="L1000">
    <cfRule type="expression" dxfId="4283" priority="5977">
      <formula>$H1000="ETAPA"</formula>
    </cfRule>
    <cfRule type="expression" dxfId="4282" priority="5976">
      <formula>$H1000="SUBETAPA"</formula>
    </cfRule>
  </conditionalFormatting>
  <conditionalFormatting sqref="L1001">
    <cfRule type="expression" dxfId="4281" priority="5974">
      <formula>$H1001="ETAPA"</formula>
    </cfRule>
    <cfRule type="expression" dxfId="4280" priority="5973">
      <formula>$H1001="SUBETAPA"</formula>
    </cfRule>
  </conditionalFormatting>
  <conditionalFormatting sqref="L1022">
    <cfRule type="expression" dxfId="4279" priority="5971">
      <formula>$H1022="SUBETAPA"</formula>
    </cfRule>
    <cfRule type="expression" dxfId="4278" priority="5970">
      <formula>$H1022="CÉLULA CONSTRUTIVA"</formula>
    </cfRule>
  </conditionalFormatting>
  <conditionalFormatting sqref="L1022:L1024">
    <cfRule type="expression" dxfId="4277" priority="5968">
      <formula>$H1022="ETAPA"</formula>
    </cfRule>
  </conditionalFormatting>
  <conditionalFormatting sqref="L1023:L1024">
    <cfRule type="expression" dxfId="4276" priority="5967">
      <formula>$H1023="SUBETAPA"</formula>
    </cfRule>
  </conditionalFormatting>
  <conditionalFormatting sqref="L1023:L1026">
    <cfRule type="expression" dxfId="4275" priority="5960">
      <formula>$H1023="CÉLULA CONSTRUTIVA"</formula>
    </cfRule>
  </conditionalFormatting>
  <conditionalFormatting sqref="L1025">
    <cfRule type="expression" dxfId="4274" priority="5965">
      <formula>$H1025="ETAPA"</formula>
    </cfRule>
    <cfRule type="expression" dxfId="4273" priority="5964">
      <formula>$H1025="SUBETAPA"</formula>
    </cfRule>
  </conditionalFormatting>
  <conditionalFormatting sqref="L1026">
    <cfRule type="expression" dxfId="4272" priority="5962">
      <formula>$H1026="ETAPA"</formula>
    </cfRule>
    <cfRule type="expression" dxfId="4271" priority="5961">
      <formula>$H1026="SUBETAPA"</formula>
    </cfRule>
  </conditionalFormatting>
  <conditionalFormatting sqref="L1036">
    <cfRule type="expression" dxfId="4270" priority="5959">
      <formula>$H1036="SUBETAPA"</formula>
    </cfRule>
    <cfRule type="expression" dxfId="4269" priority="5958">
      <formula>$H1036="CÉLULA CONSTRUTIVA"</formula>
    </cfRule>
  </conditionalFormatting>
  <conditionalFormatting sqref="L1036:L1038">
    <cfRule type="expression" dxfId="4268" priority="5956">
      <formula>$H1036="ETAPA"</formula>
    </cfRule>
  </conditionalFormatting>
  <conditionalFormatting sqref="L1037:L1038">
    <cfRule type="expression" dxfId="4267" priority="5955">
      <formula>$H1037="SUBETAPA"</formula>
    </cfRule>
  </conditionalFormatting>
  <conditionalFormatting sqref="L1037:L1040">
    <cfRule type="expression" dxfId="4266" priority="5948">
      <formula>$H1037="CÉLULA CONSTRUTIVA"</formula>
    </cfRule>
  </conditionalFormatting>
  <conditionalFormatting sqref="L1039">
    <cfRule type="expression" dxfId="4265" priority="5952">
      <formula>$H1039="SUBETAPA"</formula>
    </cfRule>
    <cfRule type="expression" dxfId="4264" priority="5953">
      <formula>$H1039="ETAPA"</formula>
    </cfRule>
  </conditionalFormatting>
  <conditionalFormatting sqref="L1040">
    <cfRule type="expression" dxfId="4263" priority="5950">
      <formula>$H1040="ETAPA"</formula>
    </cfRule>
    <cfRule type="expression" dxfId="4262" priority="5949">
      <formula>$H1040="SUBETAPA"</formula>
    </cfRule>
  </conditionalFormatting>
  <conditionalFormatting sqref="L1050">
    <cfRule type="expression" dxfId="4261" priority="5946">
      <formula>$H1050="CÉLULA CONSTRUTIVA"</formula>
    </cfRule>
    <cfRule type="expression" dxfId="4260" priority="5947">
      <formula>$H1050="SUBETAPA"</formula>
    </cfRule>
  </conditionalFormatting>
  <conditionalFormatting sqref="L1050:L1052">
    <cfRule type="expression" dxfId="4259" priority="5944">
      <formula>$H1050="ETAPA"</formula>
    </cfRule>
  </conditionalFormatting>
  <conditionalFormatting sqref="L1051:L1052">
    <cfRule type="expression" dxfId="4258" priority="5943">
      <formula>$H1051="SUBETAPA"</formula>
    </cfRule>
  </conditionalFormatting>
  <conditionalFormatting sqref="L1051:L1054">
    <cfRule type="expression" dxfId="4257" priority="5936">
      <formula>$H1051="CÉLULA CONSTRUTIVA"</formula>
    </cfRule>
  </conditionalFormatting>
  <conditionalFormatting sqref="L1053">
    <cfRule type="expression" dxfId="4256" priority="5940">
      <formula>$H1053="SUBETAPA"</formula>
    </cfRule>
    <cfRule type="expression" dxfId="4255" priority="5941">
      <formula>$H1053="ETAPA"</formula>
    </cfRule>
  </conditionalFormatting>
  <conditionalFormatting sqref="L1054">
    <cfRule type="expression" dxfId="4254" priority="5938">
      <formula>$H1054="ETAPA"</formula>
    </cfRule>
    <cfRule type="expression" dxfId="4253" priority="5937">
      <formula>$H1054="SUBETAPA"</formula>
    </cfRule>
  </conditionalFormatting>
  <conditionalFormatting sqref="L1064">
    <cfRule type="expression" dxfId="4252" priority="5935">
      <formula>$H1064="SUBETAPA"</formula>
    </cfRule>
    <cfRule type="expression" dxfId="4251" priority="5934">
      <formula>$H1064="CÉLULA CONSTRUTIVA"</formula>
    </cfRule>
  </conditionalFormatting>
  <conditionalFormatting sqref="L1064:L1066">
    <cfRule type="expression" dxfId="4250" priority="5932">
      <formula>$H1064="ETAPA"</formula>
    </cfRule>
  </conditionalFormatting>
  <conditionalFormatting sqref="L1065:L1066">
    <cfRule type="expression" dxfId="4249" priority="5931">
      <formula>$H1065="SUBETAPA"</formula>
    </cfRule>
  </conditionalFormatting>
  <conditionalFormatting sqref="L1065:L1068">
    <cfRule type="expression" dxfId="4248" priority="5924">
      <formula>$H1065="CÉLULA CONSTRUTIVA"</formula>
    </cfRule>
  </conditionalFormatting>
  <conditionalFormatting sqref="L1067">
    <cfRule type="expression" dxfId="4247" priority="5929">
      <formula>$H1067="ETAPA"</formula>
    </cfRule>
    <cfRule type="expression" dxfId="4246" priority="5928">
      <formula>$H1067="SUBETAPA"</formula>
    </cfRule>
  </conditionalFormatting>
  <conditionalFormatting sqref="L1068">
    <cfRule type="expression" dxfId="4245" priority="5926">
      <formula>$H1068="ETAPA"</formula>
    </cfRule>
    <cfRule type="expression" dxfId="4244" priority="5925">
      <formula>$H1068="SUBETAPA"</formula>
    </cfRule>
  </conditionalFormatting>
  <conditionalFormatting sqref="L1078">
    <cfRule type="expression" dxfId="4243" priority="5922">
      <formula>$H1078="CÉLULA CONSTRUTIVA"</formula>
    </cfRule>
    <cfRule type="expression" dxfId="4242" priority="5923">
      <formula>$H1078="SUBETAPA"</formula>
    </cfRule>
  </conditionalFormatting>
  <conditionalFormatting sqref="L1078:L1080">
    <cfRule type="expression" dxfId="4241" priority="5920">
      <formula>$H1078="ETAPA"</formula>
    </cfRule>
  </conditionalFormatting>
  <conditionalFormatting sqref="L1079:L1080">
    <cfRule type="expression" dxfId="4240" priority="5919">
      <formula>$H1079="SUBETAPA"</formula>
    </cfRule>
  </conditionalFormatting>
  <conditionalFormatting sqref="L1079:L1082">
    <cfRule type="expression" dxfId="4239" priority="5912">
      <formula>$H1079="CÉLULA CONSTRUTIVA"</formula>
    </cfRule>
  </conditionalFormatting>
  <conditionalFormatting sqref="L1081">
    <cfRule type="expression" dxfId="4238" priority="5916">
      <formula>$H1081="SUBETAPA"</formula>
    </cfRule>
    <cfRule type="expression" dxfId="4237" priority="5917">
      <formula>$H1081="ETAPA"</formula>
    </cfRule>
  </conditionalFormatting>
  <conditionalFormatting sqref="L1082">
    <cfRule type="expression" dxfId="4236" priority="5914">
      <formula>$H1082="ETAPA"</formula>
    </cfRule>
    <cfRule type="expression" dxfId="4235" priority="5913">
      <formula>$H1082="SUBETAPA"</formula>
    </cfRule>
  </conditionalFormatting>
  <conditionalFormatting sqref="L1092">
    <cfRule type="expression" dxfId="4234" priority="5911">
      <formula>$H1092="SUBETAPA"</formula>
    </cfRule>
    <cfRule type="expression" dxfId="4233" priority="5910">
      <formula>$H1092="CÉLULA CONSTRUTIVA"</formula>
    </cfRule>
  </conditionalFormatting>
  <conditionalFormatting sqref="L1092:L1094">
    <cfRule type="expression" dxfId="4232" priority="5908">
      <formula>$H1092="ETAPA"</formula>
    </cfRule>
  </conditionalFormatting>
  <conditionalFormatting sqref="L1093:L1094">
    <cfRule type="expression" dxfId="4231" priority="5907">
      <formula>$H1093="SUBETAPA"</formula>
    </cfRule>
  </conditionalFormatting>
  <conditionalFormatting sqref="L1093:L1096">
    <cfRule type="expression" dxfId="4230" priority="5900">
      <formula>$H1093="CÉLULA CONSTRUTIVA"</formula>
    </cfRule>
  </conditionalFormatting>
  <conditionalFormatting sqref="L1095">
    <cfRule type="expression" dxfId="4229" priority="5905">
      <formula>$H1095="ETAPA"</formula>
    </cfRule>
    <cfRule type="expression" dxfId="4228" priority="5904">
      <formula>$H1095="SUBETAPA"</formula>
    </cfRule>
  </conditionalFormatting>
  <conditionalFormatting sqref="L1096">
    <cfRule type="expression" dxfId="4227" priority="5902">
      <formula>$H1096="ETAPA"</formula>
    </cfRule>
    <cfRule type="expression" dxfId="4226" priority="5901">
      <formula>$H1096="SUBETAPA"</formula>
    </cfRule>
  </conditionalFormatting>
  <conditionalFormatting sqref="L1106">
    <cfRule type="expression" dxfId="4225" priority="5899">
      <formula>$H1106="SUBETAPA"</formula>
    </cfRule>
    <cfRule type="expression" dxfId="4224" priority="5898">
      <formula>$H1106="CÉLULA CONSTRUTIVA"</formula>
    </cfRule>
  </conditionalFormatting>
  <conditionalFormatting sqref="L1106:L1108">
    <cfRule type="expression" dxfId="4223" priority="5896">
      <formula>$H1106="ETAPA"</formula>
    </cfRule>
  </conditionalFormatting>
  <conditionalFormatting sqref="L1107:L1108">
    <cfRule type="expression" dxfId="4222" priority="5895">
      <formula>$H1107="SUBETAPA"</formula>
    </cfRule>
  </conditionalFormatting>
  <conditionalFormatting sqref="L1107:L1110">
    <cfRule type="expression" dxfId="4221" priority="5888">
      <formula>$H1107="CÉLULA CONSTRUTIVA"</formula>
    </cfRule>
  </conditionalFormatting>
  <conditionalFormatting sqref="L1109">
    <cfRule type="expression" dxfId="4220" priority="5893">
      <formula>$H1109="ETAPA"</formula>
    </cfRule>
    <cfRule type="expression" dxfId="4219" priority="5892">
      <formula>$H1109="SUBETAPA"</formula>
    </cfRule>
  </conditionalFormatting>
  <conditionalFormatting sqref="L1110">
    <cfRule type="expression" dxfId="4218" priority="5890">
      <formula>$H1110="ETAPA"</formula>
    </cfRule>
    <cfRule type="expression" dxfId="4217" priority="5889">
      <formula>$H1110="SUBETAPA"</formula>
    </cfRule>
  </conditionalFormatting>
  <conditionalFormatting sqref="L1120">
    <cfRule type="expression" dxfId="4216" priority="5887">
      <formula>$H1120="ETAPA"</formula>
    </cfRule>
    <cfRule type="expression" dxfId="4215" priority="5886">
      <formula>$H1120="SUBETAPA"</formula>
    </cfRule>
  </conditionalFormatting>
  <conditionalFormatting sqref="L1121:L1122">
    <cfRule type="expression" dxfId="4214" priority="5884">
      <formula>$H1121="ETAPA"</formula>
    </cfRule>
    <cfRule type="expression" dxfId="4213" priority="5883">
      <formula>$H1121="SUBETAPA"</formula>
    </cfRule>
  </conditionalFormatting>
  <conditionalFormatting sqref="L1123">
    <cfRule type="expression" dxfId="4212" priority="5881">
      <formula>$H1123="ETAPA"</formula>
    </cfRule>
    <cfRule type="expression" dxfId="4211" priority="5880">
      <formula>$H1123="SUBETAPA"</formula>
    </cfRule>
  </conditionalFormatting>
  <conditionalFormatting sqref="L1124">
    <cfRule type="expression" dxfId="4210" priority="5878">
      <formula>$H1124="ETAPA"</formula>
    </cfRule>
    <cfRule type="expression" dxfId="4209" priority="5877">
      <formula>$H1124="SUBETAPA"</formula>
    </cfRule>
  </conditionalFormatting>
  <conditionalFormatting sqref="L1125">
    <cfRule type="expression" dxfId="4208" priority="5875">
      <formula>$H1125="ETAPA"</formula>
    </cfRule>
  </conditionalFormatting>
  <conditionalFormatting sqref="L1126">
    <cfRule type="expression" dxfId="4207" priority="5872">
      <formula>$H1126="ETAPA"</formula>
    </cfRule>
    <cfRule type="expression" dxfId="4206" priority="5871">
      <formula>$H1126="SUBETAPA"</formula>
    </cfRule>
  </conditionalFormatting>
  <conditionalFormatting sqref="L1127">
    <cfRule type="expression" dxfId="4205" priority="5869">
      <formula>$H1127="ETAPA"</formula>
    </cfRule>
    <cfRule type="expression" dxfId="4204" priority="5868">
      <formula>$H1127="SUBETAPA"</formula>
    </cfRule>
  </conditionalFormatting>
  <conditionalFormatting sqref="L1128">
    <cfRule type="expression" dxfId="4203" priority="5866">
      <formula>$H1128="ETAPA"</formula>
    </cfRule>
    <cfRule type="expression" dxfId="4202" priority="5865">
      <formula>$H1128="SUBETAPA"</formula>
    </cfRule>
  </conditionalFormatting>
  <conditionalFormatting sqref="L1131">
    <cfRule type="expression" dxfId="4201" priority="5863">
      <formula>$H1131="ETAPA"</formula>
    </cfRule>
    <cfRule type="expression" dxfId="4200" priority="5861">
      <formula>$H1131="CÉLULA CONSTRUTIVA"</formula>
    </cfRule>
  </conditionalFormatting>
  <conditionalFormatting sqref="L1134">
    <cfRule type="expression" dxfId="4199" priority="5858">
      <formula>$H1134="CÉLULA CONSTRUTIVA"</formula>
    </cfRule>
    <cfRule type="expression" dxfId="4198" priority="5860">
      <formula>$H1134="ETAPA"</formula>
    </cfRule>
  </conditionalFormatting>
  <conditionalFormatting sqref="L1137">
    <cfRule type="expression" dxfId="4197" priority="5855">
      <formula>$H1137="CÉLULA CONSTRUTIVA"</formula>
    </cfRule>
    <cfRule type="expression" dxfId="4196" priority="5857">
      <formula>$H1137="ETAPA"</formula>
    </cfRule>
  </conditionalFormatting>
  <conditionalFormatting sqref="L1140">
    <cfRule type="expression" dxfId="4195" priority="5852">
      <formula>$H1140="CÉLULA CONSTRUTIVA"</formula>
    </cfRule>
    <cfRule type="expression" dxfId="4194" priority="5854">
      <formula>$H1140="ETAPA"</formula>
    </cfRule>
  </conditionalFormatting>
  <conditionalFormatting sqref="L1143">
    <cfRule type="expression" dxfId="4193" priority="5849">
      <formula>$H1143="CÉLULA CONSTRUTIVA"</formula>
    </cfRule>
    <cfRule type="expression" dxfId="4192" priority="5851">
      <formula>$H1143="ETAPA"</formula>
    </cfRule>
  </conditionalFormatting>
  <conditionalFormatting sqref="L1146">
    <cfRule type="expression" dxfId="4191" priority="5847">
      <formula>$H1146="SUBETAPA"</formula>
    </cfRule>
    <cfRule type="expression" dxfId="4190" priority="5848">
      <formula>$H1146="ETAPA"</formula>
    </cfRule>
  </conditionalFormatting>
  <conditionalFormatting sqref="L1147">
    <cfRule type="expression" dxfId="4189" priority="5844">
      <formula>$H1147="SUBETAPA"</formula>
    </cfRule>
    <cfRule type="expression" dxfId="4188" priority="5845">
      <formula>$H1147="ETAPA"</formula>
    </cfRule>
  </conditionalFormatting>
  <conditionalFormatting sqref="L1148">
    <cfRule type="expression" dxfId="4187" priority="5841">
      <formula>$H1148="SUBETAPA"</formula>
    </cfRule>
    <cfRule type="expression" dxfId="4186" priority="5842">
      <formula>$H1148="ETAPA"</formula>
    </cfRule>
  </conditionalFormatting>
  <conditionalFormatting sqref="L1153">
    <cfRule type="expression" dxfId="4185" priority="5839">
      <formula>$H1153="ETAPA"</formula>
    </cfRule>
    <cfRule type="expression" dxfId="4184" priority="5838">
      <formula>$H1153="SUBETAPA"</formula>
    </cfRule>
  </conditionalFormatting>
  <conditionalFormatting sqref="L1154">
    <cfRule type="expression" dxfId="4183" priority="5835">
      <formula>$H1154="SUBETAPA"</formula>
    </cfRule>
    <cfRule type="expression" dxfId="4182" priority="5836">
      <formula>$H1154="ETAPA"</formula>
    </cfRule>
  </conditionalFormatting>
  <conditionalFormatting sqref="L1155">
    <cfRule type="expression" dxfId="4181" priority="5832">
      <formula>$H1155="SUBETAPA"</formula>
    </cfRule>
    <cfRule type="expression" dxfId="4180" priority="5833">
      <formula>$H1155="ETAPA"</formula>
    </cfRule>
  </conditionalFormatting>
  <conditionalFormatting sqref="L1160">
    <cfRule type="expression" dxfId="4179" priority="5830">
      <formula>$H1160="ETAPA"</formula>
    </cfRule>
    <cfRule type="expression" dxfId="4178" priority="5829">
      <formula>$H1160="SUBETAPA"</formula>
    </cfRule>
  </conditionalFormatting>
  <conditionalFormatting sqref="L1161">
    <cfRule type="expression" dxfId="4177" priority="5827">
      <formula>$H1161="ETAPA"</formula>
    </cfRule>
    <cfRule type="expression" dxfId="4176" priority="5826">
      <formula>$H1161="SUBETAPA"</formula>
    </cfRule>
  </conditionalFormatting>
  <conditionalFormatting sqref="L1162">
    <cfRule type="expression" dxfId="4175" priority="5823">
      <formula>$H1162="SUBETAPA"</formula>
    </cfRule>
    <cfRule type="expression" dxfId="4174" priority="5824">
      <formula>$H1162="ETAPA"</formula>
    </cfRule>
  </conditionalFormatting>
  <conditionalFormatting sqref="L1165">
    <cfRule type="expression" dxfId="4173" priority="5821">
      <formula>$H1165="ETAPA"</formula>
    </cfRule>
    <cfRule type="expression" dxfId="4172" priority="5820">
      <formula>$H1165="SUBETAPA"</formula>
    </cfRule>
  </conditionalFormatting>
  <conditionalFormatting sqref="L1166">
    <cfRule type="expression" dxfId="4171" priority="5817">
      <formula>$H1166="SUBETAPA"</formula>
    </cfRule>
    <cfRule type="expression" dxfId="4170" priority="5818">
      <formula>$H1166="ETAPA"</formula>
    </cfRule>
  </conditionalFormatting>
  <conditionalFormatting sqref="L1167">
    <cfRule type="expression" dxfId="4169" priority="5814">
      <formula>$H1167="SUBETAPA"</formula>
    </cfRule>
    <cfRule type="expression" dxfId="4168" priority="5815">
      <formula>$H1167="ETAPA"</formula>
    </cfRule>
  </conditionalFormatting>
  <conditionalFormatting sqref="L1170">
    <cfRule type="expression" dxfId="4167" priority="5812">
      <formula>$H1170="ETAPA"</formula>
    </cfRule>
    <cfRule type="expression" dxfId="4166" priority="5811">
      <formula>$H1170="SUBETAPA"</formula>
    </cfRule>
  </conditionalFormatting>
  <conditionalFormatting sqref="L1171">
    <cfRule type="expression" dxfId="4165" priority="5809">
      <formula>$H1171="ETAPA"</formula>
    </cfRule>
    <cfRule type="expression" dxfId="4164" priority="5808">
      <formula>$H1171="SUBETAPA"</formula>
    </cfRule>
  </conditionalFormatting>
  <conditionalFormatting sqref="L1172">
    <cfRule type="expression" dxfId="4163" priority="5805">
      <formula>$H1172="SUBETAPA"</formula>
    </cfRule>
    <cfRule type="expression" dxfId="4162" priority="5806">
      <formula>$H1172="ETAPA"</formula>
    </cfRule>
  </conditionalFormatting>
  <conditionalFormatting sqref="L1175">
    <cfRule type="expression" dxfId="4161" priority="5803">
      <formula>$H1175="ETAPA"</formula>
    </cfRule>
    <cfRule type="expression" dxfId="4160" priority="5802">
      <formula>$H1175="SUBETAPA"</formula>
    </cfRule>
  </conditionalFormatting>
  <conditionalFormatting sqref="L1176">
    <cfRule type="expression" dxfId="4159" priority="5799">
      <formula>$H1176="SUBETAPA"</formula>
    </cfRule>
    <cfRule type="expression" dxfId="4158" priority="5800">
      <formula>$H1176="ETAPA"</formula>
    </cfRule>
  </conditionalFormatting>
  <conditionalFormatting sqref="L1177">
    <cfRule type="expression" dxfId="4157" priority="5797">
      <formula>$H1177="ETAPA"</formula>
    </cfRule>
    <cfRule type="expression" dxfId="4156" priority="5796">
      <formula>$H1177="SUBETAPA"</formula>
    </cfRule>
  </conditionalFormatting>
  <conditionalFormatting sqref="L1180">
    <cfRule type="expression" dxfId="4155" priority="5794">
      <formula>$H1180="ETAPA"</formula>
    </cfRule>
    <cfRule type="expression" dxfId="4154" priority="5792">
      <formula>$H1180="CÉLULA CONSTRUTIVA"</formula>
    </cfRule>
  </conditionalFormatting>
  <conditionalFormatting sqref="L1187">
    <cfRule type="expression" dxfId="4153" priority="5791">
      <formula>$H1187="CÉLULA CONSTRUTIVA"</formula>
    </cfRule>
  </conditionalFormatting>
  <conditionalFormatting sqref="L1202:L1206">
    <cfRule type="expression" dxfId="4152" priority="5789">
      <formula>$H1202="CÉLULA CONSTRUTIVA"</formula>
    </cfRule>
    <cfRule type="expression" dxfId="4151" priority="5788">
      <formula>$H1202="SUBETAPA"</formula>
    </cfRule>
  </conditionalFormatting>
  <conditionalFormatting sqref="L1231">
    <cfRule type="expression" dxfId="4150" priority="5787">
      <formula>$H1231="CÉLULA CONSTRUTIVA"</formula>
    </cfRule>
  </conditionalFormatting>
  <conditionalFormatting sqref="L1240">
    <cfRule type="expression" dxfId="4149" priority="5786">
      <formula>$H1240="ETAPA"</formula>
    </cfRule>
  </conditionalFormatting>
  <conditionalFormatting sqref="L1240:L1245">
    <cfRule type="expression" dxfId="4148" priority="5785">
      <formula>$H1240="CÉLULA CONSTRUTIVA"</formula>
    </cfRule>
    <cfRule type="expression" dxfId="4147" priority="5784">
      <formula>$H1240="SUBETAPA"</formula>
    </cfRule>
  </conditionalFormatting>
  <conditionalFormatting sqref="L1257:L1258">
    <cfRule type="expression" dxfId="4146" priority="5781">
      <formula>$H1257="CÉLULA CONSTRUTIVA"</formula>
    </cfRule>
  </conditionalFormatting>
  <conditionalFormatting sqref="L1258">
    <cfRule type="expression" dxfId="4145" priority="5782">
      <formula>$H1258="ETAPA"</formula>
    </cfRule>
  </conditionalFormatting>
  <conditionalFormatting sqref="L1271">
    <cfRule type="expression" dxfId="4144" priority="5780">
      <formula>$H1271="ETAPA"</formula>
    </cfRule>
  </conditionalFormatting>
  <conditionalFormatting sqref="L1271:L1278">
    <cfRule type="expression" dxfId="4143" priority="5779">
      <formula>$H1271="CÉLULA CONSTRUTIVA"</formula>
    </cfRule>
    <cfRule type="expression" dxfId="4142" priority="5778">
      <formula>$H1271="SUBETAPA"</formula>
    </cfRule>
  </conditionalFormatting>
  <conditionalFormatting sqref="L1282">
    <cfRule type="expression" dxfId="4141" priority="5777">
      <formula>$H1282="CÉLULA CONSTRUTIVA"</formula>
    </cfRule>
  </conditionalFormatting>
  <conditionalFormatting sqref="L1302">
    <cfRule type="expression" dxfId="4140" priority="5775">
      <formula>$H1302="CÉLULA CONSTRUTIVA"</formula>
    </cfRule>
  </conditionalFormatting>
  <conditionalFormatting sqref="L1341">
    <cfRule type="expression" dxfId="4139" priority="5773">
      <formula>$H1341="CÉLULA CONSTRUTIVA"</formula>
    </cfRule>
  </conditionalFormatting>
  <conditionalFormatting sqref="L1362">
    <cfRule type="expression" dxfId="4138" priority="5771">
      <formula>$H1362="CÉLULA CONSTRUTIVA"</formula>
    </cfRule>
  </conditionalFormatting>
  <conditionalFormatting sqref="L1383">
    <cfRule type="expression" dxfId="4137" priority="5769">
      <formula>$H1383="CÉLULA CONSTRUTIVA"</formula>
    </cfRule>
  </conditionalFormatting>
  <conditionalFormatting sqref="L1387">
    <cfRule type="expression" dxfId="4136" priority="5768">
      <formula>$H1387="ETAPA"</formula>
    </cfRule>
    <cfRule type="expression" dxfId="4135" priority="5767">
      <formula>$H1387="CÉLULA CONSTRUTIVA"</formula>
    </cfRule>
  </conditionalFormatting>
  <conditionalFormatting sqref="L1407">
    <cfRule type="expression" dxfId="4134" priority="5765">
      <formula>$H1407="CÉLULA CONSTRUTIVA"</formula>
    </cfRule>
  </conditionalFormatting>
  <conditionalFormatting sqref="L1435:L1440">
    <cfRule type="expression" dxfId="4133" priority="5561">
      <formula>$H1435="ETAPA"</formula>
    </cfRule>
  </conditionalFormatting>
  <conditionalFormatting sqref="L1446">
    <cfRule type="expression" dxfId="4132" priority="5560">
      <formula>$H1446="ETAPA"</formula>
    </cfRule>
    <cfRule type="expression" dxfId="4131" priority="5559">
      <formula>$H1446="SUBETAPA"</formula>
    </cfRule>
  </conditionalFormatting>
  <conditionalFormatting sqref="L1447">
    <cfRule type="expression" dxfId="4130" priority="5557">
      <formula>$H1447="ETAPA"</formula>
    </cfRule>
  </conditionalFormatting>
  <conditionalFormatting sqref="L1448:L1449 L1458 L1467 L1474 L1482 L1490 L1500 L1508:L1509 L1519:L1520 L1530:L1531 L1541:L1542 L1552:L1553 L1562:L1563">
    <cfRule type="expression" dxfId="4129" priority="10304">
      <formula>$H1448="ETAPA"</formula>
    </cfRule>
  </conditionalFormatting>
  <conditionalFormatting sqref="L1456">
    <cfRule type="expression" dxfId="4128" priority="5556">
      <formula>$H1456="ETAPA"</formula>
    </cfRule>
    <cfRule type="expression" dxfId="4127" priority="5555">
      <formula>$H1456="SUBETAPA"</formula>
    </cfRule>
  </conditionalFormatting>
  <conditionalFormatting sqref="L1457">
    <cfRule type="expression" dxfId="4126" priority="5553">
      <formula>$H1457="ETAPA"</formula>
    </cfRule>
  </conditionalFormatting>
  <conditionalFormatting sqref="L1465">
    <cfRule type="expression" dxfId="4125" priority="5552">
      <formula>$H1465="ETAPA"</formula>
    </cfRule>
    <cfRule type="expression" dxfId="4124" priority="5551">
      <formula>$H1465="SUBETAPA"</formula>
    </cfRule>
  </conditionalFormatting>
  <conditionalFormatting sqref="L1466">
    <cfRule type="expression" dxfId="4123" priority="5549">
      <formula>$H1466="ETAPA"</formula>
    </cfRule>
  </conditionalFormatting>
  <conditionalFormatting sqref="L1472">
    <cfRule type="expression" dxfId="4122" priority="5547">
      <formula>$H1472="SUBETAPA"</formula>
    </cfRule>
    <cfRule type="expression" dxfId="4121" priority="5548">
      <formula>$H1472="ETAPA"</formula>
    </cfRule>
  </conditionalFormatting>
  <conditionalFormatting sqref="L1473">
    <cfRule type="expression" dxfId="4120" priority="5545">
      <formula>$H1473="ETAPA"</formula>
    </cfRule>
  </conditionalFormatting>
  <conditionalFormatting sqref="L1479">
    <cfRule type="expression" dxfId="4119" priority="5543">
      <formula>$H1479="SUBETAPA"</formula>
    </cfRule>
    <cfRule type="expression" dxfId="4118" priority="5544">
      <formula>$H1479="ETAPA"</formula>
    </cfRule>
  </conditionalFormatting>
  <conditionalFormatting sqref="L1480:L1481">
    <cfRule type="expression" dxfId="4117" priority="5540">
      <formula>$H1480="ETAPA"</formula>
    </cfRule>
  </conditionalFormatting>
  <conditionalFormatting sqref="L1481">
    <cfRule type="expression" dxfId="4116" priority="5539">
      <formula>$H1481="SUBETAPA"</formula>
    </cfRule>
  </conditionalFormatting>
  <conditionalFormatting sqref="L1482 L1490 L1500 L1508:L1509 L1519:L1520 L1530:L1531 L1541:L1542 L1552:L1553 L1448:L1449 L1458 L1467 L1474 L1562:L1563">
    <cfRule type="expression" dxfId="4115" priority="10303">
      <formula>$H1448="SUBETAPA"</formula>
    </cfRule>
  </conditionalFormatting>
  <conditionalFormatting sqref="L1487">
    <cfRule type="expression" dxfId="4114" priority="5537">
      <formula>$H1487="ETAPA"</formula>
    </cfRule>
    <cfRule type="expression" dxfId="4113" priority="5536">
      <formula>$H1487="SUBETAPA"</formula>
    </cfRule>
  </conditionalFormatting>
  <conditionalFormatting sqref="L1488:L1489">
    <cfRule type="expression" dxfId="4112" priority="5533">
      <formula>$H1488="ETAPA"</formula>
    </cfRule>
  </conditionalFormatting>
  <conditionalFormatting sqref="L1489">
    <cfRule type="expression" dxfId="4111" priority="5532">
      <formula>$H1489="SUBETAPA"</formula>
    </cfRule>
  </conditionalFormatting>
  <conditionalFormatting sqref="L1497">
    <cfRule type="expression" dxfId="4110" priority="5530">
      <formula>$H1497="ETAPA"</formula>
    </cfRule>
    <cfRule type="expression" dxfId="4109" priority="5529">
      <formula>$H1497="SUBETAPA"</formula>
    </cfRule>
  </conditionalFormatting>
  <conditionalFormatting sqref="L1498:L1499">
    <cfRule type="expression" dxfId="4108" priority="5526">
      <formula>$H1498="ETAPA"</formula>
    </cfRule>
  </conditionalFormatting>
  <conditionalFormatting sqref="L1499">
    <cfRule type="expression" dxfId="4107" priority="5525">
      <formula>$H1499="SUBETAPA"</formula>
    </cfRule>
  </conditionalFormatting>
  <conditionalFormatting sqref="L1505">
    <cfRule type="expression" dxfId="4106" priority="5522">
      <formula>$H1505="SUBETAPA"</formula>
    </cfRule>
    <cfRule type="expression" dxfId="4105" priority="5523">
      <formula>$H1505="ETAPA"</formula>
    </cfRule>
  </conditionalFormatting>
  <conditionalFormatting sqref="L1506:L1507">
    <cfRule type="expression" dxfId="4104" priority="5519">
      <formula>$H1506="ETAPA"</formula>
    </cfRule>
  </conditionalFormatting>
  <conditionalFormatting sqref="L1507">
    <cfRule type="expression" dxfId="4103" priority="5518">
      <formula>$H1507="SUBETAPA"</formula>
    </cfRule>
  </conditionalFormatting>
  <conditionalFormatting sqref="L1516">
    <cfRule type="expression" dxfId="4102" priority="5515">
      <formula>$H1516="SUBETAPA"</formula>
    </cfRule>
    <cfRule type="expression" dxfId="4101" priority="5516">
      <formula>$H1516="ETAPA"</formula>
    </cfRule>
  </conditionalFormatting>
  <conditionalFormatting sqref="L1517:L1518">
    <cfRule type="expression" dxfId="4100" priority="5512">
      <formula>$H1517="ETAPA"</formula>
    </cfRule>
  </conditionalFormatting>
  <conditionalFormatting sqref="L1518">
    <cfRule type="expression" dxfId="4099" priority="5511">
      <formula>$H1518="SUBETAPA"</formula>
    </cfRule>
  </conditionalFormatting>
  <conditionalFormatting sqref="L1527">
    <cfRule type="expression" dxfId="4098" priority="5508">
      <formula>$H1527="SUBETAPA"</formula>
    </cfRule>
    <cfRule type="expression" dxfId="4097" priority="5509">
      <formula>$H1527="ETAPA"</formula>
    </cfRule>
  </conditionalFormatting>
  <conditionalFormatting sqref="L1528:L1529">
    <cfRule type="expression" dxfId="4096" priority="5505">
      <formula>$H1528="ETAPA"</formula>
    </cfRule>
  </conditionalFormatting>
  <conditionalFormatting sqref="L1529">
    <cfRule type="expression" dxfId="4095" priority="5504">
      <formula>$H1529="SUBETAPA"</formula>
    </cfRule>
  </conditionalFormatting>
  <conditionalFormatting sqref="L1538">
    <cfRule type="expression" dxfId="4094" priority="5501">
      <formula>$H1538="SUBETAPA"</formula>
    </cfRule>
    <cfRule type="expression" dxfId="4093" priority="5502">
      <formula>$H1538="ETAPA"</formula>
    </cfRule>
  </conditionalFormatting>
  <conditionalFormatting sqref="L1539:L1540">
    <cfRule type="expression" dxfId="4092" priority="5498">
      <formula>$H1539="ETAPA"</formula>
    </cfRule>
  </conditionalFormatting>
  <conditionalFormatting sqref="L1540">
    <cfRule type="expression" dxfId="4091" priority="5497">
      <formula>$H1540="SUBETAPA"</formula>
    </cfRule>
  </conditionalFormatting>
  <conditionalFormatting sqref="L1549">
    <cfRule type="expression" dxfId="4090" priority="5494">
      <formula>$H1549="SUBETAPA"</formula>
    </cfRule>
    <cfRule type="expression" dxfId="4089" priority="5495">
      <formula>$H1549="ETAPA"</formula>
    </cfRule>
  </conditionalFormatting>
  <conditionalFormatting sqref="L1550:L1551">
    <cfRule type="expression" dxfId="4088" priority="5491">
      <formula>$H1550="ETAPA"</formula>
    </cfRule>
  </conditionalFormatting>
  <conditionalFormatting sqref="L1551">
    <cfRule type="expression" dxfId="4087" priority="5490">
      <formula>$H1551="SUBETAPA"</formula>
    </cfRule>
  </conditionalFormatting>
  <conditionalFormatting sqref="L1560">
    <cfRule type="expression" dxfId="4086" priority="5487">
      <formula>$H1560="SUBETAPA"</formula>
    </cfRule>
    <cfRule type="expression" dxfId="4085" priority="5488">
      <formula>$H1560="ETAPA"</formula>
    </cfRule>
  </conditionalFormatting>
  <conditionalFormatting sqref="L1560:L1561">
    <cfRule type="expression" dxfId="4084" priority="5486">
      <formula>$H1560="CÉLULA CONSTRUTIVA"</formula>
    </cfRule>
  </conditionalFormatting>
  <conditionalFormatting sqref="L1568">
    <cfRule type="expression" dxfId="4083" priority="5485">
      <formula>$H1568="SUBETAPA"</formula>
    </cfRule>
  </conditionalFormatting>
  <conditionalFormatting sqref="L1574">
    <cfRule type="expression" dxfId="4082" priority="5484">
      <formula>$H1574="SUBETAPA"</formula>
    </cfRule>
  </conditionalFormatting>
  <conditionalFormatting sqref="L1580">
    <cfRule type="expression" dxfId="4081" priority="5483">
      <formula>$H1580="SUBETAPA"</formula>
    </cfRule>
  </conditionalFormatting>
  <conditionalFormatting sqref="L1589">
    <cfRule type="expression" dxfId="4080" priority="5482">
      <formula>$H1589="SUBETAPA"</formula>
    </cfRule>
  </conditionalFormatting>
  <conditionalFormatting sqref="L1598">
    <cfRule type="expression" dxfId="4079" priority="5481">
      <formula>$H1598="SUBETAPA"</formula>
    </cfRule>
  </conditionalFormatting>
  <conditionalFormatting sqref="L1602:L1604 M1605:M1608">
    <cfRule type="expression" dxfId="4078" priority="5479">
      <formula>$H1602="ETAPA"</formula>
    </cfRule>
    <cfRule type="expression" dxfId="4077" priority="5480">
      <formula>$H1602="SUBETAPA"</formula>
    </cfRule>
  </conditionalFormatting>
  <conditionalFormatting sqref="L1607">
    <cfRule type="expression" dxfId="4076" priority="5478">
      <formula>$H1607="SUBETAPA"</formula>
    </cfRule>
  </conditionalFormatting>
  <conditionalFormatting sqref="L1608">
    <cfRule type="expression" dxfId="4075" priority="5475">
      <formula>$H1608="SUBETAPA"</formula>
    </cfRule>
  </conditionalFormatting>
  <conditionalFormatting sqref="L1616">
    <cfRule type="expression" dxfId="4074" priority="5474">
      <formula>$H1616="SUBETAPA"</formula>
    </cfRule>
  </conditionalFormatting>
  <conditionalFormatting sqref="L1617">
    <cfRule type="expression" dxfId="4073" priority="5471">
      <formula>$H1617="SUBETAPA"</formula>
    </cfRule>
  </conditionalFormatting>
  <conditionalFormatting sqref="L1620:L1622">
    <cfRule type="expression" dxfId="4072" priority="5470">
      <formula>$H1620="SUBETAPA"</formula>
    </cfRule>
    <cfRule type="expression" dxfId="4071" priority="5469">
      <formula>$H1620="ETAPA"</formula>
    </cfRule>
  </conditionalFormatting>
  <conditionalFormatting sqref="L1623">
    <cfRule type="expression" dxfId="4070" priority="5468">
      <formula>$H1623="SUBETAPA"</formula>
    </cfRule>
  </conditionalFormatting>
  <conditionalFormatting sqref="L1624">
    <cfRule type="expression" dxfId="4069" priority="5465">
      <formula>$H1624="SUBETAPA"</formula>
    </cfRule>
    <cfRule type="expression" dxfId="4068" priority="5466">
      <formula>$H1624="ETAPA"</formula>
    </cfRule>
    <cfRule type="expression" dxfId="4067" priority="5467">
      <formula>$H1624="CÉLULA CONSTRUTIVA"</formula>
    </cfRule>
  </conditionalFormatting>
  <conditionalFormatting sqref="L1625">
    <cfRule type="expression" dxfId="4066" priority="5464">
      <formula>$H1625="ETAPA"</formula>
    </cfRule>
  </conditionalFormatting>
  <conditionalFormatting sqref="L1626 O1628:O1629 J1629:L1629 G1630:M1631 L1632:M1633">
    <cfRule type="expression" dxfId="4065" priority="6920">
      <formula>$H1626="SUBETAPA"</formula>
    </cfRule>
  </conditionalFormatting>
  <conditionalFormatting sqref="L1626 O1628:O1629 J1629:L1629 G1630:M1632 L1633:M1633">
    <cfRule type="expression" dxfId="4064" priority="6921">
      <formula>$H1626="CÉLULA CONSTRUTIVA"</formula>
    </cfRule>
  </conditionalFormatting>
  <conditionalFormatting sqref="L1627">
    <cfRule type="expression" dxfId="4063" priority="5462">
      <formula>$H1627="SUBETAPA"</formula>
    </cfRule>
    <cfRule type="expression" dxfId="4062" priority="5461">
      <formula>$H1627="CÉLULA CONSTRUTIVA"</formula>
    </cfRule>
  </conditionalFormatting>
  <conditionalFormatting sqref="L1635">
    <cfRule type="expression" dxfId="4061" priority="5459">
      <formula>$H1635="SUBETAPA"</formula>
    </cfRule>
    <cfRule type="expression" dxfId="4060" priority="5458">
      <formula>$H1635="CÉLULA CONSTRUTIVA"</formula>
    </cfRule>
  </conditionalFormatting>
  <conditionalFormatting sqref="L1636">
    <cfRule type="expression" dxfId="4059" priority="5457">
      <formula>$H1636="ETAPA"</formula>
    </cfRule>
  </conditionalFormatting>
  <conditionalFormatting sqref="L1637 O1639:O1640 J1640:L1640 G1641:M1642">
    <cfRule type="expression" dxfId="4058" priority="6917">
      <formula>$H1637="SUBETAPA"</formula>
    </cfRule>
  </conditionalFormatting>
  <conditionalFormatting sqref="L1637:L1638">
    <cfRule type="expression" dxfId="4057" priority="5454">
      <formula>$H1637="CÉLULA CONSTRUTIVA"</formula>
    </cfRule>
  </conditionalFormatting>
  <conditionalFormatting sqref="L1638">
    <cfRule type="expression" dxfId="4056" priority="5455">
      <formula>$H1638="SUBETAPA"</formula>
    </cfRule>
  </conditionalFormatting>
  <conditionalFormatting sqref="L1644">
    <cfRule type="expression" dxfId="4055" priority="5452">
      <formula>$H1644="SUBETAPA"</formula>
    </cfRule>
    <cfRule type="expression" dxfId="4054" priority="5451">
      <formula>$H1644="CÉLULA CONSTRUTIVA"</formula>
    </cfRule>
  </conditionalFormatting>
  <conditionalFormatting sqref="L1645">
    <cfRule type="expression" dxfId="4053" priority="5450">
      <formula>$H1645="ETAPA"</formula>
    </cfRule>
  </conditionalFormatting>
  <conditionalFormatting sqref="L1646 O1648:O1649 J1649:L1649 G1650:M1651">
    <cfRule type="expression" dxfId="4052" priority="6913">
      <formula>$H1646="SUBETAPA"</formula>
    </cfRule>
  </conditionalFormatting>
  <conditionalFormatting sqref="L1646:L1647">
    <cfRule type="expression" dxfId="4051" priority="5447">
      <formula>$H1646="CÉLULA CONSTRUTIVA"</formula>
    </cfRule>
  </conditionalFormatting>
  <conditionalFormatting sqref="L1647">
    <cfRule type="expression" dxfId="4050" priority="5448">
      <formula>$H1647="SUBETAPA"</formula>
    </cfRule>
  </conditionalFormatting>
  <conditionalFormatting sqref="L1653">
    <cfRule type="expression" dxfId="4049" priority="5444">
      <formula>$H1653="CÉLULA CONSTRUTIVA"</formula>
    </cfRule>
    <cfRule type="expression" dxfId="4048" priority="5445">
      <formula>$H1653="SUBETAPA"</formula>
    </cfRule>
  </conditionalFormatting>
  <conditionalFormatting sqref="L1654">
    <cfRule type="expression" dxfId="4047" priority="5443">
      <formula>$H1654="ETAPA"</formula>
    </cfRule>
  </conditionalFormatting>
  <conditionalFormatting sqref="L1655 O1657:O1658 J1658:L1658 G1659:M1660">
    <cfRule type="expression" dxfId="4046" priority="6909">
      <formula>$H1655="SUBETAPA"</formula>
    </cfRule>
  </conditionalFormatting>
  <conditionalFormatting sqref="L1655:L1656">
    <cfRule type="expression" dxfId="4045" priority="5440">
      <formula>$H1655="CÉLULA CONSTRUTIVA"</formula>
    </cfRule>
  </conditionalFormatting>
  <conditionalFormatting sqref="L1656">
    <cfRule type="expression" dxfId="4044" priority="5441">
      <formula>$H1656="SUBETAPA"</formula>
    </cfRule>
  </conditionalFormatting>
  <conditionalFormatting sqref="L1662">
    <cfRule type="expression" dxfId="4043" priority="5438">
      <formula>$H1662="SUBETAPA"</formula>
    </cfRule>
    <cfRule type="expression" dxfId="4042" priority="5437">
      <formula>$H1662="CÉLULA CONSTRUTIVA"</formula>
    </cfRule>
  </conditionalFormatting>
  <conditionalFormatting sqref="L1663">
    <cfRule type="expression" dxfId="4041" priority="5436">
      <formula>$H1663="ETAPA"</formula>
    </cfRule>
  </conditionalFormatting>
  <conditionalFormatting sqref="L1664 O1666:O1667 J1667:L1667 G1668:M1669">
    <cfRule type="expression" dxfId="4040" priority="6905">
      <formula>$H1664="SUBETAPA"</formula>
    </cfRule>
  </conditionalFormatting>
  <conditionalFormatting sqref="L1664:L1665">
    <cfRule type="expression" dxfId="4039" priority="5433">
      <formula>$H1664="CÉLULA CONSTRUTIVA"</formula>
    </cfRule>
  </conditionalFormatting>
  <conditionalFormatting sqref="L1665">
    <cfRule type="expression" dxfId="4038" priority="5434">
      <formula>$H1665="SUBETAPA"</formula>
    </cfRule>
  </conditionalFormatting>
  <conditionalFormatting sqref="L1671">
    <cfRule type="expression" dxfId="4037" priority="5430">
      <formula>$H1671="CÉLULA CONSTRUTIVA"</formula>
    </cfRule>
    <cfRule type="expression" dxfId="4036" priority="5431">
      <formula>$H1671="SUBETAPA"</formula>
    </cfRule>
  </conditionalFormatting>
  <conditionalFormatting sqref="L1672">
    <cfRule type="expression" dxfId="4035" priority="5429">
      <formula>$H1672="ETAPA"</formula>
    </cfRule>
  </conditionalFormatting>
  <conditionalFormatting sqref="L1673 O1675:O1676 J1676:L1676 G1677:M1678">
    <cfRule type="expression" dxfId="4034" priority="6901">
      <formula>$H1673="SUBETAPA"</formula>
    </cfRule>
  </conditionalFormatting>
  <conditionalFormatting sqref="L1673:L1674">
    <cfRule type="expression" dxfId="4033" priority="5426">
      <formula>$H1673="CÉLULA CONSTRUTIVA"</formula>
    </cfRule>
  </conditionalFormatting>
  <conditionalFormatting sqref="L1674">
    <cfRule type="expression" dxfId="4032" priority="5427">
      <formula>$H1674="SUBETAPA"</formula>
    </cfRule>
  </conditionalFormatting>
  <conditionalFormatting sqref="L1680">
    <cfRule type="expression" dxfId="4031" priority="5424">
      <formula>$H1680="SUBETAPA"</formula>
    </cfRule>
    <cfRule type="expression" dxfId="4030" priority="5423">
      <formula>$H1680="CÉLULA CONSTRUTIVA"</formula>
    </cfRule>
  </conditionalFormatting>
  <conditionalFormatting sqref="L1681">
    <cfRule type="expression" dxfId="4029" priority="5422">
      <formula>$H1681="ETAPA"</formula>
    </cfRule>
  </conditionalFormatting>
  <conditionalFormatting sqref="L1682 O1684:O1685 J1685:L1685 G1686:M1687 L1688:M1689">
    <cfRule type="expression" dxfId="4028" priority="6896">
      <formula>$H1682="SUBETAPA"</formula>
    </cfRule>
  </conditionalFormatting>
  <conditionalFormatting sqref="L1682 O1684:O1685 J1685:L1685 G1686:M1688 L1689:M1689">
    <cfRule type="expression" dxfId="4027" priority="6897">
      <formula>$H1682="CÉLULA CONSTRUTIVA"</formula>
    </cfRule>
  </conditionalFormatting>
  <conditionalFormatting sqref="L1683">
    <cfRule type="expression" dxfId="4026" priority="5420">
      <formula>$H1683="SUBETAPA"</formula>
    </cfRule>
    <cfRule type="expression" dxfId="4025" priority="5419">
      <formula>$H1683="CÉLULA CONSTRUTIVA"</formula>
    </cfRule>
  </conditionalFormatting>
  <conditionalFormatting sqref="L1691">
    <cfRule type="expression" dxfId="4024" priority="5416">
      <formula>$H1691="CÉLULA CONSTRUTIVA"</formula>
    </cfRule>
    <cfRule type="expression" dxfId="4023" priority="5417">
      <formula>$H1691="SUBETAPA"</formula>
    </cfRule>
  </conditionalFormatting>
  <conditionalFormatting sqref="L1692">
    <cfRule type="expression" dxfId="4022" priority="5415">
      <formula>$H1692="ETAPA"</formula>
    </cfRule>
  </conditionalFormatting>
  <conditionalFormatting sqref="L1693 O1695:O1696 J1696:L1696 G1697:M1698 L1699:M1700">
    <cfRule type="expression" dxfId="4021" priority="6892">
      <formula>$H1693="SUBETAPA"</formula>
    </cfRule>
  </conditionalFormatting>
  <conditionalFormatting sqref="L1693 O1695:O1696 J1696:L1696 G1697:M1699 L1700:M1700">
    <cfRule type="expression" dxfId="4020" priority="6893">
      <formula>$H1693="CÉLULA CONSTRUTIVA"</formula>
    </cfRule>
  </conditionalFormatting>
  <conditionalFormatting sqref="L1694">
    <cfRule type="expression" dxfId="4019" priority="5413">
      <formula>$H1694="SUBETAPA"</formula>
    </cfRule>
    <cfRule type="expression" dxfId="4018" priority="5412">
      <formula>$H1694="CÉLULA CONSTRUTIVA"</formula>
    </cfRule>
  </conditionalFormatting>
  <conditionalFormatting sqref="L1703">
    <cfRule type="expression" dxfId="4017" priority="5411">
      <formula>$H1703="ETAPA"</formula>
    </cfRule>
  </conditionalFormatting>
  <conditionalFormatting sqref="L1704 J1707:L1707 G1708:M1709">
    <cfRule type="expression" dxfId="4016" priority="6888">
      <formula>$H1704="SUBETAPA"</formula>
    </cfRule>
  </conditionalFormatting>
  <conditionalFormatting sqref="L1704:L1705">
    <cfRule type="expression" dxfId="4015" priority="5408">
      <formula>$H1704="CÉLULA CONSTRUTIVA"</formula>
    </cfRule>
  </conditionalFormatting>
  <conditionalFormatting sqref="L1705">
    <cfRule type="expression" dxfId="4014" priority="5409">
      <formula>$H1705="SUBETAPA"</formula>
    </cfRule>
  </conditionalFormatting>
  <conditionalFormatting sqref="L1711">
    <cfRule type="expression" dxfId="4013" priority="5405">
      <formula>$H1711="CÉLULA CONSTRUTIVA"</formula>
    </cfRule>
    <cfRule type="expression" dxfId="4012" priority="5406">
      <formula>$H1711="SUBETAPA"</formula>
    </cfRule>
  </conditionalFormatting>
  <conditionalFormatting sqref="L1712">
    <cfRule type="expression" dxfId="4011" priority="5404">
      <formula>$H1712="ETAPA"</formula>
    </cfRule>
  </conditionalFormatting>
  <conditionalFormatting sqref="L1713 J1716:L1716 G1717:M1718">
    <cfRule type="expression" dxfId="4010" priority="6884">
      <formula>$H1713="SUBETAPA"</formula>
    </cfRule>
  </conditionalFormatting>
  <conditionalFormatting sqref="L1713:L1714">
    <cfRule type="expression" dxfId="4009" priority="5401">
      <formula>$H1713="CÉLULA CONSTRUTIVA"</formula>
    </cfRule>
  </conditionalFormatting>
  <conditionalFormatting sqref="L1714">
    <cfRule type="expression" dxfId="4008" priority="5402">
      <formula>$H1714="SUBETAPA"</formula>
    </cfRule>
  </conditionalFormatting>
  <conditionalFormatting sqref="L1720">
    <cfRule type="expression" dxfId="4007" priority="5399">
      <formula>$H1720="SUBETAPA"</formula>
    </cfRule>
    <cfRule type="expression" dxfId="4006" priority="5398">
      <formula>$H1720="CÉLULA CONSTRUTIVA"</formula>
    </cfRule>
  </conditionalFormatting>
  <conditionalFormatting sqref="L1721">
    <cfRule type="expression" dxfId="4005" priority="5397">
      <formula>$H1721="ETAPA"</formula>
    </cfRule>
  </conditionalFormatting>
  <conditionalFormatting sqref="L1722 J1725:L1725 G1726:M1727">
    <cfRule type="expression" dxfId="4004" priority="6880">
      <formula>$H1722="SUBETAPA"</formula>
    </cfRule>
  </conditionalFormatting>
  <conditionalFormatting sqref="L1722:L1723">
    <cfRule type="expression" dxfId="4003" priority="5394">
      <formula>$H1722="CÉLULA CONSTRUTIVA"</formula>
    </cfRule>
  </conditionalFormatting>
  <conditionalFormatting sqref="L1723">
    <cfRule type="expression" dxfId="4002" priority="5395">
      <formula>$H1723="SUBETAPA"</formula>
    </cfRule>
  </conditionalFormatting>
  <conditionalFormatting sqref="L1729">
    <cfRule type="expression" dxfId="4001" priority="5391">
      <formula>$H1729="CÉLULA CONSTRUTIVA"</formula>
    </cfRule>
    <cfRule type="expression" dxfId="4000" priority="5392">
      <formula>$H1729="SUBETAPA"</formula>
    </cfRule>
  </conditionalFormatting>
  <conditionalFormatting sqref="L1730">
    <cfRule type="expression" dxfId="3999" priority="5390">
      <formula>$H1730="ETAPA"</formula>
    </cfRule>
  </conditionalFormatting>
  <conditionalFormatting sqref="L1731 J1734:L1734 G1735:M1736">
    <cfRule type="expression" dxfId="3998" priority="6876">
      <formula>$H1731="SUBETAPA"</formula>
    </cfRule>
  </conditionalFormatting>
  <conditionalFormatting sqref="L1731:L1732">
    <cfRule type="expression" dxfId="3997" priority="5387">
      <formula>$H1731="CÉLULA CONSTRUTIVA"</formula>
    </cfRule>
  </conditionalFormatting>
  <conditionalFormatting sqref="L1732">
    <cfRule type="expression" dxfId="3996" priority="5388">
      <formula>$H1732="SUBETAPA"</formula>
    </cfRule>
  </conditionalFormatting>
  <conditionalFormatting sqref="L1738">
    <cfRule type="expression" dxfId="3995" priority="5384">
      <formula>$H1738="CÉLULA CONSTRUTIVA"</formula>
    </cfRule>
    <cfRule type="expression" dxfId="3994" priority="5385">
      <formula>$H1738="SUBETAPA"</formula>
    </cfRule>
  </conditionalFormatting>
  <conditionalFormatting sqref="L1739">
    <cfRule type="expression" dxfId="3993" priority="5383">
      <formula>$H1739="ETAPA"</formula>
    </cfRule>
  </conditionalFormatting>
  <conditionalFormatting sqref="L1740 J1743:L1743 G1744:M1745 L1746:M1747">
    <cfRule type="expression" dxfId="3992" priority="6872">
      <formula>$H1740="SUBETAPA"</formula>
    </cfRule>
  </conditionalFormatting>
  <conditionalFormatting sqref="L1740:L1741">
    <cfRule type="expression" dxfId="3991" priority="5380">
      <formula>$H1740="CÉLULA CONSTRUTIVA"</formula>
    </cfRule>
  </conditionalFormatting>
  <conditionalFormatting sqref="L1741">
    <cfRule type="expression" dxfId="3990" priority="5381">
      <formula>$H1741="SUBETAPA"</formula>
    </cfRule>
  </conditionalFormatting>
  <conditionalFormatting sqref="L1750">
    <cfRule type="expression" dxfId="3989" priority="5379">
      <formula>$H1750="ETAPA"</formula>
    </cfRule>
  </conditionalFormatting>
  <conditionalFormatting sqref="L1751 G1755:M1755 J1756:L1757 H1756:H1757">
    <cfRule type="expression" dxfId="3988" priority="5378">
      <formula>$H1751="CÉLULA CONSTRUTIVA"</formula>
    </cfRule>
  </conditionalFormatting>
  <conditionalFormatting sqref="L1751 M1756:M1759 L1756:L1757 L1754:M1755">
    <cfRule type="expression" dxfId="3987" priority="5377">
      <formula>$H1751="SUBETAPA"</formula>
    </cfRule>
  </conditionalFormatting>
  <conditionalFormatting sqref="L1752">
    <cfRule type="expression" dxfId="3986" priority="5375">
      <formula>$H1752="SUBETAPA"</formula>
    </cfRule>
    <cfRule type="expression" dxfId="3985"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4" priority="5328">
      <formula>$H1760="CÉLULA CONSTRUTIVA"</formula>
    </cfRule>
  </conditionalFormatting>
  <conditionalFormatting sqref="L1763 L1765:L1766">
    <cfRule type="expression" dxfId="3983" priority="5373">
      <formula>$H1763="ETAPA"</formula>
    </cfRule>
  </conditionalFormatting>
  <conditionalFormatting sqref="L1797">
    <cfRule type="expression" dxfId="3982" priority="5372">
      <formula>$H1797="ETAPA"</formula>
    </cfRule>
  </conditionalFormatting>
  <conditionalFormatting sqref="L1804 L1806:L1807">
    <cfRule type="expression" dxfId="3981" priority="5371">
      <formula>$H1804="ETAPA"</formula>
    </cfRule>
  </conditionalFormatting>
  <conditionalFormatting sqref="L1813">
    <cfRule type="expression" dxfId="3980" priority="5370">
      <formula>$H1813="ETAPA"</formula>
    </cfRule>
  </conditionalFormatting>
  <conditionalFormatting sqref="L1820">
    <cfRule type="expression" dxfId="3979" priority="5369">
      <formula>$H1820="ETAPA"</formula>
    </cfRule>
  </conditionalFormatting>
  <conditionalFormatting sqref="L1827">
    <cfRule type="expression" dxfId="3978" priority="5368">
      <formula>$H1827="ETAPA"</formula>
    </cfRule>
  </conditionalFormatting>
  <conditionalFormatting sqref="L1834">
    <cfRule type="expression" dxfId="3977" priority="5367">
      <formula>$H1834="ETAPA"</formula>
    </cfRule>
  </conditionalFormatting>
  <conditionalFormatting sqref="L1841 L1851 L1854 L1858 L1860:L1864 L1866:L1867 L1871 L1873:L1874 L1879 L1881">
    <cfRule type="expression" dxfId="3976" priority="5366">
      <formula>$H1841="ETAPA"</formula>
    </cfRule>
  </conditionalFormatting>
  <conditionalFormatting sqref="L1882">
    <cfRule type="expression" dxfId="3975" priority="5362">
      <formula>$H1882="CÉLULA CONSTRUTIVA"</formula>
    </cfRule>
    <cfRule type="expression" dxfId="3974" priority="5361">
      <formula>$H1882="SUBETAPA"</formula>
    </cfRule>
  </conditionalFormatting>
  <conditionalFormatting sqref="L17:M17">
    <cfRule type="expression" dxfId="3973" priority="5360">
      <formula>$H17="SUBETAPA"</formula>
    </cfRule>
  </conditionalFormatting>
  <conditionalFormatting sqref="L37:M38">
    <cfRule type="expression" dxfId="3972" priority="5272">
      <formula>$H37="CÉLULA CONSTRUTIVA"</formula>
    </cfRule>
  </conditionalFormatting>
  <conditionalFormatting sqref="L52:M52">
    <cfRule type="expression" dxfId="3971" priority="5244">
      <formula>$H52="CÉLULA CONSTRUTIVA"</formula>
    </cfRule>
  </conditionalFormatting>
  <conditionalFormatting sqref="L56:M56">
    <cfRule type="expression" dxfId="3970" priority="5232">
      <formula>$H56="CÉLULA CONSTRUTIVA"</formula>
    </cfRule>
  </conditionalFormatting>
  <conditionalFormatting sqref="L80:M83">
    <cfRule type="expression" dxfId="3969" priority="5359">
      <formula>$H80="SUBETAPA"</formula>
    </cfRule>
  </conditionalFormatting>
  <conditionalFormatting sqref="L123:M123">
    <cfRule type="expression" dxfId="3968" priority="5358">
      <formula>$H123="ETAPA"</formula>
    </cfRule>
  </conditionalFormatting>
  <conditionalFormatting sqref="L126:M126">
    <cfRule type="expression" dxfId="3967" priority="5357">
      <formula>$H126="ETAPA"</formula>
    </cfRule>
  </conditionalFormatting>
  <conditionalFormatting sqref="L129:M129">
    <cfRule type="expression" dxfId="3966" priority="5356">
      <formula>$H129="ETAPA"</formula>
    </cfRule>
  </conditionalFormatting>
  <conditionalFormatting sqref="L134:M134">
    <cfRule type="expression" dxfId="3965" priority="5355">
      <formula>$H134="ETAPA"</formula>
    </cfRule>
  </conditionalFormatting>
  <conditionalFormatting sqref="L137:M137">
    <cfRule type="expression" dxfId="3964" priority="5354">
      <formula>$H137="ETAPA"</formula>
    </cfRule>
  </conditionalFormatting>
  <conditionalFormatting sqref="L149:M157">
    <cfRule type="expression" dxfId="3963" priority="5180">
      <formula>$H149="CÉLULA CONSTRUTIVA"</formula>
    </cfRule>
  </conditionalFormatting>
  <conditionalFormatting sqref="L159:M167">
    <cfRule type="expression" dxfId="3962" priority="5173">
      <formula>$H159="CÉLULA CONSTRUTIVA"</formula>
    </cfRule>
  </conditionalFormatting>
  <conditionalFormatting sqref="L169:M176">
    <cfRule type="expression" dxfId="3961" priority="5169">
      <formula>$H169="CÉLULA CONSTRUTIVA"</formula>
    </cfRule>
  </conditionalFormatting>
  <conditionalFormatting sqref="L223:M230">
    <cfRule type="expression" dxfId="3960" priority="5134">
      <formula>$H223="CÉLULA CONSTRUTIVA"</formula>
    </cfRule>
  </conditionalFormatting>
  <conditionalFormatting sqref="L232:M239">
    <cfRule type="expression" dxfId="3959" priority="5130">
      <formula>$H232="CÉLULA CONSTRUTIVA"</formula>
    </cfRule>
  </conditionalFormatting>
  <conditionalFormatting sqref="L241:M248">
    <cfRule type="expression" dxfId="3958" priority="5126">
      <formula>$H241="CÉLULA CONSTRUTIVA"</formula>
    </cfRule>
  </conditionalFormatting>
  <conditionalFormatting sqref="L250:M257">
    <cfRule type="expression" dxfId="3957" priority="5122">
      <formula>$H250="CÉLULA CONSTRUTIVA"</formula>
    </cfRule>
  </conditionalFormatting>
  <conditionalFormatting sqref="L259:M266">
    <cfRule type="expression" dxfId="3956" priority="5118">
      <formula>$H259="CÉLULA CONSTRUTIVA"</formula>
    </cfRule>
  </conditionalFormatting>
  <conditionalFormatting sqref="L280:M280">
    <cfRule type="expression" dxfId="3955" priority="5353">
      <formula>$H280="CÉLULA CONSTRUTIVA"</formula>
    </cfRule>
  </conditionalFormatting>
  <conditionalFormatting sqref="L280:M281">
    <cfRule type="expression" dxfId="3954" priority="5352">
      <formula>$H280="SUBETAPA"</formula>
    </cfRule>
  </conditionalFormatting>
  <conditionalFormatting sqref="L283:M283">
    <cfRule type="expression" dxfId="3953" priority="5350">
      <formula>$H283="CÉLULA CONSTRUTIVA"</formula>
    </cfRule>
  </conditionalFormatting>
  <conditionalFormatting sqref="L285:M285">
    <cfRule type="expression" dxfId="3952" priority="5349">
      <formula>$H285="CÉLULA CONSTRUTIVA"</formula>
    </cfRule>
  </conditionalFormatting>
  <conditionalFormatting sqref="L287:M287">
    <cfRule type="expression" dxfId="3951" priority="5348">
      <formula>$H287="CÉLULA CONSTRUTIVA"</formula>
    </cfRule>
  </conditionalFormatting>
  <conditionalFormatting sqref="L289:M289">
    <cfRule type="expression" dxfId="3950" priority="5347">
      <formula>$H289="CÉLULA CONSTRUTIVA"</formula>
    </cfRule>
  </conditionalFormatting>
  <conditionalFormatting sqref="L291:M291">
    <cfRule type="expression" dxfId="3949" priority="5346">
      <formula>$H291="CÉLULA CONSTRUTIVA"</formula>
    </cfRule>
  </conditionalFormatting>
  <conditionalFormatting sqref="L293:M293">
    <cfRule type="expression" dxfId="3948" priority="5345">
      <formula>$H293="CÉLULA CONSTRUTIVA"</formula>
    </cfRule>
  </conditionalFormatting>
  <conditionalFormatting sqref="L295:M295 N296">
    <cfRule type="expression" dxfId="3947" priority="5343">
      <formula>$H295="SUBETAPA"</formula>
    </cfRule>
    <cfRule type="expression" dxfId="3946" priority="5344">
      <formula>$H295="CÉLULA CONSTRUTIVA"</formula>
    </cfRule>
  </conditionalFormatting>
  <conditionalFormatting sqref="L296:M296">
    <cfRule type="expression" dxfId="3945" priority="5093">
      <formula>$H296="CÉLULA CONSTRUTIVA"</formula>
    </cfRule>
  </conditionalFormatting>
  <conditionalFormatting sqref="L297:M297">
    <cfRule type="expression" dxfId="3944" priority="5342">
      <formula>$H297="CÉLULA CONSTRUTIVA"</formula>
    </cfRule>
  </conditionalFormatting>
  <conditionalFormatting sqref="L299:M299">
    <cfRule type="expression" dxfId="3943" priority="5341">
      <formula>$H299="CÉLULA CONSTRUTIVA"</formula>
    </cfRule>
  </conditionalFormatting>
  <conditionalFormatting sqref="L301:M301">
    <cfRule type="expression" dxfId="3942" priority="5340">
      <formula>$H301="CÉLULA CONSTRUTIVA"</formula>
    </cfRule>
  </conditionalFormatting>
  <conditionalFormatting sqref="L303:M303">
    <cfRule type="expression" dxfId="3941" priority="5339">
      <formula>$H303="CÉLULA CONSTRUTIVA"</formula>
    </cfRule>
  </conditionalFormatting>
  <conditionalFormatting sqref="L305:M305">
    <cfRule type="expression" dxfId="3940" priority="5338">
      <formula>$H305="CÉLULA CONSTRUTIVA"</formula>
    </cfRule>
  </conditionalFormatting>
  <conditionalFormatting sqref="L307:M307">
    <cfRule type="expression" dxfId="3939" priority="5337">
      <formula>$H307="CÉLULA CONSTRUTIVA"</formula>
    </cfRule>
  </conditionalFormatting>
  <conditionalFormatting sqref="L309:M309">
    <cfRule type="expression" dxfId="3938" priority="5336">
      <formula>$H309="CÉLULA CONSTRUTIVA"</formula>
    </cfRule>
  </conditionalFormatting>
  <conditionalFormatting sqref="L311:M311 N312:O312">
    <cfRule type="expression" dxfId="3937" priority="5335">
      <formula>$H311="CÉLULA CONSTRUTIVA"</formula>
    </cfRule>
  </conditionalFormatting>
  <conditionalFormatting sqref="L347:M347">
    <cfRule type="expression" dxfId="3936" priority="5334">
      <formula>$H347="CÉLULA CONSTRUTIVA"</formula>
    </cfRule>
  </conditionalFormatting>
  <conditionalFormatting sqref="L1120:M1128 L1146:M1148 L1153:M1155 L1160:M1162 L1165:M1167 L1170:M1172 L1175:M1177">
    <cfRule type="expression" dxfId="3935" priority="4474">
      <formula>$H1120="CÉLULA CONSTRUTIVA"</formula>
    </cfRule>
  </conditionalFormatting>
  <conditionalFormatting sqref="L1131:M1131">
    <cfRule type="expression" dxfId="3934" priority="5862">
      <formula>$H1131="SUBETAPA"</formula>
    </cfRule>
  </conditionalFormatting>
  <conditionalFormatting sqref="L1134:M1134">
    <cfRule type="expression" dxfId="3933" priority="5859">
      <formula>$H1134="SUBETAPA"</formula>
    </cfRule>
  </conditionalFormatting>
  <conditionalFormatting sqref="L1137:M1137">
    <cfRule type="expression" dxfId="3932" priority="5856">
      <formula>$H1137="SUBETAPA"</formula>
    </cfRule>
  </conditionalFormatting>
  <conditionalFormatting sqref="L1140:M1140">
    <cfRule type="expression" dxfId="3931" priority="5853">
      <formula>$H1140="SUBETAPA"</formula>
    </cfRule>
  </conditionalFormatting>
  <conditionalFormatting sqref="L1143:M1143">
    <cfRule type="expression" dxfId="3930" priority="5850">
      <formula>$H1143="SUBETAPA"</formula>
    </cfRule>
  </conditionalFormatting>
  <conditionalFormatting sqref="L1180:M1180">
    <cfRule type="expression" dxfId="3929" priority="5793">
      <formula>$H1180="SUBETAPA"</formula>
    </cfRule>
  </conditionalFormatting>
  <conditionalFormatting sqref="L1444:M1446 L1454:M1456 L1463:M1465 L1470:M1472 L1477:M1479 L1485:M1487 L1495:M1497 L1503:M1505 L1514:M1516 L1547:M1549 L1558:M1559">
    <cfRule type="expression" dxfId="3928" priority="5330">
      <formula>$H1444="CÉLULA CONSTRUTIVA"</formula>
    </cfRule>
  </conditionalFormatting>
  <conditionalFormatting sqref="L1525:M1527 L1536:M1538">
    <cfRule type="expression" dxfId="3927" priority="5332">
      <formula>$H1525="CÉLULA CONSTRUTIVA"</formula>
    </cfRule>
  </conditionalFormatting>
  <conditionalFormatting sqref="L1536:M1537 L1525:M1526">
    <cfRule type="expression" dxfId="3926" priority="5331">
      <formula>$H1525="SUBETAPA"</formula>
    </cfRule>
  </conditionalFormatting>
  <conditionalFormatting sqref="L1558:M1559 L1547:M1548 L1514:M1515 L1503:M1504 L1495:M1496 L1485:M1486 L1477:M1478 L1470:M1471 L1463:M1464 L1454:M1455 L1444:M1445">
    <cfRule type="expression" dxfId="3925"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4" priority="5327">
      <formula>$H1760="SUBETAPA"</formula>
    </cfRule>
  </conditionalFormatting>
  <conditionalFormatting sqref="L48:N48 N45:O45">
    <cfRule type="expression" dxfId="3923" priority="5326">
      <formula>$H45="SUBETAPA"</formula>
    </cfRule>
  </conditionalFormatting>
  <conditionalFormatting sqref="L62:N62">
    <cfRule type="expression" dxfId="3922" priority="5325">
      <formula>$H62="ETAPA"</formula>
    </cfRule>
  </conditionalFormatting>
  <conditionalFormatting sqref="L65:N65">
    <cfRule type="expression" dxfId="3921" priority="3445">
      <formula>$H65="CÉLULA CONSTRUTIVA"</formula>
    </cfRule>
  </conditionalFormatting>
  <conditionalFormatting sqref="L178:N178">
    <cfRule type="expression" dxfId="3920" priority="5166">
      <formula>$H178="CÉLULA CONSTRUTIVA"</formula>
    </cfRule>
  </conditionalFormatting>
  <conditionalFormatting sqref="L187:N187">
    <cfRule type="expression" dxfId="3919" priority="5160">
      <formula>$H187="CÉLULA CONSTRUTIVA"</formula>
    </cfRule>
  </conditionalFormatting>
  <conditionalFormatting sqref="L196:N196">
    <cfRule type="expression" dxfId="3918" priority="5154">
      <formula>$H196="CÉLULA CONSTRUTIVA"</formula>
    </cfRule>
  </conditionalFormatting>
  <conditionalFormatting sqref="L214:N214">
    <cfRule type="expression" dxfId="3917" priority="5141">
      <formula>$H214="CÉLULA CONSTRUTIVA"</formula>
    </cfRule>
  </conditionalFormatting>
  <conditionalFormatting sqref="L283:N283">
    <cfRule type="expression" dxfId="3916" priority="5324">
      <formula>$H283="ETAPA"</formula>
    </cfRule>
  </conditionalFormatting>
  <conditionalFormatting sqref="L284:N284">
    <cfRule type="expression" dxfId="3915" priority="5111">
      <formula>$H284="CÉLULA CONSTRUTIVA"</formula>
    </cfRule>
  </conditionalFormatting>
  <conditionalFormatting sqref="L285:N285">
    <cfRule type="expression" dxfId="3914" priority="5323">
      <formula>$H285="ETAPA"</formula>
    </cfRule>
  </conditionalFormatting>
  <conditionalFormatting sqref="L286:N286">
    <cfRule type="expression" dxfId="3913" priority="5108">
      <formula>$H286="CÉLULA CONSTRUTIVA"</formula>
    </cfRule>
  </conditionalFormatting>
  <conditionalFormatting sqref="L287:N287">
    <cfRule type="expression" dxfId="3912" priority="5322">
      <formula>$H287="ETAPA"</formula>
    </cfRule>
  </conditionalFormatting>
  <conditionalFormatting sqref="L288:N288">
    <cfRule type="expression" dxfId="3911" priority="5105">
      <formula>$H288="CÉLULA CONSTRUTIVA"</formula>
    </cfRule>
  </conditionalFormatting>
  <conditionalFormatting sqref="L289:N289">
    <cfRule type="expression" dxfId="3910" priority="5321">
      <formula>$H289="ETAPA"</formula>
    </cfRule>
  </conditionalFormatting>
  <conditionalFormatting sqref="L290:N290">
    <cfRule type="expression" dxfId="3909" priority="5102">
      <formula>$H290="CÉLULA CONSTRUTIVA"</formula>
    </cfRule>
  </conditionalFormatting>
  <conditionalFormatting sqref="L291:N291">
    <cfRule type="expression" dxfId="3908" priority="5320">
      <formula>$H291="ETAPA"</formula>
    </cfRule>
  </conditionalFormatting>
  <conditionalFormatting sqref="L292:N292">
    <cfRule type="expression" dxfId="3907" priority="5099">
      <formula>$H292="CÉLULA CONSTRUTIVA"</formula>
    </cfRule>
  </conditionalFormatting>
  <conditionalFormatting sqref="L293:N293">
    <cfRule type="expression" dxfId="3906" priority="5319">
      <formula>$H293="ETAPA"</formula>
    </cfRule>
  </conditionalFormatting>
  <conditionalFormatting sqref="L294:N294">
    <cfRule type="expression" dxfId="3905" priority="5096">
      <formula>$H294="CÉLULA CONSTRUTIVA"</formula>
    </cfRule>
  </conditionalFormatting>
  <conditionalFormatting sqref="L295:N295">
    <cfRule type="expression" dxfId="3904" priority="5318">
      <formula>$H295="ETAPA"</formula>
    </cfRule>
  </conditionalFormatting>
  <conditionalFormatting sqref="L297:N297">
    <cfRule type="expression" dxfId="3903" priority="5317">
      <formula>$H297="ETAPA"</formula>
    </cfRule>
  </conditionalFormatting>
  <conditionalFormatting sqref="L298:N298">
    <cfRule type="expression" dxfId="3902" priority="5090">
      <formula>$H298="CÉLULA CONSTRUTIVA"</formula>
    </cfRule>
  </conditionalFormatting>
  <conditionalFormatting sqref="L299:N299">
    <cfRule type="expression" dxfId="3901" priority="5316">
      <formula>$H299="ETAPA"</formula>
    </cfRule>
  </conditionalFormatting>
  <conditionalFormatting sqref="L300:N300">
    <cfRule type="expression" dxfId="3900" priority="5087">
      <formula>$H300="CÉLULA CONSTRUTIVA"</formula>
    </cfRule>
  </conditionalFormatting>
  <conditionalFormatting sqref="L301:N301">
    <cfRule type="expression" dxfId="3899" priority="5315">
      <formula>$H301="ETAPA"</formula>
    </cfRule>
  </conditionalFormatting>
  <conditionalFormatting sqref="L302:N302">
    <cfRule type="expression" dxfId="3898" priority="5084">
      <formula>$H302="CÉLULA CONSTRUTIVA"</formula>
    </cfRule>
  </conditionalFormatting>
  <conditionalFormatting sqref="L303:N303">
    <cfRule type="expression" dxfId="3897" priority="5314">
      <formula>$H303="ETAPA"</formula>
    </cfRule>
  </conditionalFormatting>
  <conditionalFormatting sqref="L304:N304">
    <cfRule type="expression" dxfId="3896" priority="5081">
      <formula>$H304="CÉLULA CONSTRUTIVA"</formula>
    </cfRule>
  </conditionalFormatting>
  <conditionalFormatting sqref="L305:N305">
    <cfRule type="expression" dxfId="3895" priority="5313">
      <formula>$H305="ETAPA"</formula>
    </cfRule>
  </conditionalFormatting>
  <conditionalFormatting sqref="L306:N306">
    <cfRule type="expression" dxfId="3894" priority="5078">
      <formula>$H306="CÉLULA CONSTRUTIVA"</formula>
    </cfRule>
  </conditionalFormatting>
  <conditionalFormatting sqref="L307:N307">
    <cfRule type="expression" dxfId="3893" priority="5312">
      <formula>$H307="ETAPA"</formula>
    </cfRule>
  </conditionalFormatting>
  <conditionalFormatting sqref="L308:N308">
    <cfRule type="expression" dxfId="3892" priority="5075">
      <formula>$H308="CÉLULA CONSTRUTIVA"</formula>
    </cfRule>
  </conditionalFormatting>
  <conditionalFormatting sqref="L309:N309">
    <cfRule type="expression" dxfId="3891" priority="5311">
      <formula>$H309="ETAPA"</formula>
    </cfRule>
  </conditionalFormatting>
  <conditionalFormatting sqref="L310:N310">
    <cfRule type="expression" dxfId="3890" priority="5072">
      <formula>$H310="CÉLULA CONSTRUTIVA"</formula>
    </cfRule>
  </conditionalFormatting>
  <conditionalFormatting sqref="L311:N311">
    <cfRule type="expression" dxfId="3889" priority="5310">
      <formula>$H311="ETAPA"</formula>
    </cfRule>
  </conditionalFormatting>
  <conditionalFormatting sqref="L347:N347">
    <cfRule type="expression" dxfId="3888" priority="5309">
      <formula>$H347="ETAPA"</formula>
    </cfRule>
  </conditionalFormatting>
  <conditionalFormatting sqref="M20">
    <cfRule type="expression" dxfId="3887" priority="5306">
      <formula>$H20="SUBETAPA"</formula>
    </cfRule>
    <cfRule type="expression" dxfId="3886" priority="5308">
      <formula>$H20="ETAPA"</formula>
    </cfRule>
  </conditionalFormatting>
  <conditionalFormatting sqref="M21:M22">
    <cfRule type="expression" dxfId="3885" priority="5303">
      <formula>$H21="CÉLULA CONSTRUTIVA"</formula>
    </cfRule>
  </conditionalFormatting>
  <conditionalFormatting sqref="M22">
    <cfRule type="expression" dxfId="3884" priority="5302">
      <formula>$H22="SUBETAPA"</formula>
    </cfRule>
    <cfRule type="expression" dxfId="3883" priority="5301">
      <formula>$H22="ETAPA"</formula>
    </cfRule>
    <cfRule type="expression" dxfId="3882" priority="5300">
      <formula>$H22="CÉLULA CONSTRUTIVA"</formula>
    </cfRule>
    <cfRule type="expression" dxfId="3881" priority="5299">
      <formula>$H22="ETAPA"</formula>
    </cfRule>
  </conditionalFormatting>
  <conditionalFormatting sqref="M22:M23">
    <cfRule type="expression" dxfId="3880" priority="5304">
      <formula>$H22="ETAPA"</formula>
    </cfRule>
    <cfRule type="expression" dxfId="3879" priority="5297">
      <formula>$H22="CÉLULA CONSTRUTIVA"</formula>
    </cfRule>
  </conditionalFormatting>
  <conditionalFormatting sqref="M23">
    <cfRule type="expression" dxfId="3878" priority="5296">
      <formula>$H23="SUBETAPA"</formula>
    </cfRule>
  </conditionalFormatting>
  <conditionalFormatting sqref="M26:M30">
    <cfRule type="expression" dxfId="3877" priority="5292">
      <formula>$H26="CÉLULA CONSTRUTIVA"</formula>
    </cfRule>
  </conditionalFormatting>
  <conditionalFormatting sqref="M28:M30">
    <cfRule type="expression" dxfId="3876" priority="5293">
      <formula>$H28="ETAPA"</formula>
    </cfRule>
  </conditionalFormatting>
  <conditionalFormatting sqref="M29">
    <cfRule type="expression" dxfId="3875" priority="5291">
      <formula>$H29="ETAPA"</formula>
    </cfRule>
  </conditionalFormatting>
  <conditionalFormatting sqref="M29:M30">
    <cfRule type="expression" dxfId="3874" priority="5288">
      <formula>$H29="CÉLULA CONSTRUTIVA"</formula>
    </cfRule>
  </conditionalFormatting>
  <conditionalFormatting sqref="M30">
    <cfRule type="expression" dxfId="3873" priority="5289">
      <formula>$H30="ETAPA"</formula>
    </cfRule>
  </conditionalFormatting>
  <conditionalFormatting sqref="M32">
    <cfRule type="expression" dxfId="3872" priority="5287">
      <formula>$H32="ETAPA"</formula>
    </cfRule>
  </conditionalFormatting>
  <conditionalFormatting sqref="M33:M36">
    <cfRule type="expression" dxfId="3871" priority="5285">
      <formula>$H33="ETAPA"</formula>
    </cfRule>
  </conditionalFormatting>
  <conditionalFormatting sqref="M34:M36">
    <cfRule type="expression" dxfId="3870" priority="5284">
      <formula>$H34="CÉLULA CONSTRUTIVA"</formula>
    </cfRule>
  </conditionalFormatting>
  <conditionalFormatting sqref="M35">
    <cfRule type="expression" dxfId="3869" priority="5283">
      <formula>$H35="ETAPA"</formula>
    </cfRule>
  </conditionalFormatting>
  <conditionalFormatting sqref="M35:M37">
    <cfRule type="expression" dxfId="3868" priority="5277">
      <formula>$H35="CÉLULA CONSTRUTIVA"</formula>
    </cfRule>
  </conditionalFormatting>
  <conditionalFormatting sqref="M36">
    <cfRule type="expression" dxfId="3867" priority="5281">
      <formula>$H36="ETAPA"</formula>
    </cfRule>
  </conditionalFormatting>
  <conditionalFormatting sqref="M37">
    <cfRule type="expression" dxfId="3866" priority="5279">
      <formula>$H37="SUBETAPA"</formula>
    </cfRule>
    <cfRule type="expression" dxfId="3865" priority="5278">
      <formula>$H37="ETAPA"</formula>
    </cfRule>
    <cfRule type="expression" dxfId="3864" priority="5276">
      <formula>$H37="ETAPA"</formula>
    </cfRule>
  </conditionalFormatting>
  <conditionalFormatting sqref="M38">
    <cfRule type="expression" dxfId="3863" priority="5273">
      <formula>$H38="ETAPA"</formula>
    </cfRule>
    <cfRule type="expression" dxfId="3862" priority="5271">
      <formula>$H38="ETAPA"</formula>
    </cfRule>
    <cfRule type="expression" dxfId="3861" priority="5270">
      <formula>$H38="CÉLULA CONSTRUTIVA"</formula>
    </cfRule>
    <cfRule type="expression" dxfId="3860" priority="5274">
      <formula>$H38="SUBETAPA"</formula>
    </cfRule>
  </conditionalFormatting>
  <conditionalFormatting sqref="M40">
    <cfRule type="expression" dxfId="3859" priority="5269">
      <formula>$H40="SUBETAPA"</formula>
    </cfRule>
    <cfRule type="expression" dxfId="3858" priority="5268">
      <formula>$H40="ETAPA"</formula>
    </cfRule>
    <cfRule type="expression" dxfId="3857" priority="5266">
      <formula>$H40="ETAPA"</formula>
    </cfRule>
    <cfRule type="expression" dxfId="3856" priority="5265">
      <formula>$H40="CÉLULA CONSTRUTIVA"</formula>
    </cfRule>
  </conditionalFormatting>
  <conditionalFormatting sqref="M42:M45">
    <cfRule type="expression" dxfId="3855" priority="5262">
      <formula>$H42="CÉLULA CONSTRUTIVA"</formula>
    </cfRule>
  </conditionalFormatting>
  <conditionalFormatting sqref="M44:M45 M48">
    <cfRule type="expression" dxfId="3854" priority="5263">
      <formula>$H44="ETAPA"</formula>
    </cfRule>
  </conditionalFormatting>
  <conditionalFormatting sqref="M45">
    <cfRule type="expression" dxfId="3853" priority="5261">
      <formula>$H45="ETAPA"</formula>
    </cfRule>
  </conditionalFormatting>
  <conditionalFormatting sqref="M45:M46">
    <cfRule type="expression" dxfId="3852" priority="5257">
      <formula>$H45="CÉLULA CONSTRUTIVA"</formula>
    </cfRule>
  </conditionalFormatting>
  <conditionalFormatting sqref="M46">
    <cfRule type="expression" dxfId="3851" priority="5259">
      <formula>$H46="SUBETAPA"</formula>
    </cfRule>
    <cfRule type="expression" dxfId="3850" priority="5256">
      <formula>$H46="ETAPA"</formula>
    </cfRule>
  </conditionalFormatting>
  <conditionalFormatting sqref="M46:M48">
    <cfRule type="expression" dxfId="3849" priority="5252">
      <formula>$H46="CÉLULA CONSTRUTIVA"</formula>
    </cfRule>
  </conditionalFormatting>
  <conditionalFormatting sqref="M47">
    <cfRule type="expression" dxfId="3848" priority="5254">
      <formula>$H47="SUBETAPA"</formula>
    </cfRule>
    <cfRule type="expression" dxfId="3847" priority="5253">
      <formula>$H47="ETAPA"</formula>
    </cfRule>
    <cfRule type="expression" dxfId="3846" priority="5251">
      <formula>$H47="ETAPA"</formula>
    </cfRule>
  </conditionalFormatting>
  <conditionalFormatting sqref="M48">
    <cfRule type="expression" dxfId="3845" priority="5249">
      <formula>$H48="ETAPA"</formula>
    </cfRule>
    <cfRule type="expression" dxfId="3844" priority="5248">
      <formula>$H48="CÉLULA CONSTRUTIVA"</formula>
    </cfRule>
  </conditionalFormatting>
  <conditionalFormatting sqref="M50">
    <cfRule type="expression" dxfId="3843" priority="5247">
      <formula>$H50="ETAPA"</formula>
    </cfRule>
  </conditionalFormatting>
  <conditionalFormatting sqref="M52">
    <cfRule type="expression" dxfId="3842" priority="5245">
      <formula>$H52="ETAPA"</formula>
    </cfRule>
  </conditionalFormatting>
  <conditionalFormatting sqref="M53">
    <cfRule type="expression" dxfId="3841" priority="5243">
      <formula>$H53="SUBETAPA"</formula>
    </cfRule>
    <cfRule type="expression" dxfId="3840" priority="5241">
      <formula>$H53="CÉLULA CONSTRUTIVA"</formula>
    </cfRule>
    <cfRule type="expression" dxfId="3839" priority="5240">
      <formula>$H53="ETAPA"</formula>
    </cfRule>
  </conditionalFormatting>
  <conditionalFormatting sqref="M53:M54">
    <cfRule type="expression" dxfId="3838" priority="5236">
      <formula>$H53="CÉLULA CONSTRUTIVA"</formula>
    </cfRule>
  </conditionalFormatting>
  <conditionalFormatting sqref="M54">
    <cfRule type="expression" dxfId="3837" priority="5235">
      <formula>$H54="ETAPA"</formula>
    </cfRule>
    <cfRule type="expression" dxfId="3836" priority="5234">
      <formula>$H54="CÉLULA CONSTRUTIVA"</formula>
    </cfRule>
    <cfRule type="expression" dxfId="3835" priority="5238">
      <formula>$H54="SUBETAPA"</formula>
    </cfRule>
  </conditionalFormatting>
  <conditionalFormatting sqref="M56">
    <cfRule type="expression" dxfId="3834" priority="5233">
      <formula>$H56="ETAPA"</formula>
    </cfRule>
  </conditionalFormatting>
  <conditionalFormatting sqref="M57">
    <cfRule type="expression" dxfId="3833" priority="5229">
      <formula>$H57="SUBETAPA"</formula>
    </cfRule>
    <cfRule type="expression" dxfId="3832" priority="5230">
      <formula>$H57="CÉLULA CONSTRUTIVA"</formula>
    </cfRule>
  </conditionalFormatting>
  <conditionalFormatting sqref="M58">
    <cfRule type="expression" dxfId="3831" priority="5228">
      <formula>$H58="CÉLULA CONSTRUTIVA"</formula>
    </cfRule>
  </conditionalFormatting>
  <conditionalFormatting sqref="M64">
    <cfRule type="expression" dxfId="3830" priority="5227">
      <formula>$H64="ETAPA"</formula>
    </cfRule>
  </conditionalFormatting>
  <conditionalFormatting sqref="M64:M65">
    <cfRule type="expression" dxfId="3829" priority="5223">
      <formula>$H64="CÉLULA CONSTRUTIVA"</formula>
    </cfRule>
  </conditionalFormatting>
  <conditionalFormatting sqref="M65">
    <cfRule type="expression" dxfId="3828" priority="5225">
      <formula>$H65="SUBETAPA"</formula>
    </cfRule>
    <cfRule type="expression" dxfId="3827" priority="5224">
      <formula>$H65="ETAPA"</formula>
    </cfRule>
    <cfRule type="expression" dxfId="3826" priority="5222">
      <formula>$H65="ETAPA"</formula>
    </cfRule>
  </conditionalFormatting>
  <conditionalFormatting sqref="M66:M68">
    <cfRule type="expression" dxfId="3825" priority="5220">
      <formula>$H66="ETAPA"</formula>
    </cfRule>
    <cfRule type="expression" dxfId="3824" priority="5219">
      <formula>$H66="CÉLULA CONSTRUTIVA"</formula>
    </cfRule>
  </conditionalFormatting>
  <conditionalFormatting sqref="M67">
    <cfRule type="expression" dxfId="3823" priority="5218">
      <formula>$H67="ETAPA"</formula>
    </cfRule>
    <cfRule type="expression" dxfId="3822" priority="5217">
      <formula>$H67="CÉLULA CONSTRUTIVA"</formula>
    </cfRule>
  </conditionalFormatting>
  <conditionalFormatting sqref="M77">
    <cfRule type="expression" dxfId="3821" priority="5216">
      <formula>$H77="CÉLULA CONSTRUTIVA"</formula>
    </cfRule>
  </conditionalFormatting>
  <conditionalFormatting sqref="M80:M83 I80:K82">
    <cfRule type="expression" dxfId="3820" priority="7983">
      <formula>$H80="ETAPA"</formula>
    </cfRule>
  </conditionalFormatting>
  <conditionalFormatting sqref="M84">
    <cfRule type="expression" dxfId="3819" priority="5215">
      <formula>$H84="ETAPA"</formula>
    </cfRule>
  </conditionalFormatting>
  <conditionalFormatting sqref="M84:M93">
    <cfRule type="expression" dxfId="3818" priority="5211">
      <formula>$H84="CÉLULA CONSTRUTIVA"</formula>
    </cfRule>
  </conditionalFormatting>
  <conditionalFormatting sqref="M85:M93">
    <cfRule type="expression" dxfId="3817" priority="5213">
      <formula>$H85="ETAPA"</formula>
    </cfRule>
  </conditionalFormatting>
  <conditionalFormatting sqref="M96:M98">
    <cfRule type="expression" dxfId="3816" priority="5209">
      <formula>$H96="CÉLULA CONSTRUTIVA"</formula>
    </cfRule>
  </conditionalFormatting>
  <conditionalFormatting sqref="M97:M98">
    <cfRule type="expression" dxfId="3815" priority="5208">
      <formula>$H97="SUBETAPA"</formula>
    </cfRule>
  </conditionalFormatting>
  <conditionalFormatting sqref="M100:M101">
    <cfRule type="expression" dxfId="3814" priority="5210">
      <formula>$H100="CÉLULA CONSTRUTIVA"</formula>
    </cfRule>
  </conditionalFormatting>
  <conditionalFormatting sqref="M104">
    <cfRule type="expression" dxfId="3813" priority="5207">
      <formula>$H104="CÉLULA CONSTRUTIVA"</formula>
    </cfRule>
  </conditionalFormatting>
  <conditionalFormatting sqref="M106">
    <cfRule type="expression" dxfId="3812" priority="5206">
      <formula>$H106="CÉLULA CONSTRUTIVA"</formula>
    </cfRule>
  </conditionalFormatting>
  <conditionalFormatting sqref="M108">
    <cfRule type="expression" dxfId="3811" priority="5205">
      <formula>$H108="CÉLULA CONSTRUTIVA"</formula>
    </cfRule>
  </conditionalFormatting>
  <conditionalFormatting sqref="M110">
    <cfRule type="expression" dxfId="3810" priority="5204">
      <formula>$H110="CÉLULA CONSTRUTIVA"</formula>
    </cfRule>
  </conditionalFormatting>
  <conditionalFormatting sqref="M112">
    <cfRule type="expression" dxfId="3809" priority="5203">
      <formula>$H112="CÉLULA CONSTRUTIVA"</formula>
    </cfRule>
  </conditionalFormatting>
  <conditionalFormatting sqref="M114">
    <cfRule type="expression" dxfId="3808" priority="5201">
      <formula>$H114="SUBETAPA"</formula>
    </cfRule>
    <cfRule type="expression" dxfId="3807" priority="5202">
      <formula>$H114="CÉLULA CONSTRUTIVA"</formula>
    </cfRule>
  </conditionalFormatting>
  <conditionalFormatting sqref="M116">
    <cfRule type="expression" dxfId="3806" priority="5200">
      <formula>$H116="CÉLULA CONSTRUTIVA"</formula>
    </cfRule>
  </conditionalFormatting>
  <conditionalFormatting sqref="M118">
    <cfRule type="expression" dxfId="3805" priority="5199">
      <formula>$H118="CÉLULA CONSTRUTIVA"</formula>
    </cfRule>
  </conditionalFormatting>
  <conditionalFormatting sqref="M120">
    <cfRule type="expression" dxfId="3804" priority="5198">
      <formula>$H120="CÉLULA CONSTRUTIVA"</formula>
    </cfRule>
  </conditionalFormatting>
  <conditionalFormatting sqref="M122">
    <cfRule type="expression" dxfId="3803" priority="5196">
      <formula>$H122="SUBETAPA"</formula>
    </cfRule>
    <cfRule type="expression" dxfId="3802" priority="5197">
      <formula>$H122="CÉLULA CONSTRUTIVA"</formula>
    </cfRule>
  </conditionalFormatting>
  <conditionalFormatting sqref="M125">
    <cfRule type="expression" dxfId="3801" priority="5195">
      <formula>$H125="CÉLULA CONSTRUTIVA"</formula>
    </cfRule>
    <cfRule type="expression" dxfId="3800" priority="5194">
      <formula>$H125="SUBETAPA"</formula>
    </cfRule>
  </conditionalFormatting>
  <conditionalFormatting sqref="M128">
    <cfRule type="expression" dxfId="3799" priority="5193">
      <formula>$H128="CÉLULA CONSTRUTIVA"</formula>
    </cfRule>
    <cfRule type="expression" dxfId="3798" priority="5192">
      <formula>$H128="SUBETAPA"</formula>
    </cfRule>
  </conditionalFormatting>
  <conditionalFormatting sqref="M131">
    <cfRule type="expression" dxfId="3797" priority="5191">
      <formula>$H131="CÉLULA CONSTRUTIVA"</formula>
    </cfRule>
  </conditionalFormatting>
  <conditionalFormatting sqref="M133">
    <cfRule type="expression" dxfId="3796" priority="5190">
      <formula>$H133="CÉLULA CONSTRUTIVA"</formula>
    </cfRule>
    <cfRule type="expression" dxfId="3795" priority="5189">
      <formula>$H133="SUBETAPA"</formula>
    </cfRule>
  </conditionalFormatting>
  <conditionalFormatting sqref="M136">
    <cfRule type="expression" dxfId="3794" priority="5188">
      <formula>$H136="CÉLULA CONSTRUTIVA"</formula>
    </cfRule>
    <cfRule type="expression" dxfId="3793" priority="5187">
      <formula>$H136="SUBETAPA"</formula>
    </cfRule>
  </conditionalFormatting>
  <conditionalFormatting sqref="M148">
    <cfRule type="expression" dxfId="3792" priority="5186">
      <formula>$H148="SUBETAPA"</formula>
    </cfRule>
  </conditionalFormatting>
  <conditionalFormatting sqref="M149:M156">
    <cfRule type="expression" dxfId="3791" priority="5184">
      <formula>$H149="SUBETAPA"</formula>
    </cfRule>
    <cfRule type="expression" dxfId="3790" priority="5185">
      <formula>$H149="ETAPA"</formula>
    </cfRule>
  </conditionalFormatting>
  <conditionalFormatting sqref="M157">
    <cfRule type="expression" dxfId="3789" priority="5182">
      <formula>$H157="ETAPA"</formula>
    </cfRule>
    <cfRule type="expression" dxfId="3788" priority="5181">
      <formula>$H157="SUBETAPA"</formula>
    </cfRule>
  </conditionalFormatting>
  <conditionalFormatting sqref="M158">
    <cfRule type="expression" dxfId="3787" priority="5179">
      <formula>$H158="SUBETAPA"</formula>
    </cfRule>
  </conditionalFormatting>
  <conditionalFormatting sqref="M159:M166">
    <cfRule type="expression" dxfId="3786" priority="5177">
      <formula>$H159="SUBETAPA"</formula>
    </cfRule>
    <cfRule type="expression" dxfId="3785" priority="5178">
      <formula>$H159="ETAPA"</formula>
    </cfRule>
  </conditionalFormatting>
  <conditionalFormatting sqref="M167">
    <cfRule type="expression" dxfId="3784" priority="5174">
      <formula>$H167="SUBETAPA"</formula>
    </cfRule>
    <cfRule type="expression" dxfId="3783" priority="5175">
      <formula>$H167="ETAPA"</formula>
    </cfRule>
  </conditionalFormatting>
  <conditionalFormatting sqref="M168">
    <cfRule type="expression" dxfId="3782" priority="5172">
      <formula>$H168="SUBETAPA"</formula>
    </cfRule>
  </conditionalFormatting>
  <conditionalFormatting sqref="M169:M176">
    <cfRule type="expression" dxfId="3781" priority="5170">
      <formula>$H169="SUBETAPA"</formula>
    </cfRule>
    <cfRule type="expression" dxfId="3780" priority="5171">
      <formula>$H169="ETAPA"</formula>
    </cfRule>
  </conditionalFormatting>
  <conditionalFormatting sqref="M178">
    <cfRule type="expression" dxfId="3779" priority="5167">
      <formula>$H178="SUBETAPA"</formula>
    </cfRule>
    <cfRule type="expression" dxfId="3778" priority="5168">
      <formula>$H178="ETAPA"</formula>
    </cfRule>
  </conditionalFormatting>
  <conditionalFormatting sqref="M185">
    <cfRule type="expression" dxfId="3777" priority="5164">
      <formula>$H185="SUBETAPA"</formula>
    </cfRule>
    <cfRule type="expression" dxfId="3776" priority="5165">
      <formula>$H185="ETAPA"</formula>
    </cfRule>
  </conditionalFormatting>
  <conditionalFormatting sqref="M187">
    <cfRule type="expression" dxfId="3775" priority="5161">
      <formula>$H187="SUBETAPA"</formula>
    </cfRule>
    <cfRule type="expression" dxfId="3774" priority="5162">
      <formula>$H187="ETAPA"</formula>
    </cfRule>
  </conditionalFormatting>
  <conditionalFormatting sqref="M194">
    <cfRule type="expression" dxfId="3773" priority="5158">
      <formula>$H194="SUBETAPA"</formula>
    </cfRule>
    <cfRule type="expression" dxfId="3772" priority="5159">
      <formula>$H194="ETAPA"</formula>
    </cfRule>
  </conditionalFormatting>
  <conditionalFormatting sqref="M196">
    <cfRule type="expression" dxfId="3771" priority="5156">
      <formula>$H196="ETAPA"</formula>
    </cfRule>
    <cfRule type="expression" dxfId="3770" priority="5155">
      <formula>$H196="SUBETAPA"</formula>
    </cfRule>
  </conditionalFormatting>
  <conditionalFormatting sqref="M203">
    <cfRule type="expression" dxfId="3769" priority="5153">
      <formula>$H203="ETAPA"</formula>
    </cfRule>
    <cfRule type="expression" dxfId="3768" priority="5152">
      <formula>$H203="SUBETAPA"</formula>
    </cfRule>
    <cfRule type="expression" dxfId="3767" priority="5151">
      <formula>$H203="CÉLULA CONSTRUTIVA"</formula>
    </cfRule>
  </conditionalFormatting>
  <conditionalFormatting sqref="M204">
    <cfRule type="expression" dxfId="3766" priority="5150">
      <formula>$H204="SUBETAPA"</formula>
    </cfRule>
  </conditionalFormatting>
  <conditionalFormatting sqref="M205">
    <cfRule type="expression" dxfId="3765" priority="5147">
      <formula>$H205="CÉLULA CONSTRUTIVA"</formula>
    </cfRule>
    <cfRule type="expression" dxfId="3764" priority="5149">
      <formula>$H205="ETAPA"</formula>
    </cfRule>
    <cfRule type="expression" dxfId="3763" priority="5148">
      <formula>$H205="SUBETAPA"</formula>
    </cfRule>
  </conditionalFormatting>
  <conditionalFormatting sqref="M212">
    <cfRule type="expression" dxfId="3762" priority="5145">
      <formula>$H212="SUBETAPA"</formula>
    </cfRule>
    <cfRule type="expression" dxfId="3761" priority="5146">
      <formula>$H212="ETAPA"</formula>
    </cfRule>
  </conditionalFormatting>
  <conditionalFormatting sqref="M214">
    <cfRule type="expression" dxfId="3760" priority="5142">
      <formula>$H214="SUBETAPA"</formula>
    </cfRule>
    <cfRule type="expression" dxfId="3759" priority="5143">
      <formula>$H214="ETAPA"</formula>
    </cfRule>
  </conditionalFormatting>
  <conditionalFormatting sqref="M221">
    <cfRule type="expression" dxfId="3758" priority="5139">
      <formula>$H221="SUBETAPA"</formula>
    </cfRule>
    <cfRule type="expression" dxfId="3757" priority="5140">
      <formula>$H221="ETAPA"</formula>
    </cfRule>
  </conditionalFormatting>
  <conditionalFormatting sqref="M222">
    <cfRule type="expression" dxfId="3756" priority="5137">
      <formula>$H222="SUBETAPA"</formula>
    </cfRule>
  </conditionalFormatting>
  <conditionalFormatting sqref="M223:M230">
    <cfRule type="expression" dxfId="3755" priority="5135">
      <formula>$H223="SUBETAPA"</formula>
    </cfRule>
    <cfRule type="expression" dxfId="3754" priority="5136">
      <formula>$H223="ETAPA"</formula>
    </cfRule>
  </conditionalFormatting>
  <conditionalFormatting sqref="M231">
    <cfRule type="expression" dxfId="3753" priority="5133">
      <formula>$H231="SUBETAPA"</formula>
    </cfRule>
  </conditionalFormatting>
  <conditionalFormatting sqref="M232:M239">
    <cfRule type="expression" dxfId="3752" priority="5131">
      <formula>$H232="SUBETAPA"</formula>
    </cfRule>
    <cfRule type="expression" dxfId="3751" priority="5132">
      <formula>$H232="ETAPA"</formula>
    </cfRule>
  </conditionalFormatting>
  <conditionalFormatting sqref="M240">
    <cfRule type="expression" dxfId="3750" priority="5129">
      <formula>$H240="SUBETAPA"</formula>
    </cfRule>
  </conditionalFormatting>
  <conditionalFormatting sqref="M241:M248">
    <cfRule type="expression" dxfId="3749" priority="5127">
      <formula>$H241="SUBETAPA"</formula>
    </cfRule>
    <cfRule type="expression" dxfId="3748" priority="5128">
      <formula>$H241="ETAPA"</formula>
    </cfRule>
  </conditionalFormatting>
  <conditionalFormatting sqref="M249">
    <cfRule type="expression" dxfId="3747" priority="5125">
      <formula>$H249="SUBETAPA"</formula>
    </cfRule>
  </conditionalFormatting>
  <conditionalFormatting sqref="M250:M257">
    <cfRule type="expression" dxfId="3746" priority="5124">
      <formula>$H250="ETAPA"</formula>
    </cfRule>
    <cfRule type="expression" dxfId="3745" priority="5123">
      <formula>$H250="SUBETAPA"</formula>
    </cfRule>
  </conditionalFormatting>
  <conditionalFormatting sqref="M258">
    <cfRule type="expression" dxfId="3744" priority="5121">
      <formula>$H258="SUBETAPA"</formula>
    </cfRule>
  </conditionalFormatting>
  <conditionalFormatting sqref="M259:M266">
    <cfRule type="expression" dxfId="3743" priority="5119">
      <formula>$H259="SUBETAPA"</formula>
    </cfRule>
    <cfRule type="expression" dxfId="3742" priority="5120">
      <formula>$H259="ETAPA"</formula>
    </cfRule>
  </conditionalFormatting>
  <conditionalFormatting sqref="M267">
    <cfRule type="expression" dxfId="3741" priority="5117">
      <formula>$H267="SUBETAPA"</formula>
    </cfRule>
  </conditionalFormatting>
  <conditionalFormatting sqref="M282">
    <cfRule type="expression" dxfId="3740" priority="5115">
      <formula>$H282="SUBETAPA"</formula>
    </cfRule>
    <cfRule type="expression" dxfId="3739" priority="5116">
      <formula>$H282="ETAPA"</formula>
    </cfRule>
  </conditionalFormatting>
  <conditionalFormatting sqref="M284">
    <cfRule type="expression" dxfId="3738" priority="5113">
      <formula>$H284="ETAPA"</formula>
    </cfRule>
    <cfRule type="expression" dxfId="3737" priority="5112">
      <formula>$H284="SUBETAPA"</formula>
    </cfRule>
  </conditionalFormatting>
  <conditionalFormatting sqref="M286">
    <cfRule type="expression" dxfId="3736" priority="5110">
      <formula>$H286="ETAPA"</formula>
    </cfRule>
    <cfRule type="expression" dxfId="3735" priority="5109">
      <formula>$H286="SUBETAPA"</formula>
    </cfRule>
  </conditionalFormatting>
  <conditionalFormatting sqref="M288">
    <cfRule type="expression" dxfId="3734" priority="5107">
      <formula>$H288="ETAPA"</formula>
    </cfRule>
    <cfRule type="expression" dxfId="3733" priority="5106">
      <formula>$H288="SUBETAPA"</formula>
    </cfRule>
  </conditionalFormatting>
  <conditionalFormatting sqref="M290">
    <cfRule type="expression" dxfId="3732" priority="5104">
      <formula>$H290="ETAPA"</formula>
    </cfRule>
    <cfRule type="expression" dxfId="3731" priority="5103">
      <formula>$H290="SUBETAPA"</formula>
    </cfRule>
  </conditionalFormatting>
  <conditionalFormatting sqref="M292">
    <cfRule type="expression" dxfId="3730" priority="5101">
      <formula>$H292="ETAPA"</formula>
    </cfRule>
    <cfRule type="expression" dxfId="3729" priority="5100">
      <formula>$H292="SUBETAPA"</formula>
    </cfRule>
  </conditionalFormatting>
  <conditionalFormatting sqref="M294">
    <cfRule type="expression" dxfId="3728" priority="5097">
      <formula>$H294="SUBETAPA"</formula>
    </cfRule>
    <cfRule type="expression" dxfId="3727" priority="5098">
      <formula>$H294="ETAPA"</formula>
    </cfRule>
  </conditionalFormatting>
  <conditionalFormatting sqref="M296">
    <cfRule type="expression" dxfId="3726" priority="5095">
      <formula>$H296="ETAPA"</formula>
    </cfRule>
    <cfRule type="expression" dxfId="3725" priority="5094">
      <formula>$H296="SUBETAPA"</formula>
    </cfRule>
  </conditionalFormatting>
  <conditionalFormatting sqref="M298">
    <cfRule type="expression" dxfId="3724" priority="5092">
      <formula>$H298="ETAPA"</formula>
    </cfRule>
    <cfRule type="expression" dxfId="3723" priority="5091">
      <formula>$H298="SUBETAPA"</formula>
    </cfRule>
  </conditionalFormatting>
  <conditionalFormatting sqref="M300">
    <cfRule type="expression" dxfId="3722" priority="5089">
      <formula>$H300="ETAPA"</formula>
    </cfRule>
    <cfRule type="expression" dxfId="3721" priority="5088">
      <formula>$H300="SUBETAPA"</formula>
    </cfRule>
  </conditionalFormatting>
  <conditionalFormatting sqref="M302">
    <cfRule type="expression" dxfId="3720" priority="5086">
      <formula>$H302="ETAPA"</formula>
    </cfRule>
    <cfRule type="expression" dxfId="3719" priority="5085">
      <formula>$H302="SUBETAPA"</formula>
    </cfRule>
  </conditionalFormatting>
  <conditionalFormatting sqref="M304">
    <cfRule type="expression" dxfId="3718" priority="5082">
      <formula>$H304="SUBETAPA"</formula>
    </cfRule>
    <cfRule type="expression" dxfId="3717" priority="5083">
      <formula>$H304="ETAPA"</formula>
    </cfRule>
  </conditionalFormatting>
  <conditionalFormatting sqref="M306">
    <cfRule type="expression" dxfId="3716" priority="5079">
      <formula>$H306="SUBETAPA"</formula>
    </cfRule>
    <cfRule type="expression" dxfId="3715" priority="5080">
      <formula>$H306="ETAPA"</formula>
    </cfRule>
  </conditionalFormatting>
  <conditionalFormatting sqref="M308">
    <cfRule type="expression" dxfId="3714" priority="5077">
      <formula>$H308="ETAPA"</formula>
    </cfRule>
    <cfRule type="expression" dxfId="3713" priority="5076">
      <formula>$H308="SUBETAPA"</formula>
    </cfRule>
  </conditionalFormatting>
  <conditionalFormatting sqref="M310">
    <cfRule type="expression" dxfId="3712" priority="5073">
      <formula>$H310="SUBETAPA"</formula>
    </cfRule>
    <cfRule type="expression" dxfId="3711" priority="5074">
      <formula>$H310="ETAPA"</formula>
    </cfRule>
  </conditionalFormatting>
  <conditionalFormatting sqref="M312">
    <cfRule type="expression" dxfId="3710" priority="5070">
      <formula>$H312="SUBETAPA"</formula>
    </cfRule>
    <cfRule type="expression" dxfId="3709" priority="5071">
      <formula>$H312="ETAPA"</formula>
    </cfRule>
  </conditionalFormatting>
  <conditionalFormatting sqref="M312:M313">
    <cfRule type="expression" dxfId="3708" priority="5068">
      <formula>$H312="CÉLULA CONSTRUTIVA"</formula>
    </cfRule>
  </conditionalFormatting>
  <conditionalFormatting sqref="M313:M314">
    <cfRule type="expression" dxfId="3707" priority="5067">
      <formula>$H313="SUBETAPA"</formula>
    </cfRule>
  </conditionalFormatting>
  <conditionalFormatting sqref="M314:M316">
    <cfRule type="expression" dxfId="3706" priority="5062">
      <formula>$H314="CÉLULA CONSTRUTIVA"</formula>
    </cfRule>
  </conditionalFormatting>
  <conditionalFormatting sqref="M315">
    <cfRule type="expression" dxfId="3705" priority="5064">
      <formula>$H315="SUBETAPA"</formula>
    </cfRule>
    <cfRule type="expression" dxfId="3704" priority="5065">
      <formula>$H315="ETAPA"</formula>
    </cfRule>
  </conditionalFormatting>
  <conditionalFormatting sqref="M316">
    <cfRule type="expression" dxfId="3703" priority="5061">
      <formula>$H316="SUBETAPA"</formula>
    </cfRule>
  </conditionalFormatting>
  <conditionalFormatting sqref="M317">
    <cfRule type="expression" dxfId="3702" priority="5059">
      <formula>$H317="SUBETAPA"</formula>
    </cfRule>
    <cfRule type="expression" dxfId="3701" priority="5060">
      <formula>$H317="ETAPA"</formula>
    </cfRule>
  </conditionalFormatting>
  <conditionalFormatting sqref="M317:M318">
    <cfRule type="expression" dxfId="3700" priority="5057">
      <formula>$H317="CÉLULA CONSTRUTIVA"</formula>
    </cfRule>
  </conditionalFormatting>
  <conditionalFormatting sqref="M318">
    <cfRule type="expression" dxfId="3699" priority="5056">
      <formula>$H318="SUBETAPA"</formula>
    </cfRule>
  </conditionalFormatting>
  <conditionalFormatting sqref="M319">
    <cfRule type="expression" dxfId="3698" priority="5055">
      <formula>$H319="ETAPA"</formula>
    </cfRule>
    <cfRule type="expression" dxfId="3697" priority="5054">
      <formula>$H319="SUBETAPA"</formula>
    </cfRule>
  </conditionalFormatting>
  <conditionalFormatting sqref="M319:M320">
    <cfRule type="expression" dxfId="3696" priority="5052">
      <formula>$H319="CÉLULA CONSTRUTIVA"</formula>
    </cfRule>
  </conditionalFormatting>
  <conditionalFormatting sqref="M320">
    <cfRule type="expression" dxfId="3695" priority="5051">
      <formula>$H320="SUBETAPA"</formula>
    </cfRule>
  </conditionalFormatting>
  <conditionalFormatting sqref="M321">
    <cfRule type="expression" dxfId="3694" priority="5050">
      <formula>$H321="ETAPA"</formula>
    </cfRule>
    <cfRule type="expression" dxfId="3693" priority="5049">
      <formula>$H321="SUBETAPA"</formula>
    </cfRule>
  </conditionalFormatting>
  <conditionalFormatting sqref="M321:M322">
    <cfRule type="expression" dxfId="3692" priority="5047">
      <formula>$H321="CÉLULA CONSTRUTIVA"</formula>
    </cfRule>
  </conditionalFormatting>
  <conditionalFormatting sqref="M322">
    <cfRule type="expression" dxfId="3691" priority="5046">
      <formula>$H322="SUBETAPA"</formula>
    </cfRule>
  </conditionalFormatting>
  <conditionalFormatting sqref="M323">
    <cfRule type="expression" dxfId="3690" priority="5045">
      <formula>$H323="ETAPA"</formula>
    </cfRule>
    <cfRule type="expression" dxfId="3689" priority="5044">
      <formula>$H323="SUBETAPA"</formula>
    </cfRule>
  </conditionalFormatting>
  <conditionalFormatting sqref="M324">
    <cfRule type="expression" dxfId="3688" priority="5041">
      <formula>$H324="SUBETAPA"</formula>
    </cfRule>
    <cfRule type="expression" dxfId="3687" priority="5042">
      <formula>$H324="ETAPA"</formula>
    </cfRule>
  </conditionalFormatting>
  <conditionalFormatting sqref="M324:M326">
    <cfRule type="expression" dxfId="3686" priority="5036">
      <formula>$H324="CÉLULA CONSTRUTIVA"</formula>
    </cfRule>
  </conditionalFormatting>
  <conditionalFormatting sqref="M325">
    <cfRule type="expression" dxfId="3685" priority="5039">
      <formula>$H325="ETAPA"</formula>
    </cfRule>
    <cfRule type="expression" dxfId="3684" priority="5038">
      <formula>$H325="SUBETAPA"</formula>
    </cfRule>
  </conditionalFormatting>
  <conditionalFormatting sqref="M326">
    <cfRule type="expression" dxfId="3683" priority="5035">
      <formula>$H326="SUBETAPA"</formula>
    </cfRule>
  </conditionalFormatting>
  <conditionalFormatting sqref="M327">
    <cfRule type="expression" dxfId="3682" priority="5034">
      <formula>$H327="ETAPA"</formula>
    </cfRule>
    <cfRule type="expression" dxfId="3681" priority="5033">
      <formula>$H327="SUBETAPA"</formula>
    </cfRule>
  </conditionalFormatting>
  <conditionalFormatting sqref="M327:M328">
    <cfRule type="expression" dxfId="3680" priority="5031">
      <formula>$H327="CÉLULA CONSTRUTIVA"</formula>
    </cfRule>
  </conditionalFormatting>
  <conditionalFormatting sqref="M328">
    <cfRule type="expression" dxfId="3679" priority="5030">
      <formula>$H328="SUBETAPA"</formula>
    </cfRule>
  </conditionalFormatting>
  <conditionalFormatting sqref="M329">
    <cfRule type="expression" dxfId="3678" priority="5029">
      <formula>$H329="ETAPA"</formula>
    </cfRule>
    <cfRule type="expression" dxfId="3677" priority="5028">
      <formula>$H329="SUBETAPA"</formula>
    </cfRule>
  </conditionalFormatting>
  <conditionalFormatting sqref="M329:M330">
    <cfRule type="expression" dxfId="3676" priority="5025">
      <formula>$H329="CÉLULA CONSTRUTIVA"</formula>
    </cfRule>
  </conditionalFormatting>
  <conditionalFormatting sqref="M330">
    <cfRule type="expression" dxfId="3675" priority="5026">
      <formula>$H330="ETAPA"</formula>
    </cfRule>
    <cfRule type="expression" dxfId="3674" priority="5024">
      <formula>$H330="SUBETAPA"</formula>
    </cfRule>
  </conditionalFormatting>
  <conditionalFormatting sqref="M331 M345 M333 M335 M337 M339 M341 M343">
    <cfRule type="expression" dxfId="3673" priority="5023">
      <formula>$H331="ETAPA"</formula>
    </cfRule>
  </conditionalFormatting>
  <conditionalFormatting sqref="M332">
    <cfRule type="expression" dxfId="3672" priority="5021">
      <formula>$H332="CÉLULA CONSTRUTIVA"</formula>
    </cfRule>
    <cfRule type="expression" dxfId="3671" priority="5020">
      <formula>$H332="SUBETAPA"</formula>
    </cfRule>
    <cfRule type="expression" dxfId="3670" priority="5022">
      <formula>$H332="ETAPA"</formula>
    </cfRule>
  </conditionalFormatting>
  <conditionalFormatting sqref="M334">
    <cfRule type="expression" dxfId="3669" priority="5018">
      <formula>$H334="CÉLULA CONSTRUTIVA"</formula>
    </cfRule>
    <cfRule type="expression" dxfId="3668" priority="5017">
      <formula>$H334="SUBETAPA"</formula>
    </cfRule>
    <cfRule type="expression" dxfId="3667" priority="5019">
      <formula>$H334="ETAPA"</formula>
    </cfRule>
  </conditionalFormatting>
  <conditionalFormatting sqref="M336">
    <cfRule type="expression" dxfId="3666" priority="5016">
      <formula>$H336="ETAPA"</formula>
    </cfRule>
    <cfRule type="expression" dxfId="3665" priority="5015">
      <formula>$H336="CÉLULA CONSTRUTIVA"</formula>
    </cfRule>
    <cfRule type="expression" dxfId="3664" priority="5014">
      <formula>$H336="SUBETAPA"</formula>
    </cfRule>
  </conditionalFormatting>
  <conditionalFormatting sqref="M338">
    <cfRule type="expression" dxfId="3663" priority="5013">
      <formula>$H338="ETAPA"</formula>
    </cfRule>
    <cfRule type="expression" dxfId="3662" priority="5012">
      <formula>$H338="CÉLULA CONSTRUTIVA"</formula>
    </cfRule>
    <cfRule type="expression" dxfId="3661" priority="5011">
      <formula>$H338="SUBETAPA"</formula>
    </cfRule>
  </conditionalFormatting>
  <conditionalFormatting sqref="M340">
    <cfRule type="expression" dxfId="3660" priority="5010">
      <formula>$H340="CÉLULA CONSTRUTIVA"</formula>
    </cfRule>
    <cfRule type="expression" dxfId="3659" priority="5009">
      <formula>$H340="SUBETAPA"</formula>
    </cfRule>
  </conditionalFormatting>
  <conditionalFormatting sqref="M342">
    <cfRule type="expression" dxfId="3658" priority="5008">
      <formula>$H342="ETAPA"</formula>
    </cfRule>
    <cfRule type="expression" dxfId="3657" priority="5007">
      <formula>$H342="CÉLULA CONSTRUTIVA"</formula>
    </cfRule>
    <cfRule type="expression" dxfId="3656" priority="5006">
      <formula>$H342="SUBETAPA"</formula>
    </cfRule>
  </conditionalFormatting>
  <conditionalFormatting sqref="M344">
    <cfRule type="expression" dxfId="3655" priority="5005">
      <formula>$H344="ETAPA"</formula>
    </cfRule>
    <cfRule type="expression" dxfId="3654" priority="5004">
      <formula>$H344="CÉLULA CONSTRUTIVA"</formula>
    </cfRule>
    <cfRule type="expression" dxfId="3653" priority="5003">
      <formula>$H344="SUBETAPA"</formula>
    </cfRule>
  </conditionalFormatting>
  <conditionalFormatting sqref="M345 M331 M333 M335 M337 M339 M341 M343">
    <cfRule type="expression" dxfId="3652" priority="5002">
      <formula>$H331="SUBETAPA"</formula>
    </cfRule>
  </conditionalFormatting>
  <conditionalFormatting sqref="M345:M346">
    <cfRule type="expression" dxfId="3651" priority="5000">
      <formula>$H345="CÉLULA CONSTRUTIVA"</formula>
    </cfRule>
  </conditionalFormatting>
  <conditionalFormatting sqref="M349">
    <cfRule type="expression" dxfId="3650" priority="4999">
      <formula>$H349="CÉLULA CONSTRUTIVA"</formula>
    </cfRule>
  </conditionalFormatting>
  <conditionalFormatting sqref="M349:M350">
    <cfRule type="expression" dxfId="3649" priority="4998">
      <formula>$H349="SUBETAPA"</formula>
    </cfRule>
  </conditionalFormatting>
  <conditionalFormatting sqref="M350">
    <cfRule type="expression" dxfId="3648" priority="4997">
      <formula>$H350="ETAPA"</formula>
    </cfRule>
  </conditionalFormatting>
  <conditionalFormatting sqref="M350:M351 N352:O352">
    <cfRule type="expression" dxfId="3647" priority="4995">
      <formula>$H350="CÉLULA CONSTRUTIVA"</formula>
    </cfRule>
  </conditionalFormatting>
  <conditionalFormatting sqref="M351:M352">
    <cfRule type="expression" dxfId="3646" priority="4994">
      <formula>$H351="SUBETAPA"</formula>
    </cfRule>
  </conditionalFormatting>
  <conditionalFormatting sqref="M352">
    <cfRule type="expression" dxfId="3645" priority="4993">
      <formula>$H352="ETAPA"</formula>
    </cfRule>
  </conditionalFormatting>
  <conditionalFormatting sqref="M352:M353">
    <cfRule type="expression" dxfId="3644" priority="4991">
      <formula>$H352="CÉLULA CONSTRUTIVA"</formula>
    </cfRule>
  </conditionalFormatting>
  <conditionalFormatting sqref="M353:M354">
    <cfRule type="expression" dxfId="3643" priority="4990">
      <formula>$H353="SUBETAPA"</formula>
    </cfRule>
  </conditionalFormatting>
  <conditionalFormatting sqref="M354">
    <cfRule type="expression" dxfId="3642" priority="4989">
      <formula>$H354="ETAPA"</formula>
    </cfRule>
  </conditionalFormatting>
  <conditionalFormatting sqref="M354:M355">
    <cfRule type="expression" dxfId="3641" priority="4987">
      <formula>$H354="CÉLULA CONSTRUTIVA"</formula>
    </cfRule>
  </conditionalFormatting>
  <conditionalFormatting sqref="M355:M356">
    <cfRule type="expression" dxfId="3640" priority="4986">
      <formula>$H355="SUBETAPA"</formula>
    </cfRule>
  </conditionalFormatting>
  <conditionalFormatting sqref="M356">
    <cfRule type="expression" dxfId="3639" priority="4985">
      <formula>$H356="ETAPA"</formula>
    </cfRule>
  </conditionalFormatting>
  <conditionalFormatting sqref="M356:M357">
    <cfRule type="expression" dxfId="3638" priority="4983">
      <formula>$H356="CÉLULA CONSTRUTIVA"</formula>
    </cfRule>
  </conditionalFormatting>
  <conditionalFormatting sqref="M357:M358">
    <cfRule type="expression" dxfId="3637" priority="4982">
      <formula>$H357="SUBETAPA"</formula>
    </cfRule>
  </conditionalFormatting>
  <conditionalFormatting sqref="M358">
    <cfRule type="expression" dxfId="3636" priority="4981">
      <formula>$H358="ETAPA"</formula>
    </cfRule>
  </conditionalFormatting>
  <conditionalFormatting sqref="M359 N360">
    <cfRule type="expression" dxfId="3635" priority="4978">
      <formula>$H359="SUBETAPA"</formula>
    </cfRule>
  </conditionalFormatting>
  <conditionalFormatting sqref="M360">
    <cfRule type="expression" dxfId="3634" priority="4977">
      <formula>$H360="ETAPA"</formula>
    </cfRule>
    <cfRule type="expression" dxfId="3633" priority="4976">
      <formula>$H360="SUBETAPA"</formula>
    </cfRule>
  </conditionalFormatting>
  <conditionalFormatting sqref="M360:M361 N362">
    <cfRule type="expression" dxfId="3632" priority="4974">
      <formula>$H360="CÉLULA CONSTRUTIVA"</formula>
    </cfRule>
  </conditionalFormatting>
  <conditionalFormatting sqref="M361:M362">
    <cfRule type="expression" dxfId="3631" priority="4973">
      <formula>$H361="SUBETAPA"</formula>
    </cfRule>
  </conditionalFormatting>
  <conditionalFormatting sqref="M362">
    <cfRule type="expression" dxfId="3630" priority="4972">
      <formula>$H362="ETAPA"</formula>
    </cfRule>
  </conditionalFormatting>
  <conditionalFormatting sqref="M362:M363 N364">
    <cfRule type="expression" dxfId="3629" priority="4970">
      <formula>$H362="CÉLULA CONSTRUTIVA"</formula>
    </cfRule>
  </conditionalFormatting>
  <conditionalFormatting sqref="M363:M364">
    <cfRule type="expression" dxfId="3628" priority="4969">
      <formula>$H363="SUBETAPA"</formula>
    </cfRule>
  </conditionalFormatting>
  <conditionalFormatting sqref="M364">
    <cfRule type="expression" dxfId="3627" priority="4968">
      <formula>$H364="ETAPA"</formula>
    </cfRule>
  </conditionalFormatting>
  <conditionalFormatting sqref="M364:M365 N366">
    <cfRule type="expression" dxfId="3626" priority="4966">
      <formula>$H364="CÉLULA CONSTRUTIVA"</formula>
    </cfRule>
  </conditionalFormatting>
  <conditionalFormatting sqref="M365:M366">
    <cfRule type="expression" dxfId="3625" priority="4965">
      <formula>$H365="SUBETAPA"</formula>
    </cfRule>
  </conditionalFormatting>
  <conditionalFormatting sqref="M366">
    <cfRule type="expression" dxfId="3624" priority="4964">
      <formula>$H366="ETAPA"</formula>
    </cfRule>
  </conditionalFormatting>
  <conditionalFormatting sqref="M366:M367 N368">
    <cfRule type="expression" dxfId="3623" priority="4962">
      <formula>$H366="CÉLULA CONSTRUTIVA"</formula>
    </cfRule>
  </conditionalFormatting>
  <conditionalFormatting sqref="M367:M368">
    <cfRule type="expression" dxfId="3622" priority="4961">
      <formula>$H367="SUBETAPA"</formula>
    </cfRule>
  </conditionalFormatting>
  <conditionalFormatting sqref="M368">
    <cfRule type="expression" dxfId="3621" priority="4960">
      <formula>$H368="ETAPA"</formula>
    </cfRule>
  </conditionalFormatting>
  <conditionalFormatting sqref="M368:M369 N370">
    <cfRule type="expression" dxfId="3620" priority="4958">
      <formula>$H368="CÉLULA CONSTRUTIVA"</formula>
    </cfRule>
  </conditionalFormatting>
  <conditionalFormatting sqref="M369:M370">
    <cfRule type="expression" dxfId="3619" priority="4957">
      <formula>$H369="SUBETAPA"</formula>
    </cfRule>
  </conditionalFormatting>
  <conditionalFormatting sqref="M370">
    <cfRule type="expression" dxfId="3618" priority="4956">
      <formula>$H370="ETAPA"</formula>
    </cfRule>
  </conditionalFormatting>
  <conditionalFormatting sqref="M370:M373 N374">
    <cfRule type="expression" dxfId="3617" priority="4950">
      <formula>$H370="CÉLULA CONSTRUTIVA"</formula>
    </cfRule>
  </conditionalFormatting>
  <conditionalFormatting sqref="M372">
    <cfRule type="expression" dxfId="3616" priority="4952">
      <formula>$H372="SUBETAPA"</formula>
    </cfRule>
    <cfRule type="expression" dxfId="3615" priority="4953">
      <formula>$H372="ETAPA"</formula>
    </cfRule>
  </conditionalFormatting>
  <conditionalFormatting sqref="M373 N374">
    <cfRule type="expression" dxfId="3614" priority="4949">
      <formula>$H373="SUBETAPA"</formula>
    </cfRule>
  </conditionalFormatting>
  <conditionalFormatting sqref="M374">
    <cfRule type="expression" dxfId="3613" priority="4948">
      <formula>$H374="ETAPA"</formula>
    </cfRule>
    <cfRule type="expression" dxfId="3612" priority="4947">
      <formula>$H374="SUBETAPA"</formula>
    </cfRule>
  </conditionalFormatting>
  <conditionalFormatting sqref="M374:M375 N376">
    <cfRule type="expression" dxfId="3611" priority="4945">
      <formula>$H374="CÉLULA CONSTRUTIVA"</formula>
    </cfRule>
  </conditionalFormatting>
  <conditionalFormatting sqref="M375 N376">
    <cfRule type="expression" dxfId="3610" priority="4944">
      <formula>$H375="SUBETAPA"</formula>
    </cfRule>
  </conditionalFormatting>
  <conditionalFormatting sqref="M376">
    <cfRule type="expression" dxfId="3609" priority="4942">
      <formula>$H376="SUBETAPA"</formula>
    </cfRule>
    <cfRule type="expression" dxfId="3608" priority="4943">
      <formula>$H376="ETAPA"</formula>
    </cfRule>
  </conditionalFormatting>
  <conditionalFormatting sqref="M376:M377 N378">
    <cfRule type="expression" dxfId="3607" priority="4940">
      <formula>$H376="CÉLULA CONSTRUTIVA"</formula>
    </cfRule>
  </conditionalFormatting>
  <conditionalFormatting sqref="M377 N378">
    <cfRule type="expression" dxfId="3606" priority="4939">
      <formula>$H377="SUBETAPA"</formula>
    </cfRule>
  </conditionalFormatting>
  <conditionalFormatting sqref="M378">
    <cfRule type="expression" dxfId="3605" priority="4938">
      <formula>$H378="ETAPA"</formula>
    </cfRule>
    <cfRule type="expression" dxfId="3604" priority="4937">
      <formula>$H378="SUBETAPA"</formula>
    </cfRule>
  </conditionalFormatting>
  <conditionalFormatting sqref="M378:M379">
    <cfRule type="expression" dxfId="3603" priority="4934">
      <formula>$H378="CÉLULA CONSTRUTIVA"</formula>
    </cfRule>
  </conditionalFormatting>
  <conditionalFormatting sqref="M379">
    <cfRule type="expression" dxfId="3602" priority="4935">
      <formula>$H379="ETAPA"</formula>
    </cfRule>
  </conditionalFormatting>
  <conditionalFormatting sqref="M380:M381">
    <cfRule type="expression" dxfId="3601" priority="4933">
      <formula>$H380="ETAPA"</formula>
    </cfRule>
  </conditionalFormatting>
  <conditionalFormatting sqref="M383">
    <cfRule type="expression" dxfId="3600" priority="4931">
      <formula>$H383="CÉLULA CONSTRUTIVA"</formula>
    </cfRule>
    <cfRule type="expression" dxfId="3599" priority="4932">
      <formula>$H383="ETAPA"</formula>
    </cfRule>
  </conditionalFormatting>
  <conditionalFormatting sqref="M385 M387">
    <cfRule type="expression" dxfId="3598" priority="4930">
      <formula>$H385="ETAPA"</formula>
    </cfRule>
    <cfRule type="expression" dxfId="3597" priority="4929">
      <formula>$H385="CÉLULA CONSTRUTIVA"</formula>
    </cfRule>
  </conditionalFormatting>
  <conditionalFormatting sqref="M389 M391">
    <cfRule type="expression" dxfId="3596" priority="4928">
      <formula>$H389="ETAPA"</formula>
    </cfRule>
    <cfRule type="expression" dxfId="3595" priority="4927">
      <formula>$H389="CÉLULA CONSTRUTIVA"</formula>
    </cfRule>
  </conditionalFormatting>
  <conditionalFormatting sqref="M393:M394 H397:J397">
    <cfRule type="expression" dxfId="3594" priority="4926">
      <formula>$H393="ETAPA"</formula>
    </cfRule>
  </conditionalFormatting>
  <conditionalFormatting sqref="M396 M398">
    <cfRule type="expression" dxfId="3593" priority="4925">
      <formula>$H396="ETAPA"</formula>
    </cfRule>
    <cfRule type="expression" dxfId="3592" priority="4924">
      <formula>$H396="CÉLULA CONSTRUTIVA"</formula>
    </cfRule>
  </conditionalFormatting>
  <conditionalFormatting sqref="M400">
    <cfRule type="expression" dxfId="3591" priority="4923">
      <formula>$H400="ETAPA"</formula>
    </cfRule>
    <cfRule type="expression" dxfId="3590" priority="4922">
      <formula>$H400="CÉLULA CONSTRUTIVA"</formula>
    </cfRule>
  </conditionalFormatting>
  <conditionalFormatting sqref="M402 M404">
    <cfRule type="expression" dxfId="3589" priority="4921">
      <formula>$H402="ETAPA"</formula>
    </cfRule>
    <cfRule type="expression" dxfId="3588" priority="4920">
      <formula>$H402="CÉLULA CONSTRUTIVA"</formula>
    </cfRule>
  </conditionalFormatting>
  <conditionalFormatting sqref="M406:M407 H410:J410">
    <cfRule type="expression" dxfId="3587" priority="4919">
      <formula>$H406="ETAPA"</formula>
    </cfRule>
  </conditionalFormatting>
  <conditionalFormatting sqref="M409">
    <cfRule type="expression" dxfId="3586" priority="4917">
      <formula>$H409="CÉLULA CONSTRUTIVA"</formula>
    </cfRule>
    <cfRule type="expression" dxfId="3585" priority="4918">
      <formula>$H409="SUBETAPA"</formula>
    </cfRule>
  </conditionalFormatting>
  <conditionalFormatting sqref="M411">
    <cfRule type="expression" dxfId="3584" priority="4915">
      <formula>$H411="CÉLULA CONSTRUTIVA"</formula>
    </cfRule>
    <cfRule type="expression" dxfId="3583" priority="4916">
      <formula>$H411="ETAPA"</formula>
    </cfRule>
  </conditionalFormatting>
  <conditionalFormatting sqref="M413">
    <cfRule type="expression" dxfId="3582" priority="4914">
      <formula>$H413="ETAPA"</formula>
    </cfRule>
    <cfRule type="expression" dxfId="3581" priority="4913">
      <formula>$H413="CÉLULA CONSTRUTIVA"</formula>
    </cfRule>
  </conditionalFormatting>
  <conditionalFormatting sqref="M415 M417">
    <cfRule type="expression" dxfId="3580" priority="4912">
      <formula>$H415="ETAPA"</formula>
    </cfRule>
    <cfRule type="expression" dxfId="3579" priority="4911">
      <formula>$H415="CÉLULA CONSTRUTIVA"</formula>
    </cfRule>
  </conditionalFormatting>
  <conditionalFormatting sqref="M419:M420 H423:J423">
    <cfRule type="expression" dxfId="3578" priority="4910">
      <formula>$H419="ETAPA"</formula>
    </cfRule>
  </conditionalFormatting>
  <conditionalFormatting sqref="M422">
    <cfRule type="expression" dxfId="3577" priority="4909">
      <formula>$H422="SUBETAPA"</formula>
    </cfRule>
    <cfRule type="expression" dxfId="3576" priority="4908">
      <formula>$H422="CÉLULA CONSTRUTIVA"</formula>
    </cfRule>
  </conditionalFormatting>
  <conditionalFormatting sqref="M424">
    <cfRule type="expression" dxfId="3575" priority="4907">
      <formula>$H424="ETAPA"</formula>
    </cfRule>
    <cfRule type="expression" dxfId="3574" priority="4906">
      <formula>$H424="CÉLULA CONSTRUTIVA"</formula>
    </cfRule>
  </conditionalFormatting>
  <conditionalFormatting sqref="M426">
    <cfRule type="expression" dxfId="3573" priority="4905">
      <formula>$H426="ETAPA"</formula>
    </cfRule>
    <cfRule type="expression" dxfId="3572" priority="4904">
      <formula>$H426="CÉLULA CONSTRUTIVA"</formula>
    </cfRule>
  </conditionalFormatting>
  <conditionalFormatting sqref="M428 M430">
    <cfRule type="expression" dxfId="3571" priority="4903">
      <formula>$H428="ETAPA"</formula>
    </cfRule>
    <cfRule type="expression" dxfId="3570" priority="4902">
      <formula>$H428="CÉLULA CONSTRUTIVA"</formula>
    </cfRule>
  </conditionalFormatting>
  <conditionalFormatting sqref="M432:M433 H436:J436">
    <cfRule type="expression" dxfId="3569" priority="4901">
      <formula>$H432="ETAPA"</formula>
    </cfRule>
  </conditionalFormatting>
  <conditionalFormatting sqref="M435">
    <cfRule type="expression" dxfId="3568" priority="4900">
      <formula>$H435="SUBETAPA"</formula>
    </cfRule>
    <cfRule type="expression" dxfId="3567" priority="4899">
      <formula>$H435="CÉLULA CONSTRUTIVA"</formula>
    </cfRule>
  </conditionalFormatting>
  <conditionalFormatting sqref="M437">
    <cfRule type="expression" dxfId="3566" priority="4898">
      <formula>$H437="ETAPA"</formula>
    </cfRule>
    <cfRule type="expression" dxfId="3565" priority="4897">
      <formula>$H437="CÉLULA CONSTRUTIVA"</formula>
    </cfRule>
  </conditionalFormatting>
  <conditionalFormatting sqref="M439">
    <cfRule type="expression" dxfId="3564" priority="4896">
      <formula>$H439="ETAPA"</formula>
    </cfRule>
    <cfRule type="expression" dxfId="3563" priority="4895">
      <formula>$H439="CÉLULA CONSTRUTIVA"</formula>
    </cfRule>
  </conditionalFormatting>
  <conditionalFormatting sqref="M441 M443">
    <cfRule type="expression" dxfId="3562" priority="4893">
      <formula>$H441="CÉLULA CONSTRUTIVA"</formula>
    </cfRule>
    <cfRule type="expression" dxfId="3561" priority="4894">
      <formula>$H441="ETAPA"</formula>
    </cfRule>
  </conditionalFormatting>
  <conditionalFormatting sqref="M445:M446 H449:J449">
    <cfRule type="expression" dxfId="3560" priority="4892">
      <formula>$H445="ETAPA"</formula>
    </cfRule>
  </conditionalFormatting>
  <conditionalFormatting sqref="M448">
    <cfRule type="expression" dxfId="3559" priority="4891">
      <formula>$H448="SUBETAPA"</formula>
    </cfRule>
    <cfRule type="expression" dxfId="3558" priority="4890">
      <formula>$H448="CÉLULA CONSTRUTIVA"</formula>
    </cfRule>
  </conditionalFormatting>
  <conditionalFormatting sqref="M450">
    <cfRule type="expression" dxfId="3557" priority="4889">
      <formula>$H450="ETAPA"</formula>
    </cfRule>
    <cfRule type="expression" dxfId="3556" priority="4888">
      <formula>$H450="CÉLULA CONSTRUTIVA"</formula>
    </cfRule>
  </conditionalFormatting>
  <conditionalFormatting sqref="M452">
    <cfRule type="expression" dxfId="3555" priority="4887">
      <formula>$H452="ETAPA"</formula>
    </cfRule>
    <cfRule type="expression" dxfId="3554" priority="4886">
      <formula>$H452="CÉLULA CONSTRUTIVA"</formula>
    </cfRule>
  </conditionalFormatting>
  <conditionalFormatting sqref="M454 M456">
    <cfRule type="expression" dxfId="3553" priority="4885">
      <formula>$H454="ETAPA"</formula>
    </cfRule>
    <cfRule type="expression" dxfId="3552" priority="4884">
      <formula>$H454="CÉLULA CONSTRUTIVA"</formula>
    </cfRule>
  </conditionalFormatting>
  <conditionalFormatting sqref="M458:M459 H462:J462">
    <cfRule type="expression" dxfId="3551" priority="4883">
      <formula>$H458="ETAPA"</formula>
    </cfRule>
  </conditionalFormatting>
  <conditionalFormatting sqref="M461">
    <cfRule type="expression" dxfId="3550" priority="4882">
      <formula>$H461="SUBETAPA"</formula>
    </cfRule>
    <cfRule type="expression" dxfId="3549" priority="4881">
      <formula>$H461="CÉLULA CONSTRUTIVA"</formula>
    </cfRule>
  </conditionalFormatting>
  <conditionalFormatting sqref="M463">
    <cfRule type="expression" dxfId="3548" priority="4880">
      <formula>$H463="ETAPA"</formula>
    </cfRule>
    <cfRule type="expression" dxfId="3547" priority="4879">
      <formula>$H463="CÉLULA CONSTRUTIVA"</formula>
    </cfRule>
  </conditionalFormatting>
  <conditionalFormatting sqref="M465">
    <cfRule type="expression" dxfId="3546" priority="4878">
      <formula>$H465="ETAPA"</formula>
    </cfRule>
    <cfRule type="expression" dxfId="3545" priority="4877">
      <formula>$H465="CÉLULA CONSTRUTIVA"</formula>
    </cfRule>
  </conditionalFormatting>
  <conditionalFormatting sqref="M467 M469">
    <cfRule type="expression" dxfId="3544" priority="4876">
      <formula>$H467="ETAPA"</formula>
    </cfRule>
    <cfRule type="expression" dxfId="3543" priority="4875">
      <formula>$H467="CÉLULA CONSTRUTIVA"</formula>
    </cfRule>
  </conditionalFormatting>
  <conditionalFormatting sqref="M471:M472 H475:J475">
    <cfRule type="expression" dxfId="3542" priority="4874">
      <formula>$H471="ETAPA"</formula>
    </cfRule>
  </conditionalFormatting>
  <conditionalFormatting sqref="M474">
    <cfRule type="expression" dxfId="3541" priority="4872">
      <formula>$H474="CÉLULA CONSTRUTIVA"</formula>
    </cfRule>
    <cfRule type="expression" dxfId="3540" priority="4873">
      <formula>$H474="SUBETAPA"</formula>
    </cfRule>
  </conditionalFormatting>
  <conditionalFormatting sqref="M476">
    <cfRule type="expression" dxfId="3539" priority="4871">
      <formula>$H476="ETAPA"</formula>
    </cfRule>
    <cfRule type="expression" dxfId="3538" priority="4870">
      <formula>$H476="CÉLULA CONSTRUTIVA"</formula>
    </cfRule>
  </conditionalFormatting>
  <conditionalFormatting sqref="M478">
    <cfRule type="expression" dxfId="3537" priority="4869">
      <formula>$H478="ETAPA"</formula>
    </cfRule>
    <cfRule type="expression" dxfId="3536" priority="4868">
      <formula>$H478="CÉLULA CONSTRUTIVA"</formula>
    </cfRule>
  </conditionalFormatting>
  <conditionalFormatting sqref="M480 M482">
    <cfRule type="expression" dxfId="3535" priority="4867">
      <formula>$H480="ETAPA"</formula>
    </cfRule>
    <cfRule type="expression" dxfId="3534" priority="4866">
      <formula>$H480="CÉLULA CONSTRUTIVA"</formula>
    </cfRule>
  </conditionalFormatting>
  <conditionalFormatting sqref="M484:M485 H488:J488">
    <cfRule type="expression" dxfId="3533" priority="4865">
      <formula>$H484="ETAPA"</formula>
    </cfRule>
  </conditionalFormatting>
  <conditionalFormatting sqref="M487">
    <cfRule type="expression" dxfId="3532" priority="4864">
      <formula>$H487="SUBETAPA"</formula>
    </cfRule>
    <cfRule type="expression" dxfId="3531" priority="4863">
      <formula>$H487="CÉLULA CONSTRUTIVA"</formula>
    </cfRule>
  </conditionalFormatting>
  <conditionalFormatting sqref="M489">
    <cfRule type="expression" dxfId="3530" priority="4862">
      <formula>$H489="ETAPA"</formula>
    </cfRule>
    <cfRule type="expression" dxfId="3529" priority="4861">
      <formula>$H489="CÉLULA CONSTRUTIVA"</formula>
    </cfRule>
  </conditionalFormatting>
  <conditionalFormatting sqref="M491">
    <cfRule type="expression" dxfId="3528" priority="4860">
      <formula>$H491="ETAPA"</formula>
    </cfRule>
    <cfRule type="expression" dxfId="3527" priority="4859">
      <formula>$H491="CÉLULA CONSTRUTIVA"</formula>
    </cfRule>
  </conditionalFormatting>
  <conditionalFormatting sqref="M493 M495">
    <cfRule type="expression" dxfId="3526" priority="4858">
      <formula>$H493="ETAPA"</formula>
    </cfRule>
    <cfRule type="expression" dxfId="3525" priority="4857">
      <formula>$H493="CÉLULA CONSTRUTIVA"</formula>
    </cfRule>
  </conditionalFormatting>
  <conditionalFormatting sqref="M497:M498 H501:J501">
    <cfRule type="expression" dxfId="3524" priority="4856">
      <formula>$H497="ETAPA"</formula>
    </cfRule>
  </conditionalFormatting>
  <conditionalFormatting sqref="M500">
    <cfRule type="expression" dxfId="3523" priority="4855">
      <formula>$H500="SUBETAPA"</formula>
    </cfRule>
    <cfRule type="expression" dxfId="3522" priority="4854">
      <formula>$H500="CÉLULA CONSTRUTIVA"</formula>
    </cfRule>
  </conditionalFormatting>
  <conditionalFormatting sqref="M502">
    <cfRule type="expression" dxfId="3521" priority="4853">
      <formula>$H502="ETAPA"</formula>
    </cfRule>
    <cfRule type="expression" dxfId="3520" priority="4852">
      <formula>$H502="CÉLULA CONSTRUTIVA"</formula>
    </cfRule>
  </conditionalFormatting>
  <conditionalFormatting sqref="M504">
    <cfRule type="expression" dxfId="3519" priority="4850">
      <formula>$H504="CÉLULA CONSTRUTIVA"</formula>
    </cfRule>
    <cfRule type="expression" dxfId="3518" priority="4851">
      <formula>$H504="ETAPA"</formula>
    </cfRule>
  </conditionalFormatting>
  <conditionalFormatting sqref="M506 M508">
    <cfRule type="expression" dxfId="3517" priority="4849">
      <formula>$H506="ETAPA"</formula>
    </cfRule>
    <cfRule type="expression" dxfId="3516" priority="4848">
      <formula>$H506="CÉLULA CONSTRUTIVA"</formula>
    </cfRule>
  </conditionalFormatting>
  <conditionalFormatting sqref="M510:M511 H514:J514">
    <cfRule type="expression" dxfId="3515" priority="4847">
      <formula>$H510="ETAPA"</formula>
    </cfRule>
  </conditionalFormatting>
  <conditionalFormatting sqref="M513">
    <cfRule type="expression" dxfId="3514" priority="4845">
      <formula>$H513="CÉLULA CONSTRUTIVA"</formula>
    </cfRule>
    <cfRule type="expression" dxfId="3513" priority="4846">
      <formula>$H513="SUBETAPA"</formula>
    </cfRule>
  </conditionalFormatting>
  <conditionalFormatting sqref="M515">
    <cfRule type="expression" dxfId="3512" priority="4843">
      <formula>$H515="CÉLULA CONSTRUTIVA"</formula>
    </cfRule>
    <cfRule type="expression" dxfId="3511" priority="4844">
      <formula>$H515="ETAPA"</formula>
    </cfRule>
  </conditionalFormatting>
  <conditionalFormatting sqref="M517">
    <cfRule type="expression" dxfId="3510" priority="4841">
      <formula>$H517="CÉLULA CONSTRUTIVA"</formula>
    </cfRule>
    <cfRule type="expression" dxfId="3509" priority="4842">
      <formula>$H517="ETAPA"</formula>
    </cfRule>
  </conditionalFormatting>
  <conditionalFormatting sqref="M519 M521">
    <cfRule type="expression" dxfId="3508" priority="4840">
      <formula>$H519="ETAPA"</formula>
    </cfRule>
    <cfRule type="expression" dxfId="3507" priority="4839">
      <formula>$H519="CÉLULA CONSTRUTIVA"</formula>
    </cfRule>
  </conditionalFormatting>
  <conditionalFormatting sqref="M523:M524 H527:J527">
    <cfRule type="expression" dxfId="3506" priority="4838">
      <formula>$H523="ETAPA"</formula>
    </cfRule>
  </conditionalFormatting>
  <conditionalFormatting sqref="M526">
    <cfRule type="expression" dxfId="3505" priority="4837">
      <formula>$H526="SUBETAPA"</formula>
    </cfRule>
    <cfRule type="expression" dxfId="3504" priority="4836">
      <formula>$H526="CÉLULA CONSTRUTIVA"</formula>
    </cfRule>
  </conditionalFormatting>
  <conditionalFormatting sqref="M528">
    <cfRule type="expression" dxfId="3503" priority="4835">
      <formula>$H528="ETAPA"</formula>
    </cfRule>
    <cfRule type="expression" dxfId="3502" priority="4834">
      <formula>$H528="CÉLULA CONSTRUTIVA"</formula>
    </cfRule>
  </conditionalFormatting>
  <conditionalFormatting sqref="M530">
    <cfRule type="expression" dxfId="3501" priority="4833">
      <formula>$H530="ETAPA"</formula>
    </cfRule>
    <cfRule type="expression" dxfId="3500" priority="4832">
      <formula>$H530="CÉLULA CONSTRUTIVA"</formula>
    </cfRule>
  </conditionalFormatting>
  <conditionalFormatting sqref="M532 M534">
    <cfRule type="expression" dxfId="3499" priority="4831">
      <formula>$H532="ETAPA"</formula>
    </cfRule>
    <cfRule type="expression" dxfId="3498" priority="4830">
      <formula>$H532="CÉLULA CONSTRUTIVA"</formula>
    </cfRule>
  </conditionalFormatting>
  <conditionalFormatting sqref="M536:M537 H540:J540">
    <cfRule type="expression" dxfId="3497" priority="4829">
      <formula>$H536="ETAPA"</formula>
    </cfRule>
  </conditionalFormatting>
  <conditionalFormatting sqref="M539">
    <cfRule type="expression" dxfId="3496" priority="4828">
      <formula>$H539="SUBETAPA"</formula>
    </cfRule>
    <cfRule type="expression" dxfId="3495" priority="4827">
      <formula>$H539="CÉLULA CONSTRUTIVA"</formula>
    </cfRule>
  </conditionalFormatting>
  <conditionalFormatting sqref="M541">
    <cfRule type="expression" dxfId="3494" priority="4826">
      <formula>$H541="ETAPA"</formula>
    </cfRule>
    <cfRule type="expression" dxfId="3493" priority="4825">
      <formula>$H541="CÉLULA CONSTRUTIVA"</formula>
    </cfRule>
  </conditionalFormatting>
  <conditionalFormatting sqref="M543">
    <cfRule type="expression" dxfId="3492" priority="4824">
      <formula>$H543="ETAPA"</formula>
    </cfRule>
    <cfRule type="expression" dxfId="3491" priority="4823">
      <formula>$H543="CÉLULA CONSTRUTIVA"</formula>
    </cfRule>
  </conditionalFormatting>
  <conditionalFormatting sqref="M545 M547">
    <cfRule type="expression" dxfId="3490" priority="4822">
      <formula>$H545="ETAPA"</formula>
    </cfRule>
    <cfRule type="expression" dxfId="3489" priority="4821">
      <formula>$H545="CÉLULA CONSTRUTIVA"</formula>
    </cfRule>
  </conditionalFormatting>
  <conditionalFormatting sqref="M549:M550 H553:J553">
    <cfRule type="expression" dxfId="3488" priority="4820">
      <formula>$H549="ETAPA"</formula>
    </cfRule>
  </conditionalFormatting>
  <conditionalFormatting sqref="M552">
    <cfRule type="expression" dxfId="3487" priority="4818">
      <formula>$H552="CÉLULA CONSTRUTIVA"</formula>
    </cfRule>
    <cfRule type="expression" dxfId="3486" priority="4819">
      <formula>$H552="SUBETAPA"</formula>
    </cfRule>
  </conditionalFormatting>
  <conditionalFormatting sqref="M554">
    <cfRule type="expression" dxfId="3485" priority="4817">
      <formula>$H554="ETAPA"</formula>
    </cfRule>
    <cfRule type="expression" dxfId="3484" priority="4816">
      <formula>$H554="CÉLULA CONSTRUTIVA"</formula>
    </cfRule>
  </conditionalFormatting>
  <conditionalFormatting sqref="M556">
    <cfRule type="expression" dxfId="3483" priority="4815">
      <formula>$H556="ETAPA"</formula>
    </cfRule>
    <cfRule type="expression" dxfId="3482" priority="4814">
      <formula>$H556="CÉLULA CONSTRUTIVA"</formula>
    </cfRule>
  </conditionalFormatting>
  <conditionalFormatting sqref="M558 M560">
    <cfRule type="expression" dxfId="3481" priority="4813">
      <formula>$H558="ETAPA"</formula>
    </cfRule>
    <cfRule type="expression" dxfId="3480" priority="4812">
      <formula>$H558="CÉLULA CONSTRUTIVA"</formula>
    </cfRule>
  </conditionalFormatting>
  <conditionalFormatting sqref="M562:M563 H566:J566">
    <cfRule type="expression" dxfId="3479" priority="4811">
      <formula>$H562="ETAPA"</formula>
    </cfRule>
  </conditionalFormatting>
  <conditionalFormatting sqref="M565">
    <cfRule type="expression" dxfId="3478" priority="4810">
      <formula>$H565="SUBETAPA"</formula>
    </cfRule>
    <cfRule type="expression" dxfId="3477" priority="4809">
      <formula>$H565="CÉLULA CONSTRUTIVA"</formula>
    </cfRule>
  </conditionalFormatting>
  <conditionalFormatting sqref="M567">
    <cfRule type="expression" dxfId="3476" priority="4808">
      <formula>$H567="ETAPA"</formula>
    </cfRule>
    <cfRule type="expression" dxfId="3475" priority="4807">
      <formula>$H567="CÉLULA CONSTRUTIVA"</formula>
    </cfRule>
  </conditionalFormatting>
  <conditionalFormatting sqref="M569 M571">
    <cfRule type="expression" dxfId="3474" priority="4806">
      <formula>$H569="ETAPA"</formula>
    </cfRule>
    <cfRule type="expression" dxfId="3473" priority="4805">
      <formula>$H569="CÉLULA CONSTRUTIVA"</formula>
    </cfRule>
  </conditionalFormatting>
  <conditionalFormatting sqref="M574">
    <cfRule type="expression" dxfId="3472" priority="4804">
      <formula>$H574="ETAPA"</formula>
    </cfRule>
    <cfRule type="expression" dxfId="3471" priority="4803">
      <formula>$H574="CÉLULA CONSTRUTIVA"</formula>
    </cfRule>
  </conditionalFormatting>
  <conditionalFormatting sqref="M576">
    <cfRule type="expression" dxfId="3470" priority="4802">
      <formula>$H576="ETAPA"</formula>
    </cfRule>
    <cfRule type="expression" dxfId="3469" priority="4801">
      <formula>$H576="CÉLULA CONSTRUTIVA"</formula>
    </cfRule>
  </conditionalFormatting>
  <conditionalFormatting sqref="M578:M579">
    <cfRule type="expression" dxfId="3468" priority="4800">
      <formula>$H578="ETAPA"</formula>
    </cfRule>
  </conditionalFormatting>
  <conditionalFormatting sqref="M580 M582">
    <cfRule type="expression" dxfId="3467" priority="4798">
      <formula>$H580="CÉLULA CONSTRUTIVA"</formula>
    </cfRule>
    <cfRule type="expression" dxfId="3466" priority="4799">
      <formula>$H580="ETAPA"</formula>
    </cfRule>
  </conditionalFormatting>
  <conditionalFormatting sqref="M585">
    <cfRule type="expression" dxfId="3465" priority="4796">
      <formula>$H585="CÉLULA CONSTRUTIVA"</formula>
    </cfRule>
    <cfRule type="expression" dxfId="3464" priority="4797">
      <formula>$H585="ETAPA"</formula>
    </cfRule>
  </conditionalFormatting>
  <conditionalFormatting sqref="M587:M588">
    <cfRule type="expression" dxfId="3463" priority="4795">
      <formula>$H587="ETAPA"</formula>
    </cfRule>
  </conditionalFormatting>
  <conditionalFormatting sqref="M589 M591">
    <cfRule type="expression" dxfId="3462" priority="4794">
      <formula>$H589="ETAPA"</formula>
    </cfRule>
    <cfRule type="expression" dxfId="3461" priority="4793">
      <formula>$H589="CÉLULA CONSTRUTIVA"</formula>
    </cfRule>
  </conditionalFormatting>
  <conditionalFormatting sqref="M594">
    <cfRule type="expression" dxfId="3460" priority="4792">
      <formula>$H594="ETAPA"</formula>
    </cfRule>
    <cfRule type="expression" dxfId="3459" priority="4791">
      <formula>$H594="CÉLULA CONSTRUTIVA"</formula>
    </cfRule>
  </conditionalFormatting>
  <conditionalFormatting sqref="M596">
    <cfRule type="expression" dxfId="3458" priority="4790">
      <formula>$H596="ETAPA"</formula>
    </cfRule>
  </conditionalFormatting>
  <conditionalFormatting sqref="M597">
    <cfRule type="expression" dxfId="3457" priority="4789">
      <formula>$H597="ETAPA"</formula>
    </cfRule>
  </conditionalFormatting>
  <conditionalFormatting sqref="M598 M600">
    <cfRule type="expression" dxfId="3456" priority="4788">
      <formula>$H598="ETAPA"</formula>
    </cfRule>
    <cfRule type="expression" dxfId="3455" priority="4787">
      <formula>$H598="CÉLULA CONSTRUTIVA"</formula>
    </cfRule>
  </conditionalFormatting>
  <conditionalFormatting sqref="M603">
    <cfRule type="expression" dxfId="3454" priority="4786">
      <formula>$H603="ETAPA"</formula>
    </cfRule>
    <cfRule type="expression" dxfId="3453" priority="4785">
      <formula>$H603="CÉLULA CONSTRUTIVA"</formula>
    </cfRule>
  </conditionalFormatting>
  <conditionalFormatting sqref="M605">
    <cfRule type="expression" dxfId="3452" priority="4784">
      <formula>$H605="ETAPA"</formula>
    </cfRule>
  </conditionalFormatting>
  <conditionalFormatting sqref="M606">
    <cfRule type="expression" dxfId="3451" priority="4783">
      <formula>$H606="ETAPA"</formula>
    </cfRule>
  </conditionalFormatting>
  <conditionalFormatting sqref="M607 M609">
    <cfRule type="expression" dxfId="3450" priority="4782">
      <formula>$H607="ETAPA"</formula>
    </cfRule>
    <cfRule type="expression" dxfId="3449" priority="4781">
      <formula>$H607="CÉLULA CONSTRUTIVA"</formula>
    </cfRule>
  </conditionalFormatting>
  <conditionalFormatting sqref="M612">
    <cfRule type="expression" dxfId="3448" priority="4780">
      <formula>$H612="ETAPA"</formula>
    </cfRule>
    <cfRule type="expression" dxfId="3447" priority="4779">
      <formula>$H612="CÉLULA CONSTRUTIVA"</formula>
    </cfRule>
  </conditionalFormatting>
  <conditionalFormatting sqref="M614">
    <cfRule type="expression" dxfId="3446" priority="4778">
      <formula>$H614="ETAPA"</formula>
    </cfRule>
  </conditionalFormatting>
  <conditionalFormatting sqref="M615">
    <cfRule type="expression" dxfId="3445" priority="4777">
      <formula>$H615="ETAPA"</formula>
    </cfRule>
  </conditionalFormatting>
  <conditionalFormatting sqref="M616 M618">
    <cfRule type="expression" dxfId="3444" priority="4776">
      <formula>$H616="ETAPA"</formula>
    </cfRule>
    <cfRule type="expression" dxfId="3443" priority="4775">
      <formula>$H616="CÉLULA CONSTRUTIVA"</formula>
    </cfRule>
  </conditionalFormatting>
  <conditionalFormatting sqref="M621">
    <cfRule type="expression" dxfId="3442" priority="4773">
      <formula>$H621="CÉLULA CONSTRUTIVA"</formula>
    </cfRule>
    <cfRule type="expression" dxfId="3441" priority="4774">
      <formula>$H621="ETAPA"</formula>
    </cfRule>
  </conditionalFormatting>
  <conditionalFormatting sqref="M623">
    <cfRule type="expression" dxfId="3440" priority="4772">
      <formula>$H623="ETAPA"</formula>
    </cfRule>
  </conditionalFormatting>
  <conditionalFormatting sqref="M624">
    <cfRule type="expression" dxfId="3439" priority="4771">
      <formula>$H624="ETAPA"</formula>
    </cfRule>
  </conditionalFormatting>
  <conditionalFormatting sqref="M625 M627">
    <cfRule type="expression" dxfId="3438" priority="4770">
      <formula>$H625="ETAPA"</formula>
    </cfRule>
    <cfRule type="expression" dxfId="3437" priority="4769">
      <formula>$H625="CÉLULA CONSTRUTIVA"</formula>
    </cfRule>
  </conditionalFormatting>
  <conditionalFormatting sqref="M630">
    <cfRule type="expression" dxfId="3436" priority="4768">
      <formula>$H630="ETAPA"</formula>
    </cfRule>
    <cfRule type="expression" dxfId="3435" priority="4767">
      <formula>$H630="CÉLULA CONSTRUTIVA"</formula>
    </cfRule>
  </conditionalFormatting>
  <conditionalFormatting sqref="M632">
    <cfRule type="expression" dxfId="3434" priority="4766">
      <formula>$H632="ETAPA"</formula>
    </cfRule>
  </conditionalFormatting>
  <conditionalFormatting sqref="M633">
    <cfRule type="expression" dxfId="3433" priority="4765">
      <formula>$H633="ETAPA"</formula>
    </cfRule>
  </conditionalFormatting>
  <conditionalFormatting sqref="M634 M636">
    <cfRule type="expression" dxfId="3432" priority="4764">
      <formula>$H634="ETAPA"</formula>
    </cfRule>
    <cfRule type="expression" dxfId="3431" priority="4763">
      <formula>$H634="CÉLULA CONSTRUTIVA"</formula>
    </cfRule>
  </conditionalFormatting>
  <conditionalFormatting sqref="M639">
    <cfRule type="expression" dxfId="3430" priority="4761">
      <formula>$H639="CÉLULA CONSTRUTIVA"</formula>
    </cfRule>
    <cfRule type="expression" dxfId="3429" priority="4762">
      <formula>$H639="ETAPA"</formula>
    </cfRule>
  </conditionalFormatting>
  <conditionalFormatting sqref="M641">
    <cfRule type="expression" dxfId="3428" priority="4760">
      <formula>$H641="ETAPA"</formula>
    </cfRule>
  </conditionalFormatting>
  <conditionalFormatting sqref="M642">
    <cfRule type="expression" dxfId="3427" priority="4759">
      <formula>$H642="ETAPA"</formula>
    </cfRule>
  </conditionalFormatting>
  <conditionalFormatting sqref="M643 M645">
    <cfRule type="expression" dxfId="3426" priority="4758">
      <formula>$H643="ETAPA"</formula>
    </cfRule>
    <cfRule type="expression" dxfId="3425" priority="4757">
      <formula>$H643="CÉLULA CONSTRUTIVA"</formula>
    </cfRule>
  </conditionalFormatting>
  <conditionalFormatting sqref="M648">
    <cfRule type="expression" dxfId="3424" priority="4756">
      <formula>$H648="ETAPA"</formula>
    </cfRule>
    <cfRule type="expression" dxfId="3423" priority="4755">
      <formula>$H648="CÉLULA CONSTRUTIVA"</formula>
    </cfRule>
  </conditionalFormatting>
  <conditionalFormatting sqref="M650">
    <cfRule type="expression" dxfId="3422" priority="4754">
      <formula>$H650="ETAPA"</formula>
    </cfRule>
  </conditionalFormatting>
  <conditionalFormatting sqref="M651">
    <cfRule type="expression" dxfId="3421" priority="4753">
      <formula>$H651="ETAPA"</formula>
    </cfRule>
  </conditionalFormatting>
  <conditionalFormatting sqref="M652 M654">
    <cfRule type="expression" dxfId="3420" priority="4751">
      <formula>$H652="CÉLULA CONSTRUTIVA"</formula>
    </cfRule>
    <cfRule type="expression" dxfId="3419" priority="4752">
      <formula>$H652="ETAPA"</formula>
    </cfRule>
  </conditionalFormatting>
  <conditionalFormatting sqref="M657">
    <cfRule type="expression" dxfId="3418" priority="4750">
      <formula>$H657="ETAPA"</formula>
    </cfRule>
    <cfRule type="expression" dxfId="3417" priority="4749">
      <formula>$H657="CÉLULA CONSTRUTIVA"</formula>
    </cfRule>
  </conditionalFormatting>
  <conditionalFormatting sqref="M659">
    <cfRule type="expression" dxfId="3416" priority="4748">
      <formula>$H659="ETAPA"</formula>
    </cfRule>
    <cfRule type="expression" dxfId="3415" priority="4747">
      <formula>$H659="CÉLULA CONSTRUTIVA"</formula>
    </cfRule>
  </conditionalFormatting>
  <conditionalFormatting sqref="M661">
    <cfRule type="expression" dxfId="3414" priority="4746">
      <formula>$H661="ETAPA"</formula>
    </cfRule>
  </conditionalFormatting>
  <conditionalFormatting sqref="M662">
    <cfRule type="expression" dxfId="3413" priority="4745">
      <formula>$H662="ETAPA"</formula>
    </cfRule>
  </conditionalFormatting>
  <conditionalFormatting sqref="M663 M665">
    <cfRule type="expression" dxfId="3412" priority="4743">
      <formula>$H663="CÉLULA CONSTRUTIVA"</formula>
    </cfRule>
    <cfRule type="expression" dxfId="3411" priority="4744">
      <formula>$H663="ETAPA"</formula>
    </cfRule>
  </conditionalFormatting>
  <conditionalFormatting sqref="M668">
    <cfRule type="expression" dxfId="3410" priority="4741">
      <formula>$H668="CÉLULA CONSTRUTIVA"</formula>
    </cfRule>
    <cfRule type="expression" dxfId="3409" priority="4742">
      <formula>$H668="ETAPA"</formula>
    </cfRule>
  </conditionalFormatting>
  <conditionalFormatting sqref="M670">
    <cfRule type="expression" dxfId="3408" priority="4739">
      <formula>$H670="CÉLULA CONSTRUTIVA"</formula>
    </cfRule>
    <cfRule type="expression" dxfId="3407" priority="4740">
      <formula>$H670="ETAPA"</formula>
    </cfRule>
  </conditionalFormatting>
  <conditionalFormatting sqref="M672">
    <cfRule type="expression" dxfId="3406" priority="4738">
      <formula>$H672="ETAPA"</formula>
    </cfRule>
  </conditionalFormatting>
  <conditionalFormatting sqref="M673">
    <cfRule type="expression" dxfId="3405" priority="4737">
      <formula>$H673="ETAPA"</formula>
    </cfRule>
  </conditionalFormatting>
  <conditionalFormatting sqref="M674 M676">
    <cfRule type="expression" dxfId="3404" priority="4736">
      <formula>$H674="ETAPA"</formula>
    </cfRule>
    <cfRule type="expression" dxfId="3403" priority="4735">
      <formula>$H674="CÉLULA CONSTRUTIVA"</formula>
    </cfRule>
  </conditionalFormatting>
  <conditionalFormatting sqref="M679">
    <cfRule type="expression" dxfId="3402" priority="4733">
      <formula>$H679="CÉLULA CONSTRUTIVA"</formula>
    </cfRule>
    <cfRule type="expression" dxfId="3401" priority="4734">
      <formula>$H679="ETAPA"</formula>
    </cfRule>
  </conditionalFormatting>
  <conditionalFormatting sqref="M681">
    <cfRule type="expression" dxfId="3400" priority="4732">
      <formula>$H681="ETAPA"</formula>
    </cfRule>
  </conditionalFormatting>
  <conditionalFormatting sqref="M682">
    <cfRule type="expression" dxfId="3399" priority="4731">
      <formula>$H682="ETAPA"</formula>
    </cfRule>
  </conditionalFormatting>
  <conditionalFormatting sqref="M683 M685">
    <cfRule type="expression" dxfId="3398" priority="4729">
      <formula>$H683="CÉLULA CONSTRUTIVA"</formula>
    </cfRule>
    <cfRule type="expression" dxfId="3397" priority="4730">
      <formula>$H683="ETAPA"</formula>
    </cfRule>
  </conditionalFormatting>
  <conditionalFormatting sqref="M688">
    <cfRule type="expression" dxfId="3396" priority="4728">
      <formula>$H688="ETAPA"</formula>
    </cfRule>
    <cfRule type="expression" dxfId="3395" priority="4727">
      <formula>$H688="CÉLULA CONSTRUTIVA"</formula>
    </cfRule>
  </conditionalFormatting>
  <conditionalFormatting sqref="M690">
    <cfRule type="expression" dxfId="3394" priority="4726">
      <formula>$H690="ETAPA"</formula>
    </cfRule>
  </conditionalFormatting>
  <conditionalFormatting sqref="M691">
    <cfRule type="expression" dxfId="3393" priority="4725">
      <formula>$H691="ETAPA"</formula>
    </cfRule>
  </conditionalFormatting>
  <conditionalFormatting sqref="M692 M694">
    <cfRule type="expression" dxfId="3392" priority="4724">
      <formula>$H692="ETAPA"</formula>
    </cfRule>
    <cfRule type="expression" dxfId="3391" priority="4723">
      <formula>$H692="CÉLULA CONSTRUTIVA"</formula>
    </cfRule>
  </conditionalFormatting>
  <conditionalFormatting sqref="M697">
    <cfRule type="expression" dxfId="3390" priority="4722">
      <formula>$H697="ETAPA"</formula>
    </cfRule>
    <cfRule type="expression" dxfId="3389" priority="4721">
      <formula>$H697="CÉLULA CONSTRUTIVA"</formula>
    </cfRule>
  </conditionalFormatting>
  <conditionalFormatting sqref="M699">
    <cfRule type="expression" dxfId="3388" priority="4719">
      <formula>$H699="CÉLULA CONSTRUTIVA"</formula>
    </cfRule>
    <cfRule type="expression" dxfId="3387" priority="4720">
      <formula>$H699="ETAPA"</formula>
    </cfRule>
  </conditionalFormatting>
  <conditionalFormatting sqref="M701">
    <cfRule type="expression" dxfId="3386" priority="4718">
      <formula>$H701="ETAPA"</formula>
    </cfRule>
  </conditionalFormatting>
  <conditionalFormatting sqref="M702">
    <cfRule type="expression" dxfId="3385" priority="4717">
      <formula>$H702="ETAPA"</formula>
    </cfRule>
  </conditionalFormatting>
  <conditionalFormatting sqref="M704:M705">
    <cfRule type="expression" dxfId="3384" priority="4716">
      <formula>$H704="ETAPA"</formula>
    </cfRule>
  </conditionalFormatting>
  <conditionalFormatting sqref="M707">
    <cfRule type="expression" dxfId="3383" priority="4715">
      <formula>$H707="ETAPA"</formula>
    </cfRule>
    <cfRule type="expression" dxfId="3382" priority="4714">
      <formula>$H707="CÉLULA CONSTRUTIVA"</formula>
    </cfRule>
  </conditionalFormatting>
  <conditionalFormatting sqref="M709">
    <cfRule type="expression" dxfId="3381" priority="4712">
      <formula>$H709="CÉLULA CONSTRUTIVA"</formula>
    </cfRule>
    <cfRule type="expression" dxfId="3380" priority="4713">
      <formula>$H709="ETAPA"</formula>
    </cfRule>
  </conditionalFormatting>
  <conditionalFormatting sqref="M715 M717">
    <cfRule type="expression" dxfId="3379" priority="4711">
      <formula>$H715="ETAPA"</formula>
    </cfRule>
    <cfRule type="expression" dxfId="3378" priority="4710">
      <formula>$H715="CÉLULA CONSTRUTIVA"</formula>
    </cfRule>
  </conditionalFormatting>
  <conditionalFormatting sqref="M719:M720">
    <cfRule type="expression" dxfId="3377" priority="4709">
      <formula>$H719="ETAPA"</formula>
    </cfRule>
  </conditionalFormatting>
  <conditionalFormatting sqref="M722">
    <cfRule type="expression" dxfId="3376" priority="4708">
      <formula>$H722="ETAPA"</formula>
    </cfRule>
    <cfRule type="expression" dxfId="3375" priority="4707">
      <formula>$H722="CÉLULA CONSTRUTIVA"</formula>
    </cfRule>
  </conditionalFormatting>
  <conditionalFormatting sqref="M724">
    <cfRule type="expression" dxfId="3374" priority="4706">
      <formula>$H724="ETAPA"</formula>
    </cfRule>
    <cfRule type="expression" dxfId="3373" priority="4705">
      <formula>$H724="CÉLULA CONSTRUTIVA"</formula>
    </cfRule>
  </conditionalFormatting>
  <conditionalFormatting sqref="M725">
    <cfRule type="expression" dxfId="3372" priority="4704">
      <formula>$H725="ETAPA"</formula>
    </cfRule>
  </conditionalFormatting>
  <conditionalFormatting sqref="M730 M732">
    <cfRule type="expression" dxfId="3371" priority="4703">
      <formula>$H730="ETAPA"</formula>
    </cfRule>
    <cfRule type="expression" dxfId="3370" priority="4702">
      <formula>$H730="CÉLULA CONSTRUTIVA"</formula>
    </cfRule>
  </conditionalFormatting>
  <conditionalFormatting sqref="M734:M735">
    <cfRule type="expression" dxfId="3369" priority="4701">
      <formula>$H734="ETAPA"</formula>
    </cfRule>
  </conditionalFormatting>
  <conditionalFormatting sqref="M737">
    <cfRule type="expression" dxfId="3368" priority="4700">
      <formula>$H737="ETAPA"</formula>
    </cfRule>
    <cfRule type="expression" dxfId="3367" priority="4699">
      <formula>$H737="CÉLULA CONSTRUTIVA"</formula>
    </cfRule>
  </conditionalFormatting>
  <conditionalFormatting sqref="M739">
    <cfRule type="expression" dxfId="3366" priority="4698">
      <formula>$H739="ETAPA"</formula>
    </cfRule>
    <cfRule type="expression" dxfId="3365" priority="4697">
      <formula>$H739="CÉLULA CONSTRUTIVA"</formula>
    </cfRule>
  </conditionalFormatting>
  <conditionalFormatting sqref="M740">
    <cfRule type="expression" dxfId="3364" priority="4696">
      <formula>$H740="ETAPA"</formula>
    </cfRule>
  </conditionalFormatting>
  <conditionalFormatting sqref="M745 M747">
    <cfRule type="expression" dxfId="3363" priority="4695">
      <formula>$H745="ETAPA"</formula>
    </cfRule>
    <cfRule type="expression" dxfId="3362" priority="4694">
      <formula>$H745="CÉLULA CONSTRUTIVA"</formula>
    </cfRule>
  </conditionalFormatting>
  <conditionalFormatting sqref="M749:M750">
    <cfRule type="expression" dxfId="3361" priority="4693">
      <formula>$H749="ETAPA"</formula>
    </cfRule>
  </conditionalFormatting>
  <conditionalFormatting sqref="M752">
    <cfRule type="expression" dxfId="3360" priority="4692">
      <formula>$H752="ETAPA"</formula>
    </cfRule>
    <cfRule type="expression" dxfId="3359" priority="4691">
      <formula>$H752="CÉLULA CONSTRUTIVA"</formula>
    </cfRule>
  </conditionalFormatting>
  <conditionalFormatting sqref="M754">
    <cfRule type="expression" dxfId="3358" priority="4689">
      <formula>$H754="CÉLULA CONSTRUTIVA"</formula>
    </cfRule>
    <cfRule type="expression" dxfId="3357" priority="4690">
      <formula>$H754="ETAPA"</formula>
    </cfRule>
  </conditionalFormatting>
  <conditionalFormatting sqref="M755">
    <cfRule type="expression" dxfId="3356" priority="4688">
      <formula>$H755="ETAPA"</formula>
    </cfRule>
  </conditionalFormatting>
  <conditionalFormatting sqref="M760 M762">
    <cfRule type="expression" dxfId="3355" priority="4687">
      <formula>$H760="ETAPA"</formula>
    </cfRule>
    <cfRule type="expression" dxfId="3354" priority="4686">
      <formula>$H760="CÉLULA CONSTRUTIVA"</formula>
    </cfRule>
  </conditionalFormatting>
  <conditionalFormatting sqref="M764:M765">
    <cfRule type="expression" dxfId="3353" priority="4685">
      <formula>$H764="ETAPA"</formula>
    </cfRule>
  </conditionalFormatting>
  <conditionalFormatting sqref="M767">
    <cfRule type="expression" dxfId="3352" priority="4683">
      <formula>$H767="CÉLULA CONSTRUTIVA"</formula>
    </cfRule>
    <cfRule type="expression" dxfId="3351" priority="4684">
      <formula>$H767="ETAPA"</formula>
    </cfRule>
  </conditionalFormatting>
  <conditionalFormatting sqref="M769">
    <cfRule type="expression" dxfId="3350" priority="4682">
      <formula>$H769="ETAPA"</formula>
    </cfRule>
    <cfRule type="expression" dxfId="3349" priority="4681">
      <formula>$H769="CÉLULA CONSTRUTIVA"</formula>
    </cfRule>
  </conditionalFormatting>
  <conditionalFormatting sqref="M770">
    <cfRule type="expression" dxfId="3348" priority="4680">
      <formula>$H770="ETAPA"</formula>
    </cfRule>
  </conditionalFormatting>
  <conditionalFormatting sqref="M775 M777">
    <cfRule type="expression" dxfId="3347" priority="4679">
      <formula>$H775="ETAPA"</formula>
    </cfRule>
    <cfRule type="expression" dxfId="3346" priority="4678">
      <formula>$H775="CÉLULA CONSTRUTIVA"</formula>
    </cfRule>
  </conditionalFormatting>
  <conditionalFormatting sqref="M779:M780">
    <cfRule type="expression" dxfId="3345" priority="4677">
      <formula>$H779="ETAPA"</formula>
    </cfRule>
  </conditionalFormatting>
  <conditionalFormatting sqref="M782">
    <cfRule type="expression" dxfId="3344" priority="4676">
      <formula>$H782="ETAPA"</formula>
    </cfRule>
    <cfRule type="expression" dxfId="3343" priority="4675">
      <formula>$H782="CÉLULA CONSTRUTIVA"</formula>
    </cfRule>
  </conditionalFormatting>
  <conditionalFormatting sqref="M784">
    <cfRule type="expression" dxfId="3342" priority="4674">
      <formula>$H784="ETAPA"</formula>
    </cfRule>
    <cfRule type="expression" dxfId="3341" priority="4673">
      <formula>$H784="CÉLULA CONSTRUTIVA"</formula>
    </cfRule>
  </conditionalFormatting>
  <conditionalFormatting sqref="M785">
    <cfRule type="expression" dxfId="3340" priority="4672">
      <formula>$H785="ETAPA"</formula>
    </cfRule>
  </conditionalFormatting>
  <conditionalFormatting sqref="M790 M792">
    <cfRule type="expression" dxfId="3339" priority="4671">
      <formula>$H790="ETAPA"</formula>
    </cfRule>
    <cfRule type="expression" dxfId="3338" priority="4670">
      <formula>$H790="CÉLULA CONSTRUTIVA"</formula>
    </cfRule>
  </conditionalFormatting>
  <conditionalFormatting sqref="M794:M795">
    <cfRule type="expression" dxfId="3337" priority="4669">
      <formula>$H794="ETAPA"</formula>
    </cfRule>
  </conditionalFormatting>
  <conditionalFormatting sqref="M797">
    <cfRule type="expression" dxfId="3336" priority="4667">
      <formula>$H797="CÉLULA CONSTRUTIVA"</formula>
    </cfRule>
    <cfRule type="expression" dxfId="3335" priority="4668">
      <formula>$H797="ETAPA"</formula>
    </cfRule>
  </conditionalFormatting>
  <conditionalFormatting sqref="M799">
    <cfRule type="expression" dxfId="3334" priority="4666">
      <formula>$H799="ETAPA"</formula>
    </cfRule>
    <cfRule type="expression" dxfId="3333" priority="4665">
      <formula>$H799="CÉLULA CONSTRUTIVA"</formula>
    </cfRule>
  </conditionalFormatting>
  <conditionalFormatting sqref="M800">
    <cfRule type="expression" dxfId="3332" priority="4664">
      <formula>$H800="ETAPA"</formula>
    </cfRule>
  </conditionalFormatting>
  <conditionalFormatting sqref="M805 M807">
    <cfRule type="expression" dxfId="3331" priority="4663">
      <formula>$H805="ETAPA"</formula>
    </cfRule>
    <cfRule type="expression" dxfId="3330" priority="4662">
      <formula>$H805="CÉLULA CONSTRUTIVA"</formula>
    </cfRule>
  </conditionalFormatting>
  <conditionalFormatting sqref="M809:M810">
    <cfRule type="expression" dxfId="3329" priority="4661">
      <formula>$H809="ETAPA"</formula>
    </cfRule>
  </conditionalFormatting>
  <conditionalFormatting sqref="M812">
    <cfRule type="expression" dxfId="3328" priority="4660">
      <formula>$H812="ETAPA"</formula>
    </cfRule>
    <cfRule type="expression" dxfId="3327" priority="4659">
      <formula>$H812="CÉLULA CONSTRUTIVA"</formula>
    </cfRule>
  </conditionalFormatting>
  <conditionalFormatting sqref="M814">
    <cfRule type="expression" dxfId="3326" priority="4658">
      <formula>$H814="ETAPA"</formula>
    </cfRule>
    <cfRule type="expression" dxfId="3325" priority="4657">
      <formula>$H814="CÉLULA CONSTRUTIVA"</formula>
    </cfRule>
  </conditionalFormatting>
  <conditionalFormatting sqref="M815">
    <cfRule type="expression" dxfId="3324" priority="4656">
      <formula>$H815="ETAPA"</formula>
    </cfRule>
  </conditionalFormatting>
  <conditionalFormatting sqref="M820 M822">
    <cfRule type="expression" dxfId="3323" priority="4655">
      <formula>$H820="ETAPA"</formula>
    </cfRule>
    <cfRule type="expression" dxfId="3322" priority="4654">
      <formula>$H820="CÉLULA CONSTRUTIVA"</formula>
    </cfRule>
  </conditionalFormatting>
  <conditionalFormatting sqref="M824:M825">
    <cfRule type="expression" dxfId="3321" priority="4653">
      <formula>$H824="ETAPA"</formula>
    </cfRule>
  </conditionalFormatting>
  <conditionalFormatting sqref="M827">
    <cfRule type="expression" dxfId="3320" priority="4652">
      <formula>$H827="ETAPA"</formula>
    </cfRule>
    <cfRule type="expression" dxfId="3319" priority="4651">
      <formula>$H827="CÉLULA CONSTRUTIVA"</formula>
    </cfRule>
  </conditionalFormatting>
  <conditionalFormatting sqref="M829">
    <cfRule type="expression" dxfId="3318" priority="4650">
      <formula>$H829="ETAPA"</formula>
    </cfRule>
    <cfRule type="expression" dxfId="3317" priority="4649">
      <formula>$H829="CÉLULA CONSTRUTIVA"</formula>
    </cfRule>
  </conditionalFormatting>
  <conditionalFormatting sqref="M830">
    <cfRule type="expression" dxfId="3316" priority="4648">
      <formula>$H830="ETAPA"</formula>
    </cfRule>
  </conditionalFormatting>
  <conditionalFormatting sqref="M835 M837">
    <cfRule type="expression" dxfId="3315" priority="4647">
      <formula>$H835="ETAPA"</formula>
    </cfRule>
    <cfRule type="expression" dxfId="3314" priority="4646">
      <formula>$H835="CÉLULA CONSTRUTIVA"</formula>
    </cfRule>
  </conditionalFormatting>
  <conditionalFormatting sqref="M839:M840">
    <cfRule type="expression" dxfId="3313" priority="4645">
      <formula>$H839="ETAPA"</formula>
    </cfRule>
  </conditionalFormatting>
  <conditionalFormatting sqref="M842">
    <cfRule type="expression" dxfId="3312" priority="4644">
      <formula>$H842="ETAPA"</formula>
    </cfRule>
    <cfRule type="expression" dxfId="3311" priority="4643">
      <formula>$H842="CÉLULA CONSTRUTIVA"</formula>
    </cfRule>
  </conditionalFormatting>
  <conditionalFormatting sqref="M844">
    <cfRule type="expression" dxfId="3310" priority="4642">
      <formula>$H844="ETAPA"</formula>
    </cfRule>
    <cfRule type="expression" dxfId="3309" priority="4641">
      <formula>$H844="CÉLULA CONSTRUTIVA"</formula>
    </cfRule>
  </conditionalFormatting>
  <conditionalFormatting sqref="M845">
    <cfRule type="expression" dxfId="3308" priority="4640">
      <formula>$H845="ETAPA"</formula>
    </cfRule>
  </conditionalFormatting>
  <conditionalFormatting sqref="M850 M852">
    <cfRule type="expression" dxfId="3307" priority="4638">
      <formula>$H850="CÉLULA CONSTRUTIVA"</formula>
    </cfRule>
    <cfRule type="expression" dxfId="3306" priority="4639">
      <formula>$H850="ETAPA"</formula>
    </cfRule>
  </conditionalFormatting>
  <conditionalFormatting sqref="M854:M855">
    <cfRule type="expression" dxfId="3305" priority="4637">
      <formula>$H854="ETAPA"</formula>
    </cfRule>
  </conditionalFormatting>
  <conditionalFormatting sqref="M857">
    <cfRule type="expression" dxfId="3304" priority="4636">
      <formula>$H857="ETAPA"</formula>
    </cfRule>
    <cfRule type="expression" dxfId="3303" priority="4635">
      <formula>$H857="CÉLULA CONSTRUTIVA"</formula>
    </cfRule>
  </conditionalFormatting>
  <conditionalFormatting sqref="M859">
    <cfRule type="expression" dxfId="3302" priority="4633">
      <formula>$H859="CÉLULA CONSTRUTIVA"</formula>
    </cfRule>
    <cfRule type="expression" dxfId="3301" priority="4634">
      <formula>$H859="ETAPA"</formula>
    </cfRule>
  </conditionalFormatting>
  <conditionalFormatting sqref="M860">
    <cfRule type="expression" dxfId="3300" priority="4632">
      <formula>$H860="ETAPA"</formula>
    </cfRule>
  </conditionalFormatting>
  <conditionalFormatting sqref="M865 M867">
    <cfRule type="expression" dxfId="3299" priority="4630">
      <formula>$H865="CÉLULA CONSTRUTIVA"</formula>
    </cfRule>
    <cfRule type="expression" dxfId="3298" priority="4631">
      <formula>$H865="ETAPA"</formula>
    </cfRule>
  </conditionalFormatting>
  <conditionalFormatting sqref="M869:M870">
    <cfRule type="expression" dxfId="3297" priority="4629">
      <formula>$H869="ETAPA"</formula>
    </cfRule>
  </conditionalFormatting>
  <conditionalFormatting sqref="M872">
    <cfRule type="expression" dxfId="3296" priority="4627">
      <formula>$H872="CÉLULA CONSTRUTIVA"</formula>
    </cfRule>
    <cfRule type="expression" dxfId="3295" priority="4628">
      <formula>$H872="ETAPA"</formula>
    </cfRule>
  </conditionalFormatting>
  <conditionalFormatting sqref="M874">
    <cfRule type="expression" dxfId="3294" priority="4625">
      <formula>$H874="CÉLULA CONSTRUTIVA"</formula>
    </cfRule>
    <cfRule type="expression" dxfId="3293" priority="4626">
      <formula>$H874="ETAPA"</formula>
    </cfRule>
  </conditionalFormatting>
  <conditionalFormatting sqref="M875">
    <cfRule type="expression" dxfId="3292" priority="4624">
      <formula>$H875="ETAPA"</formula>
    </cfRule>
  </conditionalFormatting>
  <conditionalFormatting sqref="M880 M882">
    <cfRule type="expression" dxfId="3291" priority="4622">
      <formula>$H880="CÉLULA CONSTRUTIVA"</formula>
    </cfRule>
    <cfRule type="expression" dxfId="3290" priority="4623">
      <formula>$H880="ETAPA"</formula>
    </cfRule>
  </conditionalFormatting>
  <conditionalFormatting sqref="M884:M885">
    <cfRule type="expression" dxfId="3289" priority="4621">
      <formula>$H884="ETAPA"</formula>
    </cfRule>
  </conditionalFormatting>
  <conditionalFormatting sqref="M887">
    <cfRule type="expression" dxfId="3288" priority="4620">
      <formula>$H887="ETAPA"</formula>
    </cfRule>
    <cfRule type="expression" dxfId="3287" priority="4619">
      <formula>$H887="CÉLULA CONSTRUTIVA"</formula>
    </cfRule>
  </conditionalFormatting>
  <conditionalFormatting sqref="M889">
    <cfRule type="expression" dxfId="3286" priority="4618">
      <formula>$H889="ETAPA"</formula>
    </cfRule>
    <cfRule type="expression" dxfId="3285" priority="4617">
      <formula>$H889="CÉLULA CONSTRUTIVA"</formula>
    </cfRule>
  </conditionalFormatting>
  <conditionalFormatting sqref="M890">
    <cfRule type="expression" dxfId="3284" priority="4616">
      <formula>$H890="ETAPA"</formula>
    </cfRule>
  </conditionalFormatting>
  <conditionalFormatting sqref="M895 M897">
    <cfRule type="expression" dxfId="3283" priority="4615">
      <formula>$H895="ETAPA"</formula>
    </cfRule>
    <cfRule type="expression" dxfId="3282" priority="4614">
      <formula>$H895="CÉLULA CONSTRUTIVA"</formula>
    </cfRule>
  </conditionalFormatting>
  <conditionalFormatting sqref="M899:M900">
    <cfRule type="expression" dxfId="3281" priority="4613">
      <formula>$H899="ETAPA"</formula>
    </cfRule>
  </conditionalFormatting>
  <conditionalFormatting sqref="M902">
    <cfRule type="expression" dxfId="3280" priority="4612">
      <formula>$H902="ETAPA"</formula>
    </cfRule>
    <cfRule type="expression" dxfId="3279" priority="4611">
      <formula>$H902="CÉLULA CONSTRUTIVA"</formula>
    </cfRule>
  </conditionalFormatting>
  <conditionalFormatting sqref="M904">
    <cfRule type="expression" dxfId="3278" priority="4609">
      <formula>$H904="CÉLULA CONSTRUTIVA"</formula>
    </cfRule>
    <cfRule type="expression" dxfId="3277" priority="4610">
      <formula>$H904="ETAPA"</formula>
    </cfRule>
  </conditionalFormatting>
  <conditionalFormatting sqref="M905">
    <cfRule type="expression" dxfId="3276" priority="4608">
      <formula>$H905="ETAPA"</formula>
    </cfRule>
  </conditionalFormatting>
  <conditionalFormatting sqref="M910 M912">
    <cfRule type="expression" dxfId="3275" priority="4606">
      <formula>$H910="CÉLULA CONSTRUTIVA"</formula>
    </cfRule>
    <cfRule type="expression" dxfId="3274" priority="4607">
      <formula>$H910="ETAPA"</formula>
    </cfRule>
  </conditionalFormatting>
  <conditionalFormatting sqref="M917:M922 M949:M954 M956:M961 M963:M968 M970:M975 M977:M982 M989:M994">
    <cfRule type="expression" dxfId="3273" priority="9354">
      <formula>$H917="SUBETAPA"</formula>
    </cfRule>
  </conditionalFormatting>
  <conditionalFormatting sqref="M999:M1001">
    <cfRule type="expression" dxfId="3272" priority="33">
      <formula>$H999="CÉLULA CONSTRUTIVA"</formula>
    </cfRule>
    <cfRule type="expression" dxfId="3271" priority="32">
      <formula>$H999="SUBETAPA"</formula>
    </cfRule>
  </conditionalFormatting>
  <conditionalFormatting sqref="M999:M1003">
    <cfRule type="expression" dxfId="3270" priority="4605">
      <formula>$H999="ETAPA"</formula>
    </cfRule>
  </conditionalFormatting>
  <conditionalFormatting sqref="M1002:M1003">
    <cfRule type="expression" dxfId="3269" priority="4603">
      <formula>$H1002="SUBETAPA"</formula>
    </cfRule>
    <cfRule type="expression" dxfId="3268" priority="4604">
      <formula>$H1002="CÉLULA CONSTRUTIVA"</formula>
    </cfRule>
  </conditionalFormatting>
  <conditionalFormatting sqref="M1012">
    <cfRule type="expression" dxfId="3267" priority="4602">
      <formula>$H1012="ETAPA"</formula>
    </cfRule>
    <cfRule type="expression" dxfId="3266" priority="4601">
      <formula>$H1012="CÉLULA CONSTRUTIVA"</formula>
    </cfRule>
    <cfRule type="expression" dxfId="3265" priority="4600">
      <formula>$H1012="SUBETAPA"</formula>
    </cfRule>
  </conditionalFormatting>
  <conditionalFormatting sqref="M1013:M1014 M1016:M1017 I1013:K1014 I1015:J1015 I1016:K1016">
    <cfRule type="expression" dxfId="3264" priority="4599">
      <formula>$H1013="CÉLULA CONSTRUTIVA"</formula>
    </cfRule>
  </conditionalFormatting>
  <conditionalFormatting sqref="M1013:M1014 M1016:M1017">
    <cfRule type="expression" dxfId="3263" priority="4598">
      <formula>$H1013="SUBETAPA"</formula>
    </cfRule>
  </conditionalFormatting>
  <conditionalFormatting sqref="M1019">
    <cfRule type="expression" dxfId="3262" priority="4596">
      <formula>$H1019="CÉLULA CONSTRUTIVA"</formula>
    </cfRule>
    <cfRule type="expression" dxfId="3261" priority="4597">
      <formula>$H1019="ETAPA"</formula>
    </cfRule>
    <cfRule type="expression" dxfId="3260" priority="4595">
      <formula>$H1019="SUBETAPA"</formula>
    </cfRule>
  </conditionalFormatting>
  <conditionalFormatting sqref="M1022:M1026">
    <cfRule type="expression" dxfId="3259" priority="4593">
      <formula>$H1022="CÉLULA CONSTRUTIVA"</formula>
    </cfRule>
    <cfRule type="expression" dxfId="3258" priority="4594">
      <formula>$H1022="ETAPA"</formula>
    </cfRule>
    <cfRule type="expression" dxfId="3257" priority="4592">
      <formula>$H1022="SUBETAPA"</formula>
    </cfRule>
  </conditionalFormatting>
  <conditionalFormatting sqref="M1027:M1028 M1030:M1031 I1027:K1028 I1029:J1029 I1030:K1030">
    <cfRule type="expression" dxfId="3256" priority="4591">
      <formula>$H1027="CÉLULA CONSTRUTIVA"</formula>
    </cfRule>
  </conditionalFormatting>
  <conditionalFormatting sqref="M1027:M1028 M1030:M1031">
    <cfRule type="expression" dxfId="3255" priority="4590">
      <formula>$H1027="SUBETAPA"</formula>
    </cfRule>
  </conditionalFormatting>
  <conditionalFormatting sqref="M1033">
    <cfRule type="expression" dxfId="3254" priority="4589">
      <formula>$H1033="ETAPA"</formula>
    </cfRule>
    <cfRule type="expression" dxfId="3253" priority="4588">
      <formula>$H1033="CÉLULA CONSTRUTIVA"</formula>
    </cfRule>
    <cfRule type="expression" dxfId="3252" priority="4587">
      <formula>$H1033="SUBETAPA"</formula>
    </cfRule>
  </conditionalFormatting>
  <conditionalFormatting sqref="M1036:M1040">
    <cfRule type="expression" dxfId="3251" priority="4584">
      <formula>$H1036="SUBETAPA"</formula>
    </cfRule>
    <cfRule type="expression" dxfId="3250" priority="4585">
      <formula>$H1036="CÉLULA CONSTRUTIVA"</formula>
    </cfRule>
    <cfRule type="expression" dxfId="3249" priority="4586">
      <formula>$H1036="ETAPA"</formula>
    </cfRule>
  </conditionalFormatting>
  <conditionalFormatting sqref="M1041:M1042 M1044:M1045 I1041:K1042 I1043:J1043 I1044:K1044">
    <cfRule type="expression" dxfId="3248" priority="4583">
      <formula>$H1041="CÉLULA CONSTRUTIVA"</formula>
    </cfRule>
  </conditionalFormatting>
  <conditionalFormatting sqref="M1041:M1042 M1044:M1045">
    <cfRule type="expression" dxfId="3247" priority="4582">
      <formula>$H1041="SUBETAPA"</formula>
    </cfRule>
  </conditionalFormatting>
  <conditionalFormatting sqref="M1047">
    <cfRule type="expression" dxfId="3246" priority="4579">
      <formula>$H1047="SUBETAPA"</formula>
    </cfRule>
    <cfRule type="expression" dxfId="3245" priority="4580">
      <formula>$H1047="CÉLULA CONSTRUTIVA"</formula>
    </cfRule>
    <cfRule type="expression" dxfId="3244" priority="4581">
      <formula>$H1047="ETAPA"</formula>
    </cfRule>
  </conditionalFormatting>
  <conditionalFormatting sqref="M1050:M1054">
    <cfRule type="expression" dxfId="3243" priority="4577">
      <formula>$H1050="CÉLULA CONSTRUTIVA"</formula>
    </cfRule>
    <cfRule type="expression" dxfId="3242" priority="4576">
      <formula>$H1050="SUBETAPA"</formula>
    </cfRule>
    <cfRule type="expression" dxfId="3241" priority="4578">
      <formula>$H1050="ETAPA"</formula>
    </cfRule>
  </conditionalFormatting>
  <conditionalFormatting sqref="M1055:M1056 M1058:M1059 I1055:K1056 I1057:J1057 I1058:K1058">
    <cfRule type="expression" dxfId="3240" priority="4575">
      <formula>$H1055="CÉLULA CONSTRUTIVA"</formula>
    </cfRule>
  </conditionalFormatting>
  <conditionalFormatting sqref="M1055:M1056 M1058:M1059">
    <cfRule type="expression" dxfId="3239" priority="4574">
      <formula>$H1055="SUBETAPA"</formula>
    </cfRule>
  </conditionalFormatting>
  <conditionalFormatting sqref="M1061">
    <cfRule type="expression" dxfId="3238" priority="4572">
      <formula>$H1061="CÉLULA CONSTRUTIVA"</formula>
    </cfRule>
    <cfRule type="expression" dxfId="3237" priority="4571">
      <formula>$H1061="SUBETAPA"</formula>
    </cfRule>
    <cfRule type="expression" dxfId="3236" priority="4573">
      <formula>$H1061="ETAPA"</formula>
    </cfRule>
  </conditionalFormatting>
  <conditionalFormatting sqref="M1064:M1068">
    <cfRule type="expression" dxfId="3235" priority="4568">
      <formula>$H1064="SUBETAPA"</formula>
    </cfRule>
    <cfRule type="expression" dxfId="3234" priority="4570">
      <formula>$H1064="ETAPA"</formula>
    </cfRule>
    <cfRule type="expression" dxfId="3233" priority="4569">
      <formula>$H1064="CÉLULA CONSTRUTIVA"</formula>
    </cfRule>
  </conditionalFormatting>
  <conditionalFormatting sqref="M1069:M1070 M1073 I1069:K1070 I1071:J1071 I1072:K1072">
    <cfRule type="expression" dxfId="3232" priority="4567">
      <formula>$H1069="CÉLULA CONSTRUTIVA"</formula>
    </cfRule>
  </conditionalFormatting>
  <conditionalFormatting sqref="M1069:M1070 M1073">
    <cfRule type="expression" dxfId="3231" priority="4566">
      <formula>$H1069="SUBETAPA"</formula>
    </cfRule>
  </conditionalFormatting>
  <conditionalFormatting sqref="M1072">
    <cfRule type="expression" dxfId="3230" priority="4564">
      <formula>$H1072="ETAPA"</formula>
    </cfRule>
    <cfRule type="expression" dxfId="3229" priority="4565">
      <formula>$H1072="SUBETAPA"</formula>
    </cfRule>
  </conditionalFormatting>
  <conditionalFormatting sqref="M1075">
    <cfRule type="expression" dxfId="3228" priority="4562">
      <formula>$H1075="CÉLULA CONSTRUTIVA"</formula>
    </cfRule>
    <cfRule type="expression" dxfId="3227" priority="4561">
      <formula>$H1075="SUBETAPA"</formula>
    </cfRule>
    <cfRule type="expression" dxfId="3226" priority="4563">
      <formula>$H1075="ETAPA"</formula>
    </cfRule>
  </conditionalFormatting>
  <conditionalFormatting sqref="M1076">
    <cfRule type="expression" dxfId="3225" priority="4560">
      <formula>$H1076="SUBETAPA"</formula>
    </cfRule>
  </conditionalFormatting>
  <conditionalFormatting sqref="M1078:M1081">
    <cfRule type="expression" dxfId="3224" priority="4557">
      <formula>$H1078="SUBETAPA"</formula>
    </cfRule>
    <cfRule type="expression" dxfId="3223" priority="4558">
      <formula>$H1078="CÉLULA CONSTRUTIVA"</formula>
    </cfRule>
    <cfRule type="expression" dxfId="3222" priority="4559">
      <formula>$H1078="ETAPA"</formula>
    </cfRule>
  </conditionalFormatting>
  <conditionalFormatting sqref="M1082">
    <cfRule type="expression" dxfId="3221" priority="4555">
      <formula>$H1082="SUBETAPA"</formula>
    </cfRule>
    <cfRule type="expression" dxfId="3220" priority="4556">
      <formula>$H1082="CÉLULA CONSTRUTIVA"</formula>
    </cfRule>
    <cfRule type="expression" dxfId="3219" priority="4554">
      <formula>$H1082="ETAPA"</formula>
    </cfRule>
  </conditionalFormatting>
  <conditionalFormatting sqref="M1083:M1084 M1087 I1083:K1084 I1085:J1085 I1086:K1086">
    <cfRule type="expression" dxfId="3218" priority="4553">
      <formula>$H1083="CÉLULA CONSTRUTIVA"</formula>
    </cfRule>
  </conditionalFormatting>
  <conditionalFormatting sqref="M1083:M1084 M1087">
    <cfRule type="expression" dxfId="3217" priority="4552">
      <formula>$H1083="SUBETAPA"</formula>
    </cfRule>
  </conditionalFormatting>
  <conditionalFormatting sqref="M1085">
    <cfRule type="expression" dxfId="3216" priority="4549">
      <formula>$H1085="ETAPA"</formula>
    </cfRule>
    <cfRule type="expression" dxfId="3215" priority="4550">
      <formula>$H1085="SUBETAPA"</formula>
    </cfRule>
    <cfRule type="expression" dxfId="3214" priority="4551">
      <formula>$H1085="CÉLULA CONSTRUTIVA"</formula>
    </cfRule>
  </conditionalFormatting>
  <conditionalFormatting sqref="M1086">
    <cfRule type="expression" dxfId="3213" priority="4546">
      <formula>$H1086="ETAPA"</formula>
    </cfRule>
    <cfRule type="expression" dxfId="3212" priority="4547">
      <formula>$H1086="SUBETAPA"</formula>
    </cfRule>
    <cfRule type="expression" dxfId="3211" priority="4548">
      <formula>$H1086="CÉLULA CONSTRUTIVA"</formula>
    </cfRule>
  </conditionalFormatting>
  <conditionalFormatting sqref="M1088">
    <cfRule type="expression" dxfId="3210" priority="4543">
      <formula>$H1088="ETAPA"</formula>
    </cfRule>
    <cfRule type="expression" dxfId="3209" priority="4545">
      <formula>$H1088="CÉLULA CONSTRUTIVA"</formula>
    </cfRule>
    <cfRule type="expression" dxfId="3208" priority="4544">
      <formula>$H1088="SUBETAPA"</formula>
    </cfRule>
  </conditionalFormatting>
  <conditionalFormatting sqref="M1089">
    <cfRule type="expression" dxfId="3207" priority="4540">
      <formula>$H1089="SUBETAPA"</formula>
    </cfRule>
    <cfRule type="expression" dxfId="3206" priority="4541">
      <formula>$H1089="CÉLULA CONSTRUTIVA"</formula>
    </cfRule>
    <cfRule type="expression" dxfId="3205" priority="4542">
      <formula>$H1089="ETAPA"</formula>
    </cfRule>
  </conditionalFormatting>
  <conditionalFormatting sqref="M1090">
    <cfRule type="expression" dxfId="3204" priority="4538">
      <formula>$H1090="SUBETAPA"</formula>
    </cfRule>
    <cfRule type="expression" dxfId="3203" priority="4539">
      <formula>$H1090="CÉLULA CONSTRUTIVA"</formula>
    </cfRule>
    <cfRule type="expression" dxfId="3202" priority="4537">
      <formula>$H1090="ETAPA"</formula>
    </cfRule>
  </conditionalFormatting>
  <conditionalFormatting sqref="M1091">
    <cfRule type="expression" dxfId="3201" priority="4534">
      <formula>$H1091="ETAPA"</formula>
    </cfRule>
    <cfRule type="expression" dxfId="3200" priority="4535">
      <formula>$H1091="SUBETAPA"</formula>
    </cfRule>
    <cfRule type="expression" dxfId="3199" priority="4536">
      <formula>$H1091="CÉLULA CONSTRUTIVA"</formula>
    </cfRule>
  </conditionalFormatting>
  <conditionalFormatting sqref="M1092:M1095">
    <cfRule type="expression" dxfId="3198" priority="4531">
      <formula>$H1092="SUBETAPA"</formula>
    </cfRule>
    <cfRule type="expression" dxfId="3197" priority="4532">
      <formula>$H1092="CÉLULA CONSTRUTIVA"</formula>
    </cfRule>
    <cfRule type="expression" dxfId="3196" priority="4533">
      <formula>$H1092="ETAPA"</formula>
    </cfRule>
  </conditionalFormatting>
  <conditionalFormatting sqref="M1096">
    <cfRule type="expression" dxfId="3195" priority="4528">
      <formula>$H1096="ETAPA"</formula>
    </cfRule>
    <cfRule type="expression" dxfId="3194" priority="4530">
      <formula>$H1096="CÉLULA CONSTRUTIVA"</formula>
    </cfRule>
    <cfRule type="expression" dxfId="3193" priority="4529">
      <formula>$H1096="SUBETAPA"</formula>
    </cfRule>
  </conditionalFormatting>
  <conditionalFormatting sqref="M1097:M1098 M1100:M1101 I1097:K1098 I1099:J1099 I1100:K1100">
    <cfRule type="expression" dxfId="3192" priority="4527">
      <formula>$H1097="CÉLULA CONSTRUTIVA"</formula>
    </cfRule>
  </conditionalFormatting>
  <conditionalFormatting sqref="M1097:M1098 M1100:M1101">
    <cfRule type="expression" dxfId="3191" priority="4526">
      <formula>$H1097="SUBETAPA"</formula>
    </cfRule>
  </conditionalFormatting>
  <conditionalFormatting sqref="M1103">
    <cfRule type="expression" dxfId="3190" priority="4525">
      <formula>$H1103="ETAPA"</formula>
    </cfRule>
    <cfRule type="expression" dxfId="3189" priority="4524">
      <formula>$H1103="CÉLULA CONSTRUTIVA"</formula>
    </cfRule>
    <cfRule type="expression" dxfId="3188" priority="4523">
      <formula>$H1103="SUBETAPA"</formula>
    </cfRule>
  </conditionalFormatting>
  <conditionalFormatting sqref="M1106:M1110">
    <cfRule type="expression" dxfId="3187" priority="4522">
      <formula>$H1106="ETAPA"</formula>
    </cfRule>
    <cfRule type="expression" dxfId="3186" priority="4521">
      <formula>$H1106="CÉLULA CONSTRUTIVA"</formula>
    </cfRule>
    <cfRule type="expression" dxfId="3185" priority="4520">
      <formula>$H1106="SUBETAPA"</formula>
    </cfRule>
  </conditionalFormatting>
  <conditionalFormatting sqref="M1111:M1112 M1114:M1115 I1111:K1112 I1113:J1113 I1114:K1114">
    <cfRule type="expression" dxfId="3184" priority="4519">
      <formula>$H1111="CÉLULA CONSTRUTIVA"</formula>
    </cfRule>
  </conditionalFormatting>
  <conditionalFormatting sqref="M1111:M1112 M1114:M1115">
    <cfRule type="expression" dxfId="3183" priority="4518">
      <formula>$H1111="SUBETAPA"</formula>
    </cfRule>
  </conditionalFormatting>
  <conditionalFormatting sqref="M1117">
    <cfRule type="expression" dxfId="3182" priority="4517">
      <formula>$H1117="ETAPA"</formula>
    </cfRule>
    <cfRule type="expression" dxfId="3181" priority="4515">
      <formula>$H1117="SUBETAPA"</formula>
    </cfRule>
    <cfRule type="expression" dxfId="3180" priority="4516">
      <formula>$H1117="CÉLULA CONSTRUTIVA"</formula>
    </cfRule>
  </conditionalFormatting>
  <conditionalFormatting sqref="M1120:M1128 M1146:M1148 M1153:M1155 M1160:M1162 M1165:M1167 M1170:M1172 M1175:M1177">
    <cfRule type="expression" dxfId="3179" priority="4514">
      <formula>$H1120="ETAPA"</formula>
    </cfRule>
  </conditionalFormatting>
  <conditionalFormatting sqref="M1130">
    <cfRule type="expression" dxfId="3178" priority="4513">
      <formula>$H1130="ETAPA"</formula>
    </cfRule>
    <cfRule type="expression" dxfId="3177" priority="4512">
      <formula>$H1130="CÉLULA CONSTRUTIVA"</formula>
    </cfRule>
    <cfRule type="expression" dxfId="3176" priority="4511">
      <formula>$H1130="SUBETAPA"</formula>
    </cfRule>
  </conditionalFormatting>
  <conditionalFormatting sqref="M1133">
    <cfRule type="expression" dxfId="3175" priority="4509">
      <formula>$H1133="CÉLULA CONSTRUTIVA"</formula>
    </cfRule>
    <cfRule type="expression" dxfId="3174" priority="4510">
      <formula>$H1133="ETAPA"</formula>
    </cfRule>
    <cfRule type="expression" dxfId="3173" priority="4508">
      <formula>$H1133="SUBETAPA"</formula>
    </cfRule>
  </conditionalFormatting>
  <conditionalFormatting sqref="M1136">
    <cfRule type="expression" dxfId="3172" priority="4507">
      <formula>$H1136="ETAPA"</formula>
    </cfRule>
    <cfRule type="expression" dxfId="3171" priority="4505">
      <formula>$H1136="SUBETAPA"</formula>
    </cfRule>
  </conditionalFormatting>
  <conditionalFormatting sqref="M1139">
    <cfRule type="expression" dxfId="3170" priority="4502">
      <formula>$H1139="SUBETAPA"</formula>
    </cfRule>
    <cfRule type="expression" dxfId="3169" priority="4504">
      <formula>$H1139="ETAPA"</formula>
    </cfRule>
  </conditionalFormatting>
  <conditionalFormatting sqref="M1142">
    <cfRule type="expression" dxfId="3168" priority="4499">
      <formula>$H1142="SUBETAPA"</formula>
    </cfRule>
    <cfRule type="expression" dxfId="3167" priority="4501">
      <formula>$H1142="ETAPA"</formula>
    </cfRule>
  </conditionalFormatting>
  <conditionalFormatting sqref="M1145">
    <cfRule type="expression" dxfId="3166" priority="4496">
      <formula>$H1145="SUBETAPA"</formula>
    </cfRule>
    <cfRule type="expression" dxfId="3165" priority="4498">
      <formula>$H1145="ETAPA"</formula>
    </cfRule>
  </conditionalFormatting>
  <conditionalFormatting sqref="M1150">
    <cfRule type="expression" dxfId="3164" priority="4493">
      <formula>$H1150="SUBETAPA"</formula>
    </cfRule>
    <cfRule type="expression" dxfId="3163" priority="4494">
      <formula>$H1150="CÉLULA CONSTRUTIVA"</formula>
    </cfRule>
    <cfRule type="expression" dxfId="3162" priority="4495">
      <formula>$H1150="ETAPA"</formula>
    </cfRule>
  </conditionalFormatting>
  <conditionalFormatting sqref="M1151">
    <cfRule type="expression" dxfId="3161" priority="4492">
      <formula>$H1151="ETAPA"</formula>
    </cfRule>
    <cfRule type="expression" dxfId="3160" priority="4491">
      <formula>$H1151="CÉLULA CONSTRUTIVA"</formula>
    </cfRule>
  </conditionalFormatting>
  <conditionalFormatting sqref="M1152">
    <cfRule type="expression" dxfId="3159" priority="4490">
      <formula>$H1152="ETAPA"</formula>
    </cfRule>
  </conditionalFormatting>
  <conditionalFormatting sqref="M1157">
    <cfRule type="expression" dxfId="3158" priority="4488">
      <formula>$H1157="CÉLULA CONSTRUTIVA"</formula>
    </cfRule>
    <cfRule type="expression" dxfId="3157" priority="4489">
      <formula>$H1157="ETAPA"</formula>
    </cfRule>
    <cfRule type="expression" dxfId="3156" priority="4487">
      <formula>$H1157="SUBETAPA"</formula>
    </cfRule>
  </conditionalFormatting>
  <conditionalFormatting sqref="M1158">
    <cfRule type="expression" dxfId="3155" priority="4486">
      <formula>$H1158="ETAPA"</formula>
    </cfRule>
    <cfRule type="expression" dxfId="3154" priority="4485">
      <formula>$H1158="CÉLULA CONSTRUTIVA"</formula>
    </cfRule>
  </conditionalFormatting>
  <conditionalFormatting sqref="M1159">
    <cfRule type="expression" dxfId="3153" priority="4484">
      <formula>$H1159="ETAPA"</formula>
    </cfRule>
  </conditionalFormatting>
  <conditionalFormatting sqref="M1164">
    <cfRule type="expression" dxfId="3152" priority="4483">
      <formula>$H1164="ETAPA"</formula>
    </cfRule>
    <cfRule type="expression" dxfId="3151" priority="4481">
      <formula>$H1164="SUBETAPA"</formula>
    </cfRule>
    <cfRule type="expression" dxfId="3150" priority="4482">
      <formula>$H1164="CÉLULA CONSTRUTIVA"</formula>
    </cfRule>
  </conditionalFormatting>
  <conditionalFormatting sqref="M1169">
    <cfRule type="expression" dxfId="3149" priority="4480">
      <formula>$H1169="ETAPA"</formula>
    </cfRule>
    <cfRule type="expression" dxfId="3148" priority="4478">
      <formula>$H1169="SUBETAPA"</formula>
    </cfRule>
  </conditionalFormatting>
  <conditionalFormatting sqref="M1174">
    <cfRule type="expression" dxfId="3147" priority="4476">
      <formula>$H1174="CÉLULA CONSTRUTIVA"</formula>
    </cfRule>
    <cfRule type="expression" dxfId="3146" priority="4475">
      <formula>$H1174="SUBETAPA"</formula>
    </cfRule>
    <cfRule type="expression" dxfId="3145" priority="4477">
      <formula>$H1174="ETAPA"</formula>
    </cfRule>
  </conditionalFormatting>
  <conditionalFormatting sqref="M1175:M1177 M1170:M1172 M1165:M1167 M1160:M1162 M1153:M1155 M1146:M1148 M1120:M1128">
    <cfRule type="expression" dxfId="3144" priority="4473">
      <formula>$H1120="SUBETAPA"</formula>
    </cfRule>
  </conditionalFormatting>
  <conditionalFormatting sqref="M1179">
    <cfRule type="expression" dxfId="3143" priority="4471">
      <formula>$H1179="CÉLULA CONSTRUTIVA"</formula>
    </cfRule>
    <cfRule type="expression" dxfId="3142" priority="4470">
      <formula>$H1179="SUBETAPA"</formula>
    </cfRule>
    <cfRule type="expression" dxfId="3141" priority="4472">
      <formula>$H1179="ETAPA"</formula>
    </cfRule>
  </conditionalFormatting>
  <conditionalFormatting sqref="M1182">
    <cfRule type="expression" dxfId="3140" priority="4468">
      <formula>$H1182="CÉLULA CONSTRUTIVA"</formula>
    </cfRule>
    <cfRule type="expression" dxfId="3139" priority="4467">
      <formula>$H1182="SUBETAPA"</formula>
    </cfRule>
    <cfRule type="expression" dxfId="3138" priority="4469">
      <formula>$H1182="ETAPA"</formula>
    </cfRule>
  </conditionalFormatting>
  <conditionalFormatting sqref="M1435">
    <cfRule type="expression" dxfId="3137" priority="3773">
      <formula>$H1435="CÉLULA CONSTRUTIVA"</formula>
    </cfRule>
    <cfRule type="expression" dxfId="3136" priority="3774">
      <formula>$H1435="ETAPA"</formula>
    </cfRule>
    <cfRule type="expression" dxfId="3135" priority="3772">
      <formula>$H1435="ETAPA"</formula>
    </cfRule>
    <cfRule type="expression" dxfId="3134" priority="3775">
      <formula>$H1435="SUBETAPA"</formula>
    </cfRule>
  </conditionalFormatting>
  <conditionalFormatting sqref="M1435:M1441">
    <cfRule type="expression" dxfId="3133" priority="3771">
      <formula>$H1435="CÉLULA CONSTRUTIVA"</formula>
    </cfRule>
    <cfRule type="expression" dxfId="3132" priority="3770">
      <formula>$H1435="ETAPA"</formula>
    </cfRule>
  </conditionalFormatting>
  <conditionalFormatting sqref="M1436 O1436">
    <cfRule type="expression" dxfId="3131" priority="3769">
      <formula>$H1436="CÉLULA CONSTRUTIVA"</formula>
    </cfRule>
  </conditionalFormatting>
  <conditionalFormatting sqref="M1436">
    <cfRule type="expression" dxfId="3130" priority="3768">
      <formula>$H1436="ETAPA"</formula>
    </cfRule>
    <cfRule type="expression" dxfId="3129" priority="3767">
      <formula>$H1436="CÉLULA CONSTRUTIVA"</formula>
    </cfRule>
    <cfRule type="expression" dxfId="3128" priority="3766">
      <formula>$H1436="SUBETAPA"</formula>
    </cfRule>
    <cfRule type="expression" dxfId="3127" priority="3765">
      <formula>$H1436="ETAPA"</formula>
    </cfRule>
  </conditionalFormatting>
  <conditionalFormatting sqref="M1437:M1441">
    <cfRule type="expression" dxfId="3126" priority="3764">
      <formula>$H1437="ETAPA"</formula>
    </cfRule>
    <cfRule type="expression" dxfId="3125" priority="3763">
      <formula>$H1437="ETAPA"</formula>
    </cfRule>
    <cfRule type="expression" dxfId="3124" priority="3762">
      <formula>$H1437="CÉLULA CONSTRUTIVA"</formula>
    </cfRule>
    <cfRule type="expression" dxfId="3123" priority="3761">
      <formula>$H1437="SUBETAPA"</formula>
    </cfRule>
    <cfRule type="expression" dxfId="3122" priority="3760">
      <formula>$H1437="CÉLULA CONSTRUTIVA"</formula>
    </cfRule>
  </conditionalFormatting>
  <conditionalFormatting sqref="M1446">
    <cfRule type="expression" dxfId="3121" priority="3759">
      <formula>$H1446="SUBETAPA"</formula>
    </cfRule>
    <cfRule type="expression" dxfId="3120" priority="3758">
      <formula>$H1446="ETAPA"</formula>
    </cfRule>
    <cfRule type="expression" dxfId="3119" priority="3756">
      <formula>$H1446="ETAPA"</formula>
    </cfRule>
    <cfRule type="expression" dxfId="3118" priority="3757">
      <formula>$H1446="CÉLULA CONSTRUTIVA"</formula>
    </cfRule>
  </conditionalFormatting>
  <conditionalFormatting sqref="M1446:M1447 O1447">
    <cfRule type="expression" dxfId="3117" priority="3753">
      <formula>$H1446="CÉLULA CONSTRUTIVA"</formula>
    </cfRule>
  </conditionalFormatting>
  <conditionalFormatting sqref="M1446:M1447">
    <cfRule type="expression" dxfId="3116" priority="3755">
      <formula>$H1446="ETAPA"</formula>
    </cfRule>
  </conditionalFormatting>
  <conditionalFormatting sqref="M1447">
    <cfRule type="expression" dxfId="3115" priority="3752">
      <formula>$H1447="ETAPA"</formula>
    </cfRule>
    <cfRule type="expression" dxfId="3114" priority="3749">
      <formula>$H1447="ETAPA"</formula>
    </cfRule>
    <cfRule type="expression" dxfId="3113" priority="3750">
      <formula>$H1447="SUBETAPA"</formula>
    </cfRule>
    <cfRule type="expression" dxfId="3112" priority="3751">
      <formula>$H1447="CÉLULA CONSTRUTIVA"</formula>
    </cfRule>
  </conditionalFormatting>
  <conditionalFormatting sqref="M1448:M1449 M1458 M1467 M1474 L1481:M1482 L1489:M1490 L1499:M1500 L1507:M1509 L1518:M1520 L1529:M1531 L1540:M1542 L1551:M1553 J1562:M1563">
    <cfRule type="expression" dxfId="3111" priority="3617">
      <formula>$H1448="CÉLULA CONSTRUTIVA"</formula>
    </cfRule>
  </conditionalFormatting>
  <conditionalFormatting sqref="M1448:M1449 M1458 M1467 M1474 M1481:M1482 M1489:M1490 M1499:M1500 M1507:M1509 M1518:M1520 M1529:M1531 M1540:M1542 M1551:M1553 M1562:M1563">
    <cfRule type="expression" dxfId="3110" priority="3613">
      <formula>$H1448="CÉLULA CONSTRUTIVA"</formula>
    </cfRule>
    <cfRule type="expression" dxfId="3109" priority="3611">
      <formula>$H1448="CÉLULA CONSTRUTIVA"</formula>
    </cfRule>
  </conditionalFormatting>
  <conditionalFormatting sqref="M1456">
    <cfRule type="expression" dxfId="3108" priority="3748">
      <formula>$H1456="SUBETAPA"</formula>
    </cfRule>
    <cfRule type="expression" dxfId="3107" priority="3745">
      <formula>$H1456="ETAPA"</formula>
    </cfRule>
    <cfRule type="expression" dxfId="3106" priority="3746">
      <formula>$H1456="CÉLULA CONSTRUTIVA"</formula>
    </cfRule>
    <cfRule type="expression" dxfId="3105" priority="3747">
      <formula>$H1456="ETAPA"</formula>
    </cfRule>
  </conditionalFormatting>
  <conditionalFormatting sqref="M1456:M1457 O1457">
    <cfRule type="expression" dxfId="3104" priority="3742">
      <formula>$H1456="CÉLULA CONSTRUTIVA"</formula>
    </cfRule>
  </conditionalFormatting>
  <conditionalFormatting sqref="M1456:M1457">
    <cfRule type="expression" dxfId="3103" priority="3744">
      <formula>$H1456="ETAPA"</formula>
    </cfRule>
  </conditionalFormatting>
  <conditionalFormatting sqref="M1457">
    <cfRule type="expression" dxfId="3102" priority="3738">
      <formula>$H1457="ETAPA"</formula>
    </cfRule>
    <cfRule type="expression" dxfId="3101" priority="3739">
      <formula>$H1457="SUBETAPA"</formula>
    </cfRule>
    <cfRule type="expression" dxfId="3100" priority="3740">
      <formula>$H1457="CÉLULA CONSTRUTIVA"</formula>
    </cfRule>
    <cfRule type="expression" dxfId="3099" priority="3741">
      <formula>$H1457="ETAPA"</formula>
    </cfRule>
  </conditionalFormatting>
  <conditionalFormatting sqref="M1465">
    <cfRule type="expression" dxfId="3098" priority="3734">
      <formula>$H1465="ETAPA"</formula>
    </cfRule>
    <cfRule type="expression" dxfId="3097" priority="3735">
      <formula>$H1465="CÉLULA CONSTRUTIVA"</formula>
    </cfRule>
    <cfRule type="expression" dxfId="3096" priority="3736">
      <formula>$H1465="ETAPA"</formula>
    </cfRule>
    <cfRule type="expression" dxfId="3095" priority="3737">
      <formula>$H1465="SUBETAPA"</formula>
    </cfRule>
  </conditionalFormatting>
  <conditionalFormatting sqref="M1465:M1466 O1466">
    <cfRule type="expression" dxfId="3094" priority="3731">
      <formula>$H1465="CÉLULA CONSTRUTIVA"</formula>
    </cfRule>
  </conditionalFormatting>
  <conditionalFormatting sqref="M1465:M1466">
    <cfRule type="expression" dxfId="3093" priority="3733">
      <formula>$H1465="ETAPA"</formula>
    </cfRule>
  </conditionalFormatting>
  <conditionalFormatting sqref="M1466">
    <cfRule type="expression" dxfId="3092" priority="3729">
      <formula>$H1466="CÉLULA CONSTRUTIVA"</formula>
    </cfRule>
    <cfRule type="expression" dxfId="3091" priority="3730">
      <formula>$H1466="ETAPA"</formula>
    </cfRule>
    <cfRule type="expression" dxfId="3090" priority="3727">
      <formula>$H1466="ETAPA"</formula>
    </cfRule>
    <cfRule type="expression" dxfId="3089" priority="3728">
      <formula>$H1466="SUBETAPA"</formula>
    </cfRule>
  </conditionalFormatting>
  <conditionalFormatting sqref="M1472">
    <cfRule type="expression" dxfId="3088" priority="3725">
      <formula>$H1472="ETAPA"</formula>
    </cfRule>
    <cfRule type="expression" dxfId="3087" priority="3724">
      <formula>$H1472="CÉLULA CONSTRUTIVA"</formula>
    </cfRule>
    <cfRule type="expression" dxfId="3086" priority="3726">
      <formula>$H1472="SUBETAPA"</formula>
    </cfRule>
    <cfRule type="expression" dxfId="3085" priority="3723">
      <formula>$H1472="ETAPA"</formula>
    </cfRule>
  </conditionalFormatting>
  <conditionalFormatting sqref="M1472:M1473 O1473">
    <cfRule type="expression" dxfId="3084" priority="3720">
      <formula>$H1472="CÉLULA CONSTRUTIVA"</formula>
    </cfRule>
  </conditionalFormatting>
  <conditionalFormatting sqref="M1472:M1473">
    <cfRule type="expression" dxfId="3083" priority="3722">
      <formula>$H1472="ETAPA"</formula>
    </cfRule>
  </conditionalFormatting>
  <conditionalFormatting sqref="M1473">
    <cfRule type="expression" dxfId="3082" priority="3718">
      <formula>$H1473="CÉLULA CONSTRUTIVA"</formula>
    </cfRule>
    <cfRule type="expression" dxfId="3081" priority="3717">
      <formula>$H1473="SUBETAPA"</formula>
    </cfRule>
    <cfRule type="expression" dxfId="3080" priority="3716">
      <formula>$H1473="ETAPA"</formula>
    </cfRule>
    <cfRule type="expression" dxfId="3079" priority="3719">
      <formula>$H1473="ETAPA"</formula>
    </cfRule>
  </conditionalFormatting>
  <conditionalFormatting sqref="M1479">
    <cfRule type="expression" dxfId="3078" priority="3714">
      <formula>$H1479="ETAPA"</formula>
    </cfRule>
    <cfRule type="expression" dxfId="3077" priority="3715">
      <formula>$H1479="SUBETAPA"</formula>
    </cfRule>
    <cfRule type="expression" dxfId="3076" priority="3712">
      <formula>$H1479="ETAPA"</formula>
    </cfRule>
    <cfRule type="expression" dxfId="3075" priority="3713">
      <formula>$H1479="CÉLULA CONSTRUTIVA"</formula>
    </cfRule>
  </conditionalFormatting>
  <conditionalFormatting sqref="M1479:M1480 O1480">
    <cfRule type="expression" dxfId="3074" priority="3709">
      <formula>$H1479="CÉLULA CONSTRUTIVA"</formula>
    </cfRule>
  </conditionalFormatting>
  <conditionalFormatting sqref="M1479:M1480">
    <cfRule type="expression" dxfId="3073" priority="3711">
      <formula>$H1479="ETAPA"</formula>
    </cfRule>
  </conditionalFormatting>
  <conditionalFormatting sqref="M1480">
    <cfRule type="expression" dxfId="3072" priority="3707">
      <formula>$H1480="CÉLULA CONSTRUTIVA"</formula>
    </cfRule>
    <cfRule type="expression" dxfId="3071" priority="3705">
      <formula>$H1480="ETAPA"</formula>
    </cfRule>
    <cfRule type="expression" dxfId="3070" priority="3706">
      <formula>$H1480="SUBETAPA"</formula>
    </cfRule>
    <cfRule type="expression" dxfId="3069" priority="3708">
      <formula>$H1480="ETAPA"</formula>
    </cfRule>
  </conditionalFormatting>
  <conditionalFormatting sqref="M1487">
    <cfRule type="expression" dxfId="3068" priority="3701">
      <formula>$H1487="ETAPA"</formula>
    </cfRule>
    <cfRule type="expression" dxfId="3067" priority="3702">
      <formula>$H1487="CÉLULA CONSTRUTIVA"</formula>
    </cfRule>
    <cfRule type="expression" dxfId="3066" priority="3703">
      <formula>$H1487="ETAPA"</formula>
    </cfRule>
    <cfRule type="expression" dxfId="3065" priority="3704">
      <formula>$H1487="SUBETAPA"</formula>
    </cfRule>
  </conditionalFormatting>
  <conditionalFormatting sqref="M1487:M1488 O1488">
    <cfRule type="expression" dxfId="3064" priority="3698">
      <formula>$H1487="CÉLULA CONSTRUTIVA"</formula>
    </cfRule>
  </conditionalFormatting>
  <conditionalFormatting sqref="M1487:M1488">
    <cfRule type="expression" dxfId="3063" priority="3700">
      <formula>$H1487="ETAPA"</formula>
    </cfRule>
  </conditionalFormatting>
  <conditionalFormatting sqref="M1488">
    <cfRule type="expression" dxfId="3062" priority="3695">
      <formula>$H1488="SUBETAPA"</formula>
    </cfRule>
    <cfRule type="expression" dxfId="3061" priority="3696">
      <formula>$H1488="CÉLULA CONSTRUTIVA"</formula>
    </cfRule>
    <cfRule type="expression" dxfId="3060" priority="3694">
      <formula>$H1488="ETAPA"</formula>
    </cfRule>
    <cfRule type="expression" dxfId="3059" priority="3697">
      <formula>$H1488="ETAPA"</formula>
    </cfRule>
  </conditionalFormatting>
  <conditionalFormatting sqref="M1497">
    <cfRule type="expression" dxfId="3058" priority="3693">
      <formula>$H1497="SUBETAPA"</formula>
    </cfRule>
    <cfRule type="expression" dxfId="3057" priority="3692">
      <formula>$H1497="ETAPA"</formula>
    </cfRule>
    <cfRule type="expression" dxfId="3056" priority="3691">
      <formula>$H1497="CÉLULA CONSTRUTIVA"</formula>
    </cfRule>
    <cfRule type="expression" dxfId="3055" priority="3690">
      <formula>$H1497="ETAPA"</formula>
    </cfRule>
  </conditionalFormatting>
  <conditionalFormatting sqref="M1497:M1498 O1498">
    <cfRule type="expression" dxfId="3054" priority="3687">
      <formula>$H1497="CÉLULA CONSTRUTIVA"</formula>
    </cfRule>
  </conditionalFormatting>
  <conditionalFormatting sqref="M1497:M1498">
    <cfRule type="expression" dxfId="3053" priority="3689">
      <formula>$H1497="ETAPA"</formula>
    </cfRule>
  </conditionalFormatting>
  <conditionalFormatting sqref="M1498">
    <cfRule type="expression" dxfId="3052" priority="3685">
      <formula>$H1498="CÉLULA CONSTRUTIVA"</formula>
    </cfRule>
    <cfRule type="expression" dxfId="3051" priority="3686">
      <formula>$H1498="ETAPA"</formula>
    </cfRule>
    <cfRule type="expression" dxfId="3050" priority="3684">
      <formula>$H1498="SUBETAPA"</formula>
    </cfRule>
    <cfRule type="expression" dxfId="3049" priority="3683">
      <formula>$H1498="ETAPA"</formula>
    </cfRule>
  </conditionalFormatting>
  <conditionalFormatting sqref="M1505">
    <cfRule type="expression" dxfId="3048" priority="3681">
      <formula>$H1505="ETAPA"</formula>
    </cfRule>
    <cfRule type="expression" dxfId="3047" priority="3680">
      <formula>$H1505="CÉLULA CONSTRUTIVA"</formula>
    </cfRule>
    <cfRule type="expression" dxfId="3046" priority="3679">
      <formula>$H1505="ETAPA"</formula>
    </cfRule>
    <cfRule type="expression" dxfId="3045" priority="3682">
      <formula>$H1505="SUBETAPA"</formula>
    </cfRule>
  </conditionalFormatting>
  <conditionalFormatting sqref="M1505:M1506 O1506">
    <cfRule type="expression" dxfId="3044" priority="3676">
      <formula>$H1505="CÉLULA CONSTRUTIVA"</formula>
    </cfRule>
  </conditionalFormatting>
  <conditionalFormatting sqref="M1505:M1506">
    <cfRule type="expression" dxfId="3043" priority="3678">
      <formula>$H1505="ETAPA"</formula>
    </cfRule>
  </conditionalFormatting>
  <conditionalFormatting sqref="M1506">
    <cfRule type="expression" dxfId="3042" priority="3672">
      <formula>$H1506="ETAPA"</formula>
    </cfRule>
    <cfRule type="expression" dxfId="3041" priority="3675">
      <formula>$H1506="ETAPA"</formula>
    </cfRule>
    <cfRule type="expression" dxfId="3040" priority="3674">
      <formula>$H1506="CÉLULA CONSTRUTIVA"</formula>
    </cfRule>
    <cfRule type="expression" dxfId="3039" priority="3673">
      <formula>$H1506="SUBETAPA"</formula>
    </cfRule>
  </conditionalFormatting>
  <conditionalFormatting sqref="M1516">
    <cfRule type="expression" dxfId="3038" priority="3669">
      <formula>$H1516="CÉLULA CONSTRUTIVA"</formula>
    </cfRule>
    <cfRule type="expression" dxfId="3037" priority="3670">
      <formula>$H1516="ETAPA"</formula>
    </cfRule>
    <cfRule type="expression" dxfId="3036" priority="3671">
      <formula>$H1516="SUBETAPA"</formula>
    </cfRule>
    <cfRule type="expression" dxfId="3035" priority="3668">
      <formula>$H1516="ETAPA"</formula>
    </cfRule>
  </conditionalFormatting>
  <conditionalFormatting sqref="M1516:M1517 O1517">
    <cfRule type="expression" dxfId="3034" priority="3665">
      <formula>$H1516="CÉLULA CONSTRUTIVA"</formula>
    </cfRule>
  </conditionalFormatting>
  <conditionalFormatting sqref="M1516:M1517">
    <cfRule type="expression" dxfId="3033" priority="3667">
      <formula>$H1516="ETAPA"</formula>
    </cfRule>
  </conditionalFormatting>
  <conditionalFormatting sqref="M1517">
    <cfRule type="expression" dxfId="3032" priority="3664">
      <formula>$H1517="ETAPA"</formula>
    </cfRule>
    <cfRule type="expression" dxfId="3031" priority="3663">
      <formula>$H1517="CÉLULA CONSTRUTIVA"</formula>
    </cfRule>
    <cfRule type="expression" dxfId="3030" priority="3662">
      <formula>$H1517="SUBETAPA"</formula>
    </cfRule>
    <cfRule type="expression" dxfId="3029" priority="3661">
      <formula>$H1517="ETAPA"</formula>
    </cfRule>
  </conditionalFormatting>
  <conditionalFormatting sqref="M1527">
    <cfRule type="expression" dxfId="3028" priority="3657">
      <formula>$H1527="ETAPA"</formula>
    </cfRule>
    <cfRule type="expression" dxfId="3027" priority="3659">
      <formula>$H1527="ETAPA"</formula>
    </cfRule>
    <cfRule type="expression" dxfId="3026" priority="3660">
      <formula>$H1527="SUBETAPA"</formula>
    </cfRule>
    <cfRule type="expression" dxfId="3025" priority="3658">
      <formula>$H1527="CÉLULA CONSTRUTIVA"</formula>
    </cfRule>
  </conditionalFormatting>
  <conditionalFormatting sqref="M1527:M1528 O1528">
    <cfRule type="expression" dxfId="3024" priority="3654">
      <formula>$H1527="CÉLULA CONSTRUTIVA"</formula>
    </cfRule>
  </conditionalFormatting>
  <conditionalFormatting sqref="M1527:M1528">
    <cfRule type="expression" dxfId="3023" priority="3656">
      <formula>$H1527="ETAPA"</formula>
    </cfRule>
  </conditionalFormatting>
  <conditionalFormatting sqref="M1528">
    <cfRule type="expression" dxfId="3022" priority="3653">
      <formula>$H1528="ETAPA"</formula>
    </cfRule>
    <cfRule type="expression" dxfId="3021" priority="3652">
      <formula>$H1528="CÉLULA CONSTRUTIVA"</formula>
    </cfRule>
    <cfRule type="expression" dxfId="3020" priority="3651">
      <formula>$H1528="SUBETAPA"</formula>
    </cfRule>
    <cfRule type="expression" dxfId="3019" priority="3650">
      <formula>$H1528="ETAPA"</formula>
    </cfRule>
  </conditionalFormatting>
  <conditionalFormatting sqref="M1538">
    <cfRule type="expression" dxfId="3018" priority="3649">
      <formula>$H1538="SUBETAPA"</formula>
    </cfRule>
    <cfRule type="expression" dxfId="3017" priority="3648">
      <formula>$H1538="ETAPA"</formula>
    </cfRule>
    <cfRule type="expression" dxfId="3016" priority="3647">
      <formula>$H1538="CÉLULA CONSTRUTIVA"</formula>
    </cfRule>
    <cfRule type="expression" dxfId="3015" priority="3646">
      <formula>$H1538="ETAPA"</formula>
    </cfRule>
  </conditionalFormatting>
  <conditionalFormatting sqref="M1538:M1539 O1539">
    <cfRule type="expression" dxfId="3014" priority="3643">
      <formula>$H1538="CÉLULA CONSTRUTIVA"</formula>
    </cfRule>
  </conditionalFormatting>
  <conditionalFormatting sqref="M1538:M1539">
    <cfRule type="expression" dxfId="3013" priority="3645">
      <formula>$H1538="ETAPA"</formula>
    </cfRule>
  </conditionalFormatting>
  <conditionalFormatting sqref="M1539">
    <cfRule type="expression" dxfId="3012" priority="3641">
      <formula>$H1539="CÉLULA CONSTRUTIVA"</formula>
    </cfRule>
    <cfRule type="expression" dxfId="3011" priority="3640">
      <formula>$H1539="SUBETAPA"</formula>
    </cfRule>
    <cfRule type="expression" dxfId="3010" priority="3639">
      <formula>$H1539="ETAPA"</formula>
    </cfRule>
    <cfRule type="expression" dxfId="3009" priority="3642">
      <formula>$H1539="ETAPA"</formula>
    </cfRule>
  </conditionalFormatting>
  <conditionalFormatting sqref="M1549">
    <cfRule type="expression" dxfId="3008" priority="3637">
      <formula>$H1549="ETAPA"</formula>
    </cfRule>
    <cfRule type="expression" dxfId="3007" priority="3636">
      <formula>$H1549="CÉLULA CONSTRUTIVA"</formula>
    </cfRule>
    <cfRule type="expression" dxfId="3006" priority="3635">
      <formula>$H1549="ETAPA"</formula>
    </cfRule>
    <cfRule type="expression" dxfId="3005" priority="3638">
      <formula>$H1549="SUBETAPA"</formula>
    </cfRule>
  </conditionalFormatting>
  <conditionalFormatting sqref="M1549:M1550 O1550">
    <cfRule type="expression" dxfId="3004" priority="3632">
      <formula>$H1549="CÉLULA CONSTRUTIVA"</formula>
    </cfRule>
  </conditionalFormatting>
  <conditionalFormatting sqref="M1549:M1550">
    <cfRule type="expression" dxfId="3003" priority="3634">
      <formula>$H1549="ETAPA"</formula>
    </cfRule>
  </conditionalFormatting>
  <conditionalFormatting sqref="M1550">
    <cfRule type="expression" dxfId="3002" priority="3631">
      <formula>$H1550="ETAPA"</formula>
    </cfRule>
    <cfRule type="expression" dxfId="3001" priority="3629">
      <formula>$H1550="SUBETAPA"</formula>
    </cfRule>
    <cfRule type="expression" dxfId="3000" priority="3628">
      <formula>$H1550="ETAPA"</formula>
    </cfRule>
    <cfRule type="expression" dxfId="2999" priority="3630">
      <formula>$H1550="CÉLULA CONSTRUTIVA"</formula>
    </cfRule>
  </conditionalFormatting>
  <conditionalFormatting sqref="M1560 H1560 J1560:K1560">
    <cfRule type="expression" dxfId="2998" priority="5718">
      <formula>$H1560="CÉLULA CONSTRUTIVA"</formula>
    </cfRule>
  </conditionalFormatting>
  <conditionalFormatting sqref="M1560 L1561:M1561">
    <cfRule type="expression" dxfId="2997" priority="4464">
      <formula>$H1560="ETAPA"</formula>
    </cfRule>
  </conditionalFormatting>
  <conditionalFormatting sqref="M1560">
    <cfRule type="expression" dxfId="2996" priority="3627">
      <formula>$H1560="SUBETAPA"</formula>
    </cfRule>
    <cfRule type="expression" dxfId="2995" priority="3626">
      <formula>$H1560="ETAPA"</formula>
    </cfRule>
    <cfRule type="expression" dxfId="2994" priority="3624">
      <formula>$H1560="ETAPA"</formula>
    </cfRule>
    <cfRule type="expression" dxfId="2993" priority="3625">
      <formula>$H1560="CÉLULA CONSTRUTIVA"</formula>
    </cfRule>
  </conditionalFormatting>
  <conditionalFormatting sqref="M1560:M1561 O1561">
    <cfRule type="expression" dxfId="2992" priority="3622">
      <formula>$H1560="CÉLULA CONSTRUTIVA"</formula>
    </cfRule>
  </conditionalFormatting>
  <conditionalFormatting sqref="M1561">
    <cfRule type="expression" dxfId="2991" priority="3618">
      <formula>$H1561="ETAPA"</formula>
    </cfRule>
    <cfRule type="expression" dxfId="2990" priority="3621">
      <formula>$H1561="ETAPA"</formula>
    </cfRule>
    <cfRule type="expression" dxfId="2989" priority="3620">
      <formula>$H1561="CÉLULA CONSTRUTIVA"</formula>
    </cfRule>
    <cfRule type="expression" dxfId="2988" priority="3619">
      <formula>$H1561="SUBETAPA"</formula>
    </cfRule>
  </conditionalFormatting>
  <conditionalFormatting sqref="M1562:M1563 M1529:M1531 M1448:M1449 M1551:M1553 M1540:M1542 M1518:M1520 M1507:M1509 M1499:M1500 M1489:M1490 M1481:M1482 M1474 M1467 M1458">
    <cfRule type="expression" dxfId="2987" priority="3614">
      <formula>$H1448="ETAPA"</formula>
    </cfRule>
    <cfRule type="expression" dxfId="2986" priority="3615">
      <formula>$H1448="ETAPA"</formula>
    </cfRule>
    <cfRule type="expression" dxfId="2985" priority="3616">
      <formula>$H1448="ETAPA"</formula>
    </cfRule>
    <cfRule type="expression" dxfId="2984" priority="3612">
      <formula>$H1448="SUBETAPA"</formula>
    </cfRule>
  </conditionalFormatting>
  <conditionalFormatting sqref="M1567">
    <cfRule type="expression" dxfId="2983" priority="8616">
      <formula>$H1567="SUBETAPA"</formula>
    </cfRule>
  </conditionalFormatting>
  <conditionalFormatting sqref="M1573">
    <cfRule type="expression" dxfId="2982" priority="8610">
      <formula>$H1573="SUBETAPA"</formula>
    </cfRule>
  </conditionalFormatting>
  <conditionalFormatting sqref="M1579">
    <cfRule type="expression" dxfId="2981" priority="8604">
      <formula>$H1579="SUBETAPA"</formula>
    </cfRule>
  </conditionalFormatting>
  <conditionalFormatting sqref="M1587:M1590 L1584:L1586">
    <cfRule type="expression" dxfId="2980" priority="3609">
      <formula>$H1584="ETAPA"</formula>
    </cfRule>
    <cfRule type="expression" dxfId="2979" priority="3610">
      <formula>$H1584="SUBETAPA"</formula>
    </cfRule>
  </conditionalFormatting>
  <conditionalFormatting sqref="M1596:M1599 L1593:L1595">
    <cfRule type="expression" dxfId="2978" priority="3607">
      <formula>$H1593="ETAPA"</formula>
    </cfRule>
    <cfRule type="expression" dxfId="2977" priority="3608">
      <formula>$H1593="SUBETAPA"</formula>
    </cfRule>
  </conditionalFormatting>
  <conditionalFormatting sqref="M1614:M1617 L1611:L1613">
    <cfRule type="expression" dxfId="2976" priority="3605">
      <formula>$H1611="ETAPA"</formula>
    </cfRule>
    <cfRule type="expression" dxfId="2975" priority="3606">
      <formula>$H1611="SUBETAPA"</formula>
    </cfRule>
  </conditionalFormatting>
  <conditionalFormatting sqref="M1622">
    <cfRule type="expression" dxfId="2974" priority="8564">
      <formula>$H1622="SUBETAPA"</formula>
    </cfRule>
  </conditionalFormatting>
  <conditionalFormatting sqref="M1858:M1859 M1864:M1865 M1871:M1872 M1879:M1880">
    <cfRule type="expression" dxfId="2973" priority="3600">
      <formula>$H1858="ETAPA"</formula>
    </cfRule>
    <cfRule type="expression" dxfId="2972" priority="3601">
      <formula>$H1858="CÉLULA CONSTRUTIVA"</formula>
    </cfRule>
    <cfRule type="expression" dxfId="2971" priority="3603">
      <formula>$H1858="SUBETAPA"</formula>
    </cfRule>
    <cfRule type="expression" dxfId="2970" priority="3604">
      <formula>$H1858="CÉLULA CONSTRUTIVA"</formula>
    </cfRule>
    <cfRule type="expression" dxfId="2969" priority="3602">
      <formula>$H1858="ETAPA"</formula>
    </cfRule>
  </conditionalFormatting>
  <conditionalFormatting sqref="M1858:M1860 M1864:M1866 M1871:M1873 M1879:M1881">
    <cfRule type="expression" dxfId="2968" priority="3599">
      <formula>$H1858="ETAPA"</formula>
    </cfRule>
  </conditionalFormatting>
  <conditionalFormatting sqref="M1860 M1866 M1873 M1881">
    <cfRule type="expression" dxfId="2967" priority="3595">
      <formula>$H1860="ETAPA"</formula>
    </cfRule>
    <cfRule type="expression" dxfId="2966" priority="3596">
      <formula>$H1860="SUBETAPA"</formula>
    </cfRule>
    <cfRule type="expression" dxfId="2965" priority="3597">
      <formula>$H1860="CÉLULA CONSTRUTIVA"</formula>
    </cfRule>
    <cfRule type="expression" dxfId="2964" priority="3598">
      <formula>$H1860="ETAPA"</formula>
    </cfRule>
  </conditionalFormatting>
  <conditionalFormatting sqref="M1860:M1861 M1863 M1866:M1867 M1873:M1874">
    <cfRule type="expression" dxfId="2963" priority="3590">
      <formula>$H1860="CÉLULA CONSTRUTIVA"</formula>
    </cfRule>
  </conditionalFormatting>
  <conditionalFormatting sqref="M1861 M1863 M1867 M1874">
    <cfRule type="expression" dxfId="2962" priority="3592">
      <formula>$H1861="ETAPA"</formula>
    </cfRule>
    <cfRule type="expression" dxfId="2961" priority="3593">
      <formula>$H1861="ETAPA"</formula>
    </cfRule>
    <cfRule type="expression" dxfId="2960" priority="3591">
      <formula>$H1861="ETAPA"</formula>
    </cfRule>
  </conditionalFormatting>
  <conditionalFormatting sqref="M1861 M1867 M1874 M1863">
    <cfRule type="expression" dxfId="2959" priority="3589">
      <formula>$H1861="SUBETAPA"</formula>
    </cfRule>
  </conditionalFormatting>
  <conditionalFormatting sqref="M1861 M1867 M1874 O1874 O1867 O1861 O1863 M1863">
    <cfRule type="expression" dxfId="2958" priority="35">
      <formula>$H1861="CÉLULA CONSTRUTIVA"</formula>
    </cfRule>
  </conditionalFormatting>
  <conditionalFormatting sqref="M1861:M1863 O1862">
    <cfRule type="expression" dxfId="2957" priority="3587">
      <formula>$H1861="CÉLULA CONSTRUTIVA"</formula>
    </cfRule>
  </conditionalFormatting>
  <conditionalFormatting sqref="M1862">
    <cfRule type="expression" dxfId="2956" priority="3585">
      <formula>$H1862="CÉLULA CONSTRUTIVA"</formula>
    </cfRule>
    <cfRule type="expression" dxfId="2955" priority="3581">
      <formula>$H1862="ETAPA"</formula>
    </cfRule>
    <cfRule type="expression" dxfId="2954" priority="3582">
      <formula>$H1862="CÉLULA CONSTRUTIVA"</formula>
    </cfRule>
    <cfRule type="expression" dxfId="2953" priority="3583">
      <formula>$H1862="ETAPA"</formula>
    </cfRule>
    <cfRule type="expression" dxfId="2952" priority="3584">
      <formula>$H1862="SUBETAPA"</formula>
    </cfRule>
    <cfRule type="expression" dxfId="2951" priority="3586">
      <formula>$H1862="ETAPA"</formula>
    </cfRule>
  </conditionalFormatting>
  <conditionalFormatting sqref="M1867 M1874">
    <cfRule type="expression" dxfId="2950" priority="3588">
      <formula>$H1867="CÉLULA CONSTRUTIVA"</formula>
    </cfRule>
  </conditionalFormatting>
  <conditionalFormatting sqref="M1881">
    <cfRule type="expression" dxfId="2949" priority="3594">
      <formula>$H1881="CÉLULA CONSTRUTIVA"</formula>
    </cfRule>
  </conditionalFormatting>
  <conditionalFormatting sqref="M21:N21">
    <cfRule type="expression" dxfId="2948" priority="3580">
      <formula>$H21="ETAPA"</formula>
    </cfRule>
  </conditionalFormatting>
  <conditionalFormatting sqref="M24:N24">
    <cfRule type="expression" dxfId="2947" priority="3579">
      <formula>$H24="ETAPA"</formula>
    </cfRule>
    <cfRule type="expression" dxfId="2946" priority="5295">
      <formula>$H24="CÉLULA CONSTRUTIVA"</formula>
    </cfRule>
  </conditionalFormatting>
  <conditionalFormatting sqref="M25:N25">
    <cfRule type="expression" dxfId="2945" priority="3578">
      <formula>$H25="ETAPA"</formula>
    </cfRule>
  </conditionalFormatting>
  <conditionalFormatting sqref="M41:N41">
    <cfRule type="expression" dxfId="2944" priority="3577">
      <formula>$H41="ETAPA"</formula>
    </cfRule>
  </conditionalFormatting>
  <conditionalFormatting sqref="M52:N52">
    <cfRule type="expression" dxfId="2943" priority="3576">
      <formula>$H52="SUBETAPA"</formula>
    </cfRule>
  </conditionalFormatting>
  <conditionalFormatting sqref="M56:N56">
    <cfRule type="expression" dxfId="2942" priority="3575">
      <formula>$H56="SUBETAPA"</formula>
    </cfRule>
  </conditionalFormatting>
  <conditionalFormatting sqref="M58:N58">
    <cfRule type="expression" dxfId="2941" priority="3574">
      <formula>$H58="ETAPA"</formula>
    </cfRule>
  </conditionalFormatting>
  <conditionalFormatting sqref="M77:N77">
    <cfRule type="expression" dxfId="2940" priority="3573">
      <formula>$H77="SUBETAPA"</formula>
    </cfRule>
  </conditionalFormatting>
  <conditionalFormatting sqref="M84:N84">
    <cfRule type="expression" dxfId="2939" priority="3572">
      <formula>$H84="SUBETAPA"</formula>
    </cfRule>
  </conditionalFormatting>
  <conditionalFormatting sqref="M85:N93">
    <cfRule type="expression" dxfId="2938" priority="3571">
      <formula>$H85="SUBETAPA"</formula>
    </cfRule>
  </conditionalFormatting>
  <conditionalFormatting sqref="M96:N96 M100:M101">
    <cfRule type="expression" dxfId="2937" priority="3570">
      <formula>$H96="SUBETAPA"</formula>
    </cfRule>
  </conditionalFormatting>
  <conditionalFormatting sqref="M104:N104">
    <cfRule type="expression" dxfId="2936" priority="3569">
      <formula>$H104="SUBETAPA"</formula>
    </cfRule>
  </conditionalFormatting>
  <conditionalFormatting sqref="M106:N106">
    <cfRule type="expression" dxfId="2935" priority="3568">
      <formula>$H106="SUBETAPA"</formula>
    </cfRule>
  </conditionalFormatting>
  <conditionalFormatting sqref="M108:N108">
    <cfRule type="expression" dxfId="2934" priority="3567">
      <formula>$H108="SUBETAPA"</formula>
    </cfRule>
  </conditionalFormatting>
  <conditionalFormatting sqref="M110:N110">
    <cfRule type="expression" dxfId="2933" priority="3566">
      <formula>$H110="SUBETAPA"</formula>
    </cfRule>
  </conditionalFormatting>
  <conditionalFormatting sqref="M112:N112">
    <cfRule type="expression" dxfId="2932" priority="3565">
      <formula>$H112="SUBETAPA"</formula>
    </cfRule>
  </conditionalFormatting>
  <conditionalFormatting sqref="M116:N116">
    <cfRule type="expression" dxfId="2931" priority="3564">
      <formula>$H116="SUBETAPA"</formula>
    </cfRule>
  </conditionalFormatting>
  <conditionalFormatting sqref="M118:N118">
    <cfRule type="expression" dxfId="2930" priority="3563">
      <formula>$H118="SUBETAPA"</formula>
    </cfRule>
  </conditionalFormatting>
  <conditionalFormatting sqref="M120:N120">
    <cfRule type="expression" dxfId="2929" priority="3562">
      <formula>$H120="SUBETAPA"</formula>
    </cfRule>
  </conditionalFormatting>
  <conditionalFormatting sqref="M131:N131">
    <cfRule type="expression" dxfId="2928" priority="3561">
      <formula>$H131="SUBETAPA"</formula>
    </cfRule>
  </conditionalFormatting>
  <conditionalFormatting sqref="M139:N139">
    <cfRule type="expression" dxfId="2927" priority="3560">
      <formula>$H139="SUBETAPA"</formula>
    </cfRule>
  </conditionalFormatting>
  <conditionalFormatting sqref="M140:N140">
    <cfRule type="expression" dxfId="2926" priority="3559">
      <formula>$H140="SUBETAPA"</formula>
    </cfRule>
  </conditionalFormatting>
  <conditionalFormatting sqref="M177:N177">
    <cfRule type="expression" dxfId="2925" priority="3558">
      <formula>$H177="SUBETAPA"</formula>
    </cfRule>
  </conditionalFormatting>
  <conditionalFormatting sqref="M185:N185 G185:K185">
    <cfRule type="expression" dxfId="2924" priority="3352">
      <formula>$H185="CÉLULA CONSTRUTIVA"</formula>
    </cfRule>
  </conditionalFormatting>
  <conditionalFormatting sqref="M186:N186">
    <cfRule type="expression" dxfId="2923" priority="3557">
      <formula>$H186="SUBETAPA"</formula>
    </cfRule>
  </conditionalFormatting>
  <conditionalFormatting sqref="M194:N194 G194:K194">
    <cfRule type="expression" dxfId="2922" priority="3346">
      <formula>$H194="CÉLULA CONSTRUTIVA"</formula>
    </cfRule>
  </conditionalFormatting>
  <conditionalFormatting sqref="M195:N195">
    <cfRule type="expression" dxfId="2921" priority="3556">
      <formula>$H195="SUBETAPA"</formula>
    </cfRule>
  </conditionalFormatting>
  <conditionalFormatting sqref="M212:N212 G212:J212">
    <cfRule type="expression" dxfId="2920" priority="3332">
      <formula>$H212="CÉLULA CONSTRUTIVA"</formula>
    </cfRule>
  </conditionalFormatting>
  <conditionalFormatting sqref="M213:N213">
    <cfRule type="expression" dxfId="2919" priority="3555">
      <formula>$H213="SUBETAPA"</formula>
    </cfRule>
  </conditionalFormatting>
  <conditionalFormatting sqref="M221:N221 G221:K221">
    <cfRule type="expression" dxfId="2918" priority="3326">
      <formula>$H221="CÉLULA CONSTRUTIVA"</formula>
    </cfRule>
  </conditionalFormatting>
  <conditionalFormatting sqref="M274:N274">
    <cfRule type="expression" dxfId="2917" priority="3554">
      <formula>$H274="SUBETAPA"</formula>
    </cfRule>
  </conditionalFormatting>
  <conditionalFormatting sqref="M314:N314">
    <cfRule type="expression" dxfId="2916" priority="3553">
      <formula>$H314="ETAPA"</formula>
    </cfRule>
  </conditionalFormatting>
  <conditionalFormatting sqref="M316:N316">
    <cfRule type="expression" dxfId="2915" priority="3552">
      <formula>$H316="ETAPA"</formula>
    </cfRule>
  </conditionalFormatting>
  <conditionalFormatting sqref="M318:N318">
    <cfRule type="expression" dxfId="2914" priority="3551">
      <formula>$H318="ETAPA"</formula>
    </cfRule>
  </conditionalFormatting>
  <conditionalFormatting sqref="M320:N320">
    <cfRule type="expression" dxfId="2913" priority="3550">
      <formula>$H320="ETAPA"</formula>
    </cfRule>
  </conditionalFormatting>
  <conditionalFormatting sqref="M322:N322">
    <cfRule type="expression" dxfId="2912" priority="3549">
      <formula>$H322="ETAPA"</formula>
    </cfRule>
  </conditionalFormatting>
  <conditionalFormatting sqref="M326:N326">
    <cfRule type="expression" dxfId="2911" priority="3548">
      <formula>$H326="ETAPA"</formula>
    </cfRule>
  </conditionalFormatting>
  <conditionalFormatting sqref="M328:N328">
    <cfRule type="expression" dxfId="2910" priority="3547">
      <formula>$H328="ETAPA"</formula>
    </cfRule>
  </conditionalFormatting>
  <conditionalFormatting sqref="M340:N340">
    <cfRule type="expression" dxfId="2909" priority="3546">
      <formula>$H340="ETAPA"</formula>
    </cfRule>
  </conditionalFormatting>
  <conditionalFormatting sqref="M349:N349">
    <cfRule type="expression" dxfId="2908" priority="3545">
      <formula>$H349="ETAPA"</formula>
    </cfRule>
  </conditionalFormatting>
  <conditionalFormatting sqref="M351:N351">
    <cfRule type="expression" dxfId="2907" priority="3544">
      <formula>$H351="ETAPA"</formula>
    </cfRule>
  </conditionalFormatting>
  <conditionalFormatting sqref="M353:N353">
    <cfRule type="expression" dxfId="2906" priority="3543">
      <formula>$H353="ETAPA"</formula>
    </cfRule>
  </conditionalFormatting>
  <conditionalFormatting sqref="M355:N355">
    <cfRule type="expression" dxfId="2905" priority="3542">
      <formula>$H355="ETAPA"</formula>
    </cfRule>
  </conditionalFormatting>
  <conditionalFormatting sqref="M357:N357">
    <cfRule type="expression" dxfId="2904" priority="3541">
      <formula>$H357="ETAPA"</formula>
    </cfRule>
  </conditionalFormatting>
  <conditionalFormatting sqref="M359:N359">
    <cfRule type="expression" dxfId="2903" priority="3540">
      <formula>$H359="ETAPA"</formula>
    </cfRule>
  </conditionalFormatting>
  <conditionalFormatting sqref="M361:N361">
    <cfRule type="expression" dxfId="2902" priority="3539">
      <formula>$H361="ETAPA"</formula>
    </cfRule>
  </conditionalFormatting>
  <conditionalFormatting sqref="M363:N363">
    <cfRule type="expression" dxfId="2901" priority="3538">
      <formula>$H363="ETAPA"</formula>
    </cfRule>
  </conditionalFormatting>
  <conditionalFormatting sqref="M365:N365">
    <cfRule type="expression" dxfId="2900" priority="3537">
      <formula>$H365="ETAPA"</formula>
    </cfRule>
  </conditionalFormatting>
  <conditionalFormatting sqref="M367:N367">
    <cfRule type="expression" dxfId="2899" priority="3536">
      <formula>$H367="ETAPA"</formula>
    </cfRule>
  </conditionalFormatting>
  <conditionalFormatting sqref="M369:N369">
    <cfRule type="expression" dxfId="2898" priority="3535">
      <formula>$H369="ETAPA"</formula>
    </cfRule>
  </conditionalFormatting>
  <conditionalFormatting sqref="M371:N371">
    <cfRule type="expression" dxfId="2897" priority="3534">
      <formula>$H371="ETAPA"</formula>
    </cfRule>
  </conditionalFormatting>
  <conditionalFormatting sqref="M373:N373">
    <cfRule type="expression" dxfId="2896" priority="3533">
      <formula>$H373="ETAPA"</formula>
    </cfRule>
  </conditionalFormatting>
  <conditionalFormatting sqref="M375:N375">
    <cfRule type="expression" dxfId="2895" priority="3532">
      <formula>$H375="ETAPA"</formula>
    </cfRule>
  </conditionalFormatting>
  <conditionalFormatting sqref="M377:N377">
    <cfRule type="expression" dxfId="2894" priority="3531">
      <formula>$H377="ETAPA"</formula>
    </cfRule>
  </conditionalFormatting>
  <conditionalFormatting sqref="M32:O32">
    <cfRule type="expression" dxfId="2893" priority="5286">
      <formula>$H32="CÉLULA CONSTRUTIVA"</formula>
    </cfRule>
  </conditionalFormatting>
  <conditionalFormatting sqref="M40:O40">
    <cfRule type="expression" dxfId="2892" priority="5267">
      <formula>$H40="CÉLULA CONSTRUTIVA"</formula>
    </cfRule>
  </conditionalFormatting>
  <conditionalFormatting sqref="M46:O46">
    <cfRule type="expression" dxfId="2891" priority="5258">
      <formula>$H46="ETAPA"</formula>
    </cfRule>
  </conditionalFormatting>
  <conditionalFormatting sqref="M47:O47">
    <cfRule type="expression" dxfId="2890" priority="5250">
      <formula>$H47="CÉLULA CONSTRUTIVA"</formula>
    </cfRule>
  </conditionalFormatting>
  <conditionalFormatting sqref="M50:O50">
    <cfRule type="expression" dxfId="2889" priority="5246">
      <formula>$H50="CÉLULA CONSTRUTIVA"</formula>
    </cfRule>
  </conditionalFormatting>
  <conditionalFormatting sqref="M54:O54">
    <cfRule type="expression" dxfId="2888" priority="5237">
      <formula>$H54="ETAPA"</formula>
    </cfRule>
  </conditionalFormatting>
  <conditionalFormatting sqref="M57:O57">
    <cfRule type="expression" dxfId="2887" priority="5231">
      <formula>$H57="ETAPA"</formula>
    </cfRule>
  </conditionalFormatting>
  <conditionalFormatting sqref="N8">
    <cfRule type="expression" dxfId="2886" priority="3529">
      <formula>$H8="CÉLULA CONSTRUTIVA"</formula>
    </cfRule>
    <cfRule type="expression" dxfId="2885" priority="3528">
      <formula>$H8="SUBETAPA"</formula>
    </cfRule>
  </conditionalFormatting>
  <conditionalFormatting sqref="N8:N10 M59:N60 N69:N70 N100:N101">
    <cfRule type="expression" dxfId="2884" priority="3527">
      <formula>$H8="ETAPA"</formula>
    </cfRule>
  </conditionalFormatting>
  <conditionalFormatting sqref="N9 N59 N69 N100">
    <cfRule type="expression" dxfId="2883" priority="3526">
      <formula>$H9="CÉLULA CONSTRUTIVA"</formula>
    </cfRule>
    <cfRule type="expression" dxfId="2882" priority="3525">
      <formula>$H9="SUBETAPA"</formula>
    </cfRule>
  </conditionalFormatting>
  <conditionalFormatting sqref="N10 N60 N63 N66 N70 N72 N79 N101 L281:N282 N77">
    <cfRule type="expression" dxfId="2881" priority="3524">
      <formula>$H10="CÉLULA CONSTRUTIVA"</formula>
    </cfRule>
  </conditionalFormatting>
  <conditionalFormatting sqref="N10 N60 N70 N101 M79:N79 N281 N63 N65:N66 N72">
    <cfRule type="expression" dxfId="2880" priority="3523">
      <formula>$H10="SUBETAPA"</formula>
    </cfRule>
  </conditionalFormatting>
  <conditionalFormatting sqref="N12">
    <cfRule type="expression" dxfId="2879" priority="3521">
      <formula>$H12="SUBETAPA"</formula>
    </cfRule>
    <cfRule type="expression" dxfId="2878" priority="3522">
      <formula>$H12="CÉLULA CONSTRUTIVA"</formula>
    </cfRule>
  </conditionalFormatting>
  <conditionalFormatting sqref="N12:N13">
    <cfRule type="expression" dxfId="2877" priority="3520">
      <formula>$H12="ETAPA"</formula>
    </cfRule>
  </conditionalFormatting>
  <conditionalFormatting sqref="N13">
    <cfRule type="expression" dxfId="2876" priority="3518">
      <formula>$H13="SUBETAPA"</formula>
    </cfRule>
    <cfRule type="expression" dxfId="2875" priority="3519">
      <formula>$H13="CÉLULA CONSTRUTIVA"</formula>
    </cfRule>
  </conditionalFormatting>
  <conditionalFormatting sqref="N16">
    <cfRule type="expression" dxfId="2874" priority="3515">
      <formula>$H16="ETAPA"</formula>
    </cfRule>
    <cfRule type="expression" dxfId="2873" priority="3516">
      <formula>$H16="SUBETAPA"</formula>
    </cfRule>
    <cfRule type="expression" dxfId="2872" priority="3517">
      <formula>$H16="CÉLULA CONSTRUTIVA"</formula>
    </cfRule>
  </conditionalFormatting>
  <conditionalFormatting sqref="N20">
    <cfRule type="expression" dxfId="2871" priority="3511">
      <formula>$H20="ETAPA"</formula>
    </cfRule>
    <cfRule type="expression" dxfId="2870" priority="3512">
      <formula>$H20="SUBETAPA"</formula>
    </cfRule>
    <cfRule type="expression" dxfId="2869" priority="3513">
      <formula>$H20="CÉLULA CONSTRUTIVA"</formula>
    </cfRule>
    <cfRule type="expression" dxfId="2868" priority="3514">
      <formula>$H20="ETAPA"</formula>
    </cfRule>
    <cfRule type="expression" dxfId="2867" priority="3510">
      <formula>$H20="SUBETAPA"</formula>
    </cfRule>
  </conditionalFormatting>
  <conditionalFormatting sqref="N20:N21">
    <cfRule type="expression" dxfId="2866" priority="3508">
      <formula>$H20="CÉLULA CONSTRUTIVA"</formula>
    </cfRule>
  </conditionalFormatting>
  <conditionalFormatting sqref="N21">
    <cfRule type="expression" dxfId="2865" priority="3507">
      <formula>$H21="SUBETAPA"</formula>
    </cfRule>
  </conditionalFormatting>
  <conditionalFormatting sqref="N21:N22 G22:L22">
    <cfRule type="expression" dxfId="2864" priority="9501">
      <formula>$H21="SUBETAPA"</formula>
    </cfRule>
  </conditionalFormatting>
  <conditionalFormatting sqref="N21:N22">
    <cfRule type="expression" dxfId="2863" priority="3506">
      <formula>$H21="ETAPA"</formula>
    </cfRule>
  </conditionalFormatting>
  <conditionalFormatting sqref="N22">
    <cfRule type="expression" dxfId="2862" priority="3505">
      <formula>$H22="SUBETAPA"</formula>
    </cfRule>
  </conditionalFormatting>
  <conditionalFormatting sqref="N23 G23:L23">
    <cfRule type="expression" dxfId="2861" priority="3503">
      <formula>$H23="CÉLULA CONSTRUTIVA"</formula>
    </cfRule>
  </conditionalFormatting>
  <conditionalFormatting sqref="N23 L22:L23">
    <cfRule type="expression" dxfId="2860" priority="3504">
      <formula>$H22="ETAPA"</formula>
    </cfRule>
  </conditionalFormatting>
  <conditionalFormatting sqref="N23">
    <cfRule type="expression" dxfId="2859" priority="3502">
      <formula>$H23="ETAPA"</formula>
    </cfRule>
    <cfRule type="expression" dxfId="2858" priority="3501">
      <formula>$H23="CÉLULA CONSTRUTIVA"</formula>
    </cfRule>
    <cfRule type="expression" dxfId="2857" priority="3500">
      <formula>$H23="SUBETAPA"</formula>
    </cfRule>
    <cfRule type="expression" dxfId="2856" priority="3499">
      <formula>$H23="SUBETAPA"</formula>
    </cfRule>
  </conditionalFormatting>
  <conditionalFormatting sqref="N24">
    <cfRule type="expression" dxfId="2855" priority="3498">
      <formula>$H24="CÉLULA CONSTRUTIVA"</formula>
    </cfRule>
    <cfRule type="expression" dxfId="2854" priority="3497">
      <formula>$H24="ETAPA"</formula>
    </cfRule>
    <cfRule type="expression" dxfId="2853" priority="3496">
      <formula>$H24="SUBETAPA"</formula>
    </cfRule>
  </conditionalFormatting>
  <conditionalFormatting sqref="N25">
    <cfRule type="expression" dxfId="2852" priority="3494">
      <formula>$H25="SUBETAPA"</formula>
    </cfRule>
    <cfRule type="expression" dxfId="2851" priority="3495">
      <formula>$H25="CÉLULA CONSTRUTIVA"</formula>
    </cfRule>
  </conditionalFormatting>
  <conditionalFormatting sqref="N26">
    <cfRule type="expression" dxfId="2850" priority="3493">
      <formula>$H26="CÉLULA CONSTRUTIVA"</formula>
    </cfRule>
    <cfRule type="expression" dxfId="2849" priority="3492">
      <formula>$H26="SUBETAPA"</formula>
    </cfRule>
  </conditionalFormatting>
  <conditionalFormatting sqref="N26:N27 L26:L30">
    <cfRule type="expression" dxfId="2848" priority="3490">
      <formula>$H26="ETAPA"</formula>
    </cfRule>
  </conditionalFormatting>
  <conditionalFormatting sqref="N28 N30:N31">
    <cfRule type="expression" dxfId="2847" priority="3489">
      <formula>$H28="SUBETAPA"</formula>
    </cfRule>
  </conditionalFormatting>
  <conditionalFormatting sqref="N28 N31">
    <cfRule type="expression" dxfId="2846" priority="3488">
      <formula>$H28="CÉLULA CONSTRUTIVA"</formula>
    </cfRule>
  </conditionalFormatting>
  <conditionalFormatting sqref="N33">
    <cfRule type="expression" dxfId="2845" priority="3487">
      <formula>$H33="CÉLULA CONSTRUTIVA"</formula>
    </cfRule>
    <cfRule type="expression" dxfId="2844" priority="3486">
      <formula>$H33="SUBETAPA"</formula>
    </cfRule>
  </conditionalFormatting>
  <conditionalFormatting sqref="N33:N34">
    <cfRule type="expression" dxfId="2843" priority="3485">
      <formula>$H33="ETAPA"</formula>
    </cfRule>
  </conditionalFormatting>
  <conditionalFormatting sqref="N34 N38:N39">
    <cfRule type="expression" dxfId="2842" priority="3484">
      <formula>$H34="SUBETAPA"</formula>
    </cfRule>
  </conditionalFormatting>
  <conditionalFormatting sqref="N34">
    <cfRule type="expression" dxfId="2841" priority="3483">
      <formula>$H34="CÉLULA CONSTRUTIVA"</formula>
    </cfRule>
  </conditionalFormatting>
  <conditionalFormatting sqref="N34:N36">
    <cfRule type="expression" dxfId="2840" priority="3482">
      <formula>$H34="ETAPA"</formula>
    </cfRule>
  </conditionalFormatting>
  <conditionalFormatting sqref="N34:N37">
    <cfRule type="expression" dxfId="2839" priority="3478">
      <formula>$H34="CÉLULA CONSTRUTIVA"</formula>
    </cfRule>
  </conditionalFormatting>
  <conditionalFormatting sqref="N37">
    <cfRule type="expression" dxfId="2838" priority="3480">
      <formula>$H37="ETAPA"</formula>
    </cfRule>
    <cfRule type="expression" dxfId="2837" priority="3477">
      <formula>$H37="SUBETAPA"</formula>
    </cfRule>
  </conditionalFormatting>
  <conditionalFormatting sqref="N38:N39">
    <cfRule type="expression" dxfId="2836" priority="3476">
      <formula>$H38="CÉLULA CONSTRUTIVA"</formula>
    </cfRule>
  </conditionalFormatting>
  <conditionalFormatting sqref="N41">
    <cfRule type="expression" dxfId="2835" priority="3475">
      <formula>$H41="CÉLULA CONSTRUTIVA"</formula>
    </cfRule>
    <cfRule type="expression" dxfId="2834" priority="3474">
      <formula>$H41="SUBETAPA"</formula>
    </cfRule>
  </conditionalFormatting>
  <conditionalFormatting sqref="N42">
    <cfRule type="expression" dxfId="2833" priority="3473">
      <formula>$H42="CÉLULA CONSTRUTIVA"</formula>
    </cfRule>
    <cfRule type="expression" dxfId="2832" priority="3472">
      <formula>$H42="SUBETAPA"</formula>
    </cfRule>
  </conditionalFormatting>
  <conditionalFormatting sqref="N42:N43 L42:L43">
    <cfRule type="expression" dxfId="2831" priority="3470">
      <formula>$H42="ETAPA"</formula>
    </cfRule>
  </conditionalFormatting>
  <conditionalFormatting sqref="N44 N49">
    <cfRule type="expression" dxfId="2830" priority="3468">
      <formula>$H44="SUBETAPA"</formula>
    </cfRule>
    <cfRule type="expression" dxfId="2829" priority="3469">
      <formula>$H44="CÉLULA CONSTRUTIVA"</formula>
    </cfRule>
  </conditionalFormatting>
  <conditionalFormatting sqref="N46">
    <cfRule type="expression" dxfId="2828" priority="3467">
      <formula>$H46="ETAPA"</formula>
    </cfRule>
    <cfRule type="expression" dxfId="2827" priority="3466">
      <formula>$H46="CÉLULA CONSTRUTIVA"</formula>
    </cfRule>
    <cfRule type="expression" dxfId="2826" priority="3465">
      <formula>$H46="SUBETAPA"</formula>
    </cfRule>
  </conditionalFormatting>
  <conditionalFormatting sqref="N47">
    <cfRule type="expression" dxfId="2825" priority="3464">
      <formula>$H47="ETAPA"</formula>
    </cfRule>
    <cfRule type="expression" dxfId="2824" priority="3462">
      <formula>$H47="SUBETAPA"</formula>
    </cfRule>
    <cfRule type="expression" dxfId="2823" priority="3463">
      <formula>$H47="CÉLULA CONSTRUTIVA"</formula>
    </cfRule>
  </conditionalFormatting>
  <conditionalFormatting sqref="N51 N54">
    <cfRule type="expression" dxfId="2822" priority="3461">
      <formula>$H51="SUBETAPA"</formula>
    </cfRule>
  </conditionalFormatting>
  <conditionalFormatting sqref="N51:N52">
    <cfRule type="expression" dxfId="2821" priority="3458">
      <formula>$H51="CÉLULA CONSTRUTIVA"</formula>
    </cfRule>
  </conditionalFormatting>
  <conditionalFormatting sqref="N52">
    <cfRule type="expression" dxfId="2820" priority="3457">
      <formula>$H52="ETAPA"</formula>
    </cfRule>
    <cfRule type="expression" dxfId="2819" priority="3459">
      <formula>$H52="ETAPA"</formula>
    </cfRule>
    <cfRule type="expression" dxfId="2818" priority="3456">
      <formula>$H52="CÉLULA CONSTRUTIVA"</formula>
    </cfRule>
  </conditionalFormatting>
  <conditionalFormatting sqref="N53">
    <cfRule type="expression" dxfId="2817" priority="3455">
      <formula>$H53="SUBETAPA"</formula>
    </cfRule>
  </conditionalFormatting>
  <conditionalFormatting sqref="N55 N57">
    <cfRule type="expression" dxfId="2816" priority="3454">
      <formula>$H55="SUBETAPA"</formula>
    </cfRule>
  </conditionalFormatting>
  <conditionalFormatting sqref="N55:N56">
    <cfRule type="expression" dxfId="2815" priority="3451">
      <formula>$H55="CÉLULA CONSTRUTIVA"</formula>
    </cfRule>
  </conditionalFormatting>
  <conditionalFormatting sqref="N56">
    <cfRule type="expression" dxfId="2814" priority="3452">
      <formula>$H56="ETAPA"</formula>
    </cfRule>
    <cfRule type="expression" dxfId="2813" priority="3449">
      <formula>$H56="CÉLULA CONSTRUTIVA"</formula>
    </cfRule>
    <cfRule type="expression" dxfId="2812" priority="3450">
      <formula>$H56="ETAPA"</formula>
    </cfRule>
  </conditionalFormatting>
  <conditionalFormatting sqref="N58">
    <cfRule type="expression" dxfId="2811" priority="3448">
      <formula>$H58="CÉLULA CONSTRUTIVA"</formula>
    </cfRule>
    <cfRule type="expression" dxfId="2810" priority="3447">
      <formula>$H58="ETAPA"</formula>
    </cfRule>
    <cfRule type="expression" dxfId="2809" priority="3446">
      <formula>$H58="SUBETAPA"</formula>
    </cfRule>
  </conditionalFormatting>
  <conditionalFormatting sqref="N62 G62:K62">
    <cfRule type="expression" dxfId="2808" priority="9630">
      <formula>$H62="CÉLULA CONSTRUTIVA"</formula>
    </cfRule>
  </conditionalFormatting>
  <conditionalFormatting sqref="N68">
    <cfRule type="expression" dxfId="2807" priority="3444">
      <formula>$H68="ETAPA"</formula>
    </cfRule>
    <cfRule type="expression" dxfId="2806" priority="3443">
      <formula>$H68="CÉLULA CONSTRUTIVA"</formula>
    </cfRule>
    <cfRule type="expression" dxfId="2805" priority="3442">
      <formula>$H68="SUBETAPA"</formula>
    </cfRule>
  </conditionalFormatting>
  <conditionalFormatting sqref="N80">
    <cfRule type="expression" dxfId="2804" priority="3440">
      <formula>$H80="SUBETAPA"</formula>
    </cfRule>
  </conditionalFormatting>
  <conditionalFormatting sqref="N80:N81">
    <cfRule type="expression" dxfId="2803" priority="3439">
      <formula>$H80="ETAPA"</formula>
    </cfRule>
  </conditionalFormatting>
  <conditionalFormatting sqref="N81 M95:N95 N83">
    <cfRule type="expression" dxfId="2802" priority="3438">
      <formula>$H81="SUBETAPA"</formula>
    </cfRule>
  </conditionalFormatting>
  <conditionalFormatting sqref="N81">
    <cfRule type="expression" dxfId="2801" priority="3437">
      <formula>$H81="CÉLULA CONSTRUTIVA"</formula>
    </cfRule>
  </conditionalFormatting>
  <conditionalFormatting sqref="N83:N84">
    <cfRule type="expression" dxfId="2800" priority="3435">
      <formula>$H83="CÉLULA CONSTRUTIVA"</formula>
    </cfRule>
  </conditionalFormatting>
  <conditionalFormatting sqref="N84 G84:K84">
    <cfRule type="expression" dxfId="2799" priority="3436">
      <formula>$H84="ETAPA"</formula>
    </cfRule>
  </conditionalFormatting>
  <conditionalFormatting sqref="N84">
    <cfRule type="expression" dxfId="2798" priority="3434">
      <formula>$H84="ETAPA"</formula>
    </cfRule>
    <cfRule type="expression" dxfId="2797" priority="3433">
      <formula>$H84="SUBETAPA"</formula>
    </cfRule>
  </conditionalFormatting>
  <conditionalFormatting sqref="N85:N86">
    <cfRule type="expression" dxfId="2796" priority="3432">
      <formula>$H85="CÉLULA CONSTRUTIVA"</formula>
    </cfRule>
  </conditionalFormatting>
  <conditionalFormatting sqref="N85:N91 G83:K83 G85:K87 G91:K92 G90:I90 K90 G89:K89 G88:I88 K88">
    <cfRule type="expression" dxfId="2795" priority="3431">
      <formula>$H83="ETAPA"</formula>
    </cfRule>
  </conditionalFormatting>
  <conditionalFormatting sqref="N87:N93">
    <cfRule type="expression" dxfId="2794" priority="3430">
      <formula>$H87="CÉLULA CONSTRUTIVA"</formula>
    </cfRule>
  </conditionalFormatting>
  <conditionalFormatting sqref="N92">
    <cfRule type="expression" dxfId="2793" priority="3429">
      <formula>$H92="ETAPA"</formula>
    </cfRule>
  </conditionalFormatting>
  <conditionalFormatting sqref="N95:N97">
    <cfRule type="expression" dxfId="2792" priority="3426">
      <formula>$H95="CÉLULA CONSTRUTIVA"</formula>
    </cfRule>
  </conditionalFormatting>
  <conditionalFormatting sqref="N96">
    <cfRule type="expression" dxfId="2791" priority="3428">
      <formula>$H96="ETAPA"</formula>
    </cfRule>
  </conditionalFormatting>
  <conditionalFormatting sqref="N97">
    <cfRule type="expression" dxfId="2790" priority="3425">
      <formula>$H97="SUBETAPA"</formula>
    </cfRule>
  </conditionalFormatting>
  <conditionalFormatting sqref="N97:N98">
    <cfRule type="expression" dxfId="2789" priority="3424">
      <formula>$H97="ETAPA"</formula>
    </cfRule>
  </conditionalFormatting>
  <conditionalFormatting sqref="N98">
    <cfRule type="expression" dxfId="2788" priority="3423">
      <formula>$H98="CÉLULA CONSTRUTIVA"</formula>
    </cfRule>
    <cfRule type="expression" dxfId="2787" priority="3422">
      <formula>$H98="SUBETAPA"</formula>
    </cfRule>
  </conditionalFormatting>
  <conditionalFormatting sqref="N104">
    <cfRule type="expression" dxfId="2786" priority="3421">
      <formula>$H104="CÉLULA CONSTRUTIVA"</formula>
    </cfRule>
  </conditionalFormatting>
  <conditionalFormatting sqref="N106">
    <cfRule type="expression" dxfId="2785" priority="3420">
      <formula>$H106="CÉLULA CONSTRUTIVA"</formula>
    </cfRule>
  </conditionalFormatting>
  <conditionalFormatting sqref="N108">
    <cfRule type="expression" dxfId="2784" priority="3419">
      <formula>$H108="CÉLULA CONSTRUTIVA"</formula>
    </cfRule>
  </conditionalFormatting>
  <conditionalFormatting sqref="N110">
    <cfRule type="expression" dxfId="2783" priority="3418">
      <formula>$H110="CÉLULA CONSTRUTIVA"</formula>
    </cfRule>
  </conditionalFormatting>
  <conditionalFormatting sqref="N112">
    <cfRule type="expression" dxfId="2782" priority="3417">
      <formula>$H112="CÉLULA CONSTRUTIVA"</formula>
    </cfRule>
  </conditionalFormatting>
  <conditionalFormatting sqref="N114">
    <cfRule type="expression" dxfId="2781" priority="3416">
      <formula>$H114="CÉLULA CONSTRUTIVA"</formula>
    </cfRule>
    <cfRule type="expression" dxfId="2780" priority="3415">
      <formula>$H114="SUBETAPA"</formula>
    </cfRule>
  </conditionalFormatting>
  <conditionalFormatting sqref="N116">
    <cfRule type="expression" dxfId="2779" priority="3414">
      <formula>$H116="CÉLULA CONSTRUTIVA"</formula>
    </cfRule>
  </conditionalFormatting>
  <conditionalFormatting sqref="N118">
    <cfRule type="expression" dxfId="2778" priority="3413">
      <formula>$H118="CÉLULA CONSTRUTIVA"</formula>
    </cfRule>
  </conditionalFormatting>
  <conditionalFormatting sqref="N120">
    <cfRule type="expression" dxfId="2777" priority="3412">
      <formula>$H120="CÉLULA CONSTRUTIVA"</formula>
    </cfRule>
  </conditionalFormatting>
  <conditionalFormatting sqref="N122">
    <cfRule type="expression" dxfId="2776" priority="3411">
      <formula>$H122="CÉLULA CONSTRUTIVA"</formula>
    </cfRule>
  </conditionalFormatting>
  <conditionalFormatting sqref="N122:N123 G123:K123">
    <cfRule type="expression" dxfId="2775" priority="3410">
      <formula>$H122="ETAPA"</formula>
    </cfRule>
  </conditionalFormatting>
  <conditionalFormatting sqref="N122:N123 G122:L122 G123:K123">
    <cfRule type="expression" dxfId="2774" priority="3409">
      <formula>$H122="CÉLULA CONSTRUTIVA"</formula>
    </cfRule>
  </conditionalFormatting>
  <conditionalFormatting sqref="N122:N123">
    <cfRule type="expression" dxfId="2773" priority="6531">
      <formula>$H122="SUBETAPA"</formula>
    </cfRule>
    <cfRule type="expression" dxfId="2772" priority="3408">
      <formula>$H122="SUBETAPA"</formula>
    </cfRule>
  </conditionalFormatting>
  <conditionalFormatting sqref="N123">
    <cfRule type="expression" dxfId="2771" priority="3407">
      <formula>$H123="ETAPA"</formula>
    </cfRule>
    <cfRule type="expression" dxfId="2770" priority="3406">
      <formula>$H123="CÉLULA CONSTRUTIVA"</formula>
    </cfRule>
  </conditionalFormatting>
  <conditionalFormatting sqref="N125">
    <cfRule type="expression" dxfId="2769" priority="3405">
      <formula>$H125="CÉLULA CONSTRUTIVA"</formula>
    </cfRule>
  </conditionalFormatting>
  <conditionalFormatting sqref="N125:N126 G126:K126">
    <cfRule type="expression" dxfId="2768" priority="3404">
      <formula>$H125="ETAPA"</formula>
    </cfRule>
  </conditionalFormatting>
  <conditionalFormatting sqref="N125:N126 G125:L125 G126:K126">
    <cfRule type="expression" dxfId="2767" priority="3403">
      <formula>$H125="CÉLULA CONSTRUTIVA"</formula>
    </cfRule>
  </conditionalFormatting>
  <conditionalFormatting sqref="N125:N126">
    <cfRule type="expression" dxfId="2766" priority="6528">
      <formula>$H125="SUBETAPA"</formula>
    </cfRule>
    <cfRule type="expression" dxfId="2765" priority="3402">
      <formula>$H125="SUBETAPA"</formula>
    </cfRule>
  </conditionalFormatting>
  <conditionalFormatting sqref="N126">
    <cfRule type="expression" dxfId="2764" priority="3400">
      <formula>$H126="CÉLULA CONSTRUTIVA"</formula>
    </cfRule>
    <cfRule type="expression" dxfId="2763" priority="3401">
      <formula>$H126="ETAPA"</formula>
    </cfRule>
  </conditionalFormatting>
  <conditionalFormatting sqref="N128">
    <cfRule type="expression" dxfId="2762" priority="3399">
      <formula>$H128="CÉLULA CONSTRUTIVA"</formula>
    </cfRule>
  </conditionalFormatting>
  <conditionalFormatting sqref="N128:N129 G129:K129">
    <cfRule type="expression" dxfId="2761" priority="3398">
      <formula>$H128="ETAPA"</formula>
    </cfRule>
  </conditionalFormatting>
  <conditionalFormatting sqref="N128:N129 G128:L128 G129:K129">
    <cfRule type="expression" dxfId="2760" priority="3397">
      <formula>$H128="CÉLULA CONSTRUTIVA"</formula>
    </cfRule>
  </conditionalFormatting>
  <conditionalFormatting sqref="N128:N129">
    <cfRule type="expression" dxfId="2759" priority="6525">
      <formula>$H128="SUBETAPA"</formula>
    </cfRule>
    <cfRule type="expression" dxfId="2758" priority="3396">
      <formula>$H128="SUBETAPA"</formula>
    </cfRule>
  </conditionalFormatting>
  <conditionalFormatting sqref="N129">
    <cfRule type="expression" dxfId="2757" priority="3395">
      <formula>$H129="ETAPA"</formula>
    </cfRule>
    <cfRule type="expression" dxfId="2756" priority="3394">
      <formula>$H129="CÉLULA CONSTRUTIVA"</formula>
    </cfRule>
  </conditionalFormatting>
  <conditionalFormatting sqref="N131">
    <cfRule type="expression" dxfId="2755" priority="3393">
      <formula>$H131="CÉLULA CONSTRUTIVA"</formula>
    </cfRule>
  </conditionalFormatting>
  <conditionalFormatting sqref="N133">
    <cfRule type="expression" dxfId="2754" priority="3392">
      <formula>$H133="CÉLULA CONSTRUTIVA"</formula>
    </cfRule>
  </conditionalFormatting>
  <conditionalFormatting sqref="N133:N134 G134:K134">
    <cfRule type="expression" dxfId="2753" priority="3391">
      <formula>$H133="ETAPA"</formula>
    </cfRule>
  </conditionalFormatting>
  <conditionalFormatting sqref="N133:N134 G133:L133 G134:K134">
    <cfRule type="expression" dxfId="2752" priority="3390">
      <formula>$H133="CÉLULA CONSTRUTIVA"</formula>
    </cfRule>
  </conditionalFormatting>
  <conditionalFormatting sqref="N133:N134">
    <cfRule type="expression" dxfId="2751" priority="6521">
      <formula>$H133="SUBETAPA"</formula>
    </cfRule>
    <cfRule type="expression" dxfId="2750" priority="3389">
      <formula>$H133="SUBETAPA"</formula>
    </cfRule>
  </conditionalFormatting>
  <conditionalFormatting sqref="N134">
    <cfRule type="expression" dxfId="2749" priority="3388">
      <formula>$H134="ETAPA"</formula>
    </cfRule>
    <cfRule type="expression" dxfId="2748" priority="3387">
      <formula>$H134="CÉLULA CONSTRUTIVA"</formula>
    </cfRule>
  </conditionalFormatting>
  <conditionalFormatting sqref="N136">
    <cfRule type="expression" dxfId="2747" priority="3386">
      <formula>$H136="CÉLULA CONSTRUTIVA"</formula>
    </cfRule>
  </conditionalFormatting>
  <conditionalFormatting sqref="N136:N137 G137:K137">
    <cfRule type="expression" dxfId="2746" priority="3385">
      <formula>$H136="ETAPA"</formula>
    </cfRule>
  </conditionalFormatting>
  <conditionalFormatting sqref="N136:N137 G136:L136 G137:K137">
    <cfRule type="expression" dxfId="2745" priority="3384">
      <formula>$H136="CÉLULA CONSTRUTIVA"</formula>
    </cfRule>
  </conditionalFormatting>
  <conditionalFormatting sqref="N136:N137">
    <cfRule type="expression" dxfId="2744" priority="3383">
      <formula>$H136="SUBETAPA"</formula>
    </cfRule>
    <cfRule type="expression" dxfId="2743" priority="6518">
      <formula>$H136="SUBETAPA"</formula>
    </cfRule>
  </conditionalFormatting>
  <conditionalFormatting sqref="N137">
    <cfRule type="expression" dxfId="2742" priority="3381">
      <formula>$H137="CÉLULA CONSTRUTIVA"</formula>
    </cfRule>
    <cfRule type="expression" dxfId="2741" priority="3382">
      <formula>$H137="ETAPA"</formula>
    </cfRule>
  </conditionalFormatting>
  <conditionalFormatting sqref="N139:N140">
    <cfRule type="expression" dxfId="2740" priority="3380">
      <formula>$H139="CÉLULA CONSTRUTIVA"</formula>
    </cfRule>
  </conditionalFormatting>
  <conditionalFormatting sqref="N145:N147 G145:J147">
    <cfRule type="expression" dxfId="2739" priority="3379">
      <formula>$H145="CÉLULA CONSTRUTIVA"</formula>
    </cfRule>
  </conditionalFormatting>
  <conditionalFormatting sqref="N145:N147">
    <cfRule type="expression" dxfId="2738" priority="3378">
      <formula>$H145="SUBETAPA"</formula>
    </cfRule>
    <cfRule type="expression" dxfId="2737" priority="3377">
      <formula>$H145="ETAPA"</formula>
    </cfRule>
  </conditionalFormatting>
  <conditionalFormatting sqref="N145:N176 G168:K169 G170:J173 K170:K176">
    <cfRule type="expression" dxfId="2736" priority="6447">
      <formula>$H145="SUBETAPA"</formula>
    </cfRule>
  </conditionalFormatting>
  <conditionalFormatting sqref="N148">
    <cfRule type="expression" dxfId="2735" priority="3376">
      <formula>$H148="CÉLULA CONSTRUTIVA"</formula>
    </cfRule>
  </conditionalFormatting>
  <conditionalFormatting sqref="N148:N153">
    <cfRule type="expression" dxfId="2734" priority="3375">
      <formula>$H148="SUBETAPA"</formula>
    </cfRule>
  </conditionalFormatting>
  <conditionalFormatting sqref="N154:N156 G154:J156">
    <cfRule type="expression" dxfId="2733" priority="3374">
      <formula>$H154="CÉLULA CONSTRUTIVA"</formula>
    </cfRule>
  </conditionalFormatting>
  <conditionalFormatting sqref="N154:N156">
    <cfRule type="expression" dxfId="2732" priority="3373">
      <formula>$H154="SUBETAPA"</formula>
    </cfRule>
    <cfRule type="expression" dxfId="2731" priority="3372">
      <formula>$H154="ETAPA"</formula>
    </cfRule>
  </conditionalFormatting>
  <conditionalFormatting sqref="N157 G157:K157">
    <cfRule type="expression" dxfId="2730" priority="3371">
      <formula>$H157="CÉLULA CONSTRUTIVA"</formula>
    </cfRule>
  </conditionalFormatting>
  <conditionalFormatting sqref="N157">
    <cfRule type="expression" dxfId="2729" priority="3370">
      <formula>$H157="SUBETAPA"</formula>
    </cfRule>
    <cfRule type="expression" dxfId="2728" priority="3369">
      <formula>$H157="ETAPA"</formula>
    </cfRule>
  </conditionalFormatting>
  <conditionalFormatting sqref="N158">
    <cfRule type="expression" dxfId="2727" priority="3368">
      <formula>$H158="CÉLULA CONSTRUTIVA"</formula>
    </cfRule>
  </conditionalFormatting>
  <conditionalFormatting sqref="N158:N163">
    <cfRule type="expression" dxfId="2726" priority="3367">
      <formula>$H158="SUBETAPA"</formula>
    </cfRule>
  </conditionalFormatting>
  <conditionalFormatting sqref="N164:N166 G164:J166">
    <cfRule type="expression" dxfId="2725" priority="3366">
      <formula>$H164="CÉLULA CONSTRUTIVA"</formula>
    </cfRule>
  </conditionalFormatting>
  <conditionalFormatting sqref="N164:N166">
    <cfRule type="expression" dxfId="2724" priority="3364">
      <formula>$H164="ETAPA"</formula>
    </cfRule>
    <cfRule type="expression" dxfId="2723" priority="3365">
      <formula>$H164="SUBETAPA"</formula>
    </cfRule>
  </conditionalFormatting>
  <conditionalFormatting sqref="N167 G167:K167">
    <cfRule type="expression" dxfId="2722" priority="3363">
      <formula>$H167="CÉLULA CONSTRUTIVA"</formula>
    </cfRule>
  </conditionalFormatting>
  <conditionalFormatting sqref="N167">
    <cfRule type="expression" dxfId="2721" priority="3361">
      <formula>$H167="ETAPA"</formula>
    </cfRule>
    <cfRule type="expression" dxfId="2720" priority="3362">
      <formula>$H167="SUBETAPA"</formula>
    </cfRule>
  </conditionalFormatting>
  <conditionalFormatting sqref="N168">
    <cfRule type="expression" dxfId="2719" priority="3360">
      <formula>$H168="CÉLULA CONSTRUTIVA"</formula>
    </cfRule>
  </conditionalFormatting>
  <conditionalFormatting sqref="N168:N173">
    <cfRule type="expression" dxfId="2718" priority="3359">
      <formula>$H168="SUBETAPA"</formula>
    </cfRule>
  </conditionalFormatting>
  <conditionalFormatting sqref="N174:N176 G174:J176">
    <cfRule type="expression" dxfId="2717" priority="3358">
      <formula>$H174="CÉLULA CONSTRUTIVA"</formula>
    </cfRule>
  </conditionalFormatting>
  <conditionalFormatting sqref="N174:N176">
    <cfRule type="expression" dxfId="2716" priority="3357">
      <formula>$H174="SUBETAPA"</formula>
    </cfRule>
    <cfRule type="expression" dxfId="2715" priority="3356">
      <formula>$H174="ETAPA"</formula>
    </cfRule>
  </conditionalFormatting>
  <conditionalFormatting sqref="N177">
    <cfRule type="expression" dxfId="2714" priority="3355">
      <formula>$H177="CÉLULA CONSTRUTIVA"</formula>
    </cfRule>
  </conditionalFormatting>
  <conditionalFormatting sqref="N178">
    <cfRule type="expression" dxfId="2713" priority="3354">
      <formula>$H178="SUBETAPA"</formula>
    </cfRule>
    <cfRule type="expression" dxfId="2712" priority="3353">
      <formula>$H178="ETAPA"</formula>
    </cfRule>
  </conditionalFormatting>
  <conditionalFormatting sqref="N185">
    <cfRule type="expression" dxfId="2711" priority="3351">
      <formula>$H185="SUBETAPA"</formula>
    </cfRule>
    <cfRule type="expression" dxfId="2710" priority="3350">
      <formula>$H185="ETAPA"</formula>
    </cfRule>
  </conditionalFormatting>
  <conditionalFormatting sqref="N186">
    <cfRule type="expression" dxfId="2709" priority="3349">
      <formula>$H186="CÉLULA CONSTRUTIVA"</formula>
    </cfRule>
  </conditionalFormatting>
  <conditionalFormatting sqref="N187">
    <cfRule type="expression" dxfId="2708" priority="3347">
      <formula>$H187="ETAPA"</formula>
    </cfRule>
    <cfRule type="expression" dxfId="2707" priority="3348">
      <formula>$H187="SUBETAPA"</formula>
    </cfRule>
  </conditionalFormatting>
  <conditionalFormatting sqref="N194">
    <cfRule type="expression" dxfId="2706" priority="3345">
      <formula>$H194="SUBETAPA"</formula>
    </cfRule>
    <cfRule type="expression" dxfId="2705" priority="3344">
      <formula>$H194="ETAPA"</formula>
    </cfRule>
  </conditionalFormatting>
  <conditionalFormatting sqref="N195">
    <cfRule type="expression" dxfId="2704" priority="3343">
      <formula>$H195="CÉLULA CONSTRUTIVA"</formula>
    </cfRule>
  </conditionalFormatting>
  <conditionalFormatting sqref="N196">
    <cfRule type="expression" dxfId="2703" priority="3341">
      <formula>$H196="ETAPA"</formula>
    </cfRule>
    <cfRule type="expression" dxfId="2702" priority="3342">
      <formula>$H196="SUBETAPA"</formula>
    </cfRule>
  </conditionalFormatting>
  <conditionalFormatting sqref="N203">
    <cfRule type="expression" dxfId="2701" priority="3338">
      <formula>$H203="ETAPA"</formula>
    </cfRule>
    <cfRule type="expression" dxfId="2700" priority="3339">
      <formula>$H203="SUBETAPA"</formula>
    </cfRule>
  </conditionalFormatting>
  <conditionalFormatting sqref="N203:N205 G203:K203">
    <cfRule type="expression" dxfId="2699" priority="3340">
      <formula>$H203="CÉLULA CONSTRUTIVA"</formula>
    </cfRule>
  </conditionalFormatting>
  <conditionalFormatting sqref="N203:N205 G204:K204 M206:O211 G210:J212">
    <cfRule type="expression" dxfId="2698" priority="6809">
      <formula>$H203="SUBETAPA"</formula>
    </cfRule>
  </conditionalFormatting>
  <conditionalFormatting sqref="N204 L206 K206:K211 G210:J211 M206:O211">
    <cfRule type="expression" dxfId="2697" priority="3337">
      <formula>$H204="ETAPA"</formula>
    </cfRule>
  </conditionalFormatting>
  <conditionalFormatting sqref="N204">
    <cfRule type="expression" dxfId="2696" priority="3336">
      <formula>$H204="CÉLULA CONSTRUTIVA"</formula>
    </cfRule>
    <cfRule type="expression" dxfId="2695" priority="3335">
      <formula>$H204="SUBETAPA"</formula>
    </cfRule>
  </conditionalFormatting>
  <conditionalFormatting sqref="N205">
    <cfRule type="expression" dxfId="2694" priority="3334">
      <formula>$H205="SUBETAPA"</formula>
    </cfRule>
    <cfRule type="expression" dxfId="2693" priority="3333">
      <formula>$H205="ETAPA"</formula>
    </cfRule>
  </conditionalFormatting>
  <conditionalFormatting sqref="N212">
    <cfRule type="expression" dxfId="2692" priority="9710">
      <formula>$H212="SUBETAPA"</formula>
    </cfRule>
    <cfRule type="expression" dxfId="2691" priority="3331">
      <formula>$H212="SUBETAPA"</formula>
    </cfRule>
    <cfRule type="expression" dxfId="2690" priority="3330">
      <formula>$H212="ETAPA"</formula>
    </cfRule>
  </conditionalFormatting>
  <conditionalFormatting sqref="N213">
    <cfRule type="expression" dxfId="2689" priority="3329">
      <formula>$H213="CÉLULA CONSTRUTIVA"</formula>
    </cfRule>
  </conditionalFormatting>
  <conditionalFormatting sqref="N214">
    <cfRule type="expression" dxfId="2688" priority="3327">
      <formula>$H214="ETAPA"</formula>
    </cfRule>
    <cfRule type="expression" dxfId="2687" priority="3328">
      <formula>$H214="SUBETAPA"</formula>
    </cfRule>
  </conditionalFormatting>
  <conditionalFormatting sqref="N221">
    <cfRule type="expression" dxfId="2686" priority="3324">
      <formula>$H221="ETAPA"</formula>
    </cfRule>
    <cfRule type="expression" dxfId="2685" priority="3325">
      <formula>$H221="SUBETAPA"</formula>
    </cfRule>
  </conditionalFormatting>
  <conditionalFormatting sqref="N221:N272 G267:K268 G269:J272">
    <cfRule type="expression" dxfId="2684" priority="6242">
      <formula>$H221="SUBETAPA"</formula>
    </cfRule>
  </conditionalFormatting>
  <conditionalFormatting sqref="N222">
    <cfRule type="expression" dxfId="2683" priority="3323">
      <formula>$H222="CÉLULA CONSTRUTIVA"</formula>
    </cfRule>
  </conditionalFormatting>
  <conditionalFormatting sqref="N222:N227">
    <cfRule type="expression" dxfId="2682" priority="3322">
      <formula>$H222="SUBETAPA"</formula>
    </cfRule>
  </conditionalFormatting>
  <conditionalFormatting sqref="N228:N230 G228:J230">
    <cfRule type="expression" dxfId="2681" priority="3321">
      <formula>$H228="CÉLULA CONSTRUTIVA"</formula>
    </cfRule>
  </conditionalFormatting>
  <conditionalFormatting sqref="N228:N230">
    <cfRule type="expression" dxfId="2680" priority="3319">
      <formula>$H228="ETAPA"</formula>
    </cfRule>
    <cfRule type="expression" dxfId="2679" priority="3320">
      <formula>$H228="SUBETAPA"</formula>
    </cfRule>
  </conditionalFormatting>
  <conditionalFormatting sqref="N231">
    <cfRule type="expression" dxfId="2678" priority="3318">
      <formula>$H231="CÉLULA CONSTRUTIVA"</formula>
    </cfRule>
  </conditionalFormatting>
  <conditionalFormatting sqref="N231:N236">
    <cfRule type="expression" dxfId="2677" priority="3317">
      <formula>$H231="SUBETAPA"</formula>
    </cfRule>
  </conditionalFormatting>
  <conditionalFormatting sqref="N237:N239 G237:J239">
    <cfRule type="expression" dxfId="2676" priority="3316">
      <formula>$H237="CÉLULA CONSTRUTIVA"</formula>
    </cfRule>
  </conditionalFormatting>
  <conditionalFormatting sqref="N237:N239">
    <cfRule type="expression" dxfId="2675" priority="3314">
      <formula>$H237="ETAPA"</formula>
    </cfRule>
    <cfRule type="expression" dxfId="2674" priority="3315">
      <formula>$H237="SUBETAPA"</formula>
    </cfRule>
  </conditionalFormatting>
  <conditionalFormatting sqref="N240">
    <cfRule type="expression" dxfId="2673" priority="3313">
      <formula>$H240="CÉLULA CONSTRUTIVA"</formula>
    </cfRule>
  </conditionalFormatting>
  <conditionalFormatting sqref="N240:N245">
    <cfRule type="expression" dxfId="2672" priority="3312">
      <formula>$H240="SUBETAPA"</formula>
    </cfRule>
  </conditionalFormatting>
  <conditionalFormatting sqref="N246:N248 G246:J248">
    <cfRule type="expression" dxfId="2671" priority="3311">
      <formula>$H246="CÉLULA CONSTRUTIVA"</formula>
    </cfRule>
  </conditionalFormatting>
  <conditionalFormatting sqref="N246:N248">
    <cfRule type="expression" dxfId="2670" priority="3309">
      <formula>$H246="ETAPA"</formula>
    </cfRule>
    <cfRule type="expression" dxfId="2669" priority="3310">
      <formula>$H246="SUBETAPA"</formula>
    </cfRule>
  </conditionalFormatting>
  <conditionalFormatting sqref="N249">
    <cfRule type="expression" dxfId="2668" priority="3308">
      <formula>$H249="CÉLULA CONSTRUTIVA"</formula>
    </cfRule>
  </conditionalFormatting>
  <conditionalFormatting sqref="N249:N254">
    <cfRule type="expression" dxfId="2667" priority="3307">
      <formula>$H249="SUBETAPA"</formula>
    </cfRule>
  </conditionalFormatting>
  <conditionalFormatting sqref="N255:N257 G255:J257">
    <cfRule type="expression" dxfId="2666" priority="3306">
      <formula>$H255="CÉLULA CONSTRUTIVA"</formula>
    </cfRule>
  </conditionalFormatting>
  <conditionalFormatting sqref="N255:N257">
    <cfRule type="expression" dxfId="2665" priority="3305">
      <formula>$H255="SUBETAPA"</formula>
    </cfRule>
    <cfRule type="expression" dxfId="2664" priority="3304">
      <formula>$H255="ETAPA"</formula>
    </cfRule>
  </conditionalFormatting>
  <conditionalFormatting sqref="N258">
    <cfRule type="expression" dxfId="2663" priority="3303">
      <formula>$H258="CÉLULA CONSTRUTIVA"</formula>
    </cfRule>
  </conditionalFormatting>
  <conditionalFormatting sqref="N258:N263">
    <cfRule type="expression" dxfId="2662" priority="3302">
      <formula>$H258="SUBETAPA"</formula>
    </cfRule>
  </conditionalFormatting>
  <conditionalFormatting sqref="N264:N266 G264:J266">
    <cfRule type="expression" dxfId="2661" priority="3301">
      <formula>$H264="CÉLULA CONSTRUTIVA"</formula>
    </cfRule>
  </conditionalFormatting>
  <conditionalFormatting sqref="N264:N266">
    <cfRule type="expression" dxfId="2660" priority="3300">
      <formula>$H264="SUBETAPA"</formula>
    </cfRule>
    <cfRule type="expression" dxfId="2659" priority="3299">
      <formula>$H264="ETAPA"</formula>
    </cfRule>
  </conditionalFormatting>
  <conditionalFormatting sqref="N267">
    <cfRule type="expression" dxfId="2658" priority="3298">
      <formula>$H267="CÉLULA CONSTRUTIVA"</formula>
    </cfRule>
  </conditionalFormatting>
  <conditionalFormatting sqref="N267:N272">
    <cfRule type="expression" dxfId="2657" priority="3297">
      <formula>$H267="SUBETAPA"</formula>
    </cfRule>
  </conditionalFormatting>
  <conditionalFormatting sqref="N274">
    <cfRule type="expression" dxfId="2656" priority="3296">
      <formula>$H274="CÉLULA CONSTRUTIVA"</formula>
    </cfRule>
  </conditionalFormatting>
  <conditionalFormatting sqref="N280">
    <cfRule type="expression" dxfId="2655" priority="3295">
      <formula>$H280="CÉLULA CONSTRUTIVA"</formula>
    </cfRule>
    <cfRule type="expression" dxfId="2654" priority="3294">
      <formula>$H280="SUBETAPA"</formula>
    </cfRule>
  </conditionalFormatting>
  <conditionalFormatting sqref="N282 G141:J144 K141:K147">
    <cfRule type="expression" dxfId="2653" priority="3293">
      <formula>$H141="ETAPA"</formula>
    </cfRule>
  </conditionalFormatting>
  <conditionalFormatting sqref="N282">
    <cfRule type="expression" dxfId="2652" priority="3292">
      <formula>$H282="SUBETAPA"</formula>
    </cfRule>
  </conditionalFormatting>
  <conditionalFormatting sqref="N283">
    <cfRule type="expression" dxfId="2651" priority="3291">
      <formula>$H283="CÉLULA CONSTRUTIVA"</formula>
    </cfRule>
    <cfRule type="expression" dxfId="2650" priority="3290">
      <formula>$H283="SUBETAPA"</formula>
    </cfRule>
  </conditionalFormatting>
  <conditionalFormatting sqref="N283:N312 G309:K312">
    <cfRule type="expression" dxfId="2649" priority="9540">
      <formula>$H283="CÉLULA CONSTRUTIVA"</formula>
    </cfRule>
  </conditionalFormatting>
  <conditionalFormatting sqref="N284 L283:M283">
    <cfRule type="expression" dxfId="2648" priority="3289">
      <formula>$H283="SUBETAPA"</formula>
    </cfRule>
  </conditionalFormatting>
  <conditionalFormatting sqref="N284">
    <cfRule type="expression" dxfId="2647" priority="3288">
      <formula>$H284="ETAPA"</formula>
    </cfRule>
  </conditionalFormatting>
  <conditionalFormatting sqref="N285">
    <cfRule type="expression" dxfId="2646" priority="3286">
      <formula>$H285="SUBETAPA"</formula>
    </cfRule>
    <cfRule type="expression" dxfId="2645" priority="3287">
      <formula>$H285="CÉLULA CONSTRUTIVA"</formula>
    </cfRule>
  </conditionalFormatting>
  <conditionalFormatting sqref="N286 L285:M285">
    <cfRule type="expression" dxfId="2644" priority="3285">
      <formula>$H285="SUBETAPA"</formula>
    </cfRule>
  </conditionalFormatting>
  <conditionalFormatting sqref="N286">
    <cfRule type="expression" dxfId="2643" priority="3284">
      <formula>$H286="ETAPA"</formula>
    </cfRule>
  </conditionalFormatting>
  <conditionalFormatting sqref="N287">
    <cfRule type="expression" dxfId="2642" priority="3282">
      <formula>$H287="SUBETAPA"</formula>
    </cfRule>
    <cfRule type="expression" dxfId="2641" priority="3283">
      <formula>$H287="CÉLULA CONSTRUTIVA"</formula>
    </cfRule>
  </conditionalFormatting>
  <conditionalFormatting sqref="N288 L287:M287">
    <cfRule type="expression" dxfId="2640" priority="3281">
      <formula>$H287="SUBETAPA"</formula>
    </cfRule>
  </conditionalFormatting>
  <conditionalFormatting sqref="N288">
    <cfRule type="expression" dxfId="2639" priority="3280">
      <formula>$H288="ETAPA"</formula>
    </cfRule>
  </conditionalFormatting>
  <conditionalFormatting sqref="N289">
    <cfRule type="expression" dxfId="2638" priority="3278">
      <formula>$H289="SUBETAPA"</formula>
    </cfRule>
    <cfRule type="expression" dxfId="2637" priority="3279">
      <formula>$H289="CÉLULA CONSTRUTIVA"</formula>
    </cfRule>
  </conditionalFormatting>
  <conditionalFormatting sqref="N290 L289:M289">
    <cfRule type="expression" dxfId="2636" priority="3277">
      <formula>$H289="SUBETAPA"</formula>
    </cfRule>
  </conditionalFormatting>
  <conditionalFormatting sqref="N290">
    <cfRule type="expression" dxfId="2635" priority="3276">
      <formula>$H290="ETAPA"</formula>
    </cfRule>
  </conditionalFormatting>
  <conditionalFormatting sqref="N291">
    <cfRule type="expression" dxfId="2634" priority="3274">
      <formula>$H291="SUBETAPA"</formula>
    </cfRule>
    <cfRule type="expression" dxfId="2633" priority="3275">
      <formula>$H291="CÉLULA CONSTRUTIVA"</formula>
    </cfRule>
  </conditionalFormatting>
  <conditionalFormatting sqref="N292 L291:M291">
    <cfRule type="expression" dxfId="2632" priority="3273">
      <formula>$H291="SUBETAPA"</formula>
    </cfRule>
  </conditionalFormatting>
  <conditionalFormatting sqref="N292">
    <cfRule type="expression" dxfId="2631" priority="3272">
      <formula>$H292="ETAPA"</formula>
    </cfRule>
  </conditionalFormatting>
  <conditionalFormatting sqref="N293">
    <cfRule type="expression" dxfId="2630" priority="3271">
      <formula>$H293="CÉLULA CONSTRUTIVA"</formula>
    </cfRule>
    <cfRule type="expression" dxfId="2629" priority="3270">
      <formula>$H293="SUBETAPA"</formula>
    </cfRule>
  </conditionalFormatting>
  <conditionalFormatting sqref="N294 L293:M293">
    <cfRule type="expression" dxfId="2628" priority="3269">
      <formula>$H293="SUBETAPA"</formula>
    </cfRule>
  </conditionalFormatting>
  <conditionalFormatting sqref="N294">
    <cfRule type="expression" dxfId="2627" priority="3268">
      <formula>$H294="ETAPA"</formula>
    </cfRule>
  </conditionalFormatting>
  <conditionalFormatting sqref="N295">
    <cfRule type="expression" dxfId="2626" priority="3266">
      <formula>$H295="SUBETAPA"</formula>
    </cfRule>
    <cfRule type="expression" dxfId="2625" priority="3267">
      <formula>$H295="CÉLULA CONSTRUTIVA"</formula>
    </cfRule>
  </conditionalFormatting>
  <conditionalFormatting sqref="N296">
    <cfRule type="expression" dxfId="2624" priority="3265">
      <formula>$H296="ETAPA"</formula>
    </cfRule>
  </conditionalFormatting>
  <conditionalFormatting sqref="N297">
    <cfRule type="expression" dxfId="2623" priority="3263">
      <formula>$H297="SUBETAPA"</formula>
    </cfRule>
    <cfRule type="expression" dxfId="2622" priority="3264">
      <formula>$H297="CÉLULA CONSTRUTIVA"</formula>
    </cfRule>
  </conditionalFormatting>
  <conditionalFormatting sqref="N298 L297:M297">
    <cfRule type="expression" dxfId="2621" priority="3262">
      <formula>$H297="SUBETAPA"</formula>
    </cfRule>
  </conditionalFormatting>
  <conditionalFormatting sqref="N298">
    <cfRule type="expression" dxfId="2620" priority="3261">
      <formula>$H298="ETAPA"</formula>
    </cfRule>
  </conditionalFormatting>
  <conditionalFormatting sqref="N299">
    <cfRule type="expression" dxfId="2619" priority="3260">
      <formula>$H299="CÉLULA CONSTRUTIVA"</formula>
    </cfRule>
    <cfRule type="expression" dxfId="2618" priority="3259">
      <formula>$H299="SUBETAPA"</formula>
    </cfRule>
  </conditionalFormatting>
  <conditionalFormatting sqref="N300 L299:M299">
    <cfRule type="expression" dxfId="2617" priority="3258">
      <formula>$H299="SUBETAPA"</formula>
    </cfRule>
  </conditionalFormatting>
  <conditionalFormatting sqref="N300">
    <cfRule type="expression" dxfId="2616" priority="3257">
      <formula>$H300="ETAPA"</formula>
    </cfRule>
  </conditionalFormatting>
  <conditionalFormatting sqref="N301">
    <cfRule type="expression" dxfId="2615" priority="3255">
      <formula>$H301="SUBETAPA"</formula>
    </cfRule>
    <cfRule type="expression" dxfId="2614" priority="3256">
      <formula>$H301="CÉLULA CONSTRUTIVA"</formula>
    </cfRule>
  </conditionalFormatting>
  <conditionalFormatting sqref="N302 L301:M301">
    <cfRule type="expression" dxfId="2613" priority="3254">
      <formula>$H301="SUBETAPA"</formula>
    </cfRule>
  </conditionalFormatting>
  <conditionalFormatting sqref="N302">
    <cfRule type="expression" dxfId="2612" priority="3253">
      <formula>$H302="ETAPA"</formula>
    </cfRule>
  </conditionalFormatting>
  <conditionalFormatting sqref="N303">
    <cfRule type="expression" dxfId="2611" priority="3251">
      <formula>$H303="SUBETAPA"</formula>
    </cfRule>
    <cfRule type="expression" dxfId="2610" priority="3252">
      <formula>$H303="CÉLULA CONSTRUTIVA"</formula>
    </cfRule>
  </conditionalFormatting>
  <conditionalFormatting sqref="N304">
    <cfRule type="expression" dxfId="2609" priority="3249">
      <formula>$H304="SUBETAPA"</formula>
    </cfRule>
    <cfRule type="expression" dxfId="2608" priority="3250">
      <formula>$H304="ETAPA"</formula>
    </cfRule>
  </conditionalFormatting>
  <conditionalFormatting sqref="N305">
    <cfRule type="expression" dxfId="2607" priority="3248">
      <formula>$H305="CÉLULA CONSTRUTIVA"</formula>
    </cfRule>
    <cfRule type="expression" dxfId="2606" priority="3247">
      <formula>$H305="SUBETAPA"</formula>
    </cfRule>
  </conditionalFormatting>
  <conditionalFormatting sqref="N306 L305:M305">
    <cfRule type="expression" dxfId="2605" priority="3246">
      <formula>$H305="SUBETAPA"</formula>
    </cfRule>
  </conditionalFormatting>
  <conditionalFormatting sqref="N306">
    <cfRule type="expression" dxfId="2604" priority="3245">
      <formula>$H306="ETAPA"</formula>
    </cfRule>
  </conditionalFormatting>
  <conditionalFormatting sqref="N307">
    <cfRule type="expression" dxfId="2603" priority="3244">
      <formula>$H307="CÉLULA CONSTRUTIVA"</formula>
    </cfRule>
    <cfRule type="expression" dxfId="2602" priority="3243">
      <formula>$H307="SUBETAPA"</formula>
    </cfRule>
  </conditionalFormatting>
  <conditionalFormatting sqref="N307:N310 G309:K310">
    <cfRule type="expression" dxfId="2601" priority="9545">
      <formula>$H307="ETAPA"</formula>
    </cfRule>
  </conditionalFormatting>
  <conditionalFormatting sqref="N308">
    <cfRule type="expression" dxfId="2600" priority="3242">
      <formula>$H308="ETAPA"</formula>
    </cfRule>
    <cfRule type="expression" dxfId="2599" priority="3241">
      <formula>$H308="SUBETAPA"</formula>
    </cfRule>
  </conditionalFormatting>
  <conditionalFormatting sqref="N309">
    <cfRule type="expression" dxfId="2598" priority="3240">
      <formula>$H309="CÉLULA CONSTRUTIVA"</formula>
    </cfRule>
    <cfRule type="expression" dxfId="2597" priority="3239">
      <formula>$H309="SUBETAPA"</formula>
    </cfRule>
  </conditionalFormatting>
  <conditionalFormatting sqref="N310 L309:M309">
    <cfRule type="expression" dxfId="2596" priority="3238">
      <formula>$H309="SUBETAPA"</formula>
    </cfRule>
  </conditionalFormatting>
  <conditionalFormatting sqref="N310">
    <cfRule type="expression" dxfId="2595" priority="3237">
      <formula>$H310="ETAPA"</formula>
    </cfRule>
  </conditionalFormatting>
  <conditionalFormatting sqref="N311">
    <cfRule type="expression" dxfId="2594" priority="3236">
      <formula>$H311="CÉLULA CONSTRUTIVA"</formula>
    </cfRule>
    <cfRule type="expression" dxfId="2593" priority="3235">
      <formula>$H311="SUBETAPA"</formula>
    </cfRule>
  </conditionalFormatting>
  <conditionalFormatting sqref="N313">
    <cfRule type="expression" dxfId="2592" priority="3233">
      <formula>$H313="SUBETAPA"</formula>
    </cfRule>
    <cfRule type="expression" dxfId="2591" priority="3234">
      <formula>$H313="CÉLULA CONSTRUTIVA"</formula>
    </cfRule>
  </conditionalFormatting>
  <conditionalFormatting sqref="N314">
    <cfRule type="expression" dxfId="2590" priority="3231">
      <formula>$H314="SUBETAPA"</formula>
    </cfRule>
  </conditionalFormatting>
  <conditionalFormatting sqref="N314:N315">
    <cfRule type="expression" dxfId="2589" priority="3232">
      <formula>$H314="CÉLULA CONSTRUTIVA"</formula>
    </cfRule>
  </conditionalFormatting>
  <conditionalFormatting sqref="N315">
    <cfRule type="expression" dxfId="2588" priority="3230">
      <formula>$H315="ETAPA"</formula>
    </cfRule>
    <cfRule type="expression" dxfId="2587" priority="3229">
      <formula>$H315="CÉLULA CONSTRUTIVA"</formula>
    </cfRule>
    <cfRule type="expression" dxfId="2586" priority="3228">
      <formula>$H315="SUBETAPA"</formula>
    </cfRule>
  </conditionalFormatting>
  <conditionalFormatting sqref="N316">
    <cfRule type="expression" dxfId="2585" priority="3226">
      <formula>$H316="SUBETAPA"</formula>
    </cfRule>
  </conditionalFormatting>
  <conditionalFormatting sqref="N316:N317">
    <cfRule type="expression" dxfId="2584" priority="3227">
      <formula>$H316="CÉLULA CONSTRUTIVA"</formula>
    </cfRule>
  </conditionalFormatting>
  <conditionalFormatting sqref="N317">
    <cfRule type="expression" dxfId="2583" priority="9776">
      <formula>$H317="SUBETAPA"</formula>
    </cfRule>
    <cfRule type="expression" dxfId="2582" priority="3225">
      <formula>$H317="ETAPA"</formula>
    </cfRule>
    <cfRule type="expression" dxfId="2581" priority="3224">
      <formula>$H317="CÉLULA CONSTRUTIVA"</formula>
    </cfRule>
    <cfRule type="expression" dxfId="2580" priority="3223">
      <formula>$H317="SUBETAPA"</formula>
    </cfRule>
  </conditionalFormatting>
  <conditionalFormatting sqref="N318">
    <cfRule type="expression" dxfId="2579" priority="3221">
      <formula>$H318="SUBETAPA"</formula>
    </cfRule>
  </conditionalFormatting>
  <conditionalFormatting sqref="N318:N319">
    <cfRule type="expression" dxfId="2578" priority="3222">
      <formula>$H318="CÉLULA CONSTRUTIVA"</formula>
    </cfRule>
  </conditionalFormatting>
  <conditionalFormatting sqref="N319">
    <cfRule type="expression" dxfId="2577" priority="3220">
      <formula>$H319="ETAPA"</formula>
    </cfRule>
    <cfRule type="expression" dxfId="2576" priority="3218">
      <formula>$H319="SUBETAPA"</formula>
    </cfRule>
    <cfRule type="expression" dxfId="2575" priority="3219">
      <formula>$H319="CÉLULA CONSTRUTIVA"</formula>
    </cfRule>
  </conditionalFormatting>
  <conditionalFormatting sqref="N320">
    <cfRule type="expression" dxfId="2574" priority="3216">
      <formula>$H320="SUBETAPA"</formula>
    </cfRule>
  </conditionalFormatting>
  <conditionalFormatting sqref="N320:N321">
    <cfRule type="expression" dxfId="2573" priority="3217">
      <formula>$H320="CÉLULA CONSTRUTIVA"</formula>
    </cfRule>
  </conditionalFormatting>
  <conditionalFormatting sqref="N321">
    <cfRule type="expression" dxfId="2572" priority="9773">
      <formula>$H321="SUBETAPA"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70">
      <formula>$H325="SUBETAPA"</formula>
    </cfRule>
    <cfRule type="expression" dxfId="2559" priority="9769">
      <formula>$H325="CÉLULA CONSTRUTIVA"</formula>
    </cfRule>
    <cfRule type="expression" dxfId="2558" priority="3203">
      <formula>$H325="CÉLULA CONSTRUTIVA"</formula>
    </cfRule>
    <cfRule type="expression" dxfId="2557" priority="3202">
      <formula>$H325="SUBETAPA"</formula>
    </cfRule>
    <cfRule type="expression" dxfId="2556" priority="3204">
      <formula>$H325="ETAPA"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8">
      <formula>$H327="CÉLULA CONSTRUTIVA"</formula>
    </cfRule>
    <cfRule type="expression" dxfId="2551" priority="3197">
      <formula>$H327="SUBETAPA"</formula>
    </cfRule>
  </conditionalFormatting>
  <conditionalFormatting sqref="N327:N329 G327:L329">
    <cfRule type="expression" dxfId="2550" priority="9455">
      <formula>$H327="CÉLULA CONSTRUTIVA"</formula>
    </cfRule>
  </conditionalFormatting>
  <conditionalFormatting sqref="N328">
    <cfRule type="expression" dxfId="2549" priority="3196">
      <formula>$H328="CÉLULA CONSTRUTIVA"</formula>
    </cfRule>
    <cfRule type="expression" dxfId="2548" priority="3195">
      <formula>$H328="SUBETAPA"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9767">
      <formula>$H331="SUBETAPA"</formula>
    </cfRule>
    <cfRule type="expression" dxfId="2540" priority="3188">
      <formula>$H331="ETAPA"</formula>
    </cfRule>
    <cfRule type="expression" dxfId="2539" priority="3187">
      <formula>$H331="CÉLULA CONSTRUTIVA"</formula>
    </cfRule>
    <cfRule type="expression" dxfId="2538" priority="3186">
      <formula>$H331="SUBETAPA"</formula>
    </cfRule>
  </conditionalFormatting>
  <conditionalFormatting sqref="N332">
    <cfRule type="expression" dxfId="2537" priority="3183">
      <formula>$H332="ETAPA"</formula>
    </cfRule>
    <cfRule type="expression" dxfId="2536" priority="3185">
      <formula>$H332="CÉLULA CONSTRUTIVA"</formula>
    </cfRule>
    <cfRule type="expression" dxfId="2535" priority="3184">
      <formula>$H332="SUBETAPA"</formula>
    </cfRule>
  </conditionalFormatting>
  <conditionalFormatting sqref="N333">
    <cfRule type="expression" dxfId="2534" priority="3181">
      <formula>$H333="CÉLULA CONSTRUTIVA"</formula>
    </cfRule>
    <cfRule type="expression" dxfId="2533" priority="3182">
      <formula>$H333="ETAPA"</formula>
    </cfRule>
    <cfRule type="expression" dxfId="2532" priority="3180">
      <formula>$H333="SUBETAPA"</formula>
    </cfRule>
  </conditionalFormatting>
  <conditionalFormatting sqref="N334">
    <cfRule type="expression" dxfId="2531" priority="3177">
      <formula>$H334="ETAPA"</formula>
    </cfRule>
    <cfRule type="expression" dxfId="2530" priority="3178">
      <formula>$H334="SUBETAPA"</formula>
    </cfRule>
    <cfRule type="expression" dxfId="2529" priority="3179">
      <formula>$H334="CÉLULA CONSTRUTIVA"</formula>
    </cfRule>
  </conditionalFormatting>
  <conditionalFormatting sqref="N335">
    <cfRule type="expression" dxfId="2528" priority="9764">
      <formula>$H335="SUBETAPA"</formula>
    </cfRule>
    <cfRule type="expression" dxfId="2527" priority="3174">
      <formula>$H335="SUBETAPA"</formula>
    </cfRule>
    <cfRule type="expression" dxfId="2526" priority="3175">
      <formula>$H335="CÉLULA CONSTRUTIVA"</formula>
    </cfRule>
    <cfRule type="expression" dxfId="2525" priority="3176">
      <formula>$H335="ETAPA"</formula>
    </cfRule>
  </conditionalFormatting>
  <conditionalFormatting sqref="N336">
    <cfRule type="expression" dxfId="2524" priority="3171">
      <formula>$H336="ETAPA"</formula>
    </cfRule>
    <cfRule type="expression" dxfId="2523" priority="3172">
      <formula>$H336="SUBETAPA"</formula>
    </cfRule>
    <cfRule type="expression" dxfId="2522" priority="3173">
      <formula>$H336="CÉLULA CONSTRUTIVA"</formula>
    </cfRule>
  </conditionalFormatting>
  <conditionalFormatting sqref="N337">
    <cfRule type="expression" dxfId="2521" priority="3168">
      <formula>$H337="SUBETAPA"</formula>
    </cfRule>
    <cfRule type="expression" dxfId="2520" priority="3169">
      <formula>$H337="CÉLULA CONSTRUTIVA"</formula>
    </cfRule>
    <cfRule type="expression" dxfId="2519" priority="3170">
      <formula>$H337="ETAPA"</formula>
    </cfRule>
  </conditionalFormatting>
  <conditionalFormatting sqref="N338">
    <cfRule type="expression" dxfId="2518" priority="3167">
      <formula>$H338="CÉLULA CONSTRUTIVA"</formula>
    </cfRule>
    <cfRule type="expression" dxfId="2517" priority="3166">
      <formula>$H338="SUBETAPA"</formula>
    </cfRule>
    <cfRule type="expression" dxfId="2516" priority="3165">
      <formula>$H338="ETAPA"</formula>
    </cfRule>
  </conditionalFormatting>
  <conditionalFormatting sqref="N339">
    <cfRule type="expression" dxfId="2515" priority="9761">
      <formula>$H339="SUBETAPA"</formula>
    </cfRule>
    <cfRule type="expression" dxfId="2514" priority="3164">
      <formula>$H339="ETAPA"</formula>
    </cfRule>
    <cfRule type="expression" dxfId="2513" priority="3163">
      <formula>$H339="CÉLULA CONSTRUTIVA"</formula>
    </cfRule>
    <cfRule type="expression" dxfId="2512" priority="3162">
      <formula>$H339="SUBETAPA"</formula>
    </cfRule>
  </conditionalFormatting>
  <conditionalFormatting sqref="N340">
    <cfRule type="expression" dxfId="2511" priority="3160">
      <formula>$H340="SUBETAPA"</formula>
    </cfRule>
    <cfRule type="expression" dxfId="2510" priority="3161">
      <formula>$H340="CÉLULA CONSTRUTIVA"</formula>
    </cfRule>
  </conditionalFormatting>
  <conditionalFormatting sqref="N341">
    <cfRule type="expression" dxfId="2509" priority="3158">
      <formula>$H341="CÉLULA CONSTRUTIVA"</formula>
    </cfRule>
    <cfRule type="expression" dxfId="2508" priority="3159">
      <formula>$H341="ETAPA"</formula>
    </cfRule>
    <cfRule type="expression" dxfId="2507" priority="3157">
      <formula>$H341="SUBETAPA"</formula>
    </cfRule>
  </conditionalFormatting>
  <conditionalFormatting sqref="N342">
    <cfRule type="expression" dxfId="2506" priority="3155">
      <formula>$H342="SUBETAPA"</formula>
    </cfRule>
    <cfRule type="expression" dxfId="2505" priority="3156">
      <formula>$H342="CÉLULA CONSTRUTIVA"</formula>
    </cfRule>
    <cfRule type="expression" dxfId="2504" priority="3154">
      <formula>$H342="ETAPA"</formula>
    </cfRule>
  </conditionalFormatting>
  <conditionalFormatting sqref="N343">
    <cfRule type="expression" dxfId="2503" priority="3151">
      <formula>$H343="SUBETAPA"</formula>
    </cfRule>
    <cfRule type="expression" dxfId="2502" priority="9758">
      <formula>$H343="SUBETAPA"</formula>
    </cfRule>
    <cfRule type="expression" dxfId="2501" priority="3152">
      <formula>$H343="CÉLULA CONSTRUTIVA"</formula>
    </cfRule>
    <cfRule type="expression" dxfId="2500" priority="3153">
      <formula>$H343="ETAPA"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5">
      <formula>$H347="SUBETAPA"</formula>
    </cfRule>
    <cfRule type="expression" dxfId="2494" priority="3146">
      <formula>$H347="CÉLULA CONSTRUTIVA"</formula>
    </cfRule>
  </conditionalFormatting>
  <conditionalFormatting sqref="N348 O400:O408 O413:O421 O426:O434 O439:O447 O452:O460 O465:O473 O478:O486 O491:O499 O504:O512 O517:O525 O543:O551 O530:O538 J1336 J1252 J1227 J1220 J1213">
    <cfRule type="expression" dxfId="2493" priority="3143">
      <formula>$H348="SUBETAPA"</formula>
    </cfRule>
    <cfRule type="expression" dxfId="2492" priority="3144">
      <formula>$H348="ETAPA"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3">
      <formula>$H354="SUBETAPA"</formula>
    </cfRule>
    <cfRule type="expression" dxfId="2480" priority="3134">
      <formula>$H354="ETAPA"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29">
      <formula>$H356="SUBETAPA"</formula>
    </cfRule>
    <cfRule type="expression" dxfId="2476" priority="3130">
      <formula>$H356="ETAPA"</formula>
    </cfRule>
  </conditionalFormatting>
  <conditionalFormatting sqref="N357">
    <cfRule type="expression" dxfId="2475" priority="3127">
      <formula>$H357="SUBETAPA"</formula>
    </cfRule>
    <cfRule type="expression" dxfId="2474" priority="3128">
      <formula>$H357="CÉLULA CONSTRUTIVA"</formula>
    </cfRule>
  </conditionalFormatting>
  <conditionalFormatting sqref="N358">
    <cfRule type="expression" dxfId="2473" priority="3125">
      <formula>$H358="SUBETAPA"</formula>
    </cfRule>
    <cfRule type="expression" dxfId="2472" priority="3126">
      <formula>$H358="ETAPA"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0">
      <formula>$H361="SUBETAPA"</formula>
    </cfRule>
    <cfRule type="expression" dxfId="2467" priority="3121">
      <formula>$H361="CÉLULA CONSTRUTIVA"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6">
      <formula>$H363="SUBETAPA"</formula>
    </cfRule>
    <cfRule type="expression" dxfId="2463" priority="3117">
      <formula>$H363="CÉLULA CONSTRUTIVA"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2">
      <formula>$H365="SUBETAPA"</formula>
    </cfRule>
    <cfRule type="expression" dxfId="2459" priority="3113">
      <formula>$H365="CÉLULA CONSTRUTIVA"</formula>
    </cfRule>
  </conditionalFormatting>
  <conditionalFormatting sqref="N366">
    <cfRule type="expression" dxfId="2458" priority="3110">
      <formula>$H366="SUBETAPA"</formula>
    </cfRule>
    <cfRule type="expression" dxfId="2457" priority="3111">
      <formula>$H366="ETAPA"</formula>
    </cfRule>
  </conditionalFormatting>
  <conditionalFormatting sqref="N367">
    <cfRule type="expression" dxfId="2456" priority="3108">
      <formula>$H367="SUBETAPA"</formula>
    </cfRule>
    <cfRule type="expression" dxfId="2455" priority="3109">
      <formula>$H367="CÉLULA CONSTRUTIVA"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5">
      <formula>$H369="CÉLULA CONSTRUTIVA"</formula>
    </cfRule>
    <cfRule type="expression" dxfId="2451" priority="3104">
      <formula>$H369="SUBETAPA"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3098">
      <formula>$H372="ETAPA"</formula>
    </cfRule>
    <cfRule type="expression" dxfId="2444" priority="4954">
      <formula>$H372="CÉLULA CONSTRUTIVA"</formula>
    </cfRule>
  </conditionalFormatting>
  <conditionalFormatting sqref="N373">
    <cfRule type="expression" dxfId="2443" priority="3096">
      <formula>$H373="SUBETAPA"</formula>
    </cfRule>
    <cfRule type="expression" dxfId="2442" priority="3097">
      <formula>$H373="CÉLULA CONSTRUTIVA"</formula>
    </cfRule>
  </conditionalFormatting>
  <conditionalFormatting sqref="N374">
    <cfRule type="expression" dxfId="2441" priority="3095">
      <formula>$H374="ETAPA"</formula>
    </cfRule>
  </conditionalFormatting>
  <conditionalFormatting sqref="N375">
    <cfRule type="expression" dxfId="2440" priority="3093">
      <formula>$H375="SUBETAPA"</formula>
    </cfRule>
    <cfRule type="expression" dxfId="2439" priority="3094">
      <formula>$H375="CÉLULA CONSTRUTIVA"</formula>
    </cfRule>
  </conditionalFormatting>
  <conditionalFormatting sqref="N376">
    <cfRule type="expression" dxfId="2438" priority="3092">
      <formula>$H376="ETAPA"</formula>
    </cfRule>
  </conditionalFormatting>
  <conditionalFormatting sqref="N377">
    <cfRule type="expression" dxfId="2437" priority="3090">
      <formula>$H377="SUBETAPA"</formula>
    </cfRule>
    <cfRule type="expression" dxfId="2436" priority="3091">
      <formula>$H377="CÉLULA CONSTRUTIVA"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4">
      <formula>$H379="SUBETAPA"</formula>
    </cfRule>
    <cfRule type="expression" dxfId="2432" priority="10403">
      <formula>$H379="CÉLULA CONSTRUTIVA"</formula>
    </cfRule>
  </conditionalFormatting>
  <conditionalFormatting sqref="N27:O27">
    <cfRule type="expression" dxfId="2431" priority="3086">
      <formula>$H27="SUBETAPA"</formula>
    </cfRule>
    <cfRule type="expression" dxfId="2430" priority="3087">
      <formula>$H27="CÉLULA CONSTRUTIVA"</formula>
    </cfRule>
    <cfRule type="expression" dxfId="2429" priority="3088">
      <formula>$H27="ETAPA"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2">
      <formula>$H46="CÉLULA CONSTRUTIVA"</formula>
    </cfRule>
    <cfRule type="expression" dxfId="2414" priority="3073">
      <formula>$H46="SUBETAPA"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7">
      <formula>$H64="CÉLULA CONSTRUTIVA"</formula>
    </cfRule>
    <cfRule type="expression" dxfId="2408" priority="3066">
      <formula>$H64="SUBETAPA"</formula>
    </cfRule>
  </conditionalFormatting>
  <conditionalFormatting sqref="N67:O67">
    <cfRule type="expression" dxfId="2407" priority="3065">
      <formula>$H67="SUBETAPA"</formula>
    </cfRule>
  </conditionalFormatting>
  <conditionalFormatting sqref="N71:O71">
    <cfRule type="expression" dxfId="2406" priority="3062">
      <formula>$H71="SUBETAPA"</formula>
    </cfRule>
    <cfRule type="expression" dxfId="2405" priority="3064">
      <formula>$H71="ETAPA"</formula>
    </cfRule>
    <cfRule type="expression" dxfId="2404" priority="3063">
      <formula>$H71="CÉLULA CONSTRUTIVA"</formula>
    </cfRule>
  </conditionalFormatting>
  <conditionalFormatting sqref="N80:O80">
    <cfRule type="expression" dxfId="2403" priority="3441">
      <formula>$H80="CÉLULA CONSTRUTIVA"</formula>
    </cfRule>
  </conditionalFormatting>
  <conditionalFormatting sqref="N82:O82">
    <cfRule type="expression" dxfId="2402" priority="3060">
      <formula>$H82="CÉLULA CONSTRUTIVA"</formula>
    </cfRule>
    <cfRule type="expression" dxfId="2401" priority="3059">
      <formula>$H82="SUBETAPA"</formula>
    </cfRule>
    <cfRule type="expression" dxfId="2400" priority="3061">
      <formula>$H82="ETAPA"</formula>
    </cfRule>
  </conditionalFormatting>
  <conditionalFormatting sqref="N99:O99">
    <cfRule type="expression" dxfId="2399" priority="3057">
      <formula>$H99="CÉLULA CONSTRUTIVA"</formula>
    </cfRule>
    <cfRule type="expression" dxfId="2398" priority="3056">
      <formula>$H99="SUBETAPA"</formula>
    </cfRule>
    <cfRule type="expression" dxfId="2397" priority="3058">
      <formula>$H99="ETAPA"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5">
      <formula>$H345="SUBETAPA"</formula>
    </cfRule>
    <cfRule type="expression" dxfId="2387" priority="3046">
      <formula>$H345="CÉLULA CONSTRUTIVA"</formula>
    </cfRule>
    <cfRule type="expression" dxfId="2386" priority="3047">
      <formula>$H345="ETAPA"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9">
      <formula>$H14="CÉLULA CONSTRUTIVA"</formula>
    </cfRule>
    <cfRule type="expression" dxfId="2379" priority="3038">
      <formula>$H14="SUBETAPA"</formula>
    </cfRule>
    <cfRule type="expression" dxfId="2378" priority="3037">
      <formula>$H14="ETAPA"</formula>
    </cfRule>
    <cfRule type="expression" dxfId="2377" priority="3036">
      <formula>$H14="SUBETAPA"</formula>
    </cfRule>
    <cfRule type="expression" dxfId="2376" priority="3035">
      <formula>$H14="ETAPA"</formula>
    </cfRule>
    <cfRule type="expression" dxfId="2375" priority="3034">
      <formula>$H14="SUBETAPA"</formula>
    </cfRule>
    <cfRule type="expression" dxfId="2374" priority="3033">
      <formula>$H14="ETAPA"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6">
      <formula>$H21="CÉLULA CONSTRUTIVA"</formula>
    </cfRule>
    <cfRule type="expression" dxfId="2366" priority="3025">
      <formula>$H21="SUBETAPA"</formula>
    </cfRule>
  </conditionalFormatting>
  <conditionalFormatting sqref="O23">
    <cfRule type="expression" dxfId="2365" priority="3024">
      <formula>$H23="CÉLULA CONSTRUTIVA"</formula>
    </cfRule>
    <cfRule type="expression" dxfId="2364" priority="3023">
      <formula>$H23="SUBETAPA"</formula>
    </cfRule>
    <cfRule type="expression" dxfId="2363" priority="3022">
      <formula>$H23="ETAPA"</formula>
    </cfRule>
    <cfRule type="expression" dxfId="2362" priority="3021">
      <formula>$H23="SUBETAPA"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6">
      <formula>$H42="ETAPA"</formula>
    </cfRule>
    <cfRule type="expression" dxfId="2346" priority="3005">
      <formula>$H42="CÉLULA CONSTRUTIVA"</formula>
    </cfRule>
  </conditionalFormatting>
  <conditionalFormatting sqref="O44 O49">
    <cfRule type="expression" dxfId="2345" priority="3004">
      <formula>$H44="SUBETAPA"</formula>
    </cfRule>
  </conditionalFormatting>
  <conditionalFormatting sqref="O51">
    <cfRule type="expression" dxfId="2344" priority="3003">
      <formula>$H51="ETAPA"</formula>
    </cfRule>
    <cfRule type="expression" dxfId="2343" priority="3002">
      <formula>$H51="CÉLULA CONSTRUTIVA"</formula>
    </cfRule>
  </conditionalFormatting>
  <conditionalFormatting sqref="O51:O52">
    <cfRule type="expression" dxfId="2342" priority="3001">
      <formula>$H51="SUBETAPA"</formula>
    </cfRule>
  </conditionalFormatting>
  <conditionalFormatting sqref="O52">
    <cfRule type="expression" dxfId="2341" priority="3000">
      <formula>$H52="ETAPA"</formula>
    </cfRule>
    <cfRule type="expression" dxfId="2340" priority="2999">
      <formula>$H52="CÉLULA CONSTRUTIVA"</formula>
    </cfRule>
  </conditionalFormatting>
  <conditionalFormatting sqref="O55">
    <cfRule type="expression" dxfId="2339" priority="2998">
      <formula>$H55="ETAPA"</formula>
    </cfRule>
    <cfRule type="expression" dxfId="2338" priority="2997">
      <formula>$H55="CÉLULA CONSTRUTIVA"</formula>
    </cfRule>
  </conditionalFormatting>
  <conditionalFormatting sqref="O55:O56">
    <cfRule type="expression" dxfId="2337" priority="2996">
      <formula>$H55="SUBETAPA"</formula>
    </cfRule>
  </conditionalFormatting>
  <conditionalFormatting sqref="O56">
    <cfRule type="expression" dxfId="2336" priority="2995">
      <formula>$H56="ETAPA"</formula>
    </cfRule>
    <cfRule type="expression" dxfId="2335" priority="2994">
      <formula>$H56="CÉLULA CONSTRUTIVA"</formula>
    </cfRule>
  </conditionalFormatting>
  <conditionalFormatting sqref="O58">
    <cfRule type="expression" dxfId="2334" priority="2993">
      <formula>$H58="ETAPA"</formula>
    </cfRule>
    <cfRule type="expression" dxfId="2333" priority="2992">
      <formula>$H58="CÉLULA CONSTRUTIVA"</formula>
    </cfRule>
  </conditionalFormatting>
  <conditionalFormatting sqref="O58:O60">
    <cfRule type="expression" dxfId="2332" priority="2991">
      <formula>$H58="SUBETAPA"</formula>
    </cfRule>
  </conditionalFormatting>
  <conditionalFormatting sqref="O61:O62">
    <cfRule type="expression" dxfId="2331" priority="2984">
      <formula>$H61="ETAPA"</formula>
    </cfRule>
    <cfRule type="expression" dxfId="2330" priority="2985">
      <formula>$H61="SUBETAPA"</formula>
    </cfRule>
    <cfRule type="expression" dxfId="2329" priority="2986">
      <formula>$H61="ETAPA"</formula>
    </cfRule>
    <cfRule type="expression" dxfId="2328" priority="2987">
      <formula>$H61="SUBETAPA"</formula>
    </cfRule>
    <cfRule type="expression" dxfId="2327" priority="2988">
      <formula>$H61="ETAPA"</formula>
    </cfRule>
    <cfRule type="expression" dxfId="2326" priority="2989">
      <formula>$H61="SUBETAPA"</formula>
    </cfRule>
    <cfRule type="expression" dxfId="2325" priority="2990">
      <formula>$H61="CÉLULA CONSTRUTIVA"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8">
      <formula>$H84="ETAPA"</formula>
    </cfRule>
    <cfRule type="expression" dxfId="2318" priority="2977">
      <formula>$H84="CÉLULA CONSTRUTIVA"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3">
      <formula>$H97="CÉLULA CONSTRUTIVA"</formula>
    </cfRule>
    <cfRule type="expression" dxfId="2314" priority="2974">
      <formula>$H97="ETAPA"</formula>
    </cfRule>
  </conditionalFormatting>
  <conditionalFormatting sqref="O104">
    <cfRule type="expression" dxfId="2313" priority="2972">
      <formula>$H104="ETAPA"</formula>
    </cfRule>
    <cfRule type="expression" dxfId="2312" priority="2970">
      <formula>$H104="SUBETAPA"</formula>
    </cfRule>
    <cfRule type="expression" dxfId="2311" priority="2971">
      <formula>$H104="CÉLULA CONSTRUTIVA"</formula>
    </cfRule>
  </conditionalFormatting>
  <conditionalFormatting sqref="O106">
    <cfRule type="expression" dxfId="2310" priority="2969">
      <formula>$H106="ETAPA"</formula>
    </cfRule>
    <cfRule type="expression" dxfId="2309" priority="2968">
      <formula>$H106="CÉLULA CONSTRUTIVA"</formula>
    </cfRule>
    <cfRule type="expression" dxfId="2308" priority="2967">
      <formula>$H106="SUBETAPA"</formula>
    </cfRule>
  </conditionalFormatting>
  <conditionalFormatting sqref="O108">
    <cfRule type="expression" dxfId="2307" priority="2966">
      <formula>$H108="ETAPA"</formula>
    </cfRule>
    <cfRule type="expression" dxfId="2306" priority="2965">
      <formula>$H108="CÉLULA CONSTRUTIVA"</formula>
    </cfRule>
    <cfRule type="expression" dxfId="2305" priority="2964">
      <formula>$H108="SUBETAPA"</formula>
    </cfRule>
  </conditionalFormatting>
  <conditionalFormatting sqref="O110">
    <cfRule type="expression" dxfId="2304" priority="2961">
      <formula>$H110="SUBETAPA"</formula>
    </cfRule>
    <cfRule type="expression" dxfId="2303" priority="2963">
      <formula>$H110="ETAPA"</formula>
    </cfRule>
    <cfRule type="expression" dxfId="2302" priority="2962">
      <formula>$H110="CÉLULA CONSTRUTIVA"</formula>
    </cfRule>
  </conditionalFormatting>
  <conditionalFormatting sqref="O112">
    <cfRule type="expression" dxfId="2301" priority="2958">
      <formula>$H112="SUBETAPA"</formula>
    </cfRule>
    <cfRule type="expression" dxfId="2300" priority="2959">
      <formula>$H112="CÉLULA CONSTRUTIVA"</formula>
    </cfRule>
    <cfRule type="expression" dxfId="2299" priority="2960">
      <formula>$H112="ETAPA"</formula>
    </cfRule>
  </conditionalFormatting>
  <conditionalFormatting sqref="O114">
    <cfRule type="expression" dxfId="2298" priority="2955">
      <formula>$H114="SUBETAPA"</formula>
    </cfRule>
    <cfRule type="expression" dxfId="2297" priority="2956">
      <formula>$H114="CÉLULA CONSTRUTIVA"</formula>
    </cfRule>
    <cfRule type="expression" dxfId="2296" priority="2957">
      <formula>$H114="ETAPA"</formula>
    </cfRule>
  </conditionalFormatting>
  <conditionalFormatting sqref="O116">
    <cfRule type="expression" dxfId="2295" priority="2952">
      <formula>$H116="SUBETAPA"</formula>
    </cfRule>
    <cfRule type="expression" dxfId="2294" priority="2953">
      <formula>$H116="CÉLULA CONSTRUTIVA"</formula>
    </cfRule>
    <cfRule type="expression" dxfId="2293" priority="2954">
      <formula>$H116="ETAPA"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8">
      <formula>$H120="ETAPA"</formula>
    </cfRule>
    <cfRule type="expression" dxfId="2288" priority="2947">
      <formula>$H120="CÉLULA CONSTRUTIVA"</formula>
    </cfRule>
    <cfRule type="expression" dxfId="2287" priority="2946">
      <formula>$H120="SUBETAPA"</formula>
    </cfRule>
  </conditionalFormatting>
  <conditionalFormatting sqref="O122">
    <cfRule type="expression" dxfId="2286" priority="2943">
      <formula>$H122="SUBETAPA"</formula>
    </cfRule>
    <cfRule type="expression" dxfId="2285" priority="2945">
      <formula>$H122="ETAPA"</formula>
    </cfRule>
    <cfRule type="expression" dxfId="2284" priority="2944">
      <formula>$H122="CÉLULA CONSTRUTIVA"</formula>
    </cfRule>
  </conditionalFormatting>
  <conditionalFormatting sqref="O123 O126">
    <cfRule type="expression" dxfId="2283" priority="2942">
      <formula>$H123="ETAPA"</formula>
    </cfRule>
  </conditionalFormatting>
  <conditionalFormatting sqref="O125">
    <cfRule type="expression" dxfId="2282" priority="2939">
      <formula>$H125="SUBETAPA"</formula>
    </cfRule>
    <cfRule type="expression" dxfId="2281" priority="2940">
      <formula>$H125="CÉLULA CONSTRUTIVA"</formula>
    </cfRule>
    <cfRule type="expression" dxfId="2280" priority="2941">
      <formula>$H125="ETAPA"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4">
      <formula>$H128="SUBETAPA"</formula>
    </cfRule>
    <cfRule type="expression" dxfId="2276" priority="2936">
      <formula>$H128="ETAPA"</formula>
    </cfRule>
    <cfRule type="expression" dxfId="2275" priority="2935">
      <formula>$H128="CÉLULA CONSTRUTIVA"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30">
      <formula>$H131="ETAPA"</formula>
    </cfRule>
    <cfRule type="expression" dxfId="2270" priority="2929">
      <formula>$H131="CÉLULA CONSTRUTIVA"</formula>
    </cfRule>
    <cfRule type="expression" dxfId="2269" priority="2928">
      <formula>$H131="SUBETAPA"</formula>
    </cfRule>
  </conditionalFormatting>
  <conditionalFormatting sqref="O133">
    <cfRule type="expression" dxfId="2268" priority="2927">
      <formula>$H133="ETAPA"</formula>
    </cfRule>
    <cfRule type="expression" dxfId="2267" priority="2926">
      <formula>$H133="CÉLULA CONSTRUTIVA"</formula>
    </cfRule>
    <cfRule type="expression" dxfId="2266" priority="2925">
      <formula>$H133="SUBETAPA"</formula>
    </cfRule>
  </conditionalFormatting>
  <conditionalFormatting sqref="O134">
    <cfRule type="expression" dxfId="2265" priority="2924">
      <formula>$H134="ETAPA"</formula>
    </cfRule>
    <cfRule type="expression" dxfId="2264" priority="2923">
      <formula>$H134="CÉLULA CONSTRUTIVA"</formula>
    </cfRule>
    <cfRule type="expression" dxfId="2263" priority="2922">
      <formula>$H134="SUBETAPA"</formula>
    </cfRule>
  </conditionalFormatting>
  <conditionalFormatting sqref="O136">
    <cfRule type="expression" dxfId="2262" priority="2921">
      <formula>$H136="ETAPA"</formula>
    </cfRule>
    <cfRule type="expression" dxfId="2261" priority="2920">
      <formula>$H136="CÉLULA CONSTRUTIVA"</formula>
    </cfRule>
    <cfRule type="expression" dxfId="2260" priority="2919">
      <formula>$H136="SUBETAPA"</formula>
    </cfRule>
  </conditionalFormatting>
  <conditionalFormatting sqref="O137">
    <cfRule type="expression" dxfId="2259" priority="2918">
      <formula>$H137="ETAPA"</formula>
    </cfRule>
    <cfRule type="expression" dxfId="2258" priority="2917">
      <formula>$H137="CÉLULA CONSTRUTIVA"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9">
      <formula>$H149="ETAPA"</formula>
    </cfRule>
    <cfRule type="expression" dxfId="2249" priority="2908">
      <formula>$H149="CÉLULA CONSTRUTIVA"</formula>
    </cfRule>
  </conditionalFormatting>
  <conditionalFormatting sqref="O150:O156">
    <cfRule type="expression" dxfId="2248" priority="2907">
      <formula>$H150="ETAPA"</formula>
    </cfRule>
    <cfRule type="expression" dxfId="2247" priority="2906">
      <formula>$H150="CÉLULA CONSTRUTIVA"</formula>
    </cfRule>
  </conditionalFormatting>
  <conditionalFormatting sqref="O157">
    <cfRule type="expression" dxfId="2246" priority="2905">
      <formula>$H157="ETAPA"</formula>
    </cfRule>
    <cfRule type="expression" dxfId="2245" priority="2904">
      <formula>$H157="CÉLULA CONSTRUTIVA"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6">
      <formula>$H167="CÉLULA CONSTRUTIVA"</formula>
    </cfRule>
    <cfRule type="expression" dxfId="2237" priority="2897">
      <formula>$H167="ETAPA"</formula>
    </cfRule>
  </conditionalFormatting>
  <conditionalFormatting sqref="O168">
    <cfRule type="expression" dxfId="2236" priority="2895">
      <formula>$H168="ETAPA"</formula>
    </cfRule>
    <cfRule type="expression" dxfId="2235" priority="2894">
      <formula>$H168="CÉLULA CONSTRUTIVA"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0">
      <formula>$H170="CÉLULA CONSTRUTIVA"</formula>
    </cfRule>
    <cfRule type="expression" dxfId="2231" priority="2891">
      <formula>$H170="ETAPA"</formula>
    </cfRule>
  </conditionalFormatting>
  <conditionalFormatting sqref="O177">
    <cfRule type="expression" dxfId="2230" priority="2888">
      <formula>$H177="CÉLULA CONSTRUTIVA"</formula>
    </cfRule>
    <cfRule type="expression" dxfId="2229" priority="2889">
      <formula>$H177="ETAPA"</formula>
    </cfRule>
  </conditionalFormatting>
  <conditionalFormatting sqref="O178">
    <cfRule type="expression" dxfId="2228" priority="2886">
      <formula>$H178="CÉLULA CONSTRUTIVA"</formula>
    </cfRule>
    <cfRule type="expression" dxfId="2227" priority="2887">
      <formula>$H178="ETAPA"</formula>
    </cfRule>
  </conditionalFormatting>
  <conditionalFormatting sqref="O185">
    <cfRule type="expression" dxfId="2226" priority="2884">
      <formula>$H185="CÉLULA CONSTRUTIVA"</formula>
    </cfRule>
    <cfRule type="expression" dxfId="2225" priority="2885">
      <formula>$H185="ETAPA"</formula>
    </cfRule>
    <cfRule type="expression" dxfId="2224" priority="2883">
      <formula>$H185="SUBETAPA"</formula>
    </cfRule>
  </conditionalFormatting>
  <conditionalFormatting sqref="O186">
    <cfRule type="expression" dxfId="2223" priority="2882">
      <formula>$H186="ETAPA"</formula>
    </cfRule>
    <cfRule type="expression" dxfId="2222" priority="2881">
      <formula>$H186="CÉLULA CONSTRUTIVA"</formula>
    </cfRule>
    <cfRule type="expression" dxfId="2221" priority="2880">
      <formula>$H186="SUBETAPA"</formula>
    </cfRule>
  </conditionalFormatting>
  <conditionalFormatting sqref="O187">
    <cfRule type="expression" dxfId="2220" priority="2878">
      <formula>$H187="ETAPA"</formula>
    </cfRule>
    <cfRule type="expression" dxfId="2219" priority="2877">
      <formula>$H187="CÉLULA CONSTRUTIVA"</formula>
    </cfRule>
    <cfRule type="expression" dxfId="2218" priority="2879">
      <formula>$H187="SUBETAPA"</formula>
    </cfRule>
  </conditionalFormatting>
  <conditionalFormatting sqref="O194">
    <cfRule type="expression" dxfId="2217" priority="2874">
      <formula>$H194="SUBETAPA"</formula>
    </cfRule>
    <cfRule type="expression" dxfId="2216" priority="2875">
      <formula>$H194="CÉLULA CONSTRUTIVA"</formula>
    </cfRule>
    <cfRule type="expression" dxfId="2215" priority="2876">
      <formula>$H194="ETAPA"</formula>
    </cfRule>
  </conditionalFormatting>
  <conditionalFormatting sqref="O195">
    <cfRule type="expression" dxfId="2214" priority="2872">
      <formula>$H195="CÉLULA CONSTRUTIVA"</formula>
    </cfRule>
    <cfRule type="expression" dxfId="2213" priority="2873">
      <formula>$H195="ETAPA"</formula>
    </cfRule>
    <cfRule type="expression" dxfId="2212" priority="2871">
      <formula>$H195="SUBETAPA"</formula>
    </cfRule>
  </conditionalFormatting>
  <conditionalFormatting sqref="O196">
    <cfRule type="expression" dxfId="2211" priority="2870">
      <formula>$H196="SUBETAPA"</formula>
    </cfRule>
    <cfRule type="expression" dxfId="2210" priority="2868">
      <formula>$H196="CÉLULA CONSTRUTIVA"</formula>
    </cfRule>
    <cfRule type="expression" dxfId="2209" priority="2869">
      <formula>$H196="ETAPA"</formula>
    </cfRule>
  </conditionalFormatting>
  <conditionalFormatting sqref="O203">
    <cfRule type="expression" dxfId="2208" priority="2865">
      <formula>$H203="SUBETAPA"</formula>
    </cfRule>
    <cfRule type="expression" dxfId="2207" priority="2866">
      <formula>$H203="CÉLULA CONSTRUTIVA"</formula>
    </cfRule>
    <cfRule type="expression" dxfId="2206" priority="2867">
      <formula>$H203="ETAPA"</formula>
    </cfRule>
  </conditionalFormatting>
  <conditionalFormatting sqref="O204">
    <cfRule type="expression" dxfId="2205" priority="2863">
      <formula>$H204="CÉLULA CONSTRUTIVA"</formula>
    </cfRule>
    <cfRule type="expression" dxfId="2204" priority="2862">
      <formula>$H204="SUBETAPA"</formula>
    </cfRule>
    <cfRule type="expression" dxfId="2203" priority="2864">
      <formula>$H204="ETAPA"</formula>
    </cfRule>
  </conditionalFormatting>
  <conditionalFormatting sqref="O205">
    <cfRule type="expression" dxfId="2202" priority="2861">
      <formula>$H205="SUBETAPA"</formula>
    </cfRule>
    <cfRule type="expression" dxfId="2201" priority="2860">
      <formula>$H205="ETAPA"</formula>
    </cfRule>
    <cfRule type="expression" dxfId="2200" priority="2859">
      <formula>$H205="CÉLULA CONSTRUTIVA"</formula>
    </cfRule>
  </conditionalFormatting>
  <conditionalFormatting sqref="O212">
    <cfRule type="expression" dxfId="2199" priority="2856">
      <formula>$H212="SUBETAPA"</formula>
    </cfRule>
    <cfRule type="expression" dxfId="2198" priority="2858">
      <formula>$H212="ETAPA"</formula>
    </cfRule>
    <cfRule type="expression" dxfId="2197" priority="2857">
      <formula>$H212="CÉLULA CONSTRUTIVA"</formula>
    </cfRule>
  </conditionalFormatting>
  <conditionalFormatting sqref="O213">
    <cfRule type="expression" dxfId="2196" priority="2855">
      <formula>$H213="ETAPA"</formula>
    </cfRule>
    <cfRule type="expression" dxfId="2195" priority="2853">
      <formula>$H213="SUBETAPA"</formula>
    </cfRule>
    <cfRule type="expression" dxfId="2194" priority="2854">
      <formula>$H213="CÉLULA CONSTRUTIVA"</formula>
    </cfRule>
  </conditionalFormatting>
  <conditionalFormatting sqref="O214">
    <cfRule type="expression" dxfId="2193" priority="2852">
      <formula>$H214="SUBETAPA"</formula>
    </cfRule>
    <cfRule type="expression" dxfId="2192" priority="2851">
      <formula>$H214="ETAPA"</formula>
    </cfRule>
    <cfRule type="expression" dxfId="2191" priority="2850">
      <formula>$H214="CÉLULA CONSTRUTIVA"</formula>
    </cfRule>
  </conditionalFormatting>
  <conditionalFormatting sqref="O221">
    <cfRule type="expression" dxfId="2190" priority="2847">
      <formula>$H221="SUBETAPA"</formula>
    </cfRule>
    <cfRule type="expression" dxfId="2189" priority="2849">
      <formula>$H221="ETAPA"</formula>
    </cfRule>
    <cfRule type="expression" dxfId="2188" priority="2848">
      <formula>$H221="CÉLULA CONSTRUTIVA"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2">
      <formula>$H223="CÉLULA CONSTRUTIVA"</formula>
    </cfRule>
    <cfRule type="expression" dxfId="2183" priority="2843">
      <formula>$H223="ETAPA"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7">
      <formula>$H232="ETAPA"</formula>
    </cfRule>
    <cfRule type="expression" dxfId="2177" priority="2836">
      <formula>$H232="CÉLULA CONSTRUTIVA"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2">
      <formula>$H240="CÉLULA CONSTRUTIVA"</formula>
    </cfRule>
    <cfRule type="expression" dxfId="2173" priority="2833">
      <formula>$H240="ETAPA"</formula>
    </cfRule>
  </conditionalFormatting>
  <conditionalFormatting sqref="O241">
    <cfRule type="expression" dxfId="2172" priority="2831">
      <formula>$H241="ETAPA"</formula>
    </cfRule>
    <cfRule type="expression" dxfId="2171" priority="2830">
      <formula>$H241="CÉLULA CONSTRUTIVA"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5">
      <formula>$H250="ETAPA"</formula>
    </cfRule>
    <cfRule type="expression" dxfId="2165" priority="2824">
      <formula>$H250="CÉLULA CONSTRUTIVA"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9">
      <formula>$H259="ETAPA"</formula>
    </cfRule>
    <cfRule type="expression" dxfId="2159" priority="2818">
      <formula>$H259="CÉLULA CONSTRUTIVA"</formula>
    </cfRule>
  </conditionalFormatting>
  <conditionalFormatting sqref="O260:O266">
    <cfRule type="expression" dxfId="2158" priority="2817">
      <formula>$H260="ETAPA"</formula>
    </cfRule>
    <cfRule type="expression" dxfId="2157" priority="2816">
      <formula>$H260="CÉLULA CONSTRUTIVA"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3">
      <formula>$H268="ETAPA"</formula>
    </cfRule>
    <cfRule type="expression" dxfId="2153" priority="2812">
      <formula>$H268="CÉLULA CONSTRUTIVA"</formula>
    </cfRule>
  </conditionalFormatting>
  <conditionalFormatting sqref="O274">
    <cfRule type="expression" dxfId="2152" priority="2811">
      <formula>$H274="ETAPA"</formula>
    </cfRule>
    <cfRule type="expression" dxfId="2151" priority="2810">
      <formula>$H274="CÉLULA CONSTRUTIVA"</formula>
    </cfRule>
  </conditionalFormatting>
  <conditionalFormatting sqref="O274:O275">
    <cfRule type="expression" dxfId="2150" priority="2809">
      <formula>$H274="SUBETAPA"</formula>
    </cfRule>
  </conditionalFormatting>
  <conditionalFormatting sqref="O275">
    <cfRule type="expression" dxfId="2149" priority="2808">
      <formula>$H275="ETAPA"</formula>
    </cfRule>
    <cfRule type="expression" dxfId="2148" priority="2807">
      <formula>$H275="CÉLULA CONSTRUTIVA"</formula>
    </cfRule>
  </conditionalFormatting>
  <conditionalFormatting sqref="O280">
    <cfRule type="expression" dxfId="2147" priority="2806">
      <formula>$H280="ETAPA"</formula>
    </cfRule>
    <cfRule type="expression" dxfId="2146" priority="2805">
      <formula>$H280="CÉLULA CONSTRUTIVA"</formula>
    </cfRule>
  </conditionalFormatting>
  <conditionalFormatting sqref="O280:O281">
    <cfRule type="expression" dxfId="2145" priority="2804">
      <formula>$H280="SUBETAPA"</formula>
    </cfRule>
  </conditionalFormatting>
  <conditionalFormatting sqref="O282">
    <cfRule type="expression" dxfId="2144" priority="2803">
      <formula>$H282="CÉLULA CONSTRUTIVA"</formula>
    </cfRule>
    <cfRule type="expression" dxfId="2143" priority="2802">
      <formula>$H282="SUBETAPA"</formula>
    </cfRule>
    <cfRule type="expression" dxfId="2142" priority="2801">
      <formula>$H282="ETAPA"</formula>
    </cfRule>
    <cfRule type="expression" dxfId="2141" priority="2800">
      <formula>$H282="SUBETAPA"</formula>
    </cfRule>
    <cfRule type="expression" dxfId="2140" priority="2799">
      <formula>$H282="ETAPA"</formula>
    </cfRule>
    <cfRule type="expression" dxfId="2139" priority="2798">
      <formula>$H282="SUBETAPA"</formula>
    </cfRule>
    <cfRule type="expression" dxfId="2138" priority="2797">
      <formula>$H282="ETAPA"</formula>
    </cfRule>
  </conditionalFormatting>
  <conditionalFormatting sqref="O283">
    <cfRule type="expression" dxfId="2137" priority="2796">
      <formula>$H283="ETAPA"</formula>
    </cfRule>
    <cfRule type="expression" dxfId="2136" priority="2795">
      <formula>$H283="CÉLULA CONSTRUTIVA"</formula>
    </cfRule>
    <cfRule type="expression" dxfId="2135" priority="2794">
      <formula>$H283="SUBETAPA"</formula>
    </cfRule>
  </conditionalFormatting>
  <conditionalFormatting sqref="O284">
    <cfRule type="expression" dxfId="2134" priority="2790">
      <formula>$H284="SUBETAPA"</formula>
    </cfRule>
    <cfRule type="expression" dxfId="2133" priority="2793">
      <formula>$H284="CÉLULA CONSTRUTIVA"</formula>
    </cfRule>
    <cfRule type="expression" dxfId="2132" priority="2792">
      <formula>$H284="SUBETAPA"</formula>
    </cfRule>
    <cfRule type="expression" dxfId="2131" priority="2791">
      <formula>$H284="ETAPA"</formula>
    </cfRule>
    <cfRule type="expression" dxfId="2130" priority="2789">
      <formula>$H284="ETAPA"</formula>
    </cfRule>
    <cfRule type="expression" dxfId="2129" priority="2788">
      <formula>$H284="SUBETAPA"</formula>
    </cfRule>
    <cfRule type="expression" dxfId="2128" priority="2787">
      <formula>$H284="ETAPA"</formula>
    </cfRule>
  </conditionalFormatting>
  <conditionalFormatting sqref="O285">
    <cfRule type="expression" dxfId="2127" priority="2786">
      <formula>$H285="ETAPA"</formula>
    </cfRule>
    <cfRule type="expression" dxfId="2126" priority="2785">
      <formula>$H285="CÉLULA CONSTRUTIVA"</formula>
    </cfRule>
    <cfRule type="expression" dxfId="2125" priority="2784">
      <formula>$H285="SUBETAPA"</formula>
    </cfRule>
  </conditionalFormatting>
  <conditionalFormatting sqref="O286">
    <cfRule type="expression" dxfId="2124" priority="2783">
      <formula>$H286="CÉLULA CONSTRUTIVA"</formula>
    </cfRule>
    <cfRule type="expression" dxfId="2123" priority="2782">
      <formula>$H286="SUBETAPA"</formula>
    </cfRule>
    <cfRule type="expression" dxfId="2122" priority="2781">
      <formula>$H286="ETAPA"</formula>
    </cfRule>
    <cfRule type="expression" dxfId="2121" priority="2780">
      <formula>$H286="SUBETAPA"</formula>
    </cfRule>
    <cfRule type="expression" dxfId="2120" priority="2779">
      <formula>$H286="ETAPA"</formula>
    </cfRule>
    <cfRule type="expression" dxfId="2119" priority="2778">
      <formula>$H286="SUBETAPA"</formula>
    </cfRule>
    <cfRule type="expression" dxfId="2118" priority="2777">
      <formula>$H286="ETAPA"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7">
      <formula>$H288="ETAPA"</formula>
    </cfRule>
    <cfRule type="expression" dxfId="2113" priority="2768">
      <formula>$H288="SUBETAPA"</formula>
    </cfRule>
    <cfRule type="expression" dxfId="2112" priority="2769">
      <formula>$H288="ETAPA"</formula>
    </cfRule>
    <cfRule type="expression" dxfId="2111" priority="2770">
      <formula>$H288="SUBETAPA"</formula>
    </cfRule>
    <cfRule type="expression" dxfId="2110" priority="2771">
      <formula>$H288="ETAPA"</formula>
    </cfRule>
    <cfRule type="expression" dxfId="2109" priority="2772">
      <formula>$H288="SUBETAPA"</formula>
    </cfRule>
    <cfRule type="expression" dxfId="2108" priority="2773">
      <formula>$H288="CÉLULA CONSTRUTIVA"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59">
      <formula>$H290="ETAPA"</formula>
    </cfRule>
    <cfRule type="expression" dxfId="2103" priority="2760">
      <formula>$H290="SUBETAPA"</formula>
    </cfRule>
    <cfRule type="expression" dxfId="2102" priority="2761">
      <formula>$H290="ETAPA"</formula>
    </cfRule>
    <cfRule type="expression" dxfId="2101" priority="2763">
      <formula>$H290="CÉLULA CONSTRUTIVA"</formula>
    </cfRule>
    <cfRule type="expression" dxfId="2100" priority="2758">
      <formula>$H290="SUBETAPA"</formula>
    </cfRule>
    <cfRule type="expression" dxfId="2099" priority="2762">
      <formula>$H290="SUBETAPA"</formula>
    </cfRule>
    <cfRule type="expression" dxfId="2098" priority="2757">
      <formula>$H290="ETAPA"</formula>
    </cfRule>
  </conditionalFormatting>
  <conditionalFormatting sqref="O291">
    <cfRule type="expression" dxfId="2097" priority="2755">
      <formula>$H291="CÉLULA CONSTRUTIVA"</formula>
    </cfRule>
    <cfRule type="expression" dxfId="2096" priority="2754">
      <formula>$H291="SUBETAPA"</formula>
    </cfRule>
    <cfRule type="expression" dxfId="2095" priority="2756">
      <formula>$H291="ETAPA"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51">
      <formula>$H292="ETAPA"</formula>
    </cfRule>
    <cfRule type="expression" dxfId="2091" priority="2750">
      <formula>$H292="SUBETAPA"</formula>
    </cfRule>
    <cfRule type="expression" dxfId="2090" priority="2749">
      <formula>$H292="ETAPA"</formula>
    </cfRule>
    <cfRule type="expression" dxfId="2089" priority="2748">
      <formula>$H292="SUBETAPA"</formula>
    </cfRule>
    <cfRule type="expression" dxfId="2088" priority="2747">
      <formula>$H292="ETAPA"</formula>
    </cfRule>
  </conditionalFormatting>
  <conditionalFormatting sqref="O293">
    <cfRule type="expression" dxfId="2087" priority="2744">
      <formula>$H293="SUBETAPA"</formula>
    </cfRule>
    <cfRule type="expression" dxfId="2086" priority="2745">
      <formula>$H293="CÉLULA CONSTRUTIVA"</formula>
    </cfRule>
    <cfRule type="expression" dxfId="2085" priority="2746">
      <formula>$H293="ETAPA"</formula>
    </cfRule>
  </conditionalFormatting>
  <conditionalFormatting sqref="O294">
    <cfRule type="expression" dxfId="2084" priority="2740">
      <formula>$H294="SUBETAPA"</formula>
    </cfRule>
    <cfRule type="expression" dxfId="2083" priority="2741">
      <formula>$H294="ETAPA"</formula>
    </cfRule>
    <cfRule type="expression" dxfId="2082" priority="2742">
      <formula>$H294="SUBETAPA"</formula>
    </cfRule>
    <cfRule type="expression" dxfId="2081" priority="2743">
      <formula>$H294="CÉLULA CONSTRUTIVA"</formula>
    </cfRule>
    <cfRule type="expression" dxfId="2080" priority="2739">
      <formula>$H294="ETAPA"</formula>
    </cfRule>
    <cfRule type="expression" dxfId="2079" priority="2737">
      <formula>$H294="ETAPA"</formula>
    </cfRule>
    <cfRule type="expression" dxfId="2078" priority="2738">
      <formula>$H294="SUBETAPA"</formula>
    </cfRule>
  </conditionalFormatting>
  <conditionalFormatting sqref="O295">
    <cfRule type="expression" dxfId="2077" priority="2735">
      <formula>$H295="CÉLULA CONSTRUTIVA"</formula>
    </cfRule>
    <cfRule type="expression" dxfId="2076" priority="2736">
      <formula>$H295="ETAPA"</formula>
    </cfRule>
    <cfRule type="expression" dxfId="2075" priority="2734">
      <formula>$H295="SUBETAPA"</formula>
    </cfRule>
  </conditionalFormatting>
  <conditionalFormatting sqref="O296">
    <cfRule type="expression" dxfId="2074" priority="2730">
      <formula>$H296="SUBETAPA"</formula>
    </cfRule>
    <cfRule type="expression" dxfId="2073" priority="2731">
      <formula>$H296="ETAPA"</formula>
    </cfRule>
    <cfRule type="expression" dxfId="2072" priority="2732">
      <formula>$H296="SUBETAPA"</formula>
    </cfRule>
    <cfRule type="expression" dxfId="2071" priority="2727">
      <formula>$H296="ETAPA"</formula>
    </cfRule>
    <cfRule type="expression" dxfId="2070" priority="2733">
      <formula>$H296="CÉLULA CONSTRUTIVA"</formula>
    </cfRule>
    <cfRule type="expression" dxfId="2069" priority="2729">
      <formula>$H296="ETAPA"</formula>
    </cfRule>
    <cfRule type="expression" dxfId="2068" priority="2728">
      <formula>$H296="SUBETAPA"</formula>
    </cfRule>
  </conditionalFormatting>
  <conditionalFormatting sqref="O297">
    <cfRule type="expression" dxfId="2067" priority="2726">
      <formula>$H297="ETAPA"</formula>
    </cfRule>
    <cfRule type="expression" dxfId="2066" priority="2725">
      <formula>$H297="CÉLULA CONSTRUTIVA"</formula>
    </cfRule>
    <cfRule type="expression" dxfId="2065" priority="2724">
      <formula>$H297="SUBETAPA"</formula>
    </cfRule>
  </conditionalFormatting>
  <conditionalFormatting sqref="O298">
    <cfRule type="expression" dxfId="2064" priority="2717">
      <formula>$H298="ETAPA"</formula>
    </cfRule>
    <cfRule type="expression" dxfId="2063" priority="2718">
      <formula>$H298="SUBETAPA"</formula>
    </cfRule>
    <cfRule type="expression" dxfId="2062" priority="2719">
      <formula>$H298="ETAPA"</formula>
    </cfRule>
    <cfRule type="expression" dxfId="2061" priority="2721">
      <formula>$H298="ETAPA"</formula>
    </cfRule>
    <cfRule type="expression" dxfId="2060" priority="2723">
      <formula>$H298="CÉLULA CONSTRUTIVA"</formula>
    </cfRule>
    <cfRule type="expression" dxfId="2059" priority="2722">
      <formula>$H298="SUBETAPA"</formula>
    </cfRule>
    <cfRule type="expression" dxfId="2058" priority="2720">
      <formula>$H298="SUBETAPA"</formula>
    </cfRule>
  </conditionalFormatting>
  <conditionalFormatting sqref="O299">
    <cfRule type="expression" dxfId="2057" priority="2715">
      <formula>$H299="CÉLULA CONSTRUTIVA"</formula>
    </cfRule>
    <cfRule type="expression" dxfId="2056" priority="2716">
      <formula>$H299="ETAPA"</formula>
    </cfRule>
    <cfRule type="expression" dxfId="2055" priority="2714">
      <formula>$H299="SUBETAPA"</formula>
    </cfRule>
  </conditionalFormatting>
  <conditionalFormatting sqref="O300">
    <cfRule type="expression" dxfId="2054" priority="2710">
      <formula>$H300="SUBETAPA"</formula>
    </cfRule>
    <cfRule type="expression" dxfId="2053" priority="2713">
      <formula>$H300="CÉLULA CONSTRUTIVA"</formula>
    </cfRule>
    <cfRule type="expression" dxfId="2052" priority="2712">
      <formula>$H300="SUBETAPA"</formula>
    </cfRule>
    <cfRule type="expression" dxfId="2051" priority="2711">
      <formula>$H300="ETAPA"</formula>
    </cfRule>
    <cfRule type="expression" dxfId="2050" priority="2709">
      <formula>$H300="ETAPA"</formula>
    </cfRule>
    <cfRule type="expression" dxfId="2049" priority="2708">
      <formula>$H300="SUBETAPA"</formula>
    </cfRule>
    <cfRule type="expression" dxfId="2048" priority="2707">
      <formula>$H300="ETAPA"</formula>
    </cfRule>
  </conditionalFormatting>
  <conditionalFormatting sqref="O301">
    <cfRule type="expression" dxfId="2047" priority="2706">
      <formula>$H301="ETAPA"</formula>
    </cfRule>
    <cfRule type="expression" dxfId="2046" priority="2705">
      <formula>$H301="CÉLULA CONSTRUTIVA"</formula>
    </cfRule>
    <cfRule type="expression" dxfId="2045" priority="2704">
      <formula>$H301="SUBETAPA"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4">
      <formula>$H302="ETAPA"</formula>
    </cfRule>
    <cfRule type="expression" dxfId="2040" priority="2696">
      <formula>$H302="ETAPA"</formula>
    </cfRule>
    <cfRule type="expression" dxfId="2039" priority="2697">
      <formula>$H302="SUBETAPA"</formula>
    </cfRule>
    <cfRule type="expression" dxfId="2038" priority="2698">
      <formula>$H302="ETAPA"</formula>
    </cfRule>
    <cfRule type="expression" dxfId="2037" priority="2699">
      <formula>$H302="SUBETAPA"</formula>
    </cfRule>
    <cfRule type="expression" dxfId="2036" priority="2700">
      <formula>$H302="CÉLULA CONSTRUTIVA"</formula>
    </cfRule>
    <cfRule type="expression" dxfId="2035" priority="2695">
      <formula>$H302="SUBETAPA"</formula>
    </cfRule>
  </conditionalFormatting>
  <conditionalFormatting sqref="O305">
    <cfRule type="expression" dxfId="2034" priority="2691">
      <formula>$H305="SUBETAPA"</formula>
    </cfRule>
    <cfRule type="expression" dxfId="2033" priority="2692">
      <formula>$H305="CÉLULA CONSTRUTIVA"</formula>
    </cfRule>
    <cfRule type="expression" dxfId="2032" priority="2693">
      <formula>$H305="ETAPA"</formula>
    </cfRule>
  </conditionalFormatting>
  <conditionalFormatting sqref="O306">
    <cfRule type="expression" dxfId="2031" priority="2688">
      <formula>$H306="ETAPA"</formula>
    </cfRule>
    <cfRule type="expression" dxfId="2030" priority="2689">
      <formula>$H306="SUBETAPA"</formula>
    </cfRule>
    <cfRule type="expression" dxfId="2029" priority="2690">
      <formula>$H306="CÉLULA CONSTRUTIVA"</formula>
    </cfRule>
    <cfRule type="expression" dxfId="2028" priority="2684">
      <formula>$H306="ETAPA"</formula>
    </cfRule>
    <cfRule type="expression" dxfId="2027" priority="2685">
      <formula>$H306="SUBETAPA"</formula>
    </cfRule>
    <cfRule type="expression" dxfId="2026" priority="2686">
      <formula>$H306="ETAPA"</formula>
    </cfRule>
    <cfRule type="expression" dxfId="2025" priority="2687">
      <formula>$H306="SUBETAPA"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4">
      <formula>$H308="ETAPA"</formula>
    </cfRule>
    <cfRule type="expression" dxfId="2020" priority="2680">
      <formula>$H308="CÉLULA CONSTRUTIVA"</formula>
    </cfRule>
    <cfRule type="expression" dxfId="2019" priority="2679">
      <formula>$H308="SUBETAPA"</formula>
    </cfRule>
    <cfRule type="expression" dxfId="2018" priority="2678">
      <formula>$H308="ETAPA"</formula>
    </cfRule>
    <cfRule type="expression" dxfId="2017" priority="2677">
      <formula>$H308="SUBETAPA"</formula>
    </cfRule>
    <cfRule type="expression" dxfId="2016" priority="2676">
      <formula>$H308="ETAPA"</formula>
    </cfRule>
    <cfRule type="expression" dxfId="2015" priority="2675">
      <formula>$H308="SUBETAPA"</formula>
    </cfRule>
  </conditionalFormatting>
  <conditionalFormatting sqref="O309">
    <cfRule type="expression" dxfId="2014" priority="2671">
      <formula>$H309="SUBETAPA"</formula>
    </cfRule>
    <cfRule type="expression" dxfId="2013" priority="2672">
      <formula>$H309="CÉLULA CONSTRUTIVA"</formula>
    </cfRule>
    <cfRule type="expression" dxfId="2012" priority="2673">
      <formula>$H309="ETAPA"</formula>
    </cfRule>
  </conditionalFormatting>
  <conditionalFormatting sqref="O310">
    <cfRule type="expression" dxfId="2011" priority="2667">
      <formula>$H310="SUBETAPA"</formula>
    </cfRule>
    <cfRule type="expression" dxfId="2010" priority="2664">
      <formula>$H310="ETAPA"</formula>
    </cfRule>
    <cfRule type="expression" dxfId="2009" priority="2665">
      <formula>$H310="SUBETAPA"</formula>
    </cfRule>
    <cfRule type="expression" dxfId="2008" priority="2666">
      <formula>$H310="ETAPA"</formula>
    </cfRule>
    <cfRule type="expression" dxfId="2007" priority="2668">
      <formula>$H310="ETAPA"</formula>
    </cfRule>
    <cfRule type="expression" dxfId="2006" priority="2669">
      <formula>$H310="SUBETAPA"</formula>
    </cfRule>
    <cfRule type="expression" dxfId="2005" priority="2670">
      <formula>$H310="CÉLULA CONSTRUTIVA"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60">
      <formula>$H313="ETAPA"</formula>
    </cfRule>
    <cfRule type="expression" dxfId="2000" priority="2659">
      <formula>$H313="CÉLULA CONSTRUTIVA"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6">
      <formula>$H316="SUBETAPA"</formula>
    </cfRule>
    <cfRule type="expression" dxfId="1988" priority="2647">
      <formula>$H316="CÉLULA CONSTRUTIVA"</formula>
    </cfRule>
    <cfRule type="expression" dxfId="1987" priority="2648">
      <formula>$H316="ETAPA"</formula>
    </cfRule>
  </conditionalFormatting>
  <conditionalFormatting sqref="O317">
    <cfRule type="expression" dxfId="1986" priority="2644">
      <formula>$H317="SUBETAPA"</formula>
    </cfRule>
    <cfRule type="expression" dxfId="1985" priority="2645">
      <formula>$H317="CÉLULA CONSTRUTIVA"</formula>
    </cfRule>
    <cfRule type="expression" dxfId="1984" priority="2643">
      <formula>$H317="ETAPA"</formula>
    </cfRule>
    <cfRule type="expression" dxfId="1983" priority="2642">
      <formula>$H317="SUBETAPA"</formula>
    </cfRule>
    <cfRule type="expression" dxfId="1982" priority="2641">
      <formula>$H317="ETAPA"</formula>
    </cfRule>
    <cfRule type="expression" dxfId="1981" priority="2640">
      <formula>$H317="SUBETAPA"</formula>
    </cfRule>
    <cfRule type="expression" dxfId="1980" priority="2639">
      <formula>$H317="ETAPA"</formula>
    </cfRule>
  </conditionalFormatting>
  <conditionalFormatting sqref="O318">
    <cfRule type="expression" dxfId="1979" priority="2638">
      <formula>$H318="ETAPA"</formula>
    </cfRule>
    <cfRule type="expression" dxfId="1978" priority="2637">
      <formula>$H318="CÉLULA CONSTRUTIVA"</formula>
    </cfRule>
    <cfRule type="expression" dxfId="1977" priority="2636">
      <formula>$H318="SUBETAPA"</formula>
    </cfRule>
  </conditionalFormatting>
  <conditionalFormatting sqref="O319">
    <cfRule type="expression" dxfId="1976" priority="2635">
      <formula>$H319="CÉLULA CONSTRUTIVA"</formula>
    </cfRule>
    <cfRule type="expression" dxfId="1975" priority="2633">
      <formula>$H319="ETAPA"</formula>
    </cfRule>
    <cfRule type="expression" dxfId="1974" priority="2629">
      <formula>$H319="ETAPA"</formula>
    </cfRule>
    <cfRule type="expression" dxfId="1973" priority="2630">
      <formula>$H319="SUBETAPA"</formula>
    </cfRule>
    <cfRule type="expression" dxfId="1972" priority="2631">
      <formula>$H319="ETAPA"</formula>
    </cfRule>
    <cfRule type="expression" dxfId="1971" priority="2632">
      <formula>$H319="SUBETAPA"</formula>
    </cfRule>
    <cfRule type="expression" dxfId="1970" priority="2634">
      <formula>$H319="SUBETAPA"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2">
      <formula>$H321="SUBETAPA"</formula>
    </cfRule>
    <cfRule type="expression" dxfId="1964" priority="2621">
      <formula>$H321="ETAPA"</formula>
    </cfRule>
    <cfRule type="expression" dxfId="1963" priority="2620">
      <formula>$H321="SUBETAPA"</formula>
    </cfRule>
    <cfRule type="expression" dxfId="1962" priority="2619">
      <formula>$H321="ETAPA"</formula>
    </cfRule>
    <cfRule type="expression" dxfId="1961" priority="2625">
      <formula>$H321="CÉLULA CONSTRUTIVA"</formula>
    </cfRule>
    <cfRule type="expression" dxfId="1960" priority="2624">
      <formula>$H321="SUBETAPA"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15">
      <formula>$H323="CÉLULA CONSTRUTIVA"</formula>
    </cfRule>
    <cfRule type="expression" dxfId="1955" priority="2614">
      <formula>$H323="SUBETAPA"</formula>
    </cfRule>
    <cfRule type="expression" dxfId="1954" priority="2613">
      <formula>$H323="ETAPA"</formula>
    </cfRule>
    <cfRule type="expression" dxfId="1953" priority="2612">
      <formula>$H323="SUBETAPA"</formula>
    </cfRule>
    <cfRule type="expression" dxfId="1952" priority="2611">
      <formula>$H323="ETAPA"</formula>
    </cfRule>
    <cfRule type="expression" dxfId="1951" priority="2610">
      <formula>$H323="SUBETAPA"</formula>
    </cfRule>
    <cfRule type="expression" dxfId="1950" priority="2609">
      <formula>$H323="ETAPA"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5">
      <formula>$H325="CÉLULA CONSTRUTIVA"</formula>
    </cfRule>
    <cfRule type="expression" dxfId="1945" priority="2604">
      <formula>$H325="SUBETAPA"</formula>
    </cfRule>
    <cfRule type="expression" dxfId="1944" priority="2603">
      <formula>$H325="ETAPA"</formula>
    </cfRule>
    <cfRule type="expression" dxfId="1943" priority="2602">
      <formula>$H325="SUBETAPA"</formula>
    </cfRule>
    <cfRule type="expression" dxfId="1942" priority="2601">
      <formula>$H325="ETAPA"</formula>
    </cfRule>
    <cfRule type="expression" dxfId="1941" priority="2600">
      <formula>$H325="SUBETAPA"</formula>
    </cfRule>
    <cfRule type="expression" dxfId="1940" priority="2599">
      <formula>$H325="ETAPA"</formula>
    </cfRule>
  </conditionalFormatting>
  <conditionalFormatting sqref="O326">
    <cfRule type="expression" dxfId="1939" priority="2598">
      <formula>$H326="ETAPA"</formula>
    </cfRule>
    <cfRule type="expression" dxfId="1938" priority="2597">
      <formula>$H326="CÉLULA CONSTRUTIVA"</formula>
    </cfRule>
    <cfRule type="expression" dxfId="1937" priority="2596">
      <formula>$H326="SUBETAPA"</formula>
    </cfRule>
  </conditionalFormatting>
  <conditionalFormatting sqref="O327">
    <cfRule type="expression" dxfId="1936" priority="2595">
      <formula>$H327="CÉLULA CONSTRUTIVA"</formula>
    </cfRule>
    <cfRule type="expression" dxfId="1935" priority="2594">
      <formula>$H327="SUBETAPA"</formula>
    </cfRule>
    <cfRule type="expression" dxfId="1934" priority="2593">
      <formula>$H327="ETAPA"</formula>
    </cfRule>
    <cfRule type="expression" dxfId="1933" priority="2592">
      <formula>$H327="SUBETAPA"</formula>
    </cfRule>
    <cfRule type="expression" dxfId="1932" priority="2591">
      <formula>$H327="ETAPA"</formula>
    </cfRule>
    <cfRule type="expression" dxfId="1931" priority="2590">
      <formula>$H327="SUBETAPA"</formula>
    </cfRule>
    <cfRule type="expression" dxfId="1930" priority="2589">
      <formula>$H327="ETAPA"</formula>
    </cfRule>
  </conditionalFormatting>
  <conditionalFormatting sqref="O328">
    <cfRule type="expression" dxfId="1929" priority="2588">
      <formula>$H328="ETAPA"</formula>
    </cfRule>
    <cfRule type="expression" dxfId="1928" priority="2587">
      <formula>$H328="CÉLULA CONSTRUTIVA"</formula>
    </cfRule>
    <cfRule type="expression" dxfId="1927" priority="2586">
      <formula>$H328="SUBETAPA"</formula>
    </cfRule>
  </conditionalFormatting>
  <conditionalFormatting sqref="O329">
    <cfRule type="expression" dxfId="1926" priority="2579">
      <formula>$H329="ETAPA"</formula>
    </cfRule>
    <cfRule type="expression" dxfId="1925" priority="2580">
      <formula>$H329="SUBETAPA"</formula>
    </cfRule>
    <cfRule type="expression" dxfId="1924" priority="2581">
      <formula>$H329="ETAPA"</formula>
    </cfRule>
    <cfRule type="expression" dxfId="1923" priority="2585">
      <formula>$H329="CÉLULA CONSTRUTIVA"</formula>
    </cfRule>
    <cfRule type="expression" dxfId="1922" priority="2584">
      <formula>$H329="SUBETAPA"</formula>
    </cfRule>
    <cfRule type="expression" dxfId="1921" priority="2583">
      <formula>$H329="ETAPA"</formula>
    </cfRule>
    <cfRule type="expression" dxfId="1920" priority="2582">
      <formula>$H329="SUBETAPA"</formula>
    </cfRule>
  </conditionalFormatting>
  <conditionalFormatting sqref="O330">
    <cfRule type="expression" dxfId="1919" priority="2576">
      <formula>$H330="SUBETAPA"</formula>
    </cfRule>
    <cfRule type="expression" dxfId="1918" priority="2577">
      <formula>$H330="CÉLULA CONSTRUTIVA"</formula>
    </cfRule>
    <cfRule type="expression" dxfId="1917" priority="2578">
      <formula>$H330="ETAPA"</formula>
    </cfRule>
  </conditionalFormatting>
  <conditionalFormatting sqref="O331">
    <cfRule type="expression" dxfId="1916" priority="2569">
      <formula>$H331="ETAPA"</formula>
    </cfRule>
    <cfRule type="expression" dxfId="1915" priority="2570">
      <formula>$H331="SUBETAPA"</formula>
    </cfRule>
    <cfRule type="expression" dxfId="1914" priority="2571">
      <formula>$H331="ETAPA"</formula>
    </cfRule>
    <cfRule type="expression" dxfId="1913" priority="2572">
      <formula>$H331="SUBETAPA"</formula>
    </cfRule>
    <cfRule type="expression" dxfId="1912" priority="2573">
      <formula>$H331="ETAPA"</formula>
    </cfRule>
    <cfRule type="expression" dxfId="1911" priority="2574">
      <formula>$H331="SUBETAPA"</formula>
    </cfRule>
    <cfRule type="expression" dxfId="1910" priority="2575">
      <formula>$H331="CÉLULA CONSTRUTIVA"</formula>
    </cfRule>
  </conditionalFormatting>
  <conditionalFormatting sqref="O332">
    <cfRule type="expression" dxfId="1909" priority="2566">
      <formula>$H332="SUBETAPA"</formula>
    </cfRule>
    <cfRule type="expression" dxfId="1908" priority="2568">
      <formula>$H332="ETAPA"</formula>
    </cfRule>
    <cfRule type="expression" dxfId="1907" priority="2567">
      <formula>$H332="CÉLULA CONSTRUTIVA"</formula>
    </cfRule>
  </conditionalFormatting>
  <conditionalFormatting sqref="O333">
    <cfRule type="expression" dxfId="1906" priority="2565">
      <formula>$H333="CÉLULA CONSTRUTIVA"</formula>
    </cfRule>
    <cfRule type="expression" dxfId="1905" priority="2559">
      <formula>$H333="ETAPA"</formula>
    </cfRule>
    <cfRule type="expression" dxfId="1904" priority="2561">
      <formula>$H333="ETAPA"</formula>
    </cfRule>
    <cfRule type="expression" dxfId="1903" priority="2562">
      <formula>$H333="SUBETAPA"</formula>
    </cfRule>
    <cfRule type="expression" dxfId="1902" priority="2563">
      <formula>$H333="ETAPA"</formula>
    </cfRule>
    <cfRule type="expression" dxfId="1901" priority="2564">
      <formula>$H333="SUBETAPA"</formula>
    </cfRule>
    <cfRule type="expression" dxfId="1900" priority="2560">
      <formula>$H333="SUBETAPA"</formula>
    </cfRule>
  </conditionalFormatting>
  <conditionalFormatting sqref="O334">
    <cfRule type="expression" dxfId="1899" priority="2557">
      <formula>$H334="CÉLULA CONSTRUTIVA"</formula>
    </cfRule>
    <cfRule type="expression" dxfId="1898" priority="2556">
      <formula>$H334="SUBETAPA"</formula>
    </cfRule>
    <cfRule type="expression" dxfId="1897" priority="2558">
      <formula>$H334="ETAPA"</formula>
    </cfRule>
  </conditionalFormatting>
  <conditionalFormatting sqref="O336">
    <cfRule type="expression" dxfId="1896" priority="2555">
      <formula>$H336="ETAPA"</formula>
    </cfRule>
    <cfRule type="expression" dxfId="1895" priority="2553">
      <formula>$H336="SUBETAPA"</formula>
    </cfRule>
    <cfRule type="expression" dxfId="1894" priority="2554">
      <formula>$H336="CÉLULA CONSTRUTIVA"</formula>
    </cfRule>
  </conditionalFormatting>
  <conditionalFormatting sqref="O337 O335">
    <cfRule type="expression" dxfId="1893" priority="2551">
      <formula>$H335="SUBETAPA"</formula>
    </cfRule>
    <cfRule type="expression" dxfId="1892" priority="2546">
      <formula>$H335="ETAPA"</formula>
    </cfRule>
    <cfRule type="expression" dxfId="1891" priority="2547">
      <formula>$H335="SUBETAPA"</formula>
    </cfRule>
    <cfRule type="expression" dxfId="1890" priority="2548">
      <formula>$H335="ETAPA"</formula>
    </cfRule>
    <cfRule type="expression" dxfId="1889" priority="2549">
      <formula>$H335="SUBETAPA"</formula>
    </cfRule>
    <cfRule type="expression" dxfId="1888" priority="2550">
      <formula>$H335="ETAPA"</formula>
    </cfRule>
    <cfRule type="expression" dxfId="1887" priority="2552">
      <formula>$H335="CÉLULA CONSTRUTIVA"</formula>
    </cfRule>
  </conditionalFormatting>
  <conditionalFormatting sqref="O338">
    <cfRule type="expression" dxfId="1886" priority="2543">
      <formula>$H338="SUBETAPA"</formula>
    </cfRule>
    <cfRule type="expression" dxfId="1885" priority="2544">
      <formula>$H338="CÉLULA CONSTRUTIVA"</formula>
    </cfRule>
    <cfRule type="expression" dxfId="1884" priority="2545">
      <formula>$H338="ETAPA"</formula>
    </cfRule>
  </conditionalFormatting>
  <conditionalFormatting sqref="O339">
    <cfRule type="expression" dxfId="1883" priority="2540">
      <formula>$H339="ETAPA"</formula>
    </cfRule>
    <cfRule type="expression" dxfId="1882" priority="2541">
      <formula>$H339="SUBETAPA"</formula>
    </cfRule>
    <cfRule type="expression" dxfId="1881" priority="2542">
      <formula>$H339="CÉLULA CONSTRUTIVA"</formula>
    </cfRule>
    <cfRule type="expression" dxfId="1880" priority="2538">
      <formula>$H339="ETAPA"</formula>
    </cfRule>
    <cfRule type="expression" dxfId="1879" priority="2539">
      <formula>$H339="SUBETAPA"</formula>
    </cfRule>
    <cfRule type="expression" dxfId="1878" priority="2537">
      <formula>$H339="SUBETAPA"</formula>
    </cfRule>
    <cfRule type="expression" dxfId="1877" priority="2536">
      <formula>$H339="ETAPA"</formula>
    </cfRule>
  </conditionalFormatting>
  <conditionalFormatting sqref="O340">
    <cfRule type="expression" dxfId="1876" priority="2535">
      <formula>$H340="ETAPA"</formula>
    </cfRule>
    <cfRule type="expression" dxfId="1875" priority="2533">
      <formula>$H340="SUBETAPA"</formula>
    </cfRule>
    <cfRule type="expression" dxfId="1874" priority="2534">
      <formula>$H340="CÉLULA CONSTRUTIVA"</formula>
    </cfRule>
  </conditionalFormatting>
  <conditionalFormatting sqref="O341">
    <cfRule type="expression" dxfId="1873" priority="2532">
      <formula>$H341="CÉLULA CONSTRUTIVA"</formula>
    </cfRule>
    <cfRule type="expression" dxfId="1872" priority="2531">
      <formula>$H341="SUBETAPA"</formula>
    </cfRule>
    <cfRule type="expression" dxfId="1871" priority="2529">
      <formula>$H341="SUBETAPA"</formula>
    </cfRule>
    <cfRule type="expression" dxfId="1870" priority="2527">
      <formula>$H341="SUBETAPA"</formula>
    </cfRule>
    <cfRule type="expression" dxfId="1869" priority="2530">
      <formula>$H341="ETAPA"</formula>
    </cfRule>
    <cfRule type="expression" dxfId="1868" priority="2526">
      <formula>$H341="ETAPA"</formula>
    </cfRule>
    <cfRule type="expression" dxfId="1867" priority="2528">
      <formula>$H341="ETAPA"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22">
      <formula>$H343="CÉLULA CONSTRUTIVA"</formula>
    </cfRule>
    <cfRule type="expression" dxfId="1862" priority="2521">
      <formula>$H343="SUBETAPA"</formula>
    </cfRule>
    <cfRule type="expression" dxfId="1861" priority="2520">
      <formula>$H343="ETAPA"</formula>
    </cfRule>
    <cfRule type="expression" dxfId="1860" priority="2519">
      <formula>$H343="SUBETAPA"</formula>
    </cfRule>
    <cfRule type="expression" dxfId="1859" priority="2518">
      <formula>$H343="ETAPA"</formula>
    </cfRule>
    <cfRule type="expression" dxfId="1858" priority="2517">
      <formula>$H343="SUBETAPA"</formula>
    </cfRule>
    <cfRule type="expression" dxfId="1857" priority="2516">
      <formula>$H343="ETAPA"</formula>
    </cfRule>
  </conditionalFormatting>
  <conditionalFormatting sqref="O344">
    <cfRule type="expression" dxfId="1856" priority="2515">
      <formula>$H344="CÉLULA CONSTRUTIVA"</formula>
    </cfRule>
    <cfRule type="expression" dxfId="1855" priority="2514">
      <formula>$H344="SUBETAPA"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10">
      <formula>$H347="ETAPA"</formula>
    </cfRule>
    <cfRule type="expression" dxfId="1850" priority="2509">
      <formula>$H347="CÉLULA CONSTRUTIVA"</formula>
    </cfRule>
  </conditionalFormatting>
  <conditionalFormatting sqref="O348">
    <cfRule type="expression" dxfId="1849" priority="2507">
      <formula>$H348="SUBETAPA"</formula>
    </cfRule>
    <cfRule type="expression" dxfId="1848" priority="2508">
      <formula>$H348="CÉLULA CONSTRUTIVA"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500">
      <formula>$H349="CÉLULA CONSTRUTIVA"</formula>
    </cfRule>
    <cfRule type="expression" dxfId="1841" priority="2501">
      <formula>$H349="ETAPA"</formula>
    </cfRule>
    <cfRule type="expression" dxfId="1840" priority="2499">
      <formula>$H349="SUBETAPA"</formula>
    </cfRule>
  </conditionalFormatting>
  <conditionalFormatting sqref="O350">
    <cfRule type="expression" dxfId="1839" priority="2495">
      <formula>$H350="SUBETAPA"</formula>
    </cfRule>
    <cfRule type="expression" dxfId="1838" priority="2494">
      <formula>$H350="ETAPA"</formula>
    </cfRule>
    <cfRule type="expression" dxfId="1837" priority="2496">
      <formula>$H350="ETAPA"</formula>
    </cfRule>
    <cfRule type="expression" dxfId="1836" priority="2498">
      <formula>$H350="CÉLULA CONSTRUTIVA"</formula>
    </cfRule>
    <cfRule type="expression" dxfId="1835" priority="2497">
      <formula>$H350="SUBETAPA"</formula>
    </cfRule>
    <cfRule type="expression" dxfId="1834" priority="2492">
      <formula>$H350="ETAPA"</formula>
    </cfRule>
    <cfRule type="expression" dxfId="1833" priority="2493">
      <formula>$H350="SUBETAPA"</formula>
    </cfRule>
  </conditionalFormatting>
  <conditionalFormatting sqref="O351">
    <cfRule type="expression" dxfId="1832" priority="2491">
      <formula>$H351="ETAPA"</formula>
    </cfRule>
    <cfRule type="expression" dxfId="1831" priority="2490">
      <formula>$H351="CÉLULA CONSTRUTIVA"</formula>
    </cfRule>
    <cfRule type="expression" dxfId="1830" priority="2489">
      <formula>$H351="SUBETAPA"</formula>
    </cfRule>
  </conditionalFormatting>
  <conditionalFormatting sqref="O353">
    <cfRule type="expression" dxfId="1829" priority="2486">
      <formula>$H353="SUBETAPA"</formula>
    </cfRule>
    <cfRule type="expression" dxfId="1828" priority="2487">
      <formula>$H353="CÉLULA CONSTRUTIVA"</formula>
    </cfRule>
    <cfRule type="expression" dxfId="1827" priority="2488">
      <formula>$H353="ETAPA"</formula>
    </cfRule>
  </conditionalFormatting>
  <conditionalFormatting sqref="O354">
    <cfRule type="expression" dxfId="1826" priority="2483">
      <formula>$H354="SUBETAPA"</formula>
    </cfRule>
    <cfRule type="expression" dxfId="1825" priority="2484">
      <formula>$H354="CÉLULA CONSTRUTIVA"</formula>
    </cfRule>
    <cfRule type="expression" dxfId="1824" priority="2485">
      <formula>$H354="ETAPA"</formula>
    </cfRule>
  </conditionalFormatting>
  <conditionalFormatting sqref="O355">
    <cfRule type="expression" dxfId="1823" priority="2480">
      <formula>$H355="SUBETAPA"</formula>
    </cfRule>
    <cfRule type="expression" dxfId="1822" priority="2481">
      <formula>$H355="CÉLULA CONSTRUTIVA"</formula>
    </cfRule>
    <cfRule type="expression" dxfId="1821" priority="2482">
      <formula>$H355="ETAPA"</formula>
    </cfRule>
  </conditionalFormatting>
  <conditionalFormatting sqref="O356">
    <cfRule type="expression" dxfId="1820" priority="2477">
      <formula>$H356="SUBETAPA"</formula>
    </cfRule>
    <cfRule type="expression" dxfId="1819" priority="2478">
      <formula>$H356="CÉLULA CONSTRUTIVA"</formula>
    </cfRule>
    <cfRule type="expression" dxfId="1818" priority="2479">
      <formula>$H356="ETAPA"</formula>
    </cfRule>
  </conditionalFormatting>
  <conditionalFormatting sqref="O357">
    <cfRule type="expression" dxfId="1817" priority="2474">
      <formula>$H357="SUBETAPA"</formula>
    </cfRule>
    <cfRule type="expression" dxfId="1816" priority="2475">
      <formula>$H357="CÉLULA CONSTRUTIVA"</formula>
    </cfRule>
    <cfRule type="expression" dxfId="1815" priority="2476">
      <formula>$H357="ETAPA"</formula>
    </cfRule>
  </conditionalFormatting>
  <conditionalFormatting sqref="O358">
    <cfRule type="expression" dxfId="1814" priority="2472">
      <formula>$H358="CÉLULA CONSTRUTIVA"</formula>
    </cfRule>
    <cfRule type="expression" dxfId="1813" priority="2473">
      <formula>$H358="ETAPA"</formula>
    </cfRule>
    <cfRule type="expression" dxfId="1812" priority="2471">
      <formula>$H358="SUBETAPA"</formula>
    </cfRule>
  </conditionalFormatting>
  <conditionalFormatting sqref="O359">
    <cfRule type="expression" dxfId="1811" priority="2470">
      <formula>$H359="ETAPA"</formula>
    </cfRule>
    <cfRule type="expression" dxfId="1810" priority="2468">
      <formula>$H359="SUBETAPA"</formula>
    </cfRule>
    <cfRule type="expression" dxfId="1809" priority="2469">
      <formula>$H359="CÉLULA CONSTRUTIVA"</formula>
    </cfRule>
  </conditionalFormatting>
  <conditionalFormatting sqref="O360">
    <cfRule type="expression" dxfId="1808" priority="2465">
      <formula>$H360="SUBETAPA"</formula>
    </cfRule>
    <cfRule type="expression" dxfId="1807" priority="2467">
      <formula>$H360="ETAPA"</formula>
    </cfRule>
    <cfRule type="expression" dxfId="1806" priority="2466">
      <formula>$H360="CÉLULA CONSTRUTIVA"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0">
      <formula>$H362="CÉLULA CONSTRUTIVA"</formula>
    </cfRule>
    <cfRule type="expression" dxfId="1800" priority="2461">
      <formula>$H362="ETAPA"</formula>
    </cfRule>
  </conditionalFormatting>
  <conditionalFormatting sqref="O363">
    <cfRule type="expression" dxfId="1799" priority="2456">
      <formula>$H363="SUBETAPA"</formula>
    </cfRule>
    <cfRule type="expression" dxfId="1798" priority="2457">
      <formula>$H363="CÉLULA CONSTRUTIVA"</formula>
    </cfRule>
    <cfRule type="expression" dxfId="1797" priority="2458">
      <formula>$H363="ETAPA"</formula>
    </cfRule>
  </conditionalFormatting>
  <conditionalFormatting sqref="O364">
    <cfRule type="expression" dxfId="1796" priority="2453">
      <formula>$H364="SUBETAPA"</formula>
    </cfRule>
    <cfRule type="expression" dxfId="1795" priority="2454">
      <formula>$H364="CÉLULA CONSTRUTIVA"</formula>
    </cfRule>
    <cfRule type="expression" dxfId="1794" priority="2455">
      <formula>$H364="ETAPA"</formula>
    </cfRule>
  </conditionalFormatting>
  <conditionalFormatting sqref="O365">
    <cfRule type="expression" dxfId="1793" priority="2451">
      <formula>$H365="CÉLULA CONSTRUTIVA"</formula>
    </cfRule>
    <cfRule type="expression" dxfId="1792" priority="2450">
      <formula>$H365="SUBETAPA"</formula>
    </cfRule>
    <cfRule type="expression" dxfId="1791" priority="2452">
      <formula>$H365="ETAPA"</formula>
    </cfRule>
  </conditionalFormatting>
  <conditionalFormatting sqref="O366">
    <cfRule type="expression" dxfId="1790" priority="2447">
      <formula>$H366="SUBETAPA"</formula>
    </cfRule>
    <cfRule type="expression" dxfId="1789" priority="2448">
      <formula>$H366="CÉLULA CONSTRUTIVA"</formula>
    </cfRule>
    <cfRule type="expression" dxfId="1788" priority="2449">
      <formula>$H366="ETAPA"</formula>
    </cfRule>
  </conditionalFormatting>
  <conditionalFormatting sqref="O367">
    <cfRule type="expression" dxfId="1787" priority="2444">
      <formula>$H367="SUBETAPA"</formula>
    </cfRule>
    <cfRule type="expression" dxfId="1786" priority="2445">
      <formula>$H367="CÉLULA CONSTRUTIVA"</formula>
    </cfRule>
    <cfRule type="expression" dxfId="1785" priority="2446">
      <formula>$H367="ETAPA"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9">
      <formula>$H369="CÉLULA CONSTRUTIVA"</formula>
    </cfRule>
    <cfRule type="expression" dxfId="1780" priority="2438">
      <formula>$H369="SUBETAPA"</formula>
    </cfRule>
    <cfRule type="expression" dxfId="1779" priority="2440">
      <formula>$H369="ETAPA"</formula>
    </cfRule>
  </conditionalFormatting>
  <conditionalFormatting sqref="O370">
    <cfRule type="expression" dxfId="1778" priority="2437">
      <formula>$H370="ETAPA"</formula>
    </cfRule>
    <cfRule type="expression" dxfId="1777" priority="2436">
      <formula>$H370="CÉLULA CONSTRUTIVA"</formula>
    </cfRule>
    <cfRule type="expression" dxfId="1776" priority="2435">
      <formula>$H370="SUBETAPA"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31">
      <formula>$H372="ETAPA"</formula>
    </cfRule>
    <cfRule type="expression" dxfId="1771" priority="2430">
      <formula>$H372="CÉLULA CONSTRUTIVA"</formula>
    </cfRule>
    <cfRule type="expression" dxfId="1770" priority="2429">
      <formula>$H372="SUBETAPA"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4">
      <formula>$H374="CÉLULA CONSTRUTIVA"</formula>
    </cfRule>
    <cfRule type="expression" dxfId="1764" priority="2425">
      <formula>$H374="ETAPA"</formula>
    </cfRule>
  </conditionalFormatting>
  <conditionalFormatting sqref="O375">
    <cfRule type="expression" dxfId="1763" priority="2421">
      <formula>$H375="CÉLULA CONSTRUTIVA"</formula>
    </cfRule>
    <cfRule type="expression" dxfId="1762" priority="2420">
      <formula>$H375="SUBETAPA"</formula>
    </cfRule>
    <cfRule type="expression" dxfId="1761" priority="2422">
      <formula>$H375="ETAPA"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6">
      <formula>$H377="ETAPA"</formula>
    </cfRule>
    <cfRule type="expression" dxfId="1756" priority="2415">
      <formula>$H377="CÉLULA CONSTRUTIVA"</formula>
    </cfRule>
    <cfRule type="expression" dxfId="1755" priority="2414">
      <formula>$H377="SUBETAPA"</formula>
    </cfRule>
  </conditionalFormatting>
  <conditionalFormatting sqref="O378">
    <cfRule type="expression" dxfId="1754" priority="2413">
      <formula>$H378="ETAPA"</formula>
    </cfRule>
    <cfRule type="expression" dxfId="1753" priority="2412">
      <formula>$H378="CÉLULA CONSTRUTIVA"</formula>
    </cfRule>
    <cfRule type="expression" dxfId="1752" priority="2411">
      <formula>$H378="SUBETAPA"</formula>
    </cfRule>
  </conditionalFormatting>
  <conditionalFormatting sqref="O379">
    <cfRule type="expression" dxfId="1751" priority="2344">
      <formula>$H379="SUBETAPA"</formula>
    </cfRule>
    <cfRule type="expression" dxfId="1750" priority="2343">
      <formula>$H379="ETAPA"</formula>
    </cfRule>
    <cfRule type="expression" dxfId="1749" priority="2342">
      <formula>$H379="CÉLULA CONSTRUTIVA"</formula>
    </cfRule>
  </conditionalFormatting>
  <conditionalFormatting sqref="O380:O381 O1002:O1003 O1010">
    <cfRule type="expression" dxfId="1748" priority="2341">
      <formula>$H380="ETAPA"</formula>
    </cfRule>
  </conditionalFormatting>
  <conditionalFormatting sqref="O382:O395">
    <cfRule type="expression" dxfId="1747" priority="2340">
      <formula>$H382="ETAPA"</formula>
    </cfRule>
    <cfRule type="expression" dxfId="1746" priority="2339">
      <formula>$H382="SUBETAPA"</formula>
    </cfRule>
  </conditionalFormatting>
  <conditionalFormatting sqref="O396">
    <cfRule type="expression" dxfId="1745" priority="2338">
      <formula>$H396="ETAPA"</formula>
    </cfRule>
    <cfRule type="expression" dxfId="1744" priority="2337">
      <formula>$H396="CÉLULA CONSTRUTIVA"</formula>
    </cfRule>
    <cfRule type="expression" dxfId="1743" priority="2336">
      <formula>$H396="SUBETAPA"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6">
      <formula>$H422="ETAPA"</formula>
    </cfRule>
    <cfRule type="expression" dxfId="1729" priority="2325">
      <formula>$H422="CÉLULA CONSTRUTIVA"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20">
      <formula>$H435="ETAPA"</formula>
    </cfRule>
    <cfRule type="expression" dxfId="1723" priority="2319">
      <formula>$H435="CÉLULA CONSTRUTIVA"</formula>
    </cfRule>
    <cfRule type="expression" dxfId="1722" priority="2318">
      <formula>$H435="SUBETAPA"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4">
      <formula>$H448="ETAPA"</formula>
    </cfRule>
    <cfRule type="expression" dxfId="1717" priority="2313">
      <formula>$H448="CÉLULA CONSTRUTIVA"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5">
      <formula>$H463="ETAPA"</formula>
    </cfRule>
    <cfRule type="expression" dxfId="1708" priority="2304">
      <formula>$H463="CÉLULA CONSTRUTIVA"</formula>
    </cfRule>
    <cfRule type="expression" dxfId="1707" priority="2303">
      <formula>$H463="SUBETAPA"</formula>
    </cfRule>
  </conditionalFormatting>
  <conditionalFormatting sqref="O474">
    <cfRule type="expression" dxfId="1706" priority="2302">
      <formula>$H474="ETAPA"</formula>
    </cfRule>
    <cfRule type="expression" dxfId="1705" priority="2301">
      <formula>$H474="CÉLULA CONSTRUTIVA"</formula>
    </cfRule>
    <cfRule type="expression" dxfId="1704" priority="2300">
      <formula>$H474="SUBETAPA"</formula>
    </cfRule>
  </conditionalFormatting>
  <conditionalFormatting sqref="O476">
    <cfRule type="expression" dxfId="1703" priority="2297">
      <formula>$H476="SUBETAPA"</formula>
    </cfRule>
    <cfRule type="expression" dxfId="1702" priority="2298">
      <formula>$H476="CÉLULA CONSTRUTIVA"</formula>
    </cfRule>
    <cfRule type="expression" dxfId="1701" priority="2299">
      <formula>$H476="ETAPA"</formula>
    </cfRule>
  </conditionalFormatting>
  <conditionalFormatting sqref="O487">
    <cfRule type="expression" dxfId="1700" priority="2294">
      <formula>$H487="SUBETAPA"</formula>
    </cfRule>
    <cfRule type="expression" dxfId="1699" priority="2295">
      <formula>$H487="CÉLULA CONSTRUTIVA"</formula>
    </cfRule>
    <cfRule type="expression" dxfId="1698" priority="2296">
      <formula>$H487="ETAPA"</formula>
    </cfRule>
  </conditionalFormatting>
  <conditionalFormatting sqref="O489">
    <cfRule type="expression" dxfId="1697" priority="2291">
      <formula>$H489="SUBETAPA"</formula>
    </cfRule>
    <cfRule type="expression" dxfId="1696" priority="2292">
      <formula>$H489="CÉLULA CONSTRUTIVA"</formula>
    </cfRule>
    <cfRule type="expression" dxfId="1695" priority="2293">
      <formula>$H489="ETAPA"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8">
      <formula>$H500="SUBETAPA"</formula>
    </cfRule>
    <cfRule type="expression" dxfId="1692" priority="2290">
      <formula>$H500="ETAPA"</formula>
    </cfRule>
    <cfRule type="expression" dxfId="1691" priority="2289">
      <formula>$H500="CÉLULA CONSTRUTIVA"</formula>
    </cfRule>
  </conditionalFormatting>
  <conditionalFormatting sqref="O502">
    <cfRule type="expression" dxfId="1690" priority="2287">
      <formula>$H502="ETAPA"</formula>
    </cfRule>
    <cfRule type="expression" dxfId="1689" priority="2286">
      <formula>$H502="CÉLULA CONSTRUTIVA"</formula>
    </cfRule>
    <cfRule type="expression" dxfId="1688" priority="2285">
      <formula>$H502="SUBETAPA"</formula>
    </cfRule>
  </conditionalFormatting>
  <conditionalFormatting sqref="O513">
    <cfRule type="expression" dxfId="1687" priority="2282">
      <formula>$H513="SUBETAPA"</formula>
    </cfRule>
    <cfRule type="expression" dxfId="1686" priority="2283">
      <formula>$H513="CÉLULA CONSTRUTIVA"</formula>
    </cfRule>
    <cfRule type="expression" dxfId="1685" priority="2284">
      <formula>$H513="ETAPA"</formula>
    </cfRule>
  </conditionalFormatting>
  <conditionalFormatting sqref="O515">
    <cfRule type="expression" dxfId="1684" priority="2281">
      <formula>$H515="ETAPA"</formula>
    </cfRule>
    <cfRule type="expression" dxfId="1683" priority="2280">
      <formula>$H515="CÉLULA CONSTRUTIVA"</formula>
    </cfRule>
    <cfRule type="expression" dxfId="1682" priority="2279">
      <formula>$H515="SUBETAPA"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3">
      <formula>$H528="SUBETAPA"</formula>
    </cfRule>
    <cfRule type="expression" dxfId="1677" priority="2275">
      <formula>$H528="ETAPA"</formula>
    </cfRule>
    <cfRule type="expression" dxfId="1676" priority="2274">
      <formula>$H528="CÉLULA CONSTRUTIVA"</formula>
    </cfRule>
  </conditionalFormatting>
  <conditionalFormatting sqref="O539">
    <cfRule type="expression" dxfId="1675" priority="2272">
      <formula>$H539="ETAPA"</formula>
    </cfRule>
    <cfRule type="expression" dxfId="1674" priority="2271">
      <formula>$H539="CÉLULA CONSTRUTIVA"</formula>
    </cfRule>
    <cfRule type="expression" dxfId="1673" priority="2270">
      <formula>$H539="SUBETAPA"</formula>
    </cfRule>
  </conditionalFormatting>
  <conditionalFormatting sqref="O541">
    <cfRule type="expression" dxfId="1672" priority="2269">
      <formula>$H541="ETAPA"</formula>
    </cfRule>
    <cfRule type="expression" dxfId="1671" priority="2267">
      <formula>$H541="SUBETAPA"</formula>
    </cfRule>
    <cfRule type="expression" dxfId="1670" priority="2268">
      <formula>$H541="CÉLULA CONSTRUTIVA"</formula>
    </cfRule>
  </conditionalFormatting>
  <conditionalFormatting sqref="O552">
    <cfRule type="expression" dxfId="1669" priority="2265">
      <formula>$H552="CÉLULA CONSTRUTIVA"</formula>
    </cfRule>
    <cfRule type="expression" dxfId="1668" priority="2266">
      <formula>$H552="ETAPA"</formula>
    </cfRule>
    <cfRule type="expression" dxfId="1667" priority="2264">
      <formula>$H552="SUBETAPA"</formula>
    </cfRule>
  </conditionalFormatting>
  <conditionalFormatting sqref="O554">
    <cfRule type="expression" dxfId="1666" priority="2261">
      <formula>$H554="SUBETAPA"</formula>
    </cfRule>
    <cfRule type="expression" dxfId="1665" priority="2263">
      <formula>$H554="ETAPA"</formula>
    </cfRule>
    <cfRule type="expression" dxfId="1664" priority="2262">
      <formula>$H554="CÉLULA CONSTRUTIVA"</formula>
    </cfRule>
  </conditionalFormatting>
  <conditionalFormatting sqref="O565">
    <cfRule type="expression" dxfId="1663" priority="2258">
      <formula>$H565="SUBETAPA"</formula>
    </cfRule>
    <cfRule type="expression" dxfId="1662" priority="2259">
      <formula>$H565="CÉLULA CONSTRUTIVA"</formula>
    </cfRule>
    <cfRule type="expression" dxfId="1661" priority="2260">
      <formula>$H565="ETAPA"</formula>
    </cfRule>
  </conditionalFormatting>
  <conditionalFormatting sqref="O567">
    <cfRule type="expression" dxfId="1660" priority="2255">
      <formula>$H567="SUBETAPA"</formula>
    </cfRule>
    <cfRule type="expression" dxfId="1659" priority="2257">
      <formula>$H567="ETAPA"</formula>
    </cfRule>
    <cfRule type="expression" dxfId="1658" priority="2256">
      <formula>$H567="CÉLULA CONSTRUTIVA"</formula>
    </cfRule>
  </conditionalFormatting>
  <conditionalFormatting sqref="O568">
    <cfRule type="expression" dxfId="1657" priority="2252">
      <formula>$H568="CÉLULA CONSTRUTIVA"</formula>
    </cfRule>
    <cfRule type="expression" dxfId="1656" priority="2253">
      <formula>$H568="ETAPA"</formula>
    </cfRule>
    <cfRule type="expression" dxfId="1655" priority="2254">
      <formula>$H568="SUBETAPA"</formula>
    </cfRule>
  </conditionalFormatting>
  <conditionalFormatting sqref="O569">
    <cfRule type="expression" dxfId="1654" priority="2249">
      <formula>$H569="SUBETAPA"</formula>
    </cfRule>
    <cfRule type="expression" dxfId="1653" priority="2251">
      <formula>$H569="ETAPA"</formula>
    </cfRule>
    <cfRule type="expression" dxfId="1652" priority="2250">
      <formula>$H569="CÉLULA CONSTRUTIVA"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7">
      <formula>$H571="SUBETAPA"</formula>
    </cfRule>
    <cfRule type="expression" dxfId="1649" priority="2248">
      <formula>$H571="ETAPA"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3">
      <formula>$H574="CÉLULA CONSTRUTIVA"</formula>
    </cfRule>
    <cfRule type="expression" dxfId="1645" priority="2242">
      <formula>$H574="SUBETAPA"</formula>
    </cfRule>
    <cfRule type="expression" dxfId="1644" priority="2244">
      <formula>$H574="ETAPA"</formula>
    </cfRule>
  </conditionalFormatting>
  <conditionalFormatting sqref="O575">
    <cfRule type="expression" dxfId="1643" priority="2240">
      <formula>$H575="SUBETAPA"</formula>
    </cfRule>
    <cfRule type="expression" dxfId="1642" priority="2241">
      <formula>$H575="ETAPA"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6">
      <formula>$H577="CÉLULA CONSTRUTIVA"</formula>
    </cfRule>
    <cfRule type="expression" dxfId="1637" priority="2235">
      <formula>$H577="ETAPA"</formula>
    </cfRule>
    <cfRule type="expression" dxfId="1636" priority="2234">
      <formula>$H577="SUBETAPA"</formula>
    </cfRule>
  </conditionalFormatting>
  <conditionalFormatting sqref="O578">
    <cfRule type="expression" dxfId="1635" priority="2231">
      <formula>$H578="SUBETAPA"</formula>
    </cfRule>
    <cfRule type="expression" dxfId="1634" priority="2232">
      <formula>$H578="CÉLULA CONSTRUTIVA"</formula>
    </cfRule>
    <cfRule type="expression" dxfId="1633" priority="2233">
      <formula>$H578="ETAPA"</formula>
    </cfRule>
  </conditionalFormatting>
  <conditionalFormatting sqref="O579">
    <cfRule type="expression" dxfId="1632" priority="2224">
      <formula>$H579="ETAPA"</formula>
    </cfRule>
    <cfRule type="expression" dxfId="1631" priority="2226">
      <formula>$H579="ETAPA"</formula>
    </cfRule>
    <cfRule type="expression" dxfId="1630" priority="2227">
      <formula>$H579="SUBETAPA"</formula>
    </cfRule>
    <cfRule type="expression" dxfId="1629" priority="2228">
      <formula>$H579="ETAPA"</formula>
    </cfRule>
    <cfRule type="expression" dxfId="1628" priority="2229">
      <formula>$H579="SUBETAPA"</formula>
    </cfRule>
    <cfRule type="expression" dxfId="1627" priority="2230">
      <formula>$H579="CÉLULA CONSTRUTIVA"</formula>
    </cfRule>
    <cfRule type="expression" dxfId="1626" priority="2225">
      <formula>$H579="SUBETAPA"</formula>
    </cfRule>
  </conditionalFormatting>
  <conditionalFormatting sqref="O580">
    <cfRule type="expression" dxfId="1625" priority="2223">
      <formula>$H580="ETAPA"</formula>
    </cfRule>
    <cfRule type="expression" dxfId="1624" priority="2222">
      <formula>$H580="CÉLULA CONSTRUTIVA"</formula>
    </cfRule>
    <cfRule type="expression" dxfId="1623" priority="2221">
      <formula>$H580="SUBETAPA"</formula>
    </cfRule>
  </conditionalFormatting>
  <conditionalFormatting sqref="O582">
    <cfRule type="expression" dxfId="1622" priority="2220">
      <formula>$H582="ETAPA"</formula>
    </cfRule>
    <cfRule type="expression" dxfId="1621" priority="2219">
      <formula>$H582="SUBETAPA"</formula>
    </cfRule>
  </conditionalFormatting>
  <conditionalFormatting sqref="O583">
    <cfRule type="expression" dxfId="1620" priority="2218">
      <formula>$H583="ETAPA"</formula>
    </cfRule>
    <cfRule type="expression" dxfId="1619" priority="2217">
      <formula>$H583="CÉLULA CONSTRUTIVA"</formula>
    </cfRule>
    <cfRule type="expression" dxfId="1618" priority="2216">
      <formula>$H583="SUBETAPA"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3">
      <formula>$H585="ETAPA"</formula>
    </cfRule>
    <cfRule type="expression" dxfId="1614" priority="2212">
      <formula>$H585="CÉLULA CONSTRUTIVA"</formula>
    </cfRule>
    <cfRule type="expression" dxfId="1613" priority="2211">
      <formula>$H585="SUBETAPA"</formula>
    </cfRule>
  </conditionalFormatting>
  <conditionalFormatting sqref="O586">
    <cfRule type="expression" dxfId="1612" priority="2209">
      <formula>$H586="SUBETAPA"</formula>
    </cfRule>
    <cfRule type="expression" dxfId="1611" priority="2210">
      <formula>$H586="ETAPA"</formula>
    </cfRule>
  </conditionalFormatting>
  <conditionalFormatting sqref="O587">
    <cfRule type="expression" dxfId="1610" priority="2206">
      <formula>$H587="SUBETAPA"</formula>
    </cfRule>
    <cfRule type="expression" dxfId="1609" priority="2208">
      <formula>$H587="ETAPA"</formula>
    </cfRule>
    <cfRule type="expression" dxfId="1608" priority="2207">
      <formula>$H587="CÉLULA CONSTRUTIVA"</formula>
    </cfRule>
  </conditionalFormatting>
  <conditionalFormatting sqref="O588">
    <cfRule type="expression" dxfId="1607" priority="2199">
      <formula>$H588="ETAPA"</formula>
    </cfRule>
    <cfRule type="expression" dxfId="1606" priority="2200">
      <formula>$H588="SUBETAPA"</formula>
    </cfRule>
    <cfRule type="expression" dxfId="1605" priority="2201">
      <formula>$H588="ETAPA"</formula>
    </cfRule>
    <cfRule type="expression" dxfId="1604" priority="2202">
      <formula>$H588="SUBETAPA"</formula>
    </cfRule>
    <cfRule type="expression" dxfId="1603" priority="2203">
      <formula>$H588="ETAPA"</formula>
    </cfRule>
    <cfRule type="expression" dxfId="1602" priority="2204">
      <formula>$H588="SUBETAPA"</formula>
    </cfRule>
    <cfRule type="expression" dxfId="1601" priority="2205">
      <formula>$H588="CÉLULA CONSTRUTIVA"</formula>
    </cfRule>
  </conditionalFormatting>
  <conditionalFormatting sqref="O589">
    <cfRule type="expression" dxfId="1600" priority="2197">
      <formula>$H589="CÉLULA CONSTRUTIVA"</formula>
    </cfRule>
    <cfRule type="expression" dxfId="1599" priority="2196">
      <formula>$H589="SUBETAPA"</formula>
    </cfRule>
    <cfRule type="expression" dxfId="1598" priority="2198">
      <formula>$H589="ETAPA"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89">
      <formula>$H593="SUBETAPA"</formula>
    </cfRule>
    <cfRule type="expression" dxfId="1591" priority="2190">
      <formula>$H593="ETAPA"</formula>
    </cfRule>
  </conditionalFormatting>
  <conditionalFormatting sqref="O594">
    <cfRule type="expression" dxfId="1590" priority="2188">
      <formula>$H594="ETAPA"</formula>
    </cfRule>
    <cfRule type="expression" dxfId="1589" priority="2186">
      <formula>$H594="SUBETAPA"</formula>
    </cfRule>
    <cfRule type="expression" dxfId="1588" priority="2187">
      <formula>$H594="CÉLULA CONSTRUTIVA"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80">
      <formula>$H597="CÉLULA CONSTRUTIVA"</formula>
    </cfRule>
    <cfRule type="expression" dxfId="1581" priority="2179">
      <formula>$H597="SUBETAPA"</formula>
    </cfRule>
    <cfRule type="expression" dxfId="1580" priority="2178">
      <formula>$H597="ETAPA"</formula>
    </cfRule>
    <cfRule type="expression" dxfId="1579" priority="2177">
      <formula>$H597="SUBETAPA"</formula>
    </cfRule>
    <cfRule type="expression" dxfId="1578" priority="2176">
      <formula>$H597="ETAPA"</formula>
    </cfRule>
    <cfRule type="expression" dxfId="1577" priority="2175">
      <formula>$H597="SUBETAPA"</formula>
    </cfRule>
    <cfRule type="expression" dxfId="1576" priority="2174">
      <formula>$H597="ETAPA"</formula>
    </cfRule>
  </conditionalFormatting>
  <conditionalFormatting sqref="O598">
    <cfRule type="expression" dxfId="1575" priority="2173">
      <formula>$H598="ETAPA"</formula>
    </cfRule>
    <cfRule type="expression" dxfId="1574" priority="2172">
      <formula>$H598="CÉLULA CONSTRUTIVA"</formula>
    </cfRule>
    <cfRule type="expression" dxfId="1573" priority="2171">
      <formula>$H598="SUBETAPA"</formula>
    </cfRule>
  </conditionalFormatting>
  <conditionalFormatting sqref="O600">
    <cfRule type="expression" dxfId="1572" priority="2170">
      <formula>$H600="ETAPA"</formula>
    </cfRule>
    <cfRule type="expression" dxfId="1571" priority="2169">
      <formula>$H600="SUBETAPA"</formula>
    </cfRule>
  </conditionalFormatting>
  <conditionalFormatting sqref="O601">
    <cfRule type="expression" dxfId="1570" priority="2166">
      <formula>$H601="SUBETAPA"</formula>
    </cfRule>
    <cfRule type="expression" dxfId="1569" priority="2168">
      <formula>$H601="ETAPA"</formula>
    </cfRule>
    <cfRule type="expression" dxfId="1568" priority="2167">
      <formula>$H601="CÉLULA CONSTRUTIVA"</formula>
    </cfRule>
  </conditionalFormatting>
  <conditionalFormatting sqref="O602">
    <cfRule type="expression" dxfId="1567" priority="2164">
      <formula>$H602="SUBETAPA"</formula>
    </cfRule>
    <cfRule type="expression" dxfId="1566" priority="2165">
      <formula>$H602="ETAPA"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60">
      <formula>$H604="ETAPA"</formula>
    </cfRule>
    <cfRule type="expression" dxfId="1561" priority="2159">
      <formula>$H604="SUBETAPA"</formula>
    </cfRule>
  </conditionalFormatting>
  <conditionalFormatting sqref="O605">
    <cfRule type="expression" dxfId="1560" priority="2158">
      <formula>$H605="ETAPA"</formula>
    </cfRule>
    <cfRule type="expression" dxfId="1559" priority="2157">
      <formula>$H605="CÉLULA CONSTRUTIVA"</formula>
    </cfRule>
    <cfRule type="expression" dxfId="1558" priority="2156">
      <formula>$H605="SUBETAPA"</formula>
    </cfRule>
  </conditionalFormatting>
  <conditionalFormatting sqref="O606">
    <cfRule type="expression" dxfId="1557" priority="2151">
      <formula>$H606="ETAPA"</formula>
    </cfRule>
    <cfRule type="expression" dxfId="1556" priority="2155">
      <formula>$H606="CÉLULA CONSTRUTIVA"</formula>
    </cfRule>
    <cfRule type="expression" dxfId="1555" priority="2154">
      <formula>$H606="SUBETAPA"</formula>
    </cfRule>
    <cfRule type="expression" dxfId="1554" priority="2153">
      <formula>$H606="ETAPA"</formula>
    </cfRule>
    <cfRule type="expression" dxfId="1553" priority="2152">
      <formula>$H606="SUBETAPA"</formula>
    </cfRule>
    <cfRule type="expression" dxfId="1552" priority="2150">
      <formula>$H606="SUBETAPA"</formula>
    </cfRule>
    <cfRule type="expression" dxfId="1551" priority="2149">
      <formula>$H606="ETAPA"</formula>
    </cfRule>
  </conditionalFormatting>
  <conditionalFormatting sqref="O607">
    <cfRule type="expression" dxfId="1550" priority="2148">
      <formula>$H607="ETAPA"</formula>
    </cfRule>
    <cfRule type="expression" dxfId="1549" priority="2147">
      <formula>$H607="CÉLULA CONSTRUTIVA"</formula>
    </cfRule>
    <cfRule type="expression" dxfId="1548" priority="2146">
      <formula>$H607="SUBETAPA"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39">
      <formula>$H611="SUBETAPA"</formula>
    </cfRule>
    <cfRule type="expression" dxfId="1541" priority="2140">
      <formula>$H611="ETAPA"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1">
      <formula>$H614="SUBETAPA"</formula>
    </cfRule>
    <cfRule type="expression" dxfId="1534" priority="2132">
      <formula>$H614="CÉLULA CONSTRUTIVA"</formula>
    </cfRule>
    <cfRule type="expression" dxfId="1533" priority="2133">
      <formula>$H614="ETAPA"</formula>
    </cfRule>
  </conditionalFormatting>
  <conditionalFormatting sqref="O615">
    <cfRule type="expression" dxfId="1532" priority="2124">
      <formula>$H615="ETAPA"</formula>
    </cfRule>
    <cfRule type="expression" dxfId="1531" priority="2125">
      <formula>$H615="SUBETAPA"</formula>
    </cfRule>
    <cfRule type="expression" dxfId="1530" priority="2127">
      <formula>$H615="SUBETAPA"</formula>
    </cfRule>
    <cfRule type="expression" dxfId="1529" priority="2128">
      <formula>$H615="ETAPA"</formula>
    </cfRule>
    <cfRule type="expression" dxfId="1528" priority="2129">
      <formula>$H615="SUBETAPA"</formula>
    </cfRule>
    <cfRule type="expression" dxfId="1527" priority="2130">
      <formula>$H615="CÉLULA CONSTRUTIVA"</formula>
    </cfRule>
    <cfRule type="expression" dxfId="1526" priority="2126">
      <formula>$H615="ETAPA"</formula>
    </cfRule>
  </conditionalFormatting>
  <conditionalFormatting sqref="O616">
    <cfRule type="expression" dxfId="1525" priority="2121">
      <formula>$H616="SUBETAPA"</formula>
    </cfRule>
    <cfRule type="expression" dxfId="1524" priority="2123">
      <formula>$H616="ETAPA"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6">
      <formula>$H619="SUBETAPA"</formula>
    </cfRule>
    <cfRule type="expression" dxfId="1518" priority="2117">
      <formula>$H619="CÉLULA CONSTRUTIVA"</formula>
    </cfRule>
  </conditionalFormatting>
  <conditionalFormatting sqref="O620">
    <cfRule type="expression" dxfId="1517" priority="2114">
      <formula>$H620="SUBETAPA"</formula>
    </cfRule>
    <cfRule type="expression" dxfId="1516" priority="2115">
      <formula>$H620="ETAPA"</formula>
    </cfRule>
  </conditionalFormatting>
  <conditionalFormatting sqref="O621">
    <cfRule type="expression" dxfId="1515" priority="2111">
      <formula>$H621="SUBETAPA"</formula>
    </cfRule>
    <cfRule type="expression" dxfId="1514" priority="2112">
      <formula>$H621="CÉLULA CONSTRUTIVA"</formula>
    </cfRule>
    <cfRule type="expression" dxfId="1513" priority="2113">
      <formula>$H621="ETAPA"</formula>
    </cfRule>
  </conditionalFormatting>
  <conditionalFormatting sqref="O622">
    <cfRule type="expression" dxfId="1512" priority="2109">
      <formula>$H622="SUBETAPA"</formula>
    </cfRule>
    <cfRule type="expression" dxfId="1511" priority="2110">
      <formula>$H622="ETAPA"</formula>
    </cfRule>
  </conditionalFormatting>
  <conditionalFormatting sqref="O623">
    <cfRule type="expression" dxfId="1510" priority="2106">
      <formula>$H623="SUBETAPA"</formula>
    </cfRule>
    <cfRule type="expression" dxfId="1509" priority="2108">
      <formula>$H623="ETAPA"</formula>
    </cfRule>
    <cfRule type="expression" dxfId="1508" priority="2107">
      <formula>$H623="CÉLULA CONSTRUTIVA"</formula>
    </cfRule>
  </conditionalFormatting>
  <conditionalFormatting sqref="O624">
    <cfRule type="expression" dxfId="1507" priority="2100">
      <formula>$H624="SUBETAPA"</formula>
    </cfRule>
    <cfRule type="expression" dxfId="1506" priority="2099">
      <formula>$H624="ETAPA"</formula>
    </cfRule>
    <cfRule type="expression" dxfId="1505" priority="2101">
      <formula>$H624="ETAPA"</formula>
    </cfRule>
    <cfRule type="expression" dxfId="1504" priority="2102">
      <formula>$H624="SUBETAPA"</formula>
    </cfRule>
    <cfRule type="expression" dxfId="1503" priority="2103">
      <formula>$H624="ETAPA"</formula>
    </cfRule>
    <cfRule type="expression" dxfId="1502" priority="2104">
      <formula>$H624="SUBETAPA"</formula>
    </cfRule>
    <cfRule type="expression" dxfId="1501" priority="2105">
      <formula>$H624="CÉLULA CONSTRUTIVA"</formula>
    </cfRule>
  </conditionalFormatting>
  <conditionalFormatting sqref="O625">
    <cfRule type="expression" dxfId="1500" priority="2096">
      <formula>$H625="SUBETAPA"</formula>
    </cfRule>
    <cfRule type="expression" dxfId="1499" priority="2097">
      <formula>$H625="CÉLULA CONSTRUTIVA"</formula>
    </cfRule>
    <cfRule type="expression" dxfId="1498" priority="2098">
      <formula>$H625="ETAPA"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3">
      <formula>$H628="ETAPA"</formula>
    </cfRule>
    <cfRule type="expression" dxfId="1494" priority="2092">
      <formula>$H628="CÉLULA CONSTRUTIVA"</formula>
    </cfRule>
    <cfRule type="expression" dxfId="1493" priority="2091">
      <formula>$H628="SUBETAPA"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7">
      <formula>$H630="CÉLULA CONSTRUTIVA"</formula>
    </cfRule>
    <cfRule type="expression" dxfId="1489" priority="2086">
      <formula>$H630="SUBETAPA"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1">
      <formula>$H632="SUBETAPA"</formula>
    </cfRule>
    <cfRule type="expression" dxfId="1484" priority="2082">
      <formula>$H632="CÉLULA CONSTRUTIVA"</formula>
    </cfRule>
    <cfRule type="expression" dxfId="1483" priority="2083">
      <formula>$H632="ETAPA"</formula>
    </cfRule>
  </conditionalFormatting>
  <conditionalFormatting sqref="O633">
    <cfRule type="expression" dxfId="1482" priority="2079">
      <formula>$H633="SUBETAPA"</formula>
    </cfRule>
    <cfRule type="expression" dxfId="1481" priority="2074">
      <formula>$H633="ETAPA"</formula>
    </cfRule>
    <cfRule type="expression" dxfId="1480" priority="2076">
      <formula>$H633="ETAPA"</formula>
    </cfRule>
    <cfRule type="expression" dxfId="1479" priority="2077">
      <formula>$H633="SUBETAPA"</formula>
    </cfRule>
    <cfRule type="expression" dxfId="1478" priority="2078">
      <formula>$H633="ETAPA"</formula>
    </cfRule>
    <cfRule type="expression" dxfId="1477" priority="2075">
      <formula>$H633="SUBETAPA"</formula>
    </cfRule>
    <cfRule type="expression" dxfId="1476" priority="2080">
      <formula>$H633="CÉLULA CONSTRUTIVA"</formula>
    </cfRule>
  </conditionalFormatting>
  <conditionalFormatting sqref="O634">
    <cfRule type="expression" dxfId="1475" priority="2073">
      <formula>$H634="ETAPA"</formula>
    </cfRule>
    <cfRule type="expression" dxfId="1474" priority="2072">
      <formula>$H634="CÉLULA CONSTRUTIVA"</formula>
    </cfRule>
    <cfRule type="expression" dxfId="1473" priority="2071">
      <formula>$H634="SUBETAPA"</formula>
    </cfRule>
  </conditionalFormatting>
  <conditionalFormatting sqref="O636">
    <cfRule type="expression" dxfId="1472" priority="2070">
      <formula>$H636="ETAPA"</formula>
    </cfRule>
    <cfRule type="expression" dxfId="1471" priority="2069">
      <formula>$H636="SUBETAPA"</formula>
    </cfRule>
  </conditionalFormatting>
  <conditionalFormatting sqref="O637">
    <cfRule type="expression" dxfId="1470" priority="2068">
      <formula>$H637="ETAPA"</formula>
    </cfRule>
    <cfRule type="expression" dxfId="1469" priority="2067">
      <formula>$H637="CÉLULA CONSTRUTIVA"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3">
      <formula>$H639="ETAPA"</formula>
    </cfRule>
    <cfRule type="expression" dxfId="1463" priority="2062">
      <formula>$H639="CÉLULA CONSTRUTIVA"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4">
      <formula>$H642="SUBETAPA"</formula>
    </cfRule>
    <cfRule type="expression" dxfId="1456" priority="2053">
      <formula>$H642="ETAPA"</formula>
    </cfRule>
    <cfRule type="expression" dxfId="1455" priority="2055">
      <formula>$H642="CÉLULA CONSTRUTIVA"</formula>
    </cfRule>
    <cfRule type="expression" dxfId="1454" priority="2052">
      <formula>$H642="SUBETAPA"</formula>
    </cfRule>
    <cfRule type="expression" dxfId="1453" priority="2051">
      <formula>$H642="ETAPA"</formula>
    </cfRule>
    <cfRule type="expression" dxfId="1452" priority="2050">
      <formula>$H642="SUBETAPA"</formula>
    </cfRule>
    <cfRule type="expression" dxfId="1451" priority="2049">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5">
      <formula>$H645="ETAPA"</formula>
    </cfRule>
    <cfRule type="expression" dxfId="1446" priority="2044">
      <formula>$H645="SUBETAPA"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40">
      <formula>$H647="ETAPA"</formula>
    </cfRule>
    <cfRule type="expression" dxfId="1441" priority="2039">
      <formula>$H647="SUBETAPA"</formula>
    </cfRule>
  </conditionalFormatting>
  <conditionalFormatting sqref="O648">
    <cfRule type="expression" dxfId="1440" priority="2036">
      <formula>$H648="SUBETAPA"</formula>
    </cfRule>
    <cfRule type="expression" dxfId="1439" priority="2037">
      <formula>$H648="CÉLULA CONSTRUTIVA"</formula>
    </cfRule>
    <cfRule type="expression" dxfId="1438" priority="2038">
      <formula>$H648="ETAPA"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1">
      <formula>$H650="SUBETAPA"</formula>
    </cfRule>
    <cfRule type="expression" dxfId="1434" priority="2033">
      <formula>$H650="ETAPA"</formula>
    </cfRule>
    <cfRule type="expression" dxfId="1433" priority="2032">
      <formula>$H650="CÉLULA CONSTRUTIVA"</formula>
    </cfRule>
  </conditionalFormatting>
  <conditionalFormatting sqref="O651">
    <cfRule type="expression" dxfId="1432" priority="2030">
      <formula>$H651="CÉLULA CONSTRUTIVA"</formula>
    </cfRule>
    <cfRule type="expression" dxfId="1431" priority="2025">
      <formula>$H651="SUBETAPA"</formula>
    </cfRule>
    <cfRule type="expression" dxfId="1430" priority="2029">
      <formula>$H651="SUBETAPA"</formula>
    </cfRule>
    <cfRule type="expression" dxfId="1429" priority="2026">
      <formula>$H651="ETAPA"</formula>
    </cfRule>
    <cfRule type="expression" dxfId="1428" priority="2024">
      <formula>$H651="ETAPA"</formula>
    </cfRule>
    <cfRule type="expression" dxfId="1427" priority="2027">
      <formula>$H651="SUBETAPA"</formula>
    </cfRule>
    <cfRule type="expression" dxfId="1426" priority="2028">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20">
      <formula>$H654="ETAPA"</formula>
    </cfRule>
    <cfRule type="expression" dxfId="1421" priority="2019">
      <formula>$H654="SUBETAPA"</formula>
    </cfRule>
  </conditionalFormatting>
  <conditionalFormatting sqref="O655 O659">
    <cfRule type="expression" dxfId="1420" priority="2018">
      <formula>$H655="ETAPA"</formula>
    </cfRule>
  </conditionalFormatting>
  <conditionalFormatting sqref="O656">
    <cfRule type="expression" dxfId="1419" priority="2017">
      <formula>$H656="ETAPA"</formula>
    </cfRule>
    <cfRule type="expression" dxfId="1418" priority="2016">
      <formula>$H656="SUBETAPA"</formula>
    </cfRule>
  </conditionalFormatting>
  <conditionalFormatting sqref="O657">
    <cfRule type="expression" dxfId="1417" priority="2014">
      <formula>$H657="CÉLULA CONSTRUTIVA"</formula>
    </cfRule>
    <cfRule type="expression" dxfId="1416" priority="2013">
      <formula>$H657="SUBETAPA"</formula>
    </cfRule>
    <cfRule type="expression" dxfId="1415" priority="2015">
      <formula>$H657="ETAPA"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6">
      <formula>$H660="SUBETAPA"</formula>
    </cfRule>
    <cfRule type="expression" dxfId="1409" priority="2008">
      <formula>$H660="CÉLULA CONSTRUTIVA"</formula>
    </cfRule>
    <cfRule type="expression" dxfId="1408" priority="2007">
      <formula>$H660="ETAPA"</formula>
    </cfRule>
  </conditionalFormatting>
  <conditionalFormatting sqref="O661">
    <cfRule type="expression" dxfId="1407" priority="2004">
      <formula>$H661="CÉLULA CONSTRUTIVA"</formula>
    </cfRule>
    <cfRule type="expression" dxfId="1406" priority="2005">
      <formula>$H661="ETAPA"</formula>
    </cfRule>
    <cfRule type="expression" dxfId="1405" priority="2003">
      <formula>$H661="SUBETAPA"</formula>
    </cfRule>
  </conditionalFormatting>
  <conditionalFormatting sqref="O662">
    <cfRule type="expression" dxfId="1404" priority="2002">
      <formula>$H662="CÉLULA CONSTRUTIVA"</formula>
    </cfRule>
    <cfRule type="expression" dxfId="1403" priority="2001">
      <formula>$H662="SUBETAPA"</formula>
    </cfRule>
    <cfRule type="expression" dxfId="1402" priority="2000">
      <formula>$H662="ETAPA"</formula>
    </cfRule>
    <cfRule type="expression" dxfId="1401" priority="1999">
      <formula>$H662="SUBETAPA"</formula>
    </cfRule>
    <cfRule type="expression" dxfId="1400" priority="1998">
      <formula>$H662="ETAPA"</formula>
    </cfRule>
    <cfRule type="expression" dxfId="1399" priority="1997">
      <formula>$H662="SUBETAPA"</formula>
    </cfRule>
    <cfRule type="expression" dxfId="1398" priority="1996">
      <formula>$H662="ETAPA"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2">
      <formula>$H665="ETAPA"</formula>
    </cfRule>
    <cfRule type="expression" dxfId="1393" priority="1991">
      <formula>$H665="SUBETAPA"</formula>
    </cfRule>
  </conditionalFormatting>
  <conditionalFormatting sqref="O666 O670">
    <cfRule type="expression" dxfId="1392" priority="1990">
      <formula>$H666="ETAPA"</formula>
    </cfRule>
  </conditionalFormatting>
  <conditionalFormatting sqref="O667">
    <cfRule type="expression" dxfId="1391" priority="1989">
      <formula>$H667="ETAPA"</formula>
    </cfRule>
    <cfRule type="expression" dxfId="1390" priority="1988">
      <formula>$H667="SUBETAPA"</formula>
    </cfRule>
  </conditionalFormatting>
  <conditionalFormatting sqref="O668">
    <cfRule type="expression" dxfId="1389" priority="1987">
      <formula>$H668="ETAPA"</formula>
    </cfRule>
    <cfRule type="expression" dxfId="1388" priority="1986">
      <formula>$H668="CÉLULA CONSTRUTIVA"</formula>
    </cfRule>
    <cfRule type="expression" dxfId="1387" priority="1985">
      <formula>$H668="SUBETAPA"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2">
      <formula>$H666="CÉLULA CONSTRUTIVA"</formula>
    </cfRule>
    <cfRule type="expression" dxfId="1383" priority="1981">
      <formula>$H666="SUBETAPA"</formula>
    </cfRule>
  </conditionalFormatting>
  <conditionalFormatting sqref="O671">
    <cfRule type="expression" dxfId="1382" priority="1980">
      <formula>$H671="CÉLULA CONSTRUTIVA"</formula>
    </cfRule>
    <cfRule type="expression" dxfId="1381" priority="1979">
      <formula>$H671="ETAPA"</formula>
    </cfRule>
    <cfRule type="expression" dxfId="1380" priority="1978">
      <formula>$H671="SUBETAPA"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74">
      <formula>$H673="CÉLULA CONSTRUTIVA"</formula>
    </cfRule>
    <cfRule type="expression" dxfId="1375" priority="1973">
      <formula>$H673="SUBETAPA"</formula>
    </cfRule>
    <cfRule type="expression" dxfId="1374" priority="1972">
      <formula>$H673="ETAPA"</formula>
    </cfRule>
    <cfRule type="expression" dxfId="1373" priority="1971">
      <formula>$H673="SUBETAPA"</formula>
    </cfRule>
    <cfRule type="expression" dxfId="1372" priority="1970">
      <formula>$H673="ETAPA"</formula>
    </cfRule>
    <cfRule type="expression" dxfId="1371" priority="1969">
      <formula>$H673="SUBETAPA"</formula>
    </cfRule>
    <cfRule type="expression" dxfId="1370" priority="1968">
      <formula>$H673="ETAPA"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4">
      <formula>$H676="ETAPA"</formula>
    </cfRule>
    <cfRule type="expression" dxfId="1365" priority="1963">
      <formula>$H676="SUBETAPA"</formula>
    </cfRule>
  </conditionalFormatting>
  <conditionalFormatting sqref="O677">
    <cfRule type="expression" dxfId="1364" priority="1962">
      <formula>$H677="ETAPA"</formula>
    </cfRule>
    <cfRule type="expression" dxfId="1363" priority="1961">
      <formula>$H677="CÉLULA CONSTRUTIVA"</formula>
    </cfRule>
    <cfRule type="expression" dxfId="1362" priority="1960">
      <formula>$H677="SUBETAPA"</formula>
    </cfRule>
  </conditionalFormatting>
  <conditionalFormatting sqref="O678">
    <cfRule type="expression" dxfId="1361" priority="1959">
      <formula>$H678="ETAPA"</formula>
    </cfRule>
    <cfRule type="expression" dxfId="1360" priority="1958">
      <formula>$H678="SUBETAPA"</formula>
    </cfRule>
  </conditionalFormatting>
  <conditionalFormatting sqref="O679">
    <cfRule type="expression" dxfId="1359" priority="1956">
      <formula>$H679="CÉLULA CONSTRUTIVA"</formula>
    </cfRule>
    <cfRule type="expression" dxfId="1358" priority="1957">
      <formula>$H679="ETAPA"</formula>
    </cfRule>
    <cfRule type="expression" dxfId="1357" priority="1955">
      <formula>$H679="SUBETAPA"</formula>
    </cfRule>
  </conditionalFormatting>
  <conditionalFormatting sqref="O680">
    <cfRule type="expression" dxfId="1356" priority="1953">
      <formula>$H680="SUBETAPA"</formula>
    </cfRule>
    <cfRule type="expression" dxfId="1355" priority="1954">
      <formula>$H680="ETAPA"</formula>
    </cfRule>
  </conditionalFormatting>
  <conditionalFormatting sqref="O681">
    <cfRule type="expression" dxfId="1354" priority="1950">
      <formula>$H681="SUBETAPA"</formula>
    </cfRule>
    <cfRule type="expression" dxfId="1353" priority="1952">
      <formula>$H681="ETAPA"</formula>
    </cfRule>
    <cfRule type="expression" dxfId="1352" priority="1951">
      <formula>$H681="CÉLULA CONSTRUTIVA"</formula>
    </cfRule>
  </conditionalFormatting>
  <conditionalFormatting sqref="O682">
    <cfRule type="expression" dxfId="1351" priority="1943">
      <formula>$H682="ETAPA"</formula>
    </cfRule>
    <cfRule type="expression" dxfId="1350" priority="1949">
      <formula>$H682="CÉLULA CONSTRUTIVA"</formula>
    </cfRule>
    <cfRule type="expression" dxfId="1349" priority="1944">
      <formula>$H682="SUBETAPA"</formula>
    </cfRule>
    <cfRule type="expression" dxfId="1348" priority="1945">
      <formula>$H682="ETAPA"</formula>
    </cfRule>
    <cfRule type="expression" dxfId="1347" priority="1946">
      <formula>$H682="SUBETAPA"</formula>
    </cfRule>
    <cfRule type="expression" dxfId="1346" priority="1947">
      <formula>$H682="ETAPA"</formula>
    </cfRule>
    <cfRule type="expression" dxfId="1345" priority="1948">
      <formula>$H682="SUBETAPA"</formula>
    </cfRule>
  </conditionalFormatting>
  <conditionalFormatting sqref="O683">
    <cfRule type="expression" dxfId="1344" priority="1940">
      <formula>$H683="SUBETAPA"</formula>
    </cfRule>
    <cfRule type="expression" dxfId="1343" priority="1941">
      <formula>$H683="CÉLULA CONSTRUTIVA"</formula>
    </cfRule>
    <cfRule type="expression" dxfId="1342" priority="1942">
      <formula>$H683="ETAPA"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7">
      <formula>$H686="ETAPA"</formula>
    </cfRule>
    <cfRule type="expression" dxfId="1338" priority="1936">
      <formula>$H686="CÉLULA CONSTRUTIVA"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2">
      <formula>$H688="ETAPA"</formula>
    </cfRule>
    <cfRule type="expression" dxfId="1333" priority="1931">
      <formula>$H688="CÉLULA CONSTRUTIVA"</formula>
    </cfRule>
    <cfRule type="expression" dxfId="1332" priority="1930">
      <formula>$H688="SUBETAPA"</formula>
    </cfRule>
  </conditionalFormatting>
  <conditionalFormatting sqref="O689">
    <cfRule type="expression" dxfId="1331" priority="1929">
      <formula>$H689="ETAPA"</formula>
    </cfRule>
    <cfRule type="expression" dxfId="1330" priority="1928">
      <formula>$H689="SUBETAPA"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9">
      <formula>$H691="SUBETAPA"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8">
      <formula>$H691="ETAPA"</formula>
    </cfRule>
  </conditionalFormatting>
  <conditionalFormatting sqref="O692">
    <cfRule type="expression" dxfId="1319" priority="1917">
      <formula>$H692="ETAPA"</formula>
    </cfRule>
    <cfRule type="expression" dxfId="1318" priority="1916">
      <formula>$H692="CÉLULA CONSTRUTIVA"</formula>
    </cfRule>
    <cfRule type="expression" dxfId="1317" priority="1915">
      <formula>$H692="SUBETAPA"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8">
      <formula>$H697="CÉLULA CONSTRUTIVA"</formula>
    </cfRule>
    <cfRule type="expression" dxfId="1310" priority="1909">
      <formula>$H697="ETAPA"</formula>
    </cfRule>
    <cfRule type="expression" dxfId="1309" priority="1907">
      <formula>$H697="SUBETAPA"</formula>
    </cfRule>
  </conditionalFormatting>
  <conditionalFormatting sqref="O698">
    <cfRule type="expression" dxfId="1308" priority="1906">
      <formula>$H698="ETAPA"</formula>
    </cfRule>
    <cfRule type="expression" dxfId="1307" priority="1905">
      <formula>$H698="SUBETAPA"</formula>
    </cfRule>
  </conditionalFormatting>
  <conditionalFormatting sqref="O699 O695">
    <cfRule type="expression" dxfId="1306" priority="1903">
      <formula>$H695="SUBETAPA"</formula>
    </cfRule>
    <cfRule type="expression" dxfId="1305" priority="1904">
      <formula>$H695="CÉLULA CONSTRUTIVA"</formula>
    </cfRule>
  </conditionalFormatting>
  <conditionalFormatting sqref="O700">
    <cfRule type="expression" dxfId="1304" priority="1902">
      <formula>$H700="CÉLULA CONSTRUTIVA"</formula>
    </cfRule>
    <cfRule type="expression" dxfId="1303" priority="1901">
      <formula>$H700="ETAPA"</formula>
    </cfRule>
    <cfRule type="expression" dxfId="1302" priority="1900">
      <formula>$H700="SUBETAPA"</formula>
    </cfRule>
  </conditionalFormatting>
  <conditionalFormatting sqref="O701">
    <cfRule type="expression" dxfId="1301" priority="1899">
      <formula>$H701="ETAPA"</formula>
    </cfRule>
    <cfRule type="expression" dxfId="1300" priority="1897">
      <formula>$H701="SUBETAPA"</formula>
    </cfRule>
    <cfRule type="expression" dxfId="1299" priority="1898">
      <formula>$H701="CÉLULA CONSTRUTIVA"</formula>
    </cfRule>
  </conditionalFormatting>
  <conditionalFormatting sqref="O702">
    <cfRule type="expression" dxfId="1298" priority="1894">
      <formula>$H702="ETAPA"</formula>
    </cfRule>
    <cfRule type="expression" dxfId="1297" priority="1893">
      <formula>$H702="SUBETAPA"</formula>
    </cfRule>
    <cfRule type="expression" dxfId="1296" priority="1892">
      <formula>$H702="ETAPA"</formula>
    </cfRule>
    <cfRule type="expression" dxfId="1295" priority="1891">
      <formula>$H702="SUBETAPA"</formula>
    </cfRule>
    <cfRule type="expression" dxfId="1294" priority="1890">
      <formula>$H702="ETAPA"</formula>
    </cfRule>
    <cfRule type="expression" dxfId="1293" priority="1896">
      <formula>$H702="CÉLULA CONSTRUTIVA"</formula>
    </cfRule>
    <cfRule type="expression" dxfId="1292" priority="1895">
      <formula>$H702="SUBETAPA"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4">
      <formula>$H704="SUBETAPA"</formula>
    </cfRule>
    <cfRule type="expression" dxfId="1287" priority="1885">
      <formula>$H704="CÉLULA CONSTRUTIVA"</formula>
    </cfRule>
    <cfRule type="expression" dxfId="1286" priority="1886">
      <formula>$H704="ETAPA"</formula>
    </cfRule>
  </conditionalFormatting>
  <conditionalFormatting sqref="O715 O717 O707:O713">
    <cfRule type="expression" dxfId="1285" priority="1882">
      <formula>$H707="CÉLULA CONSTRUTIVA"</formula>
    </cfRule>
    <cfRule type="expression" dxfId="1284" priority="1883">
      <formula>$H707="ETAPA"</formula>
    </cfRule>
    <cfRule type="expression" dxfId="1283" priority="1881">
      <formula>$H707="SUBETAPA"</formula>
    </cfRule>
  </conditionalFormatting>
  <conditionalFormatting sqref="O719:O720">
    <cfRule type="expression" dxfId="1282" priority="1880">
      <formula>$H719="ETAPA"</formula>
    </cfRule>
    <cfRule type="expression" dxfId="1281" priority="1878">
      <formula>$H719="SUBETAPA"</formula>
    </cfRule>
    <cfRule type="expression" dxfId="1280" priority="1879">
      <formula>$H719="CÉLULA CONSTRUTIVA"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4">
      <formula>$H727="ETAPA"</formula>
    </cfRule>
    <cfRule type="expression" dxfId="1275" priority="1872">
      <formula>$H727="SUBETAPA"</formula>
    </cfRule>
    <cfRule type="expression" dxfId="1274" priority="1873">
      <formula>$H727="CÉLULA CONSTRUTIVA"</formula>
    </cfRule>
  </conditionalFormatting>
  <conditionalFormatting sqref="O728 O730 O732 O722:O723 O726">
    <cfRule type="expression" dxfId="1273" priority="1869">
      <formula>$H722="SUBETAPA"</formula>
    </cfRule>
    <cfRule type="expression" dxfId="1272" priority="1871">
      <formula>$H722="ETAPA"</formula>
    </cfRule>
    <cfRule type="expression" dxfId="1271" priority="1870">
      <formula>$H722="CÉLULA CONSTRUTIVA"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5">
      <formula>$H739="ETAPA"</formula>
    </cfRule>
    <cfRule type="expression" dxfId="1266" priority="1864">
      <formula>$H739="CÉLULA CONSTRUTIVA"</formula>
    </cfRule>
    <cfRule type="expression" dxfId="1265" priority="1863">
      <formula>$H739="SUBETAPA"</formula>
    </cfRule>
  </conditionalFormatting>
  <conditionalFormatting sqref="O742">
    <cfRule type="expression" dxfId="1264" priority="1862">
      <formula>$H742="ETAPA"</formula>
    </cfRule>
    <cfRule type="expression" dxfId="1263" priority="1861">
      <formula>$H742="CÉLULA CONSTRUTIVA"</formula>
    </cfRule>
    <cfRule type="expression" dxfId="1262" priority="1860">
      <formula>$H742="SUBETAPA"</formula>
    </cfRule>
  </conditionalFormatting>
  <conditionalFormatting sqref="O745 O747 O737:O738 O743 O741">
    <cfRule type="expression" dxfId="1261" priority="1859">
      <formula>$H737="ETAPA"</formula>
    </cfRule>
    <cfRule type="expression" dxfId="1260" priority="1857">
      <formula>$H737="SUBETAPA"</formula>
    </cfRule>
    <cfRule type="expression" dxfId="1259" priority="1858">
      <formula>$H737="CÉLULA CONSTRUTIVA"</formula>
    </cfRule>
  </conditionalFormatting>
  <conditionalFormatting sqref="O749:O750">
    <cfRule type="expression" dxfId="1258" priority="1856">
      <formula>$H749="ETAPA"</formula>
    </cfRule>
    <cfRule type="expression" dxfId="1257" priority="1855">
      <formula>$H749="CÉLULA CONSTRUTIVA"</formula>
    </cfRule>
    <cfRule type="expression" dxfId="1256" priority="1854">
      <formula>$H749="SUBETAPA"</formula>
    </cfRule>
  </conditionalFormatting>
  <conditionalFormatting sqref="O754:O755">
    <cfRule type="expression" dxfId="1255" priority="1853">
      <formula>$H754="ETAPA"</formula>
    </cfRule>
    <cfRule type="expression" dxfId="1254" priority="1852">
      <formula>$H754="CÉLULA CONSTRUTIVA"</formula>
    </cfRule>
    <cfRule type="expression" dxfId="1253" priority="1851">
      <formula>$H754="SUBETAPA"</formula>
    </cfRule>
  </conditionalFormatting>
  <conditionalFormatting sqref="O757">
    <cfRule type="expression" dxfId="1252" priority="1850">
      <formula>$H757="ETAPA"</formula>
    </cfRule>
    <cfRule type="expression" dxfId="1251" priority="1848">
      <formula>$H757="SUBETAPA"</formula>
    </cfRule>
    <cfRule type="expression" dxfId="1250" priority="1849">
      <formula>$H757="CÉLULA CONSTRUTIVA"</formula>
    </cfRule>
  </conditionalFormatting>
  <conditionalFormatting sqref="O758 O760 O762 O752:O753 O756">
    <cfRule type="expression" dxfId="1249" priority="1845">
      <formula>$H752="SUBETAPA"</formula>
    </cfRule>
    <cfRule type="expression" dxfId="1248" priority="1847">
      <formula>$H752="ETAPA"</formula>
    </cfRule>
    <cfRule type="expression" dxfId="1247" priority="1846">
      <formula>$H752="CÉLULA CONSTRUTIVA"</formula>
    </cfRule>
  </conditionalFormatting>
  <conditionalFormatting sqref="O764:O765">
    <cfRule type="expression" dxfId="1246" priority="1843">
      <formula>$H764="CÉLULA CONSTRUTIVA"</formula>
    </cfRule>
    <cfRule type="expression" dxfId="1245" priority="1844">
      <formula>$H764="ETAPA"</formula>
    </cfRule>
    <cfRule type="expression" dxfId="1244" priority="1842">
      <formula>$H764="SUBETAPA"</formula>
    </cfRule>
  </conditionalFormatting>
  <conditionalFormatting sqref="O769:O770">
    <cfRule type="expression" dxfId="1243" priority="1839">
      <formula>$H769="SUBETAPA"</formula>
    </cfRule>
    <cfRule type="expression" dxfId="1242" priority="1840">
      <formula>$H769="CÉLULA CONSTRUTIVA"</formula>
    </cfRule>
    <cfRule type="expression" dxfId="1241" priority="1841">
      <formula>$H769="ETAPA"</formula>
    </cfRule>
  </conditionalFormatting>
  <conditionalFormatting sqref="O772">
    <cfRule type="expression" dxfId="1240" priority="1838">
      <formula>$H772="ETAPA"</formula>
    </cfRule>
    <cfRule type="expression" dxfId="1239" priority="1837">
      <formula>$H772="CÉLULA CONSTRUTIVA"</formula>
    </cfRule>
    <cfRule type="expression" dxfId="1238" priority="1836">
      <formula>$H772="SUBETAPA"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0">
      <formula>$H779="SUBETAPA"</formula>
    </cfRule>
    <cfRule type="expression" dxfId="1233" priority="1832">
      <formula>$H779="ETAPA"</formula>
    </cfRule>
    <cfRule type="expression" dxfId="1232" priority="1831">
      <formula>$H779="CÉLULA CONSTRUTIVA"</formula>
    </cfRule>
  </conditionalFormatting>
  <conditionalFormatting sqref="O784:O785">
    <cfRule type="expression" dxfId="1231" priority="1827">
      <formula>$H784="SUBETAPA"</formula>
    </cfRule>
    <cfRule type="expression" dxfId="1230" priority="1828">
      <formula>$H784="CÉLULA CONSTRUTIVA"</formula>
    </cfRule>
    <cfRule type="expression" dxfId="1229" priority="1829">
      <formula>$H784="ETAPA"</formula>
    </cfRule>
  </conditionalFormatting>
  <conditionalFormatting sqref="O787">
    <cfRule type="expression" dxfId="1228" priority="1824">
      <formula>$H787="SUBETAPA"</formula>
    </cfRule>
    <cfRule type="expression" dxfId="1227" priority="1825">
      <formula>$H787="CÉLULA CONSTRUTIVA"</formula>
    </cfRule>
    <cfRule type="expression" dxfId="1226" priority="1826">
      <formula>$H787="ETAPA"</formula>
    </cfRule>
  </conditionalFormatting>
  <conditionalFormatting sqref="O788 O790 O792 O782:O783 O786">
    <cfRule type="expression" dxfId="1225" priority="1823">
      <formula>$H782="ETAPA"</formula>
    </cfRule>
    <cfRule type="expression" dxfId="1224" priority="1821">
      <formula>$H782="SUBETAPA"</formula>
    </cfRule>
    <cfRule type="expression" dxfId="1223" priority="1822">
      <formula>$H782="CÉLULA CONSTRUTIVA"</formula>
    </cfRule>
  </conditionalFormatting>
  <conditionalFormatting sqref="O794:O795">
    <cfRule type="expression" dxfId="1222" priority="1819">
      <formula>$H794="CÉLULA CONSTRUTIVA"</formula>
    </cfRule>
    <cfRule type="expression" dxfId="1221" priority="1820">
      <formula>$H794="ETAPA"</formula>
    </cfRule>
    <cfRule type="expression" dxfId="1220" priority="1818">
      <formula>$H794="SUBETAPA"</formula>
    </cfRule>
  </conditionalFormatting>
  <conditionalFormatting sqref="O799:O800">
    <cfRule type="expression" dxfId="1219" priority="1816">
      <formula>$H799="CÉLULA CONSTRUTIVA"</formula>
    </cfRule>
    <cfRule type="expression" dxfId="1218" priority="1817">
      <formula>$H799="ETAPA"</formula>
    </cfRule>
    <cfRule type="expression" dxfId="1217" priority="1815">
      <formula>$H799="SUBETAPA"</formula>
    </cfRule>
  </conditionalFormatting>
  <conditionalFormatting sqref="O802">
    <cfRule type="expression" dxfId="1216" priority="1814">
      <formula>$H802="ETAPA"</formula>
    </cfRule>
    <cfRule type="expression" dxfId="1215" priority="1813">
      <formula>$H802="CÉLULA CONSTRUTIVA"</formula>
    </cfRule>
    <cfRule type="expression" dxfId="1214" priority="1812">
      <formula>$H802="SUBETAPA"</formula>
    </cfRule>
  </conditionalFormatting>
  <conditionalFormatting sqref="O805 O807 O797:O798 O803 O801">
    <cfRule type="expression" dxfId="1213" priority="1811">
      <formula>$H797="ETAPA"</formula>
    </cfRule>
    <cfRule type="expression" dxfId="1212" priority="1810">
      <formula>$H797="CÉLULA CONSTRUTIVA"</formula>
    </cfRule>
    <cfRule type="expression" dxfId="1211" priority="1809">
      <formula>$H797="SUBETAPA"</formula>
    </cfRule>
  </conditionalFormatting>
  <conditionalFormatting sqref="O809:O810">
    <cfRule type="expression" dxfId="1210" priority="1807">
      <formula>$H809="CÉLULA CONSTRUTIVA"</formula>
    </cfRule>
    <cfRule type="expression" dxfId="1209" priority="1806">
      <formula>$H809="SUBETAPA"</formula>
    </cfRule>
    <cfRule type="expression" dxfId="1208" priority="1808">
      <formula>$H809="ETAPA"</formula>
    </cfRule>
  </conditionalFormatting>
  <conditionalFormatting sqref="O814:O815">
    <cfRule type="expression" dxfId="1207" priority="1805">
      <formula>$H814="ETAPA"</formula>
    </cfRule>
    <cfRule type="expression" dxfId="1206" priority="1804">
      <formula>$H814="CÉLULA CONSTRUTIVA"</formula>
    </cfRule>
    <cfRule type="expression" dxfId="1205" priority="1803">
      <formula>$H814="SUBETAPA"</formula>
    </cfRule>
  </conditionalFormatting>
  <conditionalFormatting sqref="O817">
    <cfRule type="expression" dxfId="1204" priority="1802">
      <formula>$H817="ETAPA"</formula>
    </cfRule>
    <cfRule type="expression" dxfId="1203" priority="1801">
      <formula>$H817="CÉLULA CONSTRUTIVA"</formula>
    </cfRule>
    <cfRule type="expression" dxfId="1202" priority="1800">
      <formula>$H817="SUBETAPA"</formula>
    </cfRule>
  </conditionalFormatting>
  <conditionalFormatting sqref="O820 O822 O812:O813 O818 O816">
    <cfRule type="expression" dxfId="1201" priority="1798">
      <formula>$H812="CÉLULA CONSTRUTIVA"</formula>
    </cfRule>
    <cfRule type="expression" dxfId="1200" priority="1799">
      <formula>$H812="ETAPA"</formula>
    </cfRule>
    <cfRule type="expression" dxfId="1199" priority="1797">
      <formula>$H812="SUBETAPA"</formula>
    </cfRule>
  </conditionalFormatting>
  <conditionalFormatting sqref="O824:O825">
    <cfRule type="expression" dxfId="1198" priority="1796">
      <formula>$H824="ETAPA"</formula>
    </cfRule>
    <cfRule type="expression" dxfId="1197" priority="1795">
      <formula>$H824="CÉLULA CONSTRUTIVA"</formula>
    </cfRule>
    <cfRule type="expression" dxfId="1196" priority="1794">
      <formula>$H824="SUBETAPA"</formula>
    </cfRule>
  </conditionalFormatting>
  <conditionalFormatting sqref="O829:O830">
    <cfRule type="expression" dxfId="1195" priority="1793">
      <formula>$H829="ETAPA"</formula>
    </cfRule>
    <cfRule type="expression" dxfId="1194" priority="1792">
      <formula>$H829="CÉLULA CONSTRUTIVA"</formula>
    </cfRule>
    <cfRule type="expression" dxfId="1193" priority="1791">
      <formula>$H829="SUBETAPA"</formula>
    </cfRule>
  </conditionalFormatting>
  <conditionalFormatting sqref="O832">
    <cfRule type="expression" dxfId="1192" priority="1790">
      <formula>$H832="ETAPA"</formula>
    </cfRule>
    <cfRule type="expression" dxfId="1191" priority="1789">
      <formula>$H832="CÉLULA CONSTRUTIVA"</formula>
    </cfRule>
    <cfRule type="expression" dxfId="1190" priority="1788">
      <formula>$H832="SUBETAPA"</formula>
    </cfRule>
  </conditionalFormatting>
  <conditionalFormatting sqref="O833 O835 O837 O827:O828 O831">
    <cfRule type="expression" dxfId="1189" priority="1785">
      <formula>$H827="SUBETAPA"</formula>
    </cfRule>
    <cfRule type="expression" dxfId="1188" priority="1787">
      <formula>$H827="ETAPA"</formula>
    </cfRule>
    <cfRule type="expression" dxfId="1187" priority="1786">
      <formula>$H827="CÉLULA CONSTRUTIVA"</formula>
    </cfRule>
  </conditionalFormatting>
  <conditionalFormatting sqref="O839:O840">
    <cfRule type="expression" dxfId="1186" priority="1784">
      <formula>$H839="ETAPA"</formula>
    </cfRule>
    <cfRule type="expression" dxfId="1185" priority="1783">
      <formula>$H839="CÉLULA CONSTRUTIVA"</formula>
    </cfRule>
    <cfRule type="expression" dxfId="1184" priority="1782">
      <formula>$H839="SUBETAPA"</formula>
    </cfRule>
  </conditionalFormatting>
  <conditionalFormatting sqref="O844:O845">
    <cfRule type="expression" dxfId="1183" priority="1780">
      <formula>$H844="CÉLULA CONSTRUTIVA"</formula>
    </cfRule>
    <cfRule type="expression" dxfId="1182" priority="1779">
      <formula>$H844="SUBETAPA"</formula>
    </cfRule>
    <cfRule type="expression" dxfId="1181" priority="1781">
      <formula>$H844="ETAPA"</formula>
    </cfRule>
  </conditionalFormatting>
  <conditionalFormatting sqref="O847">
    <cfRule type="expression" dxfId="1180" priority="1778">
      <formula>$H847="ETAPA"</formula>
    </cfRule>
    <cfRule type="expression" dxfId="1179" priority="1777">
      <formula>$H847="CÉLULA CONSTRUTIVA"</formula>
    </cfRule>
    <cfRule type="expression" dxfId="1178" priority="1776">
      <formula>$H847="SUBETAPA"</formula>
    </cfRule>
  </conditionalFormatting>
  <conditionalFormatting sqref="O850 O852 O842:O843 O848 O846">
    <cfRule type="expression" dxfId="1177" priority="1775">
      <formula>$H842="ETAPA"</formula>
    </cfRule>
    <cfRule type="expression" dxfId="1176" priority="1774">
      <formula>$H842="CÉLULA CONSTRUTIVA"</formula>
    </cfRule>
    <cfRule type="expression" dxfId="1175" priority="1773">
      <formula>$H842="SUBETAPA"</formula>
    </cfRule>
  </conditionalFormatting>
  <conditionalFormatting sqref="O854:O855">
    <cfRule type="expression" dxfId="1174" priority="1772">
      <formula>$H854="ETAPA"</formula>
    </cfRule>
    <cfRule type="expression" dxfId="1173" priority="1771">
      <formula>$H854="CÉLULA CONSTRUTIVA"</formula>
    </cfRule>
    <cfRule type="expression" dxfId="1172" priority="1770">
      <formula>$H854="SUBETAPA"</formula>
    </cfRule>
  </conditionalFormatting>
  <conditionalFormatting sqref="O859:O860">
    <cfRule type="expression" dxfId="1171" priority="1769">
      <formula>$H859="ETAPA"</formula>
    </cfRule>
    <cfRule type="expression" dxfId="1170" priority="1768">
      <formula>$H859="CÉLULA CONSTRUTIVA"</formula>
    </cfRule>
    <cfRule type="expression" dxfId="1169" priority="1767">
      <formula>$H859="SUBETAPA"</formula>
    </cfRule>
  </conditionalFormatting>
  <conditionalFormatting sqref="O862">
    <cfRule type="expression" dxfId="1168" priority="1766">
      <formula>$H862="ETAPA"</formula>
    </cfRule>
    <cfRule type="expression" dxfId="1167" priority="1765">
      <formula>$H862="CÉLULA CONSTRUTIVA"</formula>
    </cfRule>
    <cfRule type="expression" dxfId="1166" priority="1764">
      <formula>$H862="SUBETAPA"</formula>
    </cfRule>
  </conditionalFormatting>
  <conditionalFormatting sqref="O863 O865 O867 O857:O858 O861">
    <cfRule type="expression" dxfId="1165" priority="1763">
      <formula>$H857="ETAPA"</formula>
    </cfRule>
    <cfRule type="expression" dxfId="1164" priority="1762">
      <formula>$H857="CÉLULA CONSTRUTIVA"</formula>
    </cfRule>
    <cfRule type="expression" dxfId="1163" priority="1761">
      <formula>$H857="SUBETAPA"</formula>
    </cfRule>
  </conditionalFormatting>
  <conditionalFormatting sqref="O869:O870">
    <cfRule type="expression" dxfId="1162" priority="1759">
      <formula>$H869="CÉLULA CONSTRUTIVA"</formula>
    </cfRule>
    <cfRule type="expression" dxfId="1161" priority="1760">
      <formula>$H869="ETAPA"</formula>
    </cfRule>
    <cfRule type="expression" dxfId="1160" priority="1758">
      <formula>$H869="SUBETAPA"</formula>
    </cfRule>
  </conditionalFormatting>
  <conditionalFormatting sqref="O874:O875">
    <cfRule type="expression" dxfId="1159" priority="1755">
      <formula>$H874="SUBETAPA"</formula>
    </cfRule>
    <cfRule type="expression" dxfId="1158" priority="1756">
      <formula>$H874="CÉLULA CONSTRUTIVA"</formula>
    </cfRule>
    <cfRule type="expression" dxfId="1157" priority="1757">
      <formula>$H874="ETAPA"</formula>
    </cfRule>
  </conditionalFormatting>
  <conditionalFormatting sqref="O877">
    <cfRule type="expression" dxfId="1156" priority="1753">
      <formula>$H877="CÉLULA CONSTRUTIVA"</formula>
    </cfRule>
    <cfRule type="expression" dxfId="1155" priority="1754">
      <formula>$H877="ETAPA"</formula>
    </cfRule>
    <cfRule type="expression" dxfId="1154" priority="1752">
      <formula>$H877="SUBETAPA"</formula>
    </cfRule>
  </conditionalFormatting>
  <conditionalFormatting sqref="O880 O882 O872:O873 O878 O876">
    <cfRule type="expression" dxfId="1153" priority="1751">
      <formula>$H872="ETAPA"</formula>
    </cfRule>
    <cfRule type="expression" dxfId="1152" priority="1750">
      <formula>$H872="CÉLULA CONSTRUTIVA"</formula>
    </cfRule>
    <cfRule type="expression" dxfId="1151" priority="1749">
      <formula>$H872="SUBETAPA"</formula>
    </cfRule>
  </conditionalFormatting>
  <conditionalFormatting sqref="O884:O885">
    <cfRule type="expression" dxfId="1150" priority="1746">
      <formula>$H884="SUBETAPA"</formula>
    </cfRule>
    <cfRule type="expression" dxfId="1149" priority="1747">
      <formula>$H884="CÉLULA CONSTRUTIVA"</formula>
    </cfRule>
    <cfRule type="expression" dxfId="1148" priority="1748">
      <formula>$H884="ETAPA"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0">
      <formula>$H892="SUBETAPA"</formula>
    </cfRule>
    <cfRule type="expression" dxfId="1143" priority="1741">
      <formula>$H892="CÉLULA CONSTRUTIVA"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6">
      <formula>$H899="ETAPA"</formula>
    </cfRule>
    <cfRule type="expression" dxfId="1137" priority="1735">
      <formula>$H899="CÉLULA CONSTRUTIVA"</formula>
    </cfRule>
    <cfRule type="expression" dxfId="1136" priority="1734">
      <formula>$H899="SUBETAPA"</formula>
    </cfRule>
  </conditionalFormatting>
  <conditionalFormatting sqref="O904:O905">
    <cfRule type="expression" dxfId="1135" priority="1733">
      <formula>$H904="ETAPA"</formula>
    </cfRule>
    <cfRule type="expression" dxfId="1134" priority="1732">
      <formula>$H904="CÉLULA CONSTRUTIVA"</formula>
    </cfRule>
    <cfRule type="expression" dxfId="1133" priority="1731">
      <formula>$H904="SUBETAPA"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19">
      <formula>$H999="CÉLULA CONSTRUTIVA"</formula>
    </cfRule>
    <cfRule type="expression" dxfId="1122" priority="1720">
      <formula>$H999="ETAPA"</formula>
    </cfRule>
    <cfRule type="expression" dxfId="1121" priority="1721">
      <formula>$H999="SUBETAPA"</formula>
    </cfRule>
  </conditionalFormatting>
  <conditionalFormatting sqref="O1000:O1001">
    <cfRule type="expression" dxfId="1120" priority="1718">
      <formula>$H1000="ETAPA"</formula>
    </cfRule>
    <cfRule type="expression" dxfId="1119" priority="1717">
      <formula>$H1000="CÉLULA CONSTRUTIVA"</formula>
    </cfRule>
    <cfRule type="expression" dxfId="1118" priority="1716">
      <formula>$H1000="SUBETAPA"</formula>
    </cfRule>
  </conditionalFormatting>
  <conditionalFormatting sqref="O1005:O1006">
    <cfRule type="expression" dxfId="1117" priority="1714">
      <formula>$H1005="SUBETAPA"</formula>
    </cfRule>
    <cfRule type="expression" dxfId="1116" priority="1713">
      <formula>$H1005="ETAPA"</formula>
    </cfRule>
    <cfRule type="expression" dxfId="1115" priority="1712">
      <formula>$H1005="SUBETAPA"</formula>
    </cfRule>
    <cfRule type="expression" dxfId="1114" priority="1711">
      <formula>$H1005="ETAPA"</formula>
    </cfRule>
    <cfRule type="expression" dxfId="1113" priority="1710">
      <formula>$H1005="SUBETAPA"</formula>
    </cfRule>
    <cfRule type="expression" dxfId="1112" priority="1709">
      <formula>$H1005="ETAPA"</formula>
    </cfRule>
    <cfRule type="expression" dxfId="1111" priority="1715">
      <formula>$H1005="CÉLULA CONSTRUTIVA"</formula>
    </cfRule>
  </conditionalFormatting>
  <conditionalFormatting sqref="O1009">
    <cfRule type="expression" dxfId="1110" priority="1707">
      <formula>$H1009="SUBETAPA"</formula>
    </cfRule>
    <cfRule type="expression" dxfId="1109" priority="1708">
      <formula>$H1009="CÉLULA CONSTRUTIVA"</formula>
    </cfRule>
    <cfRule type="expression" dxfId="1108" priority="1702">
      <formula>$H1009="ETAPA"</formula>
    </cfRule>
    <cfRule type="expression" dxfId="1107" priority="1703">
      <formula>$H1009="SUBETAPA"</formula>
    </cfRule>
    <cfRule type="expression" dxfId="1106" priority="1704">
      <formula>$H1009="ETAPA"</formula>
    </cfRule>
    <cfRule type="expression" dxfId="1105" priority="1705">
      <formula>$H1009="SUBETAPA"</formula>
    </cfRule>
    <cfRule type="expression" dxfId="1104" priority="1706">
      <formula>$H1009="ETAPA"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8">
      <formula>$H1012="ETAPA"</formula>
    </cfRule>
    <cfRule type="expression" dxfId="1100" priority="1697">
      <formula>$H1012="CÉLULA CONSTRUTIVA"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5">
      <formula>$H1015="CÉLULA CONSTRUTIVA"</formula>
    </cfRule>
    <cfRule type="expression" dxfId="1096" priority="1689">
      <formula>$H1015="ETAPA"</formula>
    </cfRule>
    <cfRule type="expression" dxfId="1095" priority="1690">
      <formula>$H1015="SUBETAPA"</formula>
    </cfRule>
    <cfRule type="expression" dxfId="1094" priority="1691">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8">
      <formula>$H1013="CÉLULA CONSTRUTIVA"</formula>
    </cfRule>
    <cfRule type="expression" dxfId="1089" priority="1687">
      <formula>$H1013="SUBETAPA"</formula>
    </cfRule>
  </conditionalFormatting>
  <conditionalFormatting sqref="O1019">
    <cfRule type="expression" dxfId="1088" priority="1686">
      <formula>$H1019="ETAPA"</formula>
    </cfRule>
    <cfRule type="expression" dxfId="1087" priority="1685">
      <formula>$H1019="CÉLULA CONSTRUTIVA"</formula>
    </cfRule>
    <cfRule type="expression" dxfId="1086" priority="1684">
      <formula>$H1019="SUBETAPA"</formula>
    </cfRule>
  </conditionalFormatting>
  <conditionalFormatting sqref="O1020">
    <cfRule type="expression" dxfId="1085" priority="1682">
      <formula>$H1020="SUBETAPA"</formula>
    </cfRule>
    <cfRule type="expression" dxfId="1084" priority="1681">
      <formula>$H1020="ETAPA"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4">
      <formula>$H1021="ETAPA"</formula>
    </cfRule>
    <cfRule type="expression" dxfId="1080" priority="1675">
      <formula>$H1021="SUBETAPA"</formula>
    </cfRule>
    <cfRule type="expression" dxfId="1079" priority="1676">
      <formula>$H1021="ETAPA"</formula>
    </cfRule>
    <cfRule type="expression" dxfId="1078" priority="1677">
      <formula>$H1021="SUBETAPA"</formula>
    </cfRule>
    <cfRule type="expression" dxfId="1077" priority="1678">
      <formula>$H1021="ETAPA"</formula>
    </cfRule>
    <cfRule type="expression" dxfId="1076" priority="1679">
      <formula>$H1021="SUBETAPA"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4">
      <formula>$H1029="SUBETAPA"</formula>
    </cfRule>
    <cfRule type="expression" dxfId="1070" priority="1665">
      <formula>$H1029="ETAPA"</formula>
    </cfRule>
    <cfRule type="expression" dxfId="1069" priority="1666">
      <formula>$H1029="SUBETAPA"</formula>
    </cfRule>
    <cfRule type="expression" dxfId="1068" priority="1667">
      <formula>$H1029="ETAPA"</formula>
    </cfRule>
    <cfRule type="expression" dxfId="1067" priority="1668">
      <formula>$H1029="SUBETAPA"</formula>
    </cfRule>
    <cfRule type="expression" dxfId="1066" priority="1669">
      <formula>$H1029="CÉLULA CONSTRUTIVA"</formula>
    </cfRule>
    <cfRule type="expression" dxfId="1065" priority="1663">
      <formula>$H1029="ETAPA"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60">
      <formula>$H1033="ETAPA"</formula>
    </cfRule>
    <cfRule type="expression" dxfId="1061" priority="1659">
      <formula>$H1033="CÉLULA CONSTRUTIVA"</formula>
    </cfRule>
    <cfRule type="expression" dxfId="1060" priority="1658">
      <formula>$H1033="SUBETAPA"</formula>
    </cfRule>
  </conditionalFormatting>
  <conditionalFormatting sqref="O1034">
    <cfRule type="expression" dxfId="1059" priority="1657">
      <formula>$H1034="CÉLULA CONSTRUTIVA"</formula>
    </cfRule>
    <cfRule type="expression" dxfId="1058" priority="1656">
      <formula>$H1034="SUBETAPA"</formula>
    </cfRule>
    <cfRule type="expression" dxfId="1057" priority="1655">
      <formula>$H1034="ETAPA"</formula>
    </cfRule>
  </conditionalFormatting>
  <conditionalFormatting sqref="O1035">
    <cfRule type="expression" dxfId="1056" priority="1653">
      <formula>$H1035="SUBETAPA"</formula>
    </cfRule>
    <cfRule type="expression" dxfId="1055" priority="1652">
      <formula>$H1035="ETAPA"</formula>
    </cfRule>
    <cfRule type="expression" dxfId="1054" priority="1651">
      <formula>$H1035="SUBETAPA"</formula>
    </cfRule>
    <cfRule type="expression" dxfId="1053" priority="1650">
      <formula>$H1035="ETAPA"</formula>
    </cfRule>
    <cfRule type="expression" dxfId="1052" priority="1649">
      <formula>$H1035="SUBETAPA"</formula>
    </cfRule>
    <cfRule type="expression" dxfId="1051" priority="1648">
      <formula>$H1035="ETAPA"</formula>
    </cfRule>
    <cfRule type="expression" dxfId="1050" priority="1654">
      <formula>$H1035="CÉLULA CONSTRUTIVA"</formula>
    </cfRule>
  </conditionalFormatting>
  <conditionalFormatting sqref="O1036:O1040">
    <cfRule type="expression" dxfId="1049" priority="1647">
      <formula>$H1036="ETAPA"</formula>
    </cfRule>
    <cfRule type="expression" dxfId="1048" priority="1645">
      <formula>$H1036="SUBETAPA"</formula>
    </cfRule>
    <cfRule type="expression" dxfId="1047" priority="1646">
      <formula>$H1036="CÉLULA CONSTRUTIVA"</formula>
    </cfRule>
  </conditionalFormatting>
  <conditionalFormatting sqref="O1041:O1042 O1045">
    <cfRule type="expression" dxfId="1046" priority="1644">
      <formula>$H1041="ETAPA"</formula>
    </cfRule>
  </conditionalFormatting>
  <conditionalFormatting sqref="O1043:O1044">
    <cfRule type="expression" dxfId="1045" priority="1642">
      <formula>$H1043="SUBETAPA"</formula>
    </cfRule>
    <cfRule type="expression" dxfId="1044" priority="1643">
      <formula>$H1043="CÉLULA CONSTRUTIVA"</formula>
    </cfRule>
    <cfRule type="expression" dxfId="1043" priority="1641">
      <formula>$H1043="ETAPA"</formula>
    </cfRule>
    <cfRule type="expression" dxfId="1042" priority="1640">
      <formula>$H1043="SUBETAPA"</formula>
    </cfRule>
    <cfRule type="expression" dxfId="1041" priority="1639">
      <formula>$H1043="ETAPA"</formula>
    </cfRule>
    <cfRule type="expression" dxfId="1040" priority="1638">
      <formula>$H1043="SUBETAPA"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30">
      <formula>$H1048="SUBETAPA"</formula>
    </cfRule>
    <cfRule type="expression" dxfId="1031" priority="1629">
      <formula>$H1048="ETAPA"</formula>
    </cfRule>
  </conditionalFormatting>
  <conditionalFormatting sqref="O1049">
    <cfRule type="expression" dxfId="1030" priority="1628">
      <formula>$H1049="CÉLULA CONSTRUTIVA"</formula>
    </cfRule>
    <cfRule type="expression" dxfId="1029" priority="1627">
      <formula>$H1049="SUBETAPA"</formula>
    </cfRule>
    <cfRule type="expression" dxfId="1028" priority="1626">
      <formula>$H1049="ETAPA"</formula>
    </cfRule>
    <cfRule type="expression" dxfId="1027" priority="1625">
      <formula>$H1049="SUBETAPA"</formula>
    </cfRule>
    <cfRule type="expression" dxfId="1026" priority="1624">
      <formula>$H1049="ETAPA"</formula>
    </cfRule>
    <cfRule type="expression" dxfId="1025" priority="1623">
      <formula>$H1049="SUBETAPA"</formula>
    </cfRule>
    <cfRule type="expression" dxfId="1024" priority="1622">
      <formula>$H1049="ETAPA"</formula>
    </cfRule>
  </conditionalFormatting>
  <conditionalFormatting sqref="O1050:O1054">
    <cfRule type="expression" dxfId="1023" priority="1620">
      <formula>$H1050="CÉLULA CONSTRUTIVA"</formula>
    </cfRule>
    <cfRule type="expression" dxfId="1022" priority="1621">
      <formula>$H1050="ETAPA"</formula>
    </cfRule>
    <cfRule type="expression" dxfId="1021" priority="1619">
      <formula>$H1050="SUBETAPA"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5">
      <formula>$H1057="ETAPA"</formula>
    </cfRule>
    <cfRule type="expression" dxfId="1016" priority="1613">
      <formula>$H1057="ETAPA"</formula>
    </cfRule>
    <cfRule type="expression" dxfId="1015" priority="1611">
      <formula>$H1057="ETAPA"</formula>
    </cfRule>
    <cfRule type="expression" dxfId="1014" priority="1612">
      <formula>$H1057="SUBETAPA"</formula>
    </cfRule>
    <cfRule type="expression" dxfId="1013" priority="1614">
      <formula>$H1057="SUBETAPA"</formula>
    </cfRule>
  </conditionalFormatting>
  <conditionalFormatting sqref="O1059 O1055:O1056">
    <cfRule type="expression" dxfId="1012" priority="1609">
      <formula>$H1055="SUBETAPA"</formula>
    </cfRule>
    <cfRule type="expression" dxfId="1011" priority="1610">
      <formula>$H1055="CÉLULA CONSTRUTIVA"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602">
      <formula>$H1063="CÉLULA CONSTRUTIVA"</formula>
    </cfRule>
    <cfRule type="expression" dxfId="1003" priority="1600">
      <formula>$H1063="ETAPA"</formula>
    </cfRule>
    <cfRule type="expression" dxfId="1002" priority="1596">
      <formula>$H1063="ETAPA"</formula>
    </cfRule>
    <cfRule type="expression" dxfId="1001" priority="1597">
      <formula>$H1063="SUBETAPA"</formula>
    </cfRule>
    <cfRule type="expression" dxfId="1000" priority="1598">
      <formula>$H1063="ETAPA"</formula>
    </cfRule>
    <cfRule type="expression" dxfId="999" priority="1599">
      <formula>$H1063="SUBETAPA"</formula>
    </cfRule>
    <cfRule type="expression" dxfId="998" priority="1601">
      <formula>$H1063="SUBETAPA"</formula>
    </cfRule>
  </conditionalFormatting>
  <conditionalFormatting sqref="O1064:O1068">
    <cfRule type="expression" dxfId="997" priority="1594">
      <formula>$H1064="CÉLULA CONSTRUTIVA"</formula>
    </cfRule>
    <cfRule type="expression" dxfId="996" priority="1593">
      <formula>$H1064="SUBETAPA"</formula>
    </cfRule>
    <cfRule type="expression" dxfId="995" priority="1595">
      <formula>$H1064="ETAPA"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8">
      <formula>$H1071="SUBETAPA"</formula>
    </cfRule>
    <cfRule type="expression" dxfId="991" priority="1589">
      <formula>$H1071="ETAPA"</formula>
    </cfRule>
    <cfRule type="expression" dxfId="990" priority="1590">
      <formula>$H1071="SUBETAPA"</formula>
    </cfRule>
    <cfRule type="expression" dxfId="989" priority="1591">
      <formula>$H1071="CÉLULA CONSTRUTIVA"</formula>
    </cfRule>
    <cfRule type="expression" dxfId="988" priority="1586">
      <formula>$H1071="SUBETAPA"</formula>
    </cfRule>
    <cfRule type="expression" dxfId="987" priority="1585">
      <formula>$H1071="ETAPA"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2">
      <formula>$H1075="ETAPA"</formula>
    </cfRule>
    <cfRule type="expression" dxfId="983" priority="1581">
      <formula>$H1075="CÉLULA CONSTRUTIVA"</formula>
    </cfRule>
    <cfRule type="expression" dxfId="982" priority="1580">
      <formula>$H1075="SUBETAPA"</formula>
    </cfRule>
  </conditionalFormatting>
  <conditionalFormatting sqref="O1076">
    <cfRule type="expression" dxfId="981" priority="1579">
      <formula>$H1076="CÉLULA CONSTRUTIVA"</formula>
    </cfRule>
    <cfRule type="expression" dxfId="980" priority="1578">
      <formula>$H1076="SUBETAPA"</formula>
    </cfRule>
    <cfRule type="expression" dxfId="979" priority="1577">
      <formula>$H1076="ETAPA"</formula>
    </cfRule>
  </conditionalFormatting>
  <conditionalFormatting sqref="O1077">
    <cfRule type="expression" dxfId="978" priority="1576">
      <formula>$H1077="CÉLULA CONSTRUTIVA"</formula>
    </cfRule>
    <cfRule type="expression" dxfId="977" priority="1575">
      <formula>$H1077="SUBETAPA"</formula>
    </cfRule>
    <cfRule type="expression" dxfId="976" priority="1574">
      <formula>$H1077="ETAPA"</formula>
    </cfRule>
    <cfRule type="expression" dxfId="975" priority="1573">
      <formula>$H1077="SUBETAPA"</formula>
    </cfRule>
    <cfRule type="expression" dxfId="974" priority="1572">
      <formula>$H1077="ETAPA"</formula>
    </cfRule>
    <cfRule type="expression" dxfId="973" priority="1571">
      <formula>$H1077="SUBETAPA"</formula>
    </cfRule>
    <cfRule type="expression" dxfId="972" priority="1570">
      <formula>$H1077="ETAPA"</formula>
    </cfRule>
  </conditionalFormatting>
  <conditionalFormatting sqref="O1078:O1082">
    <cfRule type="expression" dxfId="971" priority="1569">
      <formula>$H1078="ETAPA"</formula>
    </cfRule>
    <cfRule type="expression" dxfId="970" priority="1568">
      <formula>$H1078="CÉLULA CONSTRUTIVA"</formula>
    </cfRule>
    <cfRule type="expression" dxfId="969" priority="1567">
      <formula>$H1078="SUBETAPA"</formula>
    </cfRule>
  </conditionalFormatting>
  <conditionalFormatting sqref="O1083:O1084 O1087">
    <cfRule type="expression" dxfId="968" priority="1566">
      <formula>$H1083="ETAPA"</formula>
    </cfRule>
  </conditionalFormatting>
  <conditionalFormatting sqref="O1085:O1086">
    <cfRule type="expression" dxfId="967" priority="1565">
      <formula>$H1085="CÉLULA CONSTRUTIVA"</formula>
    </cfRule>
    <cfRule type="expression" dxfId="966" priority="1564">
      <formula>$H1085="SUBETAPA"</formula>
    </cfRule>
    <cfRule type="expression" dxfId="965" priority="1563">
      <formula>$H1085="ETAPA"</formula>
    </cfRule>
    <cfRule type="expression" dxfId="964" priority="1562">
      <formula>$H1085="SUBETAPA"</formula>
    </cfRule>
    <cfRule type="expression" dxfId="963" priority="1561">
      <formula>$H1085="ETAPA"</formula>
    </cfRule>
    <cfRule type="expression" dxfId="962" priority="1560">
      <formula>$H1085="SUBETAPA"</formula>
    </cfRule>
    <cfRule type="expression" dxfId="961" priority="1559">
      <formula>$H1085="ETAPA"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6">
      <formula>$H1089="ETAPA"</formula>
    </cfRule>
    <cfRule type="expression" dxfId="957" priority="1555">
      <formula>$H1089="CÉLULA CONSTRUTIVA"</formula>
    </cfRule>
    <cfRule type="expression" dxfId="956" priority="1554">
      <formula>$H1089="SUBETAPA"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6">
      <formula>$H1091="ETAPA"</formula>
    </cfRule>
    <cfRule type="expression" dxfId="947" priority="1545">
      <formula>$H1091="SUBETAPA"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6">
      <formula>$H1104="SUBETAPA"</formula>
    </cfRule>
    <cfRule type="expression" dxfId="928" priority="1527">
      <formula>$H1104="CÉLULA CONSTRUTIVA"</formula>
    </cfRule>
    <cfRule type="expression" dxfId="927" priority="1525">
      <formula>$H1104="ETAPA"</formula>
    </cfRule>
  </conditionalFormatting>
  <conditionalFormatting sqref="O1105">
    <cfRule type="expression" dxfId="926" priority="1519">
      <formula>$H1105="SUBETAPA"</formula>
    </cfRule>
    <cfRule type="expression" dxfId="925" priority="1520">
      <formula>$H1105="ETAPA"</formula>
    </cfRule>
    <cfRule type="expression" dxfId="924" priority="1521">
      <formula>$H1105="SUBETAPA"</formula>
    </cfRule>
    <cfRule type="expression" dxfId="923" priority="1522">
      <formula>$H1105="ETAPA"</formula>
    </cfRule>
    <cfRule type="expression" dxfId="922" priority="1523">
      <formula>$H1105="SUBETAPA"</formula>
    </cfRule>
    <cfRule type="expression" dxfId="921" priority="1524">
      <formula>$H1105="CÉLULA CONSTRUTIVA"</formula>
    </cfRule>
    <cfRule type="expression" dxfId="920" priority="1518">
      <formula>$H1105="ETAPA"</formula>
    </cfRule>
  </conditionalFormatting>
  <conditionalFormatting sqref="O1106:O1110">
    <cfRule type="expression" dxfId="919" priority="1515">
      <formula>$H1106="SUBETAPA"</formula>
    </cfRule>
    <cfRule type="expression" dxfId="918" priority="1516">
      <formula>$H1106="CÉLULA CONSTRUTIVA"</formula>
    </cfRule>
    <cfRule type="expression" dxfId="917" priority="1517">
      <formula>$H1106="ETAPA"</formula>
    </cfRule>
  </conditionalFormatting>
  <conditionalFormatting sqref="O1111:O1112 O1115">
    <cfRule type="expression" dxfId="916" priority="1514">
      <formula>$H1111="ETAPA"</formula>
    </cfRule>
  </conditionalFormatting>
  <conditionalFormatting sqref="O1113:O1114">
    <cfRule type="expression" dxfId="915" priority="1507">
      <formula>$H1113="ETAPA"</formula>
    </cfRule>
    <cfRule type="expression" dxfId="914" priority="1508">
      <formula>$H1113="SUBETAPA"</formula>
    </cfRule>
    <cfRule type="expression" dxfId="913" priority="1509">
      <formula>$H1113="ETAPA"</formula>
    </cfRule>
    <cfRule type="expression" dxfId="912" priority="1510">
      <formula>$H1113="SUBETAPA"</formula>
    </cfRule>
    <cfRule type="expression" dxfId="911" priority="1511">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5">
      <formula>$H1111="SUBETAPA"</formula>
    </cfRule>
    <cfRule type="expression" dxfId="907" priority="1506">
      <formula>$H1111="CÉLULA CONSTRUTIVA"</formula>
    </cfRule>
  </conditionalFormatting>
  <conditionalFormatting sqref="O1117">
    <cfRule type="expression" dxfId="906" priority="1503">
      <formula>$H1117="CÉLULA CONSTRUTIVA"</formula>
    </cfRule>
    <cfRule type="expression" dxfId="905" priority="1502">
      <formula>$H1117="SUBETAPA"</formula>
    </cfRule>
    <cfRule type="expression" dxfId="904" priority="1504">
      <formula>$H1117="ETAPA"</formula>
    </cfRule>
  </conditionalFormatting>
  <conditionalFormatting sqref="O1118">
    <cfRule type="expression" dxfId="903" priority="1499">
      <formula>$H1118="ETAPA"</formula>
    </cfRule>
    <cfRule type="expression" dxfId="902" priority="1500">
      <formula>$H1118="SUBETAPA"</formula>
    </cfRule>
    <cfRule type="expression" dxfId="901" priority="1501">
      <formula>$H1118="CÉLULA CONSTRUTIVA"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5">
      <formula>$H1119="SUBETAPA"</formula>
    </cfRule>
    <cfRule type="expression" dxfId="896" priority="1492">
      <formula>$H1119="ETAPA"</formula>
    </cfRule>
    <cfRule type="expression" dxfId="895" priority="1494">
      <formula>$H1119="ETAPA"</formula>
    </cfRule>
    <cfRule type="expression" dxfId="894" priority="1493">
      <formula>$H1119="SUBETAPA"</formula>
    </cfRule>
  </conditionalFormatting>
  <conditionalFormatting sqref="O1120:O1124">
    <cfRule type="expression" dxfId="893" priority="1489">
      <formula>$H1120="SUBETAPA"</formula>
    </cfRule>
    <cfRule type="expression" dxfId="892" priority="1491">
      <formula>$H1120="ETAPA"</formula>
    </cfRule>
    <cfRule type="expression" dxfId="891" priority="1490">
      <formula>$H1120="CÉLULA CONSTRUTIVA"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1">
      <formula>$H1130="SUBETAPA"</formula>
    </cfRule>
    <cfRule type="expression" dxfId="883" priority="1480">
      <formula>$H1130="ETAPA"</formula>
    </cfRule>
    <cfRule type="expression" dxfId="882" priority="1479">
      <formula>$H1130="SUBETAPA"</formula>
    </cfRule>
    <cfRule type="expression" dxfId="881" priority="1477">
      <formula>$H1130="SUBETAPA"</formula>
    </cfRule>
    <cfRule type="expression" dxfId="880" priority="1478">
      <formula>$H1130="ETAPA"</formula>
    </cfRule>
    <cfRule type="expression" dxfId="879" priority="1476">
      <formula>$H1130="ETAPA"</formula>
    </cfRule>
    <cfRule type="expression" dxfId="878" priority="1482">
      <formula>$H1130="CÉLULA CONSTRUTIVA"</formula>
    </cfRule>
  </conditionalFormatting>
  <conditionalFormatting sqref="O1133">
    <cfRule type="expression" dxfId="877" priority="1475">
      <formula>$H1133="CÉLULA CONSTRUTIVA"</formula>
    </cfRule>
    <cfRule type="expression" dxfId="876" priority="1474">
      <formula>$H1133="SUBETAPA"</formula>
    </cfRule>
    <cfRule type="expression" dxfId="875" priority="1473">
      <formula>$H1133="ETAPA"</formula>
    </cfRule>
    <cfRule type="expression" dxfId="874" priority="1472">
      <formula>$H1133="SUBETAPA"</formula>
    </cfRule>
    <cfRule type="expression" dxfId="873" priority="1471">
      <formula>$H1133="ETAPA"</formula>
    </cfRule>
    <cfRule type="expression" dxfId="872" priority="1470">
      <formula>$H1133="SUBETAPA"</formula>
    </cfRule>
    <cfRule type="expression" dxfId="871" priority="1469">
      <formula>$H1133="ETAPA"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2">
      <formula>$H1146="SUBETAPA"</formula>
    </cfRule>
    <cfRule type="expression" dxfId="865" priority="1464">
      <formula>$H1146="ETAPA"</formula>
    </cfRule>
    <cfRule type="expression" dxfId="864" priority="1463">
      <formula>$H1146="CÉLULA CONSTRUTIVA"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5">
      <formula>$H1153="SUBETAPA"</formula>
    </cfRule>
    <cfRule type="expression" dxfId="858" priority="1456">
      <formula>$H1153="CÉLULA CONSTRUTIVA"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2">
      <formula>$H1158="CÉLULA CONSTRUTIVA"</formula>
    </cfRule>
    <cfRule type="expression" dxfId="854" priority="1453">
      <formula>$H1158="ETAPA"</formula>
    </cfRule>
    <cfRule type="expression" dxfId="853" priority="1451">
      <formula>$H1158="SUBETAPA"</formula>
    </cfRule>
  </conditionalFormatting>
  <conditionalFormatting sqref="O1160:O1162">
    <cfRule type="expression" dxfId="852" priority="1449">
      <formula>$H1160="CÉLULA CONSTRUTIVA"</formula>
    </cfRule>
    <cfRule type="expression" dxfId="851" priority="1450">
      <formula>$H1160="ETAPA"</formula>
    </cfRule>
    <cfRule type="expression" dxfId="850" priority="1448">
      <formula>$H1160="SUBETAPA"</formula>
    </cfRule>
  </conditionalFormatting>
  <conditionalFormatting sqref="O1164">
    <cfRule type="expression" dxfId="849" priority="1443">
      <formula>$H1164="ETAPA"</formula>
    </cfRule>
    <cfRule type="expression" dxfId="848" priority="1441">
      <formula>$H1164="ETAPA"</formula>
    </cfRule>
    <cfRule type="expression" dxfId="847" priority="1442">
      <formula>$H1164="SUBETAPA"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7">
      <formula>$H1167="CÉLULA CONSTRUTIVA"</formula>
    </cfRule>
    <cfRule type="expression" dxfId="838" priority="1436">
      <formula>$H1167="SUBETAPA"</formula>
    </cfRule>
    <cfRule type="expression" dxfId="837" priority="1435">
      <formula>$H1167="ETAPA"</formula>
    </cfRule>
    <cfRule type="expression" dxfId="836" priority="1434">
      <formula>$H1167="SUBETAPA"</formula>
    </cfRule>
    <cfRule type="expression" dxfId="835" priority="1431">
      <formula>$H1167="ETAPA"</formula>
    </cfRule>
    <cfRule type="expression" dxfId="834" priority="1432">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7">
      <formula>$H1170="SUBETAPA"</formula>
    </cfRule>
    <cfRule type="expression" dxfId="830" priority="1428">
      <formula>$H1170="CÉLULA CONSTRUTIVA"</formula>
    </cfRule>
    <cfRule type="expression" dxfId="829" priority="1429">
      <formula>$H1170="ETAPA"</formula>
    </cfRule>
  </conditionalFormatting>
  <conditionalFormatting sqref="O1174">
    <cfRule type="expression" dxfId="828" priority="1421">
      <formula>$H1174="SUBETAPA"</formula>
    </cfRule>
    <cfRule type="expression" dxfId="827" priority="1420">
      <formula>$H1174="ETAPA"</formula>
    </cfRule>
    <cfRule type="expression" dxfId="826" priority="1423">
      <formula>$H1174="SUBETAPA"</formula>
    </cfRule>
    <cfRule type="expression" dxfId="825" priority="1424">
      <formula>$H1174="ETAPA"</formula>
    </cfRule>
    <cfRule type="expression" dxfId="824" priority="1425">
      <formula>$H1174="SUBETAPA"</formula>
    </cfRule>
    <cfRule type="expression" dxfId="823" priority="1426">
      <formula>$H1174="CÉLULA CONSTRUTIVA"</formula>
    </cfRule>
    <cfRule type="expression" dxfId="822" priority="1422">
      <formula>$H1174="ETAPA"</formula>
    </cfRule>
  </conditionalFormatting>
  <conditionalFormatting sqref="O1175:O1177">
    <cfRule type="expression" dxfId="821" priority="1419">
      <formula>$H1175="ETAPA"</formula>
    </cfRule>
    <cfRule type="expression" dxfId="820" priority="1418">
      <formula>$H1175="CÉLULA CONSTRUTIVA"</formula>
    </cfRule>
    <cfRule type="expression" dxfId="819" priority="1417">
      <formula>$H1175="SUBETAPA"</formula>
    </cfRule>
  </conditionalFormatting>
  <conditionalFormatting sqref="O1179">
    <cfRule type="expression" dxfId="818" priority="1410">
      <formula>$H1179="ETAPA"</formula>
    </cfRule>
    <cfRule type="expression" dxfId="817" priority="1416">
      <formula>$H1179="CÉLULA CONSTRUTIVA"</formula>
    </cfRule>
    <cfRule type="expression" dxfId="816" priority="1415">
      <formula>$H1179="SUBETAPA"</formula>
    </cfRule>
    <cfRule type="expression" dxfId="815" priority="1414">
      <formula>$H1179="ETAPA"</formula>
    </cfRule>
    <cfRule type="expression" dxfId="814" priority="1412">
      <formula>$H1179="ETAPA"</formula>
    </cfRule>
    <cfRule type="expression" dxfId="813" priority="1411">
      <formula>$H1179="SUBETAPA"</formula>
    </cfRule>
    <cfRule type="expression" dxfId="812" priority="1413">
      <formula>$H1179="SUBETAPA"</formula>
    </cfRule>
  </conditionalFormatting>
  <conditionalFormatting sqref="O1182">
    <cfRule type="expression" dxfId="811" priority="1408">
      <formula>$H1182="SUBETAPA"</formula>
    </cfRule>
    <cfRule type="expression" dxfId="810" priority="1407">
      <formula>$H1182="ETAPA"</formula>
    </cfRule>
    <cfRule type="expression" dxfId="809" priority="1406">
      <formula>$H1182="SUBETAPA"</formula>
    </cfRule>
    <cfRule type="expression" dxfId="808" priority="1405">
      <formula>$H1182="ETAPA"</formula>
    </cfRule>
    <cfRule type="expression" dxfId="807" priority="1404">
      <formula>$H1182="SUBETAPA"</formula>
    </cfRule>
    <cfRule type="expression" dxfId="806" priority="1403">
      <formula>$H1182="ETAPA"</formula>
    </cfRule>
    <cfRule type="expression" dxfId="805" priority="1409">
      <formula>$H1182="CÉLULA CONSTRUTIVA"</formula>
    </cfRule>
  </conditionalFormatting>
  <conditionalFormatting sqref="O1183">
    <cfRule type="expression" dxfId="804" priority="1402">
      <formula>$H1183="SUBETAPA"</formula>
    </cfRule>
    <cfRule type="expression" dxfId="803" priority="1401">
      <formula>$H1183="ETAPA"</formula>
    </cfRule>
    <cfRule type="expression" dxfId="802" priority="1400">
      <formula>$H1183="CÉLULA CONSTRUTIVA"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4">
      <formula>$H1200="CÉLULA CONSTRUTIVA"</formula>
    </cfRule>
    <cfRule type="expression" dxfId="795" priority="1393">
      <formula>$H1200="SUBETAPA"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9">
      <formula>$H1220="ETAPA"</formula>
    </cfRule>
    <cfRule type="expression" dxfId="787" priority="1388">
      <formula>$H1220="SUBETAPA"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5">
      <formula>$H1227="ETAPA"</formula>
    </cfRule>
    <cfRule type="expression" dxfId="783" priority="1384">
      <formula>$H1227="SUBETAPA"</formula>
    </cfRule>
  </conditionalFormatting>
  <conditionalFormatting sqref="O1233">
    <cfRule type="expression" dxfId="782" priority="1382">
      <formula>$H1233="ETAPA"</formula>
    </cfRule>
    <cfRule type="expression" dxfId="781" priority="1383">
      <formula>$H1233="SUBETAPA"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6">
      <formula>$H1244="ETAPA"</formula>
    </cfRule>
    <cfRule type="expression" dxfId="774" priority="1375">
      <formula>$H1244="SUBETAPA"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2">
      <formula>$H1252="ETAPA"</formula>
    </cfRule>
    <cfRule type="expression" dxfId="770" priority="1371">
      <formula>$H1252="SUBETAPA"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5">
      <formula>$H1260="CÉLULA CONSTRUTIVA"</formula>
    </cfRule>
    <cfRule type="expression" dxfId="766" priority="7624">
      <formula>$H1260="SUBETAPA"</formula>
    </cfRule>
  </conditionalFormatting>
  <conditionalFormatting sqref="O1261:O1264">
    <cfRule type="expression" dxfId="765" priority="1368">
      <formula>$H1261="SUBETAPA"</formula>
    </cfRule>
    <cfRule type="expression" dxfId="764" priority="1367">
      <formula>$H1261="ETAPA"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8">
      <formula>$H1274="SUBETAPA"</formula>
    </cfRule>
    <cfRule type="expression" dxfId="755" priority="1359">
      <formula>$H1274="ETAPA"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5">
      <formula>$H1303="ETAPA"</formula>
    </cfRule>
    <cfRule type="expression" dxfId="751" priority="1356">
      <formula>$H1303="SUBETAPA"</formula>
    </cfRule>
  </conditionalFormatting>
  <conditionalFormatting sqref="O1307:O1311">
    <cfRule type="expression" dxfId="750" priority="1353">
      <formula>$H1307="ETAPA"</formula>
    </cfRule>
    <cfRule type="expression" dxfId="749" priority="1354">
      <formula>$H1307="SUBETAPA"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1">
      <formula>$H1345="SUBETAPA"</formula>
    </cfRule>
    <cfRule type="expression" dxfId="744" priority="1350">
      <formula>$H1345="ETAPA"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89">
      <formula>$H1433="ETAPA"</formula>
    </cfRule>
    <cfRule type="expression" dxfId="725" priority="790">
      <formula>$H1433="SUBETAPA"</formula>
    </cfRule>
  </conditionalFormatting>
  <conditionalFormatting sqref="O1435">
    <cfRule type="expression" dxfId="724" priority="786">
      <formula>$H1435="SUBETAPA"</formula>
    </cfRule>
    <cfRule type="expression" dxfId="723" priority="787">
      <formula>$H1435="CÉLULA CONSTRUTIVA"</formula>
    </cfRule>
    <cfRule type="expression" dxfId="722" priority="788">
      <formula>$H1435="ETAPA"</formula>
    </cfRule>
  </conditionalFormatting>
  <conditionalFormatting sqref="O1436">
    <cfRule type="expression" dxfId="721" priority="785">
      <formula>$H1436="SUBETAPA"</formula>
    </cfRule>
  </conditionalFormatting>
  <conditionalFormatting sqref="O1437">
    <cfRule type="expression" dxfId="720" priority="782">
      <formula>$H1437="SUBETAPA"</formula>
    </cfRule>
    <cfRule type="expression" dxfId="719" priority="783">
      <formula>$H1437="CÉLULA CONSTRUTIVA"</formula>
    </cfRule>
    <cfRule type="expression" dxfId="718" priority="784">
      <formula>$H1437="ETAPA"</formula>
    </cfRule>
  </conditionalFormatting>
  <conditionalFormatting sqref="O1438">
    <cfRule type="expression" dxfId="717" priority="779">
      <formula>$H1438="SUBETAPA"</formula>
    </cfRule>
    <cfRule type="expression" dxfId="716" priority="780">
      <formula>$H1438="CÉLULA CONSTRUTIVA"</formula>
    </cfRule>
    <cfRule type="expression" dxfId="715" priority="781">
      <formula>$H1438="ETAPA"</formula>
    </cfRule>
  </conditionalFormatting>
  <conditionalFormatting sqref="O1439">
    <cfRule type="expression" dxfId="714" priority="777">
      <formula>$H1439="CÉLULA CONSTRUTIVA"</formula>
    </cfRule>
    <cfRule type="expression" dxfId="713" priority="778">
      <formula>$H1439="ETAPA"</formula>
    </cfRule>
    <cfRule type="expression" dxfId="712" priority="776">
      <formula>$H1439="SUBETAPA"</formula>
    </cfRule>
  </conditionalFormatting>
  <conditionalFormatting sqref="O1440">
    <cfRule type="expression" dxfId="711" priority="775">
      <formula>$H1440="ETAPA"</formula>
    </cfRule>
    <cfRule type="expression" dxfId="710" priority="773">
      <formula>$H1440="SUBETAPA"</formula>
    </cfRule>
    <cfRule type="expression" dxfId="709" priority="774">
      <formula>$H1440="CÉLULA CONSTRUTIVA"</formula>
    </cfRule>
  </conditionalFormatting>
  <conditionalFormatting sqref="O1441">
    <cfRule type="expression" dxfId="708" priority="770">
      <formula>$H1441="SUBETAPA"</formula>
    </cfRule>
    <cfRule type="expression" dxfId="707" priority="771">
      <formula>$H1441="CÉLULA CONSTRUTIVA"</formula>
    </cfRule>
    <cfRule type="expression" dxfId="706" priority="772">
      <formula>$H1441="ETAPA"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5">
      <formula>$H1443="CÉLULA CONSTRUTIVA"</formula>
    </cfRule>
    <cfRule type="expression" dxfId="701" priority="764">
      <formula>$H1443="SUBETAPA"</formula>
    </cfRule>
    <cfRule type="expression" dxfId="700" priority="766">
      <formula>$H1443="ETAPA"</formula>
    </cfRule>
  </conditionalFormatting>
  <conditionalFormatting sqref="O1444:O1445">
    <cfRule type="expression" dxfId="699" priority="763">
      <formula>$H1444="SUBETAPA"</formula>
    </cfRule>
    <cfRule type="expression" dxfId="698" priority="762">
      <formula>$H1444="ETAPA"</formula>
    </cfRule>
  </conditionalFormatting>
  <conditionalFormatting sqref="O1446">
    <cfRule type="expression" dxfId="697" priority="761">
      <formula>$H1446="ETAPA"</formula>
    </cfRule>
    <cfRule type="expression" dxfId="696" priority="759">
      <formula>$H1446="SUBETAPA"</formula>
    </cfRule>
    <cfRule type="expression" dxfId="695" priority="760">
      <formula>$H1446="CÉLULA CONSTRUTIVA"</formula>
    </cfRule>
  </conditionalFormatting>
  <conditionalFormatting sqref="O1447">
    <cfRule type="expression" dxfId="694" priority="758">
      <formula>$H1447="SUBETAPA"</formula>
    </cfRule>
  </conditionalFormatting>
  <conditionalFormatting sqref="O1448">
    <cfRule type="expression" dxfId="693" priority="757">
      <formula>$H1448="ETAPA"</formula>
    </cfRule>
    <cfRule type="expression" dxfId="692" priority="756">
      <formula>$H1448="CÉLULA CONSTRUTIVA"</formula>
    </cfRule>
    <cfRule type="expression" dxfId="691" priority="755">
      <formula>$H1448="SUBETAPA"</formula>
    </cfRule>
  </conditionalFormatting>
  <conditionalFormatting sqref="O1449">
    <cfRule type="expression" dxfId="690" priority="753">
      <formula>$H1449="CÉLULA CONSTRUTIVA"</formula>
    </cfRule>
    <cfRule type="expression" dxfId="689" priority="752">
      <formula>$H1449="SUBETAPA"</formula>
    </cfRule>
    <cfRule type="expression" dxfId="688" priority="754">
      <formula>$H1449="ETAPA"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6">
      <formula>$H1451="SUBETAPA"</formula>
    </cfRule>
    <cfRule type="expression" dxfId="683" priority="747">
      <formula>$H1451="CÉLULA CONSTRUTIVA"</formula>
    </cfRule>
    <cfRule type="expression" dxfId="682" priority="748">
      <formula>$H1451="ETAPA"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1">
      <formula>$H1456="SUBETAPA"</formula>
    </cfRule>
    <cfRule type="expression" dxfId="677" priority="742">
      <formula>$H1456="CÉLULA CONSTRUTIVA"</formula>
    </cfRule>
  </conditionalFormatting>
  <conditionalFormatting sqref="O1457">
    <cfRule type="expression" dxfId="676" priority="740">
      <formula>$H1457="SUBETAPA"</formula>
    </cfRule>
  </conditionalFormatting>
  <conditionalFormatting sqref="O1458">
    <cfRule type="expression" dxfId="675" priority="737">
      <formula>$H1458="SUBETAPA"</formula>
    </cfRule>
    <cfRule type="expression" dxfId="674" priority="738">
      <formula>$H1458="CÉLULA CONSTRUTIVA"</formula>
    </cfRule>
    <cfRule type="expression" dxfId="673" priority="739">
      <formula>$H1458="ETAPA"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4">
      <formula>$H1460="CÉLULA CONSTRUTIVA"</formula>
    </cfRule>
    <cfRule type="expression" dxfId="669" priority="735">
      <formula>$H1460="ETAPA"</formula>
    </cfRule>
  </conditionalFormatting>
  <conditionalFormatting sqref="O1461 O1459">
    <cfRule type="expression" dxfId="668" priority="731">
      <formula>$H1459="SUBETAPA"</formula>
    </cfRule>
    <cfRule type="expression" dxfId="667" priority="732">
      <formula>$H1459="CÉLULA CONSTRUTIVA"</formula>
    </cfRule>
  </conditionalFormatting>
  <conditionalFormatting sqref="O1462">
    <cfRule type="expression" dxfId="666" priority="728">
      <formula>$H1462="SUBETAPA"</formula>
    </cfRule>
    <cfRule type="expression" dxfId="665" priority="729">
      <formula>$H1462="CÉLULA CONSTRUTIVA"</formula>
    </cfRule>
    <cfRule type="expression" dxfId="664" priority="730">
      <formula>$H1462="ETAPA"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20">
      <formula>$H1467="CÉLULA CONSTRUTIVA"</formula>
    </cfRule>
    <cfRule type="expression" dxfId="655" priority="719">
      <formula>$H1467="SUBETAPA"</formula>
    </cfRule>
  </conditionalFormatting>
  <conditionalFormatting sqref="O1468 O1466">
    <cfRule type="expression" dxfId="654" priority="718">
      <formula>$H1466="ETAPA"</formula>
    </cfRule>
  </conditionalFormatting>
  <conditionalFormatting sqref="O1468">
    <cfRule type="expression" dxfId="653" priority="717">
      <formula>$H1468="CÉLULA CONSTRUTIVA"</formula>
    </cfRule>
    <cfRule type="expression" dxfId="652" priority="716">
      <formula>$H1468="SUBETAPA"</formula>
    </cfRule>
  </conditionalFormatting>
  <conditionalFormatting sqref="O1469">
    <cfRule type="expression" dxfId="651" priority="715">
      <formula>$H1469="ETAPA"</formula>
    </cfRule>
    <cfRule type="expression" dxfId="650" priority="714">
      <formula>$H1469="CÉLULA CONSTRUTIVA"</formula>
    </cfRule>
    <cfRule type="expression" dxfId="649" priority="713">
      <formula>$H1469="SUBETAPA"</formula>
    </cfRule>
  </conditionalFormatting>
  <conditionalFormatting sqref="O1470:O1471">
    <cfRule type="expression" dxfId="648" priority="712">
      <formula>$H1470="SUBETAPA"</formula>
    </cfRule>
    <cfRule type="expression" dxfId="647" priority="711">
      <formula>$H1470="ETAPA"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5">
      <formula>$H1474="CÉLULA CONSTRUTIVA"</formula>
    </cfRule>
    <cfRule type="expression" dxfId="641" priority="706">
      <formula>$H1474="ETAPA"</formula>
    </cfRule>
    <cfRule type="expression" dxfId="640" priority="704">
      <formula>$H1474="SUBETAPA"</formula>
    </cfRule>
  </conditionalFormatting>
  <conditionalFormatting sqref="O1475 O1473">
    <cfRule type="expression" dxfId="639" priority="703">
      <formula>$H1473="ETAPA"</formula>
    </cfRule>
  </conditionalFormatting>
  <conditionalFormatting sqref="O1475">
    <cfRule type="expression" dxfId="638" priority="702">
      <formula>$H1475="CÉLULA CONSTRUTIVA"</formula>
    </cfRule>
    <cfRule type="expression" dxfId="637" priority="701">
      <formula>$H1475="SUBETAPA"</formula>
    </cfRule>
  </conditionalFormatting>
  <conditionalFormatting sqref="O1476">
    <cfRule type="expression" dxfId="636" priority="698">
      <formula>$H1476="SUBETAPA"</formula>
    </cfRule>
    <cfRule type="expression" dxfId="635" priority="700">
      <formula>$H1476="ETAPA"</formula>
    </cfRule>
    <cfRule type="expression" dxfId="634" priority="699">
      <formula>$H1476="CÉLULA CONSTRUTIVA"</formula>
    </cfRule>
  </conditionalFormatting>
  <conditionalFormatting sqref="O1477:O1478">
    <cfRule type="expression" dxfId="633" priority="697">
      <formula>$H1477="SUBETAPA"</formula>
    </cfRule>
    <cfRule type="expression" dxfId="632" priority="696">
      <formula>$H1477="ETAPA"</formula>
    </cfRule>
  </conditionalFormatting>
  <conditionalFormatting sqref="O1479">
    <cfRule type="expression" dxfId="631" priority="694">
      <formula>$H1479="CÉLULA CONSTRUTIVA"</formula>
    </cfRule>
    <cfRule type="expression" dxfId="630" priority="695">
      <formula>$H1479="ETAPA"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7">
      <formula>$H1482="CÉLULA CONSTRUTIVA"</formula>
    </cfRule>
    <cfRule type="expression" dxfId="623" priority="688">
      <formula>$H1482="ETAPA"</formula>
    </cfRule>
    <cfRule type="expression" dxfId="622" priority="686">
      <formula>$H1482="SUBETAPA"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69">
      <formula>$H1490="CÉLULA CONSTRUTIVA"</formula>
    </cfRule>
    <cfRule type="expression" dxfId="605" priority="670">
      <formula>$H1490="ETAPA"</formula>
    </cfRule>
    <cfRule type="expression" dxfId="604" priority="668">
      <formula>$H1490="SUBETAPA"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0">
      <formula>$H1494="CÉLULA CONSTRUTIVA"</formula>
    </cfRule>
    <cfRule type="expression" dxfId="596" priority="661">
      <formula>$H1494="ETAPA"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4">
      <formula>$H1497="SUBETAPA"</formula>
    </cfRule>
    <cfRule type="expression" dxfId="591" priority="655">
      <formula>$H1497="CÉLULA CONSTRUTIVA"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2">
      <formula>$H1499="ETAPA"</formula>
    </cfRule>
    <cfRule type="expression" dxfId="587" priority="651">
      <formula>$H1499="CÉLULA CONSTRUTIVA"</formula>
    </cfRule>
    <cfRule type="expression" dxfId="586" priority="650">
      <formula>$H1499="SUBETAPA"</formula>
    </cfRule>
  </conditionalFormatting>
  <conditionalFormatting sqref="O1500">
    <cfRule type="expression" dxfId="585" priority="649">
      <formula>$H1500="ETAPA"</formula>
    </cfRule>
    <cfRule type="expression" dxfId="584" priority="648">
      <formula>$H1500="CÉLULA CONSTRUTIVA"</formula>
    </cfRule>
    <cfRule type="expression" dxfId="583" priority="647">
      <formula>$H1500="SUBETAPA"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3">
      <formula>$H1502="ETAPA"</formula>
    </cfRule>
    <cfRule type="expression" dxfId="578" priority="641">
      <formula>$H1502="SUBETAPA"</formula>
    </cfRule>
    <cfRule type="expression" dxfId="577" priority="642">
      <formula>$H1502="CÉLULA CONSTRUTIVA"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8">
      <formula>$H1505="ETAPA"</formula>
    </cfRule>
    <cfRule type="expression" dxfId="573" priority="637">
      <formula>$H1505="CÉLULA CONSTRUTIVA"</formula>
    </cfRule>
    <cfRule type="expression" dxfId="572" priority="636">
      <formula>$H1505="SUBETAPA"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3">
      <formula>$H1507="CÉLULA CONSTRUTIVA"</formula>
    </cfRule>
    <cfRule type="expression" dxfId="568" priority="632">
      <formula>$H1507="SUBETAPA"</formula>
    </cfRule>
  </conditionalFormatting>
  <conditionalFormatting sqref="O1508">
    <cfRule type="expression" dxfId="567" priority="631">
      <formula>$H1508="ETAPA"</formula>
    </cfRule>
    <cfRule type="expression" dxfId="566" priority="630">
      <formula>$H1508="CÉLULA CONSTRUTIVA"</formula>
    </cfRule>
    <cfRule type="expression" dxfId="565" priority="629">
      <formula>$H1508="SUBETAPA"</formula>
    </cfRule>
  </conditionalFormatting>
  <conditionalFormatting sqref="O1509">
    <cfRule type="expression" dxfId="564" priority="628">
      <formula>$H1509="ETAPA"</formula>
    </cfRule>
    <cfRule type="expression" dxfId="563" priority="627">
      <formula>$H1509="CÉLULA CONSTRUTIVA"</formula>
    </cfRule>
    <cfRule type="expression" dxfId="562" priority="626">
      <formula>$H1509="SUBETAPA"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2">
      <formula>$H1511="ETAPA"</formula>
    </cfRule>
    <cfRule type="expression" dxfId="557" priority="621">
      <formula>$H1511="CÉLULA CONSTRUTIVA"</formula>
    </cfRule>
    <cfRule type="expression" dxfId="556" priority="620">
      <formula>$H1511="SUBETAPA"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7">
      <formula>$H1516="ETAPA"</formula>
    </cfRule>
    <cfRule type="expression" dxfId="552" priority="616">
      <formula>$H1516="CÉLULA CONSTRUTIVA"</formula>
    </cfRule>
    <cfRule type="expression" dxfId="551" priority="615">
      <formula>$H1516="SUBETAPA"</formula>
    </cfRule>
  </conditionalFormatting>
  <conditionalFormatting sqref="O1517">
    <cfRule type="expression" dxfId="550" priority="614">
      <formula>$H1517="SUBETAPA"</formula>
    </cfRule>
  </conditionalFormatting>
  <conditionalFormatting sqref="O1518">
    <cfRule type="expression" dxfId="549" priority="613">
      <formula>$H1518="ETAPA"</formula>
    </cfRule>
    <cfRule type="expression" dxfId="548" priority="612">
      <formula>$H1518="CÉLULA CONSTRUTIVA"</formula>
    </cfRule>
    <cfRule type="expression" dxfId="547" priority="611">
      <formula>$H1518="SUBETAPA"</formula>
    </cfRule>
  </conditionalFormatting>
  <conditionalFormatting sqref="O1519">
    <cfRule type="expression" dxfId="546" priority="610">
      <formula>$H1519="ETAPA"</formula>
    </cfRule>
    <cfRule type="expression" dxfId="545" priority="609">
      <formula>$H1519="CÉLULA CONSTRUTIVA"</formula>
    </cfRule>
    <cfRule type="expression" dxfId="544" priority="608">
      <formula>$H1519="SUBETAPA"</formula>
    </cfRule>
  </conditionalFormatting>
  <conditionalFormatting sqref="O1520">
    <cfRule type="expression" dxfId="543" priority="607">
      <formula>$H1520="ETAPA"</formula>
    </cfRule>
    <cfRule type="expression" dxfId="542" priority="606">
      <formula>$H1520="CÉLULA CONSTRUTIVA"</formula>
    </cfRule>
    <cfRule type="expression" dxfId="541" priority="605">
      <formula>$H1520="SUBETAPA"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1">
      <formula>$H1522="ETAPA"</formula>
    </cfRule>
    <cfRule type="expression" dxfId="536" priority="600">
      <formula>$H1522="CÉLULA CONSTRUTIVA"</formula>
    </cfRule>
    <cfRule type="expression" dxfId="535" priority="599">
      <formula>$H1522="SUBETAPA"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6">
      <formula>$H1527="ETAPA"</formula>
    </cfRule>
    <cfRule type="expression" dxfId="531" priority="595">
      <formula>$H1527="CÉLULA CONSTRUTIVA"</formula>
    </cfRule>
    <cfRule type="expression" dxfId="530" priority="594">
      <formula>$H1527="SUBETAPA"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1">
      <formula>$H1529="CÉLULA CONSTRUTIVA"</formula>
    </cfRule>
    <cfRule type="expression" dxfId="526" priority="590">
      <formula>$H1529="SUBETAPA"</formula>
    </cfRule>
  </conditionalFormatting>
  <conditionalFormatting sqref="O1530">
    <cfRule type="expression" dxfId="525" priority="588">
      <formula>$H1530="CÉLULA CONSTRUTIVA"</formula>
    </cfRule>
    <cfRule type="expression" dxfId="524" priority="589">
      <formula>$H1530="ETAPA"</formula>
    </cfRule>
    <cfRule type="expression" dxfId="523" priority="587">
      <formula>$H1530="SUBETAPA"</formula>
    </cfRule>
  </conditionalFormatting>
  <conditionalFormatting sqref="O1531">
    <cfRule type="expression" dxfId="522" priority="586">
      <formula>$H1531="ETAPA"</formula>
    </cfRule>
    <cfRule type="expression" dxfId="521" priority="585">
      <formula>$H1531="CÉLULA CONSTRUTIVA"</formula>
    </cfRule>
    <cfRule type="expression" dxfId="520" priority="584">
      <formula>$H1531="SUBETAPA"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78">
      <formula>$H1533="SUBETAPA"</formula>
    </cfRule>
    <cfRule type="expression" dxfId="515" priority="580">
      <formula>$H1533="ETAPA"</formula>
    </cfRule>
    <cfRule type="expression" dxfId="514" priority="579">
      <formula>$H1533="CÉLULA CONSTRUTIVA"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3">
      <formula>$H1538="SUBETAPA"</formula>
    </cfRule>
    <cfRule type="expression" dxfId="510" priority="574">
      <formula>$H1538="CÉLULA CONSTRUTIVA"</formula>
    </cfRule>
    <cfRule type="expression" dxfId="509" priority="575">
      <formula>$H1538="ETAPA"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1">
      <formula>$H1543="CÉLULA CONSTRUTIVA"</formula>
    </cfRule>
    <cfRule type="expression" dxfId="496" priority="560">
      <formula>$H1543="SUBETAPA"</formula>
    </cfRule>
  </conditionalFormatting>
  <conditionalFormatting sqref="O1544 O1546">
    <cfRule type="expression" dxfId="495" priority="559">
      <formula>$H1544="ETAPA"</formula>
    </cfRule>
    <cfRule type="expression" dxfId="494" priority="558">
      <formula>$H1544="CÉLULA CONSTRUTIVA"</formula>
    </cfRule>
    <cfRule type="expression" dxfId="493" priority="557">
      <formula>$H1544="SUBETAPA"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3">
      <formula>$H1549="CÉLULA CONSTRUTIVA"</formula>
    </cfRule>
    <cfRule type="expression" dxfId="489" priority="552">
      <formula>$H1549="SUBETAPA"</formula>
    </cfRule>
    <cfRule type="expression" dxfId="488" priority="554">
      <formula>$H1549="ETAPA"</formula>
    </cfRule>
  </conditionalFormatting>
  <conditionalFormatting sqref="O1550">
    <cfRule type="expression" dxfId="487" priority="551">
      <formula>$H1550="SUBETAPA"</formula>
    </cfRule>
  </conditionalFormatting>
  <conditionalFormatting sqref="O1551">
    <cfRule type="expression" dxfId="486" priority="550">
      <formula>$H1551="ETAPA"</formula>
    </cfRule>
    <cfRule type="expression" dxfId="485" priority="549">
      <formula>$H1551="CÉLULA CONSTRUTIVA"</formula>
    </cfRule>
    <cfRule type="expression" dxfId="484" priority="548">
      <formula>$H1551="SUBETAPA"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8">
      <formula>$H1555="ETAPA"</formula>
    </cfRule>
    <cfRule type="expression" dxfId="472" priority="537">
      <formula>$H1555="CÉLULA CONSTRUTIVA"</formula>
    </cfRule>
  </conditionalFormatting>
  <conditionalFormatting sqref="O1558:O1559">
    <cfRule type="expression" dxfId="471" priority="535">
      <formula>$H1558="SUBETAPA"</formula>
    </cfRule>
  </conditionalFormatting>
  <conditionalFormatting sqref="O1560">
    <cfRule type="expression" dxfId="470" priority="532">
      <formula>$H1560="SUBETAPA"</formula>
    </cfRule>
    <cfRule type="expression" dxfId="469" priority="533">
      <formula>$H1560="CÉLULA CONSTRUTIVA"</formula>
    </cfRule>
    <cfRule type="expression" dxfId="468" priority="534">
      <formula>$H1560="ETAPA"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8">
      <formula>$H1562="SUBETAPA"</formula>
    </cfRule>
    <cfRule type="expression" dxfId="464" priority="529">
      <formula>$H1562="CÉLULA CONSTRUTIVA"</formula>
    </cfRule>
  </conditionalFormatting>
  <conditionalFormatting sqref="O1563">
    <cfRule type="expression" dxfId="463" priority="525">
      <formula>$H1563="SUBETAPA"</formula>
    </cfRule>
    <cfRule type="expression" dxfId="462" priority="527">
      <formula>$H1563="ETAPA"</formula>
    </cfRule>
    <cfRule type="expression" dxfId="461" priority="526">
      <formula>$H1563="CÉLULA CONSTRUTIVA"</formula>
    </cfRule>
  </conditionalFormatting>
  <conditionalFormatting sqref="O1566">
    <cfRule type="expression" dxfId="460" priority="523">
      <formula>$H1566="CÉLULA CONSTRUTIVA"</formula>
    </cfRule>
    <cfRule type="expression" dxfId="459" priority="524">
      <formula>$H1566="ETAPA"</formula>
    </cfRule>
    <cfRule type="expression" dxfId="458" priority="522">
      <formula>$H1566="SUBETAPA"</formula>
    </cfRule>
  </conditionalFormatting>
  <conditionalFormatting sqref="O1567">
    <cfRule type="expression" dxfId="457" priority="521">
      <formula>$H1567="ETAPA"</formula>
    </cfRule>
    <cfRule type="expression" dxfId="456" priority="519">
      <formula>$H1567="SUBETAPA"</formula>
    </cfRule>
    <cfRule type="expression" dxfId="455" priority="520">
      <formula>$H1567="CÉLULA CONSTRUTIVA"</formula>
    </cfRule>
  </conditionalFormatting>
  <conditionalFormatting sqref="O1568">
    <cfRule type="expression" dxfId="454" priority="517">
      <formula>$H1568="ETAPA"</formula>
    </cfRule>
    <cfRule type="expression" dxfId="453" priority="518">
      <formula>$H1568="CÉLULA CONSTRUTIVA"</formula>
    </cfRule>
  </conditionalFormatting>
  <conditionalFormatting sqref="O1569">
    <cfRule type="expression" dxfId="452" priority="514">
      <formula>$H1569="SUBETAPA"</formula>
    </cfRule>
    <cfRule type="expression" dxfId="451" priority="515">
      <formula>$H1569="CÉLULA CONSTRUTIVA"</formula>
    </cfRule>
    <cfRule type="expression" dxfId="450" priority="516">
      <formula>$H1569="ETAPA"</formula>
    </cfRule>
  </conditionalFormatting>
  <conditionalFormatting sqref="O1572">
    <cfRule type="expression" dxfId="449" priority="511">
      <formula>$H1572="SUBETAPA"</formula>
    </cfRule>
    <cfRule type="expression" dxfId="448" priority="512">
      <formula>$H1572="CÉLULA CONSTRUTIVA"</formula>
    </cfRule>
    <cfRule type="expression" dxfId="447" priority="513">
      <formula>$H1572="ETAPA"</formula>
    </cfRule>
  </conditionalFormatting>
  <conditionalFormatting sqref="O1573">
    <cfRule type="expression" dxfId="446" priority="510">
      <formula>$H1573="ETAPA"</formula>
    </cfRule>
    <cfRule type="expression" dxfId="445" priority="508">
      <formula>$H1573="SUBETAPA"</formula>
    </cfRule>
    <cfRule type="expression" dxfId="444" priority="509">
      <formula>$H1573="CÉLULA CONSTRUTIVA"</formula>
    </cfRule>
  </conditionalFormatting>
  <conditionalFormatting sqref="O1574">
    <cfRule type="expression" dxfId="443" priority="506">
      <formula>$H1574="ETAPA"</formula>
    </cfRule>
    <cfRule type="expression" dxfId="442" priority="507">
      <formula>$H1574="CÉLULA CONSTRUTIVA"</formula>
    </cfRule>
  </conditionalFormatting>
  <conditionalFormatting sqref="O1575">
    <cfRule type="expression" dxfId="441" priority="503">
      <formula>$H1575="SUBETAPA"</formula>
    </cfRule>
    <cfRule type="expression" dxfId="440" priority="504">
      <formula>$H1575="CÉLULA CONSTRUTIVA"</formula>
    </cfRule>
    <cfRule type="expression" dxfId="439" priority="505">
      <formula>$H1575="ETAPA"</formula>
    </cfRule>
  </conditionalFormatting>
  <conditionalFormatting sqref="O1578">
    <cfRule type="expression" dxfId="438" priority="502">
      <formula>$H1578="ETAPA"</formula>
    </cfRule>
    <cfRule type="expression" dxfId="437" priority="501">
      <formula>$H1578="CÉLULA CONSTRUTIVA"</formula>
    </cfRule>
    <cfRule type="expression" dxfId="436" priority="500">
      <formula>$H1578="SUBETAPA"</formula>
    </cfRule>
  </conditionalFormatting>
  <conditionalFormatting sqref="O1579">
    <cfRule type="expression" dxfId="435" priority="498">
      <formula>$H1579="CÉLULA CONSTRUTIVA"</formula>
    </cfRule>
    <cfRule type="expression" dxfId="434" priority="497">
      <formula>$H1579="SUBETAPA"</formula>
    </cfRule>
    <cfRule type="expression" dxfId="433" priority="499">
      <formula>$H1579="ETAPA"</formula>
    </cfRule>
  </conditionalFormatting>
  <conditionalFormatting sqref="O1580">
    <cfRule type="expression" dxfId="432" priority="496">
      <formula>$H1580="CÉLULA CONSTRUTIVA"</formula>
    </cfRule>
    <cfRule type="expression" dxfId="431" priority="495">
      <formula>$H1580="ETAPA"</formula>
    </cfRule>
  </conditionalFormatting>
  <conditionalFormatting sqref="O1581">
    <cfRule type="expression" dxfId="430" priority="493">
      <formula>$H1581="CÉLULA CONSTRUTIVA"</formula>
    </cfRule>
    <cfRule type="expression" dxfId="429" priority="494">
      <formula>$H1581="ETAPA"</formula>
    </cfRule>
    <cfRule type="expression" dxfId="428" priority="492">
      <formula>$H1581="SUBETAPA"</formula>
    </cfRule>
  </conditionalFormatting>
  <conditionalFormatting sqref="O1584">
    <cfRule type="expression" dxfId="427" priority="489">
      <formula>$H1584="SUBETAPA"</formula>
    </cfRule>
    <cfRule type="expression" dxfId="426" priority="490">
      <formula>$H1584="CÉLULA CONSTRUTIVA"</formula>
    </cfRule>
    <cfRule type="expression" dxfId="425" priority="491">
      <formula>$H1584="ETAPA"</formula>
    </cfRule>
  </conditionalFormatting>
  <conditionalFormatting sqref="O1585">
    <cfRule type="expression" dxfId="424" priority="486">
      <formula>$H1585="SUBETAPA"</formula>
    </cfRule>
    <cfRule type="expression" dxfId="423" priority="487">
      <formula>$H1585="CÉLULA CONSTRUTIVA"</formula>
    </cfRule>
    <cfRule type="expression" dxfId="422" priority="488">
      <formula>$H1585="ETAPA"</formula>
    </cfRule>
  </conditionalFormatting>
  <conditionalFormatting sqref="O1586">
    <cfRule type="expression" dxfId="421" priority="483">
      <formula>$H1586="SUBETAPA"</formula>
    </cfRule>
    <cfRule type="expression" dxfId="420" priority="484">
      <formula>$H1586="CÉLULA CONSTRUTIVA"</formula>
    </cfRule>
    <cfRule type="expression" dxfId="419" priority="485">
      <formula>$H1586="ETAPA"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6">
      <formula>$H1590="SUBETAPA"</formula>
    </cfRule>
    <cfRule type="expression" dxfId="413" priority="478">
      <formula>$H1590="ETAPA"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2">
      <formula>$H1594="ETAPA"</formula>
    </cfRule>
    <cfRule type="expression" dxfId="407" priority="471">
      <formula>$H1594="CÉLULA CONSTRUTIVA"</formula>
    </cfRule>
    <cfRule type="expression" dxfId="406" priority="470">
      <formula>$H1594="SUBETAPA"</formula>
    </cfRule>
  </conditionalFormatting>
  <conditionalFormatting sqref="O1595">
    <cfRule type="expression" dxfId="405" priority="468">
      <formula>$H1595="CÉLULA CONSTRUTIVA"</formula>
    </cfRule>
    <cfRule type="expression" dxfId="404" priority="467">
      <formula>$H1595="SUBETAPA"</formula>
    </cfRule>
    <cfRule type="expression" dxfId="403" priority="469">
      <formula>$H1595="ETAPA"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3">
      <formula>$H1598="ETAPA"</formula>
    </cfRule>
    <cfRule type="expression" dxfId="399" priority="464">
      <formula>$H1598="CÉLULA CONSTRUTIVA"</formula>
    </cfRule>
  </conditionalFormatting>
  <conditionalFormatting sqref="O1599">
    <cfRule type="expression" dxfId="398" priority="461">
      <formula>$H1599="CÉLULA CONSTRUTIVA"</formula>
    </cfRule>
    <cfRule type="expression" dxfId="397" priority="460">
      <formula>$H1599="SUBETAPA"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5">
      <formula>$H1603="CÉLULA CONSTRUTIVA"</formula>
    </cfRule>
    <cfRule type="expression" dxfId="391" priority="454">
      <formula>$H1603="SUBETAPA"</formula>
    </cfRule>
    <cfRule type="expression" dxfId="390" priority="456">
      <formula>$H1603="ETAPA"</formula>
    </cfRule>
  </conditionalFormatting>
  <conditionalFormatting sqref="O1604">
    <cfRule type="expression" dxfId="389" priority="452">
      <formula>$H1604="CÉLULA CONSTRUTIVA"</formula>
    </cfRule>
    <cfRule type="expression" dxfId="388" priority="453">
      <formula>$H1604="ETAPA"</formula>
    </cfRule>
    <cfRule type="expression" dxfId="387" priority="451">
      <formula>$H1604="SUBETAPA"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3">
      <formula>$H1611="ETAPA"</formula>
    </cfRule>
    <cfRule type="expression" dxfId="378" priority="442">
      <formula>$H1611="CÉLULA CONSTRUTIVA"</formula>
    </cfRule>
    <cfRule type="expression" dxfId="377" priority="441">
      <formula>$H1611="SUBETAPA"</formula>
    </cfRule>
  </conditionalFormatting>
  <conditionalFormatting sqref="O1612">
    <cfRule type="expression" dxfId="376" priority="440">
      <formula>$H1612="ETAPA"</formula>
    </cfRule>
    <cfRule type="expression" dxfId="375" priority="439">
      <formula>$H1612="CÉLULA CONSTRUTIVA"</formula>
    </cfRule>
    <cfRule type="expression" dxfId="374" priority="438">
      <formula>$H1612="SUBETAPA"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30">
      <formula>$H1617="ETAPA"</formula>
    </cfRule>
    <cfRule type="expression" dxfId="365" priority="429">
      <formula>$H1617="CÉLULA CONSTRUTIVA"</formula>
    </cfRule>
    <cfRule type="expression" dxfId="364" priority="428">
      <formula>$H1617="SUBETAPA"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21">
      <formula>$H1622="ETAPA"</formula>
    </cfRule>
    <cfRule type="expression" dxfId="356" priority="420">
      <formula>$H1622="CÉLULA CONSTRUTIVA"</formula>
    </cfRule>
    <cfRule type="expression" dxfId="355" priority="419">
      <formula>$H1622="SUBETAPA"</formula>
    </cfRule>
  </conditionalFormatting>
  <conditionalFormatting sqref="O1623">
    <cfRule type="expression" dxfId="354" priority="418">
      <formula>$H1623="CÉLULA CONSTRUTIVA"</formula>
    </cfRule>
    <cfRule type="expression" dxfId="353" priority="417">
      <formula>$H1623="ETAPA"</formula>
    </cfRule>
  </conditionalFormatting>
  <conditionalFormatting sqref="O1624">
    <cfRule type="expression" dxfId="352" priority="415">
      <formula>$H1624="CÉLULA CONSTRUTIVA"</formula>
    </cfRule>
    <cfRule type="expression" dxfId="351" priority="414">
      <formula>$H1624="SUBETAPA"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8">
      <formula>$H1627="SUBETAPA"</formula>
    </cfRule>
    <cfRule type="expression" dxfId="344" priority="409">
      <formula>$H1627="CÉLULA CONSTRUTIVA"</formula>
    </cfRule>
  </conditionalFormatting>
  <conditionalFormatting sqref="O1630">
    <cfRule type="expression" dxfId="343" priority="407">
      <formula>$H1630="ETAPA"</formula>
    </cfRule>
    <cfRule type="expression" dxfId="342" priority="406">
      <formula>$H1630="CÉLULA CONSTRUTIVA"</formula>
    </cfRule>
    <cfRule type="expression" dxfId="341" priority="405">
      <formula>$H1630="SUBETAPA"</formula>
    </cfRule>
  </conditionalFormatting>
  <conditionalFormatting sqref="O1631">
    <cfRule type="expression" dxfId="340" priority="403">
      <formula>$H1631="CÉLULA CONSTRUTIVA"</formula>
    </cfRule>
    <cfRule type="expression" dxfId="339" priority="402">
      <formula>$H1631="SUBETAPA"</formula>
    </cfRule>
    <cfRule type="expression" dxfId="338" priority="404">
      <formula>$H1631="ETAPA"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6">
      <formula>$H1641="ETAPA"</formula>
    </cfRule>
    <cfRule type="expression" dxfId="320" priority="385">
      <formula>$H1641="CÉLULA CONSTRUTIVA"</formula>
    </cfRule>
    <cfRule type="expression" dxfId="319" priority="384">
      <formula>$H1641="SUBETAPA"</formula>
    </cfRule>
  </conditionalFormatting>
  <conditionalFormatting sqref="O1642">
    <cfRule type="expression" dxfId="318" priority="381">
      <formula>$H1642="SUBETAPA"</formula>
    </cfRule>
    <cfRule type="expression" dxfId="317" priority="382">
      <formula>$H1642="CÉLULA CONSTRUTIVA"</formula>
    </cfRule>
    <cfRule type="expression" dxfId="316" priority="383">
      <formula>$H1642="ETAPA"</formula>
    </cfRule>
  </conditionalFormatting>
  <conditionalFormatting sqref="O1644">
    <cfRule type="expression" dxfId="315" priority="378">
      <formula>$H1644="SUBETAPA"</formula>
    </cfRule>
    <cfRule type="expression" dxfId="314" priority="379">
      <formula>$H1644="CÉLULA CONSTRUTIVA"</formula>
    </cfRule>
    <cfRule type="expression" dxfId="313" priority="380">
      <formula>$H1644="ETAPA"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69">
      <formula>$H1650="SUBETAPA"</formula>
    </cfRule>
    <cfRule type="expression" dxfId="303" priority="370">
      <formula>$H1650="CÉLULA CONSTRUTIVA"</formula>
    </cfRule>
  </conditionalFormatting>
  <conditionalFormatting sqref="O1651">
    <cfRule type="expression" dxfId="302" priority="366">
      <formula>$H1651="SUBETAPA"</formula>
    </cfRule>
    <cfRule type="expression" dxfId="301" priority="367">
      <formula>$H1651="CÉLULA CONSTRUTIVA"</formula>
    </cfRule>
    <cfRule type="expression" dxfId="300" priority="368">
      <formula>$H1651="ETAPA"</formula>
    </cfRule>
  </conditionalFormatting>
  <conditionalFormatting sqref="O1653">
    <cfRule type="expression" dxfId="299" priority="363">
      <formula>$H1653="SUBETAPA"</formula>
    </cfRule>
    <cfRule type="expression" dxfId="298" priority="364">
      <formula>$H1653="CÉLULA CONSTRUTIVA"</formula>
    </cfRule>
    <cfRule type="expression" dxfId="297" priority="365">
      <formula>$H1653="ETAPA"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7">
      <formula>$H1656="SUBETAPA"</formula>
    </cfRule>
    <cfRule type="expression" dxfId="292" priority="358">
      <formula>$H1656="CÉLULA CONSTRUTIVA"</formula>
    </cfRule>
    <cfRule type="expression" dxfId="291" priority="359">
      <formula>$H1656="ETAPA"</formula>
    </cfRule>
  </conditionalFormatting>
  <conditionalFormatting sqref="O1657:O1658 J1658:L1658">
    <cfRule type="expression" dxfId="290" priority="6908">
      <formula>$H1657="CÉLULA CONSTRUTIVA"</formula>
    </cfRule>
  </conditionalFormatting>
  <conditionalFormatting sqref="O1659">
    <cfRule type="expression" dxfId="289" priority="355">
      <formula>$H1659="CÉLULA CONSTRUTIVA"</formula>
    </cfRule>
    <cfRule type="expression" dxfId="288" priority="354">
      <formula>$H1659="SUBETAPA"</formula>
    </cfRule>
    <cfRule type="expression" dxfId="287" priority="356">
      <formula>$H1659="ETAPA"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49">
      <formula>$H1662="CÉLULA CONSTRUTIVA"</formula>
    </cfRule>
    <cfRule type="expression" dxfId="282" priority="350">
      <formula>$H1662="ETAPA"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2">
      <formula>$H1665="SUBETAPA"</formula>
    </cfRule>
    <cfRule type="expression" dxfId="275" priority="343">
      <formula>$H1665="CÉLULA CONSTRUTIVA"</formula>
    </cfRule>
  </conditionalFormatting>
  <conditionalFormatting sqref="O1666:O1667 J1667:L1667">
    <cfRule type="expression" dxfId="274" priority="6904">
      <formula>$H1666="CÉLULA CONSTRUTIVA"</formula>
    </cfRule>
  </conditionalFormatting>
  <conditionalFormatting sqref="O1668">
    <cfRule type="expression" dxfId="273" priority="339">
      <formula>$H1668="SUBETAPA"</formula>
    </cfRule>
    <cfRule type="expression" dxfId="272" priority="340">
      <formula>$H1668="CÉLULA CONSTRUTIVA"</formula>
    </cfRule>
    <cfRule type="expression" dxfId="271" priority="341">
      <formula>$H1668="ETAPA"</formula>
    </cfRule>
  </conditionalFormatting>
  <conditionalFormatting sqref="O1669">
    <cfRule type="expression" dxfId="270" priority="336">
      <formula>$H1669="SUBETAPA"</formula>
    </cfRule>
    <cfRule type="expression" dxfId="269" priority="338">
      <formula>$H1669="ETAPA"</formula>
    </cfRule>
    <cfRule type="expression" dxfId="268" priority="337">
      <formula>$H1669="CÉLULA CONSTRUTIVA"</formula>
    </cfRule>
  </conditionalFormatting>
  <conditionalFormatting sqref="O1671">
    <cfRule type="expression" dxfId="267" priority="335">
      <formula>$H1671="ETAPA"</formula>
    </cfRule>
    <cfRule type="expression" dxfId="266" priority="333">
      <formula>$H1671="SUBETAPA"</formula>
    </cfRule>
    <cfRule type="expression" dxfId="265" priority="334">
      <formula>$H1671="CÉLULA CONSTRUTIVA"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5">
      <formula>$H1677="CÉLULA CONSTRUTIVA"</formula>
    </cfRule>
    <cfRule type="expression" dxfId="256" priority="326">
      <formula>$H1677="ETAPA"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18">
      <formula>$H1680="SUBETAPA"</formula>
    </cfRule>
    <cfRule type="expression" dxfId="250" priority="320">
      <formula>$H1680="ETAPA"</formula>
    </cfRule>
    <cfRule type="expression" dxfId="249" priority="319">
      <formula>$H1680="CÉLULA CONSTRUTIVA"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2">
      <formula>$H1683="SUBETAPA"</formula>
    </cfRule>
    <cfRule type="expression" dxfId="244" priority="313">
      <formula>$H1683="CÉLULA CONSTRUTIVA"</formula>
    </cfRule>
    <cfRule type="expression" dxfId="243" priority="314">
      <formula>$H1683="ETAPA"</formula>
    </cfRule>
  </conditionalFormatting>
  <conditionalFormatting sqref="O1686">
    <cfRule type="expression" dxfId="242" priority="311">
      <formula>$H1686="ETAPA"</formula>
    </cfRule>
    <cfRule type="expression" dxfId="241" priority="309">
      <formula>$H1686="SUBETAPA"</formula>
    </cfRule>
    <cfRule type="expression" dxfId="240" priority="310">
      <formula>$H1686="CÉLULA CONSTRUTIVA"</formula>
    </cfRule>
  </conditionalFormatting>
  <conditionalFormatting sqref="O1687">
    <cfRule type="expression" dxfId="239" priority="306">
      <formula>$H1687="SUBETAPA"</formula>
    </cfRule>
    <cfRule type="expression" dxfId="238" priority="307">
      <formula>$H1687="CÉLULA CONSTRUTIVA"</formula>
    </cfRule>
    <cfRule type="expression" dxfId="237" priority="308">
      <formula>$H1687="ETAPA"</formula>
    </cfRule>
  </conditionalFormatting>
  <conditionalFormatting sqref="O1688">
    <cfRule type="expression" dxfId="236" priority="303">
      <formula>$H1688="SUBETAPA"</formula>
    </cfRule>
    <cfRule type="expression" dxfId="235" priority="304">
      <formula>$H1688="CÉLULA CONSTRUTIVA"</formula>
    </cfRule>
    <cfRule type="expression" dxfId="234" priority="305">
      <formula>$H1688="ETAPA"</formula>
    </cfRule>
  </conditionalFormatting>
  <conditionalFormatting sqref="O1689">
    <cfRule type="expression" dxfId="233" priority="300">
      <formula>$H1689="SUBETAPA"</formula>
    </cfRule>
    <cfRule type="expression" dxfId="232" priority="301">
      <formula>$H1689="CÉLULA CONSTRUTIVA"</formula>
    </cfRule>
    <cfRule type="expression" dxfId="231" priority="302">
      <formula>$H1689="ETAPA"</formula>
    </cfRule>
  </conditionalFormatting>
  <conditionalFormatting sqref="O1691">
    <cfRule type="expression" dxfId="230" priority="299">
      <formula>$H1691="ETAPA"</formula>
    </cfRule>
    <cfRule type="expression" dxfId="229" priority="298">
      <formula>$H1691="CÉLULA CONSTRUTIVA"</formula>
    </cfRule>
    <cfRule type="expression" dxfId="228" priority="297">
      <formula>$H1691="SUBETAPA"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1">
      <formula>$H1694="SUBETAPA"</formula>
    </cfRule>
    <cfRule type="expression" dxfId="223" priority="293">
      <formula>$H1694="ETAPA"</formula>
    </cfRule>
    <cfRule type="expression" dxfId="222" priority="292">
      <formula>$H1694="CÉLULA CONSTRUTIVA"</formula>
    </cfRule>
  </conditionalFormatting>
  <conditionalFormatting sqref="O1697">
    <cfRule type="expression" dxfId="221" priority="290">
      <formula>$H1697="ETAPA"</formula>
    </cfRule>
    <cfRule type="expression" dxfId="220" priority="288">
      <formula>$H1697="SUBETAPA"</formula>
    </cfRule>
    <cfRule type="expression" dxfId="219" priority="289">
      <formula>$H1697="CÉLULA CONSTRUTIVA"</formula>
    </cfRule>
  </conditionalFormatting>
  <conditionalFormatting sqref="O1698">
    <cfRule type="expression" dxfId="218" priority="286">
      <formula>$H1698="CÉLULA CONSTRUTIVA"</formula>
    </cfRule>
    <cfRule type="expression" dxfId="217" priority="287">
      <formula>$H1698="ETAPA"</formula>
    </cfRule>
    <cfRule type="expression" dxfId="216" priority="285">
      <formula>$H1698="SUBETAPA"</formula>
    </cfRule>
  </conditionalFormatting>
  <conditionalFormatting sqref="O1699">
    <cfRule type="expression" dxfId="215" priority="284">
      <formula>$H1699="ETAPA"</formula>
    </cfRule>
    <cfRule type="expression" dxfId="214" priority="283">
      <formula>$H1699="CÉLULA CONSTRUTIVA"</formula>
    </cfRule>
    <cfRule type="expression" dxfId="213" priority="282">
      <formula>$H1699="SUBETAPA"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8">
      <formula>$H1702="ETAPA"</formula>
    </cfRule>
    <cfRule type="expression" dxfId="208" priority="277">
      <formula>$H1702="CÉLULA CONSTRUTIVA"</formula>
    </cfRule>
    <cfRule type="expression" dxfId="207" priority="276">
      <formula>$H1702="SUBETAPA"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0">
      <formula>$H1705="SUBETAPA"</formula>
    </cfRule>
    <cfRule type="expression" dxfId="202" priority="271">
      <formula>$H1705="CÉLULA CONSTRUTIVA"</formula>
    </cfRule>
    <cfRule type="expression" dxfId="201" priority="272">
      <formula>$H1705="ETAPA"</formula>
    </cfRule>
  </conditionalFormatting>
  <conditionalFormatting sqref="O1706">
    <cfRule type="expression" dxfId="200" priority="268">
      <formula>$H1706="CÉLULA CONSTRUTIVA"</formula>
    </cfRule>
    <cfRule type="expression" dxfId="199" priority="269">
      <formula>$H1706="ETAPA"</formula>
    </cfRule>
    <cfRule type="expression" dxfId="198" priority="267">
      <formula>$H1706="SUBETAPA"</formula>
    </cfRule>
  </conditionalFormatting>
  <conditionalFormatting sqref="O1708">
    <cfRule type="expression" dxfId="197" priority="264">
      <formula>$H1708="SUBETAPA"</formula>
    </cfRule>
    <cfRule type="expression" dxfId="196" priority="265">
      <formula>$H1708="CÉLULA CONSTRUTIVA"</formula>
    </cfRule>
    <cfRule type="expression" dxfId="195" priority="266">
      <formula>$H1708="ETAPA"</formula>
    </cfRule>
  </conditionalFormatting>
  <conditionalFormatting sqref="O1709">
    <cfRule type="expression" dxfId="194" priority="261">
      <formula>$H1709="SUBETAPA"</formula>
    </cfRule>
    <cfRule type="expression" dxfId="193" priority="262">
      <formula>$H1709="CÉLULA CONSTRUTIVA"</formula>
    </cfRule>
    <cfRule type="expression" dxfId="192" priority="263">
      <formula>$H1709="ETAPA"</formula>
    </cfRule>
  </conditionalFormatting>
  <conditionalFormatting sqref="O1711">
    <cfRule type="expression" dxfId="191" priority="259">
      <formula>$H1711="CÉLULA CONSTRUTIVA"</formula>
    </cfRule>
    <cfRule type="expression" dxfId="190" priority="260">
      <formula>$H1711="ETAPA"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3">
      <formula>$H1714="CÉLULA CONSTRUTIVA"</formula>
    </cfRule>
    <cfRule type="expression" dxfId="184" priority="254">
      <formula>$H1714="ETAPA"</formula>
    </cfRule>
    <cfRule type="expression" dxfId="183" priority="252">
      <formula>$H1714="SUBETAPA"</formula>
    </cfRule>
  </conditionalFormatting>
  <conditionalFormatting sqref="O1715">
    <cfRule type="expression" dxfId="182" priority="251">
      <formula>$H1715="ETAPA"</formula>
    </cfRule>
    <cfRule type="expression" dxfId="181" priority="250">
      <formula>$H1715="CÉLULA CONSTRUTIVA"</formula>
    </cfRule>
    <cfRule type="expression" dxfId="180" priority="249">
      <formula>$H1715="SUBETAPA"</formula>
    </cfRule>
  </conditionalFormatting>
  <conditionalFormatting sqref="O1717">
    <cfRule type="expression" dxfId="179" priority="246">
      <formula>$H1717="SUBETAPA"</formula>
    </cfRule>
    <cfRule type="expression" dxfId="178" priority="248">
      <formula>$H1717="ETAPA"</formula>
    </cfRule>
    <cfRule type="expression" dxfId="177" priority="247">
      <formula>$H1717="CÉLULA CONSTRUTIVA"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1">
      <formula>$H1720="CÉLULA CONSTRUTIVA"</formula>
    </cfRule>
    <cfRule type="expression" dxfId="172" priority="240">
      <formula>$H1720="SUBETAPA"</formula>
    </cfRule>
    <cfRule type="expression" dxfId="171" priority="242">
      <formula>$H1720="ETAPA"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5">
      <formula>$H1723="CÉLULA CONSTRUTIVA"</formula>
    </cfRule>
    <cfRule type="expression" dxfId="166" priority="234">
      <formula>$H1723="SUBETAPA"</formula>
    </cfRule>
    <cfRule type="expression" dxfId="165" priority="236">
      <formula>$H1723="ETAPA"</formula>
    </cfRule>
  </conditionalFormatting>
  <conditionalFormatting sqref="O1724">
    <cfRule type="expression" dxfId="164" priority="233">
      <formula>$H1724="ETAPA"</formula>
    </cfRule>
    <cfRule type="expression" dxfId="163" priority="231">
      <formula>$H1724="SUBETAPA"</formula>
    </cfRule>
    <cfRule type="expression" dxfId="162" priority="232">
      <formula>$H1724="CÉLULA CONSTRUTIVA"</formula>
    </cfRule>
  </conditionalFormatting>
  <conditionalFormatting sqref="O1726">
    <cfRule type="expression" dxfId="161" priority="230">
      <formula>$H1726="ETAPA"</formula>
    </cfRule>
    <cfRule type="expression" dxfId="160" priority="228">
      <formula>$H1726="SUBETAPA"</formula>
    </cfRule>
    <cfRule type="expression" dxfId="159" priority="229">
      <formula>$H1726="CÉLULA CONSTRUTIVA"</formula>
    </cfRule>
  </conditionalFormatting>
  <conditionalFormatting sqref="O1727">
    <cfRule type="expression" dxfId="158" priority="225">
      <formula>$H1727="SUBETAPA"</formula>
    </cfRule>
    <cfRule type="expression" dxfId="157" priority="227">
      <formula>$H1727="ETAPA"</formula>
    </cfRule>
    <cfRule type="expression" dxfId="156" priority="226">
      <formula>$H1727="CÉLULA CONSTRUTIVA"</formula>
    </cfRule>
  </conditionalFormatting>
  <conditionalFormatting sqref="O1729">
    <cfRule type="expression" dxfId="155" priority="223">
      <formula>$H1729="CÉLULA CONSTRUTIVA"</formula>
    </cfRule>
    <cfRule type="expression" dxfId="154" priority="224">
      <formula>$H1729="ETAPA"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7">
      <formula>$H1736="SUBETAPA"</formula>
    </cfRule>
    <cfRule type="expression" dxfId="139" priority="209">
      <formula>$H1736="ETAPA"</formula>
    </cfRule>
    <cfRule type="expression" dxfId="138" priority="208">
      <formula>$H1736="CÉLULA CONSTRUTIVA"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199">
      <formula>$H1741="CÉLULA CONSTRUTIVA"</formula>
    </cfRule>
    <cfRule type="expression" dxfId="130" priority="198">
      <formula>$H1741="SUBETAPA"</formula>
    </cfRule>
    <cfRule type="expression" dxfId="129" priority="200">
      <formula>$H1741="ETAPA"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9">
      <formula>$H1759="ETAPA"</formula>
    </cfRule>
    <cfRule type="expression" dxfId="89" priority="158">
      <formula>$H1759="CÉLULA CONSTRUTIVA"</formula>
    </cfRule>
    <cfRule type="expression" dxfId="88" priority="157">
      <formula>$H1759="SUBETAPA"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3">
      <formula>$H1777="SUBETAPA"</formula>
    </cfRule>
    <cfRule type="expression" dxfId="73" priority="141">
      <formula>$H1777="ETAPA"</formula>
    </cfRule>
    <cfRule type="expression" dxfId="72" priority="142">
      <formula>$H1777="CÉLULA CONSTRUTIVA"</formula>
    </cfRule>
  </conditionalFormatting>
  <conditionalFormatting sqref="O1782">
    <cfRule type="expression" dxfId="71" priority="140">
      <formula>$H1782="SUBETAPA"</formula>
    </cfRule>
    <cfRule type="expression" dxfId="70" priority="138">
      <formula>$H1782="ETAPA"</formula>
    </cfRule>
    <cfRule type="expression" dxfId="69" priority="139">
      <formula>$H1782="CÉLULA CONSTRUTIVA"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2">
      <formula>$H1792="ETAPA"</formula>
    </cfRule>
    <cfRule type="expression" dxfId="64" priority="133">
      <formula>$H1792="CÉLULA CONSTRUTIVA"</formula>
    </cfRule>
    <cfRule type="expression" dxfId="63" priority="134">
      <formula>$H1792="SUBETAPA"</formula>
    </cfRule>
  </conditionalFormatting>
  <conditionalFormatting sqref="O1797">
    <cfRule type="expression" dxfId="62" priority="130">
      <formula>$H1797="ETAPA"</formula>
    </cfRule>
    <cfRule type="expression" dxfId="61" priority="131">
      <formula>$H1797="SUBETAPA"</formula>
    </cfRule>
  </conditionalFormatting>
  <conditionalFormatting sqref="O1799">
    <cfRule type="expression" dxfId="60" priority="129">
      <formula>$H1799="SUBETAPA"</formula>
    </cfRule>
    <cfRule type="expression" dxfId="59" priority="128">
      <formula>$H1799="CÉLULA CONSTRUTIVA"</formula>
    </cfRule>
    <cfRule type="expression" dxfId="58" priority="127">
      <formula>$H1799="ETAPA"</formula>
    </cfRule>
  </conditionalFormatting>
  <conditionalFormatting sqref="O1804">
    <cfRule type="expression" dxfId="57" priority="126">
      <formula>$H1804="SUBETAPA"</formula>
    </cfRule>
    <cfRule type="expression" dxfId="56" priority="125">
      <formula>$H1804="ETAPA"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19">
      <formula>$H1813="ETAPA"</formula>
    </cfRule>
    <cfRule type="expression" dxfId="50" priority="120">
      <formula>$H1813="SUBETAPA"</formula>
    </cfRule>
  </conditionalFormatting>
  <conditionalFormatting sqref="O1815">
    <cfRule type="expression" dxfId="49" priority="118">
      <formula>$H1815="SUBETAPA"</formula>
    </cfRule>
    <cfRule type="expression" dxfId="48" priority="117">
      <formula>$H1815="CÉLULA CONSTRUTIVA"</formula>
    </cfRule>
    <cfRule type="expression" dxfId="47" priority="116">
      <formula>$H1815="ETAPA"</formula>
    </cfRule>
  </conditionalFormatting>
  <conditionalFormatting sqref="O1820">
    <cfRule type="expression" dxfId="46" priority="115">
      <formula>$H1820="SUBETAPA"</formula>
    </cfRule>
    <cfRule type="expression" dxfId="45" priority="114">
      <formula>$H1820="ETAPA"</formula>
    </cfRule>
  </conditionalFormatting>
  <conditionalFormatting sqref="O1822">
    <cfRule type="expression" dxfId="44" priority="113">
      <formula>$H1822="SUBETAPA"</formula>
    </cfRule>
    <cfRule type="expression" dxfId="43" priority="111">
      <formula>$H1822="ETAPA"</formula>
    </cfRule>
    <cfRule type="expression" dxfId="42" priority="112">
      <formula>$H1822="CÉLULA CONSTRUTIVA"</formula>
    </cfRule>
  </conditionalFormatting>
  <conditionalFormatting sqref="O1827">
    <cfRule type="expression" dxfId="41" priority="110">
      <formula>$H1827="SUBETAPA"</formula>
    </cfRule>
    <cfRule type="expression" dxfId="40" priority="109">
      <formula>$H1827="ETAPA"</formula>
    </cfRule>
  </conditionalFormatting>
  <conditionalFormatting sqref="O1829">
    <cfRule type="expression" dxfId="39" priority="107">
      <formula>$H1829="CÉLULA CONSTRUTIVA"</formula>
    </cfRule>
    <cfRule type="expression" dxfId="38" priority="108">
      <formula>$H1829="SUBETAPA"</formula>
    </cfRule>
    <cfRule type="expression" dxfId="37" priority="106">
      <formula>$H1829="ETAPA"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3">
      <formula>$H1836="SUBETAPA"</formula>
    </cfRule>
    <cfRule type="expression" dxfId="33" priority="101">
      <formula>$H1836="ETAPA"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5">
      <formula>$H1848="CÉLULA CONSTRUTIVA"</formula>
    </cfRule>
    <cfRule type="expression" dxfId="25" priority="96">
      <formula>$H1848="SUBETAPA"</formula>
    </cfRule>
  </conditionalFormatting>
  <conditionalFormatting sqref="O1851">
    <cfRule type="expression" dxfId="24" priority="93">
      <formula>$H1851="CÉLULA CONSTRUTIVA"</formula>
    </cfRule>
    <cfRule type="expression" dxfId="23" priority="91">
      <formula>$H1851="ETAPA"</formula>
    </cfRule>
    <cfRule type="expression" dxfId="22" priority="92">
      <formula>$H1851="SUBETAPA"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9">
      <formula>$H1872="ETAPA"</formula>
    </cfRule>
    <cfRule type="expression" dxfId="11" priority="8">
      <formula>$H1872="SUBETAPA"</formula>
    </cfRule>
    <cfRule type="expression" dxfId="10" priority="7">
      <formula>$H1872="ETAPA"</formula>
    </cfRule>
    <cfRule type="expression" dxfId="9" priority="11">
      <formula>$H1872="ETAPA"</formula>
    </cfRule>
    <cfRule type="expression" dxfId="8" priority="12">
      <formula>$H1872="SUBETAPA"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4">
      <formula>$H1878="ETAPA"</formula>
    </cfRule>
    <cfRule type="expression" dxfId="3" priority="5">
      <formula>$H1878="SUBETAPA"</formula>
    </cfRule>
  </conditionalFormatting>
  <conditionalFormatting sqref="P8:P1882">
    <cfRule type="expression" dxfId="2" priority="3">
      <formula>AND($H8="SERVIÇO",$P8="Em andamento")</formula>
    </cfRule>
    <cfRule type="expression" dxfId="1" priority="1">
      <formula>AND($H8="SERVIÇO",$P8="Pendente")</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00" customWidth="1"/>
    <col min="2" max="2" width="11.7109375" style="202" bestFit="1" customWidth="1"/>
    <col min="3" max="3" width="14.42578125" style="202" customWidth="1"/>
    <col min="4" max="4" width="11.5703125" style="202" customWidth="1"/>
    <col min="5" max="5" width="72.42578125" style="200" customWidth="1"/>
    <col min="6" max="6" width="8.140625" style="202" customWidth="1"/>
    <col min="7" max="7" width="11.7109375" style="201" customWidth="1"/>
    <col min="8" max="8" width="20.42578125" style="201" customWidth="1"/>
    <col min="9" max="9" width="20.140625" style="201" customWidth="1"/>
    <col min="10" max="10" width="16.28515625" style="201" customWidth="1"/>
    <col min="11" max="11" width="11.7109375" style="201" customWidth="1"/>
    <col min="12" max="12" width="16" style="201" customWidth="1"/>
    <col min="13" max="13" width="13.28515625" style="201" customWidth="1"/>
    <col min="14" max="14" width="13.42578125" style="200" customWidth="1"/>
    <col min="15" max="15" width="16.7109375" style="200" customWidth="1"/>
    <col min="16" max="16" width="8.5703125" style="200" customWidth="1"/>
    <col min="17" max="16384" width="11.5703125" style="200"/>
  </cols>
  <sheetData>
    <row r="1" spans="1:16" ht="18" customHeight="1" x14ac:dyDescent="0.2">
      <c r="A1" s="610" t="s">
        <v>2106</v>
      </c>
      <c r="B1" s="611"/>
      <c r="C1" s="611"/>
      <c r="D1" s="611"/>
      <c r="E1" s="611"/>
      <c r="F1" s="611"/>
      <c r="G1" s="611"/>
      <c r="H1" s="204"/>
      <c r="I1" s="543"/>
      <c r="J1" s="543"/>
      <c r="K1" s="543"/>
      <c r="L1" s="543"/>
      <c r="M1" s="543"/>
      <c r="N1" s="543"/>
      <c r="O1" s="543"/>
      <c r="P1" s="543"/>
    </row>
    <row r="2" spans="1:16" x14ac:dyDescent="0.2">
      <c r="A2" s="551" t="s">
        <v>2105</v>
      </c>
      <c r="B2" s="612" t="s">
        <v>2905</v>
      </c>
      <c r="C2" s="613"/>
      <c r="D2" s="613"/>
      <c r="E2" s="613"/>
      <c r="F2" s="560"/>
      <c r="G2" s="559"/>
      <c r="H2" s="558"/>
      <c r="I2" s="543"/>
      <c r="J2" s="543"/>
      <c r="K2" s="543"/>
      <c r="L2" s="543"/>
      <c r="M2" s="543"/>
      <c r="N2" s="543"/>
      <c r="O2" s="543"/>
      <c r="P2" s="543"/>
    </row>
    <row r="3" spans="1:16" x14ac:dyDescent="0.2">
      <c r="A3" s="554" t="s">
        <v>1275</v>
      </c>
      <c r="B3" s="601" t="s">
        <v>8045</v>
      </c>
      <c r="C3" s="602"/>
      <c r="D3" s="602"/>
      <c r="E3" s="602"/>
      <c r="F3" s="553"/>
      <c r="G3" s="556"/>
      <c r="H3" s="555"/>
      <c r="I3" s="543"/>
      <c r="J3" s="543"/>
      <c r="K3" s="543"/>
      <c r="L3" s="543"/>
      <c r="M3" s="543"/>
      <c r="N3" s="543"/>
      <c r="O3" s="543"/>
      <c r="P3" s="543"/>
    </row>
    <row r="4" spans="1:16" x14ac:dyDescent="0.2">
      <c r="A4" s="551" t="s">
        <v>2104</v>
      </c>
      <c r="B4" s="601" t="s">
        <v>8044</v>
      </c>
      <c r="C4" s="602"/>
      <c r="D4" s="602"/>
      <c r="E4" s="602"/>
      <c r="F4" s="557"/>
      <c r="G4" s="556"/>
      <c r="H4" s="555"/>
      <c r="I4" s="543"/>
      <c r="J4" s="543"/>
      <c r="K4" s="543"/>
      <c r="L4" s="543"/>
      <c r="M4" s="543"/>
      <c r="N4" s="543"/>
      <c r="O4" s="543"/>
      <c r="P4" s="543"/>
    </row>
    <row r="5" spans="1:16" x14ac:dyDescent="0.2">
      <c r="A5" s="554" t="s">
        <v>2103</v>
      </c>
      <c r="B5" s="601" t="s">
        <v>8043</v>
      </c>
      <c r="C5" s="602"/>
      <c r="D5" s="602"/>
      <c r="E5" s="602"/>
      <c r="F5" s="557"/>
      <c r="G5" s="556"/>
      <c r="H5" s="555"/>
      <c r="I5" s="543"/>
      <c r="J5" s="543"/>
      <c r="K5" s="543"/>
      <c r="L5" s="543"/>
      <c r="M5" s="543"/>
      <c r="N5" s="543"/>
      <c r="O5" s="543"/>
      <c r="P5" s="543"/>
    </row>
    <row r="6" spans="1:16" x14ac:dyDescent="0.2">
      <c r="A6" s="551" t="s">
        <v>2102</v>
      </c>
      <c r="B6" s="601" t="s">
        <v>399</v>
      </c>
      <c r="C6" s="602"/>
      <c r="D6" s="602"/>
      <c r="E6" s="602"/>
      <c r="F6" s="553"/>
      <c r="G6" s="552"/>
      <c r="H6" s="546"/>
      <c r="I6" s="543"/>
      <c r="J6" s="543"/>
      <c r="K6" s="543"/>
      <c r="L6" s="543"/>
      <c r="M6" s="543"/>
      <c r="N6" s="543"/>
      <c r="O6" s="543"/>
      <c r="P6" s="543"/>
    </row>
    <row r="7" spans="1:16" x14ac:dyDescent="0.2">
      <c r="A7" s="554" t="s">
        <v>59</v>
      </c>
      <c r="B7" s="601" t="s">
        <v>399</v>
      </c>
      <c r="C7" s="602"/>
      <c r="D7" s="602"/>
      <c r="E7" s="602"/>
      <c r="F7" s="553"/>
      <c r="G7" s="552"/>
      <c r="H7" s="546"/>
      <c r="I7" s="543"/>
      <c r="J7" s="543"/>
      <c r="K7" s="543"/>
      <c r="L7" s="543"/>
      <c r="M7" s="543"/>
      <c r="N7" s="543"/>
      <c r="O7" s="543"/>
      <c r="P7" s="543"/>
    </row>
    <row r="8" spans="1:16" x14ac:dyDescent="0.2">
      <c r="A8" s="551" t="s">
        <v>8042</v>
      </c>
      <c r="B8" s="601" t="s">
        <v>8041</v>
      </c>
      <c r="C8" s="602"/>
      <c r="D8" s="602"/>
      <c r="E8" s="602"/>
      <c r="F8" s="550"/>
      <c r="G8" s="549"/>
      <c r="H8" s="546"/>
      <c r="I8" s="543"/>
      <c r="J8" s="543"/>
      <c r="K8" s="543"/>
      <c r="L8" s="543"/>
      <c r="M8" s="543"/>
      <c r="N8" s="543"/>
      <c r="O8" s="543"/>
      <c r="P8" s="543"/>
    </row>
    <row r="9" spans="1:16" x14ac:dyDescent="0.2">
      <c r="A9" s="548"/>
      <c r="B9" s="547"/>
      <c r="C9" s="547"/>
      <c r="D9" s="547"/>
      <c r="E9" s="547"/>
      <c r="F9" s="511"/>
      <c r="G9" s="546"/>
      <c r="H9" s="546"/>
      <c r="I9" s="543"/>
      <c r="J9" s="543"/>
      <c r="K9" s="543"/>
      <c r="L9" s="543"/>
      <c r="M9" s="543"/>
      <c r="N9" s="543"/>
      <c r="O9" s="543"/>
      <c r="P9" s="543"/>
    </row>
    <row r="10" spans="1:16" ht="18" customHeight="1" x14ac:dyDescent="0.2">
      <c r="A10" s="610" t="s">
        <v>8040</v>
      </c>
      <c r="B10" s="611"/>
      <c r="C10" s="611"/>
      <c r="D10" s="611"/>
      <c r="E10" s="611"/>
      <c r="F10" s="543"/>
      <c r="G10" s="543"/>
      <c r="H10" s="543"/>
      <c r="I10" s="543"/>
      <c r="J10" s="543"/>
      <c r="K10" s="543"/>
      <c r="L10" s="543"/>
      <c r="M10" s="543"/>
      <c r="N10" s="543"/>
      <c r="O10" s="543"/>
      <c r="P10" s="543"/>
    </row>
    <row r="11" spans="1:16" ht="22.5" customHeight="1" x14ac:dyDescent="0.2">
      <c r="A11" s="607" t="s">
        <v>58</v>
      </c>
      <c r="B11" s="607"/>
      <c r="C11" s="607" t="s">
        <v>8039</v>
      </c>
      <c r="D11" s="607"/>
      <c r="E11" s="545" t="s">
        <v>8032</v>
      </c>
      <c r="F11" s="543"/>
      <c r="G11" s="543"/>
      <c r="H11" s="543"/>
      <c r="I11" s="543"/>
      <c r="J11" s="543"/>
      <c r="K11" s="543"/>
      <c r="L11" s="543"/>
      <c r="M11" s="543"/>
      <c r="N11" s="543"/>
      <c r="O11" s="543"/>
      <c r="P11" s="543"/>
    </row>
    <row r="12" spans="1:16" x14ac:dyDescent="0.2">
      <c r="A12" s="615" t="s">
        <v>1233</v>
      </c>
      <c r="B12" s="615"/>
      <c r="C12" s="614">
        <v>21718825.114624172</v>
      </c>
      <c r="D12" s="614"/>
      <c r="E12" s="544" t="s">
        <v>8038</v>
      </c>
      <c r="F12" s="543"/>
      <c r="G12" s="543"/>
      <c r="H12" s="543"/>
      <c r="I12" s="543"/>
      <c r="J12" s="543"/>
      <c r="K12" s="543"/>
      <c r="L12" s="543"/>
      <c r="M12" s="543"/>
      <c r="N12" s="543"/>
      <c r="O12" s="543"/>
      <c r="P12" s="543"/>
    </row>
    <row r="13" spans="1:16" x14ac:dyDescent="0.2">
      <c r="A13" s="615" t="s">
        <v>2698</v>
      </c>
      <c r="B13" s="615"/>
      <c r="C13" s="614">
        <v>15467432.704624165</v>
      </c>
      <c r="D13" s="614"/>
      <c r="E13" s="544"/>
      <c r="F13" s="543"/>
      <c r="G13" s="543"/>
      <c r="H13" s="543"/>
      <c r="I13" s="543"/>
      <c r="J13" s="543"/>
      <c r="K13" s="543"/>
      <c r="L13" s="543"/>
      <c r="M13" s="543"/>
      <c r="N13" s="543"/>
      <c r="O13" s="543"/>
      <c r="P13" s="543"/>
    </row>
    <row r="14" spans="1:16" x14ac:dyDescent="0.2">
      <c r="A14" s="615" t="s">
        <v>8037</v>
      </c>
      <c r="B14" s="615"/>
      <c r="C14" s="614">
        <v>6251392.4100000001</v>
      </c>
      <c r="D14" s="614"/>
      <c r="E14" s="544"/>
      <c r="F14" s="543"/>
      <c r="G14" s="543"/>
      <c r="H14" s="543"/>
      <c r="I14" s="543"/>
      <c r="J14" s="543"/>
      <c r="K14" s="543"/>
      <c r="L14" s="543"/>
      <c r="M14" s="543"/>
      <c r="N14" s="543"/>
      <c r="O14" s="543"/>
      <c r="P14" s="543"/>
    </row>
    <row r="15" spans="1:16" x14ac:dyDescent="0.2">
      <c r="A15" s="543"/>
      <c r="B15" s="543"/>
      <c r="C15" s="543"/>
      <c r="D15" s="543"/>
      <c r="E15" s="543"/>
      <c r="F15" s="543"/>
      <c r="G15" s="543"/>
      <c r="H15" s="543"/>
      <c r="I15" s="543"/>
      <c r="J15" s="543"/>
      <c r="K15" s="543"/>
      <c r="L15" s="543"/>
      <c r="M15" s="543"/>
      <c r="N15" s="543"/>
      <c r="O15" s="543"/>
      <c r="P15" s="543"/>
    </row>
    <row r="16" spans="1:16" x14ac:dyDescent="0.2">
      <c r="A16" s="608" t="s">
        <v>8036</v>
      </c>
      <c r="B16" s="609"/>
      <c r="C16" s="609"/>
      <c r="D16" s="609"/>
      <c r="E16" s="609"/>
      <c r="F16" s="609"/>
      <c r="G16" s="609"/>
      <c r="H16" s="609"/>
      <c r="I16" s="609"/>
      <c r="J16" s="609"/>
      <c r="K16" s="609"/>
    </row>
    <row r="17" spans="1:11" x14ac:dyDescent="0.2">
      <c r="A17" s="606" t="s">
        <v>1230</v>
      </c>
      <c r="B17" s="606" t="s">
        <v>1569</v>
      </c>
      <c r="C17" s="606" t="s">
        <v>58</v>
      </c>
      <c r="D17" s="606" t="s">
        <v>8035</v>
      </c>
      <c r="E17" s="606" t="s">
        <v>59</v>
      </c>
      <c r="F17" s="606" t="s">
        <v>1276</v>
      </c>
      <c r="G17" s="606" t="s">
        <v>61</v>
      </c>
      <c r="H17" s="603" t="s">
        <v>1277</v>
      </c>
      <c r="I17" s="603" t="s">
        <v>8034</v>
      </c>
      <c r="J17" s="603" t="s">
        <v>8033</v>
      </c>
      <c r="K17" s="603" t="s">
        <v>8032</v>
      </c>
    </row>
    <row r="18" spans="1:11" x14ac:dyDescent="0.2">
      <c r="A18" s="606"/>
      <c r="B18" s="606"/>
      <c r="C18" s="606"/>
      <c r="D18" s="606"/>
      <c r="E18" s="606"/>
      <c r="F18" s="606"/>
      <c r="G18" s="606"/>
      <c r="H18" s="605"/>
      <c r="I18" s="604"/>
      <c r="J18" s="604"/>
      <c r="K18" s="604"/>
    </row>
    <row r="19" spans="1:11" x14ac:dyDescent="0.2">
      <c r="A19" s="542" t="s">
        <v>2100</v>
      </c>
      <c r="B19" s="541"/>
      <c r="C19" s="540"/>
      <c r="D19" s="540"/>
      <c r="E19" s="540" t="s">
        <v>8031</v>
      </c>
      <c r="F19" s="537"/>
      <c r="G19" s="537"/>
      <c r="H19" s="539"/>
      <c r="I19" s="539">
        <v>1964071.0354826401</v>
      </c>
      <c r="J19" s="538">
        <v>9.0431734917380532E-2</v>
      </c>
      <c r="K19" s="537" t="s">
        <v>399</v>
      </c>
    </row>
    <row r="20" spans="1:11" x14ac:dyDescent="0.2">
      <c r="A20" s="536" t="s">
        <v>2099</v>
      </c>
      <c r="B20" s="535"/>
      <c r="C20" s="534"/>
      <c r="D20" s="534"/>
      <c r="E20" s="534" t="s">
        <v>6806</v>
      </c>
      <c r="F20" s="531"/>
      <c r="G20" s="531"/>
      <c r="H20" s="533"/>
      <c r="I20" s="533">
        <v>228660.0833921</v>
      </c>
      <c r="J20" s="532">
        <v>1.0528197643533389E-2</v>
      </c>
      <c r="K20" s="531" t="s">
        <v>399</v>
      </c>
    </row>
    <row r="21" spans="1:11" x14ac:dyDescent="0.2">
      <c r="A21" s="203" t="s">
        <v>2261</v>
      </c>
      <c r="B21" s="530"/>
      <c r="C21" s="530"/>
      <c r="D21" s="530"/>
      <c r="E21" s="530" t="s">
        <v>7999</v>
      </c>
      <c r="F21" s="527"/>
      <c r="G21" s="527"/>
      <c r="H21" s="529"/>
      <c r="I21" s="529">
        <v>133087.986576</v>
      </c>
      <c r="J21" s="528">
        <v>6.1277709946836127E-3</v>
      </c>
      <c r="K21" s="527" t="s">
        <v>399</v>
      </c>
    </row>
    <row r="22" spans="1:11" x14ac:dyDescent="0.2">
      <c r="A22" s="526" t="s">
        <v>2262</v>
      </c>
      <c r="B22" s="525"/>
      <c r="C22" s="524"/>
      <c r="D22" s="524"/>
      <c r="E22" s="523" t="s">
        <v>7997</v>
      </c>
      <c r="F22" s="520" t="s">
        <v>1242</v>
      </c>
      <c r="G22" s="520">
        <v>35.770000000000003</v>
      </c>
      <c r="H22" s="522">
        <v>0</v>
      </c>
      <c r="I22" s="522">
        <v>0</v>
      </c>
      <c r="J22" s="521"/>
      <c r="K22" s="520" t="s">
        <v>399</v>
      </c>
    </row>
    <row r="23" spans="1:11" x14ac:dyDescent="0.2">
      <c r="A23" s="519" t="s">
        <v>2263</v>
      </c>
      <c r="B23" s="518"/>
      <c r="C23" s="517"/>
      <c r="D23" s="517"/>
      <c r="E23" s="516" t="s">
        <v>7995</v>
      </c>
      <c r="F23" s="513" t="s">
        <v>1242</v>
      </c>
      <c r="G23" s="513">
        <v>171.98</v>
      </c>
      <c r="H23" s="515">
        <v>0</v>
      </c>
      <c r="I23" s="515">
        <v>0</v>
      </c>
      <c r="J23" s="514"/>
      <c r="K23" s="513" t="s">
        <v>399</v>
      </c>
    </row>
    <row r="24" spans="1:11" ht="25.5" x14ac:dyDescent="0.2">
      <c r="A24" s="526" t="s">
        <v>2264</v>
      </c>
      <c r="B24" s="525" t="s">
        <v>7260</v>
      </c>
      <c r="C24" s="524" t="s">
        <v>7259</v>
      </c>
      <c r="D24" s="524" t="s">
        <v>7993</v>
      </c>
      <c r="E24" s="523" t="s">
        <v>7992</v>
      </c>
      <c r="F24" s="520" t="s">
        <v>641</v>
      </c>
      <c r="G24" s="520">
        <v>1262.8800000000001</v>
      </c>
      <c r="H24" s="522">
        <v>25.096</v>
      </c>
      <c r="I24" s="522">
        <v>31693.236480000003</v>
      </c>
      <c r="J24" s="521">
        <v>1.459251884608604E-3</v>
      </c>
      <c r="K24" s="520" t="s">
        <v>399</v>
      </c>
    </row>
    <row r="25" spans="1:11" ht="25.5" x14ac:dyDescent="0.2">
      <c r="A25" s="519" t="s">
        <v>2900</v>
      </c>
      <c r="B25" s="518" t="s">
        <v>7260</v>
      </c>
      <c r="C25" s="517" t="s">
        <v>7259</v>
      </c>
      <c r="D25" s="517" t="s">
        <v>7990</v>
      </c>
      <c r="E25" s="516" t="s">
        <v>7989</v>
      </c>
      <c r="F25" s="513" t="s">
        <v>641</v>
      </c>
      <c r="G25" s="513">
        <v>1610.87</v>
      </c>
      <c r="H25" s="515">
        <v>40.766399999999997</v>
      </c>
      <c r="I25" s="515">
        <v>65669.370767999993</v>
      </c>
      <c r="J25" s="514">
        <v>3.0236152472070013E-3</v>
      </c>
      <c r="K25" s="513" t="s">
        <v>399</v>
      </c>
    </row>
    <row r="26" spans="1:11" ht="25.5" x14ac:dyDescent="0.2">
      <c r="A26" s="526" t="s">
        <v>2901</v>
      </c>
      <c r="B26" s="525" t="s">
        <v>7260</v>
      </c>
      <c r="C26" s="524" t="s">
        <v>7259</v>
      </c>
      <c r="D26" s="524" t="s">
        <v>7987</v>
      </c>
      <c r="E26" s="523" t="s">
        <v>7986</v>
      </c>
      <c r="F26" s="520" t="s">
        <v>641</v>
      </c>
      <c r="G26" s="520">
        <v>631.36</v>
      </c>
      <c r="H26" s="522">
        <v>56.584800000000001</v>
      </c>
      <c r="I26" s="522">
        <v>35725.379328000003</v>
      </c>
      <c r="J26" s="521">
        <v>1.6449038628680078E-3</v>
      </c>
      <c r="K26" s="520" t="s">
        <v>399</v>
      </c>
    </row>
    <row r="27" spans="1:11" x14ac:dyDescent="0.2">
      <c r="A27" s="203" t="s">
        <v>2265</v>
      </c>
      <c r="B27" s="530"/>
      <c r="C27" s="530"/>
      <c r="D27" s="530"/>
      <c r="E27" s="530" t="s">
        <v>7984</v>
      </c>
      <c r="F27" s="527"/>
      <c r="G27" s="527"/>
      <c r="H27" s="529"/>
      <c r="I27" s="529">
        <v>0</v>
      </c>
      <c r="J27" s="528"/>
      <c r="K27" s="527" t="s">
        <v>399</v>
      </c>
    </row>
    <row r="28" spans="1:11" x14ac:dyDescent="0.2">
      <c r="A28" s="519" t="s">
        <v>2266</v>
      </c>
      <c r="B28" s="518"/>
      <c r="C28" s="517"/>
      <c r="D28" s="517"/>
      <c r="E28" s="516" t="s">
        <v>8014</v>
      </c>
      <c r="F28" s="513" t="s">
        <v>1242</v>
      </c>
      <c r="G28" s="513">
        <v>1.49</v>
      </c>
      <c r="H28" s="515">
        <v>0</v>
      </c>
      <c r="I28" s="515">
        <v>0</v>
      </c>
      <c r="J28" s="514"/>
      <c r="K28" s="513" t="s">
        <v>399</v>
      </c>
    </row>
    <row r="29" spans="1:11" x14ac:dyDescent="0.2">
      <c r="A29" s="526" t="s">
        <v>2902</v>
      </c>
      <c r="B29" s="525"/>
      <c r="C29" s="524"/>
      <c r="D29" s="524"/>
      <c r="E29" s="523" t="s">
        <v>7982</v>
      </c>
      <c r="F29" s="520" t="s">
        <v>1242</v>
      </c>
      <c r="G29" s="520">
        <v>252.44</v>
      </c>
      <c r="H29" s="522">
        <v>0</v>
      </c>
      <c r="I29" s="522">
        <v>0</v>
      </c>
      <c r="J29" s="521"/>
      <c r="K29" s="520" t="s">
        <v>399</v>
      </c>
    </row>
    <row r="30" spans="1:11" x14ac:dyDescent="0.2">
      <c r="A30" s="519" t="s">
        <v>8030</v>
      </c>
      <c r="B30" s="518"/>
      <c r="C30" s="517"/>
      <c r="D30" s="517"/>
      <c r="E30" s="516" t="s">
        <v>7980</v>
      </c>
      <c r="F30" s="513" t="s">
        <v>1242</v>
      </c>
      <c r="G30" s="513">
        <v>774.4</v>
      </c>
      <c r="H30" s="515">
        <v>0</v>
      </c>
      <c r="I30" s="515">
        <v>0</v>
      </c>
      <c r="J30" s="514"/>
      <c r="K30" s="513" t="s">
        <v>399</v>
      </c>
    </row>
    <row r="31" spans="1:11" x14ac:dyDescent="0.2">
      <c r="A31" s="203" t="s">
        <v>2267</v>
      </c>
      <c r="B31" s="530"/>
      <c r="C31" s="530"/>
      <c r="D31" s="530"/>
      <c r="E31" s="530" t="s">
        <v>7978</v>
      </c>
      <c r="F31" s="527"/>
      <c r="G31" s="527"/>
      <c r="H31" s="529"/>
      <c r="I31" s="529">
        <v>95572.096816099991</v>
      </c>
      <c r="J31" s="528">
        <v>4.4004266488497758E-3</v>
      </c>
      <c r="K31" s="527" t="s">
        <v>399</v>
      </c>
    </row>
    <row r="32" spans="1:11" ht="25.5" x14ac:dyDescent="0.2">
      <c r="A32" s="526" t="s">
        <v>2268</v>
      </c>
      <c r="B32" s="525" t="s">
        <v>7260</v>
      </c>
      <c r="C32" s="524" t="s">
        <v>7259</v>
      </c>
      <c r="D32" s="524" t="s">
        <v>7969</v>
      </c>
      <c r="E32" s="523" t="s">
        <v>7968</v>
      </c>
      <c r="F32" s="520" t="s">
        <v>787</v>
      </c>
      <c r="G32" s="520">
        <v>104.16</v>
      </c>
      <c r="H32" s="522">
        <v>43.712511999999997</v>
      </c>
      <c r="I32" s="522">
        <v>4553.0952499199993</v>
      </c>
      <c r="J32" s="521">
        <v>2.0963819294507851E-4</v>
      </c>
      <c r="K32" s="520" t="s">
        <v>399</v>
      </c>
    </row>
    <row r="33" spans="1:11" ht="25.5" x14ac:dyDescent="0.2">
      <c r="A33" s="519" t="s">
        <v>2903</v>
      </c>
      <c r="B33" s="518" t="s">
        <v>7260</v>
      </c>
      <c r="C33" s="517" t="s">
        <v>7259</v>
      </c>
      <c r="D33" s="517" t="s">
        <v>7975</v>
      </c>
      <c r="E33" s="516" t="s">
        <v>7974</v>
      </c>
      <c r="F33" s="513" t="s">
        <v>787</v>
      </c>
      <c r="G33" s="513">
        <v>18470.23</v>
      </c>
      <c r="H33" s="515">
        <v>3.6337980000000001</v>
      </c>
      <c r="I33" s="515">
        <v>67117.084833539993</v>
      </c>
      <c r="J33" s="514">
        <v>3.0902723549418574E-3</v>
      </c>
      <c r="K33" s="513" t="s">
        <v>399</v>
      </c>
    </row>
    <row r="34" spans="1:11" ht="25.5" x14ac:dyDescent="0.2">
      <c r="A34" s="526" t="s">
        <v>8029</v>
      </c>
      <c r="B34" s="525" t="s">
        <v>7260</v>
      </c>
      <c r="C34" s="524" t="s">
        <v>7259</v>
      </c>
      <c r="D34" s="524" t="s">
        <v>7972</v>
      </c>
      <c r="E34" s="523" t="s">
        <v>7971</v>
      </c>
      <c r="F34" s="520" t="s">
        <v>1242</v>
      </c>
      <c r="G34" s="520">
        <v>2370.59</v>
      </c>
      <c r="H34" s="522">
        <v>1.85</v>
      </c>
      <c r="I34" s="522">
        <v>4385.5915000000005</v>
      </c>
      <c r="J34" s="521">
        <v>2.0192581674443349E-4</v>
      </c>
      <c r="K34" s="520" t="s">
        <v>399</v>
      </c>
    </row>
    <row r="35" spans="1:11" ht="25.5" x14ac:dyDescent="0.2">
      <c r="A35" s="519" t="s">
        <v>8028</v>
      </c>
      <c r="B35" s="518" t="s">
        <v>7260</v>
      </c>
      <c r="C35" s="517" t="s">
        <v>7259</v>
      </c>
      <c r="D35" s="517" t="s">
        <v>7969</v>
      </c>
      <c r="E35" s="516" t="s">
        <v>7968</v>
      </c>
      <c r="F35" s="513" t="s">
        <v>787</v>
      </c>
      <c r="G35" s="513">
        <v>446.47</v>
      </c>
      <c r="H35" s="515">
        <v>43.712511999999997</v>
      </c>
      <c r="I35" s="515">
        <v>19516.32523264</v>
      </c>
      <c r="J35" s="514">
        <v>8.9859028421840651E-4</v>
      </c>
      <c r="K35" s="513" t="s">
        <v>399</v>
      </c>
    </row>
    <row r="36" spans="1:11" x14ac:dyDescent="0.2">
      <c r="A36" s="203" t="s">
        <v>2269</v>
      </c>
      <c r="B36" s="530"/>
      <c r="C36" s="530"/>
      <c r="D36" s="530"/>
      <c r="E36" s="530" t="s">
        <v>7966</v>
      </c>
      <c r="F36" s="527"/>
      <c r="G36" s="527"/>
      <c r="H36" s="529"/>
      <c r="I36" s="529">
        <v>0</v>
      </c>
      <c r="J36" s="528"/>
      <c r="K36" s="527" t="s">
        <v>399</v>
      </c>
    </row>
    <row r="37" spans="1:11" x14ac:dyDescent="0.2">
      <c r="A37" s="526" t="s">
        <v>2270</v>
      </c>
      <c r="B37" s="525"/>
      <c r="C37" s="524"/>
      <c r="D37" s="524"/>
      <c r="E37" s="523" t="s">
        <v>7964</v>
      </c>
      <c r="F37" s="520" t="s">
        <v>1242</v>
      </c>
      <c r="G37" s="520">
        <v>4045.19</v>
      </c>
      <c r="H37" s="522">
        <v>0</v>
      </c>
      <c r="I37" s="522">
        <v>0</v>
      </c>
      <c r="J37" s="521"/>
      <c r="K37" s="520" t="s">
        <v>399</v>
      </c>
    </row>
    <row r="38" spans="1:11" x14ac:dyDescent="0.2">
      <c r="A38" s="519" t="s">
        <v>8027</v>
      </c>
      <c r="B38" s="518"/>
      <c r="C38" s="517"/>
      <c r="D38" s="517"/>
      <c r="E38" s="516" t="s">
        <v>7962</v>
      </c>
      <c r="F38" s="513" t="s">
        <v>1242</v>
      </c>
      <c r="G38" s="513">
        <v>1028.33</v>
      </c>
      <c r="H38" s="515">
        <v>0</v>
      </c>
      <c r="I38" s="515">
        <v>0</v>
      </c>
      <c r="J38" s="514"/>
      <c r="K38" s="513" t="s">
        <v>399</v>
      </c>
    </row>
    <row r="39" spans="1:11" x14ac:dyDescent="0.2">
      <c r="A39" s="203" t="s">
        <v>2271</v>
      </c>
      <c r="B39" s="530"/>
      <c r="C39" s="530"/>
      <c r="D39" s="530"/>
      <c r="E39" s="530" t="s">
        <v>7960</v>
      </c>
      <c r="F39" s="527"/>
      <c r="G39" s="527"/>
      <c r="H39" s="529"/>
      <c r="I39" s="529">
        <v>0</v>
      </c>
      <c r="J39" s="528"/>
      <c r="K39" s="527" t="s">
        <v>399</v>
      </c>
    </row>
    <row r="40" spans="1:11" x14ac:dyDescent="0.2">
      <c r="A40" s="526" t="s">
        <v>2272</v>
      </c>
      <c r="B40" s="525"/>
      <c r="C40" s="524"/>
      <c r="D40" s="524"/>
      <c r="E40" s="523" t="s">
        <v>7958</v>
      </c>
      <c r="F40" s="520" t="s">
        <v>1242</v>
      </c>
      <c r="G40" s="520">
        <v>14.56</v>
      </c>
      <c r="H40" s="522">
        <v>0</v>
      </c>
      <c r="I40" s="522">
        <v>0</v>
      </c>
      <c r="J40" s="521"/>
      <c r="K40" s="520" t="s">
        <v>399</v>
      </c>
    </row>
    <row r="41" spans="1:11" x14ac:dyDescent="0.2">
      <c r="A41" s="536" t="s">
        <v>8026</v>
      </c>
      <c r="B41" s="535"/>
      <c r="C41" s="534"/>
      <c r="D41" s="534"/>
      <c r="E41" s="534" t="s">
        <v>6938</v>
      </c>
      <c r="F41" s="531"/>
      <c r="G41" s="531"/>
      <c r="H41" s="533"/>
      <c r="I41" s="533">
        <v>45754.495123260007</v>
      </c>
      <c r="J41" s="532">
        <v>2.1066745038824239E-3</v>
      </c>
      <c r="K41" s="531" t="s">
        <v>399</v>
      </c>
    </row>
    <row r="42" spans="1:11" x14ac:dyDescent="0.2">
      <c r="A42" s="203" t="s">
        <v>8025</v>
      </c>
      <c r="B42" s="530"/>
      <c r="C42" s="530"/>
      <c r="D42" s="530"/>
      <c r="E42" s="530" t="s">
        <v>7978</v>
      </c>
      <c r="F42" s="527"/>
      <c r="G42" s="527"/>
      <c r="H42" s="529"/>
      <c r="I42" s="529">
        <v>45754.495123260007</v>
      </c>
      <c r="J42" s="528">
        <v>2.1066745038824239E-3</v>
      </c>
      <c r="K42" s="527" t="s">
        <v>399</v>
      </c>
    </row>
    <row r="43" spans="1:11" ht="25.5" x14ac:dyDescent="0.2">
      <c r="A43" s="519" t="s">
        <v>8024</v>
      </c>
      <c r="B43" s="518" t="s">
        <v>7260</v>
      </c>
      <c r="C43" s="517" t="s">
        <v>7259</v>
      </c>
      <c r="D43" s="517" t="s">
        <v>7975</v>
      </c>
      <c r="E43" s="516" t="s">
        <v>7974</v>
      </c>
      <c r="F43" s="513" t="s">
        <v>787</v>
      </c>
      <c r="G43" s="513">
        <v>12591.37</v>
      </c>
      <c r="H43" s="515">
        <v>3.6337980000000001</v>
      </c>
      <c r="I43" s="515">
        <v>45754.495123260007</v>
      </c>
      <c r="J43" s="514">
        <v>2.1066745038824239E-3</v>
      </c>
      <c r="K43" s="513" t="s">
        <v>399</v>
      </c>
    </row>
    <row r="44" spans="1:11" x14ac:dyDescent="0.2">
      <c r="A44" s="536" t="s">
        <v>8023</v>
      </c>
      <c r="B44" s="535"/>
      <c r="C44" s="534"/>
      <c r="D44" s="534"/>
      <c r="E44" s="534" t="s">
        <v>6932</v>
      </c>
      <c r="F44" s="531"/>
      <c r="G44" s="531"/>
      <c r="H44" s="533"/>
      <c r="I44" s="533">
        <v>823378.31908238004</v>
      </c>
      <c r="J44" s="532">
        <v>3.7910813072847376E-2</v>
      </c>
      <c r="K44" s="531" t="s">
        <v>399</v>
      </c>
    </row>
    <row r="45" spans="1:11" x14ac:dyDescent="0.2">
      <c r="A45" s="203" t="s">
        <v>8022</v>
      </c>
      <c r="B45" s="530"/>
      <c r="C45" s="530"/>
      <c r="D45" s="530"/>
      <c r="E45" s="530" t="s">
        <v>7999</v>
      </c>
      <c r="F45" s="527"/>
      <c r="G45" s="527"/>
      <c r="H45" s="529"/>
      <c r="I45" s="529">
        <v>416102.63715999998</v>
      </c>
      <c r="J45" s="528">
        <v>1.9158616313910141E-2</v>
      </c>
      <c r="K45" s="527" t="s">
        <v>399</v>
      </c>
    </row>
    <row r="46" spans="1:11" x14ac:dyDescent="0.2">
      <c r="A46" s="526" t="s">
        <v>8021</v>
      </c>
      <c r="B46" s="525"/>
      <c r="C46" s="524"/>
      <c r="D46" s="524"/>
      <c r="E46" s="523" t="s">
        <v>7997</v>
      </c>
      <c r="F46" s="520" t="s">
        <v>1242</v>
      </c>
      <c r="G46" s="520">
        <v>1074.45</v>
      </c>
      <c r="H46" s="522">
        <v>0</v>
      </c>
      <c r="I46" s="522">
        <v>0</v>
      </c>
      <c r="J46" s="521"/>
      <c r="K46" s="520" t="s">
        <v>399</v>
      </c>
    </row>
    <row r="47" spans="1:11" x14ac:dyDescent="0.2">
      <c r="A47" s="519" t="s">
        <v>8020</v>
      </c>
      <c r="B47" s="518"/>
      <c r="C47" s="517"/>
      <c r="D47" s="517"/>
      <c r="E47" s="516" t="s">
        <v>7995</v>
      </c>
      <c r="F47" s="513" t="s">
        <v>1242</v>
      </c>
      <c r="G47" s="513">
        <v>1364.5</v>
      </c>
      <c r="H47" s="515">
        <v>0</v>
      </c>
      <c r="I47" s="515">
        <v>0</v>
      </c>
      <c r="J47" s="514"/>
      <c r="K47" s="513" t="s">
        <v>399</v>
      </c>
    </row>
    <row r="48" spans="1:11" ht="25.5" x14ac:dyDescent="0.2">
      <c r="A48" s="526" t="s">
        <v>8019</v>
      </c>
      <c r="B48" s="525" t="s">
        <v>7260</v>
      </c>
      <c r="C48" s="524" t="s">
        <v>7259</v>
      </c>
      <c r="D48" s="524" t="s">
        <v>7993</v>
      </c>
      <c r="E48" s="523" t="s">
        <v>7992</v>
      </c>
      <c r="F48" s="520" t="s">
        <v>641</v>
      </c>
      <c r="G48" s="520">
        <v>7270.36</v>
      </c>
      <c r="H48" s="522">
        <v>25.096</v>
      </c>
      <c r="I48" s="522">
        <v>182456.95455999998</v>
      </c>
      <c r="J48" s="521">
        <v>8.4008666950011156E-3</v>
      </c>
      <c r="K48" s="520" t="s">
        <v>399</v>
      </c>
    </row>
    <row r="49" spans="1:11" ht="25.5" x14ac:dyDescent="0.2">
      <c r="A49" s="519" t="s">
        <v>8018</v>
      </c>
      <c r="B49" s="518" t="s">
        <v>7260</v>
      </c>
      <c r="C49" s="517" t="s">
        <v>7259</v>
      </c>
      <c r="D49" s="517" t="s">
        <v>7990</v>
      </c>
      <c r="E49" s="516" t="s">
        <v>7989</v>
      </c>
      <c r="F49" s="513" t="s">
        <v>641</v>
      </c>
      <c r="G49" s="513">
        <v>4090.42</v>
      </c>
      <c r="H49" s="515">
        <v>40.766399999999997</v>
      </c>
      <c r="I49" s="515">
        <v>166751.697888</v>
      </c>
      <c r="J49" s="514">
        <v>7.6777494642525238E-3</v>
      </c>
      <c r="K49" s="513" t="s">
        <v>399</v>
      </c>
    </row>
    <row r="50" spans="1:11" ht="25.5" x14ac:dyDescent="0.2">
      <c r="A50" s="526" t="s">
        <v>8017</v>
      </c>
      <c r="B50" s="525" t="s">
        <v>7260</v>
      </c>
      <c r="C50" s="524" t="s">
        <v>7259</v>
      </c>
      <c r="D50" s="524" t="s">
        <v>7987</v>
      </c>
      <c r="E50" s="523" t="s">
        <v>7986</v>
      </c>
      <c r="F50" s="520" t="s">
        <v>641</v>
      </c>
      <c r="G50" s="520">
        <v>1182.19</v>
      </c>
      <c r="H50" s="522">
        <v>56.584800000000001</v>
      </c>
      <c r="I50" s="522">
        <v>66893.984712000005</v>
      </c>
      <c r="J50" s="521">
        <v>3.0800001546565036E-3</v>
      </c>
      <c r="K50" s="520" t="s">
        <v>399</v>
      </c>
    </row>
    <row r="51" spans="1:11" x14ac:dyDescent="0.2">
      <c r="A51" s="203" t="s">
        <v>8016</v>
      </c>
      <c r="B51" s="530"/>
      <c r="C51" s="530"/>
      <c r="D51" s="530"/>
      <c r="E51" s="530" t="s">
        <v>7984</v>
      </c>
      <c r="F51" s="527"/>
      <c r="G51" s="527"/>
      <c r="H51" s="529"/>
      <c r="I51" s="529">
        <v>0</v>
      </c>
      <c r="J51" s="528"/>
      <c r="K51" s="527" t="s">
        <v>399</v>
      </c>
    </row>
    <row r="52" spans="1:11" x14ac:dyDescent="0.2">
      <c r="A52" s="519" t="s">
        <v>8015</v>
      </c>
      <c r="B52" s="518"/>
      <c r="C52" s="517"/>
      <c r="D52" s="517"/>
      <c r="E52" s="516" t="s">
        <v>8014</v>
      </c>
      <c r="F52" s="513" t="s">
        <v>1242</v>
      </c>
      <c r="G52" s="513">
        <v>363.8</v>
      </c>
      <c r="H52" s="515">
        <v>0</v>
      </c>
      <c r="I52" s="515">
        <v>0</v>
      </c>
      <c r="J52" s="514"/>
      <c r="K52" s="513" t="s">
        <v>399</v>
      </c>
    </row>
    <row r="53" spans="1:11" x14ac:dyDescent="0.2">
      <c r="A53" s="526" t="s">
        <v>8013</v>
      </c>
      <c r="B53" s="525"/>
      <c r="C53" s="524"/>
      <c r="D53" s="524"/>
      <c r="E53" s="523" t="s">
        <v>7982</v>
      </c>
      <c r="F53" s="520" t="s">
        <v>1242</v>
      </c>
      <c r="G53" s="520">
        <v>128.55000000000001</v>
      </c>
      <c r="H53" s="522">
        <v>0</v>
      </c>
      <c r="I53" s="522">
        <v>0</v>
      </c>
      <c r="J53" s="521"/>
      <c r="K53" s="520" t="s">
        <v>399</v>
      </c>
    </row>
    <row r="54" spans="1:11" x14ac:dyDescent="0.2">
      <c r="A54" s="519" t="s">
        <v>8012</v>
      </c>
      <c r="B54" s="518"/>
      <c r="C54" s="517"/>
      <c r="D54" s="517"/>
      <c r="E54" s="516" t="s">
        <v>7980</v>
      </c>
      <c r="F54" s="513" t="s">
        <v>1242</v>
      </c>
      <c r="G54" s="513">
        <v>862.58</v>
      </c>
      <c r="H54" s="515">
        <v>0</v>
      </c>
      <c r="I54" s="515">
        <v>0</v>
      </c>
      <c r="J54" s="514"/>
      <c r="K54" s="513" t="s">
        <v>399</v>
      </c>
    </row>
    <row r="55" spans="1:11" x14ac:dyDescent="0.2">
      <c r="A55" s="203" t="s">
        <v>8011</v>
      </c>
      <c r="B55" s="530"/>
      <c r="C55" s="530"/>
      <c r="D55" s="530"/>
      <c r="E55" s="530" t="s">
        <v>7978</v>
      </c>
      <c r="F55" s="527"/>
      <c r="G55" s="527"/>
      <c r="H55" s="529"/>
      <c r="I55" s="529">
        <v>407275.68192238</v>
      </c>
      <c r="J55" s="528">
        <v>1.8752196758937235E-2</v>
      </c>
      <c r="K55" s="527" t="s">
        <v>399</v>
      </c>
    </row>
    <row r="56" spans="1:11" ht="25.5" x14ac:dyDescent="0.2">
      <c r="A56" s="526" t="s">
        <v>8010</v>
      </c>
      <c r="B56" s="525" t="s">
        <v>7260</v>
      </c>
      <c r="C56" s="524" t="s">
        <v>7259</v>
      </c>
      <c r="D56" s="524" t="s">
        <v>7969</v>
      </c>
      <c r="E56" s="523" t="s">
        <v>7968</v>
      </c>
      <c r="F56" s="520" t="s">
        <v>787</v>
      </c>
      <c r="G56" s="520">
        <v>1151.26</v>
      </c>
      <c r="H56" s="522">
        <v>43.712511999999997</v>
      </c>
      <c r="I56" s="522">
        <v>50324.466565119998</v>
      </c>
      <c r="J56" s="521">
        <v>2.3170897274380868E-3</v>
      </c>
      <c r="K56" s="520" t="s">
        <v>399</v>
      </c>
    </row>
    <row r="57" spans="1:11" ht="25.5" x14ac:dyDescent="0.2">
      <c r="A57" s="519" t="s">
        <v>8009</v>
      </c>
      <c r="B57" s="518" t="s">
        <v>7260</v>
      </c>
      <c r="C57" s="517" t="s">
        <v>7259</v>
      </c>
      <c r="D57" s="517" t="s">
        <v>7975</v>
      </c>
      <c r="E57" s="516" t="s">
        <v>7974</v>
      </c>
      <c r="F57" s="513" t="s">
        <v>787</v>
      </c>
      <c r="G57" s="513">
        <v>62783.49</v>
      </c>
      <c r="H57" s="515">
        <v>3.6337980000000001</v>
      </c>
      <c r="I57" s="515">
        <v>228142.52039501999</v>
      </c>
      <c r="J57" s="514">
        <v>1.0504367487235869E-2</v>
      </c>
      <c r="K57" s="513" t="s">
        <v>399</v>
      </c>
    </row>
    <row r="58" spans="1:11" ht="25.5" x14ac:dyDescent="0.2">
      <c r="A58" s="526" t="s">
        <v>8008</v>
      </c>
      <c r="B58" s="525" t="s">
        <v>7260</v>
      </c>
      <c r="C58" s="524" t="s">
        <v>7259</v>
      </c>
      <c r="D58" s="524" t="s">
        <v>7972</v>
      </c>
      <c r="E58" s="523" t="s">
        <v>7971</v>
      </c>
      <c r="F58" s="520" t="s">
        <v>1242</v>
      </c>
      <c r="G58" s="520">
        <v>8168.42</v>
      </c>
      <c r="H58" s="522">
        <v>1.85</v>
      </c>
      <c r="I58" s="522">
        <v>15111.577000000001</v>
      </c>
      <c r="J58" s="521">
        <v>6.957824339137368E-4</v>
      </c>
      <c r="K58" s="520" t="s">
        <v>399</v>
      </c>
    </row>
    <row r="59" spans="1:11" ht="25.5" x14ac:dyDescent="0.2">
      <c r="A59" s="519" t="s">
        <v>8007</v>
      </c>
      <c r="B59" s="518" t="s">
        <v>7260</v>
      </c>
      <c r="C59" s="517" t="s">
        <v>7259</v>
      </c>
      <c r="D59" s="517" t="s">
        <v>7969</v>
      </c>
      <c r="E59" s="516" t="s">
        <v>7968</v>
      </c>
      <c r="F59" s="513" t="s">
        <v>787</v>
      </c>
      <c r="G59" s="513">
        <v>2601.02</v>
      </c>
      <c r="H59" s="515">
        <v>43.712511999999997</v>
      </c>
      <c r="I59" s="515">
        <v>113697.11796223999</v>
      </c>
      <c r="J59" s="514">
        <v>5.2349571103495413E-3</v>
      </c>
      <c r="K59" s="513" t="s">
        <v>399</v>
      </c>
    </row>
    <row r="60" spans="1:11" x14ac:dyDescent="0.2">
      <c r="A60" s="203" t="s">
        <v>8006</v>
      </c>
      <c r="B60" s="530"/>
      <c r="C60" s="530"/>
      <c r="D60" s="530"/>
      <c r="E60" s="530" t="s">
        <v>7966</v>
      </c>
      <c r="F60" s="527"/>
      <c r="G60" s="527"/>
      <c r="H60" s="529"/>
      <c r="I60" s="529">
        <v>0</v>
      </c>
      <c r="J60" s="528"/>
      <c r="K60" s="527" t="s">
        <v>399</v>
      </c>
    </row>
    <row r="61" spans="1:11" x14ac:dyDescent="0.2">
      <c r="A61" s="526" t="s">
        <v>8005</v>
      </c>
      <c r="B61" s="525"/>
      <c r="C61" s="524"/>
      <c r="D61" s="524"/>
      <c r="E61" s="523" t="s">
        <v>7964</v>
      </c>
      <c r="F61" s="520" t="s">
        <v>1242</v>
      </c>
      <c r="G61" s="520">
        <v>16873.23</v>
      </c>
      <c r="H61" s="522">
        <v>0</v>
      </c>
      <c r="I61" s="522">
        <v>0</v>
      </c>
      <c r="J61" s="521"/>
      <c r="K61" s="520" t="s">
        <v>399</v>
      </c>
    </row>
    <row r="62" spans="1:11" x14ac:dyDescent="0.2">
      <c r="A62" s="519" t="s">
        <v>8004</v>
      </c>
      <c r="B62" s="518"/>
      <c r="C62" s="517"/>
      <c r="D62" s="517"/>
      <c r="E62" s="516" t="s">
        <v>7962</v>
      </c>
      <c r="F62" s="513" t="s">
        <v>1242</v>
      </c>
      <c r="G62" s="513">
        <v>1354.93</v>
      </c>
      <c r="H62" s="515">
        <v>0</v>
      </c>
      <c r="I62" s="515">
        <v>0</v>
      </c>
      <c r="J62" s="514"/>
      <c r="K62" s="513" t="s">
        <v>399</v>
      </c>
    </row>
    <row r="63" spans="1:11" x14ac:dyDescent="0.2">
      <c r="A63" s="203" t="s">
        <v>8003</v>
      </c>
      <c r="B63" s="530"/>
      <c r="C63" s="530"/>
      <c r="D63" s="530"/>
      <c r="E63" s="530" t="s">
        <v>7960</v>
      </c>
      <c r="F63" s="527"/>
      <c r="G63" s="527"/>
      <c r="H63" s="529"/>
      <c r="I63" s="529">
        <v>0</v>
      </c>
      <c r="J63" s="528"/>
      <c r="K63" s="527" t="s">
        <v>399</v>
      </c>
    </row>
    <row r="64" spans="1:11" x14ac:dyDescent="0.2">
      <c r="A64" s="526" t="s">
        <v>8002</v>
      </c>
      <c r="B64" s="525"/>
      <c r="C64" s="524"/>
      <c r="D64" s="524"/>
      <c r="E64" s="523" t="s">
        <v>7958</v>
      </c>
      <c r="F64" s="520" t="s">
        <v>1242</v>
      </c>
      <c r="G64" s="520">
        <v>287.37</v>
      </c>
      <c r="H64" s="522">
        <v>0</v>
      </c>
      <c r="I64" s="522">
        <v>0</v>
      </c>
      <c r="J64" s="521"/>
      <c r="K64" s="520" t="s">
        <v>399</v>
      </c>
    </row>
    <row r="65" spans="1:11" x14ac:dyDescent="0.2">
      <c r="A65" s="536" t="s">
        <v>8001</v>
      </c>
      <c r="B65" s="535"/>
      <c r="C65" s="534"/>
      <c r="D65" s="534"/>
      <c r="E65" s="534" t="s">
        <v>6881</v>
      </c>
      <c r="F65" s="531"/>
      <c r="G65" s="531"/>
      <c r="H65" s="533"/>
      <c r="I65" s="533">
        <v>866278.13788489997</v>
      </c>
      <c r="J65" s="532">
        <v>3.9886049697117343E-2</v>
      </c>
      <c r="K65" s="531" t="s">
        <v>399</v>
      </c>
    </row>
    <row r="66" spans="1:11" x14ac:dyDescent="0.2">
      <c r="A66" s="203" t="s">
        <v>8000</v>
      </c>
      <c r="B66" s="530"/>
      <c r="C66" s="530"/>
      <c r="D66" s="530"/>
      <c r="E66" s="530" t="s">
        <v>7999</v>
      </c>
      <c r="F66" s="527"/>
      <c r="G66" s="527"/>
      <c r="H66" s="529"/>
      <c r="I66" s="529">
        <v>489178.45093599998</v>
      </c>
      <c r="J66" s="528">
        <v>2.2523246462655851E-2</v>
      </c>
      <c r="K66" s="527" t="s">
        <v>399</v>
      </c>
    </row>
    <row r="67" spans="1:11" x14ac:dyDescent="0.2">
      <c r="A67" s="519" t="s">
        <v>7998</v>
      </c>
      <c r="B67" s="518"/>
      <c r="C67" s="517"/>
      <c r="D67" s="517"/>
      <c r="E67" s="516" t="s">
        <v>7997</v>
      </c>
      <c r="F67" s="513" t="s">
        <v>1242</v>
      </c>
      <c r="G67" s="513">
        <v>398.15</v>
      </c>
      <c r="H67" s="515">
        <v>0</v>
      </c>
      <c r="I67" s="515">
        <v>0</v>
      </c>
      <c r="J67" s="514"/>
      <c r="K67" s="513" t="s">
        <v>399</v>
      </c>
    </row>
    <row r="68" spans="1:11" x14ac:dyDescent="0.2">
      <c r="A68" s="526" t="s">
        <v>7996</v>
      </c>
      <c r="B68" s="525"/>
      <c r="C68" s="524"/>
      <c r="D68" s="524"/>
      <c r="E68" s="523" t="s">
        <v>7995</v>
      </c>
      <c r="F68" s="520" t="s">
        <v>1242</v>
      </c>
      <c r="G68" s="520">
        <v>3063.66</v>
      </c>
      <c r="H68" s="522">
        <v>0</v>
      </c>
      <c r="I68" s="522">
        <v>0</v>
      </c>
      <c r="J68" s="521"/>
      <c r="K68" s="520" t="s">
        <v>399</v>
      </c>
    </row>
    <row r="69" spans="1:11" ht="25.5" x14ac:dyDescent="0.2">
      <c r="A69" s="519" t="s">
        <v>7994</v>
      </c>
      <c r="B69" s="518" t="s">
        <v>7260</v>
      </c>
      <c r="C69" s="517" t="s">
        <v>7259</v>
      </c>
      <c r="D69" s="517" t="s">
        <v>7993</v>
      </c>
      <c r="E69" s="516" t="s">
        <v>7992</v>
      </c>
      <c r="F69" s="513" t="s">
        <v>641</v>
      </c>
      <c r="G69" s="513">
        <v>8394.2800000000007</v>
      </c>
      <c r="H69" s="515">
        <v>25.096</v>
      </c>
      <c r="I69" s="515">
        <v>210662.85088000001</v>
      </c>
      <c r="J69" s="514">
        <v>9.6995509549064936E-3</v>
      </c>
      <c r="K69" s="513" t="s">
        <v>399</v>
      </c>
    </row>
    <row r="70" spans="1:11" ht="25.5" x14ac:dyDescent="0.2">
      <c r="A70" s="526" t="s">
        <v>7991</v>
      </c>
      <c r="B70" s="525" t="s">
        <v>7260</v>
      </c>
      <c r="C70" s="524" t="s">
        <v>7259</v>
      </c>
      <c r="D70" s="524" t="s">
        <v>7990</v>
      </c>
      <c r="E70" s="523" t="s">
        <v>7989</v>
      </c>
      <c r="F70" s="520" t="s">
        <v>641</v>
      </c>
      <c r="G70" s="520">
        <v>5416.8</v>
      </c>
      <c r="H70" s="522">
        <v>40.766399999999997</v>
      </c>
      <c r="I70" s="522">
        <v>220823.43552</v>
      </c>
      <c r="J70" s="521">
        <v>1.0167374816757955E-2</v>
      </c>
      <c r="K70" s="520" t="s">
        <v>399</v>
      </c>
    </row>
    <row r="71" spans="1:11" ht="25.5" x14ac:dyDescent="0.2">
      <c r="A71" s="519" t="s">
        <v>7988</v>
      </c>
      <c r="B71" s="518" t="s">
        <v>7260</v>
      </c>
      <c r="C71" s="517" t="s">
        <v>7259</v>
      </c>
      <c r="D71" s="517" t="s">
        <v>7987</v>
      </c>
      <c r="E71" s="516" t="s">
        <v>7986</v>
      </c>
      <c r="F71" s="513" t="s">
        <v>641</v>
      </c>
      <c r="G71" s="513">
        <v>1019.57</v>
      </c>
      <c r="H71" s="515">
        <v>56.584800000000001</v>
      </c>
      <c r="I71" s="515">
        <v>57692.164536000004</v>
      </c>
      <c r="J71" s="514">
        <v>2.6563206909914071E-3</v>
      </c>
      <c r="K71" s="513" t="s">
        <v>399</v>
      </c>
    </row>
    <row r="72" spans="1:11" x14ac:dyDescent="0.2">
      <c r="A72" s="203" t="s">
        <v>7985</v>
      </c>
      <c r="B72" s="530"/>
      <c r="C72" s="530"/>
      <c r="D72" s="530"/>
      <c r="E72" s="530" t="s">
        <v>7984</v>
      </c>
      <c r="F72" s="527"/>
      <c r="G72" s="527"/>
      <c r="H72" s="529"/>
      <c r="I72" s="529">
        <v>0</v>
      </c>
      <c r="J72" s="528"/>
      <c r="K72" s="527" t="s">
        <v>399</v>
      </c>
    </row>
    <row r="73" spans="1:11" x14ac:dyDescent="0.2">
      <c r="A73" s="526" t="s">
        <v>7983</v>
      </c>
      <c r="B73" s="525"/>
      <c r="C73" s="524"/>
      <c r="D73" s="524"/>
      <c r="E73" s="523" t="s">
        <v>7982</v>
      </c>
      <c r="F73" s="520" t="s">
        <v>1242</v>
      </c>
      <c r="G73" s="520">
        <v>245.34</v>
      </c>
      <c r="H73" s="522">
        <v>0</v>
      </c>
      <c r="I73" s="522">
        <v>0</v>
      </c>
      <c r="J73" s="521"/>
      <c r="K73" s="520" t="s">
        <v>399</v>
      </c>
    </row>
    <row r="74" spans="1:11" x14ac:dyDescent="0.2">
      <c r="A74" s="519" t="s">
        <v>7981</v>
      </c>
      <c r="B74" s="518"/>
      <c r="C74" s="517"/>
      <c r="D74" s="517"/>
      <c r="E74" s="516" t="s">
        <v>7980</v>
      </c>
      <c r="F74" s="513" t="s">
        <v>1242</v>
      </c>
      <c r="G74" s="513">
        <v>662.3</v>
      </c>
      <c r="H74" s="515">
        <v>0</v>
      </c>
      <c r="I74" s="515">
        <v>0</v>
      </c>
      <c r="J74" s="514"/>
      <c r="K74" s="513" t="s">
        <v>399</v>
      </c>
    </row>
    <row r="75" spans="1:11" x14ac:dyDescent="0.2">
      <c r="A75" s="203" t="s">
        <v>7979</v>
      </c>
      <c r="B75" s="530"/>
      <c r="C75" s="530"/>
      <c r="D75" s="530"/>
      <c r="E75" s="530" t="s">
        <v>7978</v>
      </c>
      <c r="F75" s="527"/>
      <c r="G75" s="527"/>
      <c r="H75" s="529"/>
      <c r="I75" s="529">
        <v>377099.68694889999</v>
      </c>
      <c r="J75" s="528">
        <v>1.7362803234461488E-2</v>
      </c>
      <c r="K75" s="527" t="s">
        <v>399</v>
      </c>
    </row>
    <row r="76" spans="1:11" ht="25.5" x14ac:dyDescent="0.2">
      <c r="A76" s="526" t="s">
        <v>7977</v>
      </c>
      <c r="B76" s="525" t="s">
        <v>7260</v>
      </c>
      <c r="C76" s="524" t="s">
        <v>7259</v>
      </c>
      <c r="D76" s="524" t="s">
        <v>7969</v>
      </c>
      <c r="E76" s="523" t="s">
        <v>7968</v>
      </c>
      <c r="F76" s="520" t="s">
        <v>787</v>
      </c>
      <c r="G76" s="520">
        <v>1126.07</v>
      </c>
      <c r="H76" s="522">
        <v>43.712511999999997</v>
      </c>
      <c r="I76" s="522">
        <v>49223.348387839993</v>
      </c>
      <c r="J76" s="521">
        <v>2.2663909363447058E-3</v>
      </c>
      <c r="K76" s="520" t="s">
        <v>399</v>
      </c>
    </row>
    <row r="77" spans="1:11" ht="25.5" x14ac:dyDescent="0.2">
      <c r="A77" s="519" t="s">
        <v>7976</v>
      </c>
      <c r="B77" s="518" t="s">
        <v>7260</v>
      </c>
      <c r="C77" s="517" t="s">
        <v>7259</v>
      </c>
      <c r="D77" s="517" t="s">
        <v>7975</v>
      </c>
      <c r="E77" s="516" t="s">
        <v>7974</v>
      </c>
      <c r="F77" s="513" t="s">
        <v>787</v>
      </c>
      <c r="G77" s="513">
        <v>54949.59</v>
      </c>
      <c r="H77" s="515">
        <v>3.6337980000000001</v>
      </c>
      <c r="I77" s="515">
        <v>199675.71024282</v>
      </c>
      <c r="J77" s="514">
        <v>9.1936699701297472E-3</v>
      </c>
      <c r="K77" s="513" t="s">
        <v>399</v>
      </c>
    </row>
    <row r="78" spans="1:11" ht="25.5" x14ac:dyDescent="0.2">
      <c r="A78" s="526" t="s">
        <v>7973</v>
      </c>
      <c r="B78" s="525" t="s">
        <v>7260</v>
      </c>
      <c r="C78" s="524" t="s">
        <v>7259</v>
      </c>
      <c r="D78" s="524" t="s">
        <v>7972</v>
      </c>
      <c r="E78" s="523" t="s">
        <v>7971</v>
      </c>
      <c r="F78" s="520" t="s">
        <v>1242</v>
      </c>
      <c r="G78" s="520">
        <v>9600.0499999999993</v>
      </c>
      <c r="H78" s="522">
        <v>1.85</v>
      </c>
      <c r="I78" s="522">
        <v>17760.092499999999</v>
      </c>
      <c r="J78" s="521">
        <v>8.1772804957305919E-4</v>
      </c>
      <c r="K78" s="520" t="s">
        <v>399</v>
      </c>
    </row>
    <row r="79" spans="1:11" ht="25.5" x14ac:dyDescent="0.2">
      <c r="A79" s="519" t="s">
        <v>7970</v>
      </c>
      <c r="B79" s="518" t="s">
        <v>7260</v>
      </c>
      <c r="C79" s="517" t="s">
        <v>7259</v>
      </c>
      <c r="D79" s="517" t="s">
        <v>7969</v>
      </c>
      <c r="E79" s="516" t="s">
        <v>7968</v>
      </c>
      <c r="F79" s="513" t="s">
        <v>787</v>
      </c>
      <c r="G79" s="513">
        <v>2526.52</v>
      </c>
      <c r="H79" s="515">
        <v>43.712511999999997</v>
      </c>
      <c r="I79" s="515">
        <v>110440.53581823999</v>
      </c>
      <c r="J79" s="514">
        <v>5.0850142784139764E-3</v>
      </c>
      <c r="K79" s="513" t="s">
        <v>399</v>
      </c>
    </row>
    <row r="80" spans="1:11" x14ac:dyDescent="0.2">
      <c r="A80" s="203" t="s">
        <v>7967</v>
      </c>
      <c r="B80" s="530"/>
      <c r="C80" s="530"/>
      <c r="D80" s="530"/>
      <c r="E80" s="530" t="s">
        <v>7966</v>
      </c>
      <c r="F80" s="527"/>
      <c r="G80" s="527"/>
      <c r="H80" s="529"/>
      <c r="I80" s="529">
        <v>0</v>
      </c>
      <c r="J80" s="528"/>
      <c r="K80" s="527" t="s">
        <v>399</v>
      </c>
    </row>
    <row r="81" spans="1:11" x14ac:dyDescent="0.2">
      <c r="A81" s="526" t="s">
        <v>7965</v>
      </c>
      <c r="B81" s="525"/>
      <c r="C81" s="524"/>
      <c r="D81" s="524"/>
      <c r="E81" s="523" t="s">
        <v>7964</v>
      </c>
      <c r="F81" s="520" t="s">
        <v>1242</v>
      </c>
      <c r="G81" s="520">
        <v>20189.64</v>
      </c>
      <c r="H81" s="522">
        <v>0</v>
      </c>
      <c r="I81" s="522">
        <v>0</v>
      </c>
      <c r="J81" s="521"/>
      <c r="K81" s="520" t="s">
        <v>399</v>
      </c>
    </row>
    <row r="82" spans="1:11" x14ac:dyDescent="0.2">
      <c r="A82" s="519" t="s">
        <v>7963</v>
      </c>
      <c r="B82" s="518"/>
      <c r="C82" s="517"/>
      <c r="D82" s="517"/>
      <c r="E82" s="516" t="s">
        <v>7962</v>
      </c>
      <c r="F82" s="513" t="s">
        <v>1242</v>
      </c>
      <c r="G82" s="513">
        <v>907.65</v>
      </c>
      <c r="H82" s="515">
        <v>0</v>
      </c>
      <c r="I82" s="515">
        <v>0</v>
      </c>
      <c r="J82" s="514"/>
      <c r="K82" s="513" t="s">
        <v>399</v>
      </c>
    </row>
    <row r="83" spans="1:11" x14ac:dyDescent="0.2">
      <c r="A83" s="203" t="s">
        <v>7961</v>
      </c>
      <c r="B83" s="530"/>
      <c r="C83" s="530"/>
      <c r="D83" s="530"/>
      <c r="E83" s="530" t="s">
        <v>7960</v>
      </c>
      <c r="F83" s="527"/>
      <c r="G83" s="527"/>
      <c r="H83" s="529"/>
      <c r="I83" s="529">
        <v>0</v>
      </c>
      <c r="J83" s="528"/>
      <c r="K83" s="527" t="s">
        <v>399</v>
      </c>
    </row>
    <row r="84" spans="1:11" x14ac:dyDescent="0.2">
      <c r="A84" s="526" t="s">
        <v>7959</v>
      </c>
      <c r="B84" s="525"/>
      <c r="C84" s="524"/>
      <c r="D84" s="524"/>
      <c r="E84" s="523" t="s">
        <v>7958</v>
      </c>
      <c r="F84" s="520" t="s">
        <v>1242</v>
      </c>
      <c r="G84" s="520">
        <v>269.16000000000003</v>
      </c>
      <c r="H84" s="522">
        <v>0</v>
      </c>
      <c r="I84" s="522">
        <v>0</v>
      </c>
      <c r="J84" s="521"/>
      <c r="K84" s="520" t="s">
        <v>399</v>
      </c>
    </row>
    <row r="85" spans="1:11" x14ac:dyDescent="0.2">
      <c r="A85" s="542" t="s">
        <v>7957</v>
      </c>
      <c r="B85" s="541"/>
      <c r="C85" s="540"/>
      <c r="D85" s="540"/>
      <c r="E85" s="540" t="s">
        <v>7956</v>
      </c>
      <c r="F85" s="537"/>
      <c r="G85" s="537"/>
      <c r="H85" s="539"/>
      <c r="I85" s="539">
        <v>331117.51050000003</v>
      </c>
      <c r="J85" s="538">
        <v>1.5245645597884808E-2</v>
      </c>
      <c r="K85" s="537" t="s">
        <v>399</v>
      </c>
    </row>
    <row r="86" spans="1:11" x14ac:dyDescent="0.2">
      <c r="A86" s="536" t="s">
        <v>7955</v>
      </c>
      <c r="B86" s="535"/>
      <c r="C86" s="534"/>
      <c r="D86" s="534"/>
      <c r="E86" s="534" t="s">
        <v>6806</v>
      </c>
      <c r="F86" s="531"/>
      <c r="G86" s="531"/>
      <c r="H86" s="533"/>
      <c r="I86" s="533">
        <v>0</v>
      </c>
      <c r="J86" s="532"/>
      <c r="K86" s="531" t="s">
        <v>399</v>
      </c>
    </row>
    <row r="87" spans="1:11" x14ac:dyDescent="0.2">
      <c r="A87" s="203" t="s">
        <v>7954</v>
      </c>
      <c r="B87" s="530"/>
      <c r="C87" s="530"/>
      <c r="D87" s="530"/>
      <c r="E87" s="530" t="s">
        <v>7932</v>
      </c>
      <c r="F87" s="527"/>
      <c r="G87" s="527"/>
      <c r="H87" s="529"/>
      <c r="I87" s="529">
        <v>0</v>
      </c>
      <c r="J87" s="528"/>
      <c r="K87" s="527" t="s">
        <v>399</v>
      </c>
    </row>
    <row r="88" spans="1:11" x14ac:dyDescent="0.2">
      <c r="A88" s="519" t="s">
        <v>7953</v>
      </c>
      <c r="B88" s="518"/>
      <c r="C88" s="517"/>
      <c r="D88" s="517"/>
      <c r="E88" s="516" t="s">
        <v>7930</v>
      </c>
      <c r="F88" s="513" t="s">
        <v>1242</v>
      </c>
      <c r="G88" s="513">
        <v>84.83</v>
      </c>
      <c r="H88" s="515">
        <v>0</v>
      </c>
      <c r="I88" s="515">
        <v>0</v>
      </c>
      <c r="J88" s="514"/>
      <c r="K88" s="513" t="s">
        <v>399</v>
      </c>
    </row>
    <row r="89" spans="1:11" x14ac:dyDescent="0.2">
      <c r="A89" s="536" t="s">
        <v>7952</v>
      </c>
      <c r="B89" s="535"/>
      <c r="C89" s="534"/>
      <c r="D89" s="534"/>
      <c r="E89" s="534" t="s">
        <v>6938</v>
      </c>
      <c r="F89" s="531"/>
      <c r="G89" s="531"/>
      <c r="H89" s="533"/>
      <c r="I89" s="533">
        <v>331117.51050000003</v>
      </c>
      <c r="J89" s="532">
        <v>1.5245645597884808E-2</v>
      </c>
      <c r="K89" s="531" t="s">
        <v>399</v>
      </c>
    </row>
    <row r="90" spans="1:11" x14ac:dyDescent="0.2">
      <c r="A90" s="203" t="s">
        <v>7951</v>
      </c>
      <c r="B90" s="530"/>
      <c r="C90" s="530"/>
      <c r="D90" s="530"/>
      <c r="E90" s="530" t="s">
        <v>7950</v>
      </c>
      <c r="F90" s="527"/>
      <c r="G90" s="527"/>
      <c r="H90" s="529"/>
      <c r="I90" s="529">
        <v>0</v>
      </c>
      <c r="J90" s="528"/>
      <c r="K90" s="527" t="s">
        <v>399</v>
      </c>
    </row>
    <row r="91" spans="1:11" x14ac:dyDescent="0.2">
      <c r="A91" s="526" t="s">
        <v>7949</v>
      </c>
      <c r="B91" s="525"/>
      <c r="C91" s="524"/>
      <c r="D91" s="524"/>
      <c r="E91" s="523" t="s">
        <v>7948</v>
      </c>
      <c r="F91" s="520" t="s">
        <v>1242</v>
      </c>
      <c r="G91" s="520">
        <v>755.42</v>
      </c>
      <c r="H91" s="522">
        <v>0</v>
      </c>
      <c r="I91" s="522">
        <v>0</v>
      </c>
      <c r="J91" s="521"/>
      <c r="K91" s="520" t="s">
        <v>399</v>
      </c>
    </row>
    <row r="92" spans="1:11" x14ac:dyDescent="0.2">
      <c r="A92" s="519" t="s">
        <v>7947</v>
      </c>
      <c r="B92" s="518"/>
      <c r="C92" s="517"/>
      <c r="D92" s="517"/>
      <c r="E92" s="516" t="s">
        <v>7946</v>
      </c>
      <c r="F92" s="513" t="s">
        <v>1242</v>
      </c>
      <c r="G92" s="513">
        <v>55.75</v>
      </c>
      <c r="H92" s="515">
        <v>0</v>
      </c>
      <c r="I92" s="515">
        <v>0</v>
      </c>
      <c r="J92" s="514"/>
      <c r="K92" s="513" t="s">
        <v>399</v>
      </c>
    </row>
    <row r="93" spans="1:11" x14ac:dyDescent="0.2">
      <c r="A93" s="203" t="s">
        <v>7945</v>
      </c>
      <c r="B93" s="530"/>
      <c r="C93" s="530"/>
      <c r="D93" s="530"/>
      <c r="E93" s="530" t="s">
        <v>7944</v>
      </c>
      <c r="F93" s="527"/>
      <c r="G93" s="527"/>
      <c r="H93" s="529"/>
      <c r="I93" s="529">
        <v>331117.51050000003</v>
      </c>
      <c r="J93" s="528">
        <v>1.5245645597884808E-2</v>
      </c>
      <c r="K93" s="527" t="s">
        <v>399</v>
      </c>
    </row>
    <row r="94" spans="1:11" ht="25.5" x14ac:dyDescent="0.2">
      <c r="A94" s="526" t="s">
        <v>7943</v>
      </c>
      <c r="B94" s="525" t="s">
        <v>7260</v>
      </c>
      <c r="C94" s="524" t="s">
        <v>7259</v>
      </c>
      <c r="D94" s="524" t="s">
        <v>7942</v>
      </c>
      <c r="E94" s="523" t="s">
        <v>7941</v>
      </c>
      <c r="F94" s="520" t="s">
        <v>641</v>
      </c>
      <c r="G94" s="520">
        <v>9140.58</v>
      </c>
      <c r="H94" s="522">
        <v>36.225000000000001</v>
      </c>
      <c r="I94" s="522">
        <v>331117.51050000003</v>
      </c>
      <c r="J94" s="521">
        <v>1.5245645597884808E-2</v>
      </c>
      <c r="K94" s="520" t="s">
        <v>399</v>
      </c>
    </row>
    <row r="95" spans="1:11" x14ac:dyDescent="0.2">
      <c r="A95" s="203" t="s">
        <v>7940</v>
      </c>
      <c r="B95" s="530"/>
      <c r="C95" s="530"/>
      <c r="D95" s="530"/>
      <c r="E95" s="530" t="s">
        <v>7932</v>
      </c>
      <c r="F95" s="527"/>
      <c r="G95" s="527"/>
      <c r="H95" s="529"/>
      <c r="I95" s="529">
        <v>0</v>
      </c>
      <c r="J95" s="528"/>
      <c r="K95" s="527" t="s">
        <v>399</v>
      </c>
    </row>
    <row r="96" spans="1:11" x14ac:dyDescent="0.2">
      <c r="A96" s="519" t="s">
        <v>7939</v>
      </c>
      <c r="B96" s="518"/>
      <c r="C96" s="517"/>
      <c r="D96" s="517"/>
      <c r="E96" s="516" t="s">
        <v>7938</v>
      </c>
      <c r="F96" s="513" t="s">
        <v>1242</v>
      </c>
      <c r="G96" s="513">
        <v>582.79</v>
      </c>
      <c r="H96" s="515">
        <v>0</v>
      </c>
      <c r="I96" s="515">
        <v>0</v>
      </c>
      <c r="J96" s="514"/>
      <c r="K96" s="513" t="s">
        <v>399</v>
      </c>
    </row>
    <row r="97" spans="1:11" x14ac:dyDescent="0.2">
      <c r="A97" s="536" t="s">
        <v>7937</v>
      </c>
      <c r="B97" s="535"/>
      <c r="C97" s="534"/>
      <c r="D97" s="534"/>
      <c r="E97" s="534" t="s">
        <v>6932</v>
      </c>
      <c r="F97" s="531"/>
      <c r="G97" s="531"/>
      <c r="H97" s="533"/>
      <c r="I97" s="533">
        <v>0</v>
      </c>
      <c r="J97" s="532"/>
      <c r="K97" s="531" t="s">
        <v>399</v>
      </c>
    </row>
    <row r="98" spans="1:11" x14ac:dyDescent="0.2">
      <c r="A98" s="203" t="s">
        <v>7936</v>
      </c>
      <c r="B98" s="530"/>
      <c r="C98" s="530"/>
      <c r="D98" s="530"/>
      <c r="E98" s="530" t="s">
        <v>7932</v>
      </c>
      <c r="F98" s="527"/>
      <c r="G98" s="527"/>
      <c r="H98" s="529"/>
      <c r="I98" s="529">
        <v>0</v>
      </c>
      <c r="J98" s="528"/>
      <c r="K98" s="527" t="s">
        <v>399</v>
      </c>
    </row>
    <row r="99" spans="1:11" x14ac:dyDescent="0.2">
      <c r="A99" s="526" t="s">
        <v>7935</v>
      </c>
      <c r="B99" s="525"/>
      <c r="C99" s="524"/>
      <c r="D99" s="524"/>
      <c r="E99" s="523" t="s">
        <v>7930</v>
      </c>
      <c r="F99" s="520" t="s">
        <v>1242</v>
      </c>
      <c r="G99" s="520">
        <v>252.2</v>
      </c>
      <c r="H99" s="522">
        <v>0</v>
      </c>
      <c r="I99" s="522">
        <v>0</v>
      </c>
      <c r="J99" s="521"/>
      <c r="K99" s="520" t="s">
        <v>399</v>
      </c>
    </row>
    <row r="100" spans="1:11" x14ac:dyDescent="0.2">
      <c r="A100" s="536" t="s">
        <v>7934</v>
      </c>
      <c r="B100" s="535"/>
      <c r="C100" s="534"/>
      <c r="D100" s="534"/>
      <c r="E100" s="534" t="s">
        <v>6881</v>
      </c>
      <c r="F100" s="531"/>
      <c r="G100" s="531"/>
      <c r="H100" s="533"/>
      <c r="I100" s="533">
        <v>0</v>
      </c>
      <c r="J100" s="532"/>
      <c r="K100" s="531" t="s">
        <v>399</v>
      </c>
    </row>
    <row r="101" spans="1:11" x14ac:dyDescent="0.2">
      <c r="A101" s="203" t="s">
        <v>7933</v>
      </c>
      <c r="B101" s="530"/>
      <c r="C101" s="530"/>
      <c r="D101" s="530"/>
      <c r="E101" s="530" t="s">
        <v>7932</v>
      </c>
      <c r="F101" s="527"/>
      <c r="G101" s="527"/>
      <c r="H101" s="529"/>
      <c r="I101" s="529">
        <v>0</v>
      </c>
      <c r="J101" s="528"/>
      <c r="K101" s="527" t="s">
        <v>399</v>
      </c>
    </row>
    <row r="102" spans="1:11" x14ac:dyDescent="0.2">
      <c r="A102" s="519" t="s">
        <v>7931</v>
      </c>
      <c r="B102" s="518"/>
      <c r="C102" s="517"/>
      <c r="D102" s="517"/>
      <c r="E102" s="516" t="s">
        <v>7930</v>
      </c>
      <c r="F102" s="513" t="s">
        <v>1242</v>
      </c>
      <c r="G102" s="513">
        <v>234.85</v>
      </c>
      <c r="H102" s="515">
        <v>0</v>
      </c>
      <c r="I102" s="515">
        <v>0</v>
      </c>
      <c r="J102" s="514"/>
      <c r="K102" s="513" t="s">
        <v>399</v>
      </c>
    </row>
    <row r="103" spans="1:11" x14ac:dyDescent="0.2">
      <c r="A103" s="542" t="s">
        <v>7929</v>
      </c>
      <c r="B103" s="541"/>
      <c r="C103" s="540"/>
      <c r="D103" s="540"/>
      <c r="E103" s="540" t="s">
        <v>7928</v>
      </c>
      <c r="F103" s="537"/>
      <c r="G103" s="537"/>
      <c r="H103" s="539"/>
      <c r="I103" s="539">
        <v>4588051.8664500006</v>
      </c>
      <c r="J103" s="538">
        <v>0.21124770065765103</v>
      </c>
      <c r="K103" s="537" t="s">
        <v>399</v>
      </c>
    </row>
    <row r="104" spans="1:11" x14ac:dyDescent="0.2">
      <c r="A104" s="536" t="s">
        <v>7927</v>
      </c>
      <c r="B104" s="535"/>
      <c r="C104" s="534"/>
      <c r="D104" s="534"/>
      <c r="E104" s="534" t="s">
        <v>6806</v>
      </c>
      <c r="F104" s="531"/>
      <c r="G104" s="531"/>
      <c r="H104" s="533"/>
      <c r="I104" s="533">
        <v>729384.80223000003</v>
      </c>
      <c r="J104" s="532">
        <v>3.3583068991097288E-2</v>
      </c>
      <c r="K104" s="531" t="s">
        <v>399</v>
      </c>
    </row>
    <row r="105" spans="1:11" x14ac:dyDescent="0.2">
      <c r="A105" s="203" t="s">
        <v>7926</v>
      </c>
      <c r="B105" s="530"/>
      <c r="C105" s="530"/>
      <c r="D105" s="530"/>
      <c r="E105" s="530" t="s">
        <v>7899</v>
      </c>
      <c r="F105" s="527"/>
      <c r="G105" s="527"/>
      <c r="H105" s="529"/>
      <c r="I105" s="529">
        <v>291649.25222999998</v>
      </c>
      <c r="J105" s="528">
        <v>1.3428408336582655E-2</v>
      </c>
      <c r="K105" s="527" t="s">
        <v>399</v>
      </c>
    </row>
    <row r="106" spans="1:11" ht="25.5" x14ac:dyDescent="0.2">
      <c r="A106" s="526" t="s">
        <v>7925</v>
      </c>
      <c r="B106" s="525" t="s">
        <v>7260</v>
      </c>
      <c r="C106" s="524" t="s">
        <v>7259</v>
      </c>
      <c r="D106" s="524" t="s">
        <v>7897</v>
      </c>
      <c r="E106" s="523" t="s">
        <v>7896</v>
      </c>
      <c r="F106" s="520" t="s">
        <v>641</v>
      </c>
      <c r="G106" s="520">
        <v>5164.25</v>
      </c>
      <c r="H106" s="522">
        <v>6.4589999999999996</v>
      </c>
      <c r="I106" s="522">
        <v>33355.890749999999</v>
      </c>
      <c r="J106" s="521">
        <v>1.5358054855158861E-3</v>
      </c>
      <c r="K106" s="520" t="s">
        <v>399</v>
      </c>
    </row>
    <row r="107" spans="1:11" ht="25.5" x14ac:dyDescent="0.2">
      <c r="A107" s="519" t="s">
        <v>7924</v>
      </c>
      <c r="B107" s="518" t="s">
        <v>7260</v>
      </c>
      <c r="C107" s="517" t="s">
        <v>7259</v>
      </c>
      <c r="D107" s="517" t="s">
        <v>7894</v>
      </c>
      <c r="E107" s="516" t="s">
        <v>7893</v>
      </c>
      <c r="F107" s="513" t="s">
        <v>641</v>
      </c>
      <c r="G107" s="513">
        <v>7010.14</v>
      </c>
      <c r="H107" s="515">
        <v>5.5019999999999998</v>
      </c>
      <c r="I107" s="515">
        <v>38569.790280000001</v>
      </c>
      <c r="J107" s="514">
        <v>1.7758690940436453E-3</v>
      </c>
      <c r="K107" s="513" t="s">
        <v>399</v>
      </c>
    </row>
    <row r="108" spans="1:11" ht="25.5" x14ac:dyDescent="0.2">
      <c r="A108" s="526" t="s">
        <v>7923</v>
      </c>
      <c r="B108" s="525" t="s">
        <v>7260</v>
      </c>
      <c r="C108" s="524" t="s">
        <v>7259</v>
      </c>
      <c r="D108" s="524" t="s">
        <v>7891</v>
      </c>
      <c r="E108" s="523" t="s">
        <v>7890</v>
      </c>
      <c r="F108" s="520" t="s">
        <v>641</v>
      </c>
      <c r="G108" s="520">
        <v>12174.4</v>
      </c>
      <c r="H108" s="522">
        <v>18.047999999999998</v>
      </c>
      <c r="I108" s="522">
        <v>219723.57119999998</v>
      </c>
      <c r="J108" s="521">
        <v>1.0116733757023124E-2</v>
      </c>
      <c r="K108" s="520" t="s">
        <v>399</v>
      </c>
    </row>
    <row r="109" spans="1:11" x14ac:dyDescent="0.2">
      <c r="A109" s="203" t="s">
        <v>7922</v>
      </c>
      <c r="B109" s="530"/>
      <c r="C109" s="530"/>
      <c r="D109" s="530"/>
      <c r="E109" s="530" t="s">
        <v>7888</v>
      </c>
      <c r="F109" s="527"/>
      <c r="G109" s="527"/>
      <c r="H109" s="529"/>
      <c r="I109" s="529">
        <v>437735.55</v>
      </c>
      <c r="J109" s="528">
        <v>2.0154660654514628E-2</v>
      </c>
      <c r="K109" s="527" t="s">
        <v>399</v>
      </c>
    </row>
    <row r="110" spans="1:11" ht="25.5" x14ac:dyDescent="0.2">
      <c r="A110" s="519" t="s">
        <v>7921</v>
      </c>
      <c r="B110" s="518" t="s">
        <v>7260</v>
      </c>
      <c r="C110" s="517" t="s">
        <v>7259</v>
      </c>
      <c r="D110" s="517" t="s">
        <v>7886</v>
      </c>
      <c r="E110" s="516" t="s">
        <v>7885</v>
      </c>
      <c r="F110" s="513" t="s">
        <v>641</v>
      </c>
      <c r="G110" s="513">
        <v>12506.73</v>
      </c>
      <c r="H110" s="515">
        <v>35</v>
      </c>
      <c r="I110" s="515">
        <v>437735.55</v>
      </c>
      <c r="J110" s="514">
        <v>2.0154660654514628E-2</v>
      </c>
      <c r="K110" s="513" t="s">
        <v>399</v>
      </c>
    </row>
    <row r="111" spans="1:11" x14ac:dyDescent="0.2">
      <c r="A111" s="203" t="s">
        <v>7920</v>
      </c>
      <c r="B111" s="530"/>
      <c r="C111" s="530"/>
      <c r="D111" s="530"/>
      <c r="E111" s="530" t="s">
        <v>7919</v>
      </c>
      <c r="F111" s="527"/>
      <c r="G111" s="527"/>
      <c r="H111" s="529"/>
      <c r="I111" s="529">
        <v>0</v>
      </c>
      <c r="J111" s="528"/>
      <c r="K111" s="527" t="s">
        <v>399</v>
      </c>
    </row>
    <row r="112" spans="1:11" x14ac:dyDescent="0.2">
      <c r="A112" s="526" t="s">
        <v>7918</v>
      </c>
      <c r="B112" s="525"/>
      <c r="C112" s="524"/>
      <c r="D112" s="524"/>
      <c r="E112" s="523" t="s">
        <v>7917</v>
      </c>
      <c r="F112" s="520" t="s">
        <v>1242</v>
      </c>
      <c r="G112" s="520">
        <v>721.02</v>
      </c>
      <c r="H112" s="522">
        <v>0</v>
      </c>
      <c r="I112" s="522">
        <v>0</v>
      </c>
      <c r="J112" s="521"/>
      <c r="K112" s="520" t="s">
        <v>399</v>
      </c>
    </row>
    <row r="113" spans="1:11" x14ac:dyDescent="0.2">
      <c r="A113" s="519" t="s">
        <v>7916</v>
      </c>
      <c r="B113" s="518"/>
      <c r="C113" s="517"/>
      <c r="D113" s="517"/>
      <c r="E113" s="516" t="s">
        <v>7915</v>
      </c>
      <c r="F113" s="513" t="s">
        <v>1242</v>
      </c>
      <c r="G113" s="513">
        <v>7.43</v>
      </c>
      <c r="H113" s="515">
        <v>0</v>
      </c>
      <c r="I113" s="515">
        <v>0</v>
      </c>
      <c r="J113" s="514"/>
      <c r="K113" s="513" t="s">
        <v>399</v>
      </c>
    </row>
    <row r="114" spans="1:11" ht="25.5" x14ac:dyDescent="0.2">
      <c r="A114" s="526" t="s">
        <v>7914</v>
      </c>
      <c r="B114" s="525"/>
      <c r="C114" s="524"/>
      <c r="D114" s="524"/>
      <c r="E114" s="523" t="s">
        <v>7913</v>
      </c>
      <c r="F114" s="520" t="s">
        <v>1242</v>
      </c>
      <c r="G114" s="520">
        <v>721.54</v>
      </c>
      <c r="H114" s="522">
        <v>0</v>
      </c>
      <c r="I114" s="522">
        <v>0</v>
      </c>
      <c r="J114" s="521"/>
      <c r="K114" s="520" t="s">
        <v>399</v>
      </c>
    </row>
    <row r="115" spans="1:11" x14ac:dyDescent="0.2">
      <c r="A115" s="519" t="s">
        <v>7912</v>
      </c>
      <c r="B115" s="518"/>
      <c r="C115" s="517"/>
      <c r="D115" s="517"/>
      <c r="E115" s="516" t="s">
        <v>7911</v>
      </c>
      <c r="F115" s="513" t="s">
        <v>1242</v>
      </c>
      <c r="G115" s="513">
        <v>182.44</v>
      </c>
      <c r="H115" s="515">
        <v>0</v>
      </c>
      <c r="I115" s="515">
        <v>0</v>
      </c>
      <c r="J115" s="514"/>
      <c r="K115" s="513" t="s">
        <v>399</v>
      </c>
    </row>
    <row r="116" spans="1:11" ht="25.5" x14ac:dyDescent="0.2">
      <c r="A116" s="526" t="s">
        <v>7910</v>
      </c>
      <c r="B116" s="525"/>
      <c r="C116" s="524"/>
      <c r="D116" s="524"/>
      <c r="E116" s="523" t="s">
        <v>7909</v>
      </c>
      <c r="F116" s="520" t="s">
        <v>1242</v>
      </c>
      <c r="G116" s="520">
        <v>0.59</v>
      </c>
      <c r="H116" s="522">
        <v>0</v>
      </c>
      <c r="I116" s="522">
        <v>0</v>
      </c>
      <c r="J116" s="521"/>
      <c r="K116" s="520" t="s">
        <v>399</v>
      </c>
    </row>
    <row r="117" spans="1:11" x14ac:dyDescent="0.2">
      <c r="A117" s="536" t="s">
        <v>7908</v>
      </c>
      <c r="B117" s="535"/>
      <c r="C117" s="534"/>
      <c r="D117" s="534"/>
      <c r="E117" s="534" t="s">
        <v>6932</v>
      </c>
      <c r="F117" s="531"/>
      <c r="G117" s="531"/>
      <c r="H117" s="533"/>
      <c r="I117" s="533">
        <v>2009978.0759999999</v>
      </c>
      <c r="J117" s="532">
        <v>9.2545433069793431E-2</v>
      </c>
      <c r="K117" s="531" t="s">
        <v>399</v>
      </c>
    </row>
    <row r="118" spans="1:11" x14ac:dyDescent="0.2">
      <c r="A118" s="203" t="s">
        <v>7907</v>
      </c>
      <c r="B118" s="530"/>
      <c r="C118" s="530"/>
      <c r="D118" s="530"/>
      <c r="E118" s="530" t="s">
        <v>7899</v>
      </c>
      <c r="F118" s="527"/>
      <c r="G118" s="527"/>
      <c r="H118" s="529"/>
      <c r="I118" s="529">
        <v>784835.97599999991</v>
      </c>
      <c r="J118" s="528">
        <v>3.6136207730294662E-2</v>
      </c>
      <c r="K118" s="527" t="s">
        <v>399</v>
      </c>
    </row>
    <row r="119" spans="1:11" ht="25.5" x14ac:dyDescent="0.2">
      <c r="A119" s="519" t="s">
        <v>7906</v>
      </c>
      <c r="B119" s="518" t="s">
        <v>7260</v>
      </c>
      <c r="C119" s="517" t="s">
        <v>7259</v>
      </c>
      <c r="D119" s="517" t="s">
        <v>7897</v>
      </c>
      <c r="E119" s="516" t="s">
        <v>7896</v>
      </c>
      <c r="F119" s="513" t="s">
        <v>641</v>
      </c>
      <c r="G119" s="513">
        <v>5257</v>
      </c>
      <c r="H119" s="515">
        <v>6.4589999999999996</v>
      </c>
      <c r="I119" s="515">
        <v>33954.962999999996</v>
      </c>
      <c r="J119" s="514">
        <v>1.5633885728531757E-3</v>
      </c>
      <c r="K119" s="513" t="s">
        <v>399</v>
      </c>
    </row>
    <row r="120" spans="1:11" ht="25.5" x14ac:dyDescent="0.2">
      <c r="A120" s="526" t="s">
        <v>7905</v>
      </c>
      <c r="B120" s="525" t="s">
        <v>7260</v>
      </c>
      <c r="C120" s="524" t="s">
        <v>7259</v>
      </c>
      <c r="D120" s="524" t="s">
        <v>7894</v>
      </c>
      <c r="E120" s="523" t="s">
        <v>7893</v>
      </c>
      <c r="F120" s="520" t="s">
        <v>641</v>
      </c>
      <c r="G120" s="520">
        <v>27855.74</v>
      </c>
      <c r="H120" s="522">
        <v>5.5019999999999998</v>
      </c>
      <c r="I120" s="522">
        <v>153262.28148000001</v>
      </c>
      <c r="J120" s="521">
        <v>7.0566561805777538E-3</v>
      </c>
      <c r="K120" s="520" t="s">
        <v>399</v>
      </c>
    </row>
    <row r="121" spans="1:11" ht="25.5" x14ac:dyDescent="0.2">
      <c r="A121" s="519" t="s">
        <v>7904</v>
      </c>
      <c r="B121" s="518" t="s">
        <v>7260</v>
      </c>
      <c r="C121" s="517" t="s">
        <v>7259</v>
      </c>
      <c r="D121" s="517" t="s">
        <v>7891</v>
      </c>
      <c r="E121" s="516" t="s">
        <v>7890</v>
      </c>
      <c r="F121" s="513" t="s">
        <v>641</v>
      </c>
      <c r="G121" s="513">
        <v>33112.74</v>
      </c>
      <c r="H121" s="515">
        <v>18.047999999999998</v>
      </c>
      <c r="I121" s="515">
        <v>597618.73151999991</v>
      </c>
      <c r="J121" s="514">
        <v>2.7516162976863736E-2</v>
      </c>
      <c r="K121" s="513" t="s">
        <v>399</v>
      </c>
    </row>
    <row r="122" spans="1:11" x14ac:dyDescent="0.2">
      <c r="A122" s="203" t="s">
        <v>7903</v>
      </c>
      <c r="B122" s="530"/>
      <c r="C122" s="530"/>
      <c r="D122" s="530"/>
      <c r="E122" s="530" t="s">
        <v>7888</v>
      </c>
      <c r="F122" s="527"/>
      <c r="G122" s="527"/>
      <c r="H122" s="529"/>
      <c r="I122" s="529">
        <v>1225142.0999999999</v>
      </c>
      <c r="J122" s="528">
        <v>5.6409225339498756E-2</v>
      </c>
      <c r="K122" s="527" t="s">
        <v>399</v>
      </c>
    </row>
    <row r="123" spans="1:11" ht="25.5" x14ac:dyDescent="0.2">
      <c r="A123" s="526" t="s">
        <v>7902</v>
      </c>
      <c r="B123" s="525" t="s">
        <v>7260</v>
      </c>
      <c r="C123" s="524" t="s">
        <v>7259</v>
      </c>
      <c r="D123" s="524" t="s">
        <v>7886</v>
      </c>
      <c r="E123" s="523" t="s">
        <v>7885</v>
      </c>
      <c r="F123" s="520" t="s">
        <v>641</v>
      </c>
      <c r="G123" s="520">
        <v>35004.06</v>
      </c>
      <c r="H123" s="522">
        <v>35</v>
      </c>
      <c r="I123" s="522">
        <v>1225142.0999999999</v>
      </c>
      <c r="J123" s="521">
        <v>5.6409225339498756E-2</v>
      </c>
      <c r="K123" s="520" t="s">
        <v>399</v>
      </c>
    </row>
    <row r="124" spans="1:11" x14ac:dyDescent="0.2">
      <c r="A124" s="536" t="s">
        <v>7901</v>
      </c>
      <c r="B124" s="535"/>
      <c r="C124" s="534"/>
      <c r="D124" s="534"/>
      <c r="E124" s="534" t="s">
        <v>6881</v>
      </c>
      <c r="F124" s="531"/>
      <c r="G124" s="531"/>
      <c r="H124" s="533"/>
      <c r="I124" s="533">
        <v>1848688.9882200002</v>
      </c>
      <c r="J124" s="532">
        <v>8.5119198596760301E-2</v>
      </c>
      <c r="K124" s="531" t="s">
        <v>399</v>
      </c>
    </row>
    <row r="125" spans="1:11" x14ac:dyDescent="0.2">
      <c r="A125" s="203" t="s">
        <v>7900</v>
      </c>
      <c r="B125" s="530"/>
      <c r="C125" s="530"/>
      <c r="D125" s="530"/>
      <c r="E125" s="530" t="s">
        <v>7899</v>
      </c>
      <c r="F125" s="527"/>
      <c r="G125" s="527"/>
      <c r="H125" s="529"/>
      <c r="I125" s="529">
        <v>719710.08822000003</v>
      </c>
      <c r="J125" s="528">
        <v>3.3137616073688529E-2</v>
      </c>
      <c r="K125" s="527" t="s">
        <v>399</v>
      </c>
    </row>
    <row r="126" spans="1:11" ht="25.5" x14ac:dyDescent="0.2">
      <c r="A126" s="519" t="s">
        <v>7898</v>
      </c>
      <c r="B126" s="518" t="s">
        <v>7260</v>
      </c>
      <c r="C126" s="517" t="s">
        <v>7259</v>
      </c>
      <c r="D126" s="517" t="s">
        <v>7897</v>
      </c>
      <c r="E126" s="516" t="s">
        <v>7896</v>
      </c>
      <c r="F126" s="513" t="s">
        <v>641</v>
      </c>
      <c r="G126" s="513">
        <v>4960.46</v>
      </c>
      <c r="H126" s="515">
        <v>6.4589999999999996</v>
      </c>
      <c r="I126" s="515">
        <v>32039.611139999997</v>
      </c>
      <c r="J126" s="514">
        <v>1.4752000152359263E-3</v>
      </c>
      <c r="K126" s="513" t="s">
        <v>399</v>
      </c>
    </row>
    <row r="127" spans="1:11" ht="25.5" x14ac:dyDescent="0.2">
      <c r="A127" s="526" t="s">
        <v>7895</v>
      </c>
      <c r="B127" s="525" t="s">
        <v>7260</v>
      </c>
      <c r="C127" s="524" t="s">
        <v>7259</v>
      </c>
      <c r="D127" s="524" t="s">
        <v>7894</v>
      </c>
      <c r="E127" s="523" t="s">
        <v>7893</v>
      </c>
      <c r="F127" s="520" t="s">
        <v>641</v>
      </c>
      <c r="G127" s="520">
        <v>25398.9</v>
      </c>
      <c r="H127" s="522">
        <v>5.5019999999999998</v>
      </c>
      <c r="I127" s="522">
        <v>139744.74780000001</v>
      </c>
      <c r="J127" s="521">
        <v>6.4342682931731957E-3</v>
      </c>
      <c r="K127" s="520" t="s">
        <v>399</v>
      </c>
    </row>
    <row r="128" spans="1:11" ht="25.5" x14ac:dyDescent="0.2">
      <c r="A128" s="519" t="s">
        <v>7892</v>
      </c>
      <c r="B128" s="518" t="s">
        <v>7260</v>
      </c>
      <c r="C128" s="517" t="s">
        <v>7259</v>
      </c>
      <c r="D128" s="517" t="s">
        <v>7891</v>
      </c>
      <c r="E128" s="516" t="s">
        <v>7890</v>
      </c>
      <c r="F128" s="513" t="s">
        <v>641</v>
      </c>
      <c r="G128" s="513">
        <v>30359.360000000001</v>
      </c>
      <c r="H128" s="515">
        <v>18.047999999999998</v>
      </c>
      <c r="I128" s="515">
        <v>547925.72927999997</v>
      </c>
      <c r="J128" s="514">
        <v>2.5228147765279402E-2</v>
      </c>
      <c r="K128" s="513" t="s">
        <v>399</v>
      </c>
    </row>
    <row r="129" spans="1:11" x14ac:dyDescent="0.2">
      <c r="A129" s="203" t="s">
        <v>7889</v>
      </c>
      <c r="B129" s="530"/>
      <c r="C129" s="530"/>
      <c r="D129" s="530"/>
      <c r="E129" s="530" t="s">
        <v>7888</v>
      </c>
      <c r="F129" s="527"/>
      <c r="G129" s="527"/>
      <c r="H129" s="529"/>
      <c r="I129" s="529">
        <v>1128978.9000000001</v>
      </c>
      <c r="J129" s="528">
        <v>5.1981582523071772E-2</v>
      </c>
      <c r="K129" s="527" t="s">
        <v>399</v>
      </c>
    </row>
    <row r="130" spans="1:11" ht="25.5" x14ac:dyDescent="0.2">
      <c r="A130" s="526" t="s">
        <v>7887</v>
      </c>
      <c r="B130" s="525" t="s">
        <v>7260</v>
      </c>
      <c r="C130" s="524" t="s">
        <v>7259</v>
      </c>
      <c r="D130" s="524" t="s">
        <v>7886</v>
      </c>
      <c r="E130" s="523" t="s">
        <v>7885</v>
      </c>
      <c r="F130" s="520" t="s">
        <v>641</v>
      </c>
      <c r="G130" s="520">
        <v>32256.54</v>
      </c>
      <c r="H130" s="522">
        <v>35</v>
      </c>
      <c r="I130" s="522">
        <v>1128978.9000000001</v>
      </c>
      <c r="J130" s="521">
        <v>5.1981582523071772E-2</v>
      </c>
      <c r="K130" s="520" t="s">
        <v>399</v>
      </c>
    </row>
    <row r="131" spans="1:11" x14ac:dyDescent="0.2">
      <c r="A131" s="542" t="s">
        <v>7884</v>
      </c>
      <c r="B131" s="541"/>
      <c r="C131" s="540"/>
      <c r="D131" s="540"/>
      <c r="E131" s="540" t="s">
        <v>7883</v>
      </c>
      <c r="F131" s="537"/>
      <c r="G131" s="537"/>
      <c r="H131" s="539"/>
      <c r="I131" s="539">
        <v>1366321.6155902497</v>
      </c>
      <c r="J131" s="538">
        <v>6.2909554654972999E-2</v>
      </c>
      <c r="K131" s="537" t="s">
        <v>399</v>
      </c>
    </row>
    <row r="132" spans="1:11" x14ac:dyDescent="0.2">
      <c r="A132" s="536" t="s">
        <v>7882</v>
      </c>
      <c r="B132" s="535"/>
      <c r="C132" s="534"/>
      <c r="D132" s="534"/>
      <c r="E132" s="534" t="s">
        <v>6806</v>
      </c>
      <c r="F132" s="531"/>
      <c r="G132" s="531"/>
      <c r="H132" s="533"/>
      <c r="I132" s="533">
        <v>212682.68430199995</v>
      </c>
      <c r="J132" s="532">
        <v>9.7925501577335334E-3</v>
      </c>
      <c r="K132" s="531" t="s">
        <v>399</v>
      </c>
    </row>
    <row r="133" spans="1:11" x14ac:dyDescent="0.2">
      <c r="A133" s="203" t="s">
        <v>7881</v>
      </c>
      <c r="B133" s="530"/>
      <c r="C133" s="530"/>
      <c r="D133" s="530"/>
      <c r="E133" s="530" t="s">
        <v>7860</v>
      </c>
      <c r="F133" s="527"/>
      <c r="G133" s="527"/>
      <c r="H133" s="529"/>
      <c r="I133" s="529">
        <v>12124.198533000001</v>
      </c>
      <c r="J133" s="528">
        <v>5.5823454855466752E-4</v>
      </c>
      <c r="K133" s="527" t="s">
        <v>399</v>
      </c>
    </row>
    <row r="134" spans="1:11" x14ac:dyDescent="0.2">
      <c r="A134" s="519" t="s">
        <v>7880</v>
      </c>
      <c r="B134" s="518"/>
      <c r="C134" s="517"/>
      <c r="D134" s="517"/>
      <c r="E134" s="516" t="s">
        <v>7879</v>
      </c>
      <c r="F134" s="513" t="s">
        <v>1242</v>
      </c>
      <c r="G134" s="513">
        <v>93.95</v>
      </c>
      <c r="H134" s="515">
        <v>0</v>
      </c>
      <c r="I134" s="515">
        <v>0</v>
      </c>
      <c r="J134" s="514"/>
      <c r="K134" s="513" t="s">
        <v>399</v>
      </c>
    </row>
    <row r="135" spans="1:11" ht="25.5" x14ac:dyDescent="0.2">
      <c r="A135" s="526" t="s">
        <v>7878</v>
      </c>
      <c r="B135" s="525" t="s">
        <v>7260</v>
      </c>
      <c r="C135" s="524" t="s">
        <v>7259</v>
      </c>
      <c r="D135" s="524" t="s">
        <v>7858</v>
      </c>
      <c r="E135" s="523" t="s">
        <v>7857</v>
      </c>
      <c r="F135" s="520" t="s">
        <v>641</v>
      </c>
      <c r="G135" s="520">
        <v>124.44</v>
      </c>
      <c r="H135" s="522">
        <v>97.430075000000002</v>
      </c>
      <c r="I135" s="522">
        <v>12124.198533000001</v>
      </c>
      <c r="J135" s="521">
        <v>5.5823454855466752E-4</v>
      </c>
      <c r="K135" s="520" t="s">
        <v>399</v>
      </c>
    </row>
    <row r="136" spans="1:11" x14ac:dyDescent="0.2">
      <c r="A136" s="203" t="s">
        <v>7877</v>
      </c>
      <c r="B136" s="530"/>
      <c r="C136" s="530"/>
      <c r="D136" s="530"/>
      <c r="E136" s="530" t="s">
        <v>7876</v>
      </c>
      <c r="F136" s="527"/>
      <c r="G136" s="527"/>
      <c r="H136" s="529"/>
      <c r="I136" s="529">
        <v>0</v>
      </c>
      <c r="J136" s="528"/>
      <c r="K136" s="527" t="s">
        <v>399</v>
      </c>
    </row>
    <row r="137" spans="1:11" x14ac:dyDescent="0.2">
      <c r="A137" s="519" t="s">
        <v>7875</v>
      </c>
      <c r="B137" s="518"/>
      <c r="C137" s="517"/>
      <c r="D137" s="517"/>
      <c r="E137" s="516" t="s">
        <v>7874</v>
      </c>
      <c r="F137" s="513" t="s">
        <v>1242</v>
      </c>
      <c r="G137" s="513">
        <v>911.41</v>
      </c>
      <c r="H137" s="515">
        <v>0</v>
      </c>
      <c r="I137" s="515">
        <v>0</v>
      </c>
      <c r="J137" s="514"/>
      <c r="K137" s="513" t="s">
        <v>399</v>
      </c>
    </row>
    <row r="138" spans="1:11" x14ac:dyDescent="0.2">
      <c r="A138" s="203" t="s">
        <v>7873</v>
      </c>
      <c r="B138" s="530"/>
      <c r="C138" s="530"/>
      <c r="D138" s="530"/>
      <c r="E138" s="530" t="s">
        <v>7855</v>
      </c>
      <c r="F138" s="527"/>
      <c r="G138" s="527"/>
      <c r="H138" s="529"/>
      <c r="I138" s="529">
        <v>147674.28463199997</v>
      </c>
      <c r="J138" s="528">
        <v>6.7993680069077418E-3</v>
      </c>
      <c r="K138" s="527" t="s">
        <v>399</v>
      </c>
    </row>
    <row r="139" spans="1:11" ht="25.5" x14ac:dyDescent="0.2">
      <c r="A139" s="526" t="s">
        <v>7872</v>
      </c>
      <c r="B139" s="525" t="s">
        <v>7260</v>
      </c>
      <c r="C139" s="524" t="s">
        <v>7259</v>
      </c>
      <c r="D139" s="524" t="s">
        <v>7853</v>
      </c>
      <c r="E139" s="523" t="s">
        <v>7852</v>
      </c>
      <c r="F139" s="520" t="s">
        <v>1242</v>
      </c>
      <c r="G139" s="520">
        <v>236.88</v>
      </c>
      <c r="H139" s="522">
        <v>623.4138999999999</v>
      </c>
      <c r="I139" s="522">
        <v>147674.28463199997</v>
      </c>
      <c r="J139" s="521">
        <v>6.7993680069077418E-3</v>
      </c>
      <c r="K139" s="520" t="s">
        <v>399</v>
      </c>
    </row>
    <row r="140" spans="1:11" x14ac:dyDescent="0.2">
      <c r="A140" s="203" t="s">
        <v>7871</v>
      </c>
      <c r="B140" s="530"/>
      <c r="C140" s="530"/>
      <c r="D140" s="530"/>
      <c r="E140" s="530" t="s">
        <v>7850</v>
      </c>
      <c r="F140" s="527"/>
      <c r="G140" s="527"/>
      <c r="H140" s="529"/>
      <c r="I140" s="529">
        <v>52884.201136999989</v>
      </c>
      <c r="J140" s="528">
        <v>2.4349476022711234E-3</v>
      </c>
      <c r="K140" s="527" t="s">
        <v>399</v>
      </c>
    </row>
    <row r="141" spans="1:11" ht="25.5" x14ac:dyDescent="0.2">
      <c r="A141" s="519" t="s">
        <v>7870</v>
      </c>
      <c r="B141" s="518" t="s">
        <v>7260</v>
      </c>
      <c r="C141" s="517" t="s">
        <v>7259</v>
      </c>
      <c r="D141" s="517" t="s">
        <v>7848</v>
      </c>
      <c r="E141" s="516" t="s">
        <v>7847</v>
      </c>
      <c r="F141" s="513" t="s">
        <v>1242</v>
      </c>
      <c r="G141" s="513">
        <v>84.83</v>
      </c>
      <c r="H141" s="515">
        <v>623.4138999999999</v>
      </c>
      <c r="I141" s="515">
        <v>52884.201136999989</v>
      </c>
      <c r="J141" s="514">
        <v>2.4349476022711234E-3</v>
      </c>
      <c r="K141" s="513" t="s">
        <v>399</v>
      </c>
    </row>
    <row r="142" spans="1:11" x14ac:dyDescent="0.2">
      <c r="A142" s="536" t="s">
        <v>7869</v>
      </c>
      <c r="B142" s="535"/>
      <c r="C142" s="534"/>
      <c r="D142" s="534"/>
      <c r="E142" s="534" t="s">
        <v>6932</v>
      </c>
      <c r="F142" s="531"/>
      <c r="G142" s="531"/>
      <c r="H142" s="533"/>
      <c r="I142" s="533">
        <v>584545.92986124987</v>
      </c>
      <c r="J142" s="532">
        <v>2.691425188868302E-2</v>
      </c>
      <c r="K142" s="531" t="s">
        <v>399</v>
      </c>
    </row>
    <row r="143" spans="1:11" x14ac:dyDescent="0.2">
      <c r="A143" s="203" t="s">
        <v>7868</v>
      </c>
      <c r="B143" s="530"/>
      <c r="C143" s="530"/>
      <c r="D143" s="530"/>
      <c r="E143" s="530" t="s">
        <v>7860</v>
      </c>
      <c r="F143" s="527"/>
      <c r="G143" s="527"/>
      <c r="H143" s="529"/>
      <c r="I143" s="529">
        <v>174165.02776925001</v>
      </c>
      <c r="J143" s="528">
        <v>8.019081458139168E-3</v>
      </c>
      <c r="K143" s="527" t="s">
        <v>399</v>
      </c>
    </row>
    <row r="144" spans="1:11" ht="25.5" x14ac:dyDescent="0.2">
      <c r="A144" s="526" t="s">
        <v>7867</v>
      </c>
      <c r="B144" s="525" t="s">
        <v>7260</v>
      </c>
      <c r="C144" s="524" t="s">
        <v>7259</v>
      </c>
      <c r="D144" s="524" t="s">
        <v>7858</v>
      </c>
      <c r="E144" s="523" t="s">
        <v>7857</v>
      </c>
      <c r="F144" s="520" t="s">
        <v>641</v>
      </c>
      <c r="G144" s="520">
        <v>1787.59</v>
      </c>
      <c r="H144" s="522">
        <v>97.430075000000002</v>
      </c>
      <c r="I144" s="522">
        <v>174165.02776925001</v>
      </c>
      <c r="J144" s="521">
        <v>8.019081458139168E-3</v>
      </c>
      <c r="K144" s="520" t="s">
        <v>399</v>
      </c>
    </row>
    <row r="145" spans="1:11" x14ac:dyDescent="0.2">
      <c r="A145" s="203" t="s">
        <v>7866</v>
      </c>
      <c r="B145" s="530"/>
      <c r="C145" s="530"/>
      <c r="D145" s="530"/>
      <c r="E145" s="530" t="s">
        <v>7855</v>
      </c>
      <c r="F145" s="527"/>
      <c r="G145" s="527"/>
      <c r="H145" s="529"/>
      <c r="I145" s="529">
        <v>253155.91651199994</v>
      </c>
      <c r="J145" s="528">
        <v>1.1656059440413272E-2</v>
      </c>
      <c r="K145" s="527" t="s">
        <v>399</v>
      </c>
    </row>
    <row r="146" spans="1:11" ht="25.5" x14ac:dyDescent="0.2">
      <c r="A146" s="519" t="s">
        <v>7865</v>
      </c>
      <c r="B146" s="518" t="s">
        <v>7260</v>
      </c>
      <c r="C146" s="517" t="s">
        <v>7259</v>
      </c>
      <c r="D146" s="517" t="s">
        <v>7853</v>
      </c>
      <c r="E146" s="516" t="s">
        <v>7852</v>
      </c>
      <c r="F146" s="513" t="s">
        <v>1242</v>
      </c>
      <c r="G146" s="513">
        <v>406.08</v>
      </c>
      <c r="H146" s="515">
        <v>623.4138999999999</v>
      </c>
      <c r="I146" s="515">
        <v>253155.91651199994</v>
      </c>
      <c r="J146" s="514">
        <v>1.1656059440413272E-2</v>
      </c>
      <c r="K146" s="513" t="s">
        <v>399</v>
      </c>
    </row>
    <row r="147" spans="1:11" x14ac:dyDescent="0.2">
      <c r="A147" s="203" t="s">
        <v>7864</v>
      </c>
      <c r="B147" s="530"/>
      <c r="C147" s="530"/>
      <c r="D147" s="530"/>
      <c r="E147" s="530" t="s">
        <v>7850</v>
      </c>
      <c r="F147" s="527"/>
      <c r="G147" s="527"/>
      <c r="H147" s="529"/>
      <c r="I147" s="529">
        <v>157224.98557999998</v>
      </c>
      <c r="J147" s="528">
        <v>7.2391109901305834E-3</v>
      </c>
      <c r="K147" s="527" t="s">
        <v>399</v>
      </c>
    </row>
    <row r="148" spans="1:11" ht="25.5" x14ac:dyDescent="0.2">
      <c r="A148" s="526" t="s">
        <v>7863</v>
      </c>
      <c r="B148" s="525" t="s">
        <v>7260</v>
      </c>
      <c r="C148" s="524" t="s">
        <v>7259</v>
      </c>
      <c r="D148" s="524" t="s">
        <v>7848</v>
      </c>
      <c r="E148" s="523" t="s">
        <v>7847</v>
      </c>
      <c r="F148" s="520" t="s">
        <v>1242</v>
      </c>
      <c r="G148" s="520">
        <v>252.2</v>
      </c>
      <c r="H148" s="522">
        <v>623.4138999999999</v>
      </c>
      <c r="I148" s="522">
        <v>157224.98557999998</v>
      </c>
      <c r="J148" s="521">
        <v>7.2391109901305834E-3</v>
      </c>
      <c r="K148" s="520" t="s">
        <v>399</v>
      </c>
    </row>
    <row r="149" spans="1:11" x14ac:dyDescent="0.2">
      <c r="A149" s="536" t="s">
        <v>7862</v>
      </c>
      <c r="B149" s="535"/>
      <c r="C149" s="534"/>
      <c r="D149" s="534"/>
      <c r="E149" s="534" t="s">
        <v>6881</v>
      </c>
      <c r="F149" s="531"/>
      <c r="G149" s="531"/>
      <c r="H149" s="533"/>
      <c r="I149" s="533">
        <v>569093.00142699992</v>
      </c>
      <c r="J149" s="532">
        <v>2.6202752608556451E-2</v>
      </c>
      <c r="K149" s="531" t="s">
        <v>399</v>
      </c>
    </row>
    <row r="150" spans="1:11" x14ac:dyDescent="0.2">
      <c r="A150" s="203" t="s">
        <v>7861</v>
      </c>
      <c r="B150" s="530"/>
      <c r="C150" s="530"/>
      <c r="D150" s="530"/>
      <c r="E150" s="530" t="s">
        <v>7860</v>
      </c>
      <c r="F150" s="527"/>
      <c r="G150" s="527"/>
      <c r="H150" s="529"/>
      <c r="I150" s="529">
        <v>169528.33050000001</v>
      </c>
      <c r="J150" s="528">
        <v>7.8055939768974731E-3</v>
      </c>
      <c r="K150" s="527" t="s">
        <v>399</v>
      </c>
    </row>
    <row r="151" spans="1:11" ht="25.5" x14ac:dyDescent="0.2">
      <c r="A151" s="519" t="s">
        <v>7859</v>
      </c>
      <c r="B151" s="518" t="s">
        <v>7260</v>
      </c>
      <c r="C151" s="517" t="s">
        <v>7259</v>
      </c>
      <c r="D151" s="517" t="s">
        <v>7858</v>
      </c>
      <c r="E151" s="516" t="s">
        <v>7857</v>
      </c>
      <c r="F151" s="513" t="s">
        <v>641</v>
      </c>
      <c r="G151" s="513">
        <v>1740</v>
      </c>
      <c r="H151" s="515">
        <v>97.430075000000002</v>
      </c>
      <c r="I151" s="515">
        <v>169528.33050000001</v>
      </c>
      <c r="J151" s="514">
        <v>7.8055939768974731E-3</v>
      </c>
      <c r="K151" s="513" t="s">
        <v>399</v>
      </c>
    </row>
    <row r="152" spans="1:11" x14ac:dyDescent="0.2">
      <c r="A152" s="203" t="s">
        <v>7856</v>
      </c>
      <c r="B152" s="530"/>
      <c r="C152" s="530"/>
      <c r="D152" s="530"/>
      <c r="E152" s="530" t="s">
        <v>7855</v>
      </c>
      <c r="F152" s="527"/>
      <c r="G152" s="527"/>
      <c r="H152" s="529"/>
      <c r="I152" s="529">
        <v>253155.91651199994</v>
      </c>
      <c r="J152" s="528">
        <v>1.1656059440413272E-2</v>
      </c>
      <c r="K152" s="527" t="s">
        <v>399</v>
      </c>
    </row>
    <row r="153" spans="1:11" ht="25.5" x14ac:dyDescent="0.2">
      <c r="A153" s="526" t="s">
        <v>7854</v>
      </c>
      <c r="B153" s="525" t="s">
        <v>7260</v>
      </c>
      <c r="C153" s="524" t="s">
        <v>7259</v>
      </c>
      <c r="D153" s="524" t="s">
        <v>7853</v>
      </c>
      <c r="E153" s="523" t="s">
        <v>7852</v>
      </c>
      <c r="F153" s="520" t="s">
        <v>1242</v>
      </c>
      <c r="G153" s="520">
        <v>406.08</v>
      </c>
      <c r="H153" s="522">
        <v>623.4138999999999</v>
      </c>
      <c r="I153" s="522">
        <v>253155.91651199994</v>
      </c>
      <c r="J153" s="521">
        <v>1.1656059440413272E-2</v>
      </c>
      <c r="K153" s="520" t="s">
        <v>399</v>
      </c>
    </row>
    <row r="154" spans="1:11" x14ac:dyDescent="0.2">
      <c r="A154" s="203" t="s">
        <v>7851</v>
      </c>
      <c r="B154" s="530"/>
      <c r="C154" s="530"/>
      <c r="D154" s="530"/>
      <c r="E154" s="530" t="s">
        <v>7850</v>
      </c>
      <c r="F154" s="527"/>
      <c r="G154" s="527"/>
      <c r="H154" s="529"/>
      <c r="I154" s="529">
        <v>146408.75441499997</v>
      </c>
      <c r="J154" s="528">
        <v>6.741099191245708E-3</v>
      </c>
      <c r="K154" s="527" t="s">
        <v>399</v>
      </c>
    </row>
    <row r="155" spans="1:11" ht="25.5" x14ac:dyDescent="0.2">
      <c r="A155" s="519" t="s">
        <v>7849</v>
      </c>
      <c r="B155" s="518" t="s">
        <v>7260</v>
      </c>
      <c r="C155" s="517" t="s">
        <v>7259</v>
      </c>
      <c r="D155" s="517" t="s">
        <v>7848</v>
      </c>
      <c r="E155" s="516" t="s">
        <v>7847</v>
      </c>
      <c r="F155" s="513" t="s">
        <v>1242</v>
      </c>
      <c r="G155" s="513">
        <v>234.85</v>
      </c>
      <c r="H155" s="515">
        <v>623.4138999999999</v>
      </c>
      <c r="I155" s="515">
        <v>146408.75441499997</v>
      </c>
      <c r="J155" s="514">
        <v>6.741099191245708E-3</v>
      </c>
      <c r="K155" s="513" t="s">
        <v>399</v>
      </c>
    </row>
    <row r="156" spans="1:11" x14ac:dyDescent="0.2">
      <c r="A156" s="542" t="s">
        <v>7846</v>
      </c>
      <c r="B156" s="541"/>
      <c r="C156" s="540"/>
      <c r="D156" s="540"/>
      <c r="E156" s="540" t="s">
        <v>7845</v>
      </c>
      <c r="F156" s="537"/>
      <c r="G156" s="537"/>
      <c r="H156" s="539"/>
      <c r="I156" s="539">
        <v>3516664.2369378004</v>
      </c>
      <c r="J156" s="538">
        <v>0.16191779336028111</v>
      </c>
      <c r="K156" s="537" t="s">
        <v>399</v>
      </c>
    </row>
    <row r="157" spans="1:11" x14ac:dyDescent="0.2">
      <c r="A157" s="536" t="s">
        <v>7844</v>
      </c>
      <c r="B157" s="535"/>
      <c r="C157" s="534"/>
      <c r="D157" s="534"/>
      <c r="E157" s="534" t="s">
        <v>6806</v>
      </c>
      <c r="F157" s="531"/>
      <c r="G157" s="531"/>
      <c r="H157" s="533"/>
      <c r="I157" s="533">
        <v>284888.85416604002</v>
      </c>
      <c r="J157" s="532">
        <v>1.311713928642543E-2</v>
      </c>
      <c r="K157" s="531" t="s">
        <v>399</v>
      </c>
    </row>
    <row r="158" spans="1:11" x14ac:dyDescent="0.2">
      <c r="A158" s="203" t="s">
        <v>7843</v>
      </c>
      <c r="B158" s="530"/>
      <c r="C158" s="530"/>
      <c r="D158" s="530"/>
      <c r="E158" s="530" t="s">
        <v>7819</v>
      </c>
      <c r="F158" s="527"/>
      <c r="G158" s="527"/>
      <c r="H158" s="529"/>
      <c r="I158" s="529">
        <v>238530.27600000001</v>
      </c>
      <c r="J158" s="528">
        <v>1.0982650983242543E-2</v>
      </c>
      <c r="K158" s="527" t="s">
        <v>399</v>
      </c>
    </row>
    <row r="159" spans="1:11" ht="25.5" x14ac:dyDescent="0.2">
      <c r="A159" s="526" t="s">
        <v>7842</v>
      </c>
      <c r="B159" s="525" t="s">
        <v>7260</v>
      </c>
      <c r="C159" s="524" t="s">
        <v>7259</v>
      </c>
      <c r="D159" s="524" t="s">
        <v>7814</v>
      </c>
      <c r="E159" s="523" t="s">
        <v>7813</v>
      </c>
      <c r="F159" s="520" t="s">
        <v>641</v>
      </c>
      <c r="G159" s="520">
        <v>1605.39</v>
      </c>
      <c r="H159" s="522">
        <v>126.4</v>
      </c>
      <c r="I159" s="522">
        <v>202921.29600000003</v>
      </c>
      <c r="J159" s="521">
        <v>9.343106495358482E-3</v>
      </c>
      <c r="K159" s="520" t="s">
        <v>399</v>
      </c>
    </row>
    <row r="160" spans="1:11" ht="25.5" x14ac:dyDescent="0.2">
      <c r="A160" s="519" t="s">
        <v>7841</v>
      </c>
      <c r="B160" s="518" t="s">
        <v>7260</v>
      </c>
      <c r="C160" s="517" t="s">
        <v>7259</v>
      </c>
      <c r="D160" s="517" t="s">
        <v>7811</v>
      </c>
      <c r="E160" s="516" t="s">
        <v>7810</v>
      </c>
      <c r="F160" s="513" t="s">
        <v>787</v>
      </c>
      <c r="G160" s="513">
        <v>1618.59</v>
      </c>
      <c r="H160" s="515">
        <v>22</v>
      </c>
      <c r="I160" s="515">
        <v>35608.979999999996</v>
      </c>
      <c r="J160" s="514">
        <v>1.6395444878840621E-3</v>
      </c>
      <c r="K160" s="513" t="s">
        <v>399</v>
      </c>
    </row>
    <row r="161" spans="1:11" x14ac:dyDescent="0.2">
      <c r="A161" s="203" t="s">
        <v>7840</v>
      </c>
      <c r="B161" s="530"/>
      <c r="C161" s="530"/>
      <c r="D161" s="530"/>
      <c r="E161" s="530" t="s">
        <v>7808</v>
      </c>
      <c r="F161" s="527"/>
      <c r="G161" s="527"/>
      <c r="H161" s="529"/>
      <c r="I161" s="529">
        <v>46358.57816604001</v>
      </c>
      <c r="J161" s="528">
        <v>2.1344883031828863E-3</v>
      </c>
      <c r="K161" s="527" t="s">
        <v>399</v>
      </c>
    </row>
    <row r="162" spans="1:11" x14ac:dyDescent="0.2">
      <c r="A162" s="526" t="s">
        <v>7839</v>
      </c>
      <c r="B162" s="525"/>
      <c r="C162" s="524"/>
      <c r="D162" s="524"/>
      <c r="E162" s="523" t="s">
        <v>7838</v>
      </c>
      <c r="F162" s="520" t="s">
        <v>1242</v>
      </c>
      <c r="G162" s="520">
        <v>4.13</v>
      </c>
      <c r="H162" s="522">
        <v>0</v>
      </c>
      <c r="I162" s="522">
        <v>0</v>
      </c>
      <c r="J162" s="521"/>
      <c r="K162" s="520" t="s">
        <v>399</v>
      </c>
    </row>
    <row r="163" spans="1:11" x14ac:dyDescent="0.2">
      <c r="A163" s="519" t="s">
        <v>7837</v>
      </c>
      <c r="B163" s="518"/>
      <c r="C163" s="517"/>
      <c r="D163" s="517"/>
      <c r="E163" s="516" t="s">
        <v>7836</v>
      </c>
      <c r="F163" s="513" t="s">
        <v>1242</v>
      </c>
      <c r="G163" s="513">
        <v>42.39</v>
      </c>
      <c r="H163" s="515">
        <v>0</v>
      </c>
      <c r="I163" s="515">
        <v>0</v>
      </c>
      <c r="J163" s="514"/>
      <c r="K163" s="513" t="s">
        <v>399</v>
      </c>
    </row>
    <row r="164" spans="1:11" ht="25.5" x14ac:dyDescent="0.2">
      <c r="A164" s="526" t="s">
        <v>7835</v>
      </c>
      <c r="B164" s="525" t="s">
        <v>7260</v>
      </c>
      <c r="C164" s="524" t="s">
        <v>7259</v>
      </c>
      <c r="D164" s="524" t="s">
        <v>7618</v>
      </c>
      <c r="E164" s="523" t="s">
        <v>7617</v>
      </c>
      <c r="F164" s="520" t="s">
        <v>641</v>
      </c>
      <c r="G164" s="520">
        <v>5054.8900000000003</v>
      </c>
      <c r="H164" s="522">
        <v>9.1710360000000009</v>
      </c>
      <c r="I164" s="522">
        <v>46358.57816604001</v>
      </c>
      <c r="J164" s="521">
        <v>2.1344883031828863E-3</v>
      </c>
      <c r="K164" s="520" t="s">
        <v>399</v>
      </c>
    </row>
    <row r="165" spans="1:11" x14ac:dyDescent="0.2">
      <c r="A165" s="519" t="s">
        <v>7834</v>
      </c>
      <c r="B165" s="518"/>
      <c r="C165" s="517"/>
      <c r="D165" s="517"/>
      <c r="E165" s="516" t="s">
        <v>7805</v>
      </c>
      <c r="F165" s="513" t="s">
        <v>1242</v>
      </c>
      <c r="G165" s="513">
        <v>3667.47</v>
      </c>
      <c r="H165" s="515">
        <v>0</v>
      </c>
      <c r="I165" s="515">
        <v>0</v>
      </c>
      <c r="J165" s="514"/>
      <c r="K165" s="513" t="s">
        <v>399</v>
      </c>
    </row>
    <row r="166" spans="1:11" x14ac:dyDescent="0.2">
      <c r="A166" s="536" t="s">
        <v>7833</v>
      </c>
      <c r="B166" s="535"/>
      <c r="C166" s="534"/>
      <c r="D166" s="534"/>
      <c r="E166" s="534" t="s">
        <v>6938</v>
      </c>
      <c r="F166" s="531"/>
      <c r="G166" s="531"/>
      <c r="H166" s="533"/>
      <c r="I166" s="533">
        <v>0</v>
      </c>
      <c r="J166" s="532"/>
      <c r="K166" s="531" t="s">
        <v>399</v>
      </c>
    </row>
    <row r="167" spans="1:11" x14ac:dyDescent="0.2">
      <c r="A167" s="203" t="s">
        <v>7832</v>
      </c>
      <c r="B167" s="530"/>
      <c r="C167" s="530"/>
      <c r="D167" s="530"/>
      <c r="E167" s="530" t="s">
        <v>7808</v>
      </c>
      <c r="F167" s="527"/>
      <c r="G167" s="527"/>
      <c r="H167" s="529"/>
      <c r="I167" s="529">
        <v>0</v>
      </c>
      <c r="J167" s="528"/>
      <c r="K167" s="527" t="s">
        <v>399</v>
      </c>
    </row>
    <row r="168" spans="1:11" x14ac:dyDescent="0.2">
      <c r="A168" s="526" t="s">
        <v>7831</v>
      </c>
      <c r="B168" s="525"/>
      <c r="C168" s="524"/>
      <c r="D168" s="524"/>
      <c r="E168" s="523" t="s">
        <v>7830</v>
      </c>
      <c r="F168" s="520" t="s">
        <v>1242</v>
      </c>
      <c r="G168" s="520">
        <v>126.41</v>
      </c>
      <c r="H168" s="522">
        <v>0</v>
      </c>
      <c r="I168" s="522">
        <v>0</v>
      </c>
      <c r="J168" s="521"/>
      <c r="K168" s="520" t="s">
        <v>399</v>
      </c>
    </row>
    <row r="169" spans="1:11" x14ac:dyDescent="0.2">
      <c r="A169" s="536" t="s">
        <v>7829</v>
      </c>
      <c r="B169" s="535"/>
      <c r="C169" s="534"/>
      <c r="D169" s="534"/>
      <c r="E169" s="534" t="s">
        <v>6932</v>
      </c>
      <c r="F169" s="531"/>
      <c r="G169" s="531"/>
      <c r="H169" s="533"/>
      <c r="I169" s="533">
        <v>1639874.9527610398</v>
      </c>
      <c r="J169" s="532">
        <v>7.550477266179767E-2</v>
      </c>
      <c r="K169" s="531" t="s">
        <v>399</v>
      </c>
    </row>
    <row r="170" spans="1:11" x14ac:dyDescent="0.2">
      <c r="A170" s="203" t="s">
        <v>7828</v>
      </c>
      <c r="B170" s="530"/>
      <c r="C170" s="530"/>
      <c r="D170" s="530"/>
      <c r="E170" s="530" t="s">
        <v>7819</v>
      </c>
      <c r="F170" s="527"/>
      <c r="G170" s="527"/>
      <c r="H170" s="529"/>
      <c r="I170" s="529">
        <v>1636608.7799999998</v>
      </c>
      <c r="J170" s="528">
        <v>7.5354388249022006E-2</v>
      </c>
      <c r="K170" s="527" t="s">
        <v>399</v>
      </c>
    </row>
    <row r="171" spans="1:11" ht="25.5" x14ac:dyDescent="0.2">
      <c r="A171" s="519" t="s">
        <v>7827</v>
      </c>
      <c r="B171" s="518" t="s">
        <v>7260</v>
      </c>
      <c r="C171" s="517" t="s">
        <v>7259</v>
      </c>
      <c r="D171" s="517" t="s">
        <v>7817</v>
      </c>
      <c r="E171" s="516" t="s">
        <v>7816</v>
      </c>
      <c r="F171" s="513" t="s">
        <v>641</v>
      </c>
      <c r="G171" s="513">
        <v>1734.25</v>
      </c>
      <c r="H171" s="515">
        <v>136.4</v>
      </c>
      <c r="I171" s="515">
        <v>236551.7</v>
      </c>
      <c r="J171" s="514">
        <v>1.0891551396153564E-2</v>
      </c>
      <c r="K171" s="513" t="s">
        <v>399</v>
      </c>
    </row>
    <row r="172" spans="1:11" ht="25.5" x14ac:dyDescent="0.2">
      <c r="A172" s="526" t="s">
        <v>7826</v>
      </c>
      <c r="B172" s="525" t="s">
        <v>7260</v>
      </c>
      <c r="C172" s="524" t="s">
        <v>7259</v>
      </c>
      <c r="D172" s="524" t="s">
        <v>7814</v>
      </c>
      <c r="E172" s="523" t="s">
        <v>7813</v>
      </c>
      <c r="F172" s="520" t="s">
        <v>641</v>
      </c>
      <c r="G172" s="520">
        <v>8378.5499999999993</v>
      </c>
      <c r="H172" s="522">
        <v>126.4</v>
      </c>
      <c r="I172" s="522">
        <v>1059048.72</v>
      </c>
      <c r="J172" s="521">
        <v>4.8761786809862893E-2</v>
      </c>
      <c r="K172" s="520" t="s">
        <v>399</v>
      </c>
    </row>
    <row r="173" spans="1:11" ht="25.5" x14ac:dyDescent="0.2">
      <c r="A173" s="519" t="s">
        <v>7825</v>
      </c>
      <c r="B173" s="518" t="s">
        <v>7260</v>
      </c>
      <c r="C173" s="517" t="s">
        <v>7259</v>
      </c>
      <c r="D173" s="517" t="s">
        <v>7811</v>
      </c>
      <c r="E173" s="516" t="s">
        <v>7810</v>
      </c>
      <c r="F173" s="513" t="s">
        <v>787</v>
      </c>
      <c r="G173" s="513">
        <v>15500.38</v>
      </c>
      <c r="H173" s="515">
        <v>22</v>
      </c>
      <c r="I173" s="515">
        <v>341008.36</v>
      </c>
      <c r="J173" s="514">
        <v>1.5701050043005555E-2</v>
      </c>
      <c r="K173" s="513" t="s">
        <v>399</v>
      </c>
    </row>
    <row r="174" spans="1:11" x14ac:dyDescent="0.2">
      <c r="A174" s="203" t="s">
        <v>7824</v>
      </c>
      <c r="B174" s="530"/>
      <c r="C174" s="530"/>
      <c r="D174" s="530"/>
      <c r="E174" s="530" t="s">
        <v>7808</v>
      </c>
      <c r="F174" s="527"/>
      <c r="G174" s="527"/>
      <c r="H174" s="529"/>
      <c r="I174" s="529">
        <v>3266.1727610400003</v>
      </c>
      <c r="J174" s="528">
        <v>1.5038441277565943E-4</v>
      </c>
      <c r="K174" s="527" t="s">
        <v>399</v>
      </c>
    </row>
    <row r="175" spans="1:11" ht="25.5" x14ac:dyDescent="0.2">
      <c r="A175" s="526" t="s">
        <v>7823</v>
      </c>
      <c r="B175" s="525" t="s">
        <v>7260</v>
      </c>
      <c r="C175" s="524" t="s">
        <v>7259</v>
      </c>
      <c r="D175" s="524" t="s">
        <v>7618</v>
      </c>
      <c r="E175" s="523" t="s">
        <v>7617</v>
      </c>
      <c r="F175" s="520" t="s">
        <v>641</v>
      </c>
      <c r="G175" s="520">
        <v>356.14</v>
      </c>
      <c r="H175" s="522">
        <v>9.1710360000000009</v>
      </c>
      <c r="I175" s="522">
        <v>3266.1727610400003</v>
      </c>
      <c r="J175" s="521">
        <v>1.5038441277565943E-4</v>
      </c>
      <c r="K175" s="520" t="s">
        <v>399</v>
      </c>
    </row>
    <row r="176" spans="1:11" x14ac:dyDescent="0.2">
      <c r="A176" s="519" t="s">
        <v>7822</v>
      </c>
      <c r="B176" s="518"/>
      <c r="C176" s="517"/>
      <c r="D176" s="517"/>
      <c r="E176" s="516" t="s">
        <v>7805</v>
      </c>
      <c r="F176" s="513" t="s">
        <v>1242</v>
      </c>
      <c r="G176" s="513">
        <v>55.53</v>
      </c>
      <c r="H176" s="515">
        <v>0</v>
      </c>
      <c r="I176" s="515">
        <v>0</v>
      </c>
      <c r="J176" s="514"/>
      <c r="K176" s="513" t="s">
        <v>399</v>
      </c>
    </row>
    <row r="177" spans="1:11" x14ac:dyDescent="0.2">
      <c r="A177" s="536" t="s">
        <v>7821</v>
      </c>
      <c r="B177" s="535"/>
      <c r="C177" s="534"/>
      <c r="D177" s="534"/>
      <c r="E177" s="534" t="s">
        <v>6881</v>
      </c>
      <c r="F177" s="531"/>
      <c r="G177" s="531"/>
      <c r="H177" s="533"/>
      <c r="I177" s="533">
        <v>1591900.4300107202</v>
      </c>
      <c r="J177" s="532">
        <v>7.3295881412057992E-2</v>
      </c>
      <c r="K177" s="531" t="s">
        <v>399</v>
      </c>
    </row>
    <row r="178" spans="1:11" x14ac:dyDescent="0.2">
      <c r="A178" s="203" t="s">
        <v>7820</v>
      </c>
      <c r="B178" s="530"/>
      <c r="C178" s="530"/>
      <c r="D178" s="530"/>
      <c r="E178" s="530" t="s">
        <v>7819</v>
      </c>
      <c r="F178" s="527"/>
      <c r="G178" s="527"/>
      <c r="H178" s="529"/>
      <c r="I178" s="529">
        <v>1589584.56</v>
      </c>
      <c r="J178" s="528">
        <v>7.3189251794733026E-2</v>
      </c>
      <c r="K178" s="527" t="s">
        <v>399</v>
      </c>
    </row>
    <row r="179" spans="1:11" ht="25.5" x14ac:dyDescent="0.2">
      <c r="A179" s="526" t="s">
        <v>7818</v>
      </c>
      <c r="B179" s="525" t="s">
        <v>7260</v>
      </c>
      <c r="C179" s="524" t="s">
        <v>7259</v>
      </c>
      <c r="D179" s="524" t="s">
        <v>7817</v>
      </c>
      <c r="E179" s="523" t="s">
        <v>7816</v>
      </c>
      <c r="F179" s="520" t="s">
        <v>641</v>
      </c>
      <c r="G179" s="520">
        <v>1774.06</v>
      </c>
      <c r="H179" s="522">
        <v>136.4</v>
      </c>
      <c r="I179" s="522">
        <v>241981.78400000001</v>
      </c>
      <c r="J179" s="521">
        <v>1.1141568787579758E-2</v>
      </c>
      <c r="K179" s="520" t="s">
        <v>399</v>
      </c>
    </row>
    <row r="180" spans="1:11" ht="25.5" x14ac:dyDescent="0.2">
      <c r="A180" s="519" t="s">
        <v>7815</v>
      </c>
      <c r="B180" s="518" t="s">
        <v>7260</v>
      </c>
      <c r="C180" s="517" t="s">
        <v>7259</v>
      </c>
      <c r="D180" s="517" t="s">
        <v>7814</v>
      </c>
      <c r="E180" s="516" t="s">
        <v>7813</v>
      </c>
      <c r="F180" s="513" t="s">
        <v>641</v>
      </c>
      <c r="G180" s="513">
        <v>8048.89</v>
      </c>
      <c r="H180" s="515">
        <v>126.4</v>
      </c>
      <c r="I180" s="515">
        <v>1017379.6960000001</v>
      </c>
      <c r="J180" s="514">
        <v>4.6843219678349764E-2</v>
      </c>
      <c r="K180" s="513" t="s">
        <v>399</v>
      </c>
    </row>
    <row r="181" spans="1:11" ht="25.5" x14ac:dyDescent="0.2">
      <c r="A181" s="526" t="s">
        <v>7812</v>
      </c>
      <c r="B181" s="525" t="s">
        <v>7260</v>
      </c>
      <c r="C181" s="524" t="s">
        <v>7259</v>
      </c>
      <c r="D181" s="524" t="s">
        <v>7811</v>
      </c>
      <c r="E181" s="523" t="s">
        <v>7810</v>
      </c>
      <c r="F181" s="520" t="s">
        <v>787</v>
      </c>
      <c r="G181" s="520">
        <v>15010.14</v>
      </c>
      <c r="H181" s="522">
        <v>22</v>
      </c>
      <c r="I181" s="522">
        <v>330223.07999999996</v>
      </c>
      <c r="J181" s="521">
        <v>1.5204463328803512E-2</v>
      </c>
      <c r="K181" s="520" t="s">
        <v>399</v>
      </c>
    </row>
    <row r="182" spans="1:11" x14ac:dyDescent="0.2">
      <c r="A182" s="203" t="s">
        <v>7809</v>
      </c>
      <c r="B182" s="530"/>
      <c r="C182" s="530"/>
      <c r="D182" s="530"/>
      <c r="E182" s="530" t="s">
        <v>7808</v>
      </c>
      <c r="F182" s="527"/>
      <c r="G182" s="527"/>
      <c r="H182" s="529"/>
      <c r="I182" s="529">
        <v>2315.8700107200002</v>
      </c>
      <c r="J182" s="528">
        <v>1.0662961732495512E-4</v>
      </c>
      <c r="K182" s="527" t="s">
        <v>399</v>
      </c>
    </row>
    <row r="183" spans="1:11" ht="25.5" x14ac:dyDescent="0.2">
      <c r="A183" s="519" t="s">
        <v>7807</v>
      </c>
      <c r="B183" s="518" t="s">
        <v>7260</v>
      </c>
      <c r="C183" s="517" t="s">
        <v>7259</v>
      </c>
      <c r="D183" s="517" t="s">
        <v>7618</v>
      </c>
      <c r="E183" s="516" t="s">
        <v>7617</v>
      </c>
      <c r="F183" s="513" t="s">
        <v>641</v>
      </c>
      <c r="G183" s="513">
        <v>252.52</v>
      </c>
      <c r="H183" s="515">
        <v>9.1710360000000009</v>
      </c>
      <c r="I183" s="515">
        <v>2315.8700107200002</v>
      </c>
      <c r="J183" s="514">
        <v>1.0662961732495512E-4</v>
      </c>
      <c r="K183" s="513" t="s">
        <v>399</v>
      </c>
    </row>
    <row r="184" spans="1:11" x14ac:dyDescent="0.2">
      <c r="A184" s="526" t="s">
        <v>7806</v>
      </c>
      <c r="B184" s="525"/>
      <c r="C184" s="524"/>
      <c r="D184" s="524"/>
      <c r="E184" s="523" t="s">
        <v>7805</v>
      </c>
      <c r="F184" s="520" t="s">
        <v>1242</v>
      </c>
      <c r="G184" s="520">
        <v>45.3</v>
      </c>
      <c r="H184" s="522">
        <v>0</v>
      </c>
      <c r="I184" s="522">
        <v>0</v>
      </c>
      <c r="J184" s="521"/>
      <c r="K184" s="520" t="s">
        <v>399</v>
      </c>
    </row>
    <row r="185" spans="1:11" x14ac:dyDescent="0.2">
      <c r="A185" s="542" t="s">
        <v>7804</v>
      </c>
      <c r="B185" s="541"/>
      <c r="C185" s="540"/>
      <c r="D185" s="540"/>
      <c r="E185" s="540" t="s">
        <v>7803</v>
      </c>
      <c r="F185" s="537"/>
      <c r="G185" s="537"/>
      <c r="H185" s="539"/>
      <c r="I185" s="539">
        <v>1563155.4239999999</v>
      </c>
      <c r="J185" s="538">
        <v>7.1972374921305635E-2</v>
      </c>
      <c r="K185" s="537" t="s">
        <v>399</v>
      </c>
    </row>
    <row r="186" spans="1:11" x14ac:dyDescent="0.2">
      <c r="A186" s="536" t="s">
        <v>7802</v>
      </c>
      <c r="B186" s="535"/>
      <c r="C186" s="534"/>
      <c r="D186" s="534"/>
      <c r="E186" s="534" t="s">
        <v>6806</v>
      </c>
      <c r="F186" s="531"/>
      <c r="G186" s="531"/>
      <c r="H186" s="533"/>
      <c r="I186" s="533">
        <v>216466.024</v>
      </c>
      <c r="J186" s="532">
        <v>9.9667464910081424E-3</v>
      </c>
      <c r="K186" s="531" t="s">
        <v>399</v>
      </c>
    </row>
    <row r="187" spans="1:11" x14ac:dyDescent="0.2">
      <c r="A187" s="203" t="s">
        <v>7801</v>
      </c>
      <c r="B187" s="530"/>
      <c r="C187" s="530"/>
      <c r="D187" s="530"/>
      <c r="E187" s="530" t="s">
        <v>7131</v>
      </c>
      <c r="F187" s="527"/>
      <c r="G187" s="527"/>
      <c r="H187" s="529"/>
      <c r="I187" s="529">
        <v>97854.504000000001</v>
      </c>
      <c r="J187" s="528">
        <v>4.5055155370310783E-3</v>
      </c>
      <c r="K187" s="527" t="s">
        <v>399</v>
      </c>
    </row>
    <row r="188" spans="1:11" ht="25.5" x14ac:dyDescent="0.2">
      <c r="A188" s="519" t="s">
        <v>7800</v>
      </c>
      <c r="B188" s="518" t="s">
        <v>7260</v>
      </c>
      <c r="C188" s="517" t="s">
        <v>7259</v>
      </c>
      <c r="D188" s="517" t="s">
        <v>7786</v>
      </c>
      <c r="E188" s="516" t="s">
        <v>585</v>
      </c>
      <c r="F188" s="513" t="s">
        <v>641</v>
      </c>
      <c r="G188" s="513">
        <v>3706.61</v>
      </c>
      <c r="H188" s="515">
        <v>26.4</v>
      </c>
      <c r="I188" s="515">
        <v>97854.504000000001</v>
      </c>
      <c r="J188" s="514">
        <v>4.5055155370310783E-3</v>
      </c>
      <c r="K188" s="513" t="s">
        <v>399</v>
      </c>
    </row>
    <row r="189" spans="1:11" x14ac:dyDescent="0.2">
      <c r="A189" s="203" t="s">
        <v>7799</v>
      </c>
      <c r="B189" s="530"/>
      <c r="C189" s="530"/>
      <c r="D189" s="530"/>
      <c r="E189" s="530" t="s">
        <v>7784</v>
      </c>
      <c r="F189" s="527"/>
      <c r="G189" s="527"/>
      <c r="H189" s="529"/>
      <c r="I189" s="529">
        <v>118611.52</v>
      </c>
      <c r="J189" s="528">
        <v>5.461230953977065E-3</v>
      </c>
      <c r="K189" s="527" t="s">
        <v>399</v>
      </c>
    </row>
    <row r="190" spans="1:11" ht="25.5" x14ac:dyDescent="0.2">
      <c r="A190" s="526" t="s">
        <v>7798</v>
      </c>
      <c r="B190" s="525" t="s">
        <v>7260</v>
      </c>
      <c r="C190" s="524" t="s">
        <v>7259</v>
      </c>
      <c r="D190" s="524" t="s">
        <v>7782</v>
      </c>
      <c r="E190" s="523" t="s">
        <v>7781</v>
      </c>
      <c r="F190" s="520" t="s">
        <v>641</v>
      </c>
      <c r="G190" s="520">
        <v>3706.61</v>
      </c>
      <c r="H190" s="522">
        <v>32</v>
      </c>
      <c r="I190" s="522">
        <v>118611.52</v>
      </c>
      <c r="J190" s="521">
        <v>5.461230953977065E-3</v>
      </c>
      <c r="K190" s="520" t="s">
        <v>399</v>
      </c>
    </row>
    <row r="191" spans="1:11" x14ac:dyDescent="0.2">
      <c r="A191" s="536" t="s">
        <v>7797</v>
      </c>
      <c r="B191" s="535"/>
      <c r="C191" s="534"/>
      <c r="D191" s="534"/>
      <c r="E191" s="534" t="s">
        <v>6938</v>
      </c>
      <c r="F191" s="531"/>
      <c r="G191" s="531"/>
      <c r="H191" s="533"/>
      <c r="I191" s="533">
        <v>0</v>
      </c>
      <c r="J191" s="532"/>
      <c r="K191" s="531" t="s">
        <v>399</v>
      </c>
    </row>
    <row r="192" spans="1:11" x14ac:dyDescent="0.2">
      <c r="A192" s="203" t="s">
        <v>7796</v>
      </c>
      <c r="B192" s="530"/>
      <c r="C192" s="530"/>
      <c r="D192" s="530"/>
      <c r="E192" s="530" t="s">
        <v>7131</v>
      </c>
      <c r="F192" s="527"/>
      <c r="G192" s="527"/>
      <c r="H192" s="529"/>
      <c r="I192" s="529">
        <v>0</v>
      </c>
      <c r="J192" s="528"/>
      <c r="K192" s="527" t="s">
        <v>399</v>
      </c>
    </row>
    <row r="193" spans="1:11" x14ac:dyDescent="0.2">
      <c r="A193" s="519" t="s">
        <v>7795</v>
      </c>
      <c r="B193" s="518"/>
      <c r="C193" s="517"/>
      <c r="D193" s="517"/>
      <c r="E193" s="516" t="s">
        <v>1445</v>
      </c>
      <c r="F193" s="513" t="s">
        <v>1242</v>
      </c>
      <c r="G193" s="513">
        <v>7792.79</v>
      </c>
      <c r="H193" s="515">
        <v>0</v>
      </c>
      <c r="I193" s="515">
        <v>0</v>
      </c>
      <c r="J193" s="514"/>
      <c r="K193" s="513" t="s">
        <v>399</v>
      </c>
    </row>
    <row r="194" spans="1:11" x14ac:dyDescent="0.2">
      <c r="A194" s="536" t="s">
        <v>7794</v>
      </c>
      <c r="B194" s="535"/>
      <c r="C194" s="534"/>
      <c r="D194" s="534"/>
      <c r="E194" s="534" t="s">
        <v>6932</v>
      </c>
      <c r="F194" s="531"/>
      <c r="G194" s="531"/>
      <c r="H194" s="533"/>
      <c r="I194" s="533">
        <v>678396.59199999995</v>
      </c>
      <c r="J194" s="532">
        <v>3.1235418509963864E-2</v>
      </c>
      <c r="K194" s="531" t="s">
        <v>399</v>
      </c>
    </row>
    <row r="195" spans="1:11" x14ac:dyDescent="0.2">
      <c r="A195" s="203" t="s">
        <v>7793</v>
      </c>
      <c r="B195" s="530"/>
      <c r="C195" s="530"/>
      <c r="D195" s="530"/>
      <c r="E195" s="530" t="s">
        <v>7131</v>
      </c>
      <c r="F195" s="527"/>
      <c r="G195" s="527"/>
      <c r="H195" s="529"/>
      <c r="I195" s="529">
        <v>306672.43199999997</v>
      </c>
      <c r="J195" s="528">
        <v>1.4120120696285035E-2</v>
      </c>
      <c r="K195" s="527" t="s">
        <v>399</v>
      </c>
    </row>
    <row r="196" spans="1:11" ht="25.5" x14ac:dyDescent="0.2">
      <c r="A196" s="526" t="s">
        <v>7792</v>
      </c>
      <c r="B196" s="525" t="s">
        <v>7260</v>
      </c>
      <c r="C196" s="524" t="s">
        <v>7259</v>
      </c>
      <c r="D196" s="524" t="s">
        <v>7786</v>
      </c>
      <c r="E196" s="523" t="s">
        <v>585</v>
      </c>
      <c r="F196" s="520" t="s">
        <v>641</v>
      </c>
      <c r="G196" s="520">
        <v>11616.38</v>
      </c>
      <c r="H196" s="522">
        <v>26.4</v>
      </c>
      <c r="I196" s="522">
        <v>306672.43199999997</v>
      </c>
      <c r="J196" s="521">
        <v>1.4120120696285035E-2</v>
      </c>
      <c r="K196" s="520" t="s">
        <v>399</v>
      </c>
    </row>
    <row r="197" spans="1:11" x14ac:dyDescent="0.2">
      <c r="A197" s="203" t="s">
        <v>7791</v>
      </c>
      <c r="B197" s="530"/>
      <c r="C197" s="530"/>
      <c r="D197" s="530"/>
      <c r="E197" s="530" t="s">
        <v>7784</v>
      </c>
      <c r="F197" s="527"/>
      <c r="G197" s="527"/>
      <c r="H197" s="529"/>
      <c r="I197" s="529">
        <v>371724.16</v>
      </c>
      <c r="J197" s="528">
        <v>1.7115297813678831E-2</v>
      </c>
      <c r="K197" s="527" t="s">
        <v>399</v>
      </c>
    </row>
    <row r="198" spans="1:11" ht="25.5" x14ac:dyDescent="0.2">
      <c r="A198" s="519" t="s">
        <v>7790</v>
      </c>
      <c r="B198" s="518" t="s">
        <v>7260</v>
      </c>
      <c r="C198" s="517" t="s">
        <v>7259</v>
      </c>
      <c r="D198" s="517" t="s">
        <v>7782</v>
      </c>
      <c r="E198" s="516" t="s">
        <v>7781</v>
      </c>
      <c r="F198" s="513" t="s">
        <v>641</v>
      </c>
      <c r="G198" s="513">
        <v>11616.38</v>
      </c>
      <c r="H198" s="515">
        <v>32</v>
      </c>
      <c r="I198" s="515">
        <v>371724.16</v>
      </c>
      <c r="J198" s="514">
        <v>1.7115297813678831E-2</v>
      </c>
      <c r="K198" s="513" t="s">
        <v>399</v>
      </c>
    </row>
    <row r="199" spans="1:11" x14ac:dyDescent="0.2">
      <c r="A199" s="536" t="s">
        <v>7789</v>
      </c>
      <c r="B199" s="535"/>
      <c r="C199" s="534"/>
      <c r="D199" s="534"/>
      <c r="E199" s="534" t="s">
        <v>6881</v>
      </c>
      <c r="F199" s="531"/>
      <c r="G199" s="531"/>
      <c r="H199" s="533"/>
      <c r="I199" s="533">
        <v>668292.80799999996</v>
      </c>
      <c r="J199" s="532">
        <v>3.0770209920333632E-2</v>
      </c>
      <c r="K199" s="531" t="s">
        <v>399</v>
      </c>
    </row>
    <row r="200" spans="1:11" x14ac:dyDescent="0.2">
      <c r="A200" s="203" t="s">
        <v>7788</v>
      </c>
      <c r="B200" s="530"/>
      <c r="C200" s="530"/>
      <c r="D200" s="530"/>
      <c r="E200" s="530" t="s">
        <v>7131</v>
      </c>
      <c r="F200" s="527"/>
      <c r="G200" s="527"/>
      <c r="H200" s="529"/>
      <c r="I200" s="529">
        <v>302104.96799999999</v>
      </c>
      <c r="J200" s="528">
        <v>1.3909820922890547E-2</v>
      </c>
      <c r="K200" s="527" t="s">
        <v>399</v>
      </c>
    </row>
    <row r="201" spans="1:11" ht="25.5" x14ac:dyDescent="0.2">
      <c r="A201" s="526" t="s">
        <v>7787</v>
      </c>
      <c r="B201" s="525" t="s">
        <v>7260</v>
      </c>
      <c r="C201" s="524" t="s">
        <v>7259</v>
      </c>
      <c r="D201" s="524" t="s">
        <v>7786</v>
      </c>
      <c r="E201" s="523" t="s">
        <v>585</v>
      </c>
      <c r="F201" s="520" t="s">
        <v>641</v>
      </c>
      <c r="G201" s="520">
        <v>11443.37</v>
      </c>
      <c r="H201" s="522">
        <v>26.4</v>
      </c>
      <c r="I201" s="522">
        <v>302104.96799999999</v>
      </c>
      <c r="J201" s="521">
        <v>1.3909820922890547E-2</v>
      </c>
      <c r="K201" s="520" t="s">
        <v>399</v>
      </c>
    </row>
    <row r="202" spans="1:11" x14ac:dyDescent="0.2">
      <c r="A202" s="203" t="s">
        <v>7785</v>
      </c>
      <c r="B202" s="530"/>
      <c r="C202" s="530"/>
      <c r="D202" s="530"/>
      <c r="E202" s="530" t="s">
        <v>7784</v>
      </c>
      <c r="F202" s="527"/>
      <c r="G202" s="527"/>
      <c r="H202" s="529"/>
      <c r="I202" s="529">
        <v>366187.84</v>
      </c>
      <c r="J202" s="528">
        <v>1.6860388997443087E-2</v>
      </c>
      <c r="K202" s="527" t="s">
        <v>399</v>
      </c>
    </row>
    <row r="203" spans="1:11" ht="25.5" x14ac:dyDescent="0.2">
      <c r="A203" s="519" t="s">
        <v>7783</v>
      </c>
      <c r="B203" s="518" t="s">
        <v>7260</v>
      </c>
      <c r="C203" s="517" t="s">
        <v>7259</v>
      </c>
      <c r="D203" s="517" t="s">
        <v>7782</v>
      </c>
      <c r="E203" s="516" t="s">
        <v>7781</v>
      </c>
      <c r="F203" s="513" t="s">
        <v>641</v>
      </c>
      <c r="G203" s="513">
        <v>11443.37</v>
      </c>
      <c r="H203" s="515">
        <v>32</v>
      </c>
      <c r="I203" s="515">
        <v>366187.84</v>
      </c>
      <c r="J203" s="514">
        <v>1.6860388997443087E-2</v>
      </c>
      <c r="K203" s="513" t="s">
        <v>399</v>
      </c>
    </row>
    <row r="204" spans="1:11" x14ac:dyDescent="0.2">
      <c r="A204" s="542" t="s">
        <v>7780</v>
      </c>
      <c r="B204" s="541"/>
      <c r="C204" s="540"/>
      <c r="D204" s="540"/>
      <c r="E204" s="540" t="s">
        <v>7779</v>
      </c>
      <c r="F204" s="537"/>
      <c r="G204" s="537"/>
      <c r="H204" s="539"/>
      <c r="I204" s="539">
        <v>2050093.5688792032</v>
      </c>
      <c r="J204" s="538">
        <v>9.4392470958237579E-2</v>
      </c>
      <c r="K204" s="537" t="s">
        <v>399</v>
      </c>
    </row>
    <row r="205" spans="1:11" x14ac:dyDescent="0.2">
      <c r="A205" s="536" t="s">
        <v>7778</v>
      </c>
      <c r="B205" s="535"/>
      <c r="C205" s="534"/>
      <c r="D205" s="534"/>
      <c r="E205" s="534" t="s">
        <v>6806</v>
      </c>
      <c r="F205" s="531"/>
      <c r="G205" s="531"/>
      <c r="H205" s="533"/>
      <c r="I205" s="533">
        <v>297343.58053805318</v>
      </c>
      <c r="J205" s="532">
        <v>1.3690592330330041E-2</v>
      </c>
      <c r="K205" s="531" t="s">
        <v>399</v>
      </c>
    </row>
    <row r="206" spans="1:11" x14ac:dyDescent="0.2">
      <c r="A206" s="203" t="s">
        <v>7777</v>
      </c>
      <c r="B206" s="530"/>
      <c r="C206" s="530"/>
      <c r="D206" s="530"/>
      <c r="E206" s="530" t="s">
        <v>7723</v>
      </c>
      <c r="F206" s="527"/>
      <c r="G206" s="527"/>
      <c r="H206" s="529"/>
      <c r="I206" s="529">
        <v>179410.40919100001</v>
      </c>
      <c r="J206" s="528">
        <v>8.2605945876048168E-3</v>
      </c>
      <c r="K206" s="527" t="s">
        <v>399</v>
      </c>
    </row>
    <row r="207" spans="1:11" x14ac:dyDescent="0.2">
      <c r="A207" s="526" t="s">
        <v>7776</v>
      </c>
      <c r="B207" s="525"/>
      <c r="C207" s="524"/>
      <c r="D207" s="524"/>
      <c r="E207" s="523" t="s">
        <v>7761</v>
      </c>
      <c r="F207" s="520" t="s">
        <v>1242</v>
      </c>
      <c r="G207" s="520">
        <v>142.03</v>
      </c>
      <c r="H207" s="522">
        <v>0</v>
      </c>
      <c r="I207" s="522">
        <v>0</v>
      </c>
      <c r="J207" s="521"/>
      <c r="K207" s="520" t="s">
        <v>399</v>
      </c>
    </row>
    <row r="208" spans="1:11" ht="25.5" x14ac:dyDescent="0.2">
      <c r="A208" s="519" t="s">
        <v>7775</v>
      </c>
      <c r="B208" s="518" t="s">
        <v>7260</v>
      </c>
      <c r="C208" s="517" t="s">
        <v>7259</v>
      </c>
      <c r="D208" s="517" t="s">
        <v>7721</v>
      </c>
      <c r="E208" s="516" t="s">
        <v>7720</v>
      </c>
      <c r="F208" s="513" t="s">
        <v>641</v>
      </c>
      <c r="G208" s="513">
        <v>1911.23</v>
      </c>
      <c r="H208" s="515">
        <v>93.871700000000004</v>
      </c>
      <c r="I208" s="515">
        <v>179410.40919100001</v>
      </c>
      <c r="J208" s="514">
        <v>8.2605945876048168E-3</v>
      </c>
      <c r="K208" s="513" t="s">
        <v>399</v>
      </c>
    </row>
    <row r="209" spans="1:11" x14ac:dyDescent="0.2">
      <c r="A209" s="526" t="s">
        <v>7774</v>
      </c>
      <c r="B209" s="525"/>
      <c r="C209" s="524"/>
      <c r="D209" s="524"/>
      <c r="E209" s="523" t="s">
        <v>7773</v>
      </c>
      <c r="F209" s="520" t="s">
        <v>1242</v>
      </c>
      <c r="G209" s="520">
        <v>174.83</v>
      </c>
      <c r="H209" s="522">
        <v>0</v>
      </c>
      <c r="I209" s="522">
        <v>0</v>
      </c>
      <c r="J209" s="521"/>
      <c r="K209" s="520" t="s">
        <v>399</v>
      </c>
    </row>
    <row r="210" spans="1:11" ht="25.5" x14ac:dyDescent="0.2">
      <c r="A210" s="519" t="s">
        <v>7772</v>
      </c>
      <c r="B210" s="518"/>
      <c r="C210" s="517"/>
      <c r="D210" s="517"/>
      <c r="E210" s="516" t="s">
        <v>7718</v>
      </c>
      <c r="F210" s="513" t="s">
        <v>1242</v>
      </c>
      <c r="G210" s="513">
        <v>50.53</v>
      </c>
      <c r="H210" s="515">
        <v>0</v>
      </c>
      <c r="I210" s="515">
        <v>0</v>
      </c>
      <c r="J210" s="514"/>
      <c r="K210" s="513" t="s">
        <v>399</v>
      </c>
    </row>
    <row r="211" spans="1:11" x14ac:dyDescent="0.2">
      <c r="A211" s="526" t="s">
        <v>7771</v>
      </c>
      <c r="B211" s="525"/>
      <c r="C211" s="524"/>
      <c r="D211" s="524"/>
      <c r="E211" s="523" t="s">
        <v>7770</v>
      </c>
      <c r="F211" s="520" t="s">
        <v>1242</v>
      </c>
      <c r="G211" s="520">
        <v>8.49</v>
      </c>
      <c r="H211" s="522">
        <v>0</v>
      </c>
      <c r="I211" s="522">
        <v>0</v>
      </c>
      <c r="J211" s="521"/>
      <c r="K211" s="520" t="s">
        <v>399</v>
      </c>
    </row>
    <row r="212" spans="1:11" x14ac:dyDescent="0.2">
      <c r="A212" s="203" t="s">
        <v>7769</v>
      </c>
      <c r="B212" s="530"/>
      <c r="C212" s="530"/>
      <c r="D212" s="530"/>
      <c r="E212" s="530" t="s">
        <v>7712</v>
      </c>
      <c r="F212" s="527"/>
      <c r="G212" s="527"/>
      <c r="H212" s="529"/>
      <c r="I212" s="529">
        <v>0</v>
      </c>
      <c r="J212" s="528"/>
      <c r="K212" s="527" t="s">
        <v>399</v>
      </c>
    </row>
    <row r="213" spans="1:11" x14ac:dyDescent="0.2">
      <c r="A213" s="519" t="s">
        <v>7768</v>
      </c>
      <c r="B213" s="518"/>
      <c r="C213" s="517"/>
      <c r="D213" s="517"/>
      <c r="E213" s="516" t="s">
        <v>7767</v>
      </c>
      <c r="F213" s="513" t="s">
        <v>1242</v>
      </c>
      <c r="G213" s="513">
        <v>6.05</v>
      </c>
      <c r="H213" s="515">
        <v>0</v>
      </c>
      <c r="I213" s="515">
        <v>0</v>
      </c>
      <c r="J213" s="514"/>
      <c r="K213" s="513" t="s">
        <v>399</v>
      </c>
    </row>
    <row r="214" spans="1:11" x14ac:dyDescent="0.2">
      <c r="A214" s="526" t="s">
        <v>7766</v>
      </c>
      <c r="B214" s="525"/>
      <c r="C214" s="524"/>
      <c r="D214" s="524"/>
      <c r="E214" s="523" t="s">
        <v>7765</v>
      </c>
      <c r="F214" s="520" t="s">
        <v>1242</v>
      </c>
      <c r="G214" s="520">
        <v>68.91</v>
      </c>
      <c r="H214" s="522">
        <v>0</v>
      </c>
      <c r="I214" s="522">
        <v>0</v>
      </c>
      <c r="J214" s="521"/>
      <c r="K214" s="520" t="s">
        <v>399</v>
      </c>
    </row>
    <row r="215" spans="1:11" x14ac:dyDescent="0.2">
      <c r="A215" s="519" t="s">
        <v>7764</v>
      </c>
      <c r="B215" s="518"/>
      <c r="C215" s="517"/>
      <c r="D215" s="517"/>
      <c r="E215" s="516" t="s">
        <v>7763</v>
      </c>
      <c r="F215" s="513" t="s">
        <v>1242</v>
      </c>
      <c r="G215" s="513">
        <v>179.62</v>
      </c>
      <c r="H215" s="515">
        <v>0</v>
      </c>
      <c r="I215" s="515">
        <v>0</v>
      </c>
      <c r="J215" s="514"/>
      <c r="K215" s="513" t="s">
        <v>399</v>
      </c>
    </row>
    <row r="216" spans="1:11" x14ac:dyDescent="0.2">
      <c r="A216" s="526" t="s">
        <v>7762</v>
      </c>
      <c r="B216" s="525"/>
      <c r="C216" s="524"/>
      <c r="D216" s="524"/>
      <c r="E216" s="523" t="s">
        <v>7761</v>
      </c>
      <c r="F216" s="520" t="s">
        <v>1242</v>
      </c>
      <c r="G216" s="520">
        <v>57.89</v>
      </c>
      <c r="H216" s="522">
        <v>0</v>
      </c>
      <c r="I216" s="522">
        <v>0</v>
      </c>
      <c r="J216" s="521"/>
      <c r="K216" s="520" t="s">
        <v>399</v>
      </c>
    </row>
    <row r="217" spans="1:11" x14ac:dyDescent="0.2">
      <c r="A217" s="519" t="s">
        <v>7760</v>
      </c>
      <c r="B217" s="518"/>
      <c r="C217" s="517"/>
      <c r="D217" s="517"/>
      <c r="E217" s="516" t="s">
        <v>7710</v>
      </c>
      <c r="F217" s="513" t="s">
        <v>1242</v>
      </c>
      <c r="G217" s="513">
        <v>142.53</v>
      </c>
      <c r="H217" s="515">
        <v>0</v>
      </c>
      <c r="I217" s="515">
        <v>0</v>
      </c>
      <c r="J217" s="514"/>
      <c r="K217" s="513" t="s">
        <v>399</v>
      </c>
    </row>
    <row r="218" spans="1:11" x14ac:dyDescent="0.2">
      <c r="A218" s="203" t="s">
        <v>7759</v>
      </c>
      <c r="B218" s="530"/>
      <c r="C218" s="530"/>
      <c r="D218" s="530"/>
      <c r="E218" s="530" t="s">
        <v>7708</v>
      </c>
      <c r="F218" s="527"/>
      <c r="G218" s="527"/>
      <c r="H218" s="529"/>
      <c r="I218" s="529">
        <v>117933.1713470532</v>
      </c>
      <c r="J218" s="528">
        <v>5.4299977427252257E-3</v>
      </c>
      <c r="K218" s="527" t="s">
        <v>399</v>
      </c>
    </row>
    <row r="219" spans="1:11" x14ac:dyDescent="0.2">
      <c r="A219" s="526" t="s">
        <v>7758</v>
      </c>
      <c r="B219" s="525"/>
      <c r="C219" s="524"/>
      <c r="D219" s="524"/>
      <c r="E219" s="523" t="s">
        <v>7757</v>
      </c>
      <c r="F219" s="520" t="s">
        <v>787</v>
      </c>
      <c r="G219" s="520">
        <v>12.48</v>
      </c>
      <c r="H219" s="522">
        <v>0</v>
      </c>
      <c r="I219" s="522">
        <v>0</v>
      </c>
      <c r="J219" s="521"/>
      <c r="K219" s="520" t="s">
        <v>399</v>
      </c>
    </row>
    <row r="220" spans="1:11" ht="25.5" x14ac:dyDescent="0.2">
      <c r="A220" s="519" t="s">
        <v>7756</v>
      </c>
      <c r="B220" s="518" t="s">
        <v>7260</v>
      </c>
      <c r="C220" s="517" t="s">
        <v>7259</v>
      </c>
      <c r="D220" s="517" t="s">
        <v>7703</v>
      </c>
      <c r="E220" s="516" t="s">
        <v>7702</v>
      </c>
      <c r="F220" s="513" t="s">
        <v>787</v>
      </c>
      <c r="G220" s="513">
        <v>1434.26</v>
      </c>
      <c r="H220" s="515">
        <v>82.225796819999999</v>
      </c>
      <c r="I220" s="515">
        <v>117933.1713470532</v>
      </c>
      <c r="J220" s="514">
        <v>5.4299977427252257E-3</v>
      </c>
      <c r="K220" s="513" t="s">
        <v>399</v>
      </c>
    </row>
    <row r="221" spans="1:11" x14ac:dyDescent="0.2">
      <c r="A221" s="526" t="s">
        <v>7755</v>
      </c>
      <c r="B221" s="525"/>
      <c r="C221" s="524"/>
      <c r="D221" s="524"/>
      <c r="E221" s="523" t="s">
        <v>7754</v>
      </c>
      <c r="F221" s="520" t="s">
        <v>787</v>
      </c>
      <c r="G221" s="520">
        <v>157.33000000000001</v>
      </c>
      <c r="H221" s="522">
        <v>0</v>
      </c>
      <c r="I221" s="522">
        <v>0</v>
      </c>
      <c r="J221" s="521"/>
      <c r="K221" s="520" t="s">
        <v>399</v>
      </c>
    </row>
    <row r="222" spans="1:11" x14ac:dyDescent="0.2">
      <c r="A222" s="519" t="s">
        <v>7753</v>
      </c>
      <c r="B222" s="518"/>
      <c r="C222" s="517"/>
      <c r="D222" s="517"/>
      <c r="E222" s="516" t="s">
        <v>7697</v>
      </c>
      <c r="F222" s="513" t="s">
        <v>787</v>
      </c>
      <c r="G222" s="513">
        <v>165.55</v>
      </c>
      <c r="H222" s="515">
        <v>0</v>
      </c>
      <c r="I222" s="515">
        <v>0</v>
      </c>
      <c r="J222" s="514"/>
      <c r="K222" s="513" t="s">
        <v>399</v>
      </c>
    </row>
    <row r="223" spans="1:11" x14ac:dyDescent="0.2">
      <c r="A223" s="526" t="s">
        <v>7752</v>
      </c>
      <c r="B223" s="525"/>
      <c r="C223" s="524"/>
      <c r="D223" s="524"/>
      <c r="E223" s="523" t="s">
        <v>7695</v>
      </c>
      <c r="F223" s="520" t="s">
        <v>787</v>
      </c>
      <c r="G223" s="520">
        <v>467.36</v>
      </c>
      <c r="H223" s="522">
        <v>0</v>
      </c>
      <c r="I223" s="522">
        <v>0</v>
      </c>
      <c r="J223" s="521"/>
      <c r="K223" s="520" t="s">
        <v>399</v>
      </c>
    </row>
    <row r="224" spans="1:11" x14ac:dyDescent="0.2">
      <c r="A224" s="203" t="s">
        <v>7751</v>
      </c>
      <c r="B224" s="530"/>
      <c r="C224" s="530"/>
      <c r="D224" s="530"/>
      <c r="E224" s="530" t="s">
        <v>7693</v>
      </c>
      <c r="F224" s="527"/>
      <c r="G224" s="527"/>
      <c r="H224" s="529"/>
      <c r="I224" s="529">
        <v>0</v>
      </c>
      <c r="J224" s="528"/>
      <c r="K224" s="527" t="s">
        <v>399</v>
      </c>
    </row>
    <row r="225" spans="1:11" x14ac:dyDescent="0.2">
      <c r="A225" s="519" t="s">
        <v>7750</v>
      </c>
      <c r="B225" s="518"/>
      <c r="C225" s="517"/>
      <c r="D225" s="517"/>
      <c r="E225" s="516" t="s">
        <v>7688</v>
      </c>
      <c r="F225" s="513" t="s">
        <v>1242</v>
      </c>
      <c r="G225" s="513">
        <v>36.96</v>
      </c>
      <c r="H225" s="515">
        <v>0</v>
      </c>
      <c r="I225" s="515">
        <v>0</v>
      </c>
      <c r="J225" s="514"/>
      <c r="K225" s="513" t="s">
        <v>399</v>
      </c>
    </row>
    <row r="226" spans="1:11" x14ac:dyDescent="0.2">
      <c r="A226" s="536" t="s">
        <v>7749</v>
      </c>
      <c r="B226" s="535"/>
      <c r="C226" s="534"/>
      <c r="D226" s="534"/>
      <c r="E226" s="534" t="s">
        <v>6938</v>
      </c>
      <c r="F226" s="531"/>
      <c r="G226" s="531"/>
      <c r="H226" s="533"/>
      <c r="I226" s="533">
        <v>0</v>
      </c>
      <c r="J226" s="532"/>
      <c r="K226" s="531" t="s">
        <v>399</v>
      </c>
    </row>
    <row r="227" spans="1:11" x14ac:dyDescent="0.2">
      <c r="A227" s="203" t="s">
        <v>7748</v>
      </c>
      <c r="B227" s="530"/>
      <c r="C227" s="530"/>
      <c r="D227" s="530"/>
      <c r="E227" s="530" t="s">
        <v>7712</v>
      </c>
      <c r="F227" s="527"/>
      <c r="G227" s="527"/>
      <c r="H227" s="529"/>
      <c r="I227" s="529">
        <v>0</v>
      </c>
      <c r="J227" s="528"/>
      <c r="K227" s="527" t="s">
        <v>399</v>
      </c>
    </row>
    <row r="228" spans="1:11" x14ac:dyDescent="0.2">
      <c r="A228" s="526" t="s">
        <v>7747</v>
      </c>
      <c r="B228" s="525"/>
      <c r="C228" s="524"/>
      <c r="D228" s="524"/>
      <c r="E228" s="523" t="s">
        <v>7746</v>
      </c>
      <c r="F228" s="520" t="s">
        <v>1242</v>
      </c>
      <c r="G228" s="520">
        <v>582.79</v>
      </c>
      <c r="H228" s="522">
        <v>0</v>
      </c>
      <c r="I228" s="522">
        <v>0</v>
      </c>
      <c r="J228" s="521"/>
      <c r="K228" s="520" t="s">
        <v>399</v>
      </c>
    </row>
    <row r="229" spans="1:11" x14ac:dyDescent="0.2">
      <c r="A229" s="536" t="s">
        <v>7745</v>
      </c>
      <c r="B229" s="535"/>
      <c r="C229" s="534"/>
      <c r="D229" s="534"/>
      <c r="E229" s="534" t="s">
        <v>6932</v>
      </c>
      <c r="F229" s="531"/>
      <c r="G229" s="531"/>
      <c r="H229" s="533"/>
      <c r="I229" s="533">
        <v>883795.17044564872</v>
      </c>
      <c r="J229" s="532">
        <v>4.0692586536393877E-2</v>
      </c>
      <c r="K229" s="531" t="s">
        <v>399</v>
      </c>
    </row>
    <row r="230" spans="1:11" x14ac:dyDescent="0.2">
      <c r="A230" s="203" t="s">
        <v>7744</v>
      </c>
      <c r="B230" s="530"/>
      <c r="C230" s="530"/>
      <c r="D230" s="530"/>
      <c r="E230" s="530" t="s">
        <v>7723</v>
      </c>
      <c r="F230" s="527"/>
      <c r="G230" s="527"/>
      <c r="H230" s="529"/>
      <c r="I230" s="529">
        <v>636302.74743100011</v>
      </c>
      <c r="J230" s="528">
        <v>2.9297291362346826E-2</v>
      </c>
      <c r="K230" s="527" t="s">
        <v>399</v>
      </c>
    </row>
    <row r="231" spans="1:11" ht="25.5" x14ac:dyDescent="0.2">
      <c r="A231" s="519" t="s">
        <v>7743</v>
      </c>
      <c r="B231" s="518" t="s">
        <v>7260</v>
      </c>
      <c r="C231" s="517" t="s">
        <v>7259</v>
      </c>
      <c r="D231" s="517" t="s">
        <v>7721</v>
      </c>
      <c r="E231" s="516" t="s">
        <v>7720</v>
      </c>
      <c r="F231" s="513" t="s">
        <v>641</v>
      </c>
      <c r="G231" s="513">
        <v>6778.43</v>
      </c>
      <c r="H231" s="515">
        <v>93.871700000000004</v>
      </c>
      <c r="I231" s="515">
        <v>636302.74743100011</v>
      </c>
      <c r="J231" s="514">
        <v>2.9297291362346826E-2</v>
      </c>
      <c r="K231" s="513" t="s">
        <v>399</v>
      </c>
    </row>
    <row r="232" spans="1:11" ht="25.5" x14ac:dyDescent="0.2">
      <c r="A232" s="526" t="s">
        <v>7742</v>
      </c>
      <c r="B232" s="525"/>
      <c r="C232" s="524"/>
      <c r="D232" s="524"/>
      <c r="E232" s="523" t="s">
        <v>7718</v>
      </c>
      <c r="F232" s="520" t="s">
        <v>1242</v>
      </c>
      <c r="G232" s="520">
        <v>98.19</v>
      </c>
      <c r="H232" s="522">
        <v>0</v>
      </c>
      <c r="I232" s="522">
        <v>0</v>
      </c>
      <c r="J232" s="521"/>
      <c r="K232" s="520" t="s">
        <v>399</v>
      </c>
    </row>
    <row r="233" spans="1:11" x14ac:dyDescent="0.2">
      <c r="A233" s="203" t="s">
        <v>7741</v>
      </c>
      <c r="B233" s="530"/>
      <c r="C233" s="530"/>
      <c r="D233" s="530"/>
      <c r="E233" s="530" t="s">
        <v>7716</v>
      </c>
      <c r="F233" s="527"/>
      <c r="G233" s="527"/>
      <c r="H233" s="529"/>
      <c r="I233" s="529">
        <v>0</v>
      </c>
      <c r="J233" s="528"/>
      <c r="K233" s="527" t="s">
        <v>399</v>
      </c>
    </row>
    <row r="234" spans="1:11" x14ac:dyDescent="0.2">
      <c r="A234" s="519" t="s">
        <v>7740</v>
      </c>
      <c r="B234" s="518"/>
      <c r="C234" s="517"/>
      <c r="D234" s="517"/>
      <c r="E234" s="516" t="s">
        <v>7714</v>
      </c>
      <c r="F234" s="513" t="s">
        <v>1242</v>
      </c>
      <c r="G234" s="513">
        <v>15.92</v>
      </c>
      <c r="H234" s="515">
        <v>0</v>
      </c>
      <c r="I234" s="515">
        <v>0</v>
      </c>
      <c r="J234" s="514"/>
      <c r="K234" s="513" t="s">
        <v>399</v>
      </c>
    </row>
    <row r="235" spans="1:11" x14ac:dyDescent="0.2">
      <c r="A235" s="203" t="s">
        <v>7739</v>
      </c>
      <c r="B235" s="530"/>
      <c r="C235" s="530"/>
      <c r="D235" s="530"/>
      <c r="E235" s="530" t="s">
        <v>7712</v>
      </c>
      <c r="F235" s="527"/>
      <c r="G235" s="527"/>
      <c r="H235" s="529"/>
      <c r="I235" s="529">
        <v>0</v>
      </c>
      <c r="J235" s="528"/>
      <c r="K235" s="527" t="s">
        <v>399</v>
      </c>
    </row>
    <row r="236" spans="1:11" x14ac:dyDescent="0.2">
      <c r="A236" s="526" t="s">
        <v>7738</v>
      </c>
      <c r="B236" s="525"/>
      <c r="C236" s="524"/>
      <c r="D236" s="524"/>
      <c r="E236" s="523" t="s">
        <v>7710</v>
      </c>
      <c r="F236" s="520" t="s">
        <v>1242</v>
      </c>
      <c r="G236" s="520">
        <v>3790.81</v>
      </c>
      <c r="H236" s="522">
        <v>0</v>
      </c>
      <c r="I236" s="522">
        <v>0</v>
      </c>
      <c r="J236" s="521"/>
      <c r="K236" s="520" t="s">
        <v>399</v>
      </c>
    </row>
    <row r="237" spans="1:11" x14ac:dyDescent="0.2">
      <c r="A237" s="203" t="s">
        <v>7737</v>
      </c>
      <c r="B237" s="530"/>
      <c r="C237" s="530"/>
      <c r="D237" s="530"/>
      <c r="E237" s="530" t="s">
        <v>7708</v>
      </c>
      <c r="F237" s="527"/>
      <c r="G237" s="527"/>
      <c r="H237" s="529"/>
      <c r="I237" s="529">
        <v>238041.6468640886</v>
      </c>
      <c r="J237" s="528">
        <v>1.0960153028894986E-2</v>
      </c>
      <c r="K237" s="527" t="s">
        <v>399</v>
      </c>
    </row>
    <row r="238" spans="1:11" ht="25.5" x14ac:dyDescent="0.2">
      <c r="A238" s="519" t="s">
        <v>7736</v>
      </c>
      <c r="B238" s="518" t="s">
        <v>7260</v>
      </c>
      <c r="C238" s="517" t="s">
        <v>7259</v>
      </c>
      <c r="D238" s="517" t="s">
        <v>7706</v>
      </c>
      <c r="E238" s="516" t="s">
        <v>7705</v>
      </c>
      <c r="F238" s="513" t="s">
        <v>787</v>
      </c>
      <c r="G238" s="513">
        <v>11426.45</v>
      </c>
      <c r="H238" s="515">
        <v>17.655796819999999</v>
      </c>
      <c r="I238" s="515">
        <v>201743.079573889</v>
      </c>
      <c r="J238" s="514">
        <v>9.2888578691140682E-3</v>
      </c>
      <c r="K238" s="513" t="s">
        <v>399</v>
      </c>
    </row>
    <row r="239" spans="1:11" ht="25.5" x14ac:dyDescent="0.2">
      <c r="A239" s="526" t="s">
        <v>7735</v>
      </c>
      <c r="B239" s="525" t="s">
        <v>7260</v>
      </c>
      <c r="C239" s="524" t="s">
        <v>7259</v>
      </c>
      <c r="D239" s="524" t="s">
        <v>7703</v>
      </c>
      <c r="E239" s="523" t="s">
        <v>7702</v>
      </c>
      <c r="F239" s="520" t="s">
        <v>787</v>
      </c>
      <c r="G239" s="520">
        <v>304.77999999999997</v>
      </c>
      <c r="H239" s="522">
        <v>82.225796819999999</v>
      </c>
      <c r="I239" s="522">
        <v>25060.778354799597</v>
      </c>
      <c r="J239" s="521">
        <v>1.1538735738483917E-3</v>
      </c>
      <c r="K239" s="520" t="s">
        <v>399</v>
      </c>
    </row>
    <row r="240" spans="1:11" ht="25.5" x14ac:dyDescent="0.2">
      <c r="A240" s="519" t="s">
        <v>7734</v>
      </c>
      <c r="B240" s="518" t="s">
        <v>7260</v>
      </c>
      <c r="C240" s="517" t="s">
        <v>7259</v>
      </c>
      <c r="D240" s="517" t="s">
        <v>7700</v>
      </c>
      <c r="E240" s="516" t="s">
        <v>7699</v>
      </c>
      <c r="F240" s="513" t="s">
        <v>787</v>
      </c>
      <c r="G240" s="513">
        <v>1154.5</v>
      </c>
      <c r="H240" s="515">
        <v>9.7339012</v>
      </c>
      <c r="I240" s="515">
        <v>11237.7889354</v>
      </c>
      <c r="J240" s="514">
        <v>5.1742158593252527E-4</v>
      </c>
      <c r="K240" s="513" t="s">
        <v>399</v>
      </c>
    </row>
    <row r="241" spans="1:11" x14ac:dyDescent="0.2">
      <c r="A241" s="526" t="s">
        <v>7733</v>
      </c>
      <c r="B241" s="525"/>
      <c r="C241" s="524"/>
      <c r="D241" s="524"/>
      <c r="E241" s="523" t="s">
        <v>7697</v>
      </c>
      <c r="F241" s="520" t="s">
        <v>787</v>
      </c>
      <c r="G241" s="520">
        <v>235.2</v>
      </c>
      <c r="H241" s="522">
        <v>0</v>
      </c>
      <c r="I241" s="522">
        <v>0</v>
      </c>
      <c r="J241" s="521"/>
      <c r="K241" s="520" t="s">
        <v>7732</v>
      </c>
    </row>
    <row r="242" spans="1:11" x14ac:dyDescent="0.2">
      <c r="A242" s="519" t="s">
        <v>7731</v>
      </c>
      <c r="B242" s="518"/>
      <c r="C242" s="517"/>
      <c r="D242" s="517"/>
      <c r="E242" s="516" t="s">
        <v>7695</v>
      </c>
      <c r="F242" s="513" t="s">
        <v>787</v>
      </c>
      <c r="G242" s="513">
        <v>71.75</v>
      </c>
      <c r="H242" s="515">
        <v>0</v>
      </c>
      <c r="I242" s="515">
        <v>0</v>
      </c>
      <c r="J242" s="514"/>
      <c r="K242" s="513" t="s">
        <v>7730</v>
      </c>
    </row>
    <row r="243" spans="1:11" x14ac:dyDescent="0.2">
      <c r="A243" s="203" t="s">
        <v>7729</v>
      </c>
      <c r="B243" s="530"/>
      <c r="C243" s="530"/>
      <c r="D243" s="530"/>
      <c r="E243" s="530" t="s">
        <v>7693</v>
      </c>
      <c r="F243" s="527"/>
      <c r="G243" s="527"/>
      <c r="H243" s="529"/>
      <c r="I243" s="529">
        <v>9450.7761505599992</v>
      </c>
      <c r="J243" s="528">
        <v>4.3514214515206004E-4</v>
      </c>
      <c r="K243" s="527" t="s">
        <v>399</v>
      </c>
    </row>
    <row r="244" spans="1:11" ht="25.5" x14ac:dyDescent="0.2">
      <c r="A244" s="526" t="s">
        <v>7728</v>
      </c>
      <c r="B244" s="525" t="s">
        <v>7260</v>
      </c>
      <c r="C244" s="524" t="s">
        <v>7259</v>
      </c>
      <c r="D244" s="524" t="s">
        <v>7691</v>
      </c>
      <c r="E244" s="523" t="s">
        <v>7690</v>
      </c>
      <c r="F244" s="520" t="s">
        <v>641</v>
      </c>
      <c r="G244" s="520">
        <v>15.92</v>
      </c>
      <c r="H244" s="522">
        <v>593.64171799999997</v>
      </c>
      <c r="I244" s="522">
        <v>9450.7761505599992</v>
      </c>
      <c r="J244" s="521">
        <v>4.3514214515206004E-4</v>
      </c>
      <c r="K244" s="520" t="s">
        <v>399</v>
      </c>
    </row>
    <row r="245" spans="1:11" x14ac:dyDescent="0.2">
      <c r="A245" s="519" t="s">
        <v>7727</v>
      </c>
      <c r="B245" s="518"/>
      <c r="C245" s="517"/>
      <c r="D245" s="517"/>
      <c r="E245" s="516" t="s">
        <v>7688</v>
      </c>
      <c r="F245" s="513" t="s">
        <v>1242</v>
      </c>
      <c r="G245" s="513">
        <v>149.96</v>
      </c>
      <c r="H245" s="515">
        <v>0</v>
      </c>
      <c r="I245" s="515">
        <v>0</v>
      </c>
      <c r="J245" s="514"/>
      <c r="K245" s="513" t="s">
        <v>7726</v>
      </c>
    </row>
    <row r="246" spans="1:11" x14ac:dyDescent="0.2">
      <c r="A246" s="536" t="s">
        <v>7725</v>
      </c>
      <c r="B246" s="535"/>
      <c r="C246" s="534"/>
      <c r="D246" s="534"/>
      <c r="E246" s="534" t="s">
        <v>6881</v>
      </c>
      <c r="F246" s="531"/>
      <c r="G246" s="531"/>
      <c r="H246" s="533"/>
      <c r="I246" s="533">
        <v>868954.81789550127</v>
      </c>
      <c r="J246" s="532">
        <v>4.0009292091513667E-2</v>
      </c>
      <c r="K246" s="531" t="s">
        <v>399</v>
      </c>
    </row>
    <row r="247" spans="1:11" x14ac:dyDescent="0.2">
      <c r="A247" s="203" t="s">
        <v>7724</v>
      </c>
      <c r="B247" s="530"/>
      <c r="C247" s="530"/>
      <c r="D247" s="530"/>
      <c r="E247" s="530" t="s">
        <v>7723</v>
      </c>
      <c r="F247" s="527"/>
      <c r="G247" s="527"/>
      <c r="H247" s="529"/>
      <c r="I247" s="529">
        <v>601178.77344200003</v>
      </c>
      <c r="J247" s="528">
        <v>2.7680078009247461E-2</v>
      </c>
      <c r="K247" s="527" t="s">
        <v>399</v>
      </c>
    </row>
    <row r="248" spans="1:11" ht="25.5" x14ac:dyDescent="0.2">
      <c r="A248" s="526" t="s">
        <v>7722</v>
      </c>
      <c r="B248" s="525" t="s">
        <v>7260</v>
      </c>
      <c r="C248" s="524" t="s">
        <v>7259</v>
      </c>
      <c r="D248" s="524" t="s">
        <v>7721</v>
      </c>
      <c r="E248" s="523" t="s">
        <v>7720</v>
      </c>
      <c r="F248" s="520" t="s">
        <v>641</v>
      </c>
      <c r="G248" s="520">
        <v>6404.26</v>
      </c>
      <c r="H248" s="522">
        <v>93.871700000000004</v>
      </c>
      <c r="I248" s="522">
        <v>601178.77344200003</v>
      </c>
      <c r="J248" s="521">
        <v>2.7680078009247461E-2</v>
      </c>
      <c r="K248" s="520" t="s">
        <v>399</v>
      </c>
    </row>
    <row r="249" spans="1:11" ht="25.5" x14ac:dyDescent="0.2">
      <c r="A249" s="519" t="s">
        <v>7719</v>
      </c>
      <c r="B249" s="518"/>
      <c r="C249" s="517"/>
      <c r="D249" s="517"/>
      <c r="E249" s="516" t="s">
        <v>7718</v>
      </c>
      <c r="F249" s="513" t="s">
        <v>1242</v>
      </c>
      <c r="G249" s="513">
        <v>95.97</v>
      </c>
      <c r="H249" s="515">
        <v>0</v>
      </c>
      <c r="I249" s="515">
        <v>0</v>
      </c>
      <c r="J249" s="514"/>
      <c r="K249" s="513" t="s">
        <v>399</v>
      </c>
    </row>
    <row r="250" spans="1:11" x14ac:dyDescent="0.2">
      <c r="A250" s="203" t="s">
        <v>7717</v>
      </c>
      <c r="B250" s="530"/>
      <c r="C250" s="530"/>
      <c r="D250" s="530"/>
      <c r="E250" s="530" t="s">
        <v>7716</v>
      </c>
      <c r="F250" s="527"/>
      <c r="G250" s="527"/>
      <c r="H250" s="529"/>
      <c r="I250" s="529">
        <v>0</v>
      </c>
      <c r="J250" s="528"/>
      <c r="K250" s="527" t="s">
        <v>399</v>
      </c>
    </row>
    <row r="251" spans="1:11" x14ac:dyDescent="0.2">
      <c r="A251" s="526" t="s">
        <v>7715</v>
      </c>
      <c r="B251" s="525"/>
      <c r="C251" s="524"/>
      <c r="D251" s="524"/>
      <c r="E251" s="523" t="s">
        <v>7714</v>
      </c>
      <c r="F251" s="520" t="s">
        <v>1242</v>
      </c>
      <c r="G251" s="520">
        <v>17.12</v>
      </c>
      <c r="H251" s="522">
        <v>0</v>
      </c>
      <c r="I251" s="522">
        <v>0</v>
      </c>
      <c r="J251" s="521"/>
      <c r="K251" s="520" t="s">
        <v>399</v>
      </c>
    </row>
    <row r="252" spans="1:11" x14ac:dyDescent="0.2">
      <c r="A252" s="203" t="s">
        <v>7713</v>
      </c>
      <c r="B252" s="530"/>
      <c r="C252" s="530"/>
      <c r="D252" s="530"/>
      <c r="E252" s="530" t="s">
        <v>7712</v>
      </c>
      <c r="F252" s="527"/>
      <c r="G252" s="527"/>
      <c r="H252" s="529"/>
      <c r="I252" s="529">
        <v>0</v>
      </c>
      <c r="J252" s="528"/>
      <c r="K252" s="527" t="s">
        <v>399</v>
      </c>
    </row>
    <row r="253" spans="1:11" x14ac:dyDescent="0.2">
      <c r="A253" s="519" t="s">
        <v>7711</v>
      </c>
      <c r="B253" s="518"/>
      <c r="C253" s="517"/>
      <c r="D253" s="517"/>
      <c r="E253" s="516" t="s">
        <v>7710</v>
      </c>
      <c r="F253" s="513" t="s">
        <v>1242</v>
      </c>
      <c r="G253" s="513">
        <v>4028.01</v>
      </c>
      <c r="H253" s="515">
        <v>0</v>
      </c>
      <c r="I253" s="515">
        <v>0</v>
      </c>
      <c r="J253" s="514"/>
      <c r="K253" s="513" t="s">
        <v>399</v>
      </c>
    </row>
    <row r="254" spans="1:11" x14ac:dyDescent="0.2">
      <c r="A254" s="203" t="s">
        <v>7709</v>
      </c>
      <c r="B254" s="530"/>
      <c r="C254" s="530"/>
      <c r="D254" s="530"/>
      <c r="E254" s="530" t="s">
        <v>7708</v>
      </c>
      <c r="F254" s="527"/>
      <c r="G254" s="527"/>
      <c r="H254" s="529"/>
      <c r="I254" s="529">
        <v>257612.89824134117</v>
      </c>
      <c r="J254" s="528">
        <v>1.1861272277931824E-2</v>
      </c>
      <c r="K254" s="527" t="s">
        <v>399</v>
      </c>
    </row>
    <row r="255" spans="1:11" ht="25.5" x14ac:dyDescent="0.2">
      <c r="A255" s="526" t="s">
        <v>7707</v>
      </c>
      <c r="B255" s="525" t="s">
        <v>7260</v>
      </c>
      <c r="C255" s="524" t="s">
        <v>7259</v>
      </c>
      <c r="D255" s="524" t="s">
        <v>7706</v>
      </c>
      <c r="E255" s="523" t="s">
        <v>7705</v>
      </c>
      <c r="F255" s="520" t="s">
        <v>787</v>
      </c>
      <c r="G255" s="520">
        <v>12343.05</v>
      </c>
      <c r="H255" s="522">
        <v>17.655796819999999</v>
      </c>
      <c r="I255" s="522">
        <v>217926.38293910096</v>
      </c>
      <c r="J255" s="521">
        <v>1.0033985806735108E-2</v>
      </c>
      <c r="K255" s="520" t="s">
        <v>399</v>
      </c>
    </row>
    <row r="256" spans="1:11" ht="25.5" x14ac:dyDescent="0.2">
      <c r="A256" s="519" t="s">
        <v>7704</v>
      </c>
      <c r="B256" s="518" t="s">
        <v>7260</v>
      </c>
      <c r="C256" s="517" t="s">
        <v>7259</v>
      </c>
      <c r="D256" s="517" t="s">
        <v>7703</v>
      </c>
      <c r="E256" s="516" t="s">
        <v>7702</v>
      </c>
      <c r="F256" s="513" t="s">
        <v>787</v>
      </c>
      <c r="G256" s="513">
        <v>311.20999999999998</v>
      </c>
      <c r="H256" s="515">
        <v>82.225796819999999</v>
      </c>
      <c r="I256" s="515">
        <v>25589.490228352199</v>
      </c>
      <c r="J256" s="514">
        <v>1.178217057934766E-3</v>
      </c>
      <c r="K256" s="513" t="s">
        <v>399</v>
      </c>
    </row>
    <row r="257" spans="1:11" ht="25.5" x14ac:dyDescent="0.2">
      <c r="A257" s="526" t="s">
        <v>7701</v>
      </c>
      <c r="B257" s="525" t="s">
        <v>7260</v>
      </c>
      <c r="C257" s="524" t="s">
        <v>7259</v>
      </c>
      <c r="D257" s="524" t="s">
        <v>7700</v>
      </c>
      <c r="E257" s="523" t="s">
        <v>7699</v>
      </c>
      <c r="F257" s="520" t="s">
        <v>787</v>
      </c>
      <c r="G257" s="520">
        <v>1448.24</v>
      </c>
      <c r="H257" s="522">
        <v>9.7339012</v>
      </c>
      <c r="I257" s="522">
        <v>14097.025073888</v>
      </c>
      <c r="J257" s="521">
        <v>6.4906941326194935E-4</v>
      </c>
      <c r="K257" s="520" t="s">
        <v>399</v>
      </c>
    </row>
    <row r="258" spans="1:11" x14ac:dyDescent="0.2">
      <c r="A258" s="519" t="s">
        <v>7698</v>
      </c>
      <c r="B258" s="518"/>
      <c r="C258" s="517"/>
      <c r="D258" s="517"/>
      <c r="E258" s="516" t="s">
        <v>7697</v>
      </c>
      <c r="F258" s="513" t="s">
        <v>787</v>
      </c>
      <c r="G258" s="513">
        <v>364.43</v>
      </c>
      <c r="H258" s="515">
        <v>0</v>
      </c>
      <c r="I258" s="515">
        <v>0</v>
      </c>
      <c r="J258" s="514"/>
      <c r="K258" s="513" t="s">
        <v>399</v>
      </c>
    </row>
    <row r="259" spans="1:11" x14ac:dyDescent="0.2">
      <c r="A259" s="526" t="s">
        <v>7696</v>
      </c>
      <c r="B259" s="525"/>
      <c r="C259" s="524"/>
      <c r="D259" s="524"/>
      <c r="E259" s="523" t="s">
        <v>7695</v>
      </c>
      <c r="F259" s="520" t="s">
        <v>787</v>
      </c>
      <c r="G259" s="520">
        <v>87.84</v>
      </c>
      <c r="H259" s="522">
        <v>0</v>
      </c>
      <c r="I259" s="522">
        <v>0</v>
      </c>
      <c r="J259" s="521"/>
      <c r="K259" s="520" t="s">
        <v>399</v>
      </c>
    </row>
    <row r="260" spans="1:11" x14ac:dyDescent="0.2">
      <c r="A260" s="203" t="s">
        <v>7694</v>
      </c>
      <c r="B260" s="530"/>
      <c r="C260" s="530"/>
      <c r="D260" s="530"/>
      <c r="E260" s="530" t="s">
        <v>7693</v>
      </c>
      <c r="F260" s="527"/>
      <c r="G260" s="527"/>
      <c r="H260" s="529"/>
      <c r="I260" s="529">
        <v>10163.14621216</v>
      </c>
      <c r="J260" s="528">
        <v>4.6794180433437616E-4</v>
      </c>
      <c r="K260" s="527" t="s">
        <v>399</v>
      </c>
    </row>
    <row r="261" spans="1:11" ht="25.5" x14ac:dyDescent="0.2">
      <c r="A261" s="519" t="s">
        <v>7692</v>
      </c>
      <c r="B261" s="518" t="s">
        <v>7260</v>
      </c>
      <c r="C261" s="517" t="s">
        <v>7259</v>
      </c>
      <c r="D261" s="517" t="s">
        <v>7691</v>
      </c>
      <c r="E261" s="516" t="s">
        <v>7690</v>
      </c>
      <c r="F261" s="513" t="s">
        <v>641</v>
      </c>
      <c r="G261" s="513">
        <v>17.12</v>
      </c>
      <c r="H261" s="515">
        <v>593.64171799999997</v>
      </c>
      <c r="I261" s="515">
        <v>10163.14621216</v>
      </c>
      <c r="J261" s="514">
        <v>4.6794180433437616E-4</v>
      </c>
      <c r="K261" s="513" t="s">
        <v>399</v>
      </c>
    </row>
    <row r="262" spans="1:11" x14ac:dyDescent="0.2">
      <c r="A262" s="526" t="s">
        <v>7689</v>
      </c>
      <c r="B262" s="525"/>
      <c r="C262" s="524"/>
      <c r="D262" s="524"/>
      <c r="E262" s="523" t="s">
        <v>7688</v>
      </c>
      <c r="F262" s="520" t="s">
        <v>1242</v>
      </c>
      <c r="G262" s="520">
        <v>164.07</v>
      </c>
      <c r="H262" s="522">
        <v>0</v>
      </c>
      <c r="I262" s="522">
        <v>0</v>
      </c>
      <c r="J262" s="521"/>
      <c r="K262" s="520" t="s">
        <v>399</v>
      </c>
    </row>
    <row r="263" spans="1:11" x14ac:dyDescent="0.2">
      <c r="A263" s="542" t="s">
        <v>7687</v>
      </c>
      <c r="B263" s="541"/>
      <c r="C263" s="540"/>
      <c r="D263" s="540"/>
      <c r="E263" s="540" t="s">
        <v>7686</v>
      </c>
      <c r="F263" s="537"/>
      <c r="G263" s="537"/>
      <c r="H263" s="539"/>
      <c r="I263" s="539">
        <v>5651637.7949516112</v>
      </c>
      <c r="J263" s="538">
        <v>0.26021839418680764</v>
      </c>
      <c r="K263" s="537" t="s">
        <v>399</v>
      </c>
    </row>
    <row r="264" spans="1:11" x14ac:dyDescent="0.2">
      <c r="A264" s="536" t="s">
        <v>7685</v>
      </c>
      <c r="B264" s="535"/>
      <c r="C264" s="534"/>
      <c r="D264" s="534"/>
      <c r="E264" s="534" t="s">
        <v>6806</v>
      </c>
      <c r="F264" s="531"/>
      <c r="G264" s="531"/>
      <c r="H264" s="533"/>
      <c r="I264" s="533">
        <v>949739.96824635006</v>
      </c>
      <c r="J264" s="532">
        <v>4.3728883272182682E-2</v>
      </c>
      <c r="K264" s="531" t="s">
        <v>399</v>
      </c>
    </row>
    <row r="265" spans="1:11" x14ac:dyDescent="0.2">
      <c r="A265" s="203" t="s">
        <v>7684</v>
      </c>
      <c r="B265" s="530"/>
      <c r="C265" s="530"/>
      <c r="D265" s="530"/>
      <c r="E265" s="530" t="s">
        <v>7644</v>
      </c>
      <c r="F265" s="527"/>
      <c r="G265" s="527"/>
      <c r="H265" s="529"/>
      <c r="I265" s="529">
        <v>0</v>
      </c>
      <c r="J265" s="528"/>
      <c r="K265" s="527" t="s">
        <v>399</v>
      </c>
    </row>
    <row r="266" spans="1:11" x14ac:dyDescent="0.2">
      <c r="A266" s="519" t="s">
        <v>7683</v>
      </c>
      <c r="B266" s="518"/>
      <c r="C266" s="517"/>
      <c r="D266" s="517"/>
      <c r="E266" s="516" t="s">
        <v>7642</v>
      </c>
      <c r="F266" s="513" t="s">
        <v>1242</v>
      </c>
      <c r="G266" s="513">
        <v>602.73</v>
      </c>
      <c r="H266" s="515">
        <v>0</v>
      </c>
      <c r="I266" s="515">
        <v>0</v>
      </c>
      <c r="J266" s="514"/>
      <c r="K266" s="513" t="s">
        <v>399</v>
      </c>
    </row>
    <row r="267" spans="1:11" x14ac:dyDescent="0.2">
      <c r="A267" s="203" t="s">
        <v>7682</v>
      </c>
      <c r="B267" s="530"/>
      <c r="C267" s="530"/>
      <c r="D267" s="530"/>
      <c r="E267" s="530" t="s">
        <v>7640</v>
      </c>
      <c r="F267" s="527"/>
      <c r="G267" s="527"/>
      <c r="H267" s="529"/>
      <c r="I267" s="529">
        <v>419337.48305250006</v>
      </c>
      <c r="J267" s="528">
        <v>1.930755834348254E-2</v>
      </c>
      <c r="K267" s="527" t="s">
        <v>399</v>
      </c>
    </row>
    <row r="268" spans="1:11" ht="25.5" x14ac:dyDescent="0.2">
      <c r="A268" s="526" t="s">
        <v>7681</v>
      </c>
      <c r="B268" s="525" t="s">
        <v>7260</v>
      </c>
      <c r="C268" s="524" t="s">
        <v>7259</v>
      </c>
      <c r="D268" s="524" t="s">
        <v>7638</v>
      </c>
      <c r="E268" s="523" t="s">
        <v>7637</v>
      </c>
      <c r="F268" s="520" t="s">
        <v>641</v>
      </c>
      <c r="G268" s="520">
        <v>12354.28</v>
      </c>
      <c r="H268" s="522">
        <v>11.9703</v>
      </c>
      <c r="I268" s="522">
        <v>147884.43788400001</v>
      </c>
      <c r="J268" s="521">
        <v>6.8090440943982455E-3</v>
      </c>
      <c r="K268" s="520" t="s">
        <v>399</v>
      </c>
    </row>
    <row r="269" spans="1:11" ht="25.5" x14ac:dyDescent="0.2">
      <c r="A269" s="519" t="s">
        <v>7680</v>
      </c>
      <c r="B269" s="518" t="s">
        <v>7260</v>
      </c>
      <c r="C269" s="517" t="s">
        <v>7259</v>
      </c>
      <c r="D269" s="517" t="s">
        <v>7635</v>
      </c>
      <c r="E269" s="516" t="s">
        <v>7634</v>
      </c>
      <c r="F269" s="513" t="s">
        <v>641</v>
      </c>
      <c r="G269" s="513">
        <v>12354.28</v>
      </c>
      <c r="H269" s="515">
        <v>20.0353125</v>
      </c>
      <c r="I269" s="515">
        <v>247521.86051250002</v>
      </c>
      <c r="J269" s="514">
        <v>1.1396650564943931E-2</v>
      </c>
      <c r="K269" s="513" t="s">
        <v>399</v>
      </c>
    </row>
    <row r="270" spans="1:11" ht="25.5" x14ac:dyDescent="0.2">
      <c r="A270" s="526" t="s">
        <v>7679</v>
      </c>
      <c r="B270" s="525" t="s">
        <v>7260</v>
      </c>
      <c r="C270" s="524" t="s">
        <v>7259</v>
      </c>
      <c r="D270" s="524" t="s">
        <v>7632</v>
      </c>
      <c r="E270" s="523" t="s">
        <v>7631</v>
      </c>
      <c r="F270" s="520" t="s">
        <v>641</v>
      </c>
      <c r="G270" s="520">
        <v>12977.35</v>
      </c>
      <c r="H270" s="522">
        <v>1.3979999999999999</v>
      </c>
      <c r="I270" s="522">
        <v>18142.335299999999</v>
      </c>
      <c r="J270" s="521">
        <v>8.3532765719375966E-4</v>
      </c>
      <c r="K270" s="520" t="s">
        <v>399</v>
      </c>
    </row>
    <row r="271" spans="1:11" ht="25.5" x14ac:dyDescent="0.2">
      <c r="A271" s="519" t="s">
        <v>7678</v>
      </c>
      <c r="B271" s="518" t="s">
        <v>7260</v>
      </c>
      <c r="C271" s="517" t="s">
        <v>7259</v>
      </c>
      <c r="D271" s="517" t="s">
        <v>7629</v>
      </c>
      <c r="E271" s="516" t="s">
        <v>7628</v>
      </c>
      <c r="F271" s="513" t="s">
        <v>641</v>
      </c>
      <c r="G271" s="513">
        <v>623.08000000000004</v>
      </c>
      <c r="H271" s="515">
        <v>9.2906999999999993</v>
      </c>
      <c r="I271" s="515">
        <v>5788.8493559999997</v>
      </c>
      <c r="J271" s="514">
        <v>2.6653602694660179E-4</v>
      </c>
      <c r="K271" s="513" t="s">
        <v>399</v>
      </c>
    </row>
    <row r="272" spans="1:11" x14ac:dyDescent="0.2">
      <c r="A272" s="203" t="s">
        <v>7677</v>
      </c>
      <c r="B272" s="530"/>
      <c r="C272" s="530"/>
      <c r="D272" s="530"/>
      <c r="E272" s="530" t="s">
        <v>7626</v>
      </c>
      <c r="F272" s="527"/>
      <c r="G272" s="527"/>
      <c r="H272" s="529"/>
      <c r="I272" s="529">
        <v>84810.685193850004</v>
      </c>
      <c r="J272" s="528">
        <v>3.9049389065131108E-3</v>
      </c>
      <c r="K272" s="527" t="s">
        <v>399</v>
      </c>
    </row>
    <row r="273" spans="1:11" ht="25.5" x14ac:dyDescent="0.2">
      <c r="A273" s="526" t="s">
        <v>7676</v>
      </c>
      <c r="B273" s="525" t="s">
        <v>7260</v>
      </c>
      <c r="C273" s="524" t="s">
        <v>7259</v>
      </c>
      <c r="D273" s="524" t="s">
        <v>7624</v>
      </c>
      <c r="E273" s="523" t="s">
        <v>7623</v>
      </c>
      <c r="F273" s="520" t="s">
        <v>641</v>
      </c>
      <c r="G273" s="520">
        <v>1605.39</v>
      </c>
      <c r="H273" s="522">
        <v>2.8</v>
      </c>
      <c r="I273" s="522">
        <v>4495.0919999999996</v>
      </c>
      <c r="J273" s="521">
        <v>2.0696754894781444E-4</v>
      </c>
      <c r="K273" s="520" t="s">
        <v>399</v>
      </c>
    </row>
    <row r="274" spans="1:11" ht="25.5" x14ac:dyDescent="0.2">
      <c r="A274" s="519" t="s">
        <v>7675</v>
      </c>
      <c r="B274" s="518" t="s">
        <v>7260</v>
      </c>
      <c r="C274" s="517" t="s">
        <v>7259</v>
      </c>
      <c r="D274" s="517" t="s">
        <v>7621</v>
      </c>
      <c r="E274" s="516" t="s">
        <v>7620</v>
      </c>
      <c r="F274" s="513" t="s">
        <v>641</v>
      </c>
      <c r="G274" s="513">
        <v>1605.39</v>
      </c>
      <c r="H274" s="515">
        <v>20.033479</v>
      </c>
      <c r="I274" s="515">
        <v>32161.546851810002</v>
      </c>
      <c r="J274" s="514">
        <v>1.4808143019741117E-3</v>
      </c>
      <c r="K274" s="513" t="s">
        <v>399</v>
      </c>
    </row>
    <row r="275" spans="1:11" ht="25.5" x14ac:dyDescent="0.2">
      <c r="A275" s="526" t="s">
        <v>7674</v>
      </c>
      <c r="B275" s="525" t="s">
        <v>7260</v>
      </c>
      <c r="C275" s="524" t="s">
        <v>7259</v>
      </c>
      <c r="D275" s="524" t="s">
        <v>7618</v>
      </c>
      <c r="E275" s="523" t="s">
        <v>7617</v>
      </c>
      <c r="F275" s="520" t="s">
        <v>641</v>
      </c>
      <c r="G275" s="520">
        <v>5054.8900000000003</v>
      </c>
      <c r="H275" s="522">
        <v>9.1710360000000009</v>
      </c>
      <c r="I275" s="522">
        <v>46358.57816604001</v>
      </c>
      <c r="J275" s="521">
        <v>2.1344883031828863E-3</v>
      </c>
      <c r="K275" s="520" t="s">
        <v>399</v>
      </c>
    </row>
    <row r="276" spans="1:11" ht="25.5" x14ac:dyDescent="0.2">
      <c r="A276" s="519" t="s">
        <v>7673</v>
      </c>
      <c r="B276" s="518" t="s">
        <v>7260</v>
      </c>
      <c r="C276" s="517" t="s">
        <v>7259</v>
      </c>
      <c r="D276" s="517" t="s">
        <v>7615</v>
      </c>
      <c r="E276" s="516" t="s">
        <v>7614</v>
      </c>
      <c r="F276" s="513" t="s">
        <v>641</v>
      </c>
      <c r="G276" s="513">
        <v>1605.39</v>
      </c>
      <c r="H276" s="515">
        <v>1.1184000000000001</v>
      </c>
      <c r="I276" s="515">
        <v>1795.4681760000003</v>
      </c>
      <c r="J276" s="514">
        <v>8.2668752408298469E-5</v>
      </c>
      <c r="K276" s="513" t="s">
        <v>399</v>
      </c>
    </row>
    <row r="277" spans="1:11" x14ac:dyDescent="0.2">
      <c r="A277" s="526" t="s">
        <v>7672</v>
      </c>
      <c r="B277" s="525"/>
      <c r="C277" s="524"/>
      <c r="D277" s="524"/>
      <c r="E277" s="523" t="s">
        <v>7612</v>
      </c>
      <c r="F277" s="520" t="s">
        <v>1242</v>
      </c>
      <c r="G277" s="520">
        <v>5054.8900000000003</v>
      </c>
      <c r="H277" s="522">
        <v>0</v>
      </c>
      <c r="I277" s="522">
        <v>0</v>
      </c>
      <c r="J277" s="521"/>
      <c r="K277" s="520" t="s">
        <v>399</v>
      </c>
    </row>
    <row r="278" spans="1:11" x14ac:dyDescent="0.2">
      <c r="A278" s="203" t="s">
        <v>7671</v>
      </c>
      <c r="B278" s="530"/>
      <c r="C278" s="530"/>
      <c r="D278" s="530"/>
      <c r="E278" s="530" t="s">
        <v>7670</v>
      </c>
      <c r="F278" s="527"/>
      <c r="G278" s="527"/>
      <c r="H278" s="529"/>
      <c r="I278" s="529">
        <v>0</v>
      </c>
      <c r="J278" s="528"/>
      <c r="K278" s="527" t="s">
        <v>399</v>
      </c>
    </row>
    <row r="279" spans="1:11" x14ac:dyDescent="0.2">
      <c r="A279" s="519" t="s">
        <v>7669</v>
      </c>
      <c r="B279" s="518"/>
      <c r="C279" s="517"/>
      <c r="D279" s="517"/>
      <c r="E279" s="516" t="s">
        <v>7668</v>
      </c>
      <c r="F279" s="513" t="s">
        <v>1242</v>
      </c>
      <c r="G279" s="513"/>
      <c r="H279" s="515">
        <v>0</v>
      </c>
      <c r="I279" s="515">
        <v>0</v>
      </c>
      <c r="J279" s="514"/>
      <c r="K279" s="513" t="s">
        <v>399</v>
      </c>
    </row>
    <row r="280" spans="1:11" x14ac:dyDescent="0.2">
      <c r="A280" s="203" t="s">
        <v>7667</v>
      </c>
      <c r="B280" s="530"/>
      <c r="C280" s="530"/>
      <c r="D280" s="530"/>
      <c r="E280" s="530" t="s">
        <v>7610</v>
      </c>
      <c r="F280" s="527"/>
      <c r="G280" s="527"/>
      <c r="H280" s="529"/>
      <c r="I280" s="529">
        <v>445591.80000000005</v>
      </c>
      <c r="J280" s="528">
        <v>2.0516386022187031E-2</v>
      </c>
      <c r="K280" s="527" t="s">
        <v>399</v>
      </c>
    </row>
    <row r="281" spans="1:11" ht="25.5" x14ac:dyDescent="0.2">
      <c r="A281" s="526" t="s">
        <v>7666</v>
      </c>
      <c r="B281" s="525" t="s">
        <v>7260</v>
      </c>
      <c r="C281" s="524" t="s">
        <v>7259</v>
      </c>
      <c r="D281" s="524" t="s">
        <v>7608</v>
      </c>
      <c r="E281" s="523" t="s">
        <v>7607</v>
      </c>
      <c r="F281" s="520" t="s">
        <v>641</v>
      </c>
      <c r="G281" s="520">
        <v>12354.28</v>
      </c>
      <c r="H281" s="522">
        <v>34</v>
      </c>
      <c r="I281" s="522">
        <v>420045.52</v>
      </c>
      <c r="J281" s="521">
        <v>1.9340158493065362E-2</v>
      </c>
      <c r="K281" s="520" t="s">
        <v>399</v>
      </c>
    </row>
    <row r="282" spans="1:11" ht="25.5" x14ac:dyDescent="0.2">
      <c r="A282" s="519" t="s">
        <v>7665</v>
      </c>
      <c r="B282" s="518" t="s">
        <v>7260</v>
      </c>
      <c r="C282" s="517" t="s">
        <v>7259</v>
      </c>
      <c r="D282" s="517" t="s">
        <v>7605</v>
      </c>
      <c r="E282" s="516" t="s">
        <v>7604</v>
      </c>
      <c r="F282" s="513" t="s">
        <v>641</v>
      </c>
      <c r="G282" s="513">
        <v>623.08000000000004</v>
      </c>
      <c r="H282" s="515">
        <v>41</v>
      </c>
      <c r="I282" s="515">
        <v>25546.280000000002</v>
      </c>
      <c r="J282" s="514">
        <v>1.1762275291216672E-3</v>
      </c>
      <c r="K282" s="513" t="s">
        <v>399</v>
      </c>
    </row>
    <row r="283" spans="1:11" x14ac:dyDescent="0.2">
      <c r="A283" s="536" t="s">
        <v>7664</v>
      </c>
      <c r="B283" s="535"/>
      <c r="C283" s="534"/>
      <c r="D283" s="534"/>
      <c r="E283" s="534" t="s">
        <v>6932</v>
      </c>
      <c r="F283" s="531"/>
      <c r="G283" s="531"/>
      <c r="H283" s="533"/>
      <c r="I283" s="533">
        <v>2463560.7537761154</v>
      </c>
      <c r="J283" s="532">
        <v>0.1134297431271869</v>
      </c>
      <c r="K283" s="531" t="s">
        <v>399</v>
      </c>
    </row>
    <row r="284" spans="1:11" x14ac:dyDescent="0.2">
      <c r="A284" s="203" t="s">
        <v>7663</v>
      </c>
      <c r="B284" s="530"/>
      <c r="C284" s="530"/>
      <c r="D284" s="530"/>
      <c r="E284" s="530" t="s">
        <v>7644</v>
      </c>
      <c r="F284" s="527"/>
      <c r="G284" s="527"/>
      <c r="H284" s="529"/>
      <c r="I284" s="529">
        <v>0</v>
      </c>
      <c r="J284" s="528"/>
      <c r="K284" s="527" t="s">
        <v>399</v>
      </c>
    </row>
    <row r="285" spans="1:11" x14ac:dyDescent="0.2">
      <c r="A285" s="526" t="s">
        <v>7662</v>
      </c>
      <c r="B285" s="525"/>
      <c r="C285" s="524"/>
      <c r="D285" s="524"/>
      <c r="E285" s="523" t="s">
        <v>7642</v>
      </c>
      <c r="F285" s="520" t="s">
        <v>1242</v>
      </c>
      <c r="G285" s="520">
        <v>916.4</v>
      </c>
      <c r="H285" s="522">
        <v>0</v>
      </c>
      <c r="I285" s="522">
        <v>0</v>
      </c>
      <c r="J285" s="521"/>
      <c r="K285" s="520" t="s">
        <v>7661</v>
      </c>
    </row>
    <row r="286" spans="1:11" x14ac:dyDescent="0.2">
      <c r="A286" s="203" t="s">
        <v>7660</v>
      </c>
      <c r="B286" s="530"/>
      <c r="C286" s="530"/>
      <c r="D286" s="530"/>
      <c r="E286" s="530" t="s">
        <v>7640</v>
      </c>
      <c r="F286" s="527"/>
      <c r="G286" s="527"/>
      <c r="H286" s="529"/>
      <c r="I286" s="529">
        <v>1086526.7590638751</v>
      </c>
      <c r="J286" s="528">
        <v>5.0026958333592005E-2</v>
      </c>
      <c r="K286" s="527" t="s">
        <v>399</v>
      </c>
    </row>
    <row r="287" spans="1:11" ht="25.5" x14ac:dyDescent="0.2">
      <c r="A287" s="519" t="s">
        <v>7659</v>
      </c>
      <c r="B287" s="518" t="s">
        <v>7260</v>
      </c>
      <c r="C287" s="517" t="s">
        <v>7259</v>
      </c>
      <c r="D287" s="517" t="s">
        <v>7638</v>
      </c>
      <c r="E287" s="516" t="s">
        <v>7637</v>
      </c>
      <c r="F287" s="513" t="s">
        <v>641</v>
      </c>
      <c r="G287" s="513">
        <v>32255.03</v>
      </c>
      <c r="H287" s="515">
        <v>11.9703</v>
      </c>
      <c r="I287" s="515">
        <v>386102.38560899999</v>
      </c>
      <c r="J287" s="514">
        <v>1.7777314544930034E-2</v>
      </c>
      <c r="K287" s="513" t="s">
        <v>399</v>
      </c>
    </row>
    <row r="288" spans="1:11" ht="25.5" x14ac:dyDescent="0.2">
      <c r="A288" s="526" t="s">
        <v>7658</v>
      </c>
      <c r="B288" s="525" t="s">
        <v>7260</v>
      </c>
      <c r="C288" s="524" t="s">
        <v>7259</v>
      </c>
      <c r="D288" s="524" t="s">
        <v>7635</v>
      </c>
      <c r="E288" s="523" t="s">
        <v>7634</v>
      </c>
      <c r="F288" s="520" t="s">
        <v>641</v>
      </c>
      <c r="G288" s="520">
        <v>32255.03</v>
      </c>
      <c r="H288" s="522">
        <v>20.0353125</v>
      </c>
      <c r="I288" s="522">
        <v>646239.60574687493</v>
      </c>
      <c r="J288" s="521">
        <v>2.9754814191663405E-2</v>
      </c>
      <c r="K288" s="520" t="s">
        <v>399</v>
      </c>
    </row>
    <row r="289" spans="1:11" ht="25.5" x14ac:dyDescent="0.2">
      <c r="A289" s="519" t="s">
        <v>7657</v>
      </c>
      <c r="B289" s="518" t="s">
        <v>7260</v>
      </c>
      <c r="C289" s="517" t="s">
        <v>7259</v>
      </c>
      <c r="D289" s="517" t="s">
        <v>7632</v>
      </c>
      <c r="E289" s="516" t="s">
        <v>7631</v>
      </c>
      <c r="F289" s="513" t="s">
        <v>641</v>
      </c>
      <c r="G289" s="513">
        <v>33105.67</v>
      </c>
      <c r="H289" s="515">
        <v>1.3979999999999999</v>
      </c>
      <c r="I289" s="515">
        <v>46281.726659999993</v>
      </c>
      <c r="J289" s="514">
        <v>2.1309498288117168E-3</v>
      </c>
      <c r="K289" s="513" t="s">
        <v>399</v>
      </c>
    </row>
    <row r="290" spans="1:11" ht="25.5" x14ac:dyDescent="0.2">
      <c r="A290" s="526" t="s">
        <v>7656</v>
      </c>
      <c r="B290" s="525" t="s">
        <v>7260</v>
      </c>
      <c r="C290" s="524" t="s">
        <v>7259</v>
      </c>
      <c r="D290" s="524" t="s">
        <v>7629</v>
      </c>
      <c r="E290" s="523" t="s">
        <v>7628</v>
      </c>
      <c r="F290" s="520" t="s">
        <v>641</v>
      </c>
      <c r="G290" s="520">
        <v>850.64</v>
      </c>
      <c r="H290" s="522">
        <v>9.2906999999999993</v>
      </c>
      <c r="I290" s="522">
        <v>7903.0410479999991</v>
      </c>
      <c r="J290" s="521">
        <v>3.6387976818684167E-4</v>
      </c>
      <c r="K290" s="520" t="s">
        <v>399</v>
      </c>
    </row>
    <row r="291" spans="1:11" x14ac:dyDescent="0.2">
      <c r="A291" s="203" t="s">
        <v>7655</v>
      </c>
      <c r="B291" s="530"/>
      <c r="C291" s="530"/>
      <c r="D291" s="530"/>
      <c r="E291" s="530" t="s">
        <v>7626</v>
      </c>
      <c r="F291" s="527"/>
      <c r="G291" s="527"/>
      <c r="H291" s="529"/>
      <c r="I291" s="529">
        <v>245486.73471224</v>
      </c>
      <c r="J291" s="528">
        <v>1.1302947255049434E-2</v>
      </c>
      <c r="K291" s="527" t="s">
        <v>399</v>
      </c>
    </row>
    <row r="292" spans="1:11" ht="25.5" x14ac:dyDescent="0.2">
      <c r="A292" s="519" t="s">
        <v>7654</v>
      </c>
      <c r="B292" s="518" t="s">
        <v>7260</v>
      </c>
      <c r="C292" s="517" t="s">
        <v>7259</v>
      </c>
      <c r="D292" s="517" t="s">
        <v>7624</v>
      </c>
      <c r="E292" s="516" t="s">
        <v>7623</v>
      </c>
      <c r="F292" s="513" t="s">
        <v>641</v>
      </c>
      <c r="G292" s="513">
        <v>10112.799999999999</v>
      </c>
      <c r="H292" s="515">
        <v>2.8</v>
      </c>
      <c r="I292" s="515">
        <v>28315.839999999997</v>
      </c>
      <c r="J292" s="514">
        <v>1.3037463974482572E-3</v>
      </c>
      <c r="K292" s="513" t="s">
        <v>399</v>
      </c>
    </row>
    <row r="293" spans="1:11" ht="25.5" x14ac:dyDescent="0.2">
      <c r="A293" s="526" t="s">
        <v>7653</v>
      </c>
      <c r="B293" s="525" t="s">
        <v>7260</v>
      </c>
      <c r="C293" s="524" t="s">
        <v>7259</v>
      </c>
      <c r="D293" s="524" t="s">
        <v>7621</v>
      </c>
      <c r="E293" s="523" t="s">
        <v>7620</v>
      </c>
      <c r="F293" s="520" t="s">
        <v>641</v>
      </c>
      <c r="G293" s="520">
        <v>10112.799999999999</v>
      </c>
      <c r="H293" s="522">
        <v>20.033479</v>
      </c>
      <c r="I293" s="522">
        <v>202594.56643119999</v>
      </c>
      <c r="J293" s="521">
        <v>9.3280628837876123E-3</v>
      </c>
      <c r="K293" s="520" t="s">
        <v>399</v>
      </c>
    </row>
    <row r="294" spans="1:11" ht="25.5" x14ac:dyDescent="0.2">
      <c r="A294" s="519" t="s">
        <v>7652</v>
      </c>
      <c r="B294" s="518" t="s">
        <v>7260</v>
      </c>
      <c r="C294" s="517" t="s">
        <v>7259</v>
      </c>
      <c r="D294" s="517" t="s">
        <v>7618</v>
      </c>
      <c r="E294" s="516" t="s">
        <v>7617</v>
      </c>
      <c r="F294" s="513" t="s">
        <v>641</v>
      </c>
      <c r="G294" s="513">
        <v>356.14</v>
      </c>
      <c r="H294" s="515">
        <v>9.1710360000000009</v>
      </c>
      <c r="I294" s="515">
        <v>3266.1727610400003</v>
      </c>
      <c r="J294" s="514">
        <v>1.5038441277565943E-4</v>
      </c>
      <c r="K294" s="513" t="s">
        <v>399</v>
      </c>
    </row>
    <row r="295" spans="1:11" ht="25.5" x14ac:dyDescent="0.2">
      <c r="A295" s="526" t="s">
        <v>7651</v>
      </c>
      <c r="B295" s="525" t="s">
        <v>7260</v>
      </c>
      <c r="C295" s="524" t="s">
        <v>7259</v>
      </c>
      <c r="D295" s="524" t="s">
        <v>7615</v>
      </c>
      <c r="E295" s="523" t="s">
        <v>7614</v>
      </c>
      <c r="F295" s="520" t="s">
        <v>641</v>
      </c>
      <c r="G295" s="520">
        <v>10112.799999999999</v>
      </c>
      <c r="H295" s="522">
        <v>1.1184000000000001</v>
      </c>
      <c r="I295" s="522">
        <v>11310.15552</v>
      </c>
      <c r="J295" s="521">
        <v>5.2075356103790395E-4</v>
      </c>
      <c r="K295" s="520" t="s">
        <v>399</v>
      </c>
    </row>
    <row r="296" spans="1:11" x14ac:dyDescent="0.2">
      <c r="A296" s="519" t="s">
        <v>7650</v>
      </c>
      <c r="B296" s="518"/>
      <c r="C296" s="517"/>
      <c r="D296" s="517"/>
      <c r="E296" s="516" t="s">
        <v>7612</v>
      </c>
      <c r="F296" s="513" t="s">
        <v>1242</v>
      </c>
      <c r="G296" s="513">
        <v>356.14</v>
      </c>
      <c r="H296" s="515">
        <v>0</v>
      </c>
      <c r="I296" s="515">
        <v>0</v>
      </c>
      <c r="J296" s="514"/>
      <c r="K296" s="513" t="s">
        <v>399</v>
      </c>
    </row>
    <row r="297" spans="1:11" x14ac:dyDescent="0.2">
      <c r="A297" s="203" t="s">
        <v>7649</v>
      </c>
      <c r="B297" s="530"/>
      <c r="C297" s="530"/>
      <c r="D297" s="530"/>
      <c r="E297" s="530" t="s">
        <v>7610</v>
      </c>
      <c r="F297" s="527"/>
      <c r="G297" s="527"/>
      <c r="H297" s="529"/>
      <c r="I297" s="529">
        <v>1131547.26</v>
      </c>
      <c r="J297" s="528">
        <v>5.209983753854544E-2</v>
      </c>
      <c r="K297" s="527" t="s">
        <v>399</v>
      </c>
    </row>
    <row r="298" spans="1:11" ht="25.5" x14ac:dyDescent="0.2">
      <c r="A298" s="526" t="s">
        <v>7648</v>
      </c>
      <c r="B298" s="525" t="s">
        <v>7260</v>
      </c>
      <c r="C298" s="524" t="s">
        <v>7259</v>
      </c>
      <c r="D298" s="524" t="s">
        <v>7608</v>
      </c>
      <c r="E298" s="523" t="s">
        <v>7607</v>
      </c>
      <c r="F298" s="520" t="s">
        <v>641</v>
      </c>
      <c r="G298" s="520">
        <v>32255.03</v>
      </c>
      <c r="H298" s="522">
        <v>34</v>
      </c>
      <c r="I298" s="522">
        <v>1096671.02</v>
      </c>
      <c r="J298" s="521">
        <v>5.0494030603044297E-2</v>
      </c>
      <c r="K298" s="520" t="s">
        <v>399</v>
      </c>
    </row>
    <row r="299" spans="1:11" ht="25.5" x14ac:dyDescent="0.2">
      <c r="A299" s="519" t="s">
        <v>7647</v>
      </c>
      <c r="B299" s="518" t="s">
        <v>7260</v>
      </c>
      <c r="C299" s="517" t="s">
        <v>7259</v>
      </c>
      <c r="D299" s="517" t="s">
        <v>7605</v>
      </c>
      <c r="E299" s="516" t="s">
        <v>7604</v>
      </c>
      <c r="F299" s="513" t="s">
        <v>641</v>
      </c>
      <c r="G299" s="513">
        <v>850.64</v>
      </c>
      <c r="H299" s="515">
        <v>41</v>
      </c>
      <c r="I299" s="515">
        <v>34876.239999999998</v>
      </c>
      <c r="J299" s="514">
        <v>1.6058069355011475E-3</v>
      </c>
      <c r="K299" s="513" t="s">
        <v>399</v>
      </c>
    </row>
    <row r="300" spans="1:11" x14ac:dyDescent="0.2">
      <c r="A300" s="536" t="s">
        <v>7646</v>
      </c>
      <c r="B300" s="535"/>
      <c r="C300" s="534"/>
      <c r="D300" s="534"/>
      <c r="E300" s="534" t="s">
        <v>6881</v>
      </c>
      <c r="F300" s="531"/>
      <c r="G300" s="531"/>
      <c r="H300" s="533"/>
      <c r="I300" s="533">
        <v>2238337.0729291453</v>
      </c>
      <c r="J300" s="532">
        <v>0.10305976778743807</v>
      </c>
      <c r="K300" s="531" t="s">
        <v>399</v>
      </c>
    </row>
    <row r="301" spans="1:11" x14ac:dyDescent="0.2">
      <c r="A301" s="203" t="s">
        <v>7645</v>
      </c>
      <c r="B301" s="530"/>
      <c r="C301" s="530"/>
      <c r="D301" s="530"/>
      <c r="E301" s="530" t="s">
        <v>7644</v>
      </c>
      <c r="F301" s="527"/>
      <c r="G301" s="527"/>
      <c r="H301" s="529"/>
      <c r="I301" s="529">
        <v>0</v>
      </c>
      <c r="J301" s="528"/>
      <c r="K301" s="527" t="s">
        <v>399</v>
      </c>
    </row>
    <row r="302" spans="1:11" x14ac:dyDescent="0.2">
      <c r="A302" s="526" t="s">
        <v>7643</v>
      </c>
      <c r="B302" s="525"/>
      <c r="C302" s="524"/>
      <c r="D302" s="524"/>
      <c r="E302" s="523" t="s">
        <v>7642</v>
      </c>
      <c r="F302" s="520" t="s">
        <v>1242</v>
      </c>
      <c r="G302" s="520">
        <v>1572.08</v>
      </c>
      <c r="H302" s="522">
        <v>0</v>
      </c>
      <c r="I302" s="522">
        <v>0</v>
      </c>
      <c r="J302" s="521"/>
      <c r="K302" s="520" t="s">
        <v>399</v>
      </c>
    </row>
    <row r="303" spans="1:11" x14ac:dyDescent="0.2">
      <c r="A303" s="203" t="s">
        <v>7641</v>
      </c>
      <c r="B303" s="530"/>
      <c r="C303" s="530"/>
      <c r="D303" s="530"/>
      <c r="E303" s="530" t="s">
        <v>7640</v>
      </c>
      <c r="F303" s="527"/>
      <c r="G303" s="527"/>
      <c r="H303" s="529"/>
      <c r="I303" s="529">
        <v>974869.81309537508</v>
      </c>
      <c r="J303" s="528">
        <v>4.4885936875054787E-2</v>
      </c>
      <c r="K303" s="527" t="s">
        <v>399</v>
      </c>
    </row>
    <row r="304" spans="1:11" ht="25.5" x14ac:dyDescent="0.2">
      <c r="A304" s="519" t="s">
        <v>7639</v>
      </c>
      <c r="B304" s="518" t="s">
        <v>7260</v>
      </c>
      <c r="C304" s="517" t="s">
        <v>7259</v>
      </c>
      <c r="D304" s="517" t="s">
        <v>7638</v>
      </c>
      <c r="E304" s="516" t="s">
        <v>7637</v>
      </c>
      <c r="F304" s="513" t="s">
        <v>641</v>
      </c>
      <c r="G304" s="513">
        <v>28827.63</v>
      </c>
      <c r="H304" s="515">
        <v>11.9703</v>
      </c>
      <c r="I304" s="515">
        <v>345075.37938900001</v>
      </c>
      <c r="J304" s="514">
        <v>1.5888307842059406E-2</v>
      </c>
      <c r="K304" s="513" t="s">
        <v>399</v>
      </c>
    </row>
    <row r="305" spans="1:11" ht="25.5" x14ac:dyDescent="0.2">
      <c r="A305" s="526" t="s">
        <v>7636</v>
      </c>
      <c r="B305" s="525" t="s">
        <v>7260</v>
      </c>
      <c r="C305" s="524" t="s">
        <v>7259</v>
      </c>
      <c r="D305" s="524" t="s">
        <v>7635</v>
      </c>
      <c r="E305" s="523" t="s">
        <v>7634</v>
      </c>
      <c r="F305" s="520" t="s">
        <v>641</v>
      </c>
      <c r="G305" s="520">
        <v>28827.63</v>
      </c>
      <c r="H305" s="522">
        <v>20.0353125</v>
      </c>
      <c r="I305" s="522">
        <v>577570.57568437501</v>
      </c>
      <c r="J305" s="521">
        <v>2.659308561288028E-2</v>
      </c>
      <c r="K305" s="520" t="s">
        <v>399</v>
      </c>
    </row>
    <row r="306" spans="1:11" ht="25.5" x14ac:dyDescent="0.2">
      <c r="A306" s="519" t="s">
        <v>7633</v>
      </c>
      <c r="B306" s="518" t="s">
        <v>7260</v>
      </c>
      <c r="C306" s="517" t="s">
        <v>7259</v>
      </c>
      <c r="D306" s="517" t="s">
        <v>7632</v>
      </c>
      <c r="E306" s="516" t="s">
        <v>7631</v>
      </c>
      <c r="F306" s="513" t="s">
        <v>641</v>
      </c>
      <c r="G306" s="513">
        <v>29943.1</v>
      </c>
      <c r="H306" s="515">
        <v>1.3979999999999999</v>
      </c>
      <c r="I306" s="515">
        <v>41860.453799999996</v>
      </c>
      <c r="J306" s="514">
        <v>1.9273811349866086E-3</v>
      </c>
      <c r="K306" s="513" t="s">
        <v>399</v>
      </c>
    </row>
    <row r="307" spans="1:11" ht="25.5" x14ac:dyDescent="0.2">
      <c r="A307" s="526" t="s">
        <v>7630</v>
      </c>
      <c r="B307" s="525" t="s">
        <v>7260</v>
      </c>
      <c r="C307" s="524" t="s">
        <v>7259</v>
      </c>
      <c r="D307" s="524" t="s">
        <v>7629</v>
      </c>
      <c r="E307" s="523" t="s">
        <v>7628</v>
      </c>
      <c r="F307" s="520" t="s">
        <v>641</v>
      </c>
      <c r="G307" s="520">
        <v>1115.46</v>
      </c>
      <c r="H307" s="522">
        <v>9.2906999999999993</v>
      </c>
      <c r="I307" s="522">
        <v>10363.404221999999</v>
      </c>
      <c r="J307" s="521">
        <v>4.7716228512848495E-4</v>
      </c>
      <c r="K307" s="520" t="s">
        <v>399</v>
      </c>
    </row>
    <row r="308" spans="1:11" x14ac:dyDescent="0.2">
      <c r="A308" s="203" t="s">
        <v>7627</v>
      </c>
      <c r="B308" s="530"/>
      <c r="C308" s="530"/>
      <c r="D308" s="530"/>
      <c r="E308" s="530" t="s">
        <v>7626</v>
      </c>
      <c r="F308" s="527"/>
      <c r="G308" s="527"/>
      <c r="H308" s="529"/>
      <c r="I308" s="529">
        <v>237593.97983377005</v>
      </c>
      <c r="J308" s="528">
        <v>1.0939541093030318E-2</v>
      </c>
      <c r="K308" s="527" t="s">
        <v>399</v>
      </c>
    </row>
    <row r="309" spans="1:11" ht="25.5" x14ac:dyDescent="0.2">
      <c r="A309" s="519" t="s">
        <v>7625</v>
      </c>
      <c r="B309" s="518" t="s">
        <v>7260</v>
      </c>
      <c r="C309" s="517" t="s">
        <v>7259</v>
      </c>
      <c r="D309" s="517" t="s">
        <v>7624</v>
      </c>
      <c r="E309" s="516" t="s">
        <v>7623</v>
      </c>
      <c r="F309" s="513" t="s">
        <v>641</v>
      </c>
      <c r="G309" s="513">
        <v>9822.9500000000007</v>
      </c>
      <c r="H309" s="515">
        <v>2.8</v>
      </c>
      <c r="I309" s="515">
        <v>27504.260000000002</v>
      </c>
      <c r="J309" s="514">
        <v>1.2663788144543905E-3</v>
      </c>
      <c r="K309" s="513" t="s">
        <v>399</v>
      </c>
    </row>
    <row r="310" spans="1:11" ht="25.5" x14ac:dyDescent="0.2">
      <c r="A310" s="526" t="s">
        <v>7622</v>
      </c>
      <c r="B310" s="525" t="s">
        <v>7260</v>
      </c>
      <c r="C310" s="524" t="s">
        <v>7259</v>
      </c>
      <c r="D310" s="524" t="s">
        <v>7621</v>
      </c>
      <c r="E310" s="523" t="s">
        <v>7620</v>
      </c>
      <c r="F310" s="520" t="s">
        <v>641</v>
      </c>
      <c r="G310" s="520">
        <v>9822.9500000000007</v>
      </c>
      <c r="H310" s="522">
        <v>20.033479</v>
      </c>
      <c r="I310" s="522">
        <v>196787.86254305003</v>
      </c>
      <c r="J310" s="521">
        <v>9.0607047805060462E-3</v>
      </c>
      <c r="K310" s="520" t="s">
        <v>399</v>
      </c>
    </row>
    <row r="311" spans="1:11" ht="25.5" x14ac:dyDescent="0.2">
      <c r="A311" s="519" t="s">
        <v>7619</v>
      </c>
      <c r="B311" s="518" t="s">
        <v>7260</v>
      </c>
      <c r="C311" s="517" t="s">
        <v>7259</v>
      </c>
      <c r="D311" s="517" t="s">
        <v>7618</v>
      </c>
      <c r="E311" s="516" t="s">
        <v>7617</v>
      </c>
      <c r="F311" s="513" t="s">
        <v>641</v>
      </c>
      <c r="G311" s="513">
        <v>252.52</v>
      </c>
      <c r="H311" s="515">
        <v>9.1710360000000009</v>
      </c>
      <c r="I311" s="515">
        <v>2315.8700107200002</v>
      </c>
      <c r="J311" s="514">
        <v>1.0662961732495512E-4</v>
      </c>
      <c r="K311" s="513" t="s">
        <v>399</v>
      </c>
    </row>
    <row r="312" spans="1:11" ht="25.5" x14ac:dyDescent="0.2">
      <c r="A312" s="526" t="s">
        <v>7616</v>
      </c>
      <c r="B312" s="525" t="s">
        <v>7260</v>
      </c>
      <c r="C312" s="524" t="s">
        <v>7259</v>
      </c>
      <c r="D312" s="524" t="s">
        <v>7615</v>
      </c>
      <c r="E312" s="523" t="s">
        <v>7614</v>
      </c>
      <c r="F312" s="520" t="s">
        <v>641</v>
      </c>
      <c r="G312" s="520">
        <v>9822.9500000000007</v>
      </c>
      <c r="H312" s="522">
        <v>1.1184000000000001</v>
      </c>
      <c r="I312" s="522">
        <v>10985.987280000001</v>
      </c>
      <c r="J312" s="521">
        <v>5.0582788074492516E-4</v>
      </c>
      <c r="K312" s="520" t="s">
        <v>399</v>
      </c>
    </row>
    <row r="313" spans="1:11" x14ac:dyDescent="0.2">
      <c r="A313" s="519" t="s">
        <v>7613</v>
      </c>
      <c r="B313" s="518"/>
      <c r="C313" s="517"/>
      <c r="D313" s="517"/>
      <c r="E313" s="516" t="s">
        <v>7612</v>
      </c>
      <c r="F313" s="513" t="s">
        <v>1242</v>
      </c>
      <c r="G313" s="513">
        <v>252.52</v>
      </c>
      <c r="H313" s="515">
        <v>0</v>
      </c>
      <c r="I313" s="515">
        <v>0</v>
      </c>
      <c r="J313" s="514"/>
      <c r="K313" s="513" t="s">
        <v>399</v>
      </c>
    </row>
    <row r="314" spans="1:11" x14ac:dyDescent="0.2">
      <c r="A314" s="203" t="s">
        <v>7611</v>
      </c>
      <c r="B314" s="530"/>
      <c r="C314" s="530"/>
      <c r="D314" s="530"/>
      <c r="E314" s="530" t="s">
        <v>7610</v>
      </c>
      <c r="F314" s="527"/>
      <c r="G314" s="527"/>
      <c r="H314" s="529"/>
      <c r="I314" s="529">
        <v>1025873.28</v>
      </c>
      <c r="J314" s="528">
        <v>4.7234289819352966E-2</v>
      </c>
      <c r="K314" s="527" t="s">
        <v>399</v>
      </c>
    </row>
    <row r="315" spans="1:11" ht="25.5" x14ac:dyDescent="0.2">
      <c r="A315" s="526" t="s">
        <v>7609</v>
      </c>
      <c r="B315" s="525" t="s">
        <v>7260</v>
      </c>
      <c r="C315" s="524" t="s">
        <v>7259</v>
      </c>
      <c r="D315" s="524" t="s">
        <v>7608</v>
      </c>
      <c r="E315" s="523" t="s">
        <v>7607</v>
      </c>
      <c r="F315" s="520" t="s">
        <v>641</v>
      </c>
      <c r="G315" s="520">
        <v>28827.63</v>
      </c>
      <c r="H315" s="522">
        <v>34</v>
      </c>
      <c r="I315" s="522">
        <v>980139.42</v>
      </c>
      <c r="J315" s="521">
        <v>4.5128565418579299E-2</v>
      </c>
      <c r="K315" s="520" t="s">
        <v>399</v>
      </c>
    </row>
    <row r="316" spans="1:11" ht="25.5" x14ac:dyDescent="0.2">
      <c r="A316" s="519" t="s">
        <v>7606</v>
      </c>
      <c r="B316" s="518" t="s">
        <v>7260</v>
      </c>
      <c r="C316" s="517" t="s">
        <v>7259</v>
      </c>
      <c r="D316" s="517" t="s">
        <v>7605</v>
      </c>
      <c r="E316" s="516" t="s">
        <v>7604</v>
      </c>
      <c r="F316" s="513" t="s">
        <v>641</v>
      </c>
      <c r="G316" s="513">
        <v>1115.46</v>
      </c>
      <c r="H316" s="515">
        <v>41</v>
      </c>
      <c r="I316" s="515">
        <v>45733.86</v>
      </c>
      <c r="J316" s="514">
        <v>2.1057244007736645E-3</v>
      </c>
      <c r="K316" s="513" t="s">
        <v>399</v>
      </c>
    </row>
    <row r="317" spans="1:11" x14ac:dyDescent="0.2">
      <c r="A317" s="542" t="s">
        <v>7603</v>
      </c>
      <c r="B317" s="541"/>
      <c r="C317" s="540"/>
      <c r="D317" s="540"/>
      <c r="E317" s="540" t="s">
        <v>7602</v>
      </c>
      <c r="F317" s="537"/>
      <c r="G317" s="537"/>
      <c r="H317" s="539"/>
      <c r="I317" s="539">
        <v>0</v>
      </c>
      <c r="J317" s="538"/>
      <c r="K317" s="537" t="s">
        <v>399</v>
      </c>
    </row>
    <row r="318" spans="1:11" x14ac:dyDescent="0.2">
      <c r="A318" s="536" t="s">
        <v>7601</v>
      </c>
      <c r="B318" s="535"/>
      <c r="C318" s="534"/>
      <c r="D318" s="534"/>
      <c r="E318" s="534" t="s">
        <v>6806</v>
      </c>
      <c r="F318" s="531"/>
      <c r="G318" s="531"/>
      <c r="H318" s="533"/>
      <c r="I318" s="533">
        <v>0</v>
      </c>
      <c r="J318" s="532"/>
      <c r="K318" s="531" t="s">
        <v>399</v>
      </c>
    </row>
    <row r="319" spans="1:11" x14ac:dyDescent="0.2">
      <c r="A319" s="203" t="s">
        <v>7600</v>
      </c>
      <c r="B319" s="530"/>
      <c r="C319" s="530"/>
      <c r="D319" s="530"/>
      <c r="E319" s="530" t="s">
        <v>7529</v>
      </c>
      <c r="F319" s="527"/>
      <c r="G319" s="527"/>
      <c r="H319" s="529"/>
      <c r="I319" s="529">
        <v>0</v>
      </c>
      <c r="J319" s="528"/>
      <c r="K319" s="527" t="s">
        <v>399</v>
      </c>
    </row>
    <row r="320" spans="1:11" x14ac:dyDescent="0.2">
      <c r="A320" s="526" t="s">
        <v>7599</v>
      </c>
      <c r="B320" s="525"/>
      <c r="C320" s="524"/>
      <c r="D320" s="524"/>
      <c r="E320" s="523" t="s">
        <v>7598</v>
      </c>
      <c r="F320" s="520" t="s">
        <v>787</v>
      </c>
      <c r="G320" s="520">
        <v>1.72</v>
      </c>
      <c r="H320" s="522">
        <v>0</v>
      </c>
      <c r="I320" s="522">
        <v>0</v>
      </c>
      <c r="J320" s="521"/>
      <c r="K320" s="520" t="s">
        <v>399</v>
      </c>
    </row>
    <row r="321" spans="1:11" x14ac:dyDescent="0.2">
      <c r="A321" s="203" t="s">
        <v>7597</v>
      </c>
      <c r="B321" s="530"/>
      <c r="C321" s="530"/>
      <c r="D321" s="530"/>
      <c r="E321" s="530" t="s">
        <v>7519</v>
      </c>
      <c r="F321" s="527"/>
      <c r="G321" s="527"/>
      <c r="H321" s="529"/>
      <c r="I321" s="529">
        <v>0</v>
      </c>
      <c r="J321" s="528"/>
      <c r="K321" s="527" t="s">
        <v>399</v>
      </c>
    </row>
    <row r="322" spans="1:11" x14ac:dyDescent="0.2">
      <c r="A322" s="519" t="s">
        <v>7596</v>
      </c>
      <c r="B322" s="518"/>
      <c r="C322" s="517"/>
      <c r="D322" s="517"/>
      <c r="E322" s="516" t="s">
        <v>7517</v>
      </c>
      <c r="F322" s="513" t="s">
        <v>787</v>
      </c>
      <c r="G322" s="513"/>
      <c r="H322" s="515">
        <v>0</v>
      </c>
      <c r="I322" s="515">
        <v>0</v>
      </c>
      <c r="J322" s="514"/>
      <c r="K322" s="513" t="s">
        <v>399</v>
      </c>
    </row>
    <row r="323" spans="1:11" x14ac:dyDescent="0.2">
      <c r="A323" s="526" t="s">
        <v>7595</v>
      </c>
      <c r="B323" s="525"/>
      <c r="C323" s="524"/>
      <c r="D323" s="524"/>
      <c r="E323" s="523" t="s">
        <v>7515</v>
      </c>
      <c r="F323" s="520" t="s">
        <v>787</v>
      </c>
      <c r="G323" s="520"/>
      <c r="H323" s="522">
        <v>0</v>
      </c>
      <c r="I323" s="522">
        <v>0</v>
      </c>
      <c r="J323" s="521"/>
      <c r="K323" s="520" t="s">
        <v>399</v>
      </c>
    </row>
    <row r="324" spans="1:11" x14ac:dyDescent="0.2">
      <c r="A324" s="203" t="s">
        <v>7594</v>
      </c>
      <c r="B324" s="530"/>
      <c r="C324" s="530"/>
      <c r="D324" s="530"/>
      <c r="E324" s="530" t="s">
        <v>7513</v>
      </c>
      <c r="F324" s="527"/>
      <c r="G324" s="527"/>
      <c r="H324" s="529"/>
      <c r="I324" s="529">
        <v>0</v>
      </c>
      <c r="J324" s="528"/>
      <c r="K324" s="527" t="s">
        <v>399</v>
      </c>
    </row>
    <row r="325" spans="1:11" x14ac:dyDescent="0.2">
      <c r="A325" s="519" t="s">
        <v>7593</v>
      </c>
      <c r="B325" s="518"/>
      <c r="C325" s="517"/>
      <c r="D325" s="517"/>
      <c r="E325" s="516" t="s">
        <v>7511</v>
      </c>
      <c r="F325" s="513" t="s">
        <v>1242</v>
      </c>
      <c r="G325" s="513">
        <v>101.01</v>
      </c>
      <c r="H325" s="515">
        <v>0</v>
      </c>
      <c r="I325" s="515">
        <v>0</v>
      </c>
      <c r="J325" s="514"/>
      <c r="K325" s="513" t="s">
        <v>399</v>
      </c>
    </row>
    <row r="326" spans="1:11" x14ac:dyDescent="0.2">
      <c r="A326" s="526" t="s">
        <v>7592</v>
      </c>
      <c r="B326" s="525"/>
      <c r="C326" s="524"/>
      <c r="D326" s="524"/>
      <c r="E326" s="523" t="s">
        <v>7505</v>
      </c>
      <c r="F326" s="520" t="s">
        <v>1242</v>
      </c>
      <c r="G326" s="520">
        <v>5.15</v>
      </c>
      <c r="H326" s="522">
        <v>0</v>
      </c>
      <c r="I326" s="522">
        <v>0</v>
      </c>
      <c r="J326" s="521"/>
      <c r="K326" s="520" t="s">
        <v>399</v>
      </c>
    </row>
    <row r="327" spans="1:11" x14ac:dyDescent="0.2">
      <c r="A327" s="519" t="s">
        <v>7591</v>
      </c>
      <c r="B327" s="518"/>
      <c r="C327" s="517"/>
      <c r="D327" s="517"/>
      <c r="E327" s="516" t="s">
        <v>7590</v>
      </c>
      <c r="F327" s="513" t="s">
        <v>1242</v>
      </c>
      <c r="G327" s="513">
        <v>302.3</v>
      </c>
      <c r="H327" s="515">
        <v>0</v>
      </c>
      <c r="I327" s="515">
        <v>0</v>
      </c>
      <c r="J327" s="514"/>
      <c r="K327" s="513" t="s">
        <v>399</v>
      </c>
    </row>
    <row r="328" spans="1:11" x14ac:dyDescent="0.2">
      <c r="A328" s="526" t="s">
        <v>7589</v>
      </c>
      <c r="B328" s="525"/>
      <c r="C328" s="524"/>
      <c r="D328" s="524"/>
      <c r="E328" s="523" t="s">
        <v>7588</v>
      </c>
      <c r="F328" s="520" t="s">
        <v>1242</v>
      </c>
      <c r="G328" s="520">
        <v>29.6</v>
      </c>
      <c r="H328" s="522">
        <v>0</v>
      </c>
      <c r="I328" s="522">
        <v>0</v>
      </c>
      <c r="J328" s="521"/>
      <c r="K328" s="520" t="s">
        <v>399</v>
      </c>
    </row>
    <row r="329" spans="1:11" x14ac:dyDescent="0.2">
      <c r="A329" s="519" t="s">
        <v>7587</v>
      </c>
      <c r="B329" s="518"/>
      <c r="C329" s="517"/>
      <c r="D329" s="517"/>
      <c r="E329" s="516" t="s">
        <v>7586</v>
      </c>
      <c r="F329" s="513" t="s">
        <v>1242</v>
      </c>
      <c r="G329" s="513">
        <v>4.05</v>
      </c>
      <c r="H329" s="515">
        <v>0</v>
      </c>
      <c r="I329" s="515">
        <v>0</v>
      </c>
      <c r="J329" s="514"/>
      <c r="K329" s="513" t="s">
        <v>399</v>
      </c>
    </row>
    <row r="330" spans="1:11" x14ac:dyDescent="0.2">
      <c r="A330" s="526" t="s">
        <v>7585</v>
      </c>
      <c r="B330" s="525"/>
      <c r="C330" s="524"/>
      <c r="D330" s="524"/>
      <c r="E330" s="523" t="s">
        <v>7495</v>
      </c>
      <c r="F330" s="520" t="s">
        <v>1242</v>
      </c>
      <c r="G330" s="520">
        <v>37.44</v>
      </c>
      <c r="H330" s="522">
        <v>0</v>
      </c>
      <c r="I330" s="522">
        <v>0</v>
      </c>
      <c r="J330" s="521"/>
      <c r="K330" s="520" t="s">
        <v>399</v>
      </c>
    </row>
    <row r="331" spans="1:11" x14ac:dyDescent="0.2">
      <c r="A331" s="519" t="s">
        <v>7584</v>
      </c>
      <c r="B331" s="518"/>
      <c r="C331" s="517"/>
      <c r="D331" s="517"/>
      <c r="E331" s="516" t="s">
        <v>7583</v>
      </c>
      <c r="F331" s="513" t="s">
        <v>1242</v>
      </c>
      <c r="G331" s="513">
        <v>3.45</v>
      </c>
      <c r="H331" s="515">
        <v>0</v>
      </c>
      <c r="I331" s="515">
        <v>0</v>
      </c>
      <c r="J331" s="514"/>
      <c r="K331" s="513" t="s">
        <v>399</v>
      </c>
    </row>
    <row r="332" spans="1:11" x14ac:dyDescent="0.2">
      <c r="A332" s="526" t="s">
        <v>7582</v>
      </c>
      <c r="B332" s="525"/>
      <c r="C332" s="524"/>
      <c r="D332" s="524"/>
      <c r="E332" s="523" t="s">
        <v>7581</v>
      </c>
      <c r="F332" s="520" t="s">
        <v>1242</v>
      </c>
      <c r="G332" s="520">
        <v>20.63</v>
      </c>
      <c r="H332" s="522">
        <v>0</v>
      </c>
      <c r="I332" s="522">
        <v>0</v>
      </c>
      <c r="J332" s="521"/>
      <c r="K332" s="520" t="s">
        <v>399</v>
      </c>
    </row>
    <row r="333" spans="1:11" x14ac:dyDescent="0.2">
      <c r="A333" s="519" t="s">
        <v>7580</v>
      </c>
      <c r="B333" s="518"/>
      <c r="C333" s="517"/>
      <c r="D333" s="517"/>
      <c r="E333" s="516" t="s">
        <v>7579</v>
      </c>
      <c r="F333" s="513" t="s">
        <v>1242</v>
      </c>
      <c r="G333" s="513">
        <v>25.04</v>
      </c>
      <c r="H333" s="515">
        <v>0</v>
      </c>
      <c r="I333" s="515">
        <v>0</v>
      </c>
      <c r="J333" s="514"/>
      <c r="K333" s="513" t="s">
        <v>399</v>
      </c>
    </row>
    <row r="334" spans="1:11" x14ac:dyDescent="0.2">
      <c r="A334" s="526" t="s">
        <v>7578</v>
      </c>
      <c r="B334" s="525"/>
      <c r="C334" s="524"/>
      <c r="D334" s="524"/>
      <c r="E334" s="523" t="s">
        <v>7577</v>
      </c>
      <c r="F334" s="520" t="s">
        <v>1242</v>
      </c>
      <c r="G334" s="520">
        <v>21.85</v>
      </c>
      <c r="H334" s="522">
        <v>0</v>
      </c>
      <c r="I334" s="522">
        <v>0</v>
      </c>
      <c r="J334" s="521"/>
      <c r="K334" s="520" t="s">
        <v>399</v>
      </c>
    </row>
    <row r="335" spans="1:11" x14ac:dyDescent="0.2">
      <c r="A335" s="519" t="s">
        <v>7576</v>
      </c>
      <c r="B335" s="518"/>
      <c r="C335" s="517"/>
      <c r="D335" s="517"/>
      <c r="E335" s="516" t="s">
        <v>7575</v>
      </c>
      <c r="F335" s="513" t="s">
        <v>1242</v>
      </c>
      <c r="G335" s="513">
        <v>41.57</v>
      </c>
      <c r="H335" s="515">
        <v>0</v>
      </c>
      <c r="I335" s="515">
        <v>0</v>
      </c>
      <c r="J335" s="514"/>
      <c r="K335" s="513" t="s">
        <v>399</v>
      </c>
    </row>
    <row r="336" spans="1:11" x14ac:dyDescent="0.2">
      <c r="A336" s="526" t="s">
        <v>7574</v>
      </c>
      <c r="B336" s="525"/>
      <c r="C336" s="524"/>
      <c r="D336" s="524"/>
      <c r="E336" s="523" t="s">
        <v>7573</v>
      </c>
      <c r="F336" s="520" t="s">
        <v>1242</v>
      </c>
      <c r="G336" s="520">
        <v>2.4900000000000002</v>
      </c>
      <c r="H336" s="522">
        <v>0</v>
      </c>
      <c r="I336" s="522">
        <v>0</v>
      </c>
      <c r="J336" s="521"/>
      <c r="K336" s="520" t="s">
        <v>399</v>
      </c>
    </row>
    <row r="337" spans="1:11" x14ac:dyDescent="0.2">
      <c r="A337" s="519" t="s">
        <v>7572</v>
      </c>
      <c r="B337" s="518"/>
      <c r="C337" s="517"/>
      <c r="D337" s="517"/>
      <c r="E337" s="516" t="s">
        <v>7571</v>
      </c>
      <c r="F337" s="513" t="s">
        <v>1242</v>
      </c>
      <c r="G337" s="513">
        <v>1.86</v>
      </c>
      <c r="H337" s="515">
        <v>0</v>
      </c>
      <c r="I337" s="515">
        <v>0</v>
      </c>
      <c r="J337" s="514"/>
      <c r="K337" s="513" t="s">
        <v>399</v>
      </c>
    </row>
    <row r="338" spans="1:11" x14ac:dyDescent="0.2">
      <c r="A338" s="526" t="s">
        <v>7570</v>
      </c>
      <c r="B338" s="525"/>
      <c r="C338" s="524"/>
      <c r="D338" s="524"/>
      <c r="E338" s="523" t="s">
        <v>7491</v>
      </c>
      <c r="F338" s="520" t="s">
        <v>1242</v>
      </c>
      <c r="G338" s="520">
        <v>19.170000000000002</v>
      </c>
      <c r="H338" s="522">
        <v>0</v>
      </c>
      <c r="I338" s="522">
        <v>0</v>
      </c>
      <c r="J338" s="521"/>
      <c r="K338" s="520" t="s">
        <v>399</v>
      </c>
    </row>
    <row r="339" spans="1:11" x14ac:dyDescent="0.2">
      <c r="A339" s="519" t="s">
        <v>7569</v>
      </c>
      <c r="B339" s="518"/>
      <c r="C339" s="517"/>
      <c r="D339" s="517"/>
      <c r="E339" s="516" t="s">
        <v>7568</v>
      </c>
      <c r="F339" s="513" t="s">
        <v>1242</v>
      </c>
      <c r="G339" s="513">
        <v>72.739999999999995</v>
      </c>
      <c r="H339" s="515">
        <v>0</v>
      </c>
      <c r="I339" s="515">
        <v>0</v>
      </c>
      <c r="J339" s="514"/>
      <c r="K339" s="513" t="s">
        <v>399</v>
      </c>
    </row>
    <row r="340" spans="1:11" x14ac:dyDescent="0.2">
      <c r="A340" s="526" t="s">
        <v>7567</v>
      </c>
      <c r="B340" s="525"/>
      <c r="C340" s="524"/>
      <c r="D340" s="524"/>
      <c r="E340" s="523" t="s">
        <v>7566</v>
      </c>
      <c r="F340" s="520" t="s">
        <v>1242</v>
      </c>
      <c r="G340" s="520">
        <v>38.32</v>
      </c>
      <c r="H340" s="522">
        <v>0</v>
      </c>
      <c r="I340" s="522">
        <v>0</v>
      </c>
      <c r="J340" s="521"/>
      <c r="K340" s="520" t="s">
        <v>399</v>
      </c>
    </row>
    <row r="341" spans="1:11" x14ac:dyDescent="0.2">
      <c r="A341" s="519" t="s">
        <v>7565</v>
      </c>
      <c r="B341" s="518"/>
      <c r="C341" s="517"/>
      <c r="D341" s="517"/>
      <c r="E341" s="516" t="s">
        <v>7564</v>
      </c>
      <c r="F341" s="513" t="s">
        <v>1242</v>
      </c>
      <c r="G341" s="513">
        <v>66.28</v>
      </c>
      <c r="H341" s="515">
        <v>0</v>
      </c>
      <c r="I341" s="515">
        <v>0</v>
      </c>
      <c r="J341" s="514"/>
      <c r="K341" s="513" t="s">
        <v>399</v>
      </c>
    </row>
    <row r="342" spans="1:11" x14ac:dyDescent="0.2">
      <c r="A342" s="526" t="s">
        <v>7563</v>
      </c>
      <c r="B342" s="525"/>
      <c r="C342" s="524"/>
      <c r="D342" s="524"/>
      <c r="E342" s="523" t="s">
        <v>7562</v>
      </c>
      <c r="F342" s="520" t="s">
        <v>1242</v>
      </c>
      <c r="G342" s="520">
        <v>19.86</v>
      </c>
      <c r="H342" s="522">
        <v>0</v>
      </c>
      <c r="I342" s="522">
        <v>0</v>
      </c>
      <c r="J342" s="521"/>
      <c r="K342" s="520" t="s">
        <v>399</v>
      </c>
    </row>
    <row r="343" spans="1:11" x14ac:dyDescent="0.2">
      <c r="A343" s="519" t="s">
        <v>7561</v>
      </c>
      <c r="B343" s="518"/>
      <c r="C343" s="517"/>
      <c r="D343" s="517"/>
      <c r="E343" s="516" t="s">
        <v>7560</v>
      </c>
      <c r="F343" s="513" t="s">
        <v>1242</v>
      </c>
      <c r="G343" s="513">
        <v>10.18</v>
      </c>
      <c r="H343" s="515">
        <v>0</v>
      </c>
      <c r="I343" s="515">
        <v>0</v>
      </c>
      <c r="J343" s="514"/>
      <c r="K343" s="513" t="s">
        <v>399</v>
      </c>
    </row>
    <row r="344" spans="1:11" x14ac:dyDescent="0.2">
      <c r="A344" s="526" t="s">
        <v>7559</v>
      </c>
      <c r="B344" s="525"/>
      <c r="C344" s="524"/>
      <c r="D344" s="524"/>
      <c r="E344" s="523" t="s">
        <v>7558</v>
      </c>
      <c r="F344" s="520" t="s">
        <v>1242</v>
      </c>
      <c r="G344" s="520">
        <v>5.6</v>
      </c>
      <c r="H344" s="522">
        <v>0</v>
      </c>
      <c r="I344" s="522">
        <v>0</v>
      </c>
      <c r="J344" s="521"/>
      <c r="K344" s="520" t="s">
        <v>399</v>
      </c>
    </row>
    <row r="345" spans="1:11" x14ac:dyDescent="0.2">
      <c r="A345" s="536" t="s">
        <v>7557</v>
      </c>
      <c r="B345" s="535"/>
      <c r="C345" s="534"/>
      <c r="D345" s="534"/>
      <c r="E345" s="534" t="s">
        <v>6932</v>
      </c>
      <c r="F345" s="531"/>
      <c r="G345" s="531"/>
      <c r="H345" s="533"/>
      <c r="I345" s="533">
        <v>0</v>
      </c>
      <c r="J345" s="532"/>
      <c r="K345" s="531" t="s">
        <v>399</v>
      </c>
    </row>
    <row r="346" spans="1:11" x14ac:dyDescent="0.2">
      <c r="A346" s="203" t="s">
        <v>7556</v>
      </c>
      <c r="B346" s="530"/>
      <c r="C346" s="530"/>
      <c r="D346" s="530"/>
      <c r="E346" s="530" t="s">
        <v>7529</v>
      </c>
      <c r="F346" s="527"/>
      <c r="G346" s="527"/>
      <c r="H346" s="529"/>
      <c r="I346" s="529">
        <v>0</v>
      </c>
      <c r="J346" s="528"/>
      <c r="K346" s="527" t="s">
        <v>399</v>
      </c>
    </row>
    <row r="347" spans="1:11" x14ac:dyDescent="0.2">
      <c r="A347" s="519" t="s">
        <v>7555</v>
      </c>
      <c r="B347" s="518"/>
      <c r="C347" s="517"/>
      <c r="D347" s="517"/>
      <c r="E347" s="516" t="s">
        <v>7554</v>
      </c>
      <c r="F347" s="513" t="s">
        <v>787</v>
      </c>
      <c r="G347" s="513">
        <v>183.35</v>
      </c>
      <c r="H347" s="515">
        <v>0</v>
      </c>
      <c r="I347" s="515">
        <v>0</v>
      </c>
      <c r="J347" s="514"/>
      <c r="K347" s="513" t="s">
        <v>399</v>
      </c>
    </row>
    <row r="348" spans="1:11" x14ac:dyDescent="0.2">
      <c r="A348" s="526" t="s">
        <v>7553</v>
      </c>
      <c r="B348" s="525"/>
      <c r="C348" s="524"/>
      <c r="D348" s="524"/>
      <c r="E348" s="523" t="s">
        <v>7552</v>
      </c>
      <c r="F348" s="520" t="s">
        <v>787</v>
      </c>
      <c r="G348" s="520">
        <v>160.83000000000001</v>
      </c>
      <c r="H348" s="522">
        <v>0</v>
      </c>
      <c r="I348" s="522">
        <v>0</v>
      </c>
      <c r="J348" s="521"/>
      <c r="K348" s="520" t="s">
        <v>399</v>
      </c>
    </row>
    <row r="349" spans="1:11" x14ac:dyDescent="0.2">
      <c r="A349" s="519" t="s">
        <v>7551</v>
      </c>
      <c r="B349" s="518"/>
      <c r="C349" s="517"/>
      <c r="D349" s="517"/>
      <c r="E349" s="516" t="s">
        <v>7550</v>
      </c>
      <c r="F349" s="513" t="s">
        <v>787</v>
      </c>
      <c r="G349" s="513">
        <v>91.6</v>
      </c>
      <c r="H349" s="515">
        <v>0</v>
      </c>
      <c r="I349" s="515">
        <v>0</v>
      </c>
      <c r="J349" s="514"/>
      <c r="K349" s="513" t="s">
        <v>399</v>
      </c>
    </row>
    <row r="350" spans="1:11" x14ac:dyDescent="0.2">
      <c r="A350" s="526" t="s">
        <v>7549</v>
      </c>
      <c r="B350" s="525"/>
      <c r="C350" s="524"/>
      <c r="D350" s="524"/>
      <c r="E350" s="523" t="s">
        <v>7548</v>
      </c>
      <c r="F350" s="520" t="s">
        <v>787</v>
      </c>
      <c r="G350" s="520">
        <v>90.92</v>
      </c>
      <c r="H350" s="522">
        <v>0</v>
      </c>
      <c r="I350" s="522">
        <v>0</v>
      </c>
      <c r="J350" s="521"/>
      <c r="K350" s="520" t="s">
        <v>399</v>
      </c>
    </row>
    <row r="351" spans="1:11" x14ac:dyDescent="0.2">
      <c r="A351" s="203" t="s">
        <v>7547</v>
      </c>
      <c r="B351" s="530"/>
      <c r="C351" s="530"/>
      <c r="D351" s="530"/>
      <c r="E351" s="530" t="s">
        <v>7519</v>
      </c>
      <c r="F351" s="527"/>
      <c r="G351" s="527"/>
      <c r="H351" s="529"/>
      <c r="I351" s="529">
        <v>0</v>
      </c>
      <c r="J351" s="528"/>
      <c r="K351" s="527" t="s">
        <v>399</v>
      </c>
    </row>
    <row r="352" spans="1:11" x14ac:dyDescent="0.2">
      <c r="A352" s="519" t="s">
        <v>7546</v>
      </c>
      <c r="B352" s="518"/>
      <c r="C352" s="517"/>
      <c r="D352" s="517"/>
      <c r="E352" s="516" t="s">
        <v>7517</v>
      </c>
      <c r="F352" s="513" t="s">
        <v>787</v>
      </c>
      <c r="G352" s="513"/>
      <c r="H352" s="515">
        <v>0</v>
      </c>
      <c r="I352" s="515">
        <v>0</v>
      </c>
      <c r="J352" s="514"/>
      <c r="K352" s="513" t="s">
        <v>399</v>
      </c>
    </row>
    <row r="353" spans="1:11" x14ac:dyDescent="0.2">
      <c r="A353" s="526" t="s">
        <v>7545</v>
      </c>
      <c r="B353" s="525"/>
      <c r="C353" s="524"/>
      <c r="D353" s="524"/>
      <c r="E353" s="523" t="s">
        <v>7515</v>
      </c>
      <c r="F353" s="520" t="s">
        <v>787</v>
      </c>
      <c r="G353" s="520"/>
      <c r="H353" s="522">
        <v>0</v>
      </c>
      <c r="I353" s="522">
        <v>0</v>
      </c>
      <c r="J353" s="521"/>
      <c r="K353" s="520" t="s">
        <v>399</v>
      </c>
    </row>
    <row r="354" spans="1:11" x14ac:dyDescent="0.2">
      <c r="A354" s="203" t="s">
        <v>7544</v>
      </c>
      <c r="B354" s="530"/>
      <c r="C354" s="530"/>
      <c r="D354" s="530"/>
      <c r="E354" s="530" t="s">
        <v>7513</v>
      </c>
      <c r="F354" s="527"/>
      <c r="G354" s="527"/>
      <c r="H354" s="529"/>
      <c r="I354" s="529">
        <v>0</v>
      </c>
      <c r="J354" s="528"/>
      <c r="K354" s="527" t="s">
        <v>399</v>
      </c>
    </row>
    <row r="355" spans="1:11" x14ac:dyDescent="0.2">
      <c r="A355" s="519" t="s">
        <v>7543</v>
      </c>
      <c r="B355" s="518"/>
      <c r="C355" s="517"/>
      <c r="D355" s="517"/>
      <c r="E355" s="516" t="s">
        <v>7511</v>
      </c>
      <c r="F355" s="513" t="s">
        <v>1242</v>
      </c>
      <c r="G355" s="513">
        <v>2217.19</v>
      </c>
      <c r="H355" s="515">
        <v>0</v>
      </c>
      <c r="I355" s="515">
        <v>0</v>
      </c>
      <c r="J355" s="514"/>
      <c r="K355" s="513" t="s">
        <v>399</v>
      </c>
    </row>
    <row r="356" spans="1:11" x14ac:dyDescent="0.2">
      <c r="A356" s="526" t="s">
        <v>7542</v>
      </c>
      <c r="B356" s="525"/>
      <c r="C356" s="524"/>
      <c r="D356" s="524"/>
      <c r="E356" s="523" t="s">
        <v>7507</v>
      </c>
      <c r="F356" s="520" t="s">
        <v>1242</v>
      </c>
      <c r="G356" s="520">
        <v>7.76</v>
      </c>
      <c r="H356" s="522">
        <v>0</v>
      </c>
      <c r="I356" s="522">
        <v>0</v>
      </c>
      <c r="J356" s="521"/>
      <c r="K356" s="520" t="s">
        <v>399</v>
      </c>
    </row>
    <row r="357" spans="1:11" x14ac:dyDescent="0.2">
      <c r="A357" s="519" t="s">
        <v>7541</v>
      </c>
      <c r="B357" s="518"/>
      <c r="C357" s="517"/>
      <c r="D357" s="517"/>
      <c r="E357" s="516" t="s">
        <v>7505</v>
      </c>
      <c r="F357" s="513" t="s">
        <v>1242</v>
      </c>
      <c r="G357" s="513">
        <v>497.31</v>
      </c>
      <c r="H357" s="515">
        <v>0</v>
      </c>
      <c r="I357" s="515">
        <v>0</v>
      </c>
      <c r="J357" s="514"/>
      <c r="K357" s="513" t="s">
        <v>399</v>
      </c>
    </row>
    <row r="358" spans="1:11" x14ac:dyDescent="0.2">
      <c r="A358" s="526" t="s">
        <v>7540</v>
      </c>
      <c r="B358" s="525"/>
      <c r="C358" s="524"/>
      <c r="D358" s="524"/>
      <c r="E358" s="523" t="s">
        <v>7501</v>
      </c>
      <c r="F358" s="520" t="s">
        <v>1242</v>
      </c>
      <c r="G358" s="520">
        <v>197.55</v>
      </c>
      <c r="H358" s="522">
        <v>0</v>
      </c>
      <c r="I358" s="522">
        <v>0</v>
      </c>
      <c r="J358" s="521"/>
      <c r="K358" s="520" t="s">
        <v>399</v>
      </c>
    </row>
    <row r="359" spans="1:11" x14ac:dyDescent="0.2">
      <c r="A359" s="519" t="s">
        <v>7539</v>
      </c>
      <c r="B359" s="518"/>
      <c r="C359" s="517"/>
      <c r="D359" s="517"/>
      <c r="E359" s="516" t="s">
        <v>7497</v>
      </c>
      <c r="F359" s="513" t="s">
        <v>1242</v>
      </c>
      <c r="G359" s="513">
        <v>7.23</v>
      </c>
      <c r="H359" s="515">
        <v>0</v>
      </c>
      <c r="I359" s="515">
        <v>0</v>
      </c>
      <c r="J359" s="514"/>
      <c r="K359" s="513" t="s">
        <v>399</v>
      </c>
    </row>
    <row r="360" spans="1:11" x14ac:dyDescent="0.2">
      <c r="A360" s="526" t="s">
        <v>7538</v>
      </c>
      <c r="B360" s="525"/>
      <c r="C360" s="524"/>
      <c r="D360" s="524"/>
      <c r="E360" s="523" t="s">
        <v>7495</v>
      </c>
      <c r="F360" s="520" t="s">
        <v>1242</v>
      </c>
      <c r="G360" s="520">
        <v>4.13</v>
      </c>
      <c r="H360" s="522">
        <v>0</v>
      </c>
      <c r="I360" s="522">
        <v>0</v>
      </c>
      <c r="J360" s="521"/>
      <c r="K360" s="520" t="s">
        <v>399</v>
      </c>
    </row>
    <row r="361" spans="1:11" x14ac:dyDescent="0.2">
      <c r="A361" s="519" t="s">
        <v>7537</v>
      </c>
      <c r="B361" s="518"/>
      <c r="C361" s="517"/>
      <c r="D361" s="517"/>
      <c r="E361" s="516" t="s">
        <v>7536</v>
      </c>
      <c r="F361" s="513" t="s">
        <v>1242</v>
      </c>
      <c r="G361" s="513">
        <v>420.59</v>
      </c>
      <c r="H361" s="515">
        <v>0</v>
      </c>
      <c r="I361" s="515">
        <v>0</v>
      </c>
      <c r="J361" s="514"/>
      <c r="K361" s="513" t="s">
        <v>399</v>
      </c>
    </row>
    <row r="362" spans="1:11" x14ac:dyDescent="0.2">
      <c r="A362" s="526" t="s">
        <v>7535</v>
      </c>
      <c r="B362" s="525"/>
      <c r="C362" s="524"/>
      <c r="D362" s="524"/>
      <c r="E362" s="523" t="s">
        <v>7534</v>
      </c>
      <c r="F362" s="520" t="s">
        <v>1242</v>
      </c>
      <c r="G362" s="520">
        <v>703.55</v>
      </c>
      <c r="H362" s="522">
        <v>0</v>
      </c>
      <c r="I362" s="522">
        <v>0</v>
      </c>
      <c r="J362" s="521"/>
      <c r="K362" s="520" t="s">
        <v>399</v>
      </c>
    </row>
    <row r="363" spans="1:11" x14ac:dyDescent="0.2">
      <c r="A363" s="519" t="s">
        <v>7533</v>
      </c>
      <c r="B363" s="518"/>
      <c r="C363" s="517"/>
      <c r="D363" s="517"/>
      <c r="E363" s="516" t="s">
        <v>7532</v>
      </c>
      <c r="F363" s="513" t="s">
        <v>1242</v>
      </c>
      <c r="G363" s="513">
        <v>1378.02</v>
      </c>
      <c r="H363" s="515">
        <v>0</v>
      </c>
      <c r="I363" s="515">
        <v>0</v>
      </c>
      <c r="J363" s="514"/>
      <c r="K363" s="513" t="s">
        <v>399</v>
      </c>
    </row>
    <row r="364" spans="1:11" x14ac:dyDescent="0.2">
      <c r="A364" s="536" t="s">
        <v>7531</v>
      </c>
      <c r="B364" s="535"/>
      <c r="C364" s="534"/>
      <c r="D364" s="534"/>
      <c r="E364" s="534" t="s">
        <v>6881</v>
      </c>
      <c r="F364" s="531"/>
      <c r="G364" s="531"/>
      <c r="H364" s="533"/>
      <c r="I364" s="533">
        <v>0</v>
      </c>
      <c r="J364" s="532"/>
      <c r="K364" s="531" t="s">
        <v>399</v>
      </c>
    </row>
    <row r="365" spans="1:11" x14ac:dyDescent="0.2">
      <c r="A365" s="203" t="s">
        <v>7530</v>
      </c>
      <c r="B365" s="530"/>
      <c r="C365" s="530"/>
      <c r="D365" s="530"/>
      <c r="E365" s="530" t="s">
        <v>7529</v>
      </c>
      <c r="F365" s="527"/>
      <c r="G365" s="527"/>
      <c r="H365" s="529"/>
      <c r="I365" s="529">
        <v>0</v>
      </c>
      <c r="J365" s="528"/>
      <c r="K365" s="527" t="s">
        <v>399</v>
      </c>
    </row>
    <row r="366" spans="1:11" x14ac:dyDescent="0.2">
      <c r="A366" s="526" t="s">
        <v>7528</v>
      </c>
      <c r="B366" s="525"/>
      <c r="C366" s="524"/>
      <c r="D366" s="524"/>
      <c r="E366" s="523" t="s">
        <v>7527</v>
      </c>
      <c r="F366" s="520" t="s">
        <v>787</v>
      </c>
      <c r="G366" s="520">
        <v>85.69</v>
      </c>
      <c r="H366" s="522">
        <v>0</v>
      </c>
      <c r="I366" s="522">
        <v>0</v>
      </c>
      <c r="J366" s="521"/>
      <c r="K366" s="520" t="s">
        <v>399</v>
      </c>
    </row>
    <row r="367" spans="1:11" x14ac:dyDescent="0.2">
      <c r="A367" s="519" t="s">
        <v>7526</v>
      </c>
      <c r="B367" s="518"/>
      <c r="C367" s="517"/>
      <c r="D367" s="517"/>
      <c r="E367" s="516" t="s">
        <v>7525</v>
      </c>
      <c r="F367" s="513" t="s">
        <v>787</v>
      </c>
      <c r="G367" s="513">
        <v>143.53</v>
      </c>
      <c r="H367" s="515">
        <v>0</v>
      </c>
      <c r="I367" s="515">
        <v>0</v>
      </c>
      <c r="J367" s="514"/>
      <c r="K367" s="513" t="s">
        <v>399</v>
      </c>
    </row>
    <row r="368" spans="1:11" x14ac:dyDescent="0.2">
      <c r="A368" s="526" t="s">
        <v>7524</v>
      </c>
      <c r="B368" s="525"/>
      <c r="C368" s="524"/>
      <c r="D368" s="524"/>
      <c r="E368" s="523" t="s">
        <v>7523</v>
      </c>
      <c r="F368" s="520" t="s">
        <v>787</v>
      </c>
      <c r="G368" s="520">
        <v>97.83</v>
      </c>
      <c r="H368" s="522">
        <v>0</v>
      </c>
      <c r="I368" s="522">
        <v>0</v>
      </c>
      <c r="J368" s="521"/>
      <c r="K368" s="520" t="s">
        <v>399</v>
      </c>
    </row>
    <row r="369" spans="1:11" x14ac:dyDescent="0.2">
      <c r="A369" s="519" t="s">
        <v>7522</v>
      </c>
      <c r="B369" s="518"/>
      <c r="C369" s="517"/>
      <c r="D369" s="517"/>
      <c r="E369" s="516" t="s">
        <v>7521</v>
      </c>
      <c r="F369" s="513" t="s">
        <v>787</v>
      </c>
      <c r="G369" s="513">
        <v>76.319999999999993</v>
      </c>
      <c r="H369" s="515">
        <v>0</v>
      </c>
      <c r="I369" s="515">
        <v>0</v>
      </c>
      <c r="J369" s="514"/>
      <c r="K369" s="513" t="s">
        <v>399</v>
      </c>
    </row>
    <row r="370" spans="1:11" x14ac:dyDescent="0.2">
      <c r="A370" s="203" t="s">
        <v>7520</v>
      </c>
      <c r="B370" s="530"/>
      <c r="C370" s="530"/>
      <c r="D370" s="530"/>
      <c r="E370" s="530" t="s">
        <v>7519</v>
      </c>
      <c r="F370" s="527"/>
      <c r="G370" s="527"/>
      <c r="H370" s="529"/>
      <c r="I370" s="529">
        <v>0</v>
      </c>
      <c r="J370" s="528"/>
      <c r="K370" s="527" t="s">
        <v>399</v>
      </c>
    </row>
    <row r="371" spans="1:11" x14ac:dyDescent="0.2">
      <c r="A371" s="526" t="s">
        <v>7518</v>
      </c>
      <c r="B371" s="525"/>
      <c r="C371" s="524"/>
      <c r="D371" s="524"/>
      <c r="E371" s="523" t="s">
        <v>7517</v>
      </c>
      <c r="F371" s="520" t="s">
        <v>787</v>
      </c>
      <c r="G371" s="520"/>
      <c r="H371" s="522">
        <v>0</v>
      </c>
      <c r="I371" s="522">
        <v>0</v>
      </c>
      <c r="J371" s="521"/>
      <c r="K371" s="520" t="s">
        <v>399</v>
      </c>
    </row>
    <row r="372" spans="1:11" x14ac:dyDescent="0.2">
      <c r="A372" s="519" t="s">
        <v>7516</v>
      </c>
      <c r="B372" s="518"/>
      <c r="C372" s="517"/>
      <c r="D372" s="517"/>
      <c r="E372" s="516" t="s">
        <v>7515</v>
      </c>
      <c r="F372" s="513" t="s">
        <v>787</v>
      </c>
      <c r="G372" s="513"/>
      <c r="H372" s="515">
        <v>0</v>
      </c>
      <c r="I372" s="515">
        <v>0</v>
      </c>
      <c r="J372" s="514"/>
      <c r="K372" s="513" t="s">
        <v>399</v>
      </c>
    </row>
    <row r="373" spans="1:11" x14ac:dyDescent="0.2">
      <c r="A373" s="203" t="s">
        <v>7514</v>
      </c>
      <c r="B373" s="530"/>
      <c r="C373" s="530"/>
      <c r="D373" s="530"/>
      <c r="E373" s="530" t="s">
        <v>7513</v>
      </c>
      <c r="F373" s="527"/>
      <c r="G373" s="527"/>
      <c r="H373" s="529"/>
      <c r="I373" s="529">
        <v>0</v>
      </c>
      <c r="J373" s="528"/>
      <c r="K373" s="527" t="s">
        <v>399</v>
      </c>
    </row>
    <row r="374" spans="1:11" x14ac:dyDescent="0.2">
      <c r="A374" s="526" t="s">
        <v>7512</v>
      </c>
      <c r="B374" s="525"/>
      <c r="C374" s="524"/>
      <c r="D374" s="524"/>
      <c r="E374" s="523" t="s">
        <v>7511</v>
      </c>
      <c r="F374" s="520" t="s">
        <v>1242</v>
      </c>
      <c r="G374" s="520">
        <v>1985.66</v>
      </c>
      <c r="H374" s="522">
        <v>0</v>
      </c>
      <c r="I374" s="522">
        <v>0</v>
      </c>
      <c r="J374" s="521"/>
      <c r="K374" s="520" t="s">
        <v>399</v>
      </c>
    </row>
    <row r="375" spans="1:11" x14ac:dyDescent="0.2">
      <c r="A375" s="519" t="s">
        <v>7510</v>
      </c>
      <c r="B375" s="518"/>
      <c r="C375" s="517"/>
      <c r="D375" s="517"/>
      <c r="E375" s="516" t="s">
        <v>7509</v>
      </c>
      <c r="F375" s="513" t="s">
        <v>1242</v>
      </c>
      <c r="G375" s="513">
        <v>6.66</v>
      </c>
      <c r="H375" s="515">
        <v>0</v>
      </c>
      <c r="I375" s="515">
        <v>0</v>
      </c>
      <c r="J375" s="514"/>
      <c r="K375" s="513" t="s">
        <v>399</v>
      </c>
    </row>
    <row r="376" spans="1:11" x14ac:dyDescent="0.2">
      <c r="A376" s="526" t="s">
        <v>7508</v>
      </c>
      <c r="B376" s="525"/>
      <c r="C376" s="524"/>
      <c r="D376" s="524"/>
      <c r="E376" s="523" t="s">
        <v>7507</v>
      </c>
      <c r="F376" s="520" t="s">
        <v>1242</v>
      </c>
      <c r="G376" s="520">
        <v>2.59</v>
      </c>
      <c r="H376" s="522">
        <v>0</v>
      </c>
      <c r="I376" s="522">
        <v>0</v>
      </c>
      <c r="J376" s="521"/>
      <c r="K376" s="520" t="s">
        <v>399</v>
      </c>
    </row>
    <row r="377" spans="1:11" x14ac:dyDescent="0.2">
      <c r="A377" s="519" t="s">
        <v>7506</v>
      </c>
      <c r="B377" s="518"/>
      <c r="C377" s="517"/>
      <c r="D377" s="517"/>
      <c r="E377" s="516" t="s">
        <v>7505</v>
      </c>
      <c r="F377" s="513" t="s">
        <v>1242</v>
      </c>
      <c r="G377" s="513">
        <v>503.57</v>
      </c>
      <c r="H377" s="515">
        <v>0</v>
      </c>
      <c r="I377" s="515">
        <v>0</v>
      </c>
      <c r="J377" s="514"/>
      <c r="K377" s="513" t="s">
        <v>399</v>
      </c>
    </row>
    <row r="378" spans="1:11" x14ac:dyDescent="0.2">
      <c r="A378" s="526" t="s">
        <v>7504</v>
      </c>
      <c r="B378" s="525"/>
      <c r="C378" s="524"/>
      <c r="D378" s="524"/>
      <c r="E378" s="523" t="s">
        <v>7503</v>
      </c>
      <c r="F378" s="520" t="s">
        <v>1242</v>
      </c>
      <c r="G378" s="520">
        <v>239.05</v>
      </c>
      <c r="H378" s="522">
        <v>0</v>
      </c>
      <c r="I378" s="522">
        <v>0</v>
      </c>
      <c r="J378" s="521"/>
      <c r="K378" s="520" t="s">
        <v>399</v>
      </c>
    </row>
    <row r="379" spans="1:11" x14ac:dyDescent="0.2">
      <c r="A379" s="519" t="s">
        <v>7502</v>
      </c>
      <c r="B379" s="518"/>
      <c r="C379" s="517"/>
      <c r="D379" s="517"/>
      <c r="E379" s="516" t="s">
        <v>7501</v>
      </c>
      <c r="F379" s="513" t="s">
        <v>1242</v>
      </c>
      <c r="G379" s="513">
        <v>97.3</v>
      </c>
      <c r="H379" s="515">
        <v>0</v>
      </c>
      <c r="I379" s="515">
        <v>0</v>
      </c>
      <c r="J379" s="514"/>
      <c r="K379" s="513" t="s">
        <v>399</v>
      </c>
    </row>
    <row r="380" spans="1:11" x14ac:dyDescent="0.2">
      <c r="A380" s="526" t="s">
        <v>7500</v>
      </c>
      <c r="B380" s="525"/>
      <c r="C380" s="524"/>
      <c r="D380" s="524"/>
      <c r="E380" s="523" t="s">
        <v>7499</v>
      </c>
      <c r="F380" s="520" t="s">
        <v>1242</v>
      </c>
      <c r="G380" s="520">
        <v>94.7</v>
      </c>
      <c r="H380" s="522">
        <v>0</v>
      </c>
      <c r="I380" s="522">
        <v>0</v>
      </c>
      <c r="J380" s="521"/>
      <c r="K380" s="520" t="s">
        <v>399</v>
      </c>
    </row>
    <row r="381" spans="1:11" x14ac:dyDescent="0.2">
      <c r="A381" s="519" t="s">
        <v>7498</v>
      </c>
      <c r="B381" s="518"/>
      <c r="C381" s="517"/>
      <c r="D381" s="517"/>
      <c r="E381" s="516" t="s">
        <v>7497</v>
      </c>
      <c r="F381" s="513" t="s">
        <v>1242</v>
      </c>
      <c r="G381" s="513">
        <v>7.23</v>
      </c>
      <c r="H381" s="515">
        <v>0</v>
      </c>
      <c r="I381" s="515">
        <v>0</v>
      </c>
      <c r="J381" s="514"/>
      <c r="K381" s="513" t="s">
        <v>399</v>
      </c>
    </row>
    <row r="382" spans="1:11" x14ac:dyDescent="0.2">
      <c r="A382" s="526" t="s">
        <v>7496</v>
      </c>
      <c r="B382" s="525"/>
      <c r="C382" s="524"/>
      <c r="D382" s="524"/>
      <c r="E382" s="523" t="s">
        <v>7495</v>
      </c>
      <c r="F382" s="520" t="s">
        <v>1242</v>
      </c>
      <c r="G382" s="520">
        <v>8.51</v>
      </c>
      <c r="H382" s="522">
        <v>0</v>
      </c>
      <c r="I382" s="522">
        <v>0</v>
      </c>
      <c r="J382" s="521"/>
      <c r="K382" s="520" t="s">
        <v>399</v>
      </c>
    </row>
    <row r="383" spans="1:11" x14ac:dyDescent="0.2">
      <c r="A383" s="519" t="s">
        <v>7494</v>
      </c>
      <c r="B383" s="518"/>
      <c r="C383" s="517"/>
      <c r="D383" s="517"/>
      <c r="E383" s="516" t="s">
        <v>7493</v>
      </c>
      <c r="F383" s="513" t="s">
        <v>1242</v>
      </c>
      <c r="G383" s="513">
        <v>455.2</v>
      </c>
      <c r="H383" s="515">
        <v>0</v>
      </c>
      <c r="I383" s="515">
        <v>0</v>
      </c>
      <c r="J383" s="514"/>
      <c r="K383" s="513" t="s">
        <v>399</v>
      </c>
    </row>
    <row r="384" spans="1:11" x14ac:dyDescent="0.2">
      <c r="A384" s="526" t="s">
        <v>7492</v>
      </c>
      <c r="B384" s="525"/>
      <c r="C384" s="524"/>
      <c r="D384" s="524"/>
      <c r="E384" s="523" t="s">
        <v>7491</v>
      </c>
      <c r="F384" s="520" t="s">
        <v>1242</v>
      </c>
      <c r="G384" s="520">
        <v>460.06</v>
      </c>
      <c r="H384" s="522">
        <v>0</v>
      </c>
      <c r="I384" s="522">
        <v>0</v>
      </c>
      <c r="J384" s="521"/>
      <c r="K384" s="520" t="s">
        <v>399</v>
      </c>
    </row>
    <row r="385" spans="1:11" x14ac:dyDescent="0.2">
      <c r="A385" s="519" t="s">
        <v>7490</v>
      </c>
      <c r="B385" s="518"/>
      <c r="C385" s="517"/>
      <c r="D385" s="517"/>
      <c r="E385" s="516" t="s">
        <v>7489</v>
      </c>
      <c r="F385" s="513" t="s">
        <v>1242</v>
      </c>
      <c r="G385" s="513">
        <v>623</v>
      </c>
      <c r="H385" s="515">
        <v>0</v>
      </c>
      <c r="I385" s="515">
        <v>0</v>
      </c>
      <c r="J385" s="514"/>
      <c r="K385" s="513" t="s">
        <v>399</v>
      </c>
    </row>
    <row r="386" spans="1:11" x14ac:dyDescent="0.2">
      <c r="A386" s="526" t="s">
        <v>7488</v>
      </c>
      <c r="B386" s="525"/>
      <c r="C386" s="524"/>
      <c r="D386" s="524"/>
      <c r="E386" s="523" t="s">
        <v>7487</v>
      </c>
      <c r="F386" s="520" t="s">
        <v>1242</v>
      </c>
      <c r="G386" s="520">
        <v>736.95</v>
      </c>
      <c r="H386" s="522">
        <v>0</v>
      </c>
      <c r="I386" s="522">
        <v>0</v>
      </c>
      <c r="J386" s="521"/>
      <c r="K386" s="520" t="s">
        <v>399</v>
      </c>
    </row>
    <row r="387" spans="1:11" x14ac:dyDescent="0.2">
      <c r="A387" s="542" t="s">
        <v>7486</v>
      </c>
      <c r="B387" s="541"/>
      <c r="C387" s="540"/>
      <c r="D387" s="540"/>
      <c r="E387" s="540" t="s">
        <v>7485</v>
      </c>
      <c r="F387" s="537"/>
      <c r="G387" s="537"/>
      <c r="H387" s="539"/>
      <c r="I387" s="539">
        <v>0</v>
      </c>
      <c r="J387" s="538"/>
      <c r="K387" s="537" t="s">
        <v>399</v>
      </c>
    </row>
    <row r="388" spans="1:11" x14ac:dyDescent="0.2">
      <c r="A388" s="536" t="s">
        <v>7484</v>
      </c>
      <c r="B388" s="535"/>
      <c r="C388" s="534"/>
      <c r="D388" s="534"/>
      <c r="E388" s="534" t="s">
        <v>6806</v>
      </c>
      <c r="F388" s="531"/>
      <c r="G388" s="531"/>
      <c r="H388" s="533"/>
      <c r="I388" s="533">
        <v>0</v>
      </c>
      <c r="J388" s="532"/>
      <c r="K388" s="531" t="s">
        <v>399</v>
      </c>
    </row>
    <row r="389" spans="1:11" x14ac:dyDescent="0.2">
      <c r="A389" s="203" t="s">
        <v>7483</v>
      </c>
      <c r="B389" s="530"/>
      <c r="C389" s="530"/>
      <c r="D389" s="530"/>
      <c r="E389" s="530" t="s">
        <v>7466</v>
      </c>
      <c r="F389" s="527"/>
      <c r="G389" s="527"/>
      <c r="H389" s="529"/>
      <c r="I389" s="529">
        <v>0</v>
      </c>
      <c r="J389" s="528"/>
      <c r="K389" s="527" t="s">
        <v>399</v>
      </c>
    </row>
    <row r="390" spans="1:11" x14ac:dyDescent="0.2">
      <c r="A390" s="519" t="s">
        <v>7482</v>
      </c>
      <c r="B390" s="518"/>
      <c r="C390" s="517"/>
      <c r="D390" s="517"/>
      <c r="E390" s="516" t="s">
        <v>7464</v>
      </c>
      <c r="F390" s="513" t="s">
        <v>533</v>
      </c>
      <c r="G390" s="513">
        <v>11</v>
      </c>
      <c r="H390" s="515">
        <v>0</v>
      </c>
      <c r="I390" s="515">
        <v>0</v>
      </c>
      <c r="J390" s="514"/>
      <c r="K390" s="513" t="s">
        <v>399</v>
      </c>
    </row>
    <row r="391" spans="1:11" x14ac:dyDescent="0.2">
      <c r="A391" s="526" t="s">
        <v>7481</v>
      </c>
      <c r="B391" s="525"/>
      <c r="C391" s="524"/>
      <c r="D391" s="524"/>
      <c r="E391" s="523" t="s">
        <v>7462</v>
      </c>
      <c r="F391" s="520" t="s">
        <v>533</v>
      </c>
      <c r="G391" s="520">
        <v>1</v>
      </c>
      <c r="H391" s="522">
        <v>0</v>
      </c>
      <c r="I391" s="522">
        <v>0</v>
      </c>
      <c r="J391" s="521"/>
      <c r="K391" s="520" t="s">
        <v>399</v>
      </c>
    </row>
    <row r="392" spans="1:11" x14ac:dyDescent="0.2">
      <c r="A392" s="519" t="s">
        <v>7480</v>
      </c>
      <c r="B392" s="518"/>
      <c r="C392" s="517"/>
      <c r="D392" s="517"/>
      <c r="E392" s="516" t="s">
        <v>7479</v>
      </c>
      <c r="F392" s="513" t="s">
        <v>533</v>
      </c>
      <c r="G392" s="513">
        <v>1</v>
      </c>
      <c r="H392" s="515">
        <v>0</v>
      </c>
      <c r="I392" s="515">
        <v>0</v>
      </c>
      <c r="J392" s="514"/>
      <c r="K392" s="513" t="s">
        <v>399</v>
      </c>
    </row>
    <row r="393" spans="1:11" x14ac:dyDescent="0.2">
      <c r="A393" s="526" t="s">
        <v>7478</v>
      </c>
      <c r="B393" s="525"/>
      <c r="C393" s="524"/>
      <c r="D393" s="524"/>
      <c r="E393" s="523" t="s">
        <v>7477</v>
      </c>
      <c r="F393" s="520" t="s">
        <v>533</v>
      </c>
      <c r="G393" s="520">
        <v>2</v>
      </c>
      <c r="H393" s="522">
        <v>0</v>
      </c>
      <c r="I393" s="522">
        <v>0</v>
      </c>
      <c r="J393" s="521"/>
      <c r="K393" s="520" t="s">
        <v>399</v>
      </c>
    </row>
    <row r="394" spans="1:11" x14ac:dyDescent="0.2">
      <c r="A394" s="203" t="s">
        <v>7476</v>
      </c>
      <c r="B394" s="530"/>
      <c r="C394" s="530"/>
      <c r="D394" s="530"/>
      <c r="E394" s="530" t="s">
        <v>7460</v>
      </c>
      <c r="F394" s="527"/>
      <c r="G394" s="527"/>
      <c r="H394" s="529"/>
      <c r="I394" s="529">
        <v>0</v>
      </c>
      <c r="J394" s="528"/>
      <c r="K394" s="527" t="s">
        <v>399</v>
      </c>
    </row>
    <row r="395" spans="1:11" x14ac:dyDescent="0.2">
      <c r="A395" s="519" t="s">
        <v>7475</v>
      </c>
      <c r="B395" s="518"/>
      <c r="C395" s="517"/>
      <c r="D395" s="517"/>
      <c r="E395" s="516" t="s">
        <v>7458</v>
      </c>
      <c r="F395" s="513" t="s">
        <v>787</v>
      </c>
      <c r="G395" s="513">
        <v>186.76</v>
      </c>
      <c r="H395" s="515">
        <v>0</v>
      </c>
      <c r="I395" s="515">
        <v>0</v>
      </c>
      <c r="J395" s="514"/>
      <c r="K395" s="513" t="s">
        <v>399</v>
      </c>
    </row>
    <row r="396" spans="1:11" x14ac:dyDescent="0.2">
      <c r="A396" s="536" t="s">
        <v>7474</v>
      </c>
      <c r="B396" s="535"/>
      <c r="C396" s="534"/>
      <c r="D396" s="534"/>
      <c r="E396" s="534" t="s">
        <v>6932</v>
      </c>
      <c r="F396" s="531"/>
      <c r="G396" s="531"/>
      <c r="H396" s="533"/>
      <c r="I396" s="533">
        <v>0</v>
      </c>
      <c r="J396" s="532"/>
      <c r="K396" s="531" t="s">
        <v>399</v>
      </c>
    </row>
    <row r="397" spans="1:11" x14ac:dyDescent="0.2">
      <c r="A397" s="203" t="s">
        <v>7473</v>
      </c>
      <c r="B397" s="530"/>
      <c r="C397" s="530"/>
      <c r="D397" s="530"/>
      <c r="E397" s="530" t="s">
        <v>7466</v>
      </c>
      <c r="F397" s="527"/>
      <c r="G397" s="527"/>
      <c r="H397" s="529"/>
      <c r="I397" s="529">
        <v>0</v>
      </c>
      <c r="J397" s="528"/>
      <c r="K397" s="527" t="s">
        <v>399</v>
      </c>
    </row>
    <row r="398" spans="1:11" x14ac:dyDescent="0.2">
      <c r="A398" s="526" t="s">
        <v>7472</v>
      </c>
      <c r="B398" s="525"/>
      <c r="C398" s="524"/>
      <c r="D398" s="524"/>
      <c r="E398" s="523" t="s">
        <v>7464</v>
      </c>
      <c r="F398" s="520" t="s">
        <v>533</v>
      </c>
      <c r="G398" s="520">
        <v>48</v>
      </c>
      <c r="H398" s="522">
        <v>0</v>
      </c>
      <c r="I398" s="522">
        <v>0</v>
      </c>
      <c r="J398" s="521"/>
      <c r="K398" s="520" t="s">
        <v>399</v>
      </c>
    </row>
    <row r="399" spans="1:11" x14ac:dyDescent="0.2">
      <c r="A399" s="519" t="s">
        <v>7471</v>
      </c>
      <c r="B399" s="518"/>
      <c r="C399" s="517"/>
      <c r="D399" s="517"/>
      <c r="E399" s="516" t="s">
        <v>7462</v>
      </c>
      <c r="F399" s="513" t="s">
        <v>533</v>
      </c>
      <c r="G399" s="513">
        <v>288</v>
      </c>
      <c r="H399" s="515">
        <v>0</v>
      </c>
      <c r="I399" s="515">
        <v>0</v>
      </c>
      <c r="J399" s="514"/>
      <c r="K399" s="513" t="s">
        <v>399</v>
      </c>
    </row>
    <row r="400" spans="1:11" x14ac:dyDescent="0.2">
      <c r="A400" s="203" t="s">
        <v>7470</v>
      </c>
      <c r="B400" s="530"/>
      <c r="C400" s="530"/>
      <c r="D400" s="530"/>
      <c r="E400" s="530" t="s">
        <v>7460</v>
      </c>
      <c r="F400" s="527"/>
      <c r="G400" s="527"/>
      <c r="H400" s="529"/>
      <c r="I400" s="529">
        <v>0</v>
      </c>
      <c r="J400" s="528"/>
      <c r="K400" s="527" t="s">
        <v>399</v>
      </c>
    </row>
    <row r="401" spans="1:11" x14ac:dyDescent="0.2">
      <c r="A401" s="526" t="s">
        <v>7469</v>
      </c>
      <c r="B401" s="525"/>
      <c r="C401" s="524"/>
      <c r="D401" s="524"/>
      <c r="E401" s="523" t="s">
        <v>7458</v>
      </c>
      <c r="F401" s="520" t="s">
        <v>787</v>
      </c>
      <c r="G401" s="520">
        <v>485.55</v>
      </c>
      <c r="H401" s="522">
        <v>0</v>
      </c>
      <c r="I401" s="522">
        <v>0</v>
      </c>
      <c r="J401" s="521"/>
      <c r="K401" s="520" t="s">
        <v>399</v>
      </c>
    </row>
    <row r="402" spans="1:11" x14ac:dyDescent="0.2">
      <c r="A402" s="536" t="s">
        <v>7468</v>
      </c>
      <c r="B402" s="535"/>
      <c r="C402" s="534"/>
      <c r="D402" s="534"/>
      <c r="E402" s="534" t="s">
        <v>6881</v>
      </c>
      <c r="F402" s="531"/>
      <c r="G402" s="531"/>
      <c r="H402" s="533"/>
      <c r="I402" s="533">
        <v>0</v>
      </c>
      <c r="J402" s="532"/>
      <c r="K402" s="531" t="s">
        <v>399</v>
      </c>
    </row>
    <row r="403" spans="1:11" x14ac:dyDescent="0.2">
      <c r="A403" s="203" t="s">
        <v>7467</v>
      </c>
      <c r="B403" s="530"/>
      <c r="C403" s="530"/>
      <c r="D403" s="530"/>
      <c r="E403" s="530" t="s">
        <v>7466</v>
      </c>
      <c r="F403" s="527"/>
      <c r="G403" s="527"/>
      <c r="H403" s="529"/>
      <c r="I403" s="529">
        <v>0</v>
      </c>
      <c r="J403" s="528"/>
      <c r="K403" s="527" t="s">
        <v>399</v>
      </c>
    </row>
    <row r="404" spans="1:11" x14ac:dyDescent="0.2">
      <c r="A404" s="519" t="s">
        <v>7465</v>
      </c>
      <c r="B404" s="518"/>
      <c r="C404" s="517"/>
      <c r="D404" s="517"/>
      <c r="E404" s="516" t="s">
        <v>7464</v>
      </c>
      <c r="F404" s="513" t="s">
        <v>533</v>
      </c>
      <c r="G404" s="513">
        <v>96</v>
      </c>
      <c r="H404" s="515">
        <v>0</v>
      </c>
      <c r="I404" s="515">
        <v>0</v>
      </c>
      <c r="J404" s="514"/>
      <c r="K404" s="513" t="s">
        <v>399</v>
      </c>
    </row>
    <row r="405" spans="1:11" x14ac:dyDescent="0.2">
      <c r="A405" s="526" t="s">
        <v>7463</v>
      </c>
      <c r="B405" s="525"/>
      <c r="C405" s="524"/>
      <c r="D405" s="524"/>
      <c r="E405" s="523" t="s">
        <v>7462</v>
      </c>
      <c r="F405" s="520" t="s">
        <v>533</v>
      </c>
      <c r="G405" s="520">
        <v>264</v>
      </c>
      <c r="H405" s="522">
        <v>0</v>
      </c>
      <c r="I405" s="522">
        <v>0</v>
      </c>
      <c r="J405" s="521"/>
      <c r="K405" s="520" t="s">
        <v>399</v>
      </c>
    </row>
    <row r="406" spans="1:11" x14ac:dyDescent="0.2">
      <c r="A406" s="203" t="s">
        <v>7461</v>
      </c>
      <c r="B406" s="530"/>
      <c r="C406" s="530"/>
      <c r="D406" s="530"/>
      <c r="E406" s="530" t="s">
        <v>7460</v>
      </c>
      <c r="F406" s="527"/>
      <c r="G406" s="527"/>
      <c r="H406" s="529"/>
      <c r="I406" s="529">
        <v>0</v>
      </c>
      <c r="J406" s="528"/>
      <c r="K406" s="527" t="s">
        <v>399</v>
      </c>
    </row>
    <row r="407" spans="1:11" x14ac:dyDescent="0.2">
      <c r="A407" s="519" t="s">
        <v>7459</v>
      </c>
      <c r="B407" s="518"/>
      <c r="C407" s="517"/>
      <c r="D407" s="517"/>
      <c r="E407" s="516" t="s">
        <v>7458</v>
      </c>
      <c r="F407" s="513" t="s">
        <v>787</v>
      </c>
      <c r="G407" s="513">
        <v>421.67</v>
      </c>
      <c r="H407" s="515">
        <v>0</v>
      </c>
      <c r="I407" s="515">
        <v>0</v>
      </c>
      <c r="J407" s="514"/>
      <c r="K407" s="513" t="s">
        <v>399</v>
      </c>
    </row>
    <row r="408" spans="1:11" x14ac:dyDescent="0.2">
      <c r="A408" s="542" t="s">
        <v>7457</v>
      </c>
      <c r="B408" s="541"/>
      <c r="C408" s="540"/>
      <c r="D408" s="540"/>
      <c r="E408" s="540" t="s">
        <v>7456</v>
      </c>
      <c r="F408" s="537"/>
      <c r="G408" s="537"/>
      <c r="H408" s="539"/>
      <c r="I408" s="539">
        <v>0</v>
      </c>
      <c r="J408" s="538"/>
      <c r="K408" s="537" t="s">
        <v>399</v>
      </c>
    </row>
    <row r="409" spans="1:11" x14ac:dyDescent="0.2">
      <c r="A409" s="536" t="s">
        <v>7455</v>
      </c>
      <c r="B409" s="535"/>
      <c r="C409" s="534"/>
      <c r="D409" s="534"/>
      <c r="E409" s="534" t="s">
        <v>6806</v>
      </c>
      <c r="F409" s="531"/>
      <c r="G409" s="531"/>
      <c r="H409" s="533"/>
      <c r="I409" s="533">
        <v>0</v>
      </c>
      <c r="J409" s="532"/>
      <c r="K409" s="531" t="s">
        <v>399</v>
      </c>
    </row>
    <row r="410" spans="1:11" x14ac:dyDescent="0.2">
      <c r="A410" s="203" t="s">
        <v>7454</v>
      </c>
      <c r="B410" s="530"/>
      <c r="C410" s="530"/>
      <c r="D410" s="530"/>
      <c r="E410" s="530" t="s">
        <v>7436</v>
      </c>
      <c r="F410" s="527"/>
      <c r="G410" s="527"/>
      <c r="H410" s="529"/>
      <c r="I410" s="529">
        <v>0</v>
      </c>
      <c r="J410" s="528"/>
      <c r="K410" s="527" t="s">
        <v>399</v>
      </c>
    </row>
    <row r="411" spans="1:11" x14ac:dyDescent="0.2">
      <c r="A411" s="526" t="s">
        <v>7453</v>
      </c>
      <c r="B411" s="525"/>
      <c r="C411" s="524"/>
      <c r="D411" s="524"/>
      <c r="E411" s="523" t="s">
        <v>7434</v>
      </c>
      <c r="F411" s="520" t="s">
        <v>787</v>
      </c>
      <c r="G411" s="520">
        <v>39.409999999999997</v>
      </c>
      <c r="H411" s="522">
        <v>0</v>
      </c>
      <c r="I411" s="522">
        <v>0</v>
      </c>
      <c r="J411" s="521"/>
      <c r="K411" s="520" t="s">
        <v>399</v>
      </c>
    </row>
    <row r="412" spans="1:11" x14ac:dyDescent="0.2">
      <c r="A412" s="519" t="s">
        <v>7452</v>
      </c>
      <c r="B412" s="518"/>
      <c r="C412" s="517"/>
      <c r="D412" s="517"/>
      <c r="E412" s="516" t="s">
        <v>7426</v>
      </c>
      <c r="F412" s="513" t="s">
        <v>533</v>
      </c>
      <c r="G412" s="513">
        <v>2</v>
      </c>
      <c r="H412" s="515">
        <v>0</v>
      </c>
      <c r="I412" s="515">
        <v>0</v>
      </c>
      <c r="J412" s="514"/>
      <c r="K412" s="513" t="s">
        <v>399</v>
      </c>
    </row>
    <row r="413" spans="1:11" x14ac:dyDescent="0.2">
      <c r="A413" s="526" t="s">
        <v>7451</v>
      </c>
      <c r="B413" s="525"/>
      <c r="C413" s="524"/>
      <c r="D413" s="524"/>
      <c r="E413" s="523" t="s">
        <v>7424</v>
      </c>
      <c r="F413" s="520" t="s">
        <v>533</v>
      </c>
      <c r="G413" s="520">
        <v>13</v>
      </c>
      <c r="H413" s="522">
        <v>0</v>
      </c>
      <c r="I413" s="522">
        <v>0</v>
      </c>
      <c r="J413" s="521"/>
      <c r="K413" s="520" t="s">
        <v>399</v>
      </c>
    </row>
    <row r="414" spans="1:11" x14ac:dyDescent="0.2">
      <c r="A414" s="519" t="s">
        <v>7450</v>
      </c>
      <c r="B414" s="518"/>
      <c r="C414" s="517"/>
      <c r="D414" s="517"/>
      <c r="E414" s="516" t="s">
        <v>7439</v>
      </c>
      <c r="F414" s="513" t="s">
        <v>533</v>
      </c>
      <c r="G414" s="513">
        <v>22</v>
      </c>
      <c r="H414" s="515">
        <v>0</v>
      </c>
      <c r="I414" s="515">
        <v>0</v>
      </c>
      <c r="J414" s="514"/>
      <c r="K414" s="513" t="s">
        <v>399</v>
      </c>
    </row>
    <row r="415" spans="1:11" x14ac:dyDescent="0.2">
      <c r="A415" s="526" t="s">
        <v>7449</v>
      </c>
      <c r="B415" s="525"/>
      <c r="C415" s="524"/>
      <c r="D415" s="524"/>
      <c r="E415" s="523" t="s">
        <v>7448</v>
      </c>
      <c r="F415" s="520" t="s">
        <v>533</v>
      </c>
      <c r="G415" s="520">
        <v>2</v>
      </c>
      <c r="H415" s="522">
        <v>0</v>
      </c>
      <c r="I415" s="522">
        <v>0</v>
      </c>
      <c r="J415" s="521"/>
      <c r="K415" s="520" t="s">
        <v>399</v>
      </c>
    </row>
    <row r="416" spans="1:11" x14ac:dyDescent="0.2">
      <c r="A416" s="536" t="s">
        <v>7447</v>
      </c>
      <c r="B416" s="535"/>
      <c r="C416" s="534"/>
      <c r="D416" s="534"/>
      <c r="E416" s="534" t="s">
        <v>6932</v>
      </c>
      <c r="F416" s="531"/>
      <c r="G416" s="531"/>
      <c r="H416" s="533"/>
      <c r="I416" s="533">
        <v>0</v>
      </c>
      <c r="J416" s="532"/>
      <c r="K416" s="531" t="s">
        <v>399</v>
      </c>
    </row>
    <row r="417" spans="1:11" x14ac:dyDescent="0.2">
      <c r="A417" s="203" t="s">
        <v>7446</v>
      </c>
      <c r="B417" s="530"/>
      <c r="C417" s="530"/>
      <c r="D417" s="530"/>
      <c r="E417" s="530" t="s">
        <v>7436</v>
      </c>
      <c r="F417" s="527"/>
      <c r="G417" s="527"/>
      <c r="H417" s="529"/>
      <c r="I417" s="529">
        <v>0</v>
      </c>
      <c r="J417" s="528"/>
      <c r="K417" s="527" t="s">
        <v>399</v>
      </c>
    </row>
    <row r="418" spans="1:11" x14ac:dyDescent="0.2">
      <c r="A418" s="519" t="s">
        <v>7445</v>
      </c>
      <c r="B418" s="518"/>
      <c r="C418" s="517"/>
      <c r="D418" s="517"/>
      <c r="E418" s="516" t="s">
        <v>7444</v>
      </c>
      <c r="F418" s="513" t="s">
        <v>787</v>
      </c>
      <c r="G418" s="513">
        <v>177.6</v>
      </c>
      <c r="H418" s="515">
        <v>0</v>
      </c>
      <c r="I418" s="515">
        <v>0</v>
      </c>
      <c r="J418" s="514"/>
      <c r="K418" s="513" t="s">
        <v>399</v>
      </c>
    </row>
    <row r="419" spans="1:11" x14ac:dyDescent="0.2">
      <c r="A419" s="526" t="s">
        <v>7443</v>
      </c>
      <c r="B419" s="525"/>
      <c r="C419" s="524"/>
      <c r="D419" s="524"/>
      <c r="E419" s="523" t="s">
        <v>7434</v>
      </c>
      <c r="F419" s="520" t="s">
        <v>787</v>
      </c>
      <c r="G419" s="520">
        <v>838.68</v>
      </c>
      <c r="H419" s="522">
        <v>0</v>
      </c>
      <c r="I419" s="522">
        <v>0</v>
      </c>
      <c r="J419" s="521"/>
      <c r="K419" s="520" t="s">
        <v>399</v>
      </c>
    </row>
    <row r="420" spans="1:11" x14ac:dyDescent="0.2">
      <c r="A420" s="519" t="s">
        <v>7442</v>
      </c>
      <c r="B420" s="518"/>
      <c r="C420" s="517"/>
      <c r="D420" s="517"/>
      <c r="E420" s="516" t="s">
        <v>7441</v>
      </c>
      <c r="F420" s="513" t="s">
        <v>787</v>
      </c>
      <c r="G420" s="513">
        <v>37.44</v>
      </c>
      <c r="H420" s="515">
        <v>0</v>
      </c>
      <c r="I420" s="515">
        <v>0</v>
      </c>
      <c r="J420" s="514"/>
      <c r="K420" s="513" t="s">
        <v>399</v>
      </c>
    </row>
    <row r="421" spans="1:11" x14ac:dyDescent="0.2">
      <c r="A421" s="526" t="s">
        <v>7440</v>
      </c>
      <c r="B421" s="525"/>
      <c r="C421" s="524"/>
      <c r="D421" s="524"/>
      <c r="E421" s="523" t="s">
        <v>7439</v>
      </c>
      <c r="F421" s="520" t="s">
        <v>533</v>
      </c>
      <c r="G421" s="520">
        <v>50</v>
      </c>
      <c r="H421" s="522">
        <v>0</v>
      </c>
      <c r="I421" s="522">
        <v>0</v>
      </c>
      <c r="J421" s="521"/>
      <c r="K421" s="520" t="s">
        <v>399</v>
      </c>
    </row>
    <row r="422" spans="1:11" x14ac:dyDescent="0.2">
      <c r="A422" s="536" t="s">
        <v>7438</v>
      </c>
      <c r="B422" s="535"/>
      <c r="C422" s="534"/>
      <c r="D422" s="534"/>
      <c r="E422" s="534" t="s">
        <v>6881</v>
      </c>
      <c r="F422" s="531"/>
      <c r="G422" s="531"/>
      <c r="H422" s="533"/>
      <c r="I422" s="533">
        <v>0</v>
      </c>
      <c r="J422" s="532"/>
      <c r="K422" s="531" t="s">
        <v>399</v>
      </c>
    </row>
    <row r="423" spans="1:11" x14ac:dyDescent="0.2">
      <c r="A423" s="203" t="s">
        <v>7437</v>
      </c>
      <c r="B423" s="530"/>
      <c r="C423" s="530"/>
      <c r="D423" s="530"/>
      <c r="E423" s="530" t="s">
        <v>7436</v>
      </c>
      <c r="F423" s="527"/>
      <c r="G423" s="527"/>
      <c r="H423" s="529"/>
      <c r="I423" s="529">
        <v>0</v>
      </c>
      <c r="J423" s="528"/>
      <c r="K423" s="527" t="s">
        <v>399</v>
      </c>
    </row>
    <row r="424" spans="1:11" x14ac:dyDescent="0.2">
      <c r="A424" s="519" t="s">
        <v>7435</v>
      </c>
      <c r="B424" s="518"/>
      <c r="C424" s="517"/>
      <c r="D424" s="517"/>
      <c r="E424" s="516" t="s">
        <v>7434</v>
      </c>
      <c r="F424" s="513" t="s">
        <v>787</v>
      </c>
      <c r="G424" s="513">
        <v>635.66999999999996</v>
      </c>
      <c r="H424" s="515">
        <v>0</v>
      </c>
      <c r="I424" s="515">
        <v>0</v>
      </c>
      <c r="J424" s="514"/>
      <c r="K424" s="513" t="s">
        <v>399</v>
      </c>
    </row>
    <row r="425" spans="1:11" x14ac:dyDescent="0.2">
      <c r="A425" s="526" t="s">
        <v>7433</v>
      </c>
      <c r="B425" s="525"/>
      <c r="C425" s="524"/>
      <c r="D425" s="524"/>
      <c r="E425" s="523" t="s">
        <v>7432</v>
      </c>
      <c r="F425" s="520" t="s">
        <v>787</v>
      </c>
      <c r="G425" s="520">
        <v>34.799999999999997</v>
      </c>
      <c r="H425" s="522">
        <v>0</v>
      </c>
      <c r="I425" s="522">
        <v>0</v>
      </c>
      <c r="J425" s="521"/>
      <c r="K425" s="520" t="s">
        <v>399</v>
      </c>
    </row>
    <row r="426" spans="1:11" x14ac:dyDescent="0.2">
      <c r="A426" s="519" t="s">
        <v>7431</v>
      </c>
      <c r="B426" s="518"/>
      <c r="C426" s="517"/>
      <c r="D426" s="517"/>
      <c r="E426" s="516" t="s">
        <v>7430</v>
      </c>
      <c r="F426" s="513" t="s">
        <v>787</v>
      </c>
      <c r="G426" s="513">
        <v>46.8</v>
      </c>
      <c r="H426" s="515">
        <v>0</v>
      </c>
      <c r="I426" s="515">
        <v>0</v>
      </c>
      <c r="J426" s="514"/>
      <c r="K426" s="513" t="s">
        <v>399</v>
      </c>
    </row>
    <row r="427" spans="1:11" x14ac:dyDescent="0.2">
      <c r="A427" s="526" t="s">
        <v>7429</v>
      </c>
      <c r="B427" s="525"/>
      <c r="C427" s="524"/>
      <c r="D427" s="524"/>
      <c r="E427" s="523" t="s">
        <v>7428</v>
      </c>
      <c r="F427" s="520" t="s">
        <v>787</v>
      </c>
      <c r="G427" s="520">
        <v>40.799999999999997</v>
      </c>
      <c r="H427" s="522">
        <v>0</v>
      </c>
      <c r="I427" s="522">
        <v>0</v>
      </c>
      <c r="J427" s="521"/>
      <c r="K427" s="520" t="s">
        <v>399</v>
      </c>
    </row>
    <row r="428" spans="1:11" x14ac:dyDescent="0.2">
      <c r="A428" s="519" t="s">
        <v>7427</v>
      </c>
      <c r="B428" s="518"/>
      <c r="C428" s="517"/>
      <c r="D428" s="517"/>
      <c r="E428" s="516" t="s">
        <v>7426</v>
      </c>
      <c r="F428" s="513" t="s">
        <v>533</v>
      </c>
      <c r="G428" s="513">
        <v>48</v>
      </c>
      <c r="H428" s="515">
        <v>0</v>
      </c>
      <c r="I428" s="515">
        <v>0</v>
      </c>
      <c r="J428" s="514"/>
      <c r="K428" s="513" t="s">
        <v>399</v>
      </c>
    </row>
    <row r="429" spans="1:11" x14ac:dyDescent="0.2">
      <c r="A429" s="526" t="s">
        <v>7425</v>
      </c>
      <c r="B429" s="525"/>
      <c r="C429" s="524"/>
      <c r="D429" s="524"/>
      <c r="E429" s="523" t="s">
        <v>7424</v>
      </c>
      <c r="F429" s="520" t="s">
        <v>533</v>
      </c>
      <c r="G429" s="520">
        <v>4</v>
      </c>
      <c r="H429" s="522">
        <v>0</v>
      </c>
      <c r="I429" s="522">
        <v>0</v>
      </c>
      <c r="J429" s="521"/>
      <c r="K429" s="520" t="s">
        <v>399</v>
      </c>
    </row>
    <row r="430" spans="1:11" x14ac:dyDescent="0.2">
      <c r="A430" s="542" t="s">
        <v>7423</v>
      </c>
      <c r="B430" s="541"/>
      <c r="C430" s="540"/>
      <c r="D430" s="540"/>
      <c r="E430" s="540" t="s">
        <v>7422</v>
      </c>
      <c r="F430" s="537"/>
      <c r="G430" s="537"/>
      <c r="H430" s="539"/>
      <c r="I430" s="539">
        <v>0</v>
      </c>
      <c r="J430" s="538"/>
      <c r="K430" s="537" t="s">
        <v>399</v>
      </c>
    </row>
    <row r="431" spans="1:11" x14ac:dyDescent="0.2">
      <c r="A431" s="536" t="s">
        <v>7421</v>
      </c>
      <c r="B431" s="535"/>
      <c r="C431" s="534"/>
      <c r="D431" s="534"/>
      <c r="E431" s="534" t="s">
        <v>6806</v>
      </c>
      <c r="F431" s="531"/>
      <c r="G431" s="531"/>
      <c r="H431" s="533"/>
      <c r="I431" s="533">
        <v>0</v>
      </c>
      <c r="J431" s="532"/>
      <c r="K431" s="531" t="s">
        <v>399</v>
      </c>
    </row>
    <row r="432" spans="1:11" x14ac:dyDescent="0.2">
      <c r="A432" s="203" t="s">
        <v>7420</v>
      </c>
      <c r="B432" s="530"/>
      <c r="C432" s="530"/>
      <c r="D432" s="530"/>
      <c r="E432" s="530" t="s">
        <v>7399</v>
      </c>
      <c r="F432" s="527"/>
      <c r="G432" s="527"/>
      <c r="H432" s="529"/>
      <c r="I432" s="529">
        <v>0</v>
      </c>
      <c r="J432" s="528"/>
      <c r="K432" s="527" t="s">
        <v>399</v>
      </c>
    </row>
    <row r="433" spans="1:11" x14ac:dyDescent="0.2">
      <c r="A433" s="519" t="s">
        <v>7419</v>
      </c>
      <c r="B433" s="518"/>
      <c r="C433" s="517"/>
      <c r="D433" s="517"/>
      <c r="E433" s="516" t="s">
        <v>7416</v>
      </c>
      <c r="F433" s="513" t="s">
        <v>1242</v>
      </c>
      <c r="G433" s="513">
        <v>90.22</v>
      </c>
      <c r="H433" s="515">
        <v>0</v>
      </c>
      <c r="I433" s="515">
        <v>0</v>
      </c>
      <c r="J433" s="514"/>
      <c r="K433" s="513" t="s">
        <v>399</v>
      </c>
    </row>
    <row r="434" spans="1:11" x14ac:dyDescent="0.2">
      <c r="A434" s="203" t="s">
        <v>7418</v>
      </c>
      <c r="B434" s="530"/>
      <c r="C434" s="530"/>
      <c r="D434" s="530"/>
      <c r="E434" s="530" t="s">
        <v>7396</v>
      </c>
      <c r="F434" s="527"/>
      <c r="G434" s="527"/>
      <c r="H434" s="529"/>
      <c r="I434" s="529">
        <v>0</v>
      </c>
      <c r="J434" s="528"/>
      <c r="K434" s="527" t="s">
        <v>399</v>
      </c>
    </row>
    <row r="435" spans="1:11" x14ac:dyDescent="0.2">
      <c r="A435" s="526" t="s">
        <v>7417</v>
      </c>
      <c r="B435" s="525"/>
      <c r="C435" s="524"/>
      <c r="D435" s="524"/>
      <c r="E435" s="523" t="s">
        <v>7416</v>
      </c>
      <c r="F435" s="520" t="s">
        <v>1242</v>
      </c>
      <c r="G435" s="520">
        <v>90.22</v>
      </c>
      <c r="H435" s="522">
        <v>0</v>
      </c>
      <c r="I435" s="522">
        <v>0</v>
      </c>
      <c r="J435" s="521"/>
      <c r="K435" s="520" t="s">
        <v>399</v>
      </c>
    </row>
    <row r="436" spans="1:11" x14ac:dyDescent="0.2">
      <c r="A436" s="203" t="s">
        <v>7415</v>
      </c>
      <c r="B436" s="530"/>
      <c r="C436" s="530"/>
      <c r="D436" s="530"/>
      <c r="E436" s="530" t="s">
        <v>7414</v>
      </c>
      <c r="F436" s="527"/>
      <c r="G436" s="527"/>
      <c r="H436" s="529"/>
      <c r="I436" s="529">
        <v>0</v>
      </c>
      <c r="J436" s="528"/>
      <c r="K436" s="527" t="s">
        <v>399</v>
      </c>
    </row>
    <row r="437" spans="1:11" ht="25.5" x14ac:dyDescent="0.2">
      <c r="A437" s="519" t="s">
        <v>7413</v>
      </c>
      <c r="B437" s="518"/>
      <c r="C437" s="517"/>
      <c r="D437" s="517"/>
      <c r="E437" s="516" t="s">
        <v>7412</v>
      </c>
      <c r="F437" s="513" t="s">
        <v>1242</v>
      </c>
      <c r="G437" s="513">
        <v>9.48</v>
      </c>
      <c r="H437" s="515">
        <v>0</v>
      </c>
      <c r="I437" s="515">
        <v>0</v>
      </c>
      <c r="J437" s="514"/>
      <c r="K437" s="513" t="s">
        <v>399</v>
      </c>
    </row>
    <row r="438" spans="1:11" ht="25.5" x14ac:dyDescent="0.2">
      <c r="A438" s="526" t="s">
        <v>7411</v>
      </c>
      <c r="B438" s="525"/>
      <c r="C438" s="524"/>
      <c r="D438" s="524"/>
      <c r="E438" s="523" t="s">
        <v>7410</v>
      </c>
      <c r="F438" s="520" t="s">
        <v>1242</v>
      </c>
      <c r="G438" s="520">
        <v>3.08</v>
      </c>
      <c r="H438" s="522">
        <v>0</v>
      </c>
      <c r="I438" s="522">
        <v>0</v>
      </c>
      <c r="J438" s="521"/>
      <c r="K438" s="520" t="s">
        <v>399</v>
      </c>
    </row>
    <row r="439" spans="1:11" x14ac:dyDescent="0.2">
      <c r="A439" s="536" t="s">
        <v>7409</v>
      </c>
      <c r="B439" s="535"/>
      <c r="C439" s="534"/>
      <c r="D439" s="534"/>
      <c r="E439" s="534" t="s">
        <v>6932</v>
      </c>
      <c r="F439" s="531"/>
      <c r="G439" s="531"/>
      <c r="H439" s="533"/>
      <c r="I439" s="533">
        <v>0</v>
      </c>
      <c r="J439" s="532"/>
      <c r="K439" s="531" t="s">
        <v>399</v>
      </c>
    </row>
    <row r="440" spans="1:11" x14ac:dyDescent="0.2">
      <c r="A440" s="203" t="s">
        <v>7408</v>
      </c>
      <c r="B440" s="530"/>
      <c r="C440" s="530"/>
      <c r="D440" s="530"/>
      <c r="E440" s="530" t="s">
        <v>7399</v>
      </c>
      <c r="F440" s="527"/>
      <c r="G440" s="527"/>
      <c r="H440" s="529"/>
      <c r="I440" s="529">
        <v>0</v>
      </c>
      <c r="J440" s="528"/>
      <c r="K440" s="527" t="s">
        <v>399</v>
      </c>
    </row>
    <row r="441" spans="1:11" x14ac:dyDescent="0.2">
      <c r="A441" s="519" t="s">
        <v>7407</v>
      </c>
      <c r="B441" s="518"/>
      <c r="C441" s="517"/>
      <c r="D441" s="517"/>
      <c r="E441" s="516" t="s">
        <v>7394</v>
      </c>
      <c r="F441" s="513" t="s">
        <v>1242</v>
      </c>
      <c r="G441" s="513">
        <v>407.37</v>
      </c>
      <c r="H441" s="515">
        <v>0</v>
      </c>
      <c r="I441" s="515">
        <v>0</v>
      </c>
      <c r="J441" s="514"/>
      <c r="K441" s="513" t="s">
        <v>399</v>
      </c>
    </row>
    <row r="442" spans="1:11" x14ac:dyDescent="0.2">
      <c r="A442" s="203" t="s">
        <v>7406</v>
      </c>
      <c r="B442" s="530"/>
      <c r="C442" s="530"/>
      <c r="D442" s="530"/>
      <c r="E442" s="530" t="s">
        <v>7396</v>
      </c>
      <c r="F442" s="527"/>
      <c r="G442" s="527"/>
      <c r="H442" s="529"/>
      <c r="I442" s="529">
        <v>0</v>
      </c>
      <c r="J442" s="528"/>
      <c r="K442" s="527" t="s">
        <v>399</v>
      </c>
    </row>
    <row r="443" spans="1:11" x14ac:dyDescent="0.2">
      <c r="A443" s="526" t="s">
        <v>7405</v>
      </c>
      <c r="B443" s="525"/>
      <c r="C443" s="524"/>
      <c r="D443" s="524"/>
      <c r="E443" s="523" t="s">
        <v>7394</v>
      </c>
      <c r="F443" s="520" t="s">
        <v>1242</v>
      </c>
      <c r="G443" s="520">
        <v>407.37</v>
      </c>
      <c r="H443" s="522">
        <v>0</v>
      </c>
      <c r="I443" s="522">
        <v>0</v>
      </c>
      <c r="J443" s="521"/>
      <c r="K443" s="520" t="s">
        <v>399</v>
      </c>
    </row>
    <row r="444" spans="1:11" x14ac:dyDescent="0.2">
      <c r="A444" s="203" t="s">
        <v>7404</v>
      </c>
      <c r="B444" s="530"/>
      <c r="C444" s="530"/>
      <c r="D444" s="530"/>
      <c r="E444" s="530" t="s">
        <v>7392</v>
      </c>
      <c r="F444" s="527"/>
      <c r="G444" s="527"/>
      <c r="H444" s="529"/>
      <c r="I444" s="529">
        <v>0</v>
      </c>
      <c r="J444" s="528"/>
      <c r="K444" s="527" t="s">
        <v>399</v>
      </c>
    </row>
    <row r="445" spans="1:11" x14ac:dyDescent="0.2">
      <c r="A445" s="519" t="s">
        <v>7403</v>
      </c>
      <c r="B445" s="518"/>
      <c r="C445" s="517"/>
      <c r="D445" s="517"/>
      <c r="E445" s="516" t="s">
        <v>7390</v>
      </c>
      <c r="F445" s="513" t="s">
        <v>787</v>
      </c>
      <c r="G445" s="513">
        <v>34.35</v>
      </c>
      <c r="H445" s="515">
        <v>0</v>
      </c>
      <c r="I445" s="515">
        <v>0</v>
      </c>
      <c r="J445" s="514"/>
      <c r="K445" s="513" t="s">
        <v>399</v>
      </c>
    </row>
    <row r="446" spans="1:11" x14ac:dyDescent="0.2">
      <c r="A446" s="526" t="s">
        <v>7402</v>
      </c>
      <c r="B446" s="525"/>
      <c r="C446" s="524"/>
      <c r="D446" s="524"/>
      <c r="E446" s="523" t="s">
        <v>7388</v>
      </c>
      <c r="F446" s="520" t="s">
        <v>787</v>
      </c>
      <c r="G446" s="520">
        <v>71.2</v>
      </c>
      <c r="H446" s="522">
        <v>0</v>
      </c>
      <c r="I446" s="522">
        <v>0</v>
      </c>
      <c r="J446" s="521"/>
      <c r="K446" s="520" t="s">
        <v>399</v>
      </c>
    </row>
    <row r="447" spans="1:11" x14ac:dyDescent="0.2">
      <c r="A447" s="536" t="s">
        <v>7401</v>
      </c>
      <c r="B447" s="535"/>
      <c r="C447" s="534"/>
      <c r="D447" s="534"/>
      <c r="E447" s="534" t="s">
        <v>6881</v>
      </c>
      <c r="F447" s="531"/>
      <c r="G447" s="531"/>
      <c r="H447" s="533"/>
      <c r="I447" s="533">
        <v>0</v>
      </c>
      <c r="J447" s="532"/>
      <c r="K447" s="531" t="s">
        <v>399</v>
      </c>
    </row>
    <row r="448" spans="1:11" x14ac:dyDescent="0.2">
      <c r="A448" s="203" t="s">
        <v>7400</v>
      </c>
      <c r="B448" s="530"/>
      <c r="C448" s="530"/>
      <c r="D448" s="530"/>
      <c r="E448" s="530" t="s">
        <v>7399</v>
      </c>
      <c r="F448" s="527"/>
      <c r="G448" s="527"/>
      <c r="H448" s="529"/>
      <c r="I448" s="529">
        <v>0</v>
      </c>
      <c r="J448" s="528"/>
      <c r="K448" s="527" t="s">
        <v>399</v>
      </c>
    </row>
    <row r="449" spans="1:11" x14ac:dyDescent="0.2">
      <c r="A449" s="519" t="s">
        <v>7398</v>
      </c>
      <c r="B449" s="518"/>
      <c r="C449" s="517"/>
      <c r="D449" s="517"/>
      <c r="E449" s="516" t="s">
        <v>7394</v>
      </c>
      <c r="F449" s="513" t="s">
        <v>1242</v>
      </c>
      <c r="G449" s="513">
        <v>382.05</v>
      </c>
      <c r="H449" s="515">
        <v>0</v>
      </c>
      <c r="I449" s="515">
        <v>0</v>
      </c>
      <c r="J449" s="514"/>
      <c r="K449" s="513" t="s">
        <v>399</v>
      </c>
    </row>
    <row r="450" spans="1:11" x14ac:dyDescent="0.2">
      <c r="A450" s="203" t="s">
        <v>7397</v>
      </c>
      <c r="B450" s="530"/>
      <c r="C450" s="530"/>
      <c r="D450" s="530"/>
      <c r="E450" s="530" t="s">
        <v>7396</v>
      </c>
      <c r="F450" s="527"/>
      <c r="G450" s="527"/>
      <c r="H450" s="529"/>
      <c r="I450" s="529">
        <v>0</v>
      </c>
      <c r="J450" s="528"/>
      <c r="K450" s="527" t="s">
        <v>399</v>
      </c>
    </row>
    <row r="451" spans="1:11" x14ac:dyDescent="0.2">
      <c r="A451" s="526" t="s">
        <v>7395</v>
      </c>
      <c r="B451" s="525"/>
      <c r="C451" s="524"/>
      <c r="D451" s="524"/>
      <c r="E451" s="523" t="s">
        <v>7394</v>
      </c>
      <c r="F451" s="520" t="s">
        <v>1242</v>
      </c>
      <c r="G451" s="520">
        <v>382.05</v>
      </c>
      <c r="H451" s="522">
        <v>0</v>
      </c>
      <c r="I451" s="522">
        <v>0</v>
      </c>
      <c r="J451" s="521"/>
      <c r="K451" s="520" t="s">
        <v>399</v>
      </c>
    </row>
    <row r="452" spans="1:11" x14ac:dyDescent="0.2">
      <c r="A452" s="203" t="s">
        <v>7393</v>
      </c>
      <c r="B452" s="530"/>
      <c r="C452" s="530"/>
      <c r="D452" s="530"/>
      <c r="E452" s="530" t="s">
        <v>7392</v>
      </c>
      <c r="F452" s="527"/>
      <c r="G452" s="527"/>
      <c r="H452" s="529"/>
      <c r="I452" s="529">
        <v>0</v>
      </c>
      <c r="J452" s="528"/>
      <c r="K452" s="527" t="s">
        <v>399</v>
      </c>
    </row>
    <row r="453" spans="1:11" x14ac:dyDescent="0.2">
      <c r="A453" s="519" t="s">
        <v>7391</v>
      </c>
      <c r="B453" s="518"/>
      <c r="C453" s="517"/>
      <c r="D453" s="517"/>
      <c r="E453" s="516" t="s">
        <v>7390</v>
      </c>
      <c r="F453" s="513" t="s">
        <v>787</v>
      </c>
      <c r="G453" s="513">
        <v>46.67</v>
      </c>
      <c r="H453" s="515">
        <v>0</v>
      </c>
      <c r="I453" s="515">
        <v>0</v>
      </c>
      <c r="J453" s="514"/>
      <c r="K453" s="513" t="s">
        <v>399</v>
      </c>
    </row>
    <row r="454" spans="1:11" x14ac:dyDescent="0.2">
      <c r="A454" s="526" t="s">
        <v>7389</v>
      </c>
      <c r="B454" s="525"/>
      <c r="C454" s="524"/>
      <c r="D454" s="524"/>
      <c r="E454" s="523" t="s">
        <v>7388</v>
      </c>
      <c r="F454" s="520" t="s">
        <v>787</v>
      </c>
      <c r="G454" s="520">
        <v>31.37</v>
      </c>
      <c r="H454" s="522">
        <v>0</v>
      </c>
      <c r="I454" s="522">
        <v>0</v>
      </c>
      <c r="J454" s="521"/>
      <c r="K454" s="520" t="s">
        <v>399</v>
      </c>
    </row>
    <row r="455" spans="1:11" x14ac:dyDescent="0.2">
      <c r="A455" s="542" t="s">
        <v>7387</v>
      </c>
      <c r="B455" s="541"/>
      <c r="C455" s="540"/>
      <c r="D455" s="540"/>
      <c r="E455" s="540" t="s">
        <v>7386</v>
      </c>
      <c r="F455" s="537"/>
      <c r="G455" s="537"/>
      <c r="H455" s="539"/>
      <c r="I455" s="539">
        <v>0</v>
      </c>
      <c r="J455" s="538"/>
      <c r="K455" s="537" t="s">
        <v>399</v>
      </c>
    </row>
    <row r="456" spans="1:11" x14ac:dyDescent="0.2">
      <c r="A456" s="536" t="s">
        <v>7385</v>
      </c>
      <c r="B456" s="535"/>
      <c r="C456" s="534"/>
      <c r="D456" s="534"/>
      <c r="E456" s="534" t="s">
        <v>6806</v>
      </c>
      <c r="F456" s="531"/>
      <c r="G456" s="531"/>
      <c r="H456" s="533"/>
      <c r="I456" s="533">
        <v>0</v>
      </c>
      <c r="J456" s="532"/>
      <c r="K456" s="531" t="s">
        <v>399</v>
      </c>
    </row>
    <row r="457" spans="1:11" x14ac:dyDescent="0.2">
      <c r="A457" s="203" t="s">
        <v>7384</v>
      </c>
      <c r="B457" s="530"/>
      <c r="C457" s="530"/>
      <c r="D457" s="530"/>
      <c r="E457" s="530" t="s">
        <v>7377</v>
      </c>
      <c r="F457" s="527"/>
      <c r="G457" s="527"/>
      <c r="H457" s="529"/>
      <c r="I457" s="529">
        <v>0</v>
      </c>
      <c r="J457" s="528"/>
      <c r="K457" s="527" t="s">
        <v>399</v>
      </c>
    </row>
    <row r="458" spans="1:11" x14ac:dyDescent="0.2">
      <c r="A458" s="519" t="s">
        <v>7383</v>
      </c>
      <c r="B458" s="518"/>
      <c r="C458" s="517"/>
      <c r="D458" s="517"/>
      <c r="E458" s="516" t="s">
        <v>7375</v>
      </c>
      <c r="F458" s="513" t="s">
        <v>1242</v>
      </c>
      <c r="G458" s="513">
        <v>28.78</v>
      </c>
      <c r="H458" s="515">
        <v>0</v>
      </c>
      <c r="I458" s="515">
        <v>0</v>
      </c>
      <c r="J458" s="514"/>
      <c r="K458" s="513" t="s">
        <v>399</v>
      </c>
    </row>
    <row r="459" spans="1:11" x14ac:dyDescent="0.2">
      <c r="A459" s="536" t="s">
        <v>7382</v>
      </c>
      <c r="B459" s="535"/>
      <c r="C459" s="534"/>
      <c r="D459" s="534"/>
      <c r="E459" s="534" t="s">
        <v>6932</v>
      </c>
      <c r="F459" s="531"/>
      <c r="G459" s="531"/>
      <c r="H459" s="533"/>
      <c r="I459" s="533">
        <v>0</v>
      </c>
      <c r="J459" s="532"/>
      <c r="K459" s="531" t="s">
        <v>399</v>
      </c>
    </row>
    <row r="460" spans="1:11" x14ac:dyDescent="0.2">
      <c r="A460" s="203" t="s">
        <v>7381</v>
      </c>
      <c r="B460" s="530"/>
      <c r="C460" s="530"/>
      <c r="D460" s="530"/>
      <c r="E460" s="530" t="s">
        <v>7377</v>
      </c>
      <c r="F460" s="527"/>
      <c r="G460" s="527"/>
      <c r="H460" s="529"/>
      <c r="I460" s="529">
        <v>0</v>
      </c>
      <c r="J460" s="528"/>
      <c r="K460" s="527" t="s">
        <v>399</v>
      </c>
    </row>
    <row r="461" spans="1:11" x14ac:dyDescent="0.2">
      <c r="A461" s="526" t="s">
        <v>7380</v>
      </c>
      <c r="B461" s="525"/>
      <c r="C461" s="524"/>
      <c r="D461" s="524"/>
      <c r="E461" s="523" t="s">
        <v>7375</v>
      </c>
      <c r="F461" s="520" t="s">
        <v>1242</v>
      </c>
      <c r="G461" s="520">
        <v>4.0599999999999996</v>
      </c>
      <c r="H461" s="522">
        <v>0</v>
      </c>
      <c r="I461" s="522">
        <v>0</v>
      </c>
      <c r="J461" s="521"/>
      <c r="K461" s="520" t="s">
        <v>399</v>
      </c>
    </row>
    <row r="462" spans="1:11" x14ac:dyDescent="0.2">
      <c r="A462" s="536" t="s">
        <v>7379</v>
      </c>
      <c r="B462" s="535"/>
      <c r="C462" s="534"/>
      <c r="D462" s="534"/>
      <c r="E462" s="534" t="s">
        <v>6881</v>
      </c>
      <c r="F462" s="531"/>
      <c r="G462" s="531"/>
      <c r="H462" s="533"/>
      <c r="I462" s="533">
        <v>0</v>
      </c>
      <c r="J462" s="532"/>
      <c r="K462" s="531" t="s">
        <v>399</v>
      </c>
    </row>
    <row r="463" spans="1:11" x14ac:dyDescent="0.2">
      <c r="A463" s="203" t="s">
        <v>7378</v>
      </c>
      <c r="B463" s="530"/>
      <c r="C463" s="530"/>
      <c r="D463" s="530"/>
      <c r="E463" s="530" t="s">
        <v>7377</v>
      </c>
      <c r="F463" s="527"/>
      <c r="G463" s="527"/>
      <c r="H463" s="529"/>
      <c r="I463" s="529">
        <v>0</v>
      </c>
      <c r="J463" s="528"/>
      <c r="K463" s="527" t="s">
        <v>399</v>
      </c>
    </row>
    <row r="464" spans="1:11" x14ac:dyDescent="0.2">
      <c r="A464" s="519" t="s">
        <v>7376</v>
      </c>
      <c r="B464" s="518"/>
      <c r="C464" s="517"/>
      <c r="D464" s="517"/>
      <c r="E464" s="516" t="s">
        <v>7375</v>
      </c>
      <c r="F464" s="513" t="s">
        <v>1242</v>
      </c>
      <c r="G464" s="513">
        <v>4</v>
      </c>
      <c r="H464" s="515">
        <v>0</v>
      </c>
      <c r="I464" s="515">
        <v>0</v>
      </c>
      <c r="J464" s="514"/>
      <c r="K464" s="513" t="s">
        <v>399</v>
      </c>
    </row>
    <row r="465" spans="1:11" x14ac:dyDescent="0.2">
      <c r="A465" s="542" t="s">
        <v>7374</v>
      </c>
      <c r="B465" s="541"/>
      <c r="C465" s="540"/>
      <c r="D465" s="540"/>
      <c r="E465" s="540" t="s">
        <v>7373</v>
      </c>
      <c r="F465" s="537"/>
      <c r="G465" s="537"/>
      <c r="H465" s="539"/>
      <c r="I465" s="539">
        <v>195719.16182283996</v>
      </c>
      <c r="J465" s="538">
        <v>9.0114985865904062E-3</v>
      </c>
      <c r="K465" s="537" t="s">
        <v>399</v>
      </c>
    </row>
    <row r="466" spans="1:11" x14ac:dyDescent="0.2">
      <c r="A466" s="536" t="s">
        <v>7372</v>
      </c>
      <c r="B466" s="535"/>
      <c r="C466" s="534"/>
      <c r="D466" s="534"/>
      <c r="E466" s="534" t="s">
        <v>6806</v>
      </c>
      <c r="F466" s="531"/>
      <c r="G466" s="531"/>
      <c r="H466" s="533"/>
      <c r="I466" s="533">
        <v>12390.971103439999</v>
      </c>
      <c r="J466" s="532">
        <v>5.7051755967668118E-4</v>
      </c>
      <c r="K466" s="531" t="s">
        <v>399</v>
      </c>
    </row>
    <row r="467" spans="1:11" x14ac:dyDescent="0.2">
      <c r="A467" s="203" t="s">
        <v>7371</v>
      </c>
      <c r="B467" s="530"/>
      <c r="C467" s="530"/>
      <c r="D467" s="530"/>
      <c r="E467" s="530" t="s">
        <v>7243</v>
      </c>
      <c r="F467" s="527"/>
      <c r="G467" s="527"/>
      <c r="H467" s="529"/>
      <c r="I467" s="529">
        <v>1033.1049750000002</v>
      </c>
      <c r="J467" s="528">
        <v>4.756725879727115E-5</v>
      </c>
      <c r="K467" s="527" t="s">
        <v>399</v>
      </c>
    </row>
    <row r="468" spans="1:11" ht="25.5" x14ac:dyDescent="0.2">
      <c r="A468" s="526" t="s">
        <v>7370</v>
      </c>
      <c r="B468" s="525" t="s">
        <v>7260</v>
      </c>
      <c r="C468" s="524" t="s">
        <v>7259</v>
      </c>
      <c r="D468" s="524" t="s">
        <v>7272</v>
      </c>
      <c r="E468" s="523" t="s">
        <v>7271</v>
      </c>
      <c r="F468" s="520" t="s">
        <v>641</v>
      </c>
      <c r="G468" s="520">
        <v>183.19</v>
      </c>
      <c r="H468" s="522">
        <v>1.3365</v>
      </c>
      <c r="I468" s="522">
        <v>244.83343500000001</v>
      </c>
      <c r="J468" s="521">
        <v>1.1272867372330543E-5</v>
      </c>
      <c r="K468" s="520" t="s">
        <v>399</v>
      </c>
    </row>
    <row r="469" spans="1:11" ht="25.5" x14ac:dyDescent="0.2">
      <c r="A469" s="519" t="s">
        <v>7369</v>
      </c>
      <c r="B469" s="518" t="s">
        <v>7260</v>
      </c>
      <c r="C469" s="517" t="s">
        <v>7259</v>
      </c>
      <c r="D469" s="517" t="s">
        <v>7269</v>
      </c>
      <c r="E469" s="516" t="s">
        <v>7268</v>
      </c>
      <c r="F469" s="513" t="s">
        <v>641</v>
      </c>
      <c r="G469" s="513">
        <v>143.27000000000001</v>
      </c>
      <c r="H469" s="515">
        <v>5.5019999999999998</v>
      </c>
      <c r="I469" s="515">
        <v>788.27154000000007</v>
      </c>
      <c r="J469" s="514">
        <v>3.6294391424940598E-5</v>
      </c>
      <c r="K469" s="513" t="s">
        <v>399</v>
      </c>
    </row>
    <row r="470" spans="1:11" ht="25.5" x14ac:dyDescent="0.2">
      <c r="A470" s="526" t="s">
        <v>7368</v>
      </c>
      <c r="B470" s="525"/>
      <c r="C470" s="524"/>
      <c r="D470" s="524"/>
      <c r="E470" s="523" t="s">
        <v>7351</v>
      </c>
      <c r="F470" s="520" t="s">
        <v>1242</v>
      </c>
      <c r="G470" s="520">
        <v>326.45999999999998</v>
      </c>
      <c r="H470" s="522">
        <v>0</v>
      </c>
      <c r="I470" s="522">
        <v>0</v>
      </c>
      <c r="J470" s="521"/>
      <c r="K470" s="520" t="s">
        <v>399</v>
      </c>
    </row>
    <row r="471" spans="1:11" x14ac:dyDescent="0.2">
      <c r="A471" s="203" t="s">
        <v>7367</v>
      </c>
      <c r="B471" s="530"/>
      <c r="C471" s="530"/>
      <c r="D471" s="530"/>
      <c r="E471" s="530" t="s">
        <v>7228</v>
      </c>
      <c r="F471" s="527"/>
      <c r="G471" s="527"/>
      <c r="H471" s="529"/>
      <c r="I471" s="529">
        <v>11357.86612844</v>
      </c>
      <c r="J471" s="528">
        <v>5.2295030087941014E-4</v>
      </c>
      <c r="K471" s="527" t="s">
        <v>399</v>
      </c>
    </row>
    <row r="472" spans="1:11" ht="25.5" x14ac:dyDescent="0.2">
      <c r="A472" s="519" t="s">
        <v>7366</v>
      </c>
      <c r="B472" s="518" t="s">
        <v>7260</v>
      </c>
      <c r="C472" s="517" t="s">
        <v>7259</v>
      </c>
      <c r="D472" s="517" t="s">
        <v>7263</v>
      </c>
      <c r="E472" s="516" t="s">
        <v>7262</v>
      </c>
      <c r="F472" s="513" t="s">
        <v>641</v>
      </c>
      <c r="G472" s="513">
        <v>326.45999999999998</v>
      </c>
      <c r="H472" s="515">
        <v>17.209589999999999</v>
      </c>
      <c r="I472" s="515">
        <v>5618.2427513999992</v>
      </c>
      <c r="J472" s="514">
        <v>2.5868078598860337E-4</v>
      </c>
      <c r="K472" s="513" t="s">
        <v>399</v>
      </c>
    </row>
    <row r="473" spans="1:11" ht="25.5" x14ac:dyDescent="0.2">
      <c r="A473" s="526" t="s">
        <v>7365</v>
      </c>
      <c r="B473" s="525" t="s">
        <v>7260</v>
      </c>
      <c r="C473" s="524" t="s">
        <v>7259</v>
      </c>
      <c r="D473" s="524" t="s">
        <v>7258</v>
      </c>
      <c r="E473" s="523" t="s">
        <v>7257</v>
      </c>
      <c r="F473" s="520" t="s">
        <v>641</v>
      </c>
      <c r="G473" s="520">
        <v>326.38</v>
      </c>
      <c r="H473" s="522">
        <v>17.585708</v>
      </c>
      <c r="I473" s="522">
        <v>5739.6233770400004</v>
      </c>
      <c r="J473" s="521">
        <v>2.6426951489080678E-4</v>
      </c>
      <c r="K473" s="520" t="s">
        <v>399</v>
      </c>
    </row>
    <row r="474" spans="1:11" x14ac:dyDescent="0.2">
      <c r="A474" s="536" t="s">
        <v>7364</v>
      </c>
      <c r="B474" s="535"/>
      <c r="C474" s="534"/>
      <c r="D474" s="534"/>
      <c r="E474" s="534" t="s">
        <v>6932</v>
      </c>
      <c r="F474" s="531"/>
      <c r="G474" s="531"/>
      <c r="H474" s="533"/>
      <c r="I474" s="533">
        <v>90069.647775799996</v>
      </c>
      <c r="J474" s="532">
        <v>4.1470773534224197E-3</v>
      </c>
      <c r="K474" s="531" t="s">
        <v>399</v>
      </c>
    </row>
    <row r="475" spans="1:11" x14ac:dyDescent="0.2">
      <c r="A475" s="203" t="s">
        <v>7363</v>
      </c>
      <c r="B475" s="530"/>
      <c r="C475" s="530"/>
      <c r="D475" s="530"/>
      <c r="E475" s="530" t="s">
        <v>7243</v>
      </c>
      <c r="F475" s="527"/>
      <c r="G475" s="527"/>
      <c r="H475" s="529"/>
      <c r="I475" s="529">
        <v>6661.8389399999996</v>
      </c>
      <c r="J475" s="528">
        <v>3.0673109179899015E-4</v>
      </c>
      <c r="K475" s="527" t="s">
        <v>399</v>
      </c>
    </row>
    <row r="476" spans="1:11" ht="25.5" x14ac:dyDescent="0.2">
      <c r="A476" s="519" t="s">
        <v>7362</v>
      </c>
      <c r="B476" s="518" t="s">
        <v>7260</v>
      </c>
      <c r="C476" s="517" t="s">
        <v>7259</v>
      </c>
      <c r="D476" s="517" t="s">
        <v>7272</v>
      </c>
      <c r="E476" s="516" t="s">
        <v>7271</v>
      </c>
      <c r="F476" s="513" t="s">
        <v>641</v>
      </c>
      <c r="G476" s="513">
        <v>1566.92</v>
      </c>
      <c r="H476" s="515">
        <v>1.3365</v>
      </c>
      <c r="I476" s="515">
        <v>2094.18858</v>
      </c>
      <c r="J476" s="514">
        <v>9.6422737829860664E-5</v>
      </c>
      <c r="K476" s="513" t="s">
        <v>399</v>
      </c>
    </row>
    <row r="477" spans="1:11" ht="25.5" x14ac:dyDescent="0.2">
      <c r="A477" s="526" t="s">
        <v>7361</v>
      </c>
      <c r="B477" s="525" t="s">
        <v>7260</v>
      </c>
      <c r="C477" s="524" t="s">
        <v>7259</v>
      </c>
      <c r="D477" s="524" t="s">
        <v>7269</v>
      </c>
      <c r="E477" s="523" t="s">
        <v>7268</v>
      </c>
      <c r="F477" s="520" t="s">
        <v>641</v>
      </c>
      <c r="G477" s="520">
        <v>830.18</v>
      </c>
      <c r="H477" s="522">
        <v>5.5019999999999998</v>
      </c>
      <c r="I477" s="522">
        <v>4567.6503599999996</v>
      </c>
      <c r="J477" s="521">
        <v>2.1030835396912949E-4</v>
      </c>
      <c r="K477" s="520" t="s">
        <v>399</v>
      </c>
    </row>
    <row r="478" spans="1:11" ht="25.5" x14ac:dyDescent="0.2">
      <c r="A478" s="519" t="s">
        <v>7360</v>
      </c>
      <c r="B478" s="518"/>
      <c r="C478" s="517"/>
      <c r="D478" s="517"/>
      <c r="E478" s="516" t="s">
        <v>7351</v>
      </c>
      <c r="F478" s="513" t="s">
        <v>1242</v>
      </c>
      <c r="G478" s="513">
        <v>2397.1</v>
      </c>
      <c r="H478" s="515">
        <v>0</v>
      </c>
      <c r="I478" s="515">
        <v>0</v>
      </c>
      <c r="J478" s="514"/>
      <c r="K478" s="513" t="s">
        <v>399</v>
      </c>
    </row>
    <row r="479" spans="1:11" x14ac:dyDescent="0.2">
      <c r="A479" s="203" t="s">
        <v>7359</v>
      </c>
      <c r="B479" s="530"/>
      <c r="C479" s="530"/>
      <c r="D479" s="530"/>
      <c r="E479" s="530" t="s">
        <v>7228</v>
      </c>
      <c r="F479" s="527"/>
      <c r="G479" s="527"/>
      <c r="H479" s="529"/>
      <c r="I479" s="529">
        <v>83407.808835799995</v>
      </c>
      <c r="J479" s="528">
        <v>3.8403462616234296E-3</v>
      </c>
      <c r="K479" s="527" t="s">
        <v>399</v>
      </c>
    </row>
    <row r="480" spans="1:11" ht="25.5" x14ac:dyDescent="0.2">
      <c r="A480" s="526" t="s">
        <v>7358</v>
      </c>
      <c r="B480" s="525" t="s">
        <v>7260</v>
      </c>
      <c r="C480" s="524" t="s">
        <v>7259</v>
      </c>
      <c r="D480" s="524" t="s">
        <v>7263</v>
      </c>
      <c r="E480" s="523" t="s">
        <v>7262</v>
      </c>
      <c r="F480" s="520" t="s">
        <v>641</v>
      </c>
      <c r="G480" s="520">
        <v>2397.1</v>
      </c>
      <c r="H480" s="522">
        <v>17.209589999999999</v>
      </c>
      <c r="I480" s="522">
        <v>41253.108188999999</v>
      </c>
      <c r="J480" s="521">
        <v>1.8994171172372761E-3</v>
      </c>
      <c r="K480" s="520" t="s">
        <v>399</v>
      </c>
    </row>
    <row r="481" spans="1:11" ht="25.5" x14ac:dyDescent="0.2">
      <c r="A481" s="519" t="s">
        <v>7357</v>
      </c>
      <c r="B481" s="518" t="s">
        <v>7260</v>
      </c>
      <c r="C481" s="517" t="s">
        <v>7259</v>
      </c>
      <c r="D481" s="517" t="s">
        <v>7258</v>
      </c>
      <c r="E481" s="516" t="s">
        <v>7257</v>
      </c>
      <c r="F481" s="513" t="s">
        <v>641</v>
      </c>
      <c r="G481" s="513">
        <v>2397.1</v>
      </c>
      <c r="H481" s="515">
        <v>17.585708</v>
      </c>
      <c r="I481" s="515">
        <v>42154.700646799996</v>
      </c>
      <c r="J481" s="514">
        <v>1.9409291443861535E-3</v>
      </c>
      <c r="K481" s="513" t="s">
        <v>399</v>
      </c>
    </row>
    <row r="482" spans="1:11" x14ac:dyDescent="0.2">
      <c r="A482" s="536" t="s">
        <v>7356</v>
      </c>
      <c r="B482" s="535"/>
      <c r="C482" s="534"/>
      <c r="D482" s="534"/>
      <c r="E482" s="534" t="s">
        <v>6881</v>
      </c>
      <c r="F482" s="531"/>
      <c r="G482" s="531"/>
      <c r="H482" s="533"/>
      <c r="I482" s="533">
        <v>93258.542943599983</v>
      </c>
      <c r="J482" s="532">
        <v>4.293903673491307E-3</v>
      </c>
      <c r="K482" s="531" t="s">
        <v>399</v>
      </c>
    </row>
    <row r="483" spans="1:11" x14ac:dyDescent="0.2">
      <c r="A483" s="203" t="s">
        <v>7355</v>
      </c>
      <c r="B483" s="530"/>
      <c r="C483" s="530"/>
      <c r="D483" s="530"/>
      <c r="E483" s="530" t="s">
        <v>7243</v>
      </c>
      <c r="F483" s="527"/>
      <c r="G483" s="527"/>
      <c r="H483" s="529"/>
      <c r="I483" s="529">
        <v>7202.8119299999998</v>
      </c>
      <c r="J483" s="528">
        <v>3.3163911454630446E-4</v>
      </c>
      <c r="K483" s="527" t="s">
        <v>399</v>
      </c>
    </row>
    <row r="484" spans="1:11" ht="25.5" x14ac:dyDescent="0.2">
      <c r="A484" s="526" t="s">
        <v>7354</v>
      </c>
      <c r="B484" s="525" t="s">
        <v>7260</v>
      </c>
      <c r="C484" s="524" t="s">
        <v>7259</v>
      </c>
      <c r="D484" s="524" t="s">
        <v>7272</v>
      </c>
      <c r="E484" s="523" t="s">
        <v>7271</v>
      </c>
      <c r="F484" s="520" t="s">
        <v>641</v>
      </c>
      <c r="G484" s="520">
        <v>1537.58</v>
      </c>
      <c r="H484" s="522">
        <v>1.3365</v>
      </c>
      <c r="I484" s="522">
        <v>2054.9756699999998</v>
      </c>
      <c r="J484" s="521">
        <v>9.4617257570544217E-5</v>
      </c>
      <c r="K484" s="520" t="s">
        <v>399</v>
      </c>
    </row>
    <row r="485" spans="1:11" ht="25.5" x14ac:dyDescent="0.2">
      <c r="A485" s="519" t="s">
        <v>7353</v>
      </c>
      <c r="B485" s="518" t="s">
        <v>7260</v>
      </c>
      <c r="C485" s="517" t="s">
        <v>7259</v>
      </c>
      <c r="D485" s="517" t="s">
        <v>7269</v>
      </c>
      <c r="E485" s="516" t="s">
        <v>7268</v>
      </c>
      <c r="F485" s="513" t="s">
        <v>641</v>
      </c>
      <c r="G485" s="513">
        <v>935.63</v>
      </c>
      <c r="H485" s="515">
        <v>5.5019999999999998</v>
      </c>
      <c r="I485" s="515">
        <v>5147.83626</v>
      </c>
      <c r="J485" s="514">
        <v>2.3702185697576023E-4</v>
      </c>
      <c r="K485" s="513" t="s">
        <v>399</v>
      </c>
    </row>
    <row r="486" spans="1:11" ht="25.5" x14ac:dyDescent="0.2">
      <c r="A486" s="526" t="s">
        <v>7352</v>
      </c>
      <c r="B486" s="525"/>
      <c r="C486" s="524"/>
      <c r="D486" s="524"/>
      <c r="E486" s="523" t="s">
        <v>7351</v>
      </c>
      <c r="F486" s="520" t="s">
        <v>1242</v>
      </c>
      <c r="G486" s="520">
        <v>2473.1999999999998</v>
      </c>
      <c r="H486" s="522">
        <v>0</v>
      </c>
      <c r="I486" s="522">
        <v>0</v>
      </c>
      <c r="J486" s="521"/>
      <c r="K486" s="520" t="s">
        <v>399</v>
      </c>
    </row>
    <row r="487" spans="1:11" x14ac:dyDescent="0.2">
      <c r="A487" s="203" t="s">
        <v>7350</v>
      </c>
      <c r="B487" s="530"/>
      <c r="C487" s="530"/>
      <c r="D487" s="530"/>
      <c r="E487" s="530" t="s">
        <v>7228</v>
      </c>
      <c r="F487" s="527"/>
      <c r="G487" s="527"/>
      <c r="H487" s="529"/>
      <c r="I487" s="529">
        <v>86055.731013599987</v>
      </c>
      <c r="J487" s="528">
        <v>3.9622645589450023E-3</v>
      </c>
      <c r="K487" s="527" t="s">
        <v>399</v>
      </c>
    </row>
    <row r="488" spans="1:11" ht="25.5" x14ac:dyDescent="0.2">
      <c r="A488" s="519" t="s">
        <v>7349</v>
      </c>
      <c r="B488" s="518" t="s">
        <v>7260</v>
      </c>
      <c r="C488" s="517" t="s">
        <v>7259</v>
      </c>
      <c r="D488" s="517" t="s">
        <v>7263</v>
      </c>
      <c r="E488" s="516" t="s">
        <v>7262</v>
      </c>
      <c r="F488" s="513" t="s">
        <v>641</v>
      </c>
      <c r="G488" s="513">
        <v>2473.1999999999998</v>
      </c>
      <c r="H488" s="515">
        <v>17.209589999999999</v>
      </c>
      <c r="I488" s="515">
        <v>42562.75798799999</v>
      </c>
      <c r="J488" s="514">
        <v>1.9597173310880772E-3</v>
      </c>
      <c r="K488" s="513" t="s">
        <v>399</v>
      </c>
    </row>
    <row r="489" spans="1:11" ht="25.5" x14ac:dyDescent="0.2">
      <c r="A489" s="526" t="s">
        <v>7348</v>
      </c>
      <c r="B489" s="525" t="s">
        <v>7260</v>
      </c>
      <c r="C489" s="524" t="s">
        <v>7259</v>
      </c>
      <c r="D489" s="524" t="s">
        <v>7258</v>
      </c>
      <c r="E489" s="523" t="s">
        <v>7257</v>
      </c>
      <c r="F489" s="520" t="s">
        <v>641</v>
      </c>
      <c r="G489" s="520">
        <v>2473.1999999999998</v>
      </c>
      <c r="H489" s="522">
        <v>17.585708</v>
      </c>
      <c r="I489" s="522">
        <v>43492.973025599997</v>
      </c>
      <c r="J489" s="521">
        <v>2.0025472278569251E-3</v>
      </c>
      <c r="K489" s="520" t="s">
        <v>399</v>
      </c>
    </row>
    <row r="490" spans="1:11" x14ac:dyDescent="0.2">
      <c r="A490" s="542" t="s">
        <v>7347</v>
      </c>
      <c r="B490" s="541"/>
      <c r="C490" s="540"/>
      <c r="D490" s="540"/>
      <c r="E490" s="540" t="s">
        <v>7346</v>
      </c>
      <c r="F490" s="537"/>
      <c r="G490" s="537"/>
      <c r="H490" s="539"/>
      <c r="I490" s="539">
        <v>203296.41392426001</v>
      </c>
      <c r="J490" s="538">
        <v>9.360378052281116E-3</v>
      </c>
      <c r="K490" s="537" t="s">
        <v>399</v>
      </c>
    </row>
    <row r="491" spans="1:11" x14ac:dyDescent="0.2">
      <c r="A491" s="536" t="s">
        <v>7345</v>
      </c>
      <c r="B491" s="535"/>
      <c r="C491" s="534"/>
      <c r="D491" s="534"/>
      <c r="E491" s="534" t="s">
        <v>6806</v>
      </c>
      <c r="F491" s="531"/>
      <c r="G491" s="531"/>
      <c r="H491" s="533"/>
      <c r="I491" s="533">
        <v>11384.83789776</v>
      </c>
      <c r="J491" s="532">
        <v>5.2419216222216933E-4</v>
      </c>
      <c r="K491" s="531" t="s">
        <v>399</v>
      </c>
    </row>
    <row r="492" spans="1:11" x14ac:dyDescent="0.2">
      <c r="A492" s="203" t="s">
        <v>7344</v>
      </c>
      <c r="B492" s="530"/>
      <c r="C492" s="530"/>
      <c r="D492" s="530"/>
      <c r="E492" s="530" t="s">
        <v>7243</v>
      </c>
      <c r="F492" s="527"/>
      <c r="G492" s="527"/>
      <c r="H492" s="529"/>
      <c r="I492" s="529">
        <v>1051.982205</v>
      </c>
      <c r="J492" s="528">
        <v>4.8436423215713331E-5</v>
      </c>
      <c r="K492" s="527" t="s">
        <v>399</v>
      </c>
    </row>
    <row r="493" spans="1:11" ht="25.5" x14ac:dyDescent="0.2">
      <c r="A493" s="519" t="s">
        <v>7343</v>
      </c>
      <c r="B493" s="518" t="s">
        <v>7260</v>
      </c>
      <c r="C493" s="517" t="s">
        <v>7259</v>
      </c>
      <c r="D493" s="517" t="s">
        <v>7272</v>
      </c>
      <c r="E493" s="516" t="s">
        <v>7271</v>
      </c>
      <c r="F493" s="513" t="s">
        <v>641</v>
      </c>
      <c r="G493" s="513">
        <v>169.65</v>
      </c>
      <c r="H493" s="515">
        <v>1.3365</v>
      </c>
      <c r="I493" s="515">
        <v>226.73722500000002</v>
      </c>
      <c r="J493" s="514">
        <v>1.0439663462611916E-5</v>
      </c>
      <c r="K493" s="513" t="s">
        <v>399</v>
      </c>
    </row>
    <row r="494" spans="1:11" ht="25.5" x14ac:dyDescent="0.2">
      <c r="A494" s="526" t="s">
        <v>7342</v>
      </c>
      <c r="B494" s="525" t="s">
        <v>7260</v>
      </c>
      <c r="C494" s="524" t="s">
        <v>7259</v>
      </c>
      <c r="D494" s="524" t="s">
        <v>7269</v>
      </c>
      <c r="E494" s="523" t="s">
        <v>7268</v>
      </c>
      <c r="F494" s="520" t="s">
        <v>641</v>
      </c>
      <c r="G494" s="520">
        <v>149.99</v>
      </c>
      <c r="H494" s="522">
        <v>5.5019999999999998</v>
      </c>
      <c r="I494" s="522">
        <v>825.24498000000006</v>
      </c>
      <c r="J494" s="521">
        <v>3.7996759753101421E-5</v>
      </c>
      <c r="K494" s="520" t="s">
        <v>399</v>
      </c>
    </row>
    <row r="495" spans="1:11" ht="25.5" x14ac:dyDescent="0.2">
      <c r="A495" s="519" t="s">
        <v>7341</v>
      </c>
      <c r="B495" s="518"/>
      <c r="C495" s="517"/>
      <c r="D495" s="517"/>
      <c r="E495" s="516" t="s">
        <v>7324</v>
      </c>
      <c r="F495" s="513" t="s">
        <v>1242</v>
      </c>
      <c r="G495" s="513">
        <v>319.64</v>
      </c>
      <c r="H495" s="515">
        <v>0</v>
      </c>
      <c r="I495" s="515">
        <v>0</v>
      </c>
      <c r="J495" s="514"/>
      <c r="K495" s="513" t="s">
        <v>399</v>
      </c>
    </row>
    <row r="496" spans="1:11" x14ac:dyDescent="0.2">
      <c r="A496" s="203" t="s">
        <v>7340</v>
      </c>
      <c r="B496" s="530"/>
      <c r="C496" s="530"/>
      <c r="D496" s="530"/>
      <c r="E496" s="530" t="s">
        <v>7228</v>
      </c>
      <c r="F496" s="527"/>
      <c r="G496" s="527"/>
      <c r="H496" s="529"/>
      <c r="I496" s="529">
        <v>10332.85569276</v>
      </c>
      <c r="J496" s="528">
        <v>4.7575573900645603E-4</v>
      </c>
      <c r="K496" s="527" t="s">
        <v>399</v>
      </c>
    </row>
    <row r="497" spans="1:11" ht="25.5" x14ac:dyDescent="0.2">
      <c r="A497" s="526" t="s">
        <v>7339</v>
      </c>
      <c r="B497" s="525" t="s">
        <v>7260</v>
      </c>
      <c r="C497" s="524" t="s">
        <v>7259</v>
      </c>
      <c r="D497" s="524" t="s">
        <v>7263</v>
      </c>
      <c r="E497" s="523" t="s">
        <v>7262</v>
      </c>
      <c r="F497" s="520" t="s">
        <v>641</v>
      </c>
      <c r="G497" s="520">
        <v>312.74</v>
      </c>
      <c r="H497" s="522">
        <v>17.209589999999999</v>
      </c>
      <c r="I497" s="522">
        <v>5382.1271766</v>
      </c>
      <c r="J497" s="521">
        <v>2.4780931510774929E-4</v>
      </c>
      <c r="K497" s="520" t="s">
        <v>399</v>
      </c>
    </row>
    <row r="498" spans="1:11" ht="25.5" x14ac:dyDescent="0.2">
      <c r="A498" s="519" t="s">
        <v>7338</v>
      </c>
      <c r="B498" s="518" t="s">
        <v>7260</v>
      </c>
      <c r="C498" s="517" t="s">
        <v>7259</v>
      </c>
      <c r="D498" s="517" t="s">
        <v>7258</v>
      </c>
      <c r="E498" s="516" t="s">
        <v>7257</v>
      </c>
      <c r="F498" s="513" t="s">
        <v>641</v>
      </c>
      <c r="G498" s="513">
        <v>281.52</v>
      </c>
      <c r="H498" s="515">
        <v>17.585708</v>
      </c>
      <c r="I498" s="515">
        <v>4950.7285161599993</v>
      </c>
      <c r="J498" s="514">
        <v>2.2794642389870672E-4</v>
      </c>
      <c r="K498" s="513" t="s">
        <v>399</v>
      </c>
    </row>
    <row r="499" spans="1:11" x14ac:dyDescent="0.2">
      <c r="A499" s="536" t="s">
        <v>7337</v>
      </c>
      <c r="B499" s="535"/>
      <c r="C499" s="534"/>
      <c r="D499" s="534"/>
      <c r="E499" s="534" t="s">
        <v>6932</v>
      </c>
      <c r="F499" s="531"/>
      <c r="G499" s="531"/>
      <c r="H499" s="533"/>
      <c r="I499" s="533">
        <v>101002.65278675999</v>
      </c>
      <c r="J499" s="532">
        <v>4.6504657712240051E-3</v>
      </c>
      <c r="K499" s="531" t="s">
        <v>399</v>
      </c>
    </row>
    <row r="500" spans="1:11" x14ac:dyDescent="0.2">
      <c r="A500" s="203" t="s">
        <v>7336</v>
      </c>
      <c r="B500" s="530"/>
      <c r="C500" s="530"/>
      <c r="D500" s="530"/>
      <c r="E500" s="530" t="s">
        <v>7243</v>
      </c>
      <c r="F500" s="527"/>
      <c r="G500" s="527"/>
      <c r="H500" s="529"/>
      <c r="I500" s="529">
        <v>7416.5233800000005</v>
      </c>
      <c r="J500" s="528">
        <v>3.4147903216947737E-4</v>
      </c>
      <c r="K500" s="527" t="s">
        <v>399</v>
      </c>
    </row>
    <row r="501" spans="1:11" ht="25.5" x14ac:dyDescent="0.2">
      <c r="A501" s="526" t="s">
        <v>7335</v>
      </c>
      <c r="B501" s="525" t="s">
        <v>7260</v>
      </c>
      <c r="C501" s="524" t="s">
        <v>7259</v>
      </c>
      <c r="D501" s="524" t="s">
        <v>7272</v>
      </c>
      <c r="E501" s="523" t="s">
        <v>7271</v>
      </c>
      <c r="F501" s="520" t="s">
        <v>641</v>
      </c>
      <c r="G501" s="520">
        <v>1772.12</v>
      </c>
      <c r="H501" s="522">
        <v>1.3365</v>
      </c>
      <c r="I501" s="522">
        <v>2368.4383800000001</v>
      </c>
      <c r="J501" s="521">
        <v>1.0905002307906765E-4</v>
      </c>
      <c r="K501" s="520" t="s">
        <v>399</v>
      </c>
    </row>
    <row r="502" spans="1:11" ht="25.5" x14ac:dyDescent="0.2">
      <c r="A502" s="519" t="s">
        <v>7334</v>
      </c>
      <c r="B502" s="518" t="s">
        <v>7260</v>
      </c>
      <c r="C502" s="517" t="s">
        <v>7259</v>
      </c>
      <c r="D502" s="517" t="s">
        <v>7269</v>
      </c>
      <c r="E502" s="516" t="s">
        <v>7268</v>
      </c>
      <c r="F502" s="513" t="s">
        <v>641</v>
      </c>
      <c r="G502" s="513">
        <v>917.5</v>
      </c>
      <c r="H502" s="515">
        <v>5.5019999999999998</v>
      </c>
      <c r="I502" s="515">
        <v>5048.085</v>
      </c>
      <c r="J502" s="514">
        <v>2.3242900909040969E-4</v>
      </c>
      <c r="K502" s="513" t="s">
        <v>399</v>
      </c>
    </row>
    <row r="503" spans="1:11" ht="25.5" x14ac:dyDescent="0.2">
      <c r="A503" s="526" t="s">
        <v>7333</v>
      </c>
      <c r="B503" s="525"/>
      <c r="C503" s="524"/>
      <c r="D503" s="524"/>
      <c r="E503" s="523" t="s">
        <v>7324</v>
      </c>
      <c r="F503" s="520" t="s">
        <v>1242</v>
      </c>
      <c r="G503" s="520">
        <v>2689.62</v>
      </c>
      <c r="H503" s="522">
        <v>0</v>
      </c>
      <c r="I503" s="522">
        <v>0</v>
      </c>
      <c r="J503" s="521"/>
      <c r="K503" s="520" t="s">
        <v>399</v>
      </c>
    </row>
    <row r="504" spans="1:11" x14ac:dyDescent="0.2">
      <c r="A504" s="203" t="s">
        <v>7332</v>
      </c>
      <c r="B504" s="530"/>
      <c r="C504" s="530"/>
      <c r="D504" s="530"/>
      <c r="E504" s="530" t="s">
        <v>7228</v>
      </c>
      <c r="F504" s="527"/>
      <c r="G504" s="527"/>
      <c r="H504" s="529"/>
      <c r="I504" s="529">
        <v>93586.129406759996</v>
      </c>
      <c r="J504" s="528">
        <v>4.3089867390545275E-3</v>
      </c>
      <c r="K504" s="527" t="s">
        <v>399</v>
      </c>
    </row>
    <row r="505" spans="1:11" ht="25.5" x14ac:dyDescent="0.2">
      <c r="A505" s="519" t="s">
        <v>7331</v>
      </c>
      <c r="B505" s="518" t="s">
        <v>7260</v>
      </c>
      <c r="C505" s="517" t="s">
        <v>7259</v>
      </c>
      <c r="D505" s="517" t="s">
        <v>7263</v>
      </c>
      <c r="E505" s="516" t="s">
        <v>7262</v>
      </c>
      <c r="F505" s="513" t="s">
        <v>641</v>
      </c>
      <c r="G505" s="513">
        <v>2689.62</v>
      </c>
      <c r="H505" s="515">
        <v>17.209589999999999</v>
      </c>
      <c r="I505" s="515">
        <v>46287.257455799998</v>
      </c>
      <c r="J505" s="514">
        <v>2.1312044832771776E-3</v>
      </c>
      <c r="K505" s="513" t="s">
        <v>399</v>
      </c>
    </row>
    <row r="506" spans="1:11" ht="25.5" x14ac:dyDescent="0.2">
      <c r="A506" s="526" t="s">
        <v>7330</v>
      </c>
      <c r="B506" s="525" t="s">
        <v>7260</v>
      </c>
      <c r="C506" s="524" t="s">
        <v>7259</v>
      </c>
      <c r="D506" s="524" t="s">
        <v>7258</v>
      </c>
      <c r="E506" s="523" t="s">
        <v>7257</v>
      </c>
      <c r="F506" s="520" t="s">
        <v>641</v>
      </c>
      <c r="G506" s="520">
        <v>2689.62</v>
      </c>
      <c r="H506" s="522">
        <v>17.585708</v>
      </c>
      <c r="I506" s="522">
        <v>47298.871950959998</v>
      </c>
      <c r="J506" s="521">
        <v>2.1777822557773503E-3</v>
      </c>
      <c r="K506" s="520" t="s">
        <v>399</v>
      </c>
    </row>
    <row r="507" spans="1:11" x14ac:dyDescent="0.2">
      <c r="A507" s="536" t="s">
        <v>7329</v>
      </c>
      <c r="B507" s="535"/>
      <c r="C507" s="534"/>
      <c r="D507" s="534"/>
      <c r="E507" s="534" t="s">
        <v>6881</v>
      </c>
      <c r="F507" s="531"/>
      <c r="G507" s="531"/>
      <c r="H507" s="533"/>
      <c r="I507" s="533">
        <v>90908.923239740005</v>
      </c>
      <c r="J507" s="532">
        <v>4.1857201188349414E-3</v>
      </c>
      <c r="K507" s="531" t="s">
        <v>399</v>
      </c>
    </row>
    <row r="508" spans="1:11" x14ac:dyDescent="0.2">
      <c r="A508" s="203" t="s">
        <v>7328</v>
      </c>
      <c r="B508" s="530"/>
      <c r="C508" s="530"/>
      <c r="D508" s="530"/>
      <c r="E508" s="530" t="s">
        <v>7243</v>
      </c>
      <c r="F508" s="527"/>
      <c r="G508" s="527"/>
      <c r="H508" s="529"/>
      <c r="I508" s="529">
        <v>8022.0000150000005</v>
      </c>
      <c r="J508" s="528">
        <v>3.6935699664520342E-4</v>
      </c>
      <c r="K508" s="527" t="s">
        <v>399</v>
      </c>
    </row>
    <row r="509" spans="1:11" ht="25.5" x14ac:dyDescent="0.2">
      <c r="A509" s="519" t="s">
        <v>7327</v>
      </c>
      <c r="B509" s="518" t="s">
        <v>7260</v>
      </c>
      <c r="C509" s="517" t="s">
        <v>7259</v>
      </c>
      <c r="D509" s="517" t="s">
        <v>7272</v>
      </c>
      <c r="E509" s="516" t="s">
        <v>7271</v>
      </c>
      <c r="F509" s="513" t="s">
        <v>641</v>
      </c>
      <c r="G509" s="513">
        <v>1220.6300000000001</v>
      </c>
      <c r="H509" s="515">
        <v>1.3365</v>
      </c>
      <c r="I509" s="515">
        <v>1631.3719950000002</v>
      </c>
      <c r="J509" s="514">
        <v>7.511327092465654E-5</v>
      </c>
      <c r="K509" s="513" t="s">
        <v>399</v>
      </c>
    </row>
    <row r="510" spans="1:11" ht="25.5" x14ac:dyDescent="0.2">
      <c r="A510" s="526" t="s">
        <v>7326</v>
      </c>
      <c r="B510" s="525" t="s">
        <v>7260</v>
      </c>
      <c r="C510" s="524" t="s">
        <v>7259</v>
      </c>
      <c r="D510" s="524" t="s">
        <v>7269</v>
      </c>
      <c r="E510" s="523" t="s">
        <v>7268</v>
      </c>
      <c r="F510" s="520" t="s">
        <v>641</v>
      </c>
      <c r="G510" s="520">
        <v>1161.51</v>
      </c>
      <c r="H510" s="522">
        <v>5.5019999999999998</v>
      </c>
      <c r="I510" s="522">
        <v>6390.6280200000001</v>
      </c>
      <c r="J510" s="521">
        <v>2.9424372572054688E-4</v>
      </c>
      <c r="K510" s="520" t="s">
        <v>399</v>
      </c>
    </row>
    <row r="511" spans="1:11" ht="25.5" x14ac:dyDescent="0.2">
      <c r="A511" s="519" t="s">
        <v>7325</v>
      </c>
      <c r="B511" s="518"/>
      <c r="C511" s="517"/>
      <c r="D511" s="517"/>
      <c r="E511" s="516" t="s">
        <v>7324</v>
      </c>
      <c r="F511" s="513" t="s">
        <v>1242</v>
      </c>
      <c r="G511" s="513">
        <v>2382.13</v>
      </c>
      <c r="H511" s="515">
        <v>0</v>
      </c>
      <c r="I511" s="515">
        <v>0</v>
      </c>
      <c r="J511" s="514"/>
      <c r="K511" s="513" t="s">
        <v>399</v>
      </c>
    </row>
    <row r="512" spans="1:11" x14ac:dyDescent="0.2">
      <c r="A512" s="203" t="s">
        <v>7323</v>
      </c>
      <c r="B512" s="530"/>
      <c r="C512" s="530"/>
      <c r="D512" s="530"/>
      <c r="E512" s="530" t="s">
        <v>7228</v>
      </c>
      <c r="F512" s="527"/>
      <c r="G512" s="527"/>
      <c r="H512" s="529"/>
      <c r="I512" s="529">
        <v>82886.923224740007</v>
      </c>
      <c r="J512" s="528">
        <v>3.8163631221897381E-3</v>
      </c>
      <c r="K512" s="527" t="s">
        <v>399</v>
      </c>
    </row>
    <row r="513" spans="1:11" ht="25.5" x14ac:dyDescent="0.2">
      <c r="A513" s="526" t="s">
        <v>7322</v>
      </c>
      <c r="B513" s="525" t="s">
        <v>7260</v>
      </c>
      <c r="C513" s="524" t="s">
        <v>7259</v>
      </c>
      <c r="D513" s="524" t="s">
        <v>7263</v>
      </c>
      <c r="E513" s="523" t="s">
        <v>7262</v>
      </c>
      <c r="F513" s="520" t="s">
        <v>641</v>
      </c>
      <c r="G513" s="520">
        <v>2382.13</v>
      </c>
      <c r="H513" s="522">
        <v>17.209589999999999</v>
      </c>
      <c r="I513" s="522">
        <v>40995.480626700002</v>
      </c>
      <c r="J513" s="521">
        <v>1.8875551697820003E-3</v>
      </c>
      <c r="K513" s="520" t="s">
        <v>399</v>
      </c>
    </row>
    <row r="514" spans="1:11" ht="25.5" x14ac:dyDescent="0.2">
      <c r="A514" s="519" t="s">
        <v>7321</v>
      </c>
      <c r="B514" s="518" t="s">
        <v>7260</v>
      </c>
      <c r="C514" s="517" t="s">
        <v>7259</v>
      </c>
      <c r="D514" s="517" t="s">
        <v>7258</v>
      </c>
      <c r="E514" s="516" t="s">
        <v>7257</v>
      </c>
      <c r="F514" s="513" t="s">
        <v>641</v>
      </c>
      <c r="G514" s="513">
        <v>2382.13</v>
      </c>
      <c r="H514" s="515">
        <v>17.585708</v>
      </c>
      <c r="I514" s="515">
        <v>41891.442598040005</v>
      </c>
      <c r="J514" s="514">
        <v>1.928807952407738E-3</v>
      </c>
      <c r="K514" s="513" t="s">
        <v>399</v>
      </c>
    </row>
    <row r="515" spans="1:11" x14ac:dyDescent="0.2">
      <c r="A515" s="542" t="s">
        <v>7320</v>
      </c>
      <c r="B515" s="541"/>
      <c r="C515" s="540"/>
      <c r="D515" s="540"/>
      <c r="E515" s="540" t="s">
        <v>7319</v>
      </c>
      <c r="F515" s="537"/>
      <c r="G515" s="537"/>
      <c r="H515" s="539"/>
      <c r="I515" s="539">
        <v>143301.12676201999</v>
      </c>
      <c r="J515" s="538">
        <v>6.5980146718677473E-3</v>
      </c>
      <c r="K515" s="537" t="s">
        <v>399</v>
      </c>
    </row>
    <row r="516" spans="1:11" x14ac:dyDescent="0.2">
      <c r="A516" s="536" t="s">
        <v>7318</v>
      </c>
      <c r="B516" s="535"/>
      <c r="C516" s="534"/>
      <c r="D516" s="534"/>
      <c r="E516" s="534" t="s">
        <v>6806</v>
      </c>
      <c r="F516" s="531"/>
      <c r="G516" s="531"/>
      <c r="H516" s="533"/>
      <c r="I516" s="533">
        <v>9612.1466526000004</v>
      </c>
      <c r="J516" s="532">
        <v>4.4257212818237342E-4</v>
      </c>
      <c r="K516" s="531" t="s">
        <v>399</v>
      </c>
    </row>
    <row r="517" spans="1:11" x14ac:dyDescent="0.2">
      <c r="A517" s="203" t="s">
        <v>7317</v>
      </c>
      <c r="B517" s="530"/>
      <c r="C517" s="530"/>
      <c r="D517" s="530"/>
      <c r="E517" s="530" t="s">
        <v>7243</v>
      </c>
      <c r="F517" s="527"/>
      <c r="G517" s="527"/>
      <c r="H517" s="529"/>
      <c r="I517" s="529">
        <v>958.55603999999994</v>
      </c>
      <c r="J517" s="528">
        <v>4.4134801718835377E-5</v>
      </c>
      <c r="K517" s="527" t="s">
        <v>399</v>
      </c>
    </row>
    <row r="518" spans="1:11" ht="25.5" x14ac:dyDescent="0.2">
      <c r="A518" s="526" t="s">
        <v>7316</v>
      </c>
      <c r="B518" s="525" t="s">
        <v>7260</v>
      </c>
      <c r="C518" s="524" t="s">
        <v>7259</v>
      </c>
      <c r="D518" s="524" t="s">
        <v>7272</v>
      </c>
      <c r="E518" s="523" t="s">
        <v>7271</v>
      </c>
      <c r="F518" s="520" t="s">
        <v>641</v>
      </c>
      <c r="G518" s="520">
        <v>180.64</v>
      </c>
      <c r="H518" s="522">
        <v>1.3365</v>
      </c>
      <c r="I518" s="522">
        <v>241.42535999999998</v>
      </c>
      <c r="J518" s="521">
        <v>1.1115949353882795E-5</v>
      </c>
      <c r="K518" s="520" t="s">
        <v>399</v>
      </c>
    </row>
    <row r="519" spans="1:11" ht="25.5" x14ac:dyDescent="0.2">
      <c r="A519" s="519" t="s">
        <v>7315</v>
      </c>
      <c r="B519" s="518" t="s">
        <v>7260</v>
      </c>
      <c r="C519" s="517" t="s">
        <v>7259</v>
      </c>
      <c r="D519" s="517" t="s">
        <v>7269</v>
      </c>
      <c r="E519" s="516" t="s">
        <v>7268</v>
      </c>
      <c r="F519" s="513" t="s">
        <v>641</v>
      </c>
      <c r="G519" s="513">
        <v>130.34</v>
      </c>
      <c r="H519" s="515">
        <v>5.5019999999999998</v>
      </c>
      <c r="I519" s="515">
        <v>717.13067999999998</v>
      </c>
      <c r="J519" s="514">
        <v>3.3018852364952587E-5</v>
      </c>
      <c r="K519" s="513" t="s">
        <v>399</v>
      </c>
    </row>
    <row r="520" spans="1:11" x14ac:dyDescent="0.2">
      <c r="A520" s="526" t="s">
        <v>7314</v>
      </c>
      <c r="B520" s="525"/>
      <c r="C520" s="524"/>
      <c r="D520" s="524"/>
      <c r="E520" s="523" t="s">
        <v>7297</v>
      </c>
      <c r="F520" s="520" t="s">
        <v>1242</v>
      </c>
      <c r="G520" s="520">
        <v>310.98</v>
      </c>
      <c r="H520" s="522">
        <v>0</v>
      </c>
      <c r="I520" s="522">
        <v>0</v>
      </c>
      <c r="J520" s="521"/>
      <c r="K520" s="520" t="s">
        <v>399</v>
      </c>
    </row>
    <row r="521" spans="1:11" x14ac:dyDescent="0.2">
      <c r="A521" s="203" t="s">
        <v>7313</v>
      </c>
      <c r="B521" s="530"/>
      <c r="C521" s="530"/>
      <c r="D521" s="530"/>
      <c r="E521" s="530" t="s">
        <v>7228</v>
      </c>
      <c r="F521" s="527"/>
      <c r="G521" s="527"/>
      <c r="H521" s="529"/>
      <c r="I521" s="529">
        <v>8653.5906126000009</v>
      </c>
      <c r="J521" s="528">
        <v>3.9843732646353808E-4</v>
      </c>
      <c r="K521" s="527" t="s">
        <v>399</v>
      </c>
    </row>
    <row r="522" spans="1:11" ht="25.5" x14ac:dyDescent="0.2">
      <c r="A522" s="519" t="s">
        <v>7312</v>
      </c>
      <c r="B522" s="518" t="s">
        <v>7260</v>
      </c>
      <c r="C522" s="517" t="s">
        <v>7259</v>
      </c>
      <c r="D522" s="517" t="s">
        <v>7263</v>
      </c>
      <c r="E522" s="516" t="s">
        <v>7262</v>
      </c>
      <c r="F522" s="513" t="s">
        <v>641</v>
      </c>
      <c r="G522" s="513">
        <v>248.7</v>
      </c>
      <c r="H522" s="515">
        <v>17.209589999999999</v>
      </c>
      <c r="I522" s="515">
        <v>4280.0250329999999</v>
      </c>
      <c r="J522" s="514">
        <v>1.970652192469695E-4</v>
      </c>
      <c r="K522" s="513" t="s">
        <v>399</v>
      </c>
    </row>
    <row r="523" spans="1:11" ht="25.5" x14ac:dyDescent="0.2">
      <c r="A523" s="526" t="s">
        <v>7311</v>
      </c>
      <c r="B523" s="525" t="s">
        <v>7260</v>
      </c>
      <c r="C523" s="524" t="s">
        <v>7259</v>
      </c>
      <c r="D523" s="524" t="s">
        <v>7258</v>
      </c>
      <c r="E523" s="523" t="s">
        <v>7257</v>
      </c>
      <c r="F523" s="520" t="s">
        <v>641</v>
      </c>
      <c r="G523" s="520">
        <v>248.7</v>
      </c>
      <c r="H523" s="522">
        <v>17.585708</v>
      </c>
      <c r="I523" s="522">
        <v>4373.5655796000001</v>
      </c>
      <c r="J523" s="521">
        <v>2.0137210721656853E-4</v>
      </c>
      <c r="K523" s="520" t="s">
        <v>399</v>
      </c>
    </row>
    <row r="524" spans="1:11" x14ac:dyDescent="0.2">
      <c r="A524" s="536" t="s">
        <v>7310</v>
      </c>
      <c r="B524" s="535"/>
      <c r="C524" s="534"/>
      <c r="D524" s="534"/>
      <c r="E524" s="534" t="s">
        <v>6932</v>
      </c>
      <c r="F524" s="531"/>
      <c r="G524" s="531"/>
      <c r="H524" s="533"/>
      <c r="I524" s="533">
        <v>58680.653793620004</v>
      </c>
      <c r="J524" s="532">
        <v>2.7018337080355198E-3</v>
      </c>
      <c r="K524" s="531" t="s">
        <v>399</v>
      </c>
    </row>
    <row r="525" spans="1:11" x14ac:dyDescent="0.2">
      <c r="A525" s="203" t="s">
        <v>7309</v>
      </c>
      <c r="B525" s="530"/>
      <c r="C525" s="530"/>
      <c r="D525" s="530"/>
      <c r="E525" s="530" t="s">
        <v>7243</v>
      </c>
      <c r="F525" s="527"/>
      <c r="G525" s="527"/>
      <c r="H525" s="529"/>
      <c r="I525" s="529">
        <v>5385.0438000000004</v>
      </c>
      <c r="J525" s="528">
        <v>2.4794360521711788E-4</v>
      </c>
      <c r="K525" s="527" t="s">
        <v>399</v>
      </c>
    </row>
    <row r="526" spans="1:11" ht="25.5" x14ac:dyDescent="0.2">
      <c r="A526" s="519" t="s">
        <v>7308</v>
      </c>
      <c r="B526" s="518" t="s">
        <v>7260</v>
      </c>
      <c r="C526" s="517" t="s">
        <v>7259</v>
      </c>
      <c r="D526" s="517" t="s">
        <v>7272</v>
      </c>
      <c r="E526" s="516" t="s">
        <v>7271</v>
      </c>
      <c r="F526" s="513" t="s">
        <v>641</v>
      </c>
      <c r="G526" s="513">
        <v>730.36</v>
      </c>
      <c r="H526" s="515">
        <v>1.3365</v>
      </c>
      <c r="I526" s="515">
        <v>976.12614000000008</v>
      </c>
      <c r="J526" s="514">
        <v>4.4943781942547828E-5</v>
      </c>
      <c r="K526" s="513" t="s">
        <v>399</v>
      </c>
    </row>
    <row r="527" spans="1:11" ht="25.5" x14ac:dyDescent="0.2">
      <c r="A527" s="526" t="s">
        <v>7307</v>
      </c>
      <c r="B527" s="525" t="s">
        <v>7260</v>
      </c>
      <c r="C527" s="524" t="s">
        <v>7259</v>
      </c>
      <c r="D527" s="524" t="s">
        <v>7269</v>
      </c>
      <c r="E527" s="523" t="s">
        <v>7268</v>
      </c>
      <c r="F527" s="520" t="s">
        <v>641</v>
      </c>
      <c r="G527" s="520">
        <v>801.33</v>
      </c>
      <c r="H527" s="522">
        <v>5.5019999999999998</v>
      </c>
      <c r="I527" s="522">
        <v>4408.9176600000001</v>
      </c>
      <c r="J527" s="521">
        <v>2.0299982327457003E-4</v>
      </c>
      <c r="K527" s="520" t="s">
        <v>399</v>
      </c>
    </row>
    <row r="528" spans="1:11" x14ac:dyDescent="0.2">
      <c r="A528" s="519" t="s">
        <v>7306</v>
      </c>
      <c r="B528" s="518"/>
      <c r="C528" s="517"/>
      <c r="D528" s="517"/>
      <c r="E528" s="516" t="s">
        <v>7297</v>
      </c>
      <c r="F528" s="513" t="s">
        <v>1242</v>
      </c>
      <c r="G528" s="513">
        <v>1531.69</v>
      </c>
      <c r="H528" s="515">
        <v>0</v>
      </c>
      <c r="I528" s="515">
        <v>0</v>
      </c>
      <c r="J528" s="514"/>
      <c r="K528" s="513" t="s">
        <v>399</v>
      </c>
    </row>
    <row r="529" spans="1:11" x14ac:dyDescent="0.2">
      <c r="A529" s="203" t="s">
        <v>7305</v>
      </c>
      <c r="B529" s="530"/>
      <c r="C529" s="530"/>
      <c r="D529" s="530"/>
      <c r="E529" s="530" t="s">
        <v>7228</v>
      </c>
      <c r="F529" s="527"/>
      <c r="G529" s="527"/>
      <c r="H529" s="529"/>
      <c r="I529" s="529">
        <v>53295.609993620004</v>
      </c>
      <c r="J529" s="528">
        <v>2.453890102818402E-3</v>
      </c>
      <c r="K529" s="527" t="s">
        <v>399</v>
      </c>
    </row>
    <row r="530" spans="1:11" ht="25.5" x14ac:dyDescent="0.2">
      <c r="A530" s="526" t="s">
        <v>7304</v>
      </c>
      <c r="B530" s="525" t="s">
        <v>7260</v>
      </c>
      <c r="C530" s="524" t="s">
        <v>7259</v>
      </c>
      <c r="D530" s="524" t="s">
        <v>7263</v>
      </c>
      <c r="E530" s="523" t="s">
        <v>7262</v>
      </c>
      <c r="F530" s="520" t="s">
        <v>641</v>
      </c>
      <c r="G530" s="520">
        <v>1531.69</v>
      </c>
      <c r="H530" s="522">
        <v>17.209589999999999</v>
      </c>
      <c r="I530" s="522">
        <v>26359.7569071</v>
      </c>
      <c r="J530" s="521">
        <v>1.2136824514209518E-3</v>
      </c>
      <c r="K530" s="520" t="s">
        <v>399</v>
      </c>
    </row>
    <row r="531" spans="1:11" ht="25.5" x14ac:dyDescent="0.2">
      <c r="A531" s="519" t="s">
        <v>7303</v>
      </c>
      <c r="B531" s="518" t="s">
        <v>7260</v>
      </c>
      <c r="C531" s="517" t="s">
        <v>7259</v>
      </c>
      <c r="D531" s="517" t="s">
        <v>7258</v>
      </c>
      <c r="E531" s="516" t="s">
        <v>7257</v>
      </c>
      <c r="F531" s="513" t="s">
        <v>641</v>
      </c>
      <c r="G531" s="513">
        <v>1531.69</v>
      </c>
      <c r="H531" s="515">
        <v>17.585708</v>
      </c>
      <c r="I531" s="515">
        <v>26935.853086520001</v>
      </c>
      <c r="J531" s="514">
        <v>1.2402076513974502E-3</v>
      </c>
      <c r="K531" s="513" t="s">
        <v>399</v>
      </c>
    </row>
    <row r="532" spans="1:11" x14ac:dyDescent="0.2">
      <c r="A532" s="536" t="s">
        <v>7302</v>
      </c>
      <c r="B532" s="535"/>
      <c r="C532" s="534"/>
      <c r="D532" s="534"/>
      <c r="E532" s="534" t="s">
        <v>6881</v>
      </c>
      <c r="F532" s="531"/>
      <c r="G532" s="531"/>
      <c r="H532" s="533"/>
      <c r="I532" s="533">
        <v>75008.32631579999</v>
      </c>
      <c r="J532" s="532">
        <v>3.4536088356498539E-3</v>
      </c>
      <c r="K532" s="531" t="s">
        <v>399</v>
      </c>
    </row>
    <row r="533" spans="1:11" x14ac:dyDescent="0.2">
      <c r="A533" s="203" t="s">
        <v>7301</v>
      </c>
      <c r="B533" s="530"/>
      <c r="C533" s="530"/>
      <c r="D533" s="530"/>
      <c r="E533" s="530" t="s">
        <v>7243</v>
      </c>
      <c r="F533" s="527"/>
      <c r="G533" s="527"/>
      <c r="H533" s="529"/>
      <c r="I533" s="529">
        <v>5779.6014149999992</v>
      </c>
      <c r="J533" s="528">
        <v>2.6611022394154999E-4</v>
      </c>
      <c r="K533" s="527" t="s">
        <v>399</v>
      </c>
    </row>
    <row r="534" spans="1:11" ht="25.5" x14ac:dyDescent="0.2">
      <c r="A534" s="526" t="s">
        <v>7300</v>
      </c>
      <c r="B534" s="525" t="s">
        <v>7260</v>
      </c>
      <c r="C534" s="524" t="s">
        <v>7259</v>
      </c>
      <c r="D534" s="524" t="s">
        <v>7272</v>
      </c>
      <c r="E534" s="523" t="s">
        <v>7271</v>
      </c>
      <c r="F534" s="520" t="s">
        <v>641</v>
      </c>
      <c r="G534" s="520">
        <v>1240.47</v>
      </c>
      <c r="H534" s="522">
        <v>1.3365</v>
      </c>
      <c r="I534" s="522">
        <v>1657.8881550000001</v>
      </c>
      <c r="J534" s="521">
        <v>7.6334154644657842E-5</v>
      </c>
      <c r="K534" s="520" t="s">
        <v>399</v>
      </c>
    </row>
    <row r="535" spans="1:11" ht="25.5" x14ac:dyDescent="0.2">
      <c r="A535" s="519" t="s">
        <v>7299</v>
      </c>
      <c r="B535" s="518" t="s">
        <v>7260</v>
      </c>
      <c r="C535" s="517" t="s">
        <v>7259</v>
      </c>
      <c r="D535" s="517" t="s">
        <v>7269</v>
      </c>
      <c r="E535" s="516" t="s">
        <v>7268</v>
      </c>
      <c r="F535" s="513" t="s">
        <v>641</v>
      </c>
      <c r="G535" s="513">
        <v>749.13</v>
      </c>
      <c r="H535" s="515">
        <v>5.5019999999999998</v>
      </c>
      <c r="I535" s="515">
        <v>4121.7132599999995</v>
      </c>
      <c r="J535" s="514">
        <v>1.8977606929689221E-4</v>
      </c>
      <c r="K535" s="513" t="s">
        <v>399</v>
      </c>
    </row>
    <row r="536" spans="1:11" x14ac:dyDescent="0.2">
      <c r="A536" s="526" t="s">
        <v>7298</v>
      </c>
      <c r="B536" s="525"/>
      <c r="C536" s="524"/>
      <c r="D536" s="524"/>
      <c r="E536" s="523" t="s">
        <v>7297</v>
      </c>
      <c r="F536" s="520" t="s">
        <v>1242</v>
      </c>
      <c r="G536" s="520">
        <v>1989.6</v>
      </c>
      <c r="H536" s="522">
        <v>0</v>
      </c>
      <c r="I536" s="522">
        <v>0</v>
      </c>
      <c r="J536" s="521"/>
      <c r="K536" s="520" t="s">
        <v>399</v>
      </c>
    </row>
    <row r="537" spans="1:11" x14ac:dyDescent="0.2">
      <c r="A537" s="203" t="s">
        <v>7296</v>
      </c>
      <c r="B537" s="530"/>
      <c r="C537" s="530"/>
      <c r="D537" s="530"/>
      <c r="E537" s="530" t="s">
        <v>7228</v>
      </c>
      <c r="F537" s="527"/>
      <c r="G537" s="527"/>
      <c r="H537" s="529"/>
      <c r="I537" s="529">
        <v>69228.724900800007</v>
      </c>
      <c r="J537" s="528">
        <v>3.1874986117083047E-3</v>
      </c>
      <c r="K537" s="527" t="s">
        <v>399</v>
      </c>
    </row>
    <row r="538" spans="1:11" ht="25.5" x14ac:dyDescent="0.2">
      <c r="A538" s="519" t="s">
        <v>7295</v>
      </c>
      <c r="B538" s="518" t="s">
        <v>7260</v>
      </c>
      <c r="C538" s="517" t="s">
        <v>7259</v>
      </c>
      <c r="D538" s="517" t="s">
        <v>7263</v>
      </c>
      <c r="E538" s="516" t="s">
        <v>7262</v>
      </c>
      <c r="F538" s="513" t="s">
        <v>641</v>
      </c>
      <c r="G538" s="513">
        <v>1989.6</v>
      </c>
      <c r="H538" s="515">
        <v>17.209589999999999</v>
      </c>
      <c r="I538" s="515">
        <v>34240.200263999999</v>
      </c>
      <c r="J538" s="514">
        <v>1.576521753975756E-3</v>
      </c>
      <c r="K538" s="513" t="s">
        <v>399</v>
      </c>
    </row>
    <row r="539" spans="1:11" ht="25.5" x14ac:dyDescent="0.2">
      <c r="A539" s="526" t="s">
        <v>7294</v>
      </c>
      <c r="B539" s="525" t="s">
        <v>7260</v>
      </c>
      <c r="C539" s="524" t="s">
        <v>7259</v>
      </c>
      <c r="D539" s="524" t="s">
        <v>7258</v>
      </c>
      <c r="E539" s="523" t="s">
        <v>7257</v>
      </c>
      <c r="F539" s="520" t="s">
        <v>641</v>
      </c>
      <c r="G539" s="520">
        <v>1989.6</v>
      </c>
      <c r="H539" s="522">
        <v>17.585708</v>
      </c>
      <c r="I539" s="522">
        <v>34988.524636800001</v>
      </c>
      <c r="J539" s="521">
        <v>1.6109768577325483E-3</v>
      </c>
      <c r="K539" s="520" t="s">
        <v>399</v>
      </c>
    </row>
    <row r="540" spans="1:11" x14ac:dyDescent="0.2">
      <c r="A540" s="542" t="s">
        <v>7293</v>
      </c>
      <c r="B540" s="541"/>
      <c r="C540" s="540"/>
      <c r="D540" s="540"/>
      <c r="E540" s="540" t="s">
        <v>7292</v>
      </c>
      <c r="F540" s="537"/>
      <c r="G540" s="537"/>
      <c r="H540" s="539"/>
      <c r="I540" s="539">
        <v>145395.35932353997</v>
      </c>
      <c r="J540" s="538">
        <v>6.694439434739006E-3</v>
      </c>
      <c r="K540" s="537" t="s">
        <v>399</v>
      </c>
    </row>
    <row r="541" spans="1:11" x14ac:dyDescent="0.2">
      <c r="A541" s="536" t="s">
        <v>7291</v>
      </c>
      <c r="B541" s="535"/>
      <c r="C541" s="534"/>
      <c r="D541" s="534"/>
      <c r="E541" s="534" t="s">
        <v>6806</v>
      </c>
      <c r="F541" s="531"/>
      <c r="G541" s="531"/>
      <c r="H541" s="533"/>
      <c r="I541" s="533">
        <v>28211.205933860001</v>
      </c>
      <c r="J541" s="532">
        <v>1.2989287304893966E-3</v>
      </c>
      <c r="K541" s="531" t="s">
        <v>399</v>
      </c>
    </row>
    <row r="542" spans="1:11" x14ac:dyDescent="0.2">
      <c r="A542" s="203" t="s">
        <v>7290</v>
      </c>
      <c r="B542" s="530"/>
      <c r="C542" s="530"/>
      <c r="D542" s="530"/>
      <c r="E542" s="530" t="s">
        <v>7243</v>
      </c>
      <c r="F542" s="527"/>
      <c r="G542" s="527"/>
      <c r="H542" s="529"/>
      <c r="I542" s="529">
        <v>3525.1729949999999</v>
      </c>
      <c r="J542" s="528">
        <v>1.6230956216072465E-4</v>
      </c>
      <c r="K542" s="527" t="s">
        <v>399</v>
      </c>
    </row>
    <row r="543" spans="1:11" ht="25.5" x14ac:dyDescent="0.2">
      <c r="A543" s="519" t="s">
        <v>7289</v>
      </c>
      <c r="B543" s="518" t="s">
        <v>7260</v>
      </c>
      <c r="C543" s="517" t="s">
        <v>7259</v>
      </c>
      <c r="D543" s="517" t="s">
        <v>7272</v>
      </c>
      <c r="E543" s="516" t="s">
        <v>7271</v>
      </c>
      <c r="F543" s="513" t="s">
        <v>641</v>
      </c>
      <c r="G543" s="513">
        <v>822.47</v>
      </c>
      <c r="H543" s="515">
        <v>1.3365</v>
      </c>
      <c r="I543" s="515">
        <v>1099.2311549999999</v>
      </c>
      <c r="J543" s="514">
        <v>5.0611906914791753E-5</v>
      </c>
      <c r="K543" s="513" t="s">
        <v>399</v>
      </c>
    </row>
    <row r="544" spans="1:11" ht="25.5" x14ac:dyDescent="0.2">
      <c r="A544" s="526" t="s">
        <v>7288</v>
      </c>
      <c r="B544" s="525" t="s">
        <v>7260</v>
      </c>
      <c r="C544" s="524" t="s">
        <v>7259</v>
      </c>
      <c r="D544" s="524" t="s">
        <v>7269</v>
      </c>
      <c r="E544" s="523" t="s">
        <v>7268</v>
      </c>
      <c r="F544" s="520" t="s">
        <v>641</v>
      </c>
      <c r="G544" s="520">
        <v>440.92</v>
      </c>
      <c r="H544" s="522">
        <v>5.5019999999999998</v>
      </c>
      <c r="I544" s="522">
        <v>2425.94184</v>
      </c>
      <c r="J544" s="521">
        <v>1.116976552459329E-4</v>
      </c>
      <c r="K544" s="520" t="s">
        <v>399</v>
      </c>
    </row>
    <row r="545" spans="1:11" ht="25.5" x14ac:dyDescent="0.2">
      <c r="A545" s="519" t="s">
        <v>7287</v>
      </c>
      <c r="B545" s="518"/>
      <c r="C545" s="517"/>
      <c r="D545" s="517"/>
      <c r="E545" s="516" t="s">
        <v>7266</v>
      </c>
      <c r="F545" s="513" t="s">
        <v>1242</v>
      </c>
      <c r="G545" s="513">
        <v>1263.3800000000001</v>
      </c>
      <c r="H545" s="515">
        <v>0</v>
      </c>
      <c r="I545" s="515">
        <v>0</v>
      </c>
      <c r="J545" s="514"/>
      <c r="K545" s="513" t="s">
        <v>399</v>
      </c>
    </row>
    <row r="546" spans="1:11" x14ac:dyDescent="0.2">
      <c r="A546" s="203" t="s">
        <v>7286</v>
      </c>
      <c r="B546" s="530"/>
      <c r="C546" s="530"/>
      <c r="D546" s="530"/>
      <c r="E546" s="530" t="s">
        <v>7228</v>
      </c>
      <c r="F546" s="527"/>
      <c r="G546" s="527"/>
      <c r="H546" s="529"/>
      <c r="I546" s="529">
        <v>24686.03293886</v>
      </c>
      <c r="J546" s="528">
        <v>1.1366191683286719E-3</v>
      </c>
      <c r="K546" s="527" t="s">
        <v>399</v>
      </c>
    </row>
    <row r="547" spans="1:11" ht="25.5" x14ac:dyDescent="0.2">
      <c r="A547" s="526" t="s">
        <v>7285</v>
      </c>
      <c r="B547" s="525" t="s">
        <v>7260</v>
      </c>
      <c r="C547" s="524" t="s">
        <v>7259</v>
      </c>
      <c r="D547" s="524" t="s">
        <v>7263</v>
      </c>
      <c r="E547" s="523" t="s">
        <v>7262</v>
      </c>
      <c r="F547" s="520" t="s">
        <v>641</v>
      </c>
      <c r="G547" s="520">
        <v>1211.19</v>
      </c>
      <c r="H547" s="522">
        <v>17.209589999999999</v>
      </c>
      <c r="I547" s="522">
        <v>20844.0833121</v>
      </c>
      <c r="J547" s="521">
        <v>9.5972425773919177E-4</v>
      </c>
      <c r="K547" s="520" t="s">
        <v>399</v>
      </c>
    </row>
    <row r="548" spans="1:11" ht="25.5" x14ac:dyDescent="0.2">
      <c r="A548" s="519" t="s">
        <v>7284</v>
      </c>
      <c r="B548" s="518" t="s">
        <v>7260</v>
      </c>
      <c r="C548" s="517" t="s">
        <v>7259</v>
      </c>
      <c r="D548" s="517" t="s">
        <v>7258</v>
      </c>
      <c r="E548" s="516" t="s">
        <v>7257</v>
      </c>
      <c r="F548" s="513" t="s">
        <v>641</v>
      </c>
      <c r="G548" s="513">
        <v>218.47</v>
      </c>
      <c r="H548" s="515">
        <v>17.585708</v>
      </c>
      <c r="I548" s="515">
        <v>3841.9496267600002</v>
      </c>
      <c r="J548" s="514">
        <v>1.7689491058948021E-4</v>
      </c>
      <c r="K548" s="513" t="s">
        <v>399</v>
      </c>
    </row>
    <row r="549" spans="1:11" x14ac:dyDescent="0.2">
      <c r="A549" s="536" t="s">
        <v>7283</v>
      </c>
      <c r="B549" s="535"/>
      <c r="C549" s="534"/>
      <c r="D549" s="534"/>
      <c r="E549" s="534" t="s">
        <v>6932</v>
      </c>
      <c r="F549" s="531"/>
      <c r="G549" s="531"/>
      <c r="H549" s="533"/>
      <c r="I549" s="533">
        <v>52478.439451859995</v>
      </c>
      <c r="J549" s="532">
        <v>2.4162651144754655E-3</v>
      </c>
      <c r="K549" s="531" t="s">
        <v>399</v>
      </c>
    </row>
    <row r="550" spans="1:11" x14ac:dyDescent="0.2">
      <c r="A550" s="203" t="s">
        <v>7282</v>
      </c>
      <c r="B550" s="530"/>
      <c r="C550" s="530"/>
      <c r="D550" s="530"/>
      <c r="E550" s="530" t="s">
        <v>7243</v>
      </c>
      <c r="F550" s="527"/>
      <c r="G550" s="527"/>
      <c r="H550" s="529"/>
      <c r="I550" s="529">
        <v>4649.8666800000001</v>
      </c>
      <c r="J550" s="528">
        <v>2.1409384050286655E-4</v>
      </c>
      <c r="K550" s="527" t="s">
        <v>399</v>
      </c>
    </row>
    <row r="551" spans="1:11" ht="25.5" x14ac:dyDescent="0.2">
      <c r="A551" s="526" t="s">
        <v>7281</v>
      </c>
      <c r="B551" s="525" t="s">
        <v>7260</v>
      </c>
      <c r="C551" s="524" t="s">
        <v>7259</v>
      </c>
      <c r="D551" s="524" t="s">
        <v>7272</v>
      </c>
      <c r="E551" s="523" t="s">
        <v>7271</v>
      </c>
      <c r="F551" s="520" t="s">
        <v>641</v>
      </c>
      <c r="G551" s="520">
        <v>699.32</v>
      </c>
      <c r="H551" s="522">
        <v>1.3365</v>
      </c>
      <c r="I551" s="522">
        <v>934.64118000000008</v>
      </c>
      <c r="J551" s="521">
        <v>4.3033689670932891E-5</v>
      </c>
      <c r="K551" s="520" t="s">
        <v>399</v>
      </c>
    </row>
    <row r="552" spans="1:11" ht="25.5" x14ac:dyDescent="0.2">
      <c r="A552" s="519" t="s">
        <v>7280</v>
      </c>
      <c r="B552" s="518" t="s">
        <v>7260</v>
      </c>
      <c r="C552" s="517" t="s">
        <v>7259</v>
      </c>
      <c r="D552" s="517" t="s">
        <v>7269</v>
      </c>
      <c r="E552" s="516" t="s">
        <v>7268</v>
      </c>
      <c r="F552" s="513" t="s">
        <v>641</v>
      </c>
      <c r="G552" s="513">
        <v>675.25</v>
      </c>
      <c r="H552" s="515">
        <v>5.5019999999999998</v>
      </c>
      <c r="I552" s="515">
        <v>3715.2255</v>
      </c>
      <c r="J552" s="514">
        <v>1.7106015083193367E-4</v>
      </c>
      <c r="K552" s="513" t="s">
        <v>399</v>
      </c>
    </row>
    <row r="553" spans="1:11" ht="25.5" x14ac:dyDescent="0.2">
      <c r="A553" s="526" t="s">
        <v>7279</v>
      </c>
      <c r="B553" s="525"/>
      <c r="C553" s="524"/>
      <c r="D553" s="524"/>
      <c r="E553" s="523" t="s">
        <v>7266</v>
      </c>
      <c r="F553" s="520" t="s">
        <v>1242</v>
      </c>
      <c r="G553" s="520">
        <v>1374.57</v>
      </c>
      <c r="H553" s="522">
        <v>0</v>
      </c>
      <c r="I553" s="522">
        <v>0</v>
      </c>
      <c r="J553" s="521"/>
      <c r="K553" s="520" t="s">
        <v>399</v>
      </c>
    </row>
    <row r="554" spans="1:11" x14ac:dyDescent="0.2">
      <c r="A554" s="203" t="s">
        <v>7278</v>
      </c>
      <c r="B554" s="530"/>
      <c r="C554" s="530"/>
      <c r="D554" s="530"/>
      <c r="E554" s="530" t="s">
        <v>7228</v>
      </c>
      <c r="F554" s="527"/>
      <c r="G554" s="527"/>
      <c r="H554" s="529"/>
      <c r="I554" s="529">
        <v>47828.572771859996</v>
      </c>
      <c r="J554" s="528">
        <v>2.2021712739725991E-3</v>
      </c>
      <c r="K554" s="527" t="s">
        <v>399</v>
      </c>
    </row>
    <row r="555" spans="1:11" ht="25.5" x14ac:dyDescent="0.2">
      <c r="A555" s="519" t="s">
        <v>7277</v>
      </c>
      <c r="B555" s="518" t="s">
        <v>7260</v>
      </c>
      <c r="C555" s="517" t="s">
        <v>7259</v>
      </c>
      <c r="D555" s="517" t="s">
        <v>7263</v>
      </c>
      <c r="E555" s="516" t="s">
        <v>7262</v>
      </c>
      <c r="F555" s="513" t="s">
        <v>641</v>
      </c>
      <c r="G555" s="513">
        <v>1374.57</v>
      </c>
      <c r="H555" s="515">
        <v>17.209589999999999</v>
      </c>
      <c r="I555" s="515">
        <v>23655.786126299998</v>
      </c>
      <c r="J555" s="514">
        <v>1.089183507922424E-3</v>
      </c>
      <c r="K555" s="513" t="s">
        <v>399</v>
      </c>
    </row>
    <row r="556" spans="1:11" ht="25.5" x14ac:dyDescent="0.2">
      <c r="A556" s="526" t="s">
        <v>7276</v>
      </c>
      <c r="B556" s="525" t="s">
        <v>7260</v>
      </c>
      <c r="C556" s="524" t="s">
        <v>7259</v>
      </c>
      <c r="D556" s="524" t="s">
        <v>7258</v>
      </c>
      <c r="E556" s="523" t="s">
        <v>7257</v>
      </c>
      <c r="F556" s="520" t="s">
        <v>641</v>
      </c>
      <c r="G556" s="520">
        <v>1374.57</v>
      </c>
      <c r="H556" s="522">
        <v>17.585708</v>
      </c>
      <c r="I556" s="522">
        <v>24172.786645559998</v>
      </c>
      <c r="J556" s="521">
        <v>1.1129877660501753E-3</v>
      </c>
      <c r="K556" s="520" t="s">
        <v>399</v>
      </c>
    </row>
    <row r="557" spans="1:11" x14ac:dyDescent="0.2">
      <c r="A557" s="536" t="s">
        <v>7275</v>
      </c>
      <c r="B557" s="535"/>
      <c r="C557" s="534"/>
      <c r="D557" s="534"/>
      <c r="E557" s="534" t="s">
        <v>6881</v>
      </c>
      <c r="F557" s="531"/>
      <c r="G557" s="531"/>
      <c r="H557" s="533"/>
      <c r="I557" s="533">
        <v>64705.713937819994</v>
      </c>
      <c r="J557" s="532">
        <v>2.9792455897741446E-3</v>
      </c>
      <c r="K557" s="531" t="s">
        <v>399</v>
      </c>
    </row>
    <row r="558" spans="1:11" x14ac:dyDescent="0.2">
      <c r="A558" s="203" t="s">
        <v>7274</v>
      </c>
      <c r="B558" s="530"/>
      <c r="C558" s="530"/>
      <c r="D558" s="530"/>
      <c r="E558" s="530" t="s">
        <v>7243</v>
      </c>
      <c r="F558" s="527"/>
      <c r="G558" s="527"/>
      <c r="H558" s="529"/>
      <c r="I558" s="529">
        <v>4698.0909599999995</v>
      </c>
      <c r="J558" s="528">
        <v>2.1631423132720853E-4</v>
      </c>
      <c r="K558" s="527" t="s">
        <v>399</v>
      </c>
    </row>
    <row r="559" spans="1:11" ht="25.5" x14ac:dyDescent="0.2">
      <c r="A559" s="519" t="s">
        <v>7273</v>
      </c>
      <c r="B559" s="518" t="s">
        <v>7260</v>
      </c>
      <c r="C559" s="517" t="s">
        <v>7259</v>
      </c>
      <c r="D559" s="517" t="s">
        <v>7272</v>
      </c>
      <c r="E559" s="516" t="s">
        <v>7271</v>
      </c>
      <c r="F559" s="513" t="s">
        <v>641</v>
      </c>
      <c r="G559" s="513">
        <v>1150.08</v>
      </c>
      <c r="H559" s="515">
        <v>1.3365</v>
      </c>
      <c r="I559" s="515">
        <v>1537.0819199999999</v>
      </c>
      <c r="J559" s="514">
        <v>7.0771872414268842E-5</v>
      </c>
      <c r="K559" s="513" t="s">
        <v>399</v>
      </c>
    </row>
    <row r="560" spans="1:11" ht="25.5" x14ac:dyDescent="0.2">
      <c r="A560" s="526" t="s">
        <v>7270</v>
      </c>
      <c r="B560" s="525" t="s">
        <v>7260</v>
      </c>
      <c r="C560" s="524" t="s">
        <v>7259</v>
      </c>
      <c r="D560" s="524" t="s">
        <v>7269</v>
      </c>
      <c r="E560" s="523" t="s">
        <v>7268</v>
      </c>
      <c r="F560" s="520" t="s">
        <v>641</v>
      </c>
      <c r="G560" s="520">
        <v>574.52</v>
      </c>
      <c r="H560" s="522">
        <v>5.5019999999999998</v>
      </c>
      <c r="I560" s="522">
        <v>3161.0090399999999</v>
      </c>
      <c r="J560" s="521">
        <v>1.455423589129397E-4</v>
      </c>
      <c r="K560" s="520" t="s">
        <v>399</v>
      </c>
    </row>
    <row r="561" spans="1:11" ht="25.5" x14ac:dyDescent="0.2">
      <c r="A561" s="519" t="s">
        <v>7267</v>
      </c>
      <c r="B561" s="518"/>
      <c r="C561" s="517"/>
      <c r="D561" s="517"/>
      <c r="E561" s="516" t="s">
        <v>7266</v>
      </c>
      <c r="F561" s="513" t="s">
        <v>1242</v>
      </c>
      <c r="G561" s="513">
        <v>1724.59</v>
      </c>
      <c r="H561" s="515">
        <v>0</v>
      </c>
      <c r="I561" s="515">
        <v>0</v>
      </c>
      <c r="J561" s="514"/>
      <c r="K561" s="513" t="s">
        <v>399</v>
      </c>
    </row>
    <row r="562" spans="1:11" x14ac:dyDescent="0.2">
      <c r="A562" s="203" t="s">
        <v>7265</v>
      </c>
      <c r="B562" s="530"/>
      <c r="C562" s="530"/>
      <c r="D562" s="530"/>
      <c r="E562" s="530" t="s">
        <v>7228</v>
      </c>
      <c r="F562" s="527"/>
      <c r="G562" s="527"/>
      <c r="H562" s="529"/>
      <c r="I562" s="529">
        <v>60007.622977819992</v>
      </c>
      <c r="J562" s="528">
        <v>2.7629313584469359E-3</v>
      </c>
      <c r="K562" s="527" t="s">
        <v>399</v>
      </c>
    </row>
    <row r="563" spans="1:11" ht="25.5" x14ac:dyDescent="0.2">
      <c r="A563" s="526" t="s">
        <v>7264</v>
      </c>
      <c r="B563" s="525" t="s">
        <v>7260</v>
      </c>
      <c r="C563" s="524" t="s">
        <v>7259</v>
      </c>
      <c r="D563" s="524" t="s">
        <v>7263</v>
      </c>
      <c r="E563" s="523" t="s">
        <v>7262</v>
      </c>
      <c r="F563" s="520" t="s">
        <v>641</v>
      </c>
      <c r="G563" s="520">
        <v>1724.59</v>
      </c>
      <c r="H563" s="522">
        <v>17.209589999999999</v>
      </c>
      <c r="I563" s="522">
        <v>29679.486818099995</v>
      </c>
      <c r="J563" s="521">
        <v>1.3665327963857301E-3</v>
      </c>
      <c r="K563" s="520" t="s">
        <v>399</v>
      </c>
    </row>
    <row r="564" spans="1:11" ht="25.5" x14ac:dyDescent="0.2">
      <c r="A564" s="519" t="s">
        <v>7261</v>
      </c>
      <c r="B564" s="518" t="s">
        <v>7260</v>
      </c>
      <c r="C564" s="517" t="s">
        <v>7259</v>
      </c>
      <c r="D564" s="517" t="s">
        <v>7258</v>
      </c>
      <c r="E564" s="516" t="s">
        <v>7257</v>
      </c>
      <c r="F564" s="513" t="s">
        <v>641</v>
      </c>
      <c r="G564" s="513">
        <v>1724.59</v>
      </c>
      <c r="H564" s="515">
        <v>17.585708</v>
      </c>
      <c r="I564" s="515">
        <v>30328.136159719998</v>
      </c>
      <c r="J564" s="514">
        <v>1.3963985620612058E-3</v>
      </c>
      <c r="K564" s="513" t="s">
        <v>399</v>
      </c>
    </row>
    <row r="565" spans="1:11" x14ac:dyDescent="0.2">
      <c r="A565" s="542" t="s">
        <v>7256</v>
      </c>
      <c r="B565" s="541"/>
      <c r="C565" s="540"/>
      <c r="D565" s="540"/>
      <c r="E565" s="540" t="s">
        <v>7255</v>
      </c>
      <c r="F565" s="537"/>
      <c r="G565" s="537"/>
      <c r="H565" s="539"/>
      <c r="I565" s="539">
        <v>0</v>
      </c>
      <c r="J565" s="538"/>
      <c r="K565" s="537" t="s">
        <v>399</v>
      </c>
    </row>
    <row r="566" spans="1:11" x14ac:dyDescent="0.2">
      <c r="A566" s="536" t="s">
        <v>7254</v>
      </c>
      <c r="B566" s="535"/>
      <c r="C566" s="534"/>
      <c r="D566" s="534"/>
      <c r="E566" s="534" t="s">
        <v>6806</v>
      </c>
      <c r="F566" s="531"/>
      <c r="G566" s="531"/>
      <c r="H566" s="533"/>
      <c r="I566" s="533">
        <v>0</v>
      </c>
      <c r="J566" s="532"/>
      <c r="K566" s="531" t="s">
        <v>399</v>
      </c>
    </row>
    <row r="567" spans="1:11" x14ac:dyDescent="0.2">
      <c r="A567" s="203" t="s">
        <v>7253</v>
      </c>
      <c r="B567" s="530"/>
      <c r="C567" s="530"/>
      <c r="D567" s="530"/>
      <c r="E567" s="530" t="s">
        <v>7243</v>
      </c>
      <c r="F567" s="527"/>
      <c r="G567" s="527"/>
      <c r="H567" s="529"/>
      <c r="I567" s="529">
        <v>0</v>
      </c>
      <c r="J567" s="528"/>
      <c r="K567" s="527" t="s">
        <v>399</v>
      </c>
    </row>
    <row r="568" spans="1:11" x14ac:dyDescent="0.2">
      <c r="A568" s="526" t="s">
        <v>7252</v>
      </c>
      <c r="B568" s="525"/>
      <c r="C568" s="524"/>
      <c r="D568" s="524"/>
      <c r="E568" s="523" t="s">
        <v>7241</v>
      </c>
      <c r="F568" s="520" t="s">
        <v>1242</v>
      </c>
      <c r="G568" s="520">
        <v>3.66</v>
      </c>
      <c r="H568" s="522">
        <v>0</v>
      </c>
      <c r="I568" s="522">
        <v>0</v>
      </c>
      <c r="J568" s="521"/>
      <c r="K568" s="520" t="s">
        <v>399</v>
      </c>
    </row>
    <row r="569" spans="1:11" x14ac:dyDescent="0.2">
      <c r="A569" s="519" t="s">
        <v>7251</v>
      </c>
      <c r="B569" s="518"/>
      <c r="C569" s="517"/>
      <c r="D569" s="517"/>
      <c r="E569" s="516" t="s">
        <v>7250</v>
      </c>
      <c r="F569" s="513" t="s">
        <v>1242</v>
      </c>
      <c r="G569" s="513">
        <v>1</v>
      </c>
      <c r="H569" s="515">
        <v>0</v>
      </c>
      <c r="I569" s="515">
        <v>0</v>
      </c>
      <c r="J569" s="514"/>
      <c r="K569" s="513" t="s">
        <v>399</v>
      </c>
    </row>
    <row r="570" spans="1:11" x14ac:dyDescent="0.2">
      <c r="A570" s="526" t="s">
        <v>7249</v>
      </c>
      <c r="B570" s="525"/>
      <c r="C570" s="524"/>
      <c r="D570" s="524"/>
      <c r="E570" s="523" t="s">
        <v>7239</v>
      </c>
      <c r="F570" s="520" t="s">
        <v>1242</v>
      </c>
      <c r="G570" s="520">
        <v>4.66</v>
      </c>
      <c r="H570" s="522">
        <v>0</v>
      </c>
      <c r="I570" s="522">
        <v>0</v>
      </c>
      <c r="J570" s="521"/>
      <c r="K570" s="520" t="s">
        <v>399</v>
      </c>
    </row>
    <row r="571" spans="1:11" x14ac:dyDescent="0.2">
      <c r="A571" s="203" t="s">
        <v>7248</v>
      </c>
      <c r="B571" s="530"/>
      <c r="C571" s="530"/>
      <c r="D571" s="530"/>
      <c r="E571" s="530" t="s">
        <v>7228</v>
      </c>
      <c r="F571" s="527"/>
      <c r="G571" s="527"/>
      <c r="H571" s="529"/>
      <c r="I571" s="529">
        <v>0</v>
      </c>
      <c r="J571" s="528"/>
      <c r="K571" s="527" t="s">
        <v>399</v>
      </c>
    </row>
    <row r="572" spans="1:11" ht="25.5" x14ac:dyDescent="0.2">
      <c r="A572" s="519" t="s">
        <v>7247</v>
      </c>
      <c r="B572" s="518"/>
      <c r="C572" s="517"/>
      <c r="D572" s="517"/>
      <c r="E572" s="516" t="s">
        <v>7234</v>
      </c>
      <c r="F572" s="513" t="s">
        <v>1242</v>
      </c>
      <c r="G572" s="513">
        <v>4.66</v>
      </c>
      <c r="H572" s="515">
        <v>0</v>
      </c>
      <c r="I572" s="515">
        <v>0</v>
      </c>
      <c r="J572" s="514"/>
      <c r="K572" s="513" t="s">
        <v>399</v>
      </c>
    </row>
    <row r="573" spans="1:11" ht="25.5" x14ac:dyDescent="0.2">
      <c r="A573" s="526" t="s">
        <v>7246</v>
      </c>
      <c r="B573" s="525"/>
      <c r="C573" s="524"/>
      <c r="D573" s="524"/>
      <c r="E573" s="523" t="s">
        <v>7232</v>
      </c>
      <c r="F573" s="520" t="s">
        <v>1242</v>
      </c>
      <c r="G573" s="520">
        <v>4.66</v>
      </c>
      <c r="H573" s="522">
        <v>0</v>
      </c>
      <c r="I573" s="522">
        <v>0</v>
      </c>
      <c r="J573" s="521"/>
      <c r="K573" s="520" t="s">
        <v>399</v>
      </c>
    </row>
    <row r="574" spans="1:11" x14ac:dyDescent="0.2">
      <c r="A574" s="536" t="s">
        <v>7245</v>
      </c>
      <c r="B574" s="535"/>
      <c r="C574" s="534"/>
      <c r="D574" s="534"/>
      <c r="E574" s="534" t="s">
        <v>6932</v>
      </c>
      <c r="F574" s="531"/>
      <c r="G574" s="531"/>
      <c r="H574" s="533"/>
      <c r="I574" s="533">
        <v>0</v>
      </c>
      <c r="J574" s="532"/>
      <c r="K574" s="531" t="s">
        <v>399</v>
      </c>
    </row>
    <row r="575" spans="1:11" x14ac:dyDescent="0.2">
      <c r="A575" s="203" t="s">
        <v>7244</v>
      </c>
      <c r="B575" s="530"/>
      <c r="C575" s="530"/>
      <c r="D575" s="530"/>
      <c r="E575" s="530" t="s">
        <v>7243</v>
      </c>
      <c r="F575" s="527"/>
      <c r="G575" s="527"/>
      <c r="H575" s="529"/>
      <c r="I575" s="529">
        <v>0</v>
      </c>
      <c r="J575" s="528"/>
      <c r="K575" s="527" t="s">
        <v>399</v>
      </c>
    </row>
    <row r="576" spans="1:11" x14ac:dyDescent="0.2">
      <c r="A576" s="519" t="s">
        <v>7242</v>
      </c>
      <c r="B576" s="518"/>
      <c r="C576" s="517"/>
      <c r="D576" s="517"/>
      <c r="E576" s="516" t="s">
        <v>7241</v>
      </c>
      <c r="F576" s="513" t="s">
        <v>1242</v>
      </c>
      <c r="G576" s="513">
        <v>1.66</v>
      </c>
      <c r="H576" s="515">
        <v>0</v>
      </c>
      <c r="I576" s="515">
        <v>0</v>
      </c>
      <c r="J576" s="514"/>
      <c r="K576" s="513" t="s">
        <v>399</v>
      </c>
    </row>
    <row r="577" spans="1:11" x14ac:dyDescent="0.2">
      <c r="A577" s="526" t="s">
        <v>7240</v>
      </c>
      <c r="B577" s="525"/>
      <c r="C577" s="524"/>
      <c r="D577" s="524"/>
      <c r="E577" s="523" t="s">
        <v>7239</v>
      </c>
      <c r="F577" s="520" t="s">
        <v>1242</v>
      </c>
      <c r="G577" s="520">
        <v>1.66</v>
      </c>
      <c r="H577" s="522">
        <v>0</v>
      </c>
      <c r="I577" s="522">
        <v>0</v>
      </c>
      <c r="J577" s="521"/>
      <c r="K577" s="520" t="s">
        <v>399</v>
      </c>
    </row>
    <row r="578" spans="1:11" x14ac:dyDescent="0.2">
      <c r="A578" s="203" t="s">
        <v>7238</v>
      </c>
      <c r="B578" s="530"/>
      <c r="C578" s="530"/>
      <c r="D578" s="530"/>
      <c r="E578" s="530" t="s">
        <v>7228</v>
      </c>
      <c r="F578" s="527"/>
      <c r="G578" s="527"/>
      <c r="H578" s="529"/>
      <c r="I578" s="529">
        <v>0</v>
      </c>
      <c r="J578" s="528"/>
      <c r="K578" s="527" t="s">
        <v>399</v>
      </c>
    </row>
    <row r="579" spans="1:11" x14ac:dyDescent="0.2">
      <c r="A579" s="519" t="s">
        <v>7237</v>
      </c>
      <c r="B579" s="518"/>
      <c r="C579" s="517"/>
      <c r="D579" s="517"/>
      <c r="E579" s="516" t="s">
        <v>7226</v>
      </c>
      <c r="F579" s="513" t="s">
        <v>1242</v>
      </c>
      <c r="G579" s="513">
        <v>352.38</v>
      </c>
      <c r="H579" s="515">
        <v>0</v>
      </c>
      <c r="I579" s="515">
        <v>0</v>
      </c>
      <c r="J579" s="514"/>
      <c r="K579" s="513" t="s">
        <v>7236</v>
      </c>
    </row>
    <row r="580" spans="1:11" ht="25.5" x14ac:dyDescent="0.2">
      <c r="A580" s="526" t="s">
        <v>7235</v>
      </c>
      <c r="B580" s="525"/>
      <c r="C580" s="524"/>
      <c r="D580" s="524"/>
      <c r="E580" s="523" t="s">
        <v>7234</v>
      </c>
      <c r="F580" s="520" t="s">
        <v>1242</v>
      </c>
      <c r="G580" s="520">
        <v>1.66</v>
      </c>
      <c r="H580" s="522">
        <v>0</v>
      </c>
      <c r="I580" s="522">
        <v>0</v>
      </c>
      <c r="J580" s="521"/>
      <c r="K580" s="520" t="s">
        <v>7231</v>
      </c>
    </row>
    <row r="581" spans="1:11" ht="25.5" x14ac:dyDescent="0.2">
      <c r="A581" s="519" t="s">
        <v>7233</v>
      </c>
      <c r="B581" s="518"/>
      <c r="C581" s="517"/>
      <c r="D581" s="517"/>
      <c r="E581" s="516" t="s">
        <v>7232</v>
      </c>
      <c r="F581" s="513" t="s">
        <v>1242</v>
      </c>
      <c r="G581" s="513">
        <v>1.66</v>
      </c>
      <c r="H581" s="515">
        <v>0</v>
      </c>
      <c r="I581" s="515">
        <v>0</v>
      </c>
      <c r="J581" s="514"/>
      <c r="K581" s="513" t="s">
        <v>7231</v>
      </c>
    </row>
    <row r="582" spans="1:11" x14ac:dyDescent="0.2">
      <c r="A582" s="536" t="s">
        <v>7230</v>
      </c>
      <c r="B582" s="535"/>
      <c r="C582" s="534"/>
      <c r="D582" s="534"/>
      <c r="E582" s="534" t="s">
        <v>6881</v>
      </c>
      <c r="F582" s="531"/>
      <c r="G582" s="531"/>
      <c r="H582" s="533"/>
      <c r="I582" s="533">
        <v>0</v>
      </c>
      <c r="J582" s="532"/>
      <c r="K582" s="531" t="s">
        <v>399</v>
      </c>
    </row>
    <row r="583" spans="1:11" x14ac:dyDescent="0.2">
      <c r="A583" s="203" t="s">
        <v>7229</v>
      </c>
      <c r="B583" s="530"/>
      <c r="C583" s="530"/>
      <c r="D583" s="530"/>
      <c r="E583" s="530" t="s">
        <v>7228</v>
      </c>
      <c r="F583" s="527"/>
      <c r="G583" s="527"/>
      <c r="H583" s="529"/>
      <c r="I583" s="529">
        <v>0</v>
      </c>
      <c r="J583" s="528"/>
      <c r="K583" s="527" t="s">
        <v>399</v>
      </c>
    </row>
    <row r="584" spans="1:11" x14ac:dyDescent="0.2">
      <c r="A584" s="526" t="s">
        <v>7227</v>
      </c>
      <c r="B584" s="525"/>
      <c r="C584" s="524"/>
      <c r="D584" s="524"/>
      <c r="E584" s="523" t="s">
        <v>7226</v>
      </c>
      <c r="F584" s="520" t="s">
        <v>1242</v>
      </c>
      <c r="G584" s="520">
        <v>124.24</v>
      </c>
      <c r="H584" s="522">
        <v>0</v>
      </c>
      <c r="I584" s="522">
        <v>0</v>
      </c>
      <c r="J584" s="521"/>
      <c r="K584" s="520" t="s">
        <v>399</v>
      </c>
    </row>
    <row r="585" spans="1:11" x14ac:dyDescent="0.2">
      <c r="A585" s="542" t="s">
        <v>7225</v>
      </c>
      <c r="B585" s="541"/>
      <c r="C585" s="540"/>
      <c r="D585" s="540"/>
      <c r="E585" s="540" t="s">
        <v>7224</v>
      </c>
      <c r="F585" s="537"/>
      <c r="G585" s="537"/>
      <c r="H585" s="539"/>
      <c r="I585" s="539">
        <v>0</v>
      </c>
      <c r="J585" s="538"/>
      <c r="K585" s="537" t="s">
        <v>399</v>
      </c>
    </row>
    <row r="586" spans="1:11" x14ac:dyDescent="0.2">
      <c r="A586" s="536" t="s">
        <v>7223</v>
      </c>
      <c r="B586" s="535"/>
      <c r="C586" s="534"/>
      <c r="D586" s="534"/>
      <c r="E586" s="534" t="s">
        <v>6938</v>
      </c>
      <c r="F586" s="531"/>
      <c r="G586" s="531"/>
      <c r="H586" s="533"/>
      <c r="I586" s="533">
        <v>0</v>
      </c>
      <c r="J586" s="532"/>
      <c r="K586" s="531" t="s">
        <v>399</v>
      </c>
    </row>
    <row r="587" spans="1:11" x14ac:dyDescent="0.2">
      <c r="A587" s="203" t="s">
        <v>7222</v>
      </c>
      <c r="B587" s="530"/>
      <c r="C587" s="530"/>
      <c r="D587" s="530"/>
      <c r="E587" s="530" t="s">
        <v>7221</v>
      </c>
      <c r="F587" s="527"/>
      <c r="G587" s="527"/>
      <c r="H587" s="529"/>
      <c r="I587" s="529">
        <v>0</v>
      </c>
      <c r="J587" s="528"/>
      <c r="K587" s="527" t="s">
        <v>399</v>
      </c>
    </row>
    <row r="588" spans="1:11" x14ac:dyDescent="0.2">
      <c r="A588" s="519" t="s">
        <v>7220</v>
      </c>
      <c r="B588" s="518"/>
      <c r="C588" s="517"/>
      <c r="D588" s="517"/>
      <c r="E588" s="516" t="s">
        <v>7219</v>
      </c>
      <c r="F588" s="513" t="s">
        <v>1242</v>
      </c>
      <c r="G588" s="513">
        <v>630.5</v>
      </c>
      <c r="H588" s="515">
        <v>0</v>
      </c>
      <c r="I588" s="515">
        <v>0</v>
      </c>
      <c r="J588" s="514"/>
      <c r="K588" s="513" t="s">
        <v>399</v>
      </c>
    </row>
    <row r="589" spans="1:11" x14ac:dyDescent="0.2">
      <c r="A589" s="526" t="s">
        <v>7218</v>
      </c>
      <c r="B589" s="525"/>
      <c r="C589" s="524"/>
      <c r="D589" s="524"/>
      <c r="E589" s="523" t="s">
        <v>7217</v>
      </c>
      <c r="F589" s="520" t="s">
        <v>1242</v>
      </c>
      <c r="G589" s="520">
        <v>553.91999999999996</v>
      </c>
      <c r="H589" s="522">
        <v>0</v>
      </c>
      <c r="I589" s="522">
        <v>0</v>
      </c>
      <c r="J589" s="521"/>
      <c r="K589" s="520" t="s">
        <v>399</v>
      </c>
    </row>
    <row r="590" spans="1:11" x14ac:dyDescent="0.2">
      <c r="A590" s="519" t="s">
        <v>7216</v>
      </c>
      <c r="B590" s="518"/>
      <c r="C590" s="517"/>
      <c r="D590" s="517"/>
      <c r="E590" s="516" t="s">
        <v>7215</v>
      </c>
      <c r="F590" s="513" t="s">
        <v>1242</v>
      </c>
      <c r="G590" s="513">
        <v>1726.89</v>
      </c>
      <c r="H590" s="515">
        <v>0</v>
      </c>
      <c r="I590" s="515">
        <v>0</v>
      </c>
      <c r="J590" s="514"/>
      <c r="K590" s="513" t="s">
        <v>399</v>
      </c>
    </row>
    <row r="591" spans="1:11" x14ac:dyDescent="0.2">
      <c r="A591" s="526" t="s">
        <v>7214</v>
      </c>
      <c r="B591" s="525"/>
      <c r="C591" s="524"/>
      <c r="D591" s="524"/>
      <c r="E591" s="523" t="s">
        <v>7213</v>
      </c>
      <c r="F591" s="520" t="s">
        <v>1242</v>
      </c>
      <c r="G591" s="520">
        <v>582.66</v>
      </c>
      <c r="H591" s="522">
        <v>0</v>
      </c>
      <c r="I591" s="522">
        <v>0</v>
      </c>
      <c r="J591" s="521"/>
      <c r="K591" s="520" t="s">
        <v>399</v>
      </c>
    </row>
    <row r="592" spans="1:11" x14ac:dyDescent="0.2">
      <c r="A592" s="519" t="s">
        <v>7212</v>
      </c>
      <c r="B592" s="518"/>
      <c r="C592" s="517"/>
      <c r="D592" s="517"/>
      <c r="E592" s="516" t="s">
        <v>7211</v>
      </c>
      <c r="F592" s="513" t="s">
        <v>1242</v>
      </c>
      <c r="G592" s="513">
        <v>31.68</v>
      </c>
      <c r="H592" s="515">
        <v>0</v>
      </c>
      <c r="I592" s="515">
        <v>0</v>
      </c>
      <c r="J592" s="514"/>
      <c r="K592" s="513" t="s">
        <v>399</v>
      </c>
    </row>
    <row r="593" spans="1:11" x14ac:dyDescent="0.2">
      <c r="A593" s="526" t="s">
        <v>7210</v>
      </c>
      <c r="B593" s="525"/>
      <c r="C593" s="524"/>
      <c r="D593" s="524"/>
      <c r="E593" s="523" t="s">
        <v>7209</v>
      </c>
      <c r="F593" s="520" t="s">
        <v>1242</v>
      </c>
      <c r="G593" s="520">
        <v>14.77</v>
      </c>
      <c r="H593" s="522">
        <v>0</v>
      </c>
      <c r="I593" s="522">
        <v>0</v>
      </c>
      <c r="J593" s="521"/>
      <c r="K593" s="520" t="s">
        <v>399</v>
      </c>
    </row>
    <row r="594" spans="1:11" x14ac:dyDescent="0.2">
      <c r="A594" s="519" t="s">
        <v>7208</v>
      </c>
      <c r="B594" s="518"/>
      <c r="C594" s="517"/>
      <c r="D594" s="517"/>
      <c r="E594" s="516" t="s">
        <v>7207</v>
      </c>
      <c r="F594" s="513" t="s">
        <v>1242</v>
      </c>
      <c r="G594" s="513">
        <v>598.14</v>
      </c>
      <c r="H594" s="515">
        <v>0</v>
      </c>
      <c r="I594" s="515">
        <v>0</v>
      </c>
      <c r="J594" s="514"/>
      <c r="K594" s="513" t="s">
        <v>399</v>
      </c>
    </row>
    <row r="595" spans="1:11" x14ac:dyDescent="0.2">
      <c r="A595" s="526" t="s">
        <v>7206</v>
      </c>
      <c r="B595" s="525"/>
      <c r="C595" s="524"/>
      <c r="D595" s="524"/>
      <c r="E595" s="523" t="s">
        <v>7205</v>
      </c>
      <c r="F595" s="520" t="s">
        <v>1242</v>
      </c>
      <c r="G595" s="520">
        <v>582.79</v>
      </c>
      <c r="H595" s="522">
        <v>0</v>
      </c>
      <c r="I595" s="522">
        <v>0</v>
      </c>
      <c r="J595" s="521"/>
      <c r="K595" s="520" t="s">
        <v>399</v>
      </c>
    </row>
    <row r="596" spans="1:11" x14ac:dyDescent="0.2">
      <c r="A596" s="519" t="s">
        <v>7204</v>
      </c>
      <c r="B596" s="518"/>
      <c r="C596" s="517"/>
      <c r="D596" s="517"/>
      <c r="E596" s="516" t="s">
        <v>7203</v>
      </c>
      <c r="F596" s="513" t="s">
        <v>1242</v>
      </c>
      <c r="G596" s="513">
        <v>142.63</v>
      </c>
      <c r="H596" s="515">
        <v>0</v>
      </c>
      <c r="I596" s="515">
        <v>0</v>
      </c>
      <c r="J596" s="514"/>
      <c r="K596" s="513" t="s">
        <v>399</v>
      </c>
    </row>
    <row r="597" spans="1:11" x14ac:dyDescent="0.2">
      <c r="A597" s="526" t="s">
        <v>7202</v>
      </c>
      <c r="B597" s="525"/>
      <c r="C597" s="524"/>
      <c r="D597" s="524"/>
      <c r="E597" s="523" t="s">
        <v>7201</v>
      </c>
      <c r="F597" s="520" t="s">
        <v>1242</v>
      </c>
      <c r="G597" s="520">
        <v>35.54</v>
      </c>
      <c r="H597" s="522">
        <v>0</v>
      </c>
      <c r="I597" s="522">
        <v>0</v>
      </c>
      <c r="J597" s="521"/>
      <c r="K597" s="520" t="s">
        <v>399</v>
      </c>
    </row>
    <row r="598" spans="1:11" x14ac:dyDescent="0.2">
      <c r="A598" s="519" t="s">
        <v>7200</v>
      </c>
      <c r="B598" s="518"/>
      <c r="C598" s="517"/>
      <c r="D598" s="517"/>
      <c r="E598" s="516" t="s">
        <v>7199</v>
      </c>
      <c r="F598" s="513" t="s">
        <v>1242</v>
      </c>
      <c r="G598" s="513">
        <v>7.08</v>
      </c>
      <c r="H598" s="515">
        <v>0</v>
      </c>
      <c r="I598" s="515">
        <v>0</v>
      </c>
      <c r="J598" s="514"/>
      <c r="K598" s="513" t="s">
        <v>399</v>
      </c>
    </row>
    <row r="599" spans="1:11" x14ac:dyDescent="0.2">
      <c r="A599" s="526" t="s">
        <v>7198</v>
      </c>
      <c r="B599" s="525"/>
      <c r="C599" s="524"/>
      <c r="D599" s="524"/>
      <c r="E599" s="523" t="s">
        <v>7197</v>
      </c>
      <c r="F599" s="520" t="s">
        <v>1242</v>
      </c>
      <c r="G599" s="520">
        <v>175.26</v>
      </c>
      <c r="H599" s="522">
        <v>0</v>
      </c>
      <c r="I599" s="522">
        <v>0</v>
      </c>
      <c r="J599" s="521"/>
      <c r="K599" s="520" t="s">
        <v>399</v>
      </c>
    </row>
    <row r="600" spans="1:11" x14ac:dyDescent="0.2">
      <c r="A600" s="519" t="s">
        <v>7196</v>
      </c>
      <c r="B600" s="518"/>
      <c r="C600" s="517"/>
      <c r="D600" s="517"/>
      <c r="E600" s="516" t="s">
        <v>7195</v>
      </c>
      <c r="F600" s="513" t="s">
        <v>1242</v>
      </c>
      <c r="G600" s="513">
        <v>126.52</v>
      </c>
      <c r="H600" s="515">
        <v>0</v>
      </c>
      <c r="I600" s="515">
        <v>0</v>
      </c>
      <c r="J600" s="514"/>
      <c r="K600" s="513" t="s">
        <v>399</v>
      </c>
    </row>
    <row r="601" spans="1:11" x14ac:dyDescent="0.2">
      <c r="A601" s="526" t="s">
        <v>7194</v>
      </c>
      <c r="B601" s="525"/>
      <c r="C601" s="524"/>
      <c r="D601" s="524"/>
      <c r="E601" s="523" t="s">
        <v>7193</v>
      </c>
      <c r="F601" s="520" t="s">
        <v>1242</v>
      </c>
      <c r="G601" s="520">
        <v>1687.27</v>
      </c>
      <c r="H601" s="522">
        <v>0</v>
      </c>
      <c r="I601" s="522">
        <v>0</v>
      </c>
      <c r="J601" s="521"/>
      <c r="K601" s="520" t="s">
        <v>399</v>
      </c>
    </row>
    <row r="602" spans="1:11" x14ac:dyDescent="0.2">
      <c r="A602" s="519" t="s">
        <v>7192</v>
      </c>
      <c r="B602" s="518"/>
      <c r="C602" s="517"/>
      <c r="D602" s="517"/>
      <c r="E602" s="516" t="s">
        <v>7191</v>
      </c>
      <c r="F602" s="513" t="s">
        <v>1242</v>
      </c>
      <c r="G602" s="513">
        <v>8.4</v>
      </c>
      <c r="H602" s="515">
        <v>0</v>
      </c>
      <c r="I602" s="515">
        <v>0</v>
      </c>
      <c r="J602" s="514"/>
      <c r="K602" s="513" t="s">
        <v>399</v>
      </c>
    </row>
    <row r="603" spans="1:11" x14ac:dyDescent="0.2">
      <c r="A603" s="526" t="s">
        <v>7190</v>
      </c>
      <c r="B603" s="525"/>
      <c r="C603" s="524"/>
      <c r="D603" s="524"/>
      <c r="E603" s="523" t="s">
        <v>7189</v>
      </c>
      <c r="F603" s="520" t="s">
        <v>1242</v>
      </c>
      <c r="G603" s="520">
        <v>10.94</v>
      </c>
      <c r="H603" s="522">
        <v>0</v>
      </c>
      <c r="I603" s="522">
        <v>0</v>
      </c>
      <c r="J603" s="521"/>
      <c r="K603" s="520" t="s">
        <v>399</v>
      </c>
    </row>
    <row r="604" spans="1:11" x14ac:dyDescent="0.2">
      <c r="A604" s="519" t="s">
        <v>7188</v>
      </c>
      <c r="B604" s="518"/>
      <c r="C604" s="517"/>
      <c r="D604" s="517"/>
      <c r="E604" s="516" t="s">
        <v>7187</v>
      </c>
      <c r="F604" s="513" t="s">
        <v>1242</v>
      </c>
      <c r="G604" s="513">
        <v>121.89</v>
      </c>
      <c r="H604" s="515">
        <v>0</v>
      </c>
      <c r="I604" s="515">
        <v>0</v>
      </c>
      <c r="J604" s="514"/>
      <c r="K604" s="513" t="s">
        <v>399</v>
      </c>
    </row>
    <row r="605" spans="1:11" x14ac:dyDescent="0.2">
      <c r="A605" s="526" t="s">
        <v>7186</v>
      </c>
      <c r="B605" s="525"/>
      <c r="C605" s="524"/>
      <c r="D605" s="524"/>
      <c r="E605" s="523" t="s">
        <v>7185</v>
      </c>
      <c r="F605" s="520" t="s">
        <v>1242</v>
      </c>
      <c r="G605" s="520">
        <v>755.42</v>
      </c>
      <c r="H605" s="522">
        <v>0</v>
      </c>
      <c r="I605" s="522">
        <v>0</v>
      </c>
      <c r="J605" s="521"/>
      <c r="K605" s="520" t="s">
        <v>399</v>
      </c>
    </row>
    <row r="606" spans="1:11" x14ac:dyDescent="0.2">
      <c r="A606" s="519" t="s">
        <v>7184</v>
      </c>
      <c r="B606" s="518"/>
      <c r="C606" s="517"/>
      <c r="D606" s="517"/>
      <c r="E606" s="516" t="s">
        <v>7183</v>
      </c>
      <c r="F606" s="513" t="s">
        <v>1242</v>
      </c>
      <c r="G606" s="513">
        <v>0.5</v>
      </c>
      <c r="H606" s="515">
        <v>0</v>
      </c>
      <c r="I606" s="515">
        <v>0</v>
      </c>
      <c r="J606" s="514"/>
      <c r="K606" s="513" t="s">
        <v>399</v>
      </c>
    </row>
    <row r="607" spans="1:11" x14ac:dyDescent="0.2">
      <c r="A607" s="542" t="s">
        <v>7182</v>
      </c>
      <c r="B607" s="541"/>
      <c r="C607" s="540"/>
      <c r="D607" s="540"/>
      <c r="E607" s="540" t="s">
        <v>7181</v>
      </c>
      <c r="F607" s="537"/>
      <c r="G607" s="537"/>
      <c r="H607" s="539"/>
      <c r="I607" s="539">
        <v>0</v>
      </c>
      <c r="J607" s="538"/>
      <c r="K607" s="537" t="s">
        <v>399</v>
      </c>
    </row>
    <row r="608" spans="1:11" x14ac:dyDescent="0.2">
      <c r="A608" s="536" t="s">
        <v>7180</v>
      </c>
      <c r="B608" s="535"/>
      <c r="C608" s="534"/>
      <c r="D608" s="534"/>
      <c r="E608" s="534" t="s">
        <v>6938</v>
      </c>
      <c r="F608" s="531"/>
      <c r="G608" s="531"/>
      <c r="H608" s="533"/>
      <c r="I608" s="533">
        <v>0</v>
      </c>
      <c r="J608" s="532"/>
      <c r="K608" s="531" t="s">
        <v>399</v>
      </c>
    </row>
    <row r="609" spans="1:11" x14ac:dyDescent="0.2">
      <c r="A609" s="203" t="s">
        <v>7179</v>
      </c>
      <c r="B609" s="530"/>
      <c r="C609" s="530"/>
      <c r="D609" s="530"/>
      <c r="E609" s="530" t="s">
        <v>7178</v>
      </c>
      <c r="F609" s="527"/>
      <c r="G609" s="527"/>
      <c r="H609" s="529"/>
      <c r="I609" s="529">
        <v>0</v>
      </c>
      <c r="J609" s="528"/>
      <c r="K609" s="527" t="s">
        <v>399</v>
      </c>
    </row>
    <row r="610" spans="1:11" x14ac:dyDescent="0.2">
      <c r="A610" s="526" t="s">
        <v>7177</v>
      </c>
      <c r="B610" s="525"/>
      <c r="C610" s="524"/>
      <c r="D610" s="524"/>
      <c r="E610" s="523" t="s">
        <v>7176</v>
      </c>
      <c r="F610" s="520" t="s">
        <v>1242</v>
      </c>
      <c r="G610" s="520">
        <v>647.47</v>
      </c>
      <c r="H610" s="522">
        <v>0</v>
      </c>
      <c r="I610" s="522">
        <v>0</v>
      </c>
      <c r="J610" s="521"/>
      <c r="K610" s="520" t="s">
        <v>399</v>
      </c>
    </row>
    <row r="611" spans="1:11" x14ac:dyDescent="0.2">
      <c r="A611" s="519" t="s">
        <v>7175</v>
      </c>
      <c r="B611" s="518"/>
      <c r="C611" s="517"/>
      <c r="D611" s="517"/>
      <c r="E611" s="516" t="s">
        <v>7174</v>
      </c>
      <c r="F611" s="513" t="s">
        <v>1242</v>
      </c>
      <c r="G611" s="513">
        <v>101.81</v>
      </c>
      <c r="H611" s="515">
        <v>0</v>
      </c>
      <c r="I611" s="515">
        <v>0</v>
      </c>
      <c r="J611" s="514"/>
      <c r="K611" s="513" t="s">
        <v>399</v>
      </c>
    </row>
    <row r="612" spans="1:11" x14ac:dyDescent="0.2">
      <c r="A612" s="526" t="s">
        <v>7173</v>
      </c>
      <c r="B612" s="525"/>
      <c r="C612" s="524"/>
      <c r="D612" s="524"/>
      <c r="E612" s="523" t="s">
        <v>7172</v>
      </c>
      <c r="F612" s="520" t="s">
        <v>1242</v>
      </c>
      <c r="G612" s="520">
        <v>706.87</v>
      </c>
      <c r="H612" s="522">
        <v>0</v>
      </c>
      <c r="I612" s="522">
        <v>0</v>
      </c>
      <c r="J612" s="521"/>
      <c r="K612" s="520" t="s">
        <v>399</v>
      </c>
    </row>
    <row r="613" spans="1:11" x14ac:dyDescent="0.2">
      <c r="A613" s="519" t="s">
        <v>7171</v>
      </c>
      <c r="B613" s="518"/>
      <c r="C613" s="517"/>
      <c r="D613" s="517"/>
      <c r="E613" s="516" t="s">
        <v>7170</v>
      </c>
      <c r="F613" s="513" t="s">
        <v>1242</v>
      </c>
      <c r="G613" s="513">
        <v>2667.36</v>
      </c>
      <c r="H613" s="515">
        <v>0</v>
      </c>
      <c r="I613" s="515">
        <v>0</v>
      </c>
      <c r="J613" s="514"/>
      <c r="K613" s="513" t="s">
        <v>399</v>
      </c>
    </row>
    <row r="614" spans="1:11" x14ac:dyDescent="0.2">
      <c r="A614" s="526" t="s">
        <v>7169</v>
      </c>
      <c r="B614" s="525"/>
      <c r="C614" s="524"/>
      <c r="D614" s="524"/>
      <c r="E614" s="523" t="s">
        <v>7168</v>
      </c>
      <c r="F614" s="520" t="s">
        <v>1242</v>
      </c>
      <c r="G614" s="520">
        <v>5.52</v>
      </c>
      <c r="H614" s="522">
        <v>0</v>
      </c>
      <c r="I614" s="522">
        <v>0</v>
      </c>
      <c r="J614" s="521"/>
      <c r="K614" s="520" t="s">
        <v>399</v>
      </c>
    </row>
    <row r="615" spans="1:11" x14ac:dyDescent="0.2">
      <c r="A615" s="519" t="s">
        <v>7167</v>
      </c>
      <c r="B615" s="518"/>
      <c r="C615" s="517"/>
      <c r="D615" s="517"/>
      <c r="E615" s="516" t="s">
        <v>7166</v>
      </c>
      <c r="F615" s="513" t="s">
        <v>1242</v>
      </c>
      <c r="G615" s="513">
        <v>523.92999999999995</v>
      </c>
      <c r="H615" s="515">
        <v>0</v>
      </c>
      <c r="I615" s="515">
        <v>0</v>
      </c>
      <c r="J615" s="514"/>
      <c r="K615" s="513" t="s">
        <v>399</v>
      </c>
    </row>
    <row r="616" spans="1:11" x14ac:dyDescent="0.2">
      <c r="A616" s="526" t="s">
        <v>7165</v>
      </c>
      <c r="B616" s="525"/>
      <c r="C616" s="524"/>
      <c r="D616" s="524"/>
      <c r="E616" s="523" t="s">
        <v>7164</v>
      </c>
      <c r="F616" s="520" t="s">
        <v>1242</v>
      </c>
      <c r="G616" s="520">
        <v>0.5</v>
      </c>
      <c r="H616" s="522">
        <v>0</v>
      </c>
      <c r="I616" s="522">
        <v>0</v>
      </c>
      <c r="J616" s="521"/>
      <c r="K616" s="520" t="s">
        <v>399</v>
      </c>
    </row>
    <row r="617" spans="1:11" x14ac:dyDescent="0.2">
      <c r="A617" s="519" t="s">
        <v>7163</v>
      </c>
      <c r="B617" s="518"/>
      <c r="C617" s="517"/>
      <c r="D617" s="517"/>
      <c r="E617" s="516" t="s">
        <v>7162</v>
      </c>
      <c r="F617" s="513" t="s">
        <v>1242</v>
      </c>
      <c r="G617" s="513">
        <v>55.36</v>
      </c>
      <c r="H617" s="515">
        <v>0</v>
      </c>
      <c r="I617" s="515">
        <v>0</v>
      </c>
      <c r="J617" s="514"/>
      <c r="K617" s="513" t="s">
        <v>399</v>
      </c>
    </row>
    <row r="618" spans="1:11" x14ac:dyDescent="0.2">
      <c r="A618" s="526" t="s">
        <v>7161</v>
      </c>
      <c r="B618" s="525"/>
      <c r="C618" s="524"/>
      <c r="D618" s="524"/>
      <c r="E618" s="523" t="s">
        <v>7160</v>
      </c>
      <c r="F618" s="520" t="s">
        <v>1242</v>
      </c>
      <c r="G618" s="520">
        <v>2.25</v>
      </c>
      <c r="H618" s="522">
        <v>0</v>
      </c>
      <c r="I618" s="522">
        <v>0</v>
      </c>
      <c r="J618" s="521"/>
      <c r="K618" s="520" t="s">
        <v>399</v>
      </c>
    </row>
    <row r="619" spans="1:11" x14ac:dyDescent="0.2">
      <c r="A619" s="519" t="s">
        <v>7159</v>
      </c>
      <c r="B619" s="518"/>
      <c r="C619" s="517"/>
      <c r="D619" s="517"/>
      <c r="E619" s="516" t="s">
        <v>7158</v>
      </c>
      <c r="F619" s="513" t="s">
        <v>1242</v>
      </c>
      <c r="G619" s="513">
        <v>109.49</v>
      </c>
      <c r="H619" s="515">
        <v>0</v>
      </c>
      <c r="I619" s="515">
        <v>0</v>
      </c>
      <c r="J619" s="514"/>
      <c r="K619" s="513" t="s">
        <v>399</v>
      </c>
    </row>
    <row r="620" spans="1:11" x14ac:dyDescent="0.2">
      <c r="A620" s="526" t="s">
        <v>7157</v>
      </c>
      <c r="B620" s="525"/>
      <c r="C620" s="524"/>
      <c r="D620" s="524"/>
      <c r="E620" s="523" t="s">
        <v>7156</v>
      </c>
      <c r="F620" s="520" t="s">
        <v>1242</v>
      </c>
      <c r="G620" s="520">
        <v>9.57</v>
      </c>
      <c r="H620" s="522">
        <v>0</v>
      </c>
      <c r="I620" s="522">
        <v>0</v>
      </c>
      <c r="J620" s="521"/>
      <c r="K620" s="520" t="s">
        <v>399</v>
      </c>
    </row>
    <row r="621" spans="1:11" x14ac:dyDescent="0.2">
      <c r="A621" s="519" t="s">
        <v>7155</v>
      </c>
      <c r="B621" s="518"/>
      <c r="C621" s="517"/>
      <c r="D621" s="517"/>
      <c r="E621" s="516" t="s">
        <v>7154</v>
      </c>
      <c r="F621" s="513" t="s">
        <v>1242</v>
      </c>
      <c r="G621" s="513">
        <v>139.97</v>
      </c>
      <c r="H621" s="515">
        <v>0</v>
      </c>
      <c r="I621" s="515">
        <v>0</v>
      </c>
      <c r="J621" s="514"/>
      <c r="K621" s="513" t="s">
        <v>399</v>
      </c>
    </row>
    <row r="622" spans="1:11" x14ac:dyDescent="0.2">
      <c r="A622" s="526" t="s">
        <v>7153</v>
      </c>
      <c r="B622" s="525"/>
      <c r="C622" s="524"/>
      <c r="D622" s="524"/>
      <c r="E622" s="523" t="s">
        <v>7152</v>
      </c>
      <c r="F622" s="520" t="s">
        <v>1242</v>
      </c>
      <c r="G622" s="520">
        <v>194.58</v>
      </c>
      <c r="H622" s="522">
        <v>0</v>
      </c>
      <c r="I622" s="522">
        <v>0</v>
      </c>
      <c r="J622" s="521"/>
      <c r="K622" s="520" t="s">
        <v>399</v>
      </c>
    </row>
    <row r="623" spans="1:11" x14ac:dyDescent="0.2">
      <c r="A623" s="519" t="s">
        <v>7151</v>
      </c>
      <c r="B623" s="518"/>
      <c r="C623" s="517"/>
      <c r="D623" s="517"/>
      <c r="E623" s="516" t="s">
        <v>7150</v>
      </c>
      <c r="F623" s="513" t="s">
        <v>1242</v>
      </c>
      <c r="G623" s="513">
        <v>202.76</v>
      </c>
      <c r="H623" s="515">
        <v>0</v>
      </c>
      <c r="I623" s="515">
        <v>0</v>
      </c>
      <c r="J623" s="514"/>
      <c r="K623" s="513" t="s">
        <v>399</v>
      </c>
    </row>
    <row r="624" spans="1:11" x14ac:dyDescent="0.2">
      <c r="A624" s="526" t="s">
        <v>7149</v>
      </c>
      <c r="B624" s="525"/>
      <c r="C624" s="524"/>
      <c r="D624" s="524"/>
      <c r="E624" s="523" t="s">
        <v>7148</v>
      </c>
      <c r="F624" s="520" t="s">
        <v>1242</v>
      </c>
      <c r="G624" s="520">
        <v>20.399999999999999</v>
      </c>
      <c r="H624" s="522">
        <v>0</v>
      </c>
      <c r="I624" s="522">
        <v>0</v>
      </c>
      <c r="J624" s="521"/>
      <c r="K624" s="520" t="s">
        <v>399</v>
      </c>
    </row>
    <row r="625" spans="1:11" x14ac:dyDescent="0.2">
      <c r="A625" s="519" t="s">
        <v>7147</v>
      </c>
      <c r="B625" s="518"/>
      <c r="C625" s="517"/>
      <c r="D625" s="517"/>
      <c r="E625" s="516" t="s">
        <v>7146</v>
      </c>
      <c r="F625" s="513" t="s">
        <v>1242</v>
      </c>
      <c r="G625" s="513">
        <v>55.75</v>
      </c>
      <c r="H625" s="515">
        <v>0</v>
      </c>
      <c r="I625" s="515">
        <v>0</v>
      </c>
      <c r="J625" s="514"/>
      <c r="K625" s="513" t="s">
        <v>399</v>
      </c>
    </row>
    <row r="626" spans="1:11" x14ac:dyDescent="0.2">
      <c r="A626" s="526" t="s">
        <v>7145</v>
      </c>
      <c r="B626" s="525"/>
      <c r="C626" s="524"/>
      <c r="D626" s="524"/>
      <c r="E626" s="523" t="s">
        <v>7144</v>
      </c>
      <c r="F626" s="520" t="s">
        <v>1242</v>
      </c>
      <c r="G626" s="520">
        <v>33.25</v>
      </c>
      <c r="H626" s="522">
        <v>0</v>
      </c>
      <c r="I626" s="522">
        <v>0</v>
      </c>
      <c r="J626" s="521"/>
      <c r="K626" s="520" t="s">
        <v>399</v>
      </c>
    </row>
    <row r="627" spans="1:11" x14ac:dyDescent="0.2">
      <c r="A627" s="519" t="s">
        <v>7143</v>
      </c>
      <c r="B627" s="518"/>
      <c r="C627" s="517"/>
      <c r="D627" s="517"/>
      <c r="E627" s="516" t="s">
        <v>7142</v>
      </c>
      <c r="F627" s="513" t="s">
        <v>1242</v>
      </c>
      <c r="G627" s="513">
        <v>839.41</v>
      </c>
      <c r="H627" s="515">
        <v>0</v>
      </c>
      <c r="I627" s="515">
        <v>0</v>
      </c>
      <c r="J627" s="514"/>
      <c r="K627" s="513" t="s">
        <v>399</v>
      </c>
    </row>
    <row r="628" spans="1:11" x14ac:dyDescent="0.2">
      <c r="A628" s="542" t="s">
        <v>7141</v>
      </c>
      <c r="B628" s="541"/>
      <c r="C628" s="540"/>
      <c r="D628" s="540"/>
      <c r="E628" s="540" t="s">
        <v>7140</v>
      </c>
      <c r="F628" s="537"/>
      <c r="G628" s="537"/>
      <c r="H628" s="539"/>
      <c r="I628" s="539">
        <v>0</v>
      </c>
      <c r="J628" s="538"/>
      <c r="K628" s="537" t="s">
        <v>399</v>
      </c>
    </row>
    <row r="629" spans="1:11" x14ac:dyDescent="0.2">
      <c r="A629" s="536" t="s">
        <v>7139</v>
      </c>
      <c r="B629" s="535"/>
      <c r="C629" s="534"/>
      <c r="D629" s="534"/>
      <c r="E629" s="534" t="s">
        <v>6806</v>
      </c>
      <c r="F629" s="531"/>
      <c r="G629" s="531"/>
      <c r="H629" s="533"/>
      <c r="I629" s="533">
        <v>0</v>
      </c>
      <c r="J629" s="532"/>
      <c r="K629" s="531" t="s">
        <v>399</v>
      </c>
    </row>
    <row r="630" spans="1:11" x14ac:dyDescent="0.2">
      <c r="A630" s="203" t="s">
        <v>7138</v>
      </c>
      <c r="B630" s="530"/>
      <c r="C630" s="530"/>
      <c r="D630" s="530"/>
      <c r="E630" s="530" t="s">
        <v>7131</v>
      </c>
      <c r="F630" s="527"/>
      <c r="G630" s="527"/>
      <c r="H630" s="529"/>
      <c r="I630" s="529">
        <v>0</v>
      </c>
      <c r="J630" s="528"/>
      <c r="K630" s="527" t="s">
        <v>399</v>
      </c>
    </row>
    <row r="631" spans="1:11" x14ac:dyDescent="0.2">
      <c r="A631" s="526" t="s">
        <v>7137</v>
      </c>
      <c r="B631" s="525"/>
      <c r="C631" s="524"/>
      <c r="D631" s="524"/>
      <c r="E631" s="523" t="s">
        <v>7129</v>
      </c>
      <c r="F631" s="520" t="s">
        <v>1242</v>
      </c>
      <c r="G631" s="520">
        <v>84.83</v>
      </c>
      <c r="H631" s="522">
        <v>0</v>
      </c>
      <c r="I631" s="522">
        <v>0</v>
      </c>
      <c r="J631" s="521"/>
      <c r="K631" s="520" t="s">
        <v>399</v>
      </c>
    </row>
    <row r="632" spans="1:11" x14ac:dyDescent="0.2">
      <c r="A632" s="536" t="s">
        <v>7136</v>
      </c>
      <c r="B632" s="535"/>
      <c r="C632" s="534"/>
      <c r="D632" s="534"/>
      <c r="E632" s="534" t="s">
        <v>6932</v>
      </c>
      <c r="F632" s="531"/>
      <c r="G632" s="531"/>
      <c r="H632" s="533"/>
      <c r="I632" s="533">
        <v>0</v>
      </c>
      <c r="J632" s="532"/>
      <c r="K632" s="531" t="s">
        <v>399</v>
      </c>
    </row>
    <row r="633" spans="1:11" x14ac:dyDescent="0.2">
      <c r="A633" s="203" t="s">
        <v>7135</v>
      </c>
      <c r="B633" s="530"/>
      <c r="C633" s="530"/>
      <c r="D633" s="530"/>
      <c r="E633" s="530" t="s">
        <v>7131</v>
      </c>
      <c r="F633" s="527"/>
      <c r="G633" s="527"/>
      <c r="H633" s="529"/>
      <c r="I633" s="529">
        <v>0</v>
      </c>
      <c r="J633" s="528"/>
      <c r="K633" s="527" t="s">
        <v>399</v>
      </c>
    </row>
    <row r="634" spans="1:11" x14ac:dyDescent="0.2">
      <c r="A634" s="519" t="s">
        <v>7134</v>
      </c>
      <c r="B634" s="518"/>
      <c r="C634" s="517"/>
      <c r="D634" s="517"/>
      <c r="E634" s="516" t="s">
        <v>7129</v>
      </c>
      <c r="F634" s="513" t="s">
        <v>1242</v>
      </c>
      <c r="G634" s="513">
        <v>252.2</v>
      </c>
      <c r="H634" s="515">
        <v>0</v>
      </c>
      <c r="I634" s="515">
        <v>0</v>
      </c>
      <c r="J634" s="514"/>
      <c r="K634" s="513" t="s">
        <v>399</v>
      </c>
    </row>
    <row r="635" spans="1:11" x14ac:dyDescent="0.2">
      <c r="A635" s="536" t="s">
        <v>7133</v>
      </c>
      <c r="B635" s="535"/>
      <c r="C635" s="534"/>
      <c r="D635" s="534"/>
      <c r="E635" s="534" t="s">
        <v>6881</v>
      </c>
      <c r="F635" s="531"/>
      <c r="G635" s="531"/>
      <c r="H635" s="533"/>
      <c r="I635" s="533">
        <v>0</v>
      </c>
      <c r="J635" s="532"/>
      <c r="K635" s="531" t="s">
        <v>399</v>
      </c>
    </row>
    <row r="636" spans="1:11" x14ac:dyDescent="0.2">
      <c r="A636" s="203" t="s">
        <v>7132</v>
      </c>
      <c r="B636" s="530"/>
      <c r="C636" s="530"/>
      <c r="D636" s="530"/>
      <c r="E636" s="530" t="s">
        <v>7131</v>
      </c>
      <c r="F636" s="527"/>
      <c r="G636" s="527"/>
      <c r="H636" s="529"/>
      <c r="I636" s="529">
        <v>0</v>
      </c>
      <c r="J636" s="528"/>
      <c r="K636" s="527" t="s">
        <v>399</v>
      </c>
    </row>
    <row r="637" spans="1:11" x14ac:dyDescent="0.2">
      <c r="A637" s="526" t="s">
        <v>7130</v>
      </c>
      <c r="B637" s="525"/>
      <c r="C637" s="524"/>
      <c r="D637" s="524"/>
      <c r="E637" s="523" t="s">
        <v>7129</v>
      </c>
      <c r="F637" s="520" t="s">
        <v>1242</v>
      </c>
      <c r="G637" s="520">
        <v>234.85</v>
      </c>
      <c r="H637" s="522">
        <v>0</v>
      </c>
      <c r="I637" s="522">
        <v>0</v>
      </c>
      <c r="J637" s="521"/>
      <c r="K637" s="520" t="s">
        <v>399</v>
      </c>
    </row>
    <row r="638" spans="1:11" x14ac:dyDescent="0.2">
      <c r="A638" s="542" t="s">
        <v>7128</v>
      </c>
      <c r="B638" s="541"/>
      <c r="C638" s="540"/>
      <c r="D638" s="540"/>
      <c r="E638" s="540" t="s">
        <v>7127</v>
      </c>
      <c r="F638" s="537"/>
      <c r="G638" s="537"/>
      <c r="H638" s="539"/>
      <c r="I638" s="539">
        <v>0</v>
      </c>
      <c r="J638" s="538"/>
      <c r="K638" s="537" t="s">
        <v>399</v>
      </c>
    </row>
    <row r="639" spans="1:11" x14ac:dyDescent="0.2">
      <c r="A639" s="536" t="s">
        <v>7126</v>
      </c>
      <c r="B639" s="535"/>
      <c r="C639" s="534"/>
      <c r="D639" s="534"/>
      <c r="E639" s="534" t="s">
        <v>6806</v>
      </c>
      <c r="F639" s="531"/>
      <c r="G639" s="531"/>
      <c r="H639" s="533"/>
      <c r="I639" s="533">
        <v>0</v>
      </c>
      <c r="J639" s="532"/>
      <c r="K639" s="531" t="s">
        <v>399</v>
      </c>
    </row>
    <row r="640" spans="1:11" x14ac:dyDescent="0.2">
      <c r="A640" s="519" t="s">
        <v>7125</v>
      </c>
      <c r="B640" s="518"/>
      <c r="C640" s="517"/>
      <c r="D640" s="517"/>
      <c r="E640" s="516" t="s">
        <v>6930</v>
      </c>
      <c r="F640" s="513" t="s">
        <v>1249</v>
      </c>
      <c r="G640" s="513">
        <v>0.64</v>
      </c>
      <c r="H640" s="515">
        <v>0</v>
      </c>
      <c r="I640" s="515">
        <v>0</v>
      </c>
      <c r="J640" s="514"/>
      <c r="K640" s="513" t="s">
        <v>399</v>
      </c>
    </row>
    <row r="641" spans="1:11" x14ac:dyDescent="0.2">
      <c r="A641" s="526" t="s">
        <v>7124</v>
      </c>
      <c r="B641" s="525"/>
      <c r="C641" s="524"/>
      <c r="D641" s="524"/>
      <c r="E641" s="523" t="s">
        <v>6879</v>
      </c>
      <c r="F641" s="520" t="s">
        <v>1249</v>
      </c>
      <c r="G641" s="520">
        <v>1.28</v>
      </c>
      <c r="H641" s="522">
        <v>0</v>
      </c>
      <c r="I641" s="522">
        <v>0</v>
      </c>
      <c r="J641" s="521"/>
      <c r="K641" s="520" t="s">
        <v>399</v>
      </c>
    </row>
    <row r="642" spans="1:11" x14ac:dyDescent="0.2">
      <c r="A642" s="519" t="s">
        <v>7123</v>
      </c>
      <c r="B642" s="518"/>
      <c r="C642" s="517"/>
      <c r="D642" s="517"/>
      <c r="E642" s="516" t="s">
        <v>6877</v>
      </c>
      <c r="F642" s="513" t="s">
        <v>1249</v>
      </c>
      <c r="G642" s="513">
        <v>38.590000000000003</v>
      </c>
      <c r="H642" s="515">
        <v>0</v>
      </c>
      <c r="I642" s="515">
        <v>0</v>
      </c>
      <c r="J642" s="514"/>
      <c r="K642" s="513" t="s">
        <v>399</v>
      </c>
    </row>
    <row r="643" spans="1:11" x14ac:dyDescent="0.2">
      <c r="A643" s="526" t="s">
        <v>7122</v>
      </c>
      <c r="B643" s="525"/>
      <c r="C643" s="524"/>
      <c r="D643" s="524"/>
      <c r="E643" s="523" t="s">
        <v>6875</v>
      </c>
      <c r="F643" s="520" t="s">
        <v>1249</v>
      </c>
      <c r="G643" s="520">
        <v>38.76</v>
      </c>
      <c r="H643" s="522">
        <v>0</v>
      </c>
      <c r="I643" s="522">
        <v>0</v>
      </c>
      <c r="J643" s="521"/>
      <c r="K643" s="520" t="s">
        <v>399</v>
      </c>
    </row>
    <row r="644" spans="1:11" x14ac:dyDescent="0.2">
      <c r="A644" s="519" t="s">
        <v>7121</v>
      </c>
      <c r="B644" s="518"/>
      <c r="C644" s="517"/>
      <c r="D644" s="517"/>
      <c r="E644" s="516" t="s">
        <v>6873</v>
      </c>
      <c r="F644" s="513" t="s">
        <v>1249</v>
      </c>
      <c r="G644" s="513">
        <v>17.760000000000002</v>
      </c>
      <c r="H644" s="515">
        <v>0</v>
      </c>
      <c r="I644" s="515">
        <v>0</v>
      </c>
      <c r="J644" s="514"/>
      <c r="K644" s="513" t="s">
        <v>399</v>
      </c>
    </row>
    <row r="645" spans="1:11" x14ac:dyDescent="0.2">
      <c r="A645" s="526" t="s">
        <v>7120</v>
      </c>
      <c r="B645" s="525"/>
      <c r="C645" s="524"/>
      <c r="D645" s="524"/>
      <c r="E645" s="523" t="s">
        <v>7119</v>
      </c>
      <c r="F645" s="520" t="s">
        <v>1249</v>
      </c>
      <c r="G645" s="520">
        <v>0.06</v>
      </c>
      <c r="H645" s="522">
        <v>0</v>
      </c>
      <c r="I645" s="522">
        <v>0</v>
      </c>
      <c r="J645" s="521"/>
      <c r="K645" s="520" t="s">
        <v>399</v>
      </c>
    </row>
    <row r="646" spans="1:11" ht="25.5" x14ac:dyDescent="0.2">
      <c r="A646" s="519" t="s">
        <v>7118</v>
      </c>
      <c r="B646" s="518"/>
      <c r="C646" s="517"/>
      <c r="D646" s="517"/>
      <c r="E646" s="516" t="s">
        <v>7117</v>
      </c>
      <c r="F646" s="513" t="s">
        <v>1249</v>
      </c>
      <c r="G646" s="513">
        <v>0.05</v>
      </c>
      <c r="H646" s="515">
        <v>0</v>
      </c>
      <c r="I646" s="515">
        <v>0</v>
      </c>
      <c r="J646" s="514"/>
      <c r="K646" s="513" t="s">
        <v>399</v>
      </c>
    </row>
    <row r="647" spans="1:11" ht="25.5" x14ac:dyDescent="0.2">
      <c r="A647" s="526" t="s">
        <v>7116</v>
      </c>
      <c r="B647" s="525"/>
      <c r="C647" s="524"/>
      <c r="D647" s="524"/>
      <c r="E647" s="523" t="s">
        <v>6924</v>
      </c>
      <c r="F647" s="520" t="s">
        <v>1249</v>
      </c>
      <c r="G647" s="520">
        <v>0.83</v>
      </c>
      <c r="H647" s="522">
        <v>0</v>
      </c>
      <c r="I647" s="522">
        <v>0</v>
      </c>
      <c r="J647" s="521"/>
      <c r="K647" s="520" t="s">
        <v>399</v>
      </c>
    </row>
    <row r="648" spans="1:11" ht="25.5" x14ac:dyDescent="0.2">
      <c r="A648" s="519" t="s">
        <v>7115</v>
      </c>
      <c r="B648" s="518"/>
      <c r="C648" s="517"/>
      <c r="D648" s="517"/>
      <c r="E648" s="516" t="s">
        <v>7114</v>
      </c>
      <c r="F648" s="513" t="s">
        <v>1249</v>
      </c>
      <c r="G648" s="513">
        <v>0.09</v>
      </c>
      <c r="H648" s="515">
        <v>0</v>
      </c>
      <c r="I648" s="515">
        <v>0</v>
      </c>
      <c r="J648" s="514"/>
      <c r="K648" s="513" t="s">
        <v>399</v>
      </c>
    </row>
    <row r="649" spans="1:11" ht="25.5" x14ac:dyDescent="0.2">
      <c r="A649" s="526" t="s">
        <v>7113</v>
      </c>
      <c r="B649" s="525"/>
      <c r="C649" s="524"/>
      <c r="D649" s="524"/>
      <c r="E649" s="523" t="s">
        <v>7112</v>
      </c>
      <c r="F649" s="520" t="s">
        <v>1249</v>
      </c>
      <c r="G649" s="520">
        <v>0.02</v>
      </c>
      <c r="H649" s="522">
        <v>0</v>
      </c>
      <c r="I649" s="522">
        <v>0</v>
      </c>
      <c r="J649" s="521"/>
      <c r="K649" s="520" t="s">
        <v>399</v>
      </c>
    </row>
    <row r="650" spans="1:11" ht="25.5" x14ac:dyDescent="0.2">
      <c r="A650" s="519" t="s">
        <v>7111</v>
      </c>
      <c r="B650" s="518"/>
      <c r="C650" s="517"/>
      <c r="D650" s="517"/>
      <c r="E650" s="516" t="s">
        <v>7110</v>
      </c>
      <c r="F650" s="513" t="s">
        <v>1249</v>
      </c>
      <c r="G650" s="513">
        <v>0.03</v>
      </c>
      <c r="H650" s="515">
        <v>0</v>
      </c>
      <c r="I650" s="515">
        <v>0</v>
      </c>
      <c r="J650" s="514"/>
      <c r="K650" s="513" t="s">
        <v>399</v>
      </c>
    </row>
    <row r="651" spans="1:11" ht="25.5" x14ac:dyDescent="0.2">
      <c r="A651" s="526" t="s">
        <v>7109</v>
      </c>
      <c r="B651" s="525"/>
      <c r="C651" s="524"/>
      <c r="D651" s="524"/>
      <c r="E651" s="523" t="s">
        <v>7108</v>
      </c>
      <c r="F651" s="520" t="s">
        <v>1249</v>
      </c>
      <c r="G651" s="520">
        <v>0.08</v>
      </c>
      <c r="H651" s="522">
        <v>0</v>
      </c>
      <c r="I651" s="522">
        <v>0</v>
      </c>
      <c r="J651" s="521"/>
      <c r="K651" s="520" t="s">
        <v>399</v>
      </c>
    </row>
    <row r="652" spans="1:11" ht="25.5" x14ac:dyDescent="0.2">
      <c r="A652" s="519" t="s">
        <v>7107</v>
      </c>
      <c r="B652" s="518"/>
      <c r="C652" s="517"/>
      <c r="D652" s="517"/>
      <c r="E652" s="516" t="s">
        <v>7106</v>
      </c>
      <c r="F652" s="513" t="s">
        <v>1249</v>
      </c>
      <c r="G652" s="513">
        <v>0.94</v>
      </c>
      <c r="H652" s="515">
        <v>0</v>
      </c>
      <c r="I652" s="515">
        <v>0</v>
      </c>
      <c r="J652" s="514"/>
      <c r="K652" s="513" t="s">
        <v>399</v>
      </c>
    </row>
    <row r="653" spans="1:11" ht="25.5" x14ac:dyDescent="0.2">
      <c r="A653" s="526" t="s">
        <v>7105</v>
      </c>
      <c r="B653" s="525"/>
      <c r="C653" s="524"/>
      <c r="D653" s="524"/>
      <c r="E653" s="523" t="s">
        <v>7104</v>
      </c>
      <c r="F653" s="520" t="s">
        <v>1249</v>
      </c>
      <c r="G653" s="520">
        <v>0.43</v>
      </c>
      <c r="H653" s="522">
        <v>0</v>
      </c>
      <c r="I653" s="522">
        <v>0</v>
      </c>
      <c r="J653" s="521"/>
      <c r="K653" s="520" t="s">
        <v>399</v>
      </c>
    </row>
    <row r="654" spans="1:11" x14ac:dyDescent="0.2">
      <c r="A654" s="519" t="s">
        <v>7103</v>
      </c>
      <c r="B654" s="518"/>
      <c r="C654" s="517"/>
      <c r="D654" s="517"/>
      <c r="E654" s="516" t="s">
        <v>7102</v>
      </c>
      <c r="F654" s="513" t="s">
        <v>1249</v>
      </c>
      <c r="G654" s="513">
        <v>0.18</v>
      </c>
      <c r="H654" s="515">
        <v>0</v>
      </c>
      <c r="I654" s="515">
        <v>0</v>
      </c>
      <c r="J654" s="514"/>
      <c r="K654" s="513" t="s">
        <v>399</v>
      </c>
    </row>
    <row r="655" spans="1:11" ht="25.5" x14ac:dyDescent="0.2">
      <c r="A655" s="526" t="s">
        <v>7101</v>
      </c>
      <c r="B655" s="525"/>
      <c r="C655" s="524"/>
      <c r="D655" s="524"/>
      <c r="E655" s="523" t="s">
        <v>7100</v>
      </c>
      <c r="F655" s="520" t="s">
        <v>1249</v>
      </c>
      <c r="G655" s="520">
        <v>0.06</v>
      </c>
      <c r="H655" s="522">
        <v>0</v>
      </c>
      <c r="I655" s="522">
        <v>0</v>
      </c>
      <c r="J655" s="521"/>
      <c r="K655" s="520" t="s">
        <v>399</v>
      </c>
    </row>
    <row r="656" spans="1:11" ht="25.5" x14ac:dyDescent="0.2">
      <c r="A656" s="519" t="s">
        <v>7099</v>
      </c>
      <c r="B656" s="518"/>
      <c r="C656" s="517"/>
      <c r="D656" s="517"/>
      <c r="E656" s="516" t="s">
        <v>7098</v>
      </c>
      <c r="F656" s="513" t="s">
        <v>1249</v>
      </c>
      <c r="G656" s="513">
        <v>1.23</v>
      </c>
      <c r="H656" s="515">
        <v>0</v>
      </c>
      <c r="I656" s="515">
        <v>0</v>
      </c>
      <c r="J656" s="514"/>
      <c r="K656" s="513" t="s">
        <v>399</v>
      </c>
    </row>
    <row r="657" spans="1:11" ht="25.5" x14ac:dyDescent="0.2">
      <c r="A657" s="526" t="s">
        <v>7097</v>
      </c>
      <c r="B657" s="525"/>
      <c r="C657" s="524"/>
      <c r="D657" s="524"/>
      <c r="E657" s="523" t="s">
        <v>7096</v>
      </c>
      <c r="F657" s="520" t="s">
        <v>1249</v>
      </c>
      <c r="G657" s="520">
        <v>0.5</v>
      </c>
      <c r="H657" s="522">
        <v>0</v>
      </c>
      <c r="I657" s="522">
        <v>0</v>
      </c>
      <c r="J657" s="521"/>
      <c r="K657" s="520" t="s">
        <v>399</v>
      </c>
    </row>
    <row r="658" spans="1:11" ht="25.5" x14ac:dyDescent="0.2">
      <c r="A658" s="519" t="s">
        <v>7095</v>
      </c>
      <c r="B658" s="518"/>
      <c r="C658" s="517"/>
      <c r="D658" s="517"/>
      <c r="E658" s="516" t="s">
        <v>7094</v>
      </c>
      <c r="F658" s="513" t="s">
        <v>1249</v>
      </c>
      <c r="G658" s="513">
        <v>0.57999999999999996</v>
      </c>
      <c r="H658" s="515">
        <v>0</v>
      </c>
      <c r="I658" s="515">
        <v>0</v>
      </c>
      <c r="J658" s="514"/>
      <c r="K658" s="513" t="s">
        <v>399</v>
      </c>
    </row>
    <row r="659" spans="1:11" ht="25.5" x14ac:dyDescent="0.2">
      <c r="A659" s="526" t="s">
        <v>7093</v>
      </c>
      <c r="B659" s="525"/>
      <c r="C659" s="524"/>
      <c r="D659" s="524"/>
      <c r="E659" s="523" t="s">
        <v>7092</v>
      </c>
      <c r="F659" s="520" t="s">
        <v>1249</v>
      </c>
      <c r="G659" s="520">
        <v>0.36</v>
      </c>
      <c r="H659" s="522">
        <v>0</v>
      </c>
      <c r="I659" s="522">
        <v>0</v>
      </c>
      <c r="J659" s="521"/>
      <c r="K659" s="520" t="s">
        <v>399</v>
      </c>
    </row>
    <row r="660" spans="1:11" ht="25.5" x14ac:dyDescent="0.2">
      <c r="A660" s="519" t="s">
        <v>7091</v>
      </c>
      <c r="B660" s="518"/>
      <c r="C660" s="517"/>
      <c r="D660" s="517"/>
      <c r="E660" s="516" t="s">
        <v>7090</v>
      </c>
      <c r="F660" s="513" t="s">
        <v>1249</v>
      </c>
      <c r="G660" s="513">
        <v>0.2</v>
      </c>
      <c r="H660" s="515">
        <v>0</v>
      </c>
      <c r="I660" s="515">
        <v>0</v>
      </c>
      <c r="J660" s="514"/>
      <c r="K660" s="513" t="s">
        <v>399</v>
      </c>
    </row>
    <row r="661" spans="1:11" ht="25.5" x14ac:dyDescent="0.2">
      <c r="A661" s="526" t="s">
        <v>7089</v>
      </c>
      <c r="B661" s="525"/>
      <c r="C661" s="524"/>
      <c r="D661" s="524"/>
      <c r="E661" s="523" t="s">
        <v>7088</v>
      </c>
      <c r="F661" s="520" t="s">
        <v>1249</v>
      </c>
      <c r="G661" s="520">
        <v>0.69</v>
      </c>
      <c r="H661" s="522">
        <v>0</v>
      </c>
      <c r="I661" s="522">
        <v>0</v>
      </c>
      <c r="J661" s="521"/>
      <c r="K661" s="520" t="s">
        <v>399</v>
      </c>
    </row>
    <row r="662" spans="1:11" ht="25.5" x14ac:dyDescent="0.2">
      <c r="A662" s="519" t="s">
        <v>7087</v>
      </c>
      <c r="B662" s="518"/>
      <c r="C662" s="517"/>
      <c r="D662" s="517"/>
      <c r="E662" s="516" t="s">
        <v>7086</v>
      </c>
      <c r="F662" s="513" t="s">
        <v>1249</v>
      </c>
      <c r="G662" s="513">
        <v>0.09</v>
      </c>
      <c r="H662" s="515">
        <v>0</v>
      </c>
      <c r="I662" s="515">
        <v>0</v>
      </c>
      <c r="J662" s="514"/>
      <c r="K662" s="513" t="s">
        <v>399</v>
      </c>
    </row>
    <row r="663" spans="1:11" ht="25.5" x14ac:dyDescent="0.2">
      <c r="A663" s="526" t="s">
        <v>7085</v>
      </c>
      <c r="B663" s="525"/>
      <c r="C663" s="524"/>
      <c r="D663" s="524"/>
      <c r="E663" s="523" t="s">
        <v>7084</v>
      </c>
      <c r="F663" s="520" t="s">
        <v>1249</v>
      </c>
      <c r="G663" s="520">
        <v>0.21</v>
      </c>
      <c r="H663" s="522">
        <v>0</v>
      </c>
      <c r="I663" s="522">
        <v>0</v>
      </c>
      <c r="J663" s="521"/>
      <c r="K663" s="520" t="s">
        <v>399</v>
      </c>
    </row>
    <row r="664" spans="1:11" ht="25.5" x14ac:dyDescent="0.2">
      <c r="A664" s="519" t="s">
        <v>7083</v>
      </c>
      <c r="B664" s="518"/>
      <c r="C664" s="517"/>
      <c r="D664" s="517"/>
      <c r="E664" s="516" t="s">
        <v>7082</v>
      </c>
      <c r="F664" s="513" t="s">
        <v>1249</v>
      </c>
      <c r="G664" s="513">
        <v>0.02</v>
      </c>
      <c r="H664" s="515">
        <v>0</v>
      </c>
      <c r="I664" s="515">
        <v>0</v>
      </c>
      <c r="J664" s="514"/>
      <c r="K664" s="513" t="s">
        <v>399</v>
      </c>
    </row>
    <row r="665" spans="1:11" ht="25.5" x14ac:dyDescent="0.2">
      <c r="A665" s="526" t="s">
        <v>7081</v>
      </c>
      <c r="B665" s="525"/>
      <c r="C665" s="524"/>
      <c r="D665" s="524"/>
      <c r="E665" s="523" t="s">
        <v>7080</v>
      </c>
      <c r="F665" s="520" t="s">
        <v>1249</v>
      </c>
      <c r="G665" s="520">
        <v>0.24</v>
      </c>
      <c r="H665" s="522">
        <v>0</v>
      </c>
      <c r="I665" s="522">
        <v>0</v>
      </c>
      <c r="J665" s="521"/>
      <c r="K665" s="520" t="s">
        <v>399</v>
      </c>
    </row>
    <row r="666" spans="1:11" ht="25.5" x14ac:dyDescent="0.2">
      <c r="A666" s="519" t="s">
        <v>7079</v>
      </c>
      <c r="B666" s="518"/>
      <c r="C666" s="517"/>
      <c r="D666" s="517"/>
      <c r="E666" s="516" t="s">
        <v>7078</v>
      </c>
      <c r="F666" s="513" t="s">
        <v>1249</v>
      </c>
      <c r="G666" s="513">
        <v>0.15</v>
      </c>
      <c r="H666" s="515">
        <v>0</v>
      </c>
      <c r="I666" s="515">
        <v>0</v>
      </c>
      <c r="J666" s="514"/>
      <c r="K666" s="513" t="s">
        <v>399</v>
      </c>
    </row>
    <row r="667" spans="1:11" ht="25.5" x14ac:dyDescent="0.2">
      <c r="A667" s="526" t="s">
        <v>7077</v>
      </c>
      <c r="B667" s="525"/>
      <c r="C667" s="524"/>
      <c r="D667" s="524"/>
      <c r="E667" s="523" t="s">
        <v>7076</v>
      </c>
      <c r="F667" s="520" t="s">
        <v>1249</v>
      </c>
      <c r="G667" s="520">
        <v>0.94</v>
      </c>
      <c r="H667" s="522">
        <v>0</v>
      </c>
      <c r="I667" s="522">
        <v>0</v>
      </c>
      <c r="J667" s="521"/>
      <c r="K667" s="520" t="s">
        <v>399</v>
      </c>
    </row>
    <row r="668" spans="1:11" ht="25.5" x14ac:dyDescent="0.2">
      <c r="A668" s="519" t="s">
        <v>7075</v>
      </c>
      <c r="B668" s="518"/>
      <c r="C668" s="517"/>
      <c r="D668" s="517"/>
      <c r="E668" s="516" t="s">
        <v>7074</v>
      </c>
      <c r="F668" s="513" t="s">
        <v>1249</v>
      </c>
      <c r="G668" s="513">
        <v>0.19</v>
      </c>
      <c r="H668" s="515">
        <v>0</v>
      </c>
      <c r="I668" s="515">
        <v>0</v>
      </c>
      <c r="J668" s="514"/>
      <c r="K668" s="513" t="s">
        <v>399</v>
      </c>
    </row>
    <row r="669" spans="1:11" ht="25.5" x14ac:dyDescent="0.2">
      <c r="A669" s="526" t="s">
        <v>7073</v>
      </c>
      <c r="B669" s="525"/>
      <c r="C669" s="524"/>
      <c r="D669" s="524"/>
      <c r="E669" s="523" t="s">
        <v>6855</v>
      </c>
      <c r="F669" s="520" t="s">
        <v>1249</v>
      </c>
      <c r="G669" s="520">
        <v>0.82</v>
      </c>
      <c r="H669" s="522">
        <v>0</v>
      </c>
      <c r="I669" s="522">
        <v>0</v>
      </c>
      <c r="J669" s="521"/>
      <c r="K669" s="520" t="s">
        <v>399</v>
      </c>
    </row>
    <row r="670" spans="1:11" ht="25.5" x14ac:dyDescent="0.2">
      <c r="A670" s="519" t="s">
        <v>7072</v>
      </c>
      <c r="B670" s="518"/>
      <c r="C670" s="517"/>
      <c r="D670" s="517"/>
      <c r="E670" s="516" t="s">
        <v>7071</v>
      </c>
      <c r="F670" s="513" t="s">
        <v>1249</v>
      </c>
      <c r="G670" s="513">
        <v>4.37</v>
      </c>
      <c r="H670" s="515">
        <v>0</v>
      </c>
      <c r="I670" s="515">
        <v>0</v>
      </c>
      <c r="J670" s="514"/>
      <c r="K670" s="513" t="s">
        <v>399</v>
      </c>
    </row>
    <row r="671" spans="1:11" ht="25.5" x14ac:dyDescent="0.2">
      <c r="A671" s="526" t="s">
        <v>7070</v>
      </c>
      <c r="B671" s="525"/>
      <c r="C671" s="524"/>
      <c r="D671" s="524"/>
      <c r="E671" s="523" t="s">
        <v>7069</v>
      </c>
      <c r="F671" s="520" t="s">
        <v>1249</v>
      </c>
      <c r="G671" s="520">
        <v>7.0000000000000007E-2</v>
      </c>
      <c r="H671" s="522">
        <v>0</v>
      </c>
      <c r="I671" s="522">
        <v>0</v>
      </c>
      <c r="J671" s="521"/>
      <c r="K671" s="520" t="s">
        <v>399</v>
      </c>
    </row>
    <row r="672" spans="1:11" ht="25.5" x14ac:dyDescent="0.2">
      <c r="A672" s="519" t="s">
        <v>7068</v>
      </c>
      <c r="B672" s="518"/>
      <c r="C672" s="517"/>
      <c r="D672" s="517"/>
      <c r="E672" s="516" t="s">
        <v>7067</v>
      </c>
      <c r="F672" s="513" t="s">
        <v>1249</v>
      </c>
      <c r="G672" s="513">
        <v>0.22</v>
      </c>
      <c r="H672" s="515">
        <v>0</v>
      </c>
      <c r="I672" s="515">
        <v>0</v>
      </c>
      <c r="J672" s="514"/>
      <c r="K672" s="513" t="s">
        <v>399</v>
      </c>
    </row>
    <row r="673" spans="1:11" ht="25.5" x14ac:dyDescent="0.2">
      <c r="A673" s="526" t="s">
        <v>7066</v>
      </c>
      <c r="B673" s="525"/>
      <c r="C673" s="524"/>
      <c r="D673" s="524"/>
      <c r="E673" s="523" t="s">
        <v>7065</v>
      </c>
      <c r="F673" s="520" t="s">
        <v>1249</v>
      </c>
      <c r="G673" s="520">
        <v>0.78</v>
      </c>
      <c r="H673" s="522">
        <v>0</v>
      </c>
      <c r="I673" s="522">
        <v>0</v>
      </c>
      <c r="J673" s="521"/>
      <c r="K673" s="520" t="s">
        <v>399</v>
      </c>
    </row>
    <row r="674" spans="1:11" ht="25.5" x14ac:dyDescent="0.2">
      <c r="A674" s="519" t="s">
        <v>7064</v>
      </c>
      <c r="B674" s="518"/>
      <c r="C674" s="517"/>
      <c r="D674" s="517"/>
      <c r="E674" s="516" t="s">
        <v>7063</v>
      </c>
      <c r="F674" s="513" t="s">
        <v>1249</v>
      </c>
      <c r="G674" s="513">
        <v>0.04</v>
      </c>
      <c r="H674" s="515">
        <v>0</v>
      </c>
      <c r="I674" s="515">
        <v>0</v>
      </c>
      <c r="J674" s="514"/>
      <c r="K674" s="513" t="s">
        <v>399</v>
      </c>
    </row>
    <row r="675" spans="1:11" ht="25.5" x14ac:dyDescent="0.2">
      <c r="A675" s="526" t="s">
        <v>7062</v>
      </c>
      <c r="B675" s="525"/>
      <c r="C675" s="524"/>
      <c r="D675" s="524"/>
      <c r="E675" s="523" t="s">
        <v>7061</v>
      </c>
      <c r="F675" s="520" t="s">
        <v>1249</v>
      </c>
      <c r="G675" s="520">
        <v>0.69</v>
      </c>
      <c r="H675" s="522">
        <v>0</v>
      </c>
      <c r="I675" s="522">
        <v>0</v>
      </c>
      <c r="J675" s="521"/>
      <c r="K675" s="520" t="s">
        <v>399</v>
      </c>
    </row>
    <row r="676" spans="1:11" ht="25.5" x14ac:dyDescent="0.2">
      <c r="A676" s="519" t="s">
        <v>7060</v>
      </c>
      <c r="B676" s="518"/>
      <c r="C676" s="517"/>
      <c r="D676" s="517"/>
      <c r="E676" s="516" t="s">
        <v>7059</v>
      </c>
      <c r="F676" s="513" t="s">
        <v>1249</v>
      </c>
      <c r="G676" s="513">
        <v>0.69</v>
      </c>
      <c r="H676" s="515">
        <v>0</v>
      </c>
      <c r="I676" s="515">
        <v>0</v>
      </c>
      <c r="J676" s="514"/>
      <c r="K676" s="513" t="s">
        <v>399</v>
      </c>
    </row>
    <row r="677" spans="1:11" ht="25.5" x14ac:dyDescent="0.2">
      <c r="A677" s="526" t="s">
        <v>7058</v>
      </c>
      <c r="B677" s="525"/>
      <c r="C677" s="524"/>
      <c r="D677" s="524"/>
      <c r="E677" s="523" t="s">
        <v>7057</v>
      </c>
      <c r="F677" s="520" t="s">
        <v>1249</v>
      </c>
      <c r="G677" s="520">
        <v>0.01</v>
      </c>
      <c r="H677" s="522">
        <v>0</v>
      </c>
      <c r="I677" s="522">
        <v>0</v>
      </c>
      <c r="J677" s="521"/>
      <c r="K677" s="520" t="s">
        <v>399</v>
      </c>
    </row>
    <row r="678" spans="1:11" ht="25.5" x14ac:dyDescent="0.2">
      <c r="A678" s="519" t="s">
        <v>7056</v>
      </c>
      <c r="B678" s="518"/>
      <c r="C678" s="517"/>
      <c r="D678" s="517"/>
      <c r="E678" s="516" t="s">
        <v>7055</v>
      </c>
      <c r="F678" s="513" t="s">
        <v>1249</v>
      </c>
      <c r="G678" s="513">
        <v>0.04</v>
      </c>
      <c r="H678" s="515">
        <v>0</v>
      </c>
      <c r="I678" s="515">
        <v>0</v>
      </c>
      <c r="J678" s="514"/>
      <c r="K678" s="513" t="s">
        <v>399</v>
      </c>
    </row>
    <row r="679" spans="1:11" ht="25.5" x14ac:dyDescent="0.2">
      <c r="A679" s="526" t="s">
        <v>7054</v>
      </c>
      <c r="B679" s="525"/>
      <c r="C679" s="524"/>
      <c r="D679" s="524"/>
      <c r="E679" s="523" t="s">
        <v>7053</v>
      </c>
      <c r="F679" s="520" t="s">
        <v>1249</v>
      </c>
      <c r="G679" s="520">
        <v>0.28000000000000003</v>
      </c>
      <c r="H679" s="522">
        <v>0</v>
      </c>
      <c r="I679" s="522">
        <v>0</v>
      </c>
      <c r="J679" s="521"/>
      <c r="K679" s="520" t="s">
        <v>399</v>
      </c>
    </row>
    <row r="680" spans="1:11" ht="25.5" x14ac:dyDescent="0.2">
      <c r="A680" s="519" t="s">
        <v>7052</v>
      </c>
      <c r="B680" s="518"/>
      <c r="C680" s="517"/>
      <c r="D680" s="517"/>
      <c r="E680" s="516" t="s">
        <v>7051</v>
      </c>
      <c r="F680" s="513" t="s">
        <v>1249</v>
      </c>
      <c r="G680" s="513">
        <v>0.46</v>
      </c>
      <c r="H680" s="515">
        <v>0</v>
      </c>
      <c r="I680" s="515">
        <v>0</v>
      </c>
      <c r="J680" s="514"/>
      <c r="K680" s="513" t="s">
        <v>399</v>
      </c>
    </row>
    <row r="681" spans="1:11" ht="25.5" x14ac:dyDescent="0.2">
      <c r="A681" s="526" t="s">
        <v>7050</v>
      </c>
      <c r="B681" s="525"/>
      <c r="C681" s="524"/>
      <c r="D681" s="524"/>
      <c r="E681" s="523" t="s">
        <v>7049</v>
      </c>
      <c r="F681" s="520" t="s">
        <v>1249</v>
      </c>
      <c r="G681" s="520">
        <v>0.31</v>
      </c>
      <c r="H681" s="522">
        <v>0</v>
      </c>
      <c r="I681" s="522">
        <v>0</v>
      </c>
      <c r="J681" s="521"/>
      <c r="K681" s="520" t="s">
        <v>399</v>
      </c>
    </row>
    <row r="682" spans="1:11" ht="25.5" x14ac:dyDescent="0.2">
      <c r="A682" s="519" t="s">
        <v>7048</v>
      </c>
      <c r="B682" s="518"/>
      <c r="C682" s="517"/>
      <c r="D682" s="517"/>
      <c r="E682" s="516" t="s">
        <v>7047</v>
      </c>
      <c r="F682" s="513" t="s">
        <v>1249</v>
      </c>
      <c r="G682" s="513">
        <v>1</v>
      </c>
      <c r="H682" s="515">
        <v>0</v>
      </c>
      <c r="I682" s="515">
        <v>0</v>
      </c>
      <c r="J682" s="514"/>
      <c r="K682" s="513" t="s">
        <v>399</v>
      </c>
    </row>
    <row r="683" spans="1:11" ht="25.5" x14ac:dyDescent="0.2">
      <c r="A683" s="526" t="s">
        <v>7046</v>
      </c>
      <c r="B683" s="525"/>
      <c r="C683" s="524"/>
      <c r="D683" s="524"/>
      <c r="E683" s="523" t="s">
        <v>7045</v>
      </c>
      <c r="F683" s="520" t="s">
        <v>1249</v>
      </c>
      <c r="G683" s="520">
        <v>0.05</v>
      </c>
      <c r="H683" s="522">
        <v>0</v>
      </c>
      <c r="I683" s="522">
        <v>0</v>
      </c>
      <c r="J683" s="521"/>
      <c r="K683" s="520" t="s">
        <v>399</v>
      </c>
    </row>
    <row r="684" spans="1:11" ht="25.5" x14ac:dyDescent="0.2">
      <c r="A684" s="519" t="s">
        <v>7044</v>
      </c>
      <c r="B684" s="518"/>
      <c r="C684" s="517"/>
      <c r="D684" s="517"/>
      <c r="E684" s="516" t="s">
        <v>7043</v>
      </c>
      <c r="F684" s="513" t="s">
        <v>1249</v>
      </c>
      <c r="G684" s="513">
        <v>1.41</v>
      </c>
      <c r="H684" s="515">
        <v>0</v>
      </c>
      <c r="I684" s="515">
        <v>0</v>
      </c>
      <c r="J684" s="514"/>
      <c r="K684" s="513" t="s">
        <v>399</v>
      </c>
    </row>
    <row r="685" spans="1:11" ht="25.5" x14ac:dyDescent="0.2">
      <c r="A685" s="526" t="s">
        <v>7042</v>
      </c>
      <c r="B685" s="525"/>
      <c r="C685" s="524"/>
      <c r="D685" s="524"/>
      <c r="E685" s="523" t="s">
        <v>7041</v>
      </c>
      <c r="F685" s="520" t="s">
        <v>1249</v>
      </c>
      <c r="G685" s="520">
        <v>0.74</v>
      </c>
      <c r="H685" s="522">
        <v>0</v>
      </c>
      <c r="I685" s="522">
        <v>0</v>
      </c>
      <c r="J685" s="521"/>
      <c r="K685" s="520" t="s">
        <v>399</v>
      </c>
    </row>
    <row r="686" spans="1:11" ht="25.5" x14ac:dyDescent="0.2">
      <c r="A686" s="519" t="s">
        <v>7040</v>
      </c>
      <c r="B686" s="518"/>
      <c r="C686" s="517"/>
      <c r="D686" s="517"/>
      <c r="E686" s="516" t="s">
        <v>7039</v>
      </c>
      <c r="F686" s="513" t="s">
        <v>1249</v>
      </c>
      <c r="G686" s="513">
        <v>0.3</v>
      </c>
      <c r="H686" s="515">
        <v>0</v>
      </c>
      <c r="I686" s="515">
        <v>0</v>
      </c>
      <c r="J686" s="514"/>
      <c r="K686" s="513" t="s">
        <v>399</v>
      </c>
    </row>
    <row r="687" spans="1:11" ht="25.5" x14ac:dyDescent="0.2">
      <c r="A687" s="526" t="s">
        <v>7038</v>
      </c>
      <c r="B687" s="525"/>
      <c r="C687" s="524"/>
      <c r="D687" s="524"/>
      <c r="E687" s="523" t="s">
        <v>7037</v>
      </c>
      <c r="F687" s="520" t="s">
        <v>1249</v>
      </c>
      <c r="G687" s="520">
        <v>0.59</v>
      </c>
      <c r="H687" s="522">
        <v>0</v>
      </c>
      <c r="I687" s="522">
        <v>0</v>
      </c>
      <c r="J687" s="521"/>
      <c r="K687" s="520" t="s">
        <v>399</v>
      </c>
    </row>
    <row r="688" spans="1:11" ht="25.5" x14ac:dyDescent="0.2">
      <c r="A688" s="519" t="s">
        <v>7036</v>
      </c>
      <c r="B688" s="518"/>
      <c r="C688" s="517"/>
      <c r="D688" s="517"/>
      <c r="E688" s="516" t="s">
        <v>7035</v>
      </c>
      <c r="F688" s="513" t="s">
        <v>1249</v>
      </c>
      <c r="G688" s="513"/>
      <c r="H688" s="515">
        <v>0</v>
      </c>
      <c r="I688" s="515">
        <v>0</v>
      </c>
      <c r="J688" s="514"/>
      <c r="K688" s="513" t="s">
        <v>399</v>
      </c>
    </row>
    <row r="689" spans="1:11" ht="25.5" x14ac:dyDescent="0.2">
      <c r="A689" s="526" t="s">
        <v>7034</v>
      </c>
      <c r="B689" s="525"/>
      <c r="C689" s="524"/>
      <c r="D689" s="524"/>
      <c r="E689" s="523" t="s">
        <v>6906</v>
      </c>
      <c r="F689" s="520" t="s">
        <v>1249</v>
      </c>
      <c r="G689" s="520">
        <v>0.09</v>
      </c>
      <c r="H689" s="522">
        <v>0</v>
      </c>
      <c r="I689" s="522">
        <v>0</v>
      </c>
      <c r="J689" s="521"/>
      <c r="K689" s="520" t="s">
        <v>399</v>
      </c>
    </row>
    <row r="690" spans="1:11" ht="25.5" x14ac:dyDescent="0.2">
      <c r="A690" s="519" t="s">
        <v>7033</v>
      </c>
      <c r="B690" s="518"/>
      <c r="C690" s="517"/>
      <c r="D690" s="517"/>
      <c r="E690" s="516" t="s">
        <v>7032</v>
      </c>
      <c r="F690" s="513" t="s">
        <v>1249</v>
      </c>
      <c r="G690" s="513">
        <v>0.06</v>
      </c>
      <c r="H690" s="515">
        <v>0</v>
      </c>
      <c r="I690" s="515">
        <v>0</v>
      </c>
      <c r="J690" s="514"/>
      <c r="K690" s="513" t="s">
        <v>399</v>
      </c>
    </row>
    <row r="691" spans="1:11" ht="25.5" x14ac:dyDescent="0.2">
      <c r="A691" s="526" t="s">
        <v>7031</v>
      </c>
      <c r="B691" s="525"/>
      <c r="C691" s="524"/>
      <c r="D691" s="524"/>
      <c r="E691" s="523" t="s">
        <v>7030</v>
      </c>
      <c r="F691" s="520" t="s">
        <v>1249</v>
      </c>
      <c r="G691" s="520">
        <v>7.0000000000000007E-2</v>
      </c>
      <c r="H691" s="522">
        <v>0</v>
      </c>
      <c r="I691" s="522">
        <v>0</v>
      </c>
      <c r="J691" s="521"/>
      <c r="K691" s="520" t="s">
        <v>399</v>
      </c>
    </row>
    <row r="692" spans="1:11" ht="25.5" x14ac:dyDescent="0.2">
      <c r="A692" s="519" t="s">
        <v>7029</v>
      </c>
      <c r="B692" s="518"/>
      <c r="C692" s="517"/>
      <c r="D692" s="517"/>
      <c r="E692" s="516" t="s">
        <v>7028</v>
      </c>
      <c r="F692" s="513" t="s">
        <v>1249</v>
      </c>
      <c r="G692" s="513">
        <v>0.03</v>
      </c>
      <c r="H692" s="515">
        <v>0</v>
      </c>
      <c r="I692" s="515">
        <v>0</v>
      </c>
      <c r="J692" s="514"/>
      <c r="K692" s="513" t="s">
        <v>399</v>
      </c>
    </row>
    <row r="693" spans="1:11" ht="25.5" x14ac:dyDescent="0.2">
      <c r="A693" s="526" t="s">
        <v>7027</v>
      </c>
      <c r="B693" s="525"/>
      <c r="C693" s="524"/>
      <c r="D693" s="524"/>
      <c r="E693" s="523" t="s">
        <v>7026</v>
      </c>
      <c r="F693" s="520" t="s">
        <v>1249</v>
      </c>
      <c r="G693" s="520"/>
      <c r="H693" s="522">
        <v>0</v>
      </c>
      <c r="I693" s="522">
        <v>0</v>
      </c>
      <c r="J693" s="521"/>
      <c r="K693" s="520" t="s">
        <v>399</v>
      </c>
    </row>
    <row r="694" spans="1:11" ht="25.5" x14ac:dyDescent="0.2">
      <c r="A694" s="519" t="s">
        <v>7025</v>
      </c>
      <c r="B694" s="518"/>
      <c r="C694" s="517"/>
      <c r="D694" s="517"/>
      <c r="E694" s="516" t="s">
        <v>7024</v>
      </c>
      <c r="F694" s="513" t="s">
        <v>1249</v>
      </c>
      <c r="G694" s="513">
        <v>0.04</v>
      </c>
      <c r="H694" s="515">
        <v>0</v>
      </c>
      <c r="I694" s="515">
        <v>0</v>
      </c>
      <c r="J694" s="514"/>
      <c r="K694" s="513" t="s">
        <v>399</v>
      </c>
    </row>
    <row r="695" spans="1:11" ht="25.5" x14ac:dyDescent="0.2">
      <c r="A695" s="526" t="s">
        <v>7023</v>
      </c>
      <c r="B695" s="525"/>
      <c r="C695" s="524"/>
      <c r="D695" s="524"/>
      <c r="E695" s="523" t="s">
        <v>7022</v>
      </c>
      <c r="F695" s="520" t="s">
        <v>1249</v>
      </c>
      <c r="G695" s="520">
        <v>0.09</v>
      </c>
      <c r="H695" s="522">
        <v>0</v>
      </c>
      <c r="I695" s="522">
        <v>0</v>
      </c>
      <c r="J695" s="521"/>
      <c r="K695" s="520" t="s">
        <v>399</v>
      </c>
    </row>
    <row r="696" spans="1:11" ht="25.5" x14ac:dyDescent="0.2">
      <c r="A696" s="519" t="s">
        <v>7021</v>
      </c>
      <c r="B696" s="518"/>
      <c r="C696" s="517"/>
      <c r="D696" s="517"/>
      <c r="E696" s="516" t="s">
        <v>7020</v>
      </c>
      <c r="F696" s="513" t="s">
        <v>1249</v>
      </c>
      <c r="G696" s="513">
        <v>0.05</v>
      </c>
      <c r="H696" s="515">
        <v>0</v>
      </c>
      <c r="I696" s="515">
        <v>0</v>
      </c>
      <c r="J696" s="514"/>
      <c r="K696" s="513" t="s">
        <v>399</v>
      </c>
    </row>
    <row r="697" spans="1:11" ht="25.5" x14ac:dyDescent="0.2">
      <c r="A697" s="526" t="s">
        <v>7019</v>
      </c>
      <c r="B697" s="525"/>
      <c r="C697" s="524"/>
      <c r="D697" s="524"/>
      <c r="E697" s="523" t="s">
        <v>7018</v>
      </c>
      <c r="F697" s="520" t="s">
        <v>1249</v>
      </c>
      <c r="G697" s="520">
        <v>0.63</v>
      </c>
      <c r="H697" s="522">
        <v>0</v>
      </c>
      <c r="I697" s="522">
        <v>0</v>
      </c>
      <c r="J697" s="521"/>
      <c r="K697" s="520" t="s">
        <v>399</v>
      </c>
    </row>
    <row r="698" spans="1:11" ht="25.5" x14ac:dyDescent="0.2">
      <c r="A698" s="519" t="s">
        <v>7017</v>
      </c>
      <c r="B698" s="518"/>
      <c r="C698" s="517"/>
      <c r="D698" s="517"/>
      <c r="E698" s="516" t="s">
        <v>7016</v>
      </c>
      <c r="F698" s="513" t="s">
        <v>1249</v>
      </c>
      <c r="G698" s="513">
        <v>0.01</v>
      </c>
      <c r="H698" s="515">
        <v>0</v>
      </c>
      <c r="I698" s="515">
        <v>0</v>
      </c>
      <c r="J698" s="514"/>
      <c r="K698" s="513" t="s">
        <v>399</v>
      </c>
    </row>
    <row r="699" spans="1:11" ht="25.5" x14ac:dyDescent="0.2">
      <c r="A699" s="526" t="s">
        <v>7015</v>
      </c>
      <c r="B699" s="525"/>
      <c r="C699" s="524"/>
      <c r="D699" s="524"/>
      <c r="E699" s="523" t="s">
        <v>7014</v>
      </c>
      <c r="F699" s="520" t="s">
        <v>1249</v>
      </c>
      <c r="G699" s="520">
        <v>0.04</v>
      </c>
      <c r="H699" s="522">
        <v>0</v>
      </c>
      <c r="I699" s="522">
        <v>0</v>
      </c>
      <c r="J699" s="521"/>
      <c r="K699" s="520" t="s">
        <v>399</v>
      </c>
    </row>
    <row r="700" spans="1:11" ht="25.5" x14ac:dyDescent="0.2">
      <c r="A700" s="519" t="s">
        <v>7013</v>
      </c>
      <c r="B700" s="518"/>
      <c r="C700" s="517"/>
      <c r="D700" s="517"/>
      <c r="E700" s="516" t="s">
        <v>7012</v>
      </c>
      <c r="F700" s="513" t="s">
        <v>1249</v>
      </c>
      <c r="G700" s="513">
        <v>0.01</v>
      </c>
      <c r="H700" s="515">
        <v>0</v>
      </c>
      <c r="I700" s="515">
        <v>0</v>
      </c>
      <c r="J700" s="514"/>
      <c r="K700" s="513" t="s">
        <v>399</v>
      </c>
    </row>
    <row r="701" spans="1:11" ht="25.5" x14ac:dyDescent="0.2">
      <c r="A701" s="526" t="s">
        <v>7011</v>
      </c>
      <c r="B701" s="525"/>
      <c r="C701" s="524"/>
      <c r="D701" s="524"/>
      <c r="E701" s="523" t="s">
        <v>7010</v>
      </c>
      <c r="F701" s="520" t="s">
        <v>1249</v>
      </c>
      <c r="G701" s="520">
        <v>0.05</v>
      </c>
      <c r="H701" s="522">
        <v>0</v>
      </c>
      <c r="I701" s="522">
        <v>0</v>
      </c>
      <c r="J701" s="521"/>
      <c r="K701" s="520" t="s">
        <v>399</v>
      </c>
    </row>
    <row r="702" spans="1:11" ht="25.5" x14ac:dyDescent="0.2">
      <c r="A702" s="519" t="s">
        <v>7009</v>
      </c>
      <c r="B702" s="518"/>
      <c r="C702" s="517"/>
      <c r="D702" s="517"/>
      <c r="E702" s="516" t="s">
        <v>7008</v>
      </c>
      <c r="F702" s="513" t="s">
        <v>1249</v>
      </c>
      <c r="G702" s="513">
        <v>0.01</v>
      </c>
      <c r="H702" s="515">
        <v>0</v>
      </c>
      <c r="I702" s="515">
        <v>0</v>
      </c>
      <c r="J702" s="514"/>
      <c r="K702" s="513" t="s">
        <v>399</v>
      </c>
    </row>
    <row r="703" spans="1:11" ht="25.5" x14ac:dyDescent="0.2">
      <c r="A703" s="526" t="s">
        <v>7007</v>
      </c>
      <c r="B703" s="525"/>
      <c r="C703" s="524"/>
      <c r="D703" s="524"/>
      <c r="E703" s="523" t="s">
        <v>7006</v>
      </c>
      <c r="F703" s="520" t="s">
        <v>1249</v>
      </c>
      <c r="G703" s="520">
        <v>0.01</v>
      </c>
      <c r="H703" s="522">
        <v>0</v>
      </c>
      <c r="I703" s="522">
        <v>0</v>
      </c>
      <c r="J703" s="521"/>
      <c r="K703" s="520" t="s">
        <v>399</v>
      </c>
    </row>
    <row r="704" spans="1:11" ht="25.5" x14ac:dyDescent="0.2">
      <c r="A704" s="519" t="s">
        <v>7005</v>
      </c>
      <c r="B704" s="518"/>
      <c r="C704" s="517"/>
      <c r="D704" s="517"/>
      <c r="E704" s="516" t="s">
        <v>6898</v>
      </c>
      <c r="F704" s="513" t="s">
        <v>1249</v>
      </c>
      <c r="G704" s="513">
        <v>7.0000000000000007E-2</v>
      </c>
      <c r="H704" s="515">
        <v>0</v>
      </c>
      <c r="I704" s="515">
        <v>0</v>
      </c>
      <c r="J704" s="514"/>
      <c r="K704" s="513" t="s">
        <v>399</v>
      </c>
    </row>
    <row r="705" spans="1:11" ht="25.5" x14ac:dyDescent="0.2">
      <c r="A705" s="526" t="s">
        <v>7004</v>
      </c>
      <c r="B705" s="525"/>
      <c r="C705" s="524"/>
      <c r="D705" s="524"/>
      <c r="E705" s="523" t="s">
        <v>6829</v>
      </c>
      <c r="F705" s="520" t="s">
        <v>1249</v>
      </c>
      <c r="G705" s="520">
        <v>0.32</v>
      </c>
      <c r="H705" s="522">
        <v>0</v>
      </c>
      <c r="I705" s="522">
        <v>0</v>
      </c>
      <c r="J705" s="521"/>
      <c r="K705" s="520" t="s">
        <v>399</v>
      </c>
    </row>
    <row r="706" spans="1:11" ht="25.5" x14ac:dyDescent="0.2">
      <c r="A706" s="519" t="s">
        <v>7003</v>
      </c>
      <c r="B706" s="518"/>
      <c r="C706" s="517"/>
      <c r="D706" s="517"/>
      <c r="E706" s="516" t="s">
        <v>7002</v>
      </c>
      <c r="F706" s="513" t="s">
        <v>1249</v>
      </c>
      <c r="G706" s="513">
        <v>0.26</v>
      </c>
      <c r="H706" s="515">
        <v>0</v>
      </c>
      <c r="I706" s="515">
        <v>0</v>
      </c>
      <c r="J706" s="514"/>
      <c r="K706" s="513" t="s">
        <v>399</v>
      </c>
    </row>
    <row r="707" spans="1:11" ht="25.5" x14ac:dyDescent="0.2">
      <c r="A707" s="526" t="s">
        <v>7001</v>
      </c>
      <c r="B707" s="525"/>
      <c r="C707" s="524"/>
      <c r="D707" s="524"/>
      <c r="E707" s="523" t="s">
        <v>6827</v>
      </c>
      <c r="F707" s="520" t="s">
        <v>1249</v>
      </c>
      <c r="G707" s="520">
        <v>4.28</v>
      </c>
      <c r="H707" s="522">
        <v>0</v>
      </c>
      <c r="I707" s="522">
        <v>0</v>
      </c>
      <c r="J707" s="521"/>
      <c r="K707" s="520" t="s">
        <v>399</v>
      </c>
    </row>
    <row r="708" spans="1:11" ht="25.5" x14ac:dyDescent="0.2">
      <c r="A708" s="519" t="s">
        <v>7000</v>
      </c>
      <c r="B708" s="518"/>
      <c r="C708" s="517"/>
      <c r="D708" s="517"/>
      <c r="E708" s="516" t="s">
        <v>6999</v>
      </c>
      <c r="F708" s="513" t="s">
        <v>1249</v>
      </c>
      <c r="G708" s="513">
        <v>2.12</v>
      </c>
      <c r="H708" s="515">
        <v>0</v>
      </c>
      <c r="I708" s="515">
        <v>0</v>
      </c>
      <c r="J708" s="514"/>
      <c r="K708" s="513" t="s">
        <v>399</v>
      </c>
    </row>
    <row r="709" spans="1:11" ht="25.5" x14ac:dyDescent="0.2">
      <c r="A709" s="526" t="s">
        <v>6998</v>
      </c>
      <c r="B709" s="525"/>
      <c r="C709" s="524"/>
      <c r="D709" s="524"/>
      <c r="E709" s="523" t="s">
        <v>6997</v>
      </c>
      <c r="F709" s="520" t="s">
        <v>1249</v>
      </c>
      <c r="G709" s="520">
        <v>0.2</v>
      </c>
      <c r="H709" s="522">
        <v>0</v>
      </c>
      <c r="I709" s="522">
        <v>0</v>
      </c>
      <c r="J709" s="521"/>
      <c r="K709" s="520" t="s">
        <v>399</v>
      </c>
    </row>
    <row r="710" spans="1:11" ht="25.5" x14ac:dyDescent="0.2">
      <c r="A710" s="519" t="s">
        <v>6996</v>
      </c>
      <c r="B710" s="518"/>
      <c r="C710" s="517"/>
      <c r="D710" s="517"/>
      <c r="E710" s="516" t="s">
        <v>6995</v>
      </c>
      <c r="F710" s="513" t="s">
        <v>1249</v>
      </c>
      <c r="G710" s="513">
        <v>3.82</v>
      </c>
      <c r="H710" s="515">
        <v>0</v>
      </c>
      <c r="I710" s="515">
        <v>0</v>
      </c>
      <c r="J710" s="514"/>
      <c r="K710" s="513" t="s">
        <v>399</v>
      </c>
    </row>
    <row r="711" spans="1:11" ht="25.5" x14ac:dyDescent="0.2">
      <c r="A711" s="526" t="s">
        <v>6994</v>
      </c>
      <c r="B711" s="525"/>
      <c r="C711" s="524"/>
      <c r="D711" s="524"/>
      <c r="E711" s="523" t="s">
        <v>6993</v>
      </c>
      <c r="F711" s="520" t="s">
        <v>1249</v>
      </c>
      <c r="G711" s="520">
        <v>0.86</v>
      </c>
      <c r="H711" s="522">
        <v>0</v>
      </c>
      <c r="I711" s="522">
        <v>0</v>
      </c>
      <c r="J711" s="521"/>
      <c r="K711" s="520" t="s">
        <v>399</v>
      </c>
    </row>
    <row r="712" spans="1:11" ht="25.5" x14ac:dyDescent="0.2">
      <c r="A712" s="519" t="s">
        <v>6992</v>
      </c>
      <c r="B712" s="518"/>
      <c r="C712" s="517"/>
      <c r="D712" s="517"/>
      <c r="E712" s="516" t="s">
        <v>6991</v>
      </c>
      <c r="F712" s="513" t="s">
        <v>1249</v>
      </c>
      <c r="G712" s="513">
        <v>0.05</v>
      </c>
      <c r="H712" s="515">
        <v>0</v>
      </c>
      <c r="I712" s="515">
        <v>0</v>
      </c>
      <c r="J712" s="514"/>
      <c r="K712" s="513" t="s">
        <v>399</v>
      </c>
    </row>
    <row r="713" spans="1:11" ht="25.5" x14ac:dyDescent="0.2">
      <c r="A713" s="526" t="s">
        <v>6990</v>
      </c>
      <c r="B713" s="525"/>
      <c r="C713" s="524"/>
      <c r="D713" s="524"/>
      <c r="E713" s="523" t="s">
        <v>6989</v>
      </c>
      <c r="F713" s="520" t="s">
        <v>1249</v>
      </c>
      <c r="G713" s="520">
        <v>0.06</v>
      </c>
      <c r="H713" s="522">
        <v>0</v>
      </c>
      <c r="I713" s="522">
        <v>0</v>
      </c>
      <c r="J713" s="521"/>
      <c r="K713" s="520" t="s">
        <v>399</v>
      </c>
    </row>
    <row r="714" spans="1:11" ht="25.5" x14ac:dyDescent="0.2">
      <c r="A714" s="519" t="s">
        <v>6988</v>
      </c>
      <c r="B714" s="518"/>
      <c r="C714" s="517"/>
      <c r="D714" s="517"/>
      <c r="E714" s="516" t="s">
        <v>6987</v>
      </c>
      <c r="F714" s="513" t="s">
        <v>1249</v>
      </c>
      <c r="G714" s="513"/>
      <c r="H714" s="515">
        <v>0</v>
      </c>
      <c r="I714" s="515">
        <v>0</v>
      </c>
      <c r="J714" s="514"/>
      <c r="K714" s="513" t="s">
        <v>399</v>
      </c>
    </row>
    <row r="715" spans="1:11" ht="25.5" x14ac:dyDescent="0.2">
      <c r="A715" s="526" t="s">
        <v>6986</v>
      </c>
      <c r="B715" s="525"/>
      <c r="C715" s="524"/>
      <c r="D715" s="524"/>
      <c r="E715" s="523" t="s">
        <v>6985</v>
      </c>
      <c r="F715" s="520" t="s">
        <v>1249</v>
      </c>
      <c r="G715" s="520">
        <v>0.08</v>
      </c>
      <c r="H715" s="522">
        <v>0</v>
      </c>
      <c r="I715" s="522">
        <v>0</v>
      </c>
      <c r="J715" s="521"/>
      <c r="K715" s="520" t="s">
        <v>399</v>
      </c>
    </row>
    <row r="716" spans="1:11" ht="25.5" x14ac:dyDescent="0.2">
      <c r="A716" s="519" t="s">
        <v>6984</v>
      </c>
      <c r="B716" s="518"/>
      <c r="C716" s="517"/>
      <c r="D716" s="517"/>
      <c r="E716" s="516" t="s">
        <v>6983</v>
      </c>
      <c r="F716" s="513" t="s">
        <v>1249</v>
      </c>
      <c r="G716" s="513">
        <v>0.45</v>
      </c>
      <c r="H716" s="515">
        <v>0</v>
      </c>
      <c r="I716" s="515">
        <v>0</v>
      </c>
      <c r="J716" s="514"/>
      <c r="K716" s="513" t="s">
        <v>399</v>
      </c>
    </row>
    <row r="717" spans="1:11" ht="25.5" x14ac:dyDescent="0.2">
      <c r="A717" s="526" t="s">
        <v>6982</v>
      </c>
      <c r="B717" s="525"/>
      <c r="C717" s="524"/>
      <c r="D717" s="524"/>
      <c r="E717" s="523" t="s">
        <v>6981</v>
      </c>
      <c r="F717" s="520" t="s">
        <v>1249</v>
      </c>
      <c r="G717" s="520">
        <v>0.1</v>
      </c>
      <c r="H717" s="522">
        <v>0</v>
      </c>
      <c r="I717" s="522">
        <v>0</v>
      </c>
      <c r="J717" s="521"/>
      <c r="K717" s="520" t="s">
        <v>399</v>
      </c>
    </row>
    <row r="718" spans="1:11" ht="25.5" x14ac:dyDescent="0.2">
      <c r="A718" s="519" t="s">
        <v>6980</v>
      </c>
      <c r="B718" s="518"/>
      <c r="C718" s="517"/>
      <c r="D718" s="517"/>
      <c r="E718" s="516" t="s">
        <v>6979</v>
      </c>
      <c r="F718" s="513" t="s">
        <v>1249</v>
      </c>
      <c r="G718" s="513">
        <v>0.01</v>
      </c>
      <c r="H718" s="515">
        <v>0</v>
      </c>
      <c r="I718" s="515">
        <v>0</v>
      </c>
      <c r="J718" s="514"/>
      <c r="K718" s="513" t="s">
        <v>399</v>
      </c>
    </row>
    <row r="719" spans="1:11" ht="25.5" x14ac:dyDescent="0.2">
      <c r="A719" s="526" t="s">
        <v>6978</v>
      </c>
      <c r="B719" s="525"/>
      <c r="C719" s="524"/>
      <c r="D719" s="524"/>
      <c r="E719" s="523" t="s">
        <v>6977</v>
      </c>
      <c r="F719" s="520" t="s">
        <v>1249</v>
      </c>
      <c r="G719" s="520">
        <v>0.18</v>
      </c>
      <c r="H719" s="522">
        <v>0</v>
      </c>
      <c r="I719" s="522">
        <v>0</v>
      </c>
      <c r="J719" s="521"/>
      <c r="K719" s="520" t="s">
        <v>399</v>
      </c>
    </row>
    <row r="720" spans="1:11" ht="25.5" x14ac:dyDescent="0.2">
      <c r="A720" s="519" t="s">
        <v>6976</v>
      </c>
      <c r="B720" s="518"/>
      <c r="C720" s="517"/>
      <c r="D720" s="517"/>
      <c r="E720" s="516" t="s">
        <v>6975</v>
      </c>
      <c r="F720" s="513" t="s">
        <v>1249</v>
      </c>
      <c r="G720" s="513">
        <v>0.97</v>
      </c>
      <c r="H720" s="515">
        <v>0</v>
      </c>
      <c r="I720" s="515">
        <v>0</v>
      </c>
      <c r="J720" s="514"/>
      <c r="K720" s="513" t="s">
        <v>399</v>
      </c>
    </row>
    <row r="721" spans="1:11" ht="25.5" x14ac:dyDescent="0.2">
      <c r="A721" s="526" t="s">
        <v>6974</v>
      </c>
      <c r="B721" s="525"/>
      <c r="C721" s="524"/>
      <c r="D721" s="524"/>
      <c r="E721" s="523" t="s">
        <v>6973</v>
      </c>
      <c r="F721" s="520" t="s">
        <v>1249</v>
      </c>
      <c r="G721" s="520">
        <v>0.04</v>
      </c>
      <c r="H721" s="522">
        <v>0</v>
      </c>
      <c r="I721" s="522">
        <v>0</v>
      </c>
      <c r="J721" s="521"/>
      <c r="K721" s="520" t="s">
        <v>399</v>
      </c>
    </row>
    <row r="722" spans="1:11" ht="25.5" x14ac:dyDescent="0.2">
      <c r="A722" s="519" t="s">
        <v>6972</v>
      </c>
      <c r="B722" s="518"/>
      <c r="C722" s="517"/>
      <c r="D722" s="517"/>
      <c r="E722" s="516" t="s">
        <v>6971</v>
      </c>
      <c r="F722" s="513" t="s">
        <v>1249</v>
      </c>
      <c r="G722" s="513">
        <v>0.13</v>
      </c>
      <c r="H722" s="515">
        <v>0</v>
      </c>
      <c r="I722" s="515">
        <v>0</v>
      </c>
      <c r="J722" s="514"/>
      <c r="K722" s="513" t="s">
        <v>399</v>
      </c>
    </row>
    <row r="723" spans="1:11" ht="25.5" x14ac:dyDescent="0.2">
      <c r="A723" s="526" t="s">
        <v>6970</v>
      </c>
      <c r="B723" s="525"/>
      <c r="C723" s="524"/>
      <c r="D723" s="524"/>
      <c r="E723" s="523" t="s">
        <v>6969</v>
      </c>
      <c r="F723" s="520" t="s">
        <v>1249</v>
      </c>
      <c r="G723" s="520">
        <v>0.15</v>
      </c>
      <c r="H723" s="522">
        <v>0</v>
      </c>
      <c r="I723" s="522">
        <v>0</v>
      </c>
      <c r="J723" s="521"/>
      <c r="K723" s="520" t="s">
        <v>399</v>
      </c>
    </row>
    <row r="724" spans="1:11" ht="25.5" x14ac:dyDescent="0.2">
      <c r="A724" s="519" t="s">
        <v>6968</v>
      </c>
      <c r="B724" s="518"/>
      <c r="C724" s="517"/>
      <c r="D724" s="517"/>
      <c r="E724" s="516" t="s">
        <v>6967</v>
      </c>
      <c r="F724" s="513" t="s">
        <v>1249</v>
      </c>
      <c r="G724" s="513">
        <v>0.43</v>
      </c>
      <c r="H724" s="515">
        <v>0</v>
      </c>
      <c r="I724" s="515">
        <v>0</v>
      </c>
      <c r="J724" s="514"/>
      <c r="K724" s="513" t="s">
        <v>399</v>
      </c>
    </row>
    <row r="725" spans="1:11" ht="25.5" x14ac:dyDescent="0.2">
      <c r="A725" s="526" t="s">
        <v>6966</v>
      </c>
      <c r="B725" s="525"/>
      <c r="C725" s="524"/>
      <c r="D725" s="524"/>
      <c r="E725" s="523" t="s">
        <v>6965</v>
      </c>
      <c r="F725" s="520" t="s">
        <v>1249</v>
      </c>
      <c r="G725" s="520">
        <v>0.71</v>
      </c>
      <c r="H725" s="522">
        <v>0</v>
      </c>
      <c r="I725" s="522">
        <v>0</v>
      </c>
      <c r="J725" s="521"/>
      <c r="K725" s="520" t="s">
        <v>399</v>
      </c>
    </row>
    <row r="726" spans="1:11" ht="25.5" x14ac:dyDescent="0.2">
      <c r="A726" s="519" t="s">
        <v>6964</v>
      </c>
      <c r="B726" s="518"/>
      <c r="C726" s="517"/>
      <c r="D726" s="517"/>
      <c r="E726" s="516" t="s">
        <v>6963</v>
      </c>
      <c r="F726" s="513" t="s">
        <v>1249</v>
      </c>
      <c r="G726" s="513">
        <v>0.31</v>
      </c>
      <c r="H726" s="515">
        <v>0</v>
      </c>
      <c r="I726" s="515">
        <v>0</v>
      </c>
      <c r="J726" s="514"/>
      <c r="K726" s="513" t="s">
        <v>399</v>
      </c>
    </row>
    <row r="727" spans="1:11" ht="25.5" x14ac:dyDescent="0.2">
      <c r="A727" s="526" t="s">
        <v>6962</v>
      </c>
      <c r="B727" s="525"/>
      <c r="C727" s="524"/>
      <c r="D727" s="524"/>
      <c r="E727" s="523" t="s">
        <v>6961</v>
      </c>
      <c r="F727" s="520" t="s">
        <v>1249</v>
      </c>
      <c r="G727" s="520">
        <v>0.01</v>
      </c>
      <c r="H727" s="522">
        <v>0</v>
      </c>
      <c r="I727" s="522">
        <v>0</v>
      </c>
      <c r="J727" s="521"/>
      <c r="K727" s="520" t="s">
        <v>399</v>
      </c>
    </row>
    <row r="728" spans="1:11" ht="25.5" x14ac:dyDescent="0.2">
      <c r="A728" s="519" t="s">
        <v>6960</v>
      </c>
      <c r="B728" s="518"/>
      <c r="C728" s="517"/>
      <c r="D728" s="517"/>
      <c r="E728" s="516" t="s">
        <v>6959</v>
      </c>
      <c r="F728" s="513" t="s">
        <v>1249</v>
      </c>
      <c r="G728" s="513">
        <v>0.03</v>
      </c>
      <c r="H728" s="515">
        <v>0</v>
      </c>
      <c r="I728" s="515">
        <v>0</v>
      </c>
      <c r="J728" s="514"/>
      <c r="K728" s="513" t="s">
        <v>399</v>
      </c>
    </row>
    <row r="729" spans="1:11" x14ac:dyDescent="0.2">
      <c r="A729" s="526" t="s">
        <v>6958</v>
      </c>
      <c r="B729" s="525"/>
      <c r="C729" s="524"/>
      <c r="D729" s="524"/>
      <c r="E729" s="523" t="s">
        <v>6817</v>
      </c>
      <c r="F729" s="520" t="s">
        <v>1249</v>
      </c>
      <c r="G729" s="520">
        <v>9.69</v>
      </c>
      <c r="H729" s="522">
        <v>0</v>
      </c>
      <c r="I729" s="522">
        <v>0</v>
      </c>
      <c r="J729" s="521"/>
      <c r="K729" s="520" t="s">
        <v>399</v>
      </c>
    </row>
    <row r="730" spans="1:11" x14ac:dyDescent="0.2">
      <c r="A730" s="519" t="s">
        <v>6957</v>
      </c>
      <c r="B730" s="518"/>
      <c r="C730" s="517"/>
      <c r="D730" s="517"/>
      <c r="E730" s="516" t="s">
        <v>6815</v>
      </c>
      <c r="F730" s="513" t="s">
        <v>1249</v>
      </c>
      <c r="G730" s="513">
        <v>16.010000000000002</v>
      </c>
      <c r="H730" s="515">
        <v>0</v>
      </c>
      <c r="I730" s="515">
        <v>0</v>
      </c>
      <c r="J730" s="514"/>
      <c r="K730" s="513" t="s">
        <v>399</v>
      </c>
    </row>
    <row r="731" spans="1:11" x14ac:dyDescent="0.2">
      <c r="A731" s="526" t="s">
        <v>6956</v>
      </c>
      <c r="B731" s="525"/>
      <c r="C731" s="524"/>
      <c r="D731" s="524"/>
      <c r="E731" s="523" t="s">
        <v>6955</v>
      </c>
      <c r="F731" s="520" t="s">
        <v>1249</v>
      </c>
      <c r="G731" s="520">
        <v>14.65</v>
      </c>
      <c r="H731" s="522">
        <v>0</v>
      </c>
      <c r="I731" s="522">
        <v>0</v>
      </c>
      <c r="J731" s="521"/>
      <c r="K731" s="520" t="s">
        <v>399</v>
      </c>
    </row>
    <row r="732" spans="1:11" x14ac:dyDescent="0.2">
      <c r="A732" s="519" t="s">
        <v>6954</v>
      </c>
      <c r="B732" s="518"/>
      <c r="C732" s="517"/>
      <c r="D732" s="517"/>
      <c r="E732" s="516" t="s">
        <v>6953</v>
      </c>
      <c r="F732" s="513" t="s">
        <v>1249</v>
      </c>
      <c r="G732" s="513">
        <v>0.1</v>
      </c>
      <c r="H732" s="515">
        <v>0</v>
      </c>
      <c r="I732" s="515">
        <v>0</v>
      </c>
      <c r="J732" s="514"/>
      <c r="K732" s="513" t="s">
        <v>399</v>
      </c>
    </row>
    <row r="733" spans="1:11" x14ac:dyDescent="0.2">
      <c r="A733" s="526" t="s">
        <v>6952</v>
      </c>
      <c r="B733" s="525"/>
      <c r="C733" s="524"/>
      <c r="D733" s="524"/>
      <c r="E733" s="523" t="s">
        <v>6951</v>
      </c>
      <c r="F733" s="520" t="s">
        <v>1249</v>
      </c>
      <c r="G733" s="520">
        <v>10.119999999999999</v>
      </c>
      <c r="H733" s="522">
        <v>0</v>
      </c>
      <c r="I733" s="522">
        <v>0</v>
      </c>
      <c r="J733" s="521"/>
      <c r="K733" s="520" t="s">
        <v>399</v>
      </c>
    </row>
    <row r="734" spans="1:11" ht="25.5" x14ac:dyDescent="0.2">
      <c r="A734" s="519" t="s">
        <v>6950</v>
      </c>
      <c r="B734" s="518"/>
      <c r="C734" s="517"/>
      <c r="D734" s="517"/>
      <c r="E734" s="516" t="s">
        <v>6813</v>
      </c>
      <c r="F734" s="513" t="s">
        <v>1249</v>
      </c>
      <c r="G734" s="513">
        <v>0.78</v>
      </c>
      <c r="H734" s="515">
        <v>0</v>
      </c>
      <c r="I734" s="515">
        <v>0</v>
      </c>
      <c r="J734" s="514"/>
      <c r="K734" s="513" t="s">
        <v>399</v>
      </c>
    </row>
    <row r="735" spans="1:11" ht="25.5" x14ac:dyDescent="0.2">
      <c r="A735" s="526" t="s">
        <v>6949</v>
      </c>
      <c r="B735" s="525"/>
      <c r="C735" s="524"/>
      <c r="D735" s="524"/>
      <c r="E735" s="523" t="s">
        <v>6948</v>
      </c>
      <c r="F735" s="520" t="s">
        <v>1249</v>
      </c>
      <c r="G735" s="520">
        <v>0.28000000000000003</v>
      </c>
      <c r="H735" s="522">
        <v>0</v>
      </c>
      <c r="I735" s="522">
        <v>0</v>
      </c>
      <c r="J735" s="521"/>
      <c r="K735" s="520" t="s">
        <v>399</v>
      </c>
    </row>
    <row r="736" spans="1:11" ht="25.5" x14ac:dyDescent="0.2">
      <c r="A736" s="519" t="s">
        <v>6947</v>
      </c>
      <c r="B736" s="518"/>
      <c r="C736" s="517"/>
      <c r="D736" s="517"/>
      <c r="E736" s="516" t="s">
        <v>6946</v>
      </c>
      <c r="F736" s="513" t="s">
        <v>1249</v>
      </c>
      <c r="G736" s="513">
        <v>0.43</v>
      </c>
      <c r="H736" s="515">
        <v>0</v>
      </c>
      <c r="I736" s="515">
        <v>0</v>
      </c>
      <c r="J736" s="514"/>
      <c r="K736" s="513" t="s">
        <v>399</v>
      </c>
    </row>
    <row r="737" spans="1:11" ht="25.5" x14ac:dyDescent="0.2">
      <c r="A737" s="526" t="s">
        <v>6945</v>
      </c>
      <c r="B737" s="525"/>
      <c r="C737" s="524"/>
      <c r="D737" s="524"/>
      <c r="E737" s="523" t="s">
        <v>6811</v>
      </c>
      <c r="F737" s="520" t="s">
        <v>1249</v>
      </c>
      <c r="G737" s="520">
        <v>2.0099999999999998</v>
      </c>
      <c r="H737" s="522">
        <v>0</v>
      </c>
      <c r="I737" s="522">
        <v>0</v>
      </c>
      <c r="J737" s="521"/>
      <c r="K737" s="520" t="s">
        <v>399</v>
      </c>
    </row>
    <row r="738" spans="1:11" x14ac:dyDescent="0.2">
      <c r="A738" s="519" t="s">
        <v>6944</v>
      </c>
      <c r="B738" s="518"/>
      <c r="C738" s="517"/>
      <c r="D738" s="517"/>
      <c r="E738" s="516" t="s">
        <v>6943</v>
      </c>
      <c r="F738" s="513" t="s">
        <v>1249</v>
      </c>
      <c r="G738" s="513"/>
      <c r="H738" s="515">
        <v>0</v>
      </c>
      <c r="I738" s="515">
        <v>0</v>
      </c>
      <c r="J738" s="514"/>
      <c r="K738" s="513" t="s">
        <v>399</v>
      </c>
    </row>
    <row r="739" spans="1:11" ht="25.5" x14ac:dyDescent="0.2">
      <c r="A739" s="526" t="s">
        <v>6942</v>
      </c>
      <c r="B739" s="525"/>
      <c r="C739" s="524"/>
      <c r="D739" s="524"/>
      <c r="E739" s="523" t="s">
        <v>6809</v>
      </c>
      <c r="F739" s="520" t="s">
        <v>1249</v>
      </c>
      <c r="G739" s="520">
        <v>0.04</v>
      </c>
      <c r="H739" s="522">
        <v>0</v>
      </c>
      <c r="I739" s="522">
        <v>0</v>
      </c>
      <c r="J739" s="521"/>
      <c r="K739" s="520" t="s">
        <v>399</v>
      </c>
    </row>
    <row r="740" spans="1:11" x14ac:dyDescent="0.2">
      <c r="A740" s="519" t="s">
        <v>6941</v>
      </c>
      <c r="B740" s="518"/>
      <c r="C740" s="517"/>
      <c r="D740" s="517"/>
      <c r="E740" s="516" t="s">
        <v>6940</v>
      </c>
      <c r="F740" s="513" t="s">
        <v>1249</v>
      </c>
      <c r="G740" s="513">
        <v>0.01</v>
      </c>
      <c r="H740" s="515">
        <v>0</v>
      </c>
      <c r="I740" s="515">
        <v>0</v>
      </c>
      <c r="J740" s="514"/>
      <c r="K740" s="513" t="s">
        <v>399</v>
      </c>
    </row>
    <row r="741" spans="1:11" x14ac:dyDescent="0.2">
      <c r="A741" s="536" t="s">
        <v>6939</v>
      </c>
      <c r="B741" s="535"/>
      <c r="C741" s="534"/>
      <c r="D741" s="534"/>
      <c r="E741" s="534" t="s">
        <v>6938</v>
      </c>
      <c r="F741" s="531"/>
      <c r="G741" s="531"/>
      <c r="H741" s="533"/>
      <c r="I741" s="533">
        <v>0</v>
      </c>
      <c r="J741" s="532"/>
      <c r="K741" s="531" t="s">
        <v>399</v>
      </c>
    </row>
    <row r="742" spans="1:11" x14ac:dyDescent="0.2">
      <c r="A742" s="526" t="s">
        <v>6937</v>
      </c>
      <c r="B742" s="525"/>
      <c r="C742" s="524"/>
      <c r="D742" s="524"/>
      <c r="E742" s="523" t="s">
        <v>6936</v>
      </c>
      <c r="F742" s="520" t="s">
        <v>1249</v>
      </c>
      <c r="G742" s="520">
        <v>3.33</v>
      </c>
      <c r="H742" s="522">
        <v>0</v>
      </c>
      <c r="I742" s="522">
        <v>0</v>
      </c>
      <c r="J742" s="521"/>
      <c r="K742" s="520" t="s">
        <v>399</v>
      </c>
    </row>
    <row r="743" spans="1:11" ht="25.5" x14ac:dyDescent="0.2">
      <c r="A743" s="519" t="s">
        <v>6935</v>
      </c>
      <c r="B743" s="518"/>
      <c r="C743" s="517"/>
      <c r="D743" s="517"/>
      <c r="E743" s="516" t="s">
        <v>6934</v>
      </c>
      <c r="F743" s="513" t="s">
        <v>1249</v>
      </c>
      <c r="G743" s="513">
        <v>20.74</v>
      </c>
      <c r="H743" s="515">
        <v>0</v>
      </c>
      <c r="I743" s="515">
        <v>0</v>
      </c>
      <c r="J743" s="514"/>
      <c r="K743" s="513" t="s">
        <v>399</v>
      </c>
    </row>
    <row r="744" spans="1:11" x14ac:dyDescent="0.2">
      <c r="A744" s="536" t="s">
        <v>6933</v>
      </c>
      <c r="B744" s="535"/>
      <c r="C744" s="534"/>
      <c r="D744" s="534"/>
      <c r="E744" s="534" t="s">
        <v>6932</v>
      </c>
      <c r="F744" s="531"/>
      <c r="G744" s="531"/>
      <c r="H744" s="533"/>
      <c r="I744" s="533">
        <v>0</v>
      </c>
      <c r="J744" s="532"/>
      <c r="K744" s="531" t="s">
        <v>399</v>
      </c>
    </row>
    <row r="745" spans="1:11" x14ac:dyDescent="0.2">
      <c r="A745" s="526" t="s">
        <v>6931</v>
      </c>
      <c r="B745" s="525"/>
      <c r="C745" s="524"/>
      <c r="D745" s="524"/>
      <c r="E745" s="523" t="s">
        <v>6930</v>
      </c>
      <c r="F745" s="520" t="s">
        <v>1249</v>
      </c>
      <c r="G745" s="520">
        <v>29.85</v>
      </c>
      <c r="H745" s="522">
        <v>0</v>
      </c>
      <c r="I745" s="522">
        <v>0</v>
      </c>
      <c r="J745" s="521"/>
      <c r="K745" s="520" t="s">
        <v>399</v>
      </c>
    </row>
    <row r="746" spans="1:11" x14ac:dyDescent="0.2">
      <c r="A746" s="519" t="s">
        <v>6929</v>
      </c>
      <c r="B746" s="518"/>
      <c r="C746" s="517"/>
      <c r="D746" s="517"/>
      <c r="E746" s="516" t="s">
        <v>6879</v>
      </c>
      <c r="F746" s="513" t="s">
        <v>1249</v>
      </c>
      <c r="G746" s="513">
        <v>61.48</v>
      </c>
      <c r="H746" s="515">
        <v>0</v>
      </c>
      <c r="I746" s="515">
        <v>0</v>
      </c>
      <c r="J746" s="514"/>
      <c r="K746" s="513" t="s">
        <v>399</v>
      </c>
    </row>
    <row r="747" spans="1:11" x14ac:dyDescent="0.2">
      <c r="A747" s="526" t="s">
        <v>6928</v>
      </c>
      <c r="B747" s="525"/>
      <c r="C747" s="524"/>
      <c r="D747" s="524"/>
      <c r="E747" s="523" t="s">
        <v>6877</v>
      </c>
      <c r="F747" s="520" t="s">
        <v>1249</v>
      </c>
      <c r="G747" s="520">
        <v>293.95</v>
      </c>
      <c r="H747" s="522">
        <v>0</v>
      </c>
      <c r="I747" s="522">
        <v>0</v>
      </c>
      <c r="J747" s="521"/>
      <c r="K747" s="520" t="s">
        <v>399</v>
      </c>
    </row>
    <row r="748" spans="1:11" x14ac:dyDescent="0.2">
      <c r="A748" s="519" t="s">
        <v>6927</v>
      </c>
      <c r="B748" s="518"/>
      <c r="C748" s="517"/>
      <c r="D748" s="517"/>
      <c r="E748" s="516" t="s">
        <v>6875</v>
      </c>
      <c r="F748" s="513" t="s">
        <v>1249</v>
      </c>
      <c r="G748" s="513">
        <v>245.86</v>
      </c>
      <c r="H748" s="515">
        <v>0</v>
      </c>
      <c r="I748" s="515">
        <v>0</v>
      </c>
      <c r="J748" s="514"/>
      <c r="K748" s="513" t="s">
        <v>399</v>
      </c>
    </row>
    <row r="749" spans="1:11" x14ac:dyDescent="0.2">
      <c r="A749" s="526" t="s">
        <v>6926</v>
      </c>
      <c r="B749" s="525"/>
      <c r="C749" s="524"/>
      <c r="D749" s="524"/>
      <c r="E749" s="523" t="s">
        <v>6873</v>
      </c>
      <c r="F749" s="520" t="s">
        <v>1249</v>
      </c>
      <c r="G749" s="520">
        <v>139.41</v>
      </c>
      <c r="H749" s="522">
        <v>0</v>
      </c>
      <c r="I749" s="522">
        <v>0</v>
      </c>
      <c r="J749" s="521"/>
      <c r="K749" s="520" t="s">
        <v>399</v>
      </c>
    </row>
    <row r="750" spans="1:11" ht="25.5" x14ac:dyDescent="0.2">
      <c r="A750" s="519" t="s">
        <v>6925</v>
      </c>
      <c r="B750" s="518"/>
      <c r="C750" s="517"/>
      <c r="D750" s="517"/>
      <c r="E750" s="516" t="s">
        <v>6924</v>
      </c>
      <c r="F750" s="513" t="s">
        <v>1249</v>
      </c>
      <c r="G750" s="513">
        <v>1.83</v>
      </c>
      <c r="H750" s="515">
        <v>0</v>
      </c>
      <c r="I750" s="515">
        <v>0</v>
      </c>
      <c r="J750" s="514"/>
      <c r="K750" s="513" t="s">
        <v>399</v>
      </c>
    </row>
    <row r="751" spans="1:11" ht="25.5" x14ac:dyDescent="0.2">
      <c r="A751" s="526" t="s">
        <v>6923</v>
      </c>
      <c r="B751" s="525"/>
      <c r="C751" s="524"/>
      <c r="D751" s="524"/>
      <c r="E751" s="523" t="s">
        <v>6871</v>
      </c>
      <c r="F751" s="520" t="s">
        <v>1249</v>
      </c>
      <c r="G751" s="520">
        <v>0.12</v>
      </c>
      <c r="H751" s="522">
        <v>0</v>
      </c>
      <c r="I751" s="522">
        <v>0</v>
      </c>
      <c r="J751" s="521"/>
      <c r="K751" s="520" t="s">
        <v>399</v>
      </c>
    </row>
    <row r="752" spans="1:11" ht="25.5" x14ac:dyDescent="0.2">
      <c r="A752" s="519" t="s">
        <v>6922</v>
      </c>
      <c r="B752" s="518"/>
      <c r="C752" s="517"/>
      <c r="D752" s="517"/>
      <c r="E752" s="516" t="s">
        <v>6867</v>
      </c>
      <c r="F752" s="513" t="s">
        <v>1249</v>
      </c>
      <c r="G752" s="513">
        <v>2.62</v>
      </c>
      <c r="H752" s="515">
        <v>0</v>
      </c>
      <c r="I752" s="515">
        <v>0</v>
      </c>
      <c r="J752" s="514"/>
      <c r="K752" s="513" t="s">
        <v>399</v>
      </c>
    </row>
    <row r="753" spans="1:11" ht="25.5" x14ac:dyDescent="0.2">
      <c r="A753" s="526" t="s">
        <v>6921</v>
      </c>
      <c r="B753" s="525"/>
      <c r="C753" s="524"/>
      <c r="D753" s="524"/>
      <c r="E753" s="523" t="s">
        <v>6865</v>
      </c>
      <c r="F753" s="520" t="s">
        <v>1249</v>
      </c>
      <c r="G753" s="520">
        <v>2.92</v>
      </c>
      <c r="H753" s="522">
        <v>0</v>
      </c>
      <c r="I753" s="522">
        <v>0</v>
      </c>
      <c r="J753" s="521"/>
      <c r="K753" s="520" t="s">
        <v>399</v>
      </c>
    </row>
    <row r="754" spans="1:11" ht="25.5" x14ac:dyDescent="0.2">
      <c r="A754" s="519" t="s">
        <v>6920</v>
      </c>
      <c r="B754" s="518"/>
      <c r="C754" s="517"/>
      <c r="D754" s="517"/>
      <c r="E754" s="516" t="s">
        <v>6919</v>
      </c>
      <c r="F754" s="513" t="s">
        <v>1249</v>
      </c>
      <c r="G754" s="513">
        <v>0.13</v>
      </c>
      <c r="H754" s="515">
        <v>0</v>
      </c>
      <c r="I754" s="515">
        <v>0</v>
      </c>
      <c r="J754" s="514"/>
      <c r="K754" s="513" t="s">
        <v>399</v>
      </c>
    </row>
    <row r="755" spans="1:11" ht="25.5" x14ac:dyDescent="0.2">
      <c r="A755" s="526" t="s">
        <v>6918</v>
      </c>
      <c r="B755" s="525"/>
      <c r="C755" s="524"/>
      <c r="D755" s="524"/>
      <c r="E755" s="523" t="s">
        <v>6861</v>
      </c>
      <c r="F755" s="520" t="s">
        <v>1249</v>
      </c>
      <c r="G755" s="520">
        <v>0.15</v>
      </c>
      <c r="H755" s="522">
        <v>0</v>
      </c>
      <c r="I755" s="522">
        <v>0</v>
      </c>
      <c r="J755" s="521"/>
      <c r="K755" s="520" t="s">
        <v>399</v>
      </c>
    </row>
    <row r="756" spans="1:11" ht="25.5" x14ac:dyDescent="0.2">
      <c r="A756" s="519" t="s">
        <v>6917</v>
      </c>
      <c r="B756" s="518"/>
      <c r="C756" s="517"/>
      <c r="D756" s="517"/>
      <c r="E756" s="516" t="s">
        <v>6916</v>
      </c>
      <c r="F756" s="513" t="s">
        <v>1249</v>
      </c>
      <c r="G756" s="513">
        <v>10.93</v>
      </c>
      <c r="H756" s="515">
        <v>0</v>
      </c>
      <c r="I756" s="515">
        <v>0</v>
      </c>
      <c r="J756" s="514"/>
      <c r="K756" s="513" t="s">
        <v>399</v>
      </c>
    </row>
    <row r="757" spans="1:11" ht="25.5" x14ac:dyDescent="0.2">
      <c r="A757" s="526" t="s">
        <v>6915</v>
      </c>
      <c r="B757" s="525"/>
      <c r="C757" s="524"/>
      <c r="D757" s="524"/>
      <c r="E757" s="523" t="s">
        <v>6859</v>
      </c>
      <c r="F757" s="520" t="s">
        <v>1249</v>
      </c>
      <c r="G757" s="520">
        <v>7.83</v>
      </c>
      <c r="H757" s="522">
        <v>0</v>
      </c>
      <c r="I757" s="522">
        <v>0</v>
      </c>
      <c r="J757" s="521"/>
      <c r="K757" s="520" t="s">
        <v>399</v>
      </c>
    </row>
    <row r="758" spans="1:11" ht="25.5" x14ac:dyDescent="0.2">
      <c r="A758" s="519" t="s">
        <v>6914</v>
      </c>
      <c r="B758" s="518"/>
      <c r="C758" s="517"/>
      <c r="D758" s="517"/>
      <c r="E758" s="516" t="s">
        <v>6857</v>
      </c>
      <c r="F758" s="513" t="s">
        <v>1249</v>
      </c>
      <c r="G758" s="513">
        <v>4.05</v>
      </c>
      <c r="H758" s="515">
        <v>0</v>
      </c>
      <c r="I758" s="515">
        <v>0</v>
      </c>
      <c r="J758" s="514"/>
      <c r="K758" s="513" t="s">
        <v>399</v>
      </c>
    </row>
    <row r="759" spans="1:11" ht="25.5" x14ac:dyDescent="0.2">
      <c r="A759" s="526" t="s">
        <v>6913</v>
      </c>
      <c r="B759" s="525"/>
      <c r="C759" s="524"/>
      <c r="D759" s="524"/>
      <c r="E759" s="523" t="s">
        <v>6855</v>
      </c>
      <c r="F759" s="520" t="s">
        <v>1249</v>
      </c>
      <c r="G759" s="520">
        <v>1.1299999999999999</v>
      </c>
      <c r="H759" s="522">
        <v>0</v>
      </c>
      <c r="I759" s="522">
        <v>0</v>
      </c>
      <c r="J759" s="521"/>
      <c r="K759" s="520" t="s">
        <v>399</v>
      </c>
    </row>
    <row r="760" spans="1:11" ht="25.5" x14ac:dyDescent="0.2">
      <c r="A760" s="519" t="s">
        <v>6912</v>
      </c>
      <c r="B760" s="518"/>
      <c r="C760" s="517"/>
      <c r="D760" s="517"/>
      <c r="E760" s="516" t="s">
        <v>6853</v>
      </c>
      <c r="F760" s="513" t="s">
        <v>1249</v>
      </c>
      <c r="G760" s="513">
        <v>11.01</v>
      </c>
      <c r="H760" s="515">
        <v>0</v>
      </c>
      <c r="I760" s="515">
        <v>0</v>
      </c>
      <c r="J760" s="514"/>
      <c r="K760" s="513" t="s">
        <v>399</v>
      </c>
    </row>
    <row r="761" spans="1:11" ht="25.5" x14ac:dyDescent="0.2">
      <c r="A761" s="526" t="s">
        <v>6911</v>
      </c>
      <c r="B761" s="525"/>
      <c r="C761" s="524"/>
      <c r="D761" s="524"/>
      <c r="E761" s="523" t="s">
        <v>6851</v>
      </c>
      <c r="F761" s="520" t="s">
        <v>1249</v>
      </c>
      <c r="G761" s="520">
        <v>2.31</v>
      </c>
      <c r="H761" s="522">
        <v>0</v>
      </c>
      <c r="I761" s="522">
        <v>0</v>
      </c>
      <c r="J761" s="521"/>
      <c r="K761" s="520" t="s">
        <v>399</v>
      </c>
    </row>
    <row r="762" spans="1:11" ht="25.5" x14ac:dyDescent="0.2">
      <c r="A762" s="519" t="s">
        <v>6910</v>
      </c>
      <c r="B762" s="518"/>
      <c r="C762" s="517"/>
      <c r="D762" s="517"/>
      <c r="E762" s="516" t="s">
        <v>6849</v>
      </c>
      <c r="F762" s="513" t="s">
        <v>1249</v>
      </c>
      <c r="G762" s="513">
        <v>13.14</v>
      </c>
      <c r="H762" s="515">
        <v>0</v>
      </c>
      <c r="I762" s="515">
        <v>0</v>
      </c>
      <c r="J762" s="514"/>
      <c r="K762" s="513" t="s">
        <v>399</v>
      </c>
    </row>
    <row r="763" spans="1:11" ht="25.5" x14ac:dyDescent="0.2">
      <c r="A763" s="526" t="s">
        <v>6909</v>
      </c>
      <c r="B763" s="525"/>
      <c r="C763" s="524"/>
      <c r="D763" s="524"/>
      <c r="E763" s="523" t="s">
        <v>6847</v>
      </c>
      <c r="F763" s="520" t="s">
        <v>1249</v>
      </c>
      <c r="G763" s="520">
        <v>0.11</v>
      </c>
      <c r="H763" s="522">
        <v>0</v>
      </c>
      <c r="I763" s="522">
        <v>0</v>
      </c>
      <c r="J763" s="521"/>
      <c r="K763" s="520" t="s">
        <v>399</v>
      </c>
    </row>
    <row r="764" spans="1:11" ht="25.5" x14ac:dyDescent="0.2">
      <c r="A764" s="519" t="s">
        <v>6908</v>
      </c>
      <c r="B764" s="518"/>
      <c r="C764" s="517"/>
      <c r="D764" s="517"/>
      <c r="E764" s="516" t="s">
        <v>6845</v>
      </c>
      <c r="F764" s="513" t="s">
        <v>1249</v>
      </c>
      <c r="G764" s="513">
        <v>15.02</v>
      </c>
      <c r="H764" s="515">
        <v>0</v>
      </c>
      <c r="I764" s="515">
        <v>0</v>
      </c>
      <c r="J764" s="514"/>
      <c r="K764" s="513" t="s">
        <v>399</v>
      </c>
    </row>
    <row r="765" spans="1:11" ht="25.5" x14ac:dyDescent="0.2">
      <c r="A765" s="526" t="s">
        <v>6907</v>
      </c>
      <c r="B765" s="525"/>
      <c r="C765" s="524"/>
      <c r="D765" s="524"/>
      <c r="E765" s="523" t="s">
        <v>6906</v>
      </c>
      <c r="F765" s="520" t="s">
        <v>1249</v>
      </c>
      <c r="G765" s="520">
        <v>2.44</v>
      </c>
      <c r="H765" s="522">
        <v>0</v>
      </c>
      <c r="I765" s="522">
        <v>0</v>
      </c>
      <c r="J765" s="521"/>
      <c r="K765" s="520" t="s">
        <v>399</v>
      </c>
    </row>
    <row r="766" spans="1:11" ht="25.5" x14ac:dyDescent="0.2">
      <c r="A766" s="519" t="s">
        <v>6905</v>
      </c>
      <c r="B766" s="518"/>
      <c r="C766" s="517"/>
      <c r="D766" s="517"/>
      <c r="E766" s="516" t="s">
        <v>6843</v>
      </c>
      <c r="F766" s="513" t="s">
        <v>1249</v>
      </c>
      <c r="G766" s="513">
        <v>0.17</v>
      </c>
      <c r="H766" s="515">
        <v>0</v>
      </c>
      <c r="I766" s="515">
        <v>0</v>
      </c>
      <c r="J766" s="514"/>
      <c r="K766" s="513" t="s">
        <v>399</v>
      </c>
    </row>
    <row r="767" spans="1:11" ht="25.5" x14ac:dyDescent="0.2">
      <c r="A767" s="526" t="s">
        <v>6904</v>
      </c>
      <c r="B767" s="525"/>
      <c r="C767" s="524"/>
      <c r="D767" s="524"/>
      <c r="E767" s="523" t="s">
        <v>6837</v>
      </c>
      <c r="F767" s="520" t="s">
        <v>1249</v>
      </c>
      <c r="G767" s="520">
        <v>0.45</v>
      </c>
      <c r="H767" s="522">
        <v>0</v>
      </c>
      <c r="I767" s="522">
        <v>0</v>
      </c>
      <c r="J767" s="521"/>
      <c r="K767" s="520" t="s">
        <v>399</v>
      </c>
    </row>
    <row r="768" spans="1:11" ht="25.5" x14ac:dyDescent="0.2">
      <c r="A768" s="519" t="s">
        <v>6903</v>
      </c>
      <c r="B768" s="518"/>
      <c r="C768" s="517"/>
      <c r="D768" s="517"/>
      <c r="E768" s="516" t="s">
        <v>6902</v>
      </c>
      <c r="F768" s="513" t="s">
        <v>1249</v>
      </c>
      <c r="G768" s="513">
        <v>0.03</v>
      </c>
      <c r="H768" s="515">
        <v>0</v>
      </c>
      <c r="I768" s="515">
        <v>0</v>
      </c>
      <c r="J768" s="514"/>
      <c r="K768" s="513" t="s">
        <v>399</v>
      </c>
    </row>
    <row r="769" spans="1:11" ht="25.5" x14ac:dyDescent="0.2">
      <c r="A769" s="526" t="s">
        <v>6901</v>
      </c>
      <c r="B769" s="525"/>
      <c r="C769" s="524"/>
      <c r="D769" s="524"/>
      <c r="E769" s="523" t="s">
        <v>6833</v>
      </c>
      <c r="F769" s="520" t="s">
        <v>1249</v>
      </c>
      <c r="G769" s="520">
        <v>0.05</v>
      </c>
      <c r="H769" s="522">
        <v>0</v>
      </c>
      <c r="I769" s="522">
        <v>0</v>
      </c>
      <c r="J769" s="521"/>
      <c r="K769" s="520" t="s">
        <v>399</v>
      </c>
    </row>
    <row r="770" spans="1:11" ht="25.5" x14ac:dyDescent="0.2">
      <c r="A770" s="519" t="s">
        <v>6900</v>
      </c>
      <c r="B770" s="518"/>
      <c r="C770" s="517"/>
      <c r="D770" s="517"/>
      <c r="E770" s="516" t="s">
        <v>6831</v>
      </c>
      <c r="F770" s="513" t="s">
        <v>1249</v>
      </c>
      <c r="G770" s="513">
        <v>0.06</v>
      </c>
      <c r="H770" s="515">
        <v>0</v>
      </c>
      <c r="I770" s="515">
        <v>0</v>
      </c>
      <c r="J770" s="514"/>
      <c r="K770" s="513" t="s">
        <v>399</v>
      </c>
    </row>
    <row r="771" spans="1:11" ht="25.5" x14ac:dyDescent="0.2">
      <c r="A771" s="526" t="s">
        <v>6899</v>
      </c>
      <c r="B771" s="525"/>
      <c r="C771" s="524"/>
      <c r="D771" s="524"/>
      <c r="E771" s="523" t="s">
        <v>6898</v>
      </c>
      <c r="F771" s="520" t="s">
        <v>1249</v>
      </c>
      <c r="G771" s="520">
        <v>0.27</v>
      </c>
      <c r="H771" s="522">
        <v>0</v>
      </c>
      <c r="I771" s="522">
        <v>0</v>
      </c>
      <c r="J771" s="521"/>
      <c r="K771" s="520" t="s">
        <v>399</v>
      </c>
    </row>
    <row r="772" spans="1:11" ht="25.5" x14ac:dyDescent="0.2">
      <c r="A772" s="519" t="s">
        <v>6897</v>
      </c>
      <c r="B772" s="518"/>
      <c r="C772" s="517"/>
      <c r="D772" s="517"/>
      <c r="E772" s="516" t="s">
        <v>6829</v>
      </c>
      <c r="F772" s="513" t="s">
        <v>1249</v>
      </c>
      <c r="G772" s="513">
        <v>0.03</v>
      </c>
      <c r="H772" s="515">
        <v>0</v>
      </c>
      <c r="I772" s="515">
        <v>0</v>
      </c>
      <c r="J772" s="514"/>
      <c r="K772" s="513" t="s">
        <v>399</v>
      </c>
    </row>
    <row r="773" spans="1:11" ht="25.5" x14ac:dyDescent="0.2">
      <c r="A773" s="526" t="s">
        <v>6896</v>
      </c>
      <c r="B773" s="525"/>
      <c r="C773" s="524"/>
      <c r="D773" s="524"/>
      <c r="E773" s="523" t="s">
        <v>6827</v>
      </c>
      <c r="F773" s="520" t="s">
        <v>1249</v>
      </c>
      <c r="G773" s="520">
        <v>7.95</v>
      </c>
      <c r="H773" s="522">
        <v>0</v>
      </c>
      <c r="I773" s="522">
        <v>0</v>
      </c>
      <c r="J773" s="521"/>
      <c r="K773" s="520" t="s">
        <v>399</v>
      </c>
    </row>
    <row r="774" spans="1:11" ht="25.5" x14ac:dyDescent="0.2">
      <c r="A774" s="519" t="s">
        <v>6895</v>
      </c>
      <c r="B774" s="518"/>
      <c r="C774" s="517"/>
      <c r="D774" s="517"/>
      <c r="E774" s="516" t="s">
        <v>6825</v>
      </c>
      <c r="F774" s="513" t="s">
        <v>1249</v>
      </c>
      <c r="G774" s="513">
        <v>0.44</v>
      </c>
      <c r="H774" s="515">
        <v>0</v>
      </c>
      <c r="I774" s="515">
        <v>0</v>
      </c>
      <c r="J774" s="514"/>
      <c r="K774" s="513" t="s">
        <v>399</v>
      </c>
    </row>
    <row r="775" spans="1:11" ht="25.5" x14ac:dyDescent="0.2">
      <c r="A775" s="526" t="s">
        <v>6894</v>
      </c>
      <c r="B775" s="525"/>
      <c r="C775" s="524"/>
      <c r="D775" s="524"/>
      <c r="E775" s="523" t="s">
        <v>6823</v>
      </c>
      <c r="F775" s="520" t="s">
        <v>1249</v>
      </c>
      <c r="G775" s="520">
        <v>2.5499999999999998</v>
      </c>
      <c r="H775" s="522">
        <v>0</v>
      </c>
      <c r="I775" s="522">
        <v>0</v>
      </c>
      <c r="J775" s="521"/>
      <c r="K775" s="520" t="s">
        <v>399</v>
      </c>
    </row>
    <row r="776" spans="1:11" ht="25.5" x14ac:dyDescent="0.2">
      <c r="A776" s="519" t="s">
        <v>6893</v>
      </c>
      <c r="B776" s="518"/>
      <c r="C776" s="517"/>
      <c r="D776" s="517"/>
      <c r="E776" s="516" t="s">
        <v>6821</v>
      </c>
      <c r="F776" s="513" t="s">
        <v>1249</v>
      </c>
      <c r="G776" s="513">
        <v>0.04</v>
      </c>
      <c r="H776" s="515">
        <v>0</v>
      </c>
      <c r="I776" s="515">
        <v>0</v>
      </c>
      <c r="J776" s="514"/>
      <c r="K776" s="513" t="s">
        <v>399</v>
      </c>
    </row>
    <row r="777" spans="1:11" ht="25.5" x14ac:dyDescent="0.2">
      <c r="A777" s="526" t="s">
        <v>6892</v>
      </c>
      <c r="B777" s="525"/>
      <c r="C777" s="524"/>
      <c r="D777" s="524"/>
      <c r="E777" s="523" t="s">
        <v>6819</v>
      </c>
      <c r="F777" s="520" t="s">
        <v>1249</v>
      </c>
      <c r="G777" s="520">
        <v>3.86</v>
      </c>
      <c r="H777" s="522">
        <v>0</v>
      </c>
      <c r="I777" s="522">
        <v>0</v>
      </c>
      <c r="J777" s="521"/>
      <c r="K777" s="520" t="s">
        <v>399</v>
      </c>
    </row>
    <row r="778" spans="1:11" x14ac:dyDescent="0.2">
      <c r="A778" s="519" t="s">
        <v>6891</v>
      </c>
      <c r="B778" s="518"/>
      <c r="C778" s="517"/>
      <c r="D778" s="517"/>
      <c r="E778" s="516" t="s">
        <v>6817</v>
      </c>
      <c r="F778" s="513" t="s">
        <v>1249</v>
      </c>
      <c r="G778" s="513">
        <v>0.62</v>
      </c>
      <c r="H778" s="515">
        <v>0</v>
      </c>
      <c r="I778" s="515">
        <v>0</v>
      </c>
      <c r="J778" s="514"/>
      <c r="K778" s="513" t="s">
        <v>399</v>
      </c>
    </row>
    <row r="779" spans="1:11" x14ac:dyDescent="0.2">
      <c r="A779" s="526" t="s">
        <v>6890</v>
      </c>
      <c r="B779" s="525"/>
      <c r="C779" s="524"/>
      <c r="D779" s="524"/>
      <c r="E779" s="523" t="s">
        <v>6815</v>
      </c>
      <c r="F779" s="520" t="s">
        <v>1249</v>
      </c>
      <c r="G779" s="520">
        <v>136.56</v>
      </c>
      <c r="H779" s="522">
        <v>0</v>
      </c>
      <c r="I779" s="522">
        <v>0</v>
      </c>
      <c r="J779" s="521"/>
      <c r="K779" s="520" t="s">
        <v>399</v>
      </c>
    </row>
    <row r="780" spans="1:11" ht="25.5" x14ac:dyDescent="0.2">
      <c r="A780" s="519" t="s">
        <v>6889</v>
      </c>
      <c r="B780" s="518"/>
      <c r="C780" s="517"/>
      <c r="D780" s="517"/>
      <c r="E780" s="516" t="s">
        <v>6813</v>
      </c>
      <c r="F780" s="513" t="s">
        <v>1249</v>
      </c>
      <c r="G780" s="513">
        <v>1.07</v>
      </c>
      <c r="H780" s="515">
        <v>0</v>
      </c>
      <c r="I780" s="515">
        <v>0</v>
      </c>
      <c r="J780" s="514"/>
      <c r="K780" s="513" t="s">
        <v>399</v>
      </c>
    </row>
    <row r="781" spans="1:11" ht="25.5" x14ac:dyDescent="0.2">
      <c r="A781" s="526" t="s">
        <v>6888</v>
      </c>
      <c r="B781" s="525"/>
      <c r="C781" s="524"/>
      <c r="D781" s="524"/>
      <c r="E781" s="523" t="s">
        <v>6811</v>
      </c>
      <c r="F781" s="520" t="s">
        <v>1249</v>
      </c>
      <c r="G781" s="520">
        <v>12.29</v>
      </c>
      <c r="H781" s="522">
        <v>0</v>
      </c>
      <c r="I781" s="522">
        <v>0</v>
      </c>
      <c r="J781" s="521"/>
      <c r="K781" s="520" t="s">
        <v>399</v>
      </c>
    </row>
    <row r="782" spans="1:11" ht="25.5" x14ac:dyDescent="0.2">
      <c r="A782" s="519" t="s">
        <v>6887</v>
      </c>
      <c r="B782" s="518"/>
      <c r="C782" s="517"/>
      <c r="D782" s="517"/>
      <c r="E782" s="516" t="s">
        <v>6886</v>
      </c>
      <c r="F782" s="513" t="s">
        <v>1249</v>
      </c>
      <c r="G782" s="513"/>
      <c r="H782" s="515">
        <v>0</v>
      </c>
      <c r="I782" s="515">
        <v>0</v>
      </c>
      <c r="J782" s="514"/>
      <c r="K782" s="513" t="s">
        <v>399</v>
      </c>
    </row>
    <row r="783" spans="1:11" ht="25.5" x14ac:dyDescent="0.2">
      <c r="A783" s="526" t="s">
        <v>6885</v>
      </c>
      <c r="B783" s="525"/>
      <c r="C783" s="524"/>
      <c r="D783" s="524"/>
      <c r="E783" s="523" t="s">
        <v>6809</v>
      </c>
      <c r="F783" s="520" t="s">
        <v>1249</v>
      </c>
      <c r="G783" s="520">
        <v>7.0000000000000007E-2</v>
      </c>
      <c r="H783" s="522">
        <v>0</v>
      </c>
      <c r="I783" s="522">
        <v>0</v>
      </c>
      <c r="J783" s="521"/>
      <c r="K783" s="520" t="s">
        <v>399</v>
      </c>
    </row>
    <row r="784" spans="1:11" x14ac:dyDescent="0.2">
      <c r="A784" s="519" t="s">
        <v>6884</v>
      </c>
      <c r="B784" s="518"/>
      <c r="C784" s="517"/>
      <c r="D784" s="517"/>
      <c r="E784" s="516" t="s">
        <v>6883</v>
      </c>
      <c r="F784" s="513" t="s">
        <v>1249</v>
      </c>
      <c r="G784" s="513">
        <v>0.08</v>
      </c>
      <c r="H784" s="515">
        <v>0</v>
      </c>
      <c r="I784" s="515">
        <v>0</v>
      </c>
      <c r="J784" s="514"/>
      <c r="K784" s="513" t="s">
        <v>399</v>
      </c>
    </row>
    <row r="785" spans="1:11" x14ac:dyDescent="0.2">
      <c r="A785" s="536" t="s">
        <v>6882</v>
      </c>
      <c r="B785" s="535"/>
      <c r="C785" s="534"/>
      <c r="D785" s="534"/>
      <c r="E785" s="534" t="s">
        <v>6881</v>
      </c>
      <c r="F785" s="531"/>
      <c r="G785" s="531"/>
      <c r="H785" s="533"/>
      <c r="I785" s="533">
        <v>0</v>
      </c>
      <c r="J785" s="532"/>
      <c r="K785" s="531" t="s">
        <v>399</v>
      </c>
    </row>
    <row r="786" spans="1:11" x14ac:dyDescent="0.2">
      <c r="A786" s="526" t="s">
        <v>6880</v>
      </c>
      <c r="B786" s="525"/>
      <c r="C786" s="524"/>
      <c r="D786" s="524"/>
      <c r="E786" s="523" t="s">
        <v>6879</v>
      </c>
      <c r="F786" s="520" t="s">
        <v>1249</v>
      </c>
      <c r="G786" s="520">
        <v>62.36</v>
      </c>
      <c r="H786" s="522">
        <v>0</v>
      </c>
      <c r="I786" s="522">
        <v>0</v>
      </c>
      <c r="J786" s="521"/>
      <c r="K786" s="520" t="s">
        <v>399</v>
      </c>
    </row>
    <row r="787" spans="1:11" x14ac:dyDescent="0.2">
      <c r="A787" s="519" t="s">
        <v>6878</v>
      </c>
      <c r="B787" s="518"/>
      <c r="C787" s="517"/>
      <c r="D787" s="517"/>
      <c r="E787" s="516" t="s">
        <v>6877</v>
      </c>
      <c r="F787" s="513" t="s">
        <v>1249</v>
      </c>
      <c r="G787" s="513">
        <v>170.97</v>
      </c>
      <c r="H787" s="515">
        <v>0</v>
      </c>
      <c r="I787" s="515">
        <v>0</v>
      </c>
      <c r="J787" s="514"/>
      <c r="K787" s="513" t="s">
        <v>399</v>
      </c>
    </row>
    <row r="788" spans="1:11" x14ac:dyDescent="0.2">
      <c r="A788" s="526" t="s">
        <v>6876</v>
      </c>
      <c r="B788" s="525"/>
      <c r="C788" s="524"/>
      <c r="D788" s="524"/>
      <c r="E788" s="523" t="s">
        <v>6875</v>
      </c>
      <c r="F788" s="520" t="s">
        <v>1249</v>
      </c>
      <c r="G788" s="520">
        <v>105.98</v>
      </c>
      <c r="H788" s="522">
        <v>0</v>
      </c>
      <c r="I788" s="522">
        <v>0</v>
      </c>
      <c r="J788" s="521"/>
      <c r="K788" s="520" t="s">
        <v>399</v>
      </c>
    </row>
    <row r="789" spans="1:11" x14ac:dyDescent="0.2">
      <c r="A789" s="519" t="s">
        <v>6874</v>
      </c>
      <c r="B789" s="518"/>
      <c r="C789" s="517"/>
      <c r="D789" s="517"/>
      <c r="E789" s="516" t="s">
        <v>6873</v>
      </c>
      <c r="F789" s="513" t="s">
        <v>1249</v>
      </c>
      <c r="G789" s="513">
        <v>48.32</v>
      </c>
      <c r="H789" s="515">
        <v>0</v>
      </c>
      <c r="I789" s="515">
        <v>0</v>
      </c>
      <c r="J789" s="514"/>
      <c r="K789" s="513" t="s">
        <v>399</v>
      </c>
    </row>
    <row r="790" spans="1:11" ht="25.5" x14ac:dyDescent="0.2">
      <c r="A790" s="526" t="s">
        <v>6872</v>
      </c>
      <c r="B790" s="525"/>
      <c r="C790" s="524"/>
      <c r="D790" s="524"/>
      <c r="E790" s="523" t="s">
        <v>6871</v>
      </c>
      <c r="F790" s="520" t="s">
        <v>1249</v>
      </c>
      <c r="G790" s="520">
        <v>1.96</v>
      </c>
      <c r="H790" s="522">
        <v>0</v>
      </c>
      <c r="I790" s="522">
        <v>0</v>
      </c>
      <c r="J790" s="521"/>
      <c r="K790" s="520" t="s">
        <v>399</v>
      </c>
    </row>
    <row r="791" spans="1:11" ht="25.5" x14ac:dyDescent="0.2">
      <c r="A791" s="519" t="s">
        <v>6870</v>
      </c>
      <c r="B791" s="518"/>
      <c r="C791" s="517"/>
      <c r="D791" s="517"/>
      <c r="E791" s="516" t="s">
        <v>6869</v>
      </c>
      <c r="F791" s="513" t="s">
        <v>1249</v>
      </c>
      <c r="G791" s="513">
        <v>2.06</v>
      </c>
      <c r="H791" s="515">
        <v>0</v>
      </c>
      <c r="I791" s="515">
        <v>0</v>
      </c>
      <c r="J791" s="514"/>
      <c r="K791" s="513" t="s">
        <v>399</v>
      </c>
    </row>
    <row r="792" spans="1:11" ht="25.5" x14ac:dyDescent="0.2">
      <c r="A792" s="526" t="s">
        <v>6868</v>
      </c>
      <c r="B792" s="525"/>
      <c r="C792" s="524"/>
      <c r="D792" s="524"/>
      <c r="E792" s="523" t="s">
        <v>6867</v>
      </c>
      <c r="F792" s="520" t="s">
        <v>1249</v>
      </c>
      <c r="G792" s="520">
        <v>1.66</v>
      </c>
      <c r="H792" s="522">
        <v>0</v>
      </c>
      <c r="I792" s="522">
        <v>0</v>
      </c>
      <c r="J792" s="521"/>
      <c r="K792" s="520" t="s">
        <v>399</v>
      </c>
    </row>
    <row r="793" spans="1:11" ht="25.5" x14ac:dyDescent="0.2">
      <c r="A793" s="519" t="s">
        <v>6866</v>
      </c>
      <c r="B793" s="518"/>
      <c r="C793" s="517"/>
      <c r="D793" s="517"/>
      <c r="E793" s="516" t="s">
        <v>6865</v>
      </c>
      <c r="F793" s="513" t="s">
        <v>1249</v>
      </c>
      <c r="G793" s="513">
        <v>8.17</v>
      </c>
      <c r="H793" s="515">
        <v>0</v>
      </c>
      <c r="I793" s="515">
        <v>0</v>
      </c>
      <c r="J793" s="514"/>
      <c r="K793" s="513" t="s">
        <v>399</v>
      </c>
    </row>
    <row r="794" spans="1:11" ht="25.5" x14ac:dyDescent="0.2">
      <c r="A794" s="526" t="s">
        <v>6864</v>
      </c>
      <c r="B794" s="525"/>
      <c r="C794" s="524"/>
      <c r="D794" s="524"/>
      <c r="E794" s="523" t="s">
        <v>6863</v>
      </c>
      <c r="F794" s="520" t="s">
        <v>1249</v>
      </c>
      <c r="G794" s="520">
        <v>0.01</v>
      </c>
      <c r="H794" s="522">
        <v>0</v>
      </c>
      <c r="I794" s="522">
        <v>0</v>
      </c>
      <c r="J794" s="521"/>
      <c r="K794" s="520" t="s">
        <v>399</v>
      </c>
    </row>
    <row r="795" spans="1:11" ht="25.5" x14ac:dyDescent="0.2">
      <c r="A795" s="519" t="s">
        <v>6862</v>
      </c>
      <c r="B795" s="518"/>
      <c r="C795" s="517"/>
      <c r="D795" s="517"/>
      <c r="E795" s="516" t="s">
        <v>6861</v>
      </c>
      <c r="F795" s="513" t="s">
        <v>1249</v>
      </c>
      <c r="G795" s="513">
        <v>0.08</v>
      </c>
      <c r="H795" s="515">
        <v>0</v>
      </c>
      <c r="I795" s="515">
        <v>0</v>
      </c>
      <c r="J795" s="514"/>
      <c r="K795" s="513" t="s">
        <v>399</v>
      </c>
    </row>
    <row r="796" spans="1:11" ht="25.5" x14ac:dyDescent="0.2">
      <c r="A796" s="526" t="s">
        <v>6860</v>
      </c>
      <c r="B796" s="525"/>
      <c r="C796" s="524"/>
      <c r="D796" s="524"/>
      <c r="E796" s="523" t="s">
        <v>6859</v>
      </c>
      <c r="F796" s="520" t="s">
        <v>1249</v>
      </c>
      <c r="G796" s="520">
        <v>5.53</v>
      </c>
      <c r="H796" s="522">
        <v>0</v>
      </c>
      <c r="I796" s="522">
        <v>0</v>
      </c>
      <c r="J796" s="521"/>
      <c r="K796" s="520" t="s">
        <v>399</v>
      </c>
    </row>
    <row r="797" spans="1:11" ht="25.5" x14ac:dyDescent="0.2">
      <c r="A797" s="519" t="s">
        <v>6858</v>
      </c>
      <c r="B797" s="518"/>
      <c r="C797" s="517"/>
      <c r="D797" s="517"/>
      <c r="E797" s="516" t="s">
        <v>6857</v>
      </c>
      <c r="F797" s="513" t="s">
        <v>1249</v>
      </c>
      <c r="G797" s="513">
        <v>3.01</v>
      </c>
      <c r="H797" s="515">
        <v>0</v>
      </c>
      <c r="I797" s="515">
        <v>0</v>
      </c>
      <c r="J797" s="514"/>
      <c r="K797" s="513" t="s">
        <v>399</v>
      </c>
    </row>
    <row r="798" spans="1:11" ht="25.5" x14ac:dyDescent="0.2">
      <c r="A798" s="526" t="s">
        <v>6856</v>
      </c>
      <c r="B798" s="525"/>
      <c r="C798" s="524"/>
      <c r="D798" s="524"/>
      <c r="E798" s="523" t="s">
        <v>6855</v>
      </c>
      <c r="F798" s="520" t="s">
        <v>1249</v>
      </c>
      <c r="G798" s="520">
        <v>1.2</v>
      </c>
      <c r="H798" s="522">
        <v>0</v>
      </c>
      <c r="I798" s="522">
        <v>0</v>
      </c>
      <c r="J798" s="521"/>
      <c r="K798" s="520" t="s">
        <v>399</v>
      </c>
    </row>
    <row r="799" spans="1:11" ht="25.5" x14ac:dyDescent="0.2">
      <c r="A799" s="519" t="s">
        <v>6854</v>
      </c>
      <c r="B799" s="518"/>
      <c r="C799" s="517"/>
      <c r="D799" s="517"/>
      <c r="E799" s="516" t="s">
        <v>6853</v>
      </c>
      <c r="F799" s="513" t="s">
        <v>1249</v>
      </c>
      <c r="G799" s="513">
        <v>22.23</v>
      </c>
      <c r="H799" s="515">
        <v>0</v>
      </c>
      <c r="I799" s="515">
        <v>0</v>
      </c>
      <c r="J799" s="514"/>
      <c r="K799" s="513" t="s">
        <v>399</v>
      </c>
    </row>
    <row r="800" spans="1:11" ht="25.5" x14ac:dyDescent="0.2">
      <c r="A800" s="526" t="s">
        <v>6852</v>
      </c>
      <c r="B800" s="525"/>
      <c r="C800" s="524"/>
      <c r="D800" s="524"/>
      <c r="E800" s="523" t="s">
        <v>6851</v>
      </c>
      <c r="F800" s="520" t="s">
        <v>1249</v>
      </c>
      <c r="G800" s="520">
        <v>2.78</v>
      </c>
      <c r="H800" s="522">
        <v>0</v>
      </c>
      <c r="I800" s="522">
        <v>0</v>
      </c>
      <c r="J800" s="521"/>
      <c r="K800" s="520" t="s">
        <v>399</v>
      </c>
    </row>
    <row r="801" spans="1:11" ht="25.5" x14ac:dyDescent="0.2">
      <c r="A801" s="519" t="s">
        <v>6850</v>
      </c>
      <c r="B801" s="518"/>
      <c r="C801" s="517"/>
      <c r="D801" s="517"/>
      <c r="E801" s="516" t="s">
        <v>6849</v>
      </c>
      <c r="F801" s="513" t="s">
        <v>1249</v>
      </c>
      <c r="G801" s="513">
        <v>4.3499999999999996</v>
      </c>
      <c r="H801" s="515">
        <v>0</v>
      </c>
      <c r="I801" s="515">
        <v>0</v>
      </c>
      <c r="J801" s="514"/>
      <c r="K801" s="513" t="s">
        <v>399</v>
      </c>
    </row>
    <row r="802" spans="1:11" ht="25.5" x14ac:dyDescent="0.2">
      <c r="A802" s="526" t="s">
        <v>6848</v>
      </c>
      <c r="B802" s="525"/>
      <c r="C802" s="524"/>
      <c r="D802" s="524"/>
      <c r="E802" s="523" t="s">
        <v>6847</v>
      </c>
      <c r="F802" s="520" t="s">
        <v>1249</v>
      </c>
      <c r="G802" s="520">
        <v>0.2</v>
      </c>
      <c r="H802" s="522">
        <v>0</v>
      </c>
      <c r="I802" s="522">
        <v>0</v>
      </c>
      <c r="J802" s="521"/>
      <c r="K802" s="520" t="s">
        <v>399</v>
      </c>
    </row>
    <row r="803" spans="1:11" ht="25.5" x14ac:dyDescent="0.2">
      <c r="A803" s="519" t="s">
        <v>6846</v>
      </c>
      <c r="B803" s="518"/>
      <c r="C803" s="517"/>
      <c r="D803" s="517"/>
      <c r="E803" s="516" t="s">
        <v>6845</v>
      </c>
      <c r="F803" s="513" t="s">
        <v>1249</v>
      </c>
      <c r="G803" s="513">
        <v>43.81</v>
      </c>
      <c r="H803" s="515">
        <v>0</v>
      </c>
      <c r="I803" s="515">
        <v>0</v>
      </c>
      <c r="J803" s="514"/>
      <c r="K803" s="513" t="s">
        <v>399</v>
      </c>
    </row>
    <row r="804" spans="1:11" ht="25.5" x14ac:dyDescent="0.2">
      <c r="A804" s="526" t="s">
        <v>6844</v>
      </c>
      <c r="B804" s="525"/>
      <c r="C804" s="524"/>
      <c r="D804" s="524"/>
      <c r="E804" s="523" t="s">
        <v>6843</v>
      </c>
      <c r="F804" s="520" t="s">
        <v>1249</v>
      </c>
      <c r="G804" s="520">
        <v>0.47</v>
      </c>
      <c r="H804" s="522">
        <v>0</v>
      </c>
      <c r="I804" s="522">
        <v>0</v>
      </c>
      <c r="J804" s="521"/>
      <c r="K804" s="520" t="s">
        <v>399</v>
      </c>
    </row>
    <row r="805" spans="1:11" ht="25.5" x14ac:dyDescent="0.2">
      <c r="A805" s="519" t="s">
        <v>6842</v>
      </c>
      <c r="B805" s="518"/>
      <c r="C805" s="517"/>
      <c r="D805" s="517"/>
      <c r="E805" s="516" t="s">
        <v>6841</v>
      </c>
      <c r="F805" s="513" t="s">
        <v>1249</v>
      </c>
      <c r="G805" s="513">
        <v>0.11</v>
      </c>
      <c r="H805" s="515">
        <v>0</v>
      </c>
      <c r="I805" s="515">
        <v>0</v>
      </c>
      <c r="J805" s="514"/>
      <c r="K805" s="513" t="s">
        <v>399</v>
      </c>
    </row>
    <row r="806" spans="1:11" ht="25.5" x14ac:dyDescent="0.2">
      <c r="A806" s="526" t="s">
        <v>6840</v>
      </c>
      <c r="B806" s="525"/>
      <c r="C806" s="524"/>
      <c r="D806" s="524"/>
      <c r="E806" s="523" t="s">
        <v>6839</v>
      </c>
      <c r="F806" s="520" t="s">
        <v>1249</v>
      </c>
      <c r="G806" s="520">
        <v>0.1</v>
      </c>
      <c r="H806" s="522">
        <v>0</v>
      </c>
      <c r="I806" s="522">
        <v>0</v>
      </c>
      <c r="J806" s="521"/>
      <c r="K806" s="520" t="s">
        <v>399</v>
      </c>
    </row>
    <row r="807" spans="1:11" ht="25.5" x14ac:dyDescent="0.2">
      <c r="A807" s="519" t="s">
        <v>6838</v>
      </c>
      <c r="B807" s="518"/>
      <c r="C807" s="517"/>
      <c r="D807" s="517"/>
      <c r="E807" s="516" t="s">
        <v>6837</v>
      </c>
      <c r="F807" s="513" t="s">
        <v>1249</v>
      </c>
      <c r="G807" s="513">
        <v>1.5</v>
      </c>
      <c r="H807" s="515">
        <v>0</v>
      </c>
      <c r="I807" s="515">
        <v>0</v>
      </c>
      <c r="J807" s="514"/>
      <c r="K807" s="513" t="s">
        <v>399</v>
      </c>
    </row>
    <row r="808" spans="1:11" ht="25.5" x14ac:dyDescent="0.2">
      <c r="A808" s="526" t="s">
        <v>6836</v>
      </c>
      <c r="B808" s="525"/>
      <c r="C808" s="524"/>
      <c r="D808" s="524"/>
      <c r="E808" s="523" t="s">
        <v>6835</v>
      </c>
      <c r="F808" s="520" t="s">
        <v>1249</v>
      </c>
      <c r="G808" s="520">
        <v>0.1</v>
      </c>
      <c r="H808" s="522">
        <v>0</v>
      </c>
      <c r="I808" s="522">
        <v>0</v>
      </c>
      <c r="J808" s="521"/>
      <c r="K808" s="520" t="s">
        <v>399</v>
      </c>
    </row>
    <row r="809" spans="1:11" ht="25.5" x14ac:dyDescent="0.2">
      <c r="A809" s="519" t="s">
        <v>6834</v>
      </c>
      <c r="B809" s="518"/>
      <c r="C809" s="517"/>
      <c r="D809" s="517"/>
      <c r="E809" s="516" t="s">
        <v>6833</v>
      </c>
      <c r="F809" s="513" t="s">
        <v>1249</v>
      </c>
      <c r="G809" s="513">
        <v>0.02</v>
      </c>
      <c r="H809" s="515">
        <v>0</v>
      </c>
      <c r="I809" s="515">
        <v>0</v>
      </c>
      <c r="J809" s="514"/>
      <c r="K809" s="513" t="s">
        <v>399</v>
      </c>
    </row>
    <row r="810" spans="1:11" ht="25.5" x14ac:dyDescent="0.2">
      <c r="A810" s="526" t="s">
        <v>6832</v>
      </c>
      <c r="B810" s="525"/>
      <c r="C810" s="524"/>
      <c r="D810" s="524"/>
      <c r="E810" s="523" t="s">
        <v>6831</v>
      </c>
      <c r="F810" s="520" t="s">
        <v>1249</v>
      </c>
      <c r="G810" s="520">
        <v>2.66</v>
      </c>
      <c r="H810" s="522">
        <v>0</v>
      </c>
      <c r="I810" s="522">
        <v>0</v>
      </c>
      <c r="J810" s="521"/>
      <c r="K810" s="520" t="s">
        <v>399</v>
      </c>
    </row>
    <row r="811" spans="1:11" ht="25.5" x14ac:dyDescent="0.2">
      <c r="A811" s="519" t="s">
        <v>6830</v>
      </c>
      <c r="B811" s="518"/>
      <c r="C811" s="517"/>
      <c r="D811" s="517"/>
      <c r="E811" s="516" t="s">
        <v>6829</v>
      </c>
      <c r="F811" s="513" t="s">
        <v>1249</v>
      </c>
      <c r="G811" s="513">
        <v>0.15</v>
      </c>
      <c r="H811" s="515">
        <v>0</v>
      </c>
      <c r="I811" s="515">
        <v>0</v>
      </c>
      <c r="J811" s="514"/>
      <c r="K811" s="513" t="s">
        <v>399</v>
      </c>
    </row>
    <row r="812" spans="1:11" ht="25.5" x14ac:dyDescent="0.2">
      <c r="A812" s="526" t="s">
        <v>6828</v>
      </c>
      <c r="B812" s="525"/>
      <c r="C812" s="524"/>
      <c r="D812" s="524"/>
      <c r="E812" s="523" t="s">
        <v>6827</v>
      </c>
      <c r="F812" s="520" t="s">
        <v>1249</v>
      </c>
      <c r="G812" s="520">
        <v>1.58</v>
      </c>
      <c r="H812" s="522">
        <v>0</v>
      </c>
      <c r="I812" s="522">
        <v>0</v>
      </c>
      <c r="J812" s="521"/>
      <c r="K812" s="520" t="s">
        <v>399</v>
      </c>
    </row>
    <row r="813" spans="1:11" ht="25.5" x14ac:dyDescent="0.2">
      <c r="A813" s="519" t="s">
        <v>6826</v>
      </c>
      <c r="B813" s="518"/>
      <c r="C813" s="517"/>
      <c r="D813" s="517"/>
      <c r="E813" s="516" t="s">
        <v>6825</v>
      </c>
      <c r="F813" s="513" t="s">
        <v>1249</v>
      </c>
      <c r="G813" s="513">
        <v>7.95</v>
      </c>
      <c r="H813" s="515">
        <v>0</v>
      </c>
      <c r="I813" s="515">
        <v>0</v>
      </c>
      <c r="J813" s="514"/>
      <c r="K813" s="513" t="s">
        <v>399</v>
      </c>
    </row>
    <row r="814" spans="1:11" ht="25.5" x14ac:dyDescent="0.2">
      <c r="A814" s="526" t="s">
        <v>6824</v>
      </c>
      <c r="B814" s="525"/>
      <c r="C814" s="524"/>
      <c r="D814" s="524"/>
      <c r="E814" s="523" t="s">
        <v>6823</v>
      </c>
      <c r="F814" s="520" t="s">
        <v>1249</v>
      </c>
      <c r="G814" s="520">
        <v>4.83</v>
      </c>
      <c r="H814" s="522">
        <v>0</v>
      </c>
      <c r="I814" s="522">
        <v>0</v>
      </c>
      <c r="J814" s="521"/>
      <c r="K814" s="520" t="s">
        <v>399</v>
      </c>
    </row>
    <row r="815" spans="1:11" ht="25.5" x14ac:dyDescent="0.2">
      <c r="A815" s="519" t="s">
        <v>6822</v>
      </c>
      <c r="B815" s="518"/>
      <c r="C815" s="517"/>
      <c r="D815" s="517"/>
      <c r="E815" s="516" t="s">
        <v>6821</v>
      </c>
      <c r="F815" s="513" t="s">
        <v>1249</v>
      </c>
      <c r="G815" s="513">
        <v>0.05</v>
      </c>
      <c r="H815" s="515">
        <v>0</v>
      </c>
      <c r="I815" s="515">
        <v>0</v>
      </c>
      <c r="J815" s="514"/>
      <c r="K815" s="513" t="s">
        <v>399</v>
      </c>
    </row>
    <row r="816" spans="1:11" ht="25.5" x14ac:dyDescent="0.2">
      <c r="A816" s="526" t="s">
        <v>6820</v>
      </c>
      <c r="B816" s="525"/>
      <c r="C816" s="524"/>
      <c r="D816" s="524"/>
      <c r="E816" s="523" t="s">
        <v>6819</v>
      </c>
      <c r="F816" s="520" t="s">
        <v>1249</v>
      </c>
      <c r="G816" s="520">
        <v>4.05</v>
      </c>
      <c r="H816" s="522">
        <v>0</v>
      </c>
      <c r="I816" s="522">
        <v>0</v>
      </c>
      <c r="J816" s="521"/>
      <c r="K816" s="520" t="s">
        <v>399</v>
      </c>
    </row>
    <row r="817" spans="1:11" x14ac:dyDescent="0.2">
      <c r="A817" s="519" t="s">
        <v>6818</v>
      </c>
      <c r="B817" s="518"/>
      <c r="C817" s="517"/>
      <c r="D817" s="517"/>
      <c r="E817" s="516" t="s">
        <v>6817</v>
      </c>
      <c r="F817" s="513" t="s">
        <v>1249</v>
      </c>
      <c r="G817" s="513">
        <v>16.38</v>
      </c>
      <c r="H817" s="515">
        <v>0</v>
      </c>
      <c r="I817" s="515">
        <v>0</v>
      </c>
      <c r="J817" s="514"/>
      <c r="K817" s="513" t="s">
        <v>399</v>
      </c>
    </row>
    <row r="818" spans="1:11" x14ac:dyDescent="0.2">
      <c r="A818" s="526" t="s">
        <v>6816</v>
      </c>
      <c r="B818" s="525"/>
      <c r="C818" s="524"/>
      <c r="D818" s="524"/>
      <c r="E818" s="523" t="s">
        <v>6815</v>
      </c>
      <c r="F818" s="520" t="s">
        <v>1249</v>
      </c>
      <c r="G818" s="520">
        <v>57.32</v>
      </c>
      <c r="H818" s="522">
        <v>0</v>
      </c>
      <c r="I818" s="522">
        <v>0</v>
      </c>
      <c r="J818" s="521"/>
      <c r="K818" s="520" t="s">
        <v>399</v>
      </c>
    </row>
    <row r="819" spans="1:11" ht="25.5" x14ac:dyDescent="0.2">
      <c r="A819" s="519" t="s">
        <v>6814</v>
      </c>
      <c r="B819" s="518"/>
      <c r="C819" s="517"/>
      <c r="D819" s="517"/>
      <c r="E819" s="516" t="s">
        <v>6813</v>
      </c>
      <c r="F819" s="513" t="s">
        <v>1249</v>
      </c>
      <c r="G819" s="513">
        <v>1.66</v>
      </c>
      <c r="H819" s="515">
        <v>0</v>
      </c>
      <c r="I819" s="515">
        <v>0</v>
      </c>
      <c r="J819" s="514"/>
      <c r="K819" s="513" t="s">
        <v>399</v>
      </c>
    </row>
    <row r="820" spans="1:11" ht="25.5" x14ac:dyDescent="0.2">
      <c r="A820" s="526" t="s">
        <v>6812</v>
      </c>
      <c r="B820" s="525"/>
      <c r="C820" s="524"/>
      <c r="D820" s="524"/>
      <c r="E820" s="523" t="s">
        <v>6811</v>
      </c>
      <c r="F820" s="520" t="s">
        <v>1249</v>
      </c>
      <c r="G820" s="520">
        <v>7.96</v>
      </c>
      <c r="H820" s="522">
        <v>0</v>
      </c>
      <c r="I820" s="522">
        <v>0</v>
      </c>
      <c r="J820" s="521"/>
      <c r="K820" s="520" t="s">
        <v>399</v>
      </c>
    </row>
    <row r="821" spans="1:11" ht="25.5" x14ac:dyDescent="0.2">
      <c r="A821" s="519" t="s">
        <v>6810</v>
      </c>
      <c r="B821" s="518"/>
      <c r="C821" s="517"/>
      <c r="D821" s="517"/>
      <c r="E821" s="516" t="s">
        <v>6809</v>
      </c>
      <c r="F821" s="513" t="s">
        <v>1249</v>
      </c>
      <c r="G821" s="513">
        <v>0.1</v>
      </c>
      <c r="H821" s="515">
        <v>0</v>
      </c>
      <c r="I821" s="515">
        <v>0</v>
      </c>
      <c r="J821" s="514"/>
      <c r="K821" s="513" t="s">
        <v>399</v>
      </c>
    </row>
    <row r="822" spans="1:11" x14ac:dyDescent="0.2">
      <c r="A822" s="542" t="s">
        <v>6808</v>
      </c>
      <c r="B822" s="541"/>
      <c r="C822" s="540"/>
      <c r="D822" s="540"/>
      <c r="E822" s="540" t="s">
        <v>37</v>
      </c>
      <c r="F822" s="537"/>
      <c r="G822" s="537"/>
      <c r="H822" s="539"/>
      <c r="I822" s="539">
        <v>0</v>
      </c>
      <c r="J822" s="538"/>
      <c r="K822" s="537" t="s">
        <v>399</v>
      </c>
    </row>
    <row r="823" spans="1:11" x14ac:dyDescent="0.2">
      <c r="A823" s="536" t="s">
        <v>6807</v>
      </c>
      <c r="B823" s="535"/>
      <c r="C823" s="534"/>
      <c r="D823" s="534"/>
      <c r="E823" s="534" t="s">
        <v>6806</v>
      </c>
      <c r="F823" s="531"/>
      <c r="G823" s="531"/>
      <c r="H823" s="533"/>
      <c r="I823" s="533">
        <v>0</v>
      </c>
      <c r="J823" s="532"/>
      <c r="K823" s="531" t="s">
        <v>399</v>
      </c>
    </row>
    <row r="824" spans="1:11" x14ac:dyDescent="0.2">
      <c r="A824" s="203" t="s">
        <v>6805</v>
      </c>
      <c r="B824" s="530"/>
      <c r="C824" s="530"/>
      <c r="D824" s="530"/>
      <c r="E824" s="530" t="s">
        <v>37</v>
      </c>
      <c r="F824" s="527"/>
      <c r="G824" s="527"/>
      <c r="H824" s="529"/>
      <c r="I824" s="529">
        <v>0</v>
      </c>
      <c r="J824" s="528"/>
      <c r="K824" s="527" t="s">
        <v>399</v>
      </c>
    </row>
    <row r="825" spans="1:11" x14ac:dyDescent="0.2">
      <c r="A825" s="526" t="s">
        <v>6804</v>
      </c>
      <c r="B825" s="525"/>
      <c r="C825" s="524"/>
      <c r="D825" s="524"/>
      <c r="E825" s="523" t="s">
        <v>6803</v>
      </c>
      <c r="F825" s="520" t="s">
        <v>1242</v>
      </c>
      <c r="G825" s="520">
        <v>172.89</v>
      </c>
      <c r="H825" s="522">
        <v>0</v>
      </c>
      <c r="I825" s="522">
        <v>0</v>
      </c>
      <c r="J825" s="521"/>
      <c r="K825" s="520" t="s">
        <v>399</v>
      </c>
    </row>
    <row r="826" spans="1:11" x14ac:dyDescent="0.2">
      <c r="A826" s="519" t="s">
        <v>6802</v>
      </c>
      <c r="B826" s="518"/>
      <c r="C826" s="517"/>
      <c r="D826" s="517"/>
      <c r="E826" s="516" t="s">
        <v>6801</v>
      </c>
      <c r="F826" s="513" t="s">
        <v>1242</v>
      </c>
      <c r="G826" s="513">
        <v>6.73</v>
      </c>
      <c r="H826" s="515">
        <v>0</v>
      </c>
      <c r="I826" s="515">
        <v>0</v>
      </c>
      <c r="J826" s="514"/>
      <c r="K826" s="513" t="s">
        <v>399</v>
      </c>
    </row>
  </sheetData>
  <mergeCells count="29">
    <mergeCell ref="A10:E10"/>
    <mergeCell ref="C14:D14"/>
    <mergeCell ref="A17:A18"/>
    <mergeCell ref="A12:B12"/>
    <mergeCell ref="C12:D12"/>
    <mergeCell ref="A13:B13"/>
    <mergeCell ref="C13:D13"/>
    <mergeCell ref="A14:B14"/>
    <mergeCell ref="A1:G1"/>
    <mergeCell ref="B2:E2"/>
    <mergeCell ref="B3:E3"/>
    <mergeCell ref="B4:E4"/>
    <mergeCell ref="B5:E5"/>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00" customWidth="1"/>
    <col min="2" max="2" width="11.7109375" style="202" bestFit="1" customWidth="1"/>
    <col min="3" max="4" width="13.42578125" style="202" customWidth="1"/>
    <col min="5" max="5" width="70.140625" style="200" customWidth="1"/>
    <col min="6" max="6" width="8.140625" style="202" customWidth="1"/>
    <col min="7" max="7" width="13.7109375" style="201" customWidth="1"/>
    <col min="8" max="8" width="13" style="200" customWidth="1"/>
    <col min="9" max="9" width="16" style="200" customWidth="1"/>
    <col min="10" max="11" width="11.5703125" style="200"/>
    <col min="12" max="12" width="38.5703125" style="200" customWidth="1"/>
    <col min="13" max="13" width="21.85546875" style="200" customWidth="1"/>
    <col min="14" max="14" width="20.85546875" style="200" customWidth="1"/>
    <col min="15" max="16384" width="11.5703125" style="200"/>
  </cols>
  <sheetData>
    <row r="1" spans="1:15" x14ac:dyDescent="0.2">
      <c r="A1" s="608" t="s">
        <v>2106</v>
      </c>
      <c r="B1" s="609"/>
      <c r="C1" s="609"/>
      <c r="D1" s="609"/>
      <c r="E1" s="609"/>
      <c r="F1" s="609"/>
      <c r="G1" s="609"/>
      <c r="H1" s="543"/>
      <c r="I1" s="543"/>
    </row>
    <row r="2" spans="1:15" x14ac:dyDescent="0.2">
      <c r="A2" s="551" t="s">
        <v>2105</v>
      </c>
      <c r="B2" s="612" t="s">
        <v>2905</v>
      </c>
      <c r="C2" s="613"/>
      <c r="D2" s="613"/>
      <c r="E2" s="613"/>
      <c r="F2" s="560"/>
      <c r="G2" s="559"/>
      <c r="H2" s="543"/>
      <c r="I2" s="543"/>
    </row>
    <row r="3" spans="1:15" x14ac:dyDescent="0.2">
      <c r="A3" s="554" t="s">
        <v>1275</v>
      </c>
      <c r="B3" s="601" t="s">
        <v>8045</v>
      </c>
      <c r="C3" s="602"/>
      <c r="D3" s="602"/>
      <c r="E3" s="602"/>
      <c r="F3" s="553"/>
      <c r="G3" s="556"/>
      <c r="H3" s="543"/>
      <c r="I3" s="543"/>
    </row>
    <row r="4" spans="1:15" x14ac:dyDescent="0.2">
      <c r="A4" s="551" t="s">
        <v>2104</v>
      </c>
      <c r="B4" s="612" t="s">
        <v>8044</v>
      </c>
      <c r="C4" s="613"/>
      <c r="D4" s="613"/>
      <c r="E4" s="613"/>
      <c r="F4" s="557"/>
      <c r="G4" s="556"/>
      <c r="H4" s="543"/>
      <c r="I4" s="543"/>
    </row>
    <row r="5" spans="1:15" x14ac:dyDescent="0.2">
      <c r="A5" s="554" t="s">
        <v>2103</v>
      </c>
      <c r="B5" s="601" t="s">
        <v>8043</v>
      </c>
      <c r="C5" s="602"/>
      <c r="D5" s="602"/>
      <c r="E5" s="602"/>
      <c r="F5" s="557"/>
      <c r="G5" s="556"/>
      <c r="H5" s="543"/>
      <c r="I5" s="543"/>
    </row>
    <row r="6" spans="1:15" x14ac:dyDescent="0.2">
      <c r="A6" s="551" t="s">
        <v>2102</v>
      </c>
      <c r="B6" s="612" t="s">
        <v>399</v>
      </c>
      <c r="C6" s="613"/>
      <c r="D6" s="613"/>
      <c r="E6" s="613"/>
      <c r="F6" s="553"/>
      <c r="G6" s="552"/>
      <c r="H6" s="543"/>
      <c r="I6" s="543"/>
    </row>
    <row r="7" spans="1:15" x14ac:dyDescent="0.2">
      <c r="A7" s="554" t="s">
        <v>59</v>
      </c>
      <c r="B7" s="601" t="s">
        <v>399</v>
      </c>
      <c r="C7" s="602"/>
      <c r="D7" s="602"/>
      <c r="E7" s="602"/>
      <c r="F7" s="553"/>
      <c r="G7" s="552"/>
      <c r="H7" s="543"/>
      <c r="I7" s="543"/>
    </row>
    <row r="8" spans="1:15" x14ac:dyDescent="0.2">
      <c r="A8" s="554" t="s">
        <v>8042</v>
      </c>
      <c r="B8" s="601" t="s">
        <v>8041</v>
      </c>
      <c r="C8" s="602"/>
      <c r="D8" s="602"/>
      <c r="E8" s="602"/>
      <c r="F8" s="550"/>
      <c r="G8" s="549"/>
      <c r="H8" s="543"/>
      <c r="I8" s="543"/>
    </row>
    <row r="9" spans="1:15" x14ac:dyDescent="0.2">
      <c r="A9" s="548"/>
      <c r="B9" s="547"/>
      <c r="C9" s="547"/>
      <c r="D9" s="547"/>
      <c r="E9" s="547"/>
      <c r="F9" s="511"/>
      <c r="G9" s="546"/>
      <c r="H9" s="543"/>
      <c r="I9" s="543"/>
    </row>
    <row r="10" spans="1:15" x14ac:dyDescent="0.2">
      <c r="A10" s="543"/>
      <c r="B10" s="543"/>
      <c r="C10" s="543"/>
      <c r="D10" s="543"/>
      <c r="E10" s="543"/>
      <c r="F10" s="543"/>
      <c r="G10" s="543"/>
      <c r="H10" s="543"/>
      <c r="I10" s="543"/>
    </row>
    <row r="11" spans="1:15" x14ac:dyDescent="0.2">
      <c r="A11" s="616" t="s">
        <v>8160</v>
      </c>
      <c r="B11" s="617"/>
      <c r="C11" s="617"/>
      <c r="D11" s="617"/>
      <c r="E11" s="617"/>
      <c r="F11" s="617"/>
      <c r="G11" s="617"/>
      <c r="H11" s="617"/>
      <c r="I11" s="617"/>
      <c r="J11" s="617"/>
      <c r="K11" s="617"/>
      <c r="L11" s="617"/>
      <c r="M11" s="617"/>
      <c r="N11" s="617"/>
    </row>
    <row r="12" spans="1:15" x14ac:dyDescent="0.2">
      <c r="A12" s="606" t="s">
        <v>8035</v>
      </c>
      <c r="B12" s="606" t="s">
        <v>1569</v>
      </c>
      <c r="C12" s="606" t="s">
        <v>58</v>
      </c>
      <c r="D12" s="606" t="s">
        <v>58</v>
      </c>
      <c r="E12" s="606" t="s">
        <v>59</v>
      </c>
      <c r="F12" s="606" t="s">
        <v>1276</v>
      </c>
      <c r="G12" s="606" t="s">
        <v>8159</v>
      </c>
      <c r="H12" s="606" t="s">
        <v>8039</v>
      </c>
      <c r="I12" s="606"/>
      <c r="J12" s="603" t="s">
        <v>8158</v>
      </c>
      <c r="K12" s="603" t="s">
        <v>8157</v>
      </c>
      <c r="L12" s="603" t="s">
        <v>8156</v>
      </c>
      <c r="M12" s="603" t="s">
        <v>8155</v>
      </c>
      <c r="N12" s="603" t="s">
        <v>67</v>
      </c>
    </row>
    <row r="13" spans="1:15" x14ac:dyDescent="0.2">
      <c r="A13" s="606"/>
      <c r="B13" s="606"/>
      <c r="C13" s="606"/>
      <c r="D13" s="606"/>
      <c r="E13" s="606"/>
      <c r="F13" s="606"/>
      <c r="G13" s="606"/>
      <c r="H13" s="512" t="s">
        <v>8154</v>
      </c>
      <c r="I13" s="512" t="s">
        <v>1233</v>
      </c>
      <c r="J13" s="605"/>
      <c r="K13" s="605"/>
      <c r="L13" s="605"/>
      <c r="M13" s="605"/>
      <c r="N13" s="605"/>
    </row>
    <row r="14" spans="1:15" ht="38.25" x14ac:dyDescent="0.2">
      <c r="A14" s="579" t="s">
        <v>7993</v>
      </c>
      <c r="B14" s="578" t="s">
        <v>7260</v>
      </c>
      <c r="C14" s="577" t="s">
        <v>399</v>
      </c>
      <c r="D14" s="572" t="s">
        <v>8048</v>
      </c>
      <c r="E14" s="572" t="s">
        <v>7992</v>
      </c>
      <c r="F14" s="576" t="s">
        <v>641</v>
      </c>
      <c r="G14" s="575"/>
      <c r="H14" s="574"/>
      <c r="I14" s="574">
        <v>25.096</v>
      </c>
      <c r="J14" s="573"/>
      <c r="K14" s="573"/>
      <c r="L14" s="572"/>
      <c r="M14" s="571"/>
      <c r="N14" s="571" t="s">
        <v>2190</v>
      </c>
      <c r="O14" s="200" t="str">
        <f>A14&amp;B14&amp;C14</f>
        <v>4825Thozen - Electra</v>
      </c>
    </row>
    <row r="15" spans="1:15" ht="25.5" x14ac:dyDescent="0.2">
      <c r="A15" s="570" t="s">
        <v>8149</v>
      </c>
      <c r="B15" s="569" t="s">
        <v>7260</v>
      </c>
      <c r="C15" s="568" t="s">
        <v>8049</v>
      </c>
      <c r="D15" s="567" t="s">
        <v>8048</v>
      </c>
      <c r="E15" s="567" t="s">
        <v>355</v>
      </c>
      <c r="F15" s="513" t="s">
        <v>1246</v>
      </c>
      <c r="G15" s="513">
        <v>1.2500000000000001E-2</v>
      </c>
      <c r="H15" s="515">
        <v>480</v>
      </c>
      <c r="I15" s="515">
        <v>6</v>
      </c>
      <c r="J15" s="514"/>
      <c r="K15" s="514"/>
      <c r="L15" s="567"/>
      <c r="M15" s="566"/>
      <c r="N15" s="566"/>
    </row>
    <row r="16" spans="1:15" ht="25.5" x14ac:dyDescent="0.2">
      <c r="A16" s="565" t="s">
        <v>8153</v>
      </c>
      <c r="B16" s="564" t="s">
        <v>7260</v>
      </c>
      <c r="C16" s="563" t="s">
        <v>8049</v>
      </c>
      <c r="D16" s="562" t="s">
        <v>8048</v>
      </c>
      <c r="E16" s="562" t="s">
        <v>8152</v>
      </c>
      <c r="F16" s="520" t="s">
        <v>533</v>
      </c>
      <c r="G16" s="520">
        <v>17.36</v>
      </c>
      <c r="H16" s="522">
        <v>1.1000000000000001</v>
      </c>
      <c r="I16" s="522">
        <v>19.096</v>
      </c>
      <c r="J16" s="521"/>
      <c r="K16" s="521"/>
      <c r="L16" s="562"/>
      <c r="M16" s="561"/>
      <c r="N16" s="561"/>
    </row>
    <row r="17" spans="1:15" ht="25.5" x14ac:dyDescent="0.2">
      <c r="A17" s="579" t="s">
        <v>7990</v>
      </c>
      <c r="B17" s="578" t="s">
        <v>7260</v>
      </c>
      <c r="C17" s="577" t="s">
        <v>399</v>
      </c>
      <c r="D17" s="572" t="s">
        <v>8048</v>
      </c>
      <c r="E17" s="572" t="s">
        <v>7989</v>
      </c>
      <c r="F17" s="576" t="s">
        <v>641</v>
      </c>
      <c r="G17" s="575"/>
      <c r="H17" s="574"/>
      <c r="I17" s="574">
        <v>40.766399999999997</v>
      </c>
      <c r="J17" s="573"/>
      <c r="K17" s="573"/>
      <c r="L17" s="572"/>
      <c r="M17" s="571"/>
      <c r="N17" s="571" t="s">
        <v>2190</v>
      </c>
      <c r="O17" s="200" t="str">
        <f>A17&amp;B17&amp;C17</f>
        <v>4826Thozen - Electra</v>
      </c>
    </row>
    <row r="18" spans="1:15" ht="25.5" x14ac:dyDescent="0.2">
      <c r="A18" s="570" t="s">
        <v>8149</v>
      </c>
      <c r="B18" s="569" t="s">
        <v>7260</v>
      </c>
      <c r="C18" s="568" t="s">
        <v>8049</v>
      </c>
      <c r="D18" s="567" t="s">
        <v>8048</v>
      </c>
      <c r="E18" s="567" t="s">
        <v>355</v>
      </c>
      <c r="F18" s="513" t="s">
        <v>1246</v>
      </c>
      <c r="G18" s="513">
        <v>2.1999999999999999E-2</v>
      </c>
      <c r="H18" s="515">
        <v>480</v>
      </c>
      <c r="I18" s="515">
        <v>10.559999999999999</v>
      </c>
      <c r="J18" s="514"/>
      <c r="K18" s="514"/>
      <c r="L18" s="567"/>
      <c r="M18" s="566"/>
      <c r="N18" s="566"/>
    </row>
    <row r="19" spans="1:15" ht="25.5" x14ac:dyDescent="0.2">
      <c r="A19" s="565" t="s">
        <v>8151</v>
      </c>
      <c r="B19" s="564" t="s">
        <v>7260</v>
      </c>
      <c r="C19" s="563" t="s">
        <v>8049</v>
      </c>
      <c r="D19" s="562" t="s">
        <v>8048</v>
      </c>
      <c r="E19" s="562" t="s">
        <v>8150</v>
      </c>
      <c r="F19" s="520" t="s">
        <v>533</v>
      </c>
      <c r="G19" s="520">
        <v>17.36</v>
      </c>
      <c r="H19" s="522">
        <v>1.74</v>
      </c>
      <c r="I19" s="522">
        <v>30.206399999999999</v>
      </c>
      <c r="J19" s="521"/>
      <c r="K19" s="521"/>
      <c r="L19" s="562"/>
      <c r="M19" s="561"/>
      <c r="N19" s="561"/>
    </row>
    <row r="20" spans="1:15" ht="25.5" x14ac:dyDescent="0.2">
      <c r="A20" s="579" t="s">
        <v>7987</v>
      </c>
      <c r="B20" s="578" t="s">
        <v>7260</v>
      </c>
      <c r="C20" s="577" t="s">
        <v>399</v>
      </c>
      <c r="D20" s="572" t="s">
        <v>8048</v>
      </c>
      <c r="E20" s="572" t="s">
        <v>7986</v>
      </c>
      <c r="F20" s="576" t="s">
        <v>641</v>
      </c>
      <c r="G20" s="575"/>
      <c r="H20" s="574"/>
      <c r="I20" s="574">
        <v>56.584800000000001</v>
      </c>
      <c r="J20" s="573"/>
      <c r="K20" s="573"/>
      <c r="L20" s="572"/>
      <c r="M20" s="571"/>
      <c r="N20" s="571" t="s">
        <v>2190</v>
      </c>
      <c r="O20" s="200" t="str">
        <f>A20&amp;B20&amp;C20</f>
        <v>90472Thozen - Electra</v>
      </c>
    </row>
    <row r="21" spans="1:15" ht="25.5" x14ac:dyDescent="0.2">
      <c r="A21" s="570" t="s">
        <v>8149</v>
      </c>
      <c r="B21" s="569" t="s">
        <v>7260</v>
      </c>
      <c r="C21" s="568" t="s">
        <v>8049</v>
      </c>
      <c r="D21" s="567" t="s">
        <v>8048</v>
      </c>
      <c r="E21" s="567" t="s">
        <v>355</v>
      </c>
      <c r="F21" s="513" t="s">
        <v>1246</v>
      </c>
      <c r="G21" s="513">
        <v>0.03</v>
      </c>
      <c r="H21" s="515">
        <v>480</v>
      </c>
      <c r="I21" s="515">
        <v>14.399999999999999</v>
      </c>
      <c r="J21" s="514"/>
      <c r="K21" s="514"/>
      <c r="L21" s="567"/>
      <c r="M21" s="566"/>
      <c r="N21" s="566"/>
    </row>
    <row r="22" spans="1:15" ht="25.5" x14ac:dyDescent="0.2">
      <c r="A22" s="565" t="s">
        <v>8148</v>
      </c>
      <c r="B22" s="564" t="s">
        <v>7260</v>
      </c>
      <c r="C22" s="563" t="s">
        <v>8049</v>
      </c>
      <c r="D22" s="562" t="s">
        <v>8048</v>
      </c>
      <c r="E22" s="562" t="s">
        <v>8147</v>
      </c>
      <c r="F22" s="520" t="s">
        <v>533</v>
      </c>
      <c r="G22" s="520">
        <v>17.36</v>
      </c>
      <c r="H22" s="522">
        <v>2.4300000000000002</v>
      </c>
      <c r="I22" s="522">
        <v>42.184800000000003</v>
      </c>
      <c r="J22" s="521"/>
      <c r="K22" s="521"/>
      <c r="L22" s="562"/>
      <c r="M22" s="561"/>
      <c r="N22" s="561"/>
    </row>
    <row r="23" spans="1:15" ht="25.5" x14ac:dyDescent="0.2">
      <c r="A23" s="579" t="s">
        <v>7969</v>
      </c>
      <c r="B23" s="578" t="s">
        <v>7260</v>
      </c>
      <c r="C23" s="577" t="s">
        <v>399</v>
      </c>
      <c r="D23" s="572" t="s">
        <v>8048</v>
      </c>
      <c r="E23" s="572" t="s">
        <v>7968</v>
      </c>
      <c r="F23" s="576" t="s">
        <v>787</v>
      </c>
      <c r="G23" s="575"/>
      <c r="H23" s="574"/>
      <c r="I23" s="574">
        <v>43.712511999999997</v>
      </c>
      <c r="J23" s="573"/>
      <c r="K23" s="573"/>
      <c r="L23" s="572"/>
      <c r="M23" s="571"/>
      <c r="N23" s="571" t="s">
        <v>399</v>
      </c>
      <c r="O23" s="200" t="str">
        <f>A23&amp;B23&amp;C23</f>
        <v>4831Thozen - Electra</v>
      </c>
    </row>
    <row r="24" spans="1:15" ht="25.5" x14ac:dyDescent="0.2">
      <c r="A24" s="570" t="s">
        <v>8146</v>
      </c>
      <c r="B24" s="569" t="s">
        <v>7260</v>
      </c>
      <c r="C24" s="568" t="s">
        <v>8049</v>
      </c>
      <c r="D24" s="567" t="s">
        <v>8048</v>
      </c>
      <c r="E24" s="567" t="s">
        <v>8145</v>
      </c>
      <c r="F24" s="513" t="s">
        <v>1246</v>
      </c>
      <c r="G24" s="513">
        <v>2.64E-2</v>
      </c>
      <c r="H24" s="515">
        <v>450</v>
      </c>
      <c r="I24" s="515">
        <v>11.88</v>
      </c>
      <c r="J24" s="514"/>
      <c r="K24" s="514"/>
      <c r="L24" s="567"/>
      <c r="M24" s="566"/>
      <c r="N24" s="566"/>
    </row>
    <row r="25" spans="1:15" ht="25.5" x14ac:dyDescent="0.2">
      <c r="A25" s="565" t="s">
        <v>8144</v>
      </c>
      <c r="B25" s="564" t="s">
        <v>7260</v>
      </c>
      <c r="C25" s="563" t="s">
        <v>8049</v>
      </c>
      <c r="D25" s="562" t="s">
        <v>8048</v>
      </c>
      <c r="E25" s="562" t="s">
        <v>8143</v>
      </c>
      <c r="F25" s="520" t="s">
        <v>8046</v>
      </c>
      <c r="G25" s="520">
        <v>7.0000000000000001E-3</v>
      </c>
      <c r="H25" s="522">
        <v>6.45</v>
      </c>
      <c r="I25" s="522">
        <v>4.5150000000000003E-2</v>
      </c>
      <c r="J25" s="521"/>
      <c r="K25" s="521"/>
      <c r="L25" s="562"/>
      <c r="M25" s="561"/>
      <c r="N25" s="561"/>
    </row>
    <row r="26" spans="1:15" ht="25.5" x14ac:dyDescent="0.2">
      <c r="A26" s="570" t="s">
        <v>8087</v>
      </c>
      <c r="B26" s="569" t="s">
        <v>7260</v>
      </c>
      <c r="C26" s="568" t="s">
        <v>8049</v>
      </c>
      <c r="D26" s="567" t="s">
        <v>8048</v>
      </c>
      <c r="E26" s="567" t="s">
        <v>8086</v>
      </c>
      <c r="F26" s="513" t="s">
        <v>533</v>
      </c>
      <c r="G26" s="513">
        <v>6</v>
      </c>
      <c r="H26" s="515">
        <v>0.15</v>
      </c>
      <c r="I26" s="515">
        <v>0.89999999999999991</v>
      </c>
      <c r="J26" s="514"/>
      <c r="K26" s="514"/>
      <c r="L26" s="567"/>
      <c r="M26" s="566"/>
      <c r="N26" s="566"/>
    </row>
    <row r="27" spans="1:15" ht="25.5" x14ac:dyDescent="0.2">
      <c r="A27" s="565" t="s">
        <v>8142</v>
      </c>
      <c r="B27" s="564" t="s">
        <v>7260</v>
      </c>
      <c r="C27" s="563" t="s">
        <v>8049</v>
      </c>
      <c r="D27" s="562" t="s">
        <v>8048</v>
      </c>
      <c r="E27" s="562" t="s">
        <v>8141</v>
      </c>
      <c r="F27" s="520" t="s">
        <v>1246</v>
      </c>
      <c r="G27" s="520">
        <v>1.1999999999999999E-3</v>
      </c>
      <c r="H27" s="522">
        <v>1310</v>
      </c>
      <c r="I27" s="522">
        <v>1.5719999999999998</v>
      </c>
      <c r="J27" s="521"/>
      <c r="K27" s="521"/>
      <c r="L27" s="562"/>
      <c r="M27" s="561"/>
      <c r="N27" s="561"/>
    </row>
    <row r="28" spans="1:15" ht="25.5" x14ac:dyDescent="0.2">
      <c r="A28" s="570" t="s">
        <v>8140</v>
      </c>
      <c r="B28" s="569" t="s">
        <v>7260</v>
      </c>
      <c r="C28" s="568" t="s">
        <v>8049</v>
      </c>
      <c r="D28" s="567" t="s">
        <v>8048</v>
      </c>
      <c r="E28" s="567" t="s">
        <v>8139</v>
      </c>
      <c r="F28" s="513" t="s">
        <v>1105</v>
      </c>
      <c r="G28" s="513">
        <v>5.1200000000000002E-2</v>
      </c>
      <c r="H28" s="515">
        <v>10.91</v>
      </c>
      <c r="I28" s="515">
        <v>0.55859200000000009</v>
      </c>
      <c r="J28" s="514"/>
      <c r="K28" s="514"/>
      <c r="L28" s="567"/>
      <c r="M28" s="566"/>
      <c r="N28" s="566"/>
    </row>
    <row r="29" spans="1:15" ht="25.5" x14ac:dyDescent="0.2">
      <c r="A29" s="565" t="s">
        <v>8138</v>
      </c>
      <c r="B29" s="564" t="s">
        <v>7260</v>
      </c>
      <c r="C29" s="563" t="s">
        <v>8049</v>
      </c>
      <c r="D29" s="562" t="s">
        <v>8048</v>
      </c>
      <c r="E29" s="562" t="s">
        <v>8137</v>
      </c>
      <c r="F29" s="520" t="s">
        <v>1246</v>
      </c>
      <c r="G29" s="520">
        <v>3.1710000000000002E-3</v>
      </c>
      <c r="H29" s="522">
        <v>1300</v>
      </c>
      <c r="I29" s="522">
        <v>4.1223000000000001</v>
      </c>
      <c r="J29" s="521"/>
      <c r="K29" s="521"/>
      <c r="L29" s="562"/>
      <c r="M29" s="561"/>
      <c r="N29" s="561"/>
    </row>
    <row r="30" spans="1:15" ht="25.5" x14ac:dyDescent="0.2">
      <c r="A30" s="570" t="s">
        <v>8136</v>
      </c>
      <c r="B30" s="569" t="s">
        <v>7260</v>
      </c>
      <c r="C30" s="568" t="s">
        <v>8049</v>
      </c>
      <c r="D30" s="567" t="s">
        <v>8048</v>
      </c>
      <c r="E30" s="567" t="s">
        <v>8135</v>
      </c>
      <c r="F30" s="513" t="s">
        <v>1246</v>
      </c>
      <c r="G30" s="513">
        <v>1.1676000000000001E-2</v>
      </c>
      <c r="H30" s="515">
        <v>1800</v>
      </c>
      <c r="I30" s="515">
        <v>21.0168</v>
      </c>
      <c r="J30" s="514"/>
      <c r="K30" s="514"/>
      <c r="L30" s="567"/>
      <c r="M30" s="566"/>
      <c r="N30" s="566"/>
    </row>
    <row r="31" spans="1:15" ht="25.5" x14ac:dyDescent="0.2">
      <c r="A31" s="565" t="s">
        <v>8134</v>
      </c>
      <c r="B31" s="564" t="s">
        <v>7260</v>
      </c>
      <c r="C31" s="563" t="s">
        <v>8049</v>
      </c>
      <c r="D31" s="562" t="s">
        <v>8048</v>
      </c>
      <c r="E31" s="562" t="s">
        <v>8133</v>
      </c>
      <c r="F31" s="520" t="s">
        <v>1105</v>
      </c>
      <c r="G31" s="520">
        <v>0.52429999999999999</v>
      </c>
      <c r="H31" s="522">
        <v>6.9</v>
      </c>
      <c r="I31" s="522">
        <v>3.6176699999999999</v>
      </c>
      <c r="J31" s="521"/>
      <c r="K31" s="521"/>
      <c r="L31" s="562"/>
      <c r="M31" s="561"/>
      <c r="N31" s="561"/>
    </row>
    <row r="32" spans="1:15" ht="25.5" x14ac:dyDescent="0.2">
      <c r="A32" s="579" t="s">
        <v>7975</v>
      </c>
      <c r="B32" s="578" t="s">
        <v>7260</v>
      </c>
      <c r="C32" s="577" t="s">
        <v>399</v>
      </c>
      <c r="D32" s="572" t="s">
        <v>8048</v>
      </c>
      <c r="E32" s="572" t="s">
        <v>7974</v>
      </c>
      <c r="F32" s="576" t="s">
        <v>787</v>
      </c>
      <c r="G32" s="575"/>
      <c r="H32" s="574"/>
      <c r="I32" s="574">
        <v>3.6337980000000005</v>
      </c>
      <c r="J32" s="573"/>
      <c r="K32" s="573"/>
      <c r="L32" s="572"/>
      <c r="M32" s="571"/>
      <c r="N32" s="571" t="s">
        <v>8132</v>
      </c>
      <c r="O32" s="200" t="str">
        <f>A32&amp;B32&amp;C32</f>
        <v>4828Thozen - Electra</v>
      </c>
    </row>
    <row r="33" spans="1:15" ht="25.5" x14ac:dyDescent="0.2">
      <c r="A33" s="570" t="s">
        <v>8131</v>
      </c>
      <c r="B33" s="569" t="s">
        <v>7260</v>
      </c>
      <c r="C33" s="568" t="s">
        <v>8049</v>
      </c>
      <c r="D33" s="567" t="s">
        <v>8048</v>
      </c>
      <c r="E33" s="567" t="s">
        <v>8130</v>
      </c>
      <c r="F33" s="513" t="s">
        <v>1701</v>
      </c>
      <c r="G33" s="513">
        <v>0.21540000000000001</v>
      </c>
      <c r="H33" s="515">
        <v>16.87</v>
      </c>
      <c r="I33" s="515">
        <v>3.6337980000000005</v>
      </c>
      <c r="J33" s="514"/>
      <c r="K33" s="514"/>
      <c r="L33" s="567"/>
      <c r="M33" s="566"/>
      <c r="N33" s="566"/>
    </row>
    <row r="34" spans="1:15" ht="25.5" x14ac:dyDescent="0.2">
      <c r="A34" s="579" t="s">
        <v>7972</v>
      </c>
      <c r="B34" s="578" t="s">
        <v>7260</v>
      </c>
      <c r="C34" s="577" t="s">
        <v>399</v>
      </c>
      <c r="D34" s="572" t="s">
        <v>8048</v>
      </c>
      <c r="E34" s="572" t="s">
        <v>7971</v>
      </c>
      <c r="F34" s="576" t="s">
        <v>1242</v>
      </c>
      <c r="G34" s="575"/>
      <c r="H34" s="574"/>
      <c r="I34" s="574">
        <v>1.85</v>
      </c>
      <c r="J34" s="573"/>
      <c r="K34" s="573"/>
      <c r="L34" s="572"/>
      <c r="M34" s="571"/>
      <c r="N34" s="571" t="s">
        <v>399</v>
      </c>
      <c r="O34" s="200" t="str">
        <f>A34&amp;B34&amp;C34</f>
        <v>4829Thozen - Electra</v>
      </c>
    </row>
    <row r="35" spans="1:15" ht="25.5" x14ac:dyDescent="0.2">
      <c r="A35" s="570" t="s">
        <v>8129</v>
      </c>
      <c r="B35" s="569" t="s">
        <v>7260</v>
      </c>
      <c r="C35" s="568" t="s">
        <v>8049</v>
      </c>
      <c r="D35" s="567" t="s">
        <v>8048</v>
      </c>
      <c r="E35" s="567" t="s">
        <v>8128</v>
      </c>
      <c r="F35" s="513" t="s">
        <v>533</v>
      </c>
      <c r="G35" s="513">
        <v>1</v>
      </c>
      <c r="H35" s="515">
        <v>0.3</v>
      </c>
      <c r="I35" s="515">
        <v>0.3</v>
      </c>
      <c r="J35" s="514"/>
      <c r="K35" s="514"/>
      <c r="L35" s="567"/>
      <c r="M35" s="566"/>
      <c r="N35" s="566"/>
    </row>
    <row r="36" spans="1:15" ht="25.5" x14ac:dyDescent="0.2">
      <c r="A36" s="565" t="s">
        <v>8127</v>
      </c>
      <c r="B36" s="564" t="s">
        <v>7260</v>
      </c>
      <c r="C36" s="563" t="s">
        <v>8049</v>
      </c>
      <c r="D36" s="562" t="s">
        <v>8048</v>
      </c>
      <c r="E36" s="562" t="s">
        <v>8126</v>
      </c>
      <c r="F36" s="520" t="s">
        <v>533</v>
      </c>
      <c r="G36" s="520">
        <v>1</v>
      </c>
      <c r="H36" s="522">
        <v>0.3</v>
      </c>
      <c r="I36" s="522">
        <v>0.3</v>
      </c>
      <c r="J36" s="521"/>
      <c r="K36" s="521"/>
      <c r="L36" s="562"/>
      <c r="M36" s="561"/>
      <c r="N36" s="561"/>
    </row>
    <row r="37" spans="1:15" ht="25.5" x14ac:dyDescent="0.2">
      <c r="A37" s="570" t="s">
        <v>8125</v>
      </c>
      <c r="B37" s="569" t="s">
        <v>7260</v>
      </c>
      <c r="C37" s="568" t="s">
        <v>8049</v>
      </c>
      <c r="D37" s="567" t="s">
        <v>8048</v>
      </c>
      <c r="E37" s="567" t="s">
        <v>8124</v>
      </c>
      <c r="F37" s="513" t="s">
        <v>641</v>
      </c>
      <c r="G37" s="513">
        <v>0.5</v>
      </c>
      <c r="H37" s="515">
        <v>2.5</v>
      </c>
      <c r="I37" s="515">
        <v>1.25</v>
      </c>
      <c r="J37" s="514"/>
      <c r="K37" s="514"/>
      <c r="L37" s="567"/>
      <c r="M37" s="566"/>
      <c r="N37" s="566"/>
    </row>
    <row r="38" spans="1:15" ht="25.5" x14ac:dyDescent="0.2">
      <c r="A38" s="579" t="s">
        <v>7942</v>
      </c>
      <c r="B38" s="578" t="s">
        <v>7260</v>
      </c>
      <c r="C38" s="577" t="s">
        <v>399</v>
      </c>
      <c r="D38" s="572" t="s">
        <v>8048</v>
      </c>
      <c r="E38" s="572" t="s">
        <v>7941</v>
      </c>
      <c r="F38" s="576" t="s">
        <v>641</v>
      </c>
      <c r="G38" s="575"/>
      <c r="H38" s="574"/>
      <c r="I38" s="574">
        <v>36.225000000000001</v>
      </c>
      <c r="J38" s="573"/>
      <c r="K38" s="573"/>
      <c r="L38" s="572"/>
      <c r="M38" s="571"/>
      <c r="N38" s="571" t="s">
        <v>399</v>
      </c>
      <c r="O38" s="200" t="str">
        <f>A38&amp;B38&amp;C38</f>
        <v>4842Thozen - Electra</v>
      </c>
    </row>
    <row r="39" spans="1:15" ht="25.5" x14ac:dyDescent="0.2">
      <c r="A39" s="570" t="s">
        <v>8123</v>
      </c>
      <c r="B39" s="569" t="s">
        <v>7260</v>
      </c>
      <c r="C39" s="568" t="s">
        <v>8049</v>
      </c>
      <c r="D39" s="567" t="s">
        <v>8048</v>
      </c>
      <c r="E39" s="567" t="s">
        <v>8122</v>
      </c>
      <c r="F39" s="513" t="s">
        <v>1105</v>
      </c>
      <c r="G39" s="513">
        <v>3.15</v>
      </c>
      <c r="H39" s="515">
        <v>11.5</v>
      </c>
      <c r="I39" s="515">
        <v>36.225000000000001</v>
      </c>
      <c r="J39" s="514"/>
      <c r="K39" s="514"/>
      <c r="L39" s="567"/>
      <c r="M39" s="566"/>
      <c r="N39" s="566"/>
    </row>
    <row r="40" spans="1:15" ht="25.5" x14ac:dyDescent="0.2">
      <c r="A40" s="579" t="s">
        <v>7897</v>
      </c>
      <c r="B40" s="578" t="s">
        <v>7260</v>
      </c>
      <c r="C40" s="577" t="s">
        <v>399</v>
      </c>
      <c r="D40" s="572" t="s">
        <v>8048</v>
      </c>
      <c r="E40" s="572" t="s">
        <v>7896</v>
      </c>
      <c r="F40" s="576" t="s">
        <v>641</v>
      </c>
      <c r="G40" s="575"/>
      <c r="H40" s="574"/>
      <c r="I40" s="574">
        <v>6.4589999999999996</v>
      </c>
      <c r="J40" s="573"/>
      <c r="K40" s="573"/>
      <c r="L40" s="572"/>
      <c r="M40" s="571"/>
      <c r="N40" s="571" t="s">
        <v>1376</v>
      </c>
      <c r="O40" s="200" t="str">
        <f>A40&amp;B40&amp;C40</f>
        <v>90541Thozen - Electra</v>
      </c>
    </row>
    <row r="41" spans="1:15" ht="25.5" x14ac:dyDescent="0.2">
      <c r="A41" s="570" t="s">
        <v>8118</v>
      </c>
      <c r="B41" s="569" t="s">
        <v>7260</v>
      </c>
      <c r="C41" s="568" t="s">
        <v>8049</v>
      </c>
      <c r="D41" s="567" t="s">
        <v>8048</v>
      </c>
      <c r="E41" s="567" t="s">
        <v>8117</v>
      </c>
      <c r="F41" s="513" t="s">
        <v>1246</v>
      </c>
      <c r="G41" s="513">
        <v>3.3E-3</v>
      </c>
      <c r="H41" s="515">
        <v>480</v>
      </c>
      <c r="I41" s="515">
        <v>1.5840000000000001</v>
      </c>
      <c r="J41" s="514"/>
      <c r="K41" s="514"/>
      <c r="L41" s="567"/>
      <c r="M41" s="566"/>
      <c r="N41" s="566"/>
    </row>
    <row r="42" spans="1:15" ht="25.5" x14ac:dyDescent="0.2">
      <c r="A42" s="565" t="s">
        <v>8121</v>
      </c>
      <c r="B42" s="564" t="s">
        <v>7260</v>
      </c>
      <c r="C42" s="563" t="s">
        <v>8049</v>
      </c>
      <c r="D42" s="562" t="s">
        <v>8048</v>
      </c>
      <c r="E42" s="562" t="s">
        <v>8120</v>
      </c>
      <c r="F42" s="520" t="s">
        <v>1145</v>
      </c>
      <c r="G42" s="520">
        <v>0.625</v>
      </c>
      <c r="H42" s="522">
        <v>7.8</v>
      </c>
      <c r="I42" s="522">
        <v>4.875</v>
      </c>
      <c r="J42" s="521"/>
      <c r="K42" s="521"/>
      <c r="L42" s="562"/>
      <c r="M42" s="561"/>
      <c r="N42" s="561"/>
    </row>
    <row r="43" spans="1:15" ht="25.5" x14ac:dyDescent="0.2">
      <c r="A43" s="579" t="s">
        <v>7894</v>
      </c>
      <c r="B43" s="578" t="s">
        <v>7260</v>
      </c>
      <c r="C43" s="577" t="s">
        <v>399</v>
      </c>
      <c r="D43" s="572" t="s">
        <v>8048</v>
      </c>
      <c r="E43" s="572" t="s">
        <v>7893</v>
      </c>
      <c r="F43" s="576" t="s">
        <v>641</v>
      </c>
      <c r="G43" s="575"/>
      <c r="H43" s="574"/>
      <c r="I43" s="574">
        <v>5.5020000000000007</v>
      </c>
      <c r="J43" s="573"/>
      <c r="K43" s="573"/>
      <c r="L43" s="572"/>
      <c r="M43" s="571"/>
      <c r="N43" s="571" t="s">
        <v>1376</v>
      </c>
      <c r="O43" s="200" t="str">
        <f>A43&amp;B43&amp;C43</f>
        <v>90507Thozen - Electra</v>
      </c>
    </row>
    <row r="44" spans="1:15" ht="25.5" x14ac:dyDescent="0.2">
      <c r="A44" s="570" t="s">
        <v>8061</v>
      </c>
      <c r="B44" s="569" t="s">
        <v>7260</v>
      </c>
      <c r="C44" s="568" t="s">
        <v>8049</v>
      </c>
      <c r="D44" s="567" t="s">
        <v>8048</v>
      </c>
      <c r="E44" s="567" t="s">
        <v>8060</v>
      </c>
      <c r="F44" s="513" t="s">
        <v>1701</v>
      </c>
      <c r="G44" s="513">
        <v>4.2</v>
      </c>
      <c r="H44" s="515">
        <v>1.31</v>
      </c>
      <c r="I44" s="515">
        <v>5.5020000000000007</v>
      </c>
      <c r="J44" s="514"/>
      <c r="K44" s="514"/>
      <c r="L44" s="567"/>
      <c r="M44" s="566"/>
      <c r="N44" s="566"/>
    </row>
    <row r="45" spans="1:15" ht="25.5" x14ac:dyDescent="0.2">
      <c r="A45" s="579" t="s">
        <v>7891</v>
      </c>
      <c r="B45" s="578" t="s">
        <v>7260</v>
      </c>
      <c r="C45" s="577" t="s">
        <v>399</v>
      </c>
      <c r="D45" s="572" t="s">
        <v>8048</v>
      </c>
      <c r="E45" s="572" t="s">
        <v>7890</v>
      </c>
      <c r="F45" s="576" t="s">
        <v>641</v>
      </c>
      <c r="G45" s="575"/>
      <c r="H45" s="574"/>
      <c r="I45" s="574">
        <v>18.048000000000002</v>
      </c>
      <c r="J45" s="573"/>
      <c r="K45" s="573"/>
      <c r="L45" s="572"/>
      <c r="M45" s="571"/>
      <c r="N45" s="571" t="s">
        <v>8119</v>
      </c>
      <c r="O45" s="200" t="str">
        <f>A45&amp;B45&amp;C45</f>
        <v>4861Thozen - Electra</v>
      </c>
    </row>
    <row r="46" spans="1:15" ht="25.5" x14ac:dyDescent="0.2">
      <c r="A46" s="570" t="s">
        <v>8118</v>
      </c>
      <c r="B46" s="569" t="s">
        <v>7260</v>
      </c>
      <c r="C46" s="568" t="s">
        <v>8049</v>
      </c>
      <c r="D46" s="567" t="s">
        <v>8048</v>
      </c>
      <c r="E46" s="567" t="s">
        <v>8117</v>
      </c>
      <c r="F46" s="513" t="s">
        <v>1246</v>
      </c>
      <c r="G46" s="513">
        <v>3.7600000000000001E-2</v>
      </c>
      <c r="H46" s="515">
        <v>480</v>
      </c>
      <c r="I46" s="515">
        <v>18.048000000000002</v>
      </c>
      <c r="J46" s="514"/>
      <c r="K46" s="514"/>
      <c r="L46" s="567"/>
      <c r="M46" s="566"/>
      <c r="N46" s="566"/>
    </row>
    <row r="47" spans="1:15" ht="25.5" x14ac:dyDescent="0.2">
      <c r="A47" s="579" t="s">
        <v>7886</v>
      </c>
      <c r="B47" s="578" t="s">
        <v>7260</v>
      </c>
      <c r="C47" s="577" t="s">
        <v>399</v>
      </c>
      <c r="D47" s="572" t="s">
        <v>8048</v>
      </c>
      <c r="E47" s="572" t="s">
        <v>7885</v>
      </c>
      <c r="F47" s="576" t="s">
        <v>641</v>
      </c>
      <c r="G47" s="575"/>
      <c r="H47" s="574"/>
      <c r="I47" s="574">
        <v>35</v>
      </c>
      <c r="J47" s="573"/>
      <c r="K47" s="573"/>
      <c r="L47" s="572"/>
      <c r="M47" s="571"/>
      <c r="N47" s="571" t="s">
        <v>399</v>
      </c>
      <c r="O47" s="200" t="str">
        <f>A47&amp;B47&amp;C47</f>
        <v>4865Thozen - Electra</v>
      </c>
    </row>
    <row r="48" spans="1:15" ht="25.5" x14ac:dyDescent="0.2">
      <c r="A48" s="570" t="s">
        <v>8116</v>
      </c>
      <c r="B48" s="569" t="s">
        <v>7260</v>
      </c>
      <c r="C48" s="568" t="s">
        <v>8049</v>
      </c>
      <c r="D48" s="567" t="s">
        <v>8048</v>
      </c>
      <c r="E48" s="567" t="s">
        <v>8115</v>
      </c>
      <c r="F48" s="513" t="s">
        <v>641</v>
      </c>
      <c r="G48" s="513">
        <v>1</v>
      </c>
      <c r="H48" s="515">
        <v>35</v>
      </c>
      <c r="I48" s="515">
        <v>35</v>
      </c>
      <c r="J48" s="514"/>
      <c r="K48" s="514"/>
      <c r="L48" s="567"/>
      <c r="M48" s="566"/>
      <c r="N48" s="566"/>
    </row>
    <row r="49" spans="1:15" ht="25.5" x14ac:dyDescent="0.2">
      <c r="A49" s="579" t="s">
        <v>7858</v>
      </c>
      <c r="B49" s="578" t="s">
        <v>7260</v>
      </c>
      <c r="C49" s="577" t="s">
        <v>399</v>
      </c>
      <c r="D49" s="572" t="s">
        <v>8048</v>
      </c>
      <c r="E49" s="572" t="s">
        <v>7857</v>
      </c>
      <c r="F49" s="576" t="s">
        <v>641</v>
      </c>
      <c r="G49" s="575"/>
      <c r="H49" s="574"/>
      <c r="I49" s="574">
        <v>97.430075000000002</v>
      </c>
      <c r="J49" s="573"/>
      <c r="K49" s="573"/>
      <c r="L49" s="572"/>
      <c r="M49" s="571"/>
      <c r="N49" s="571" t="s">
        <v>399</v>
      </c>
      <c r="O49" s="200" t="str">
        <f>A49&amp;B49&amp;C49</f>
        <v>4899Thozen - Electra</v>
      </c>
    </row>
    <row r="50" spans="1:15" ht="25.5" x14ac:dyDescent="0.2">
      <c r="A50" s="570" t="s">
        <v>8083</v>
      </c>
      <c r="B50" s="569" t="s">
        <v>7260</v>
      </c>
      <c r="C50" s="568" t="s">
        <v>8049</v>
      </c>
      <c r="D50" s="567" t="s">
        <v>8048</v>
      </c>
      <c r="E50" s="567" t="s">
        <v>8082</v>
      </c>
      <c r="F50" s="513" t="s">
        <v>1105</v>
      </c>
      <c r="G50" s="513">
        <v>9</v>
      </c>
      <c r="H50" s="515">
        <v>2.3450000000000002</v>
      </c>
      <c r="I50" s="515">
        <v>21.105</v>
      </c>
      <c r="J50" s="514"/>
      <c r="K50" s="514"/>
      <c r="L50" s="567"/>
      <c r="M50" s="566"/>
      <c r="N50" s="566"/>
    </row>
    <row r="51" spans="1:15" ht="25.5" x14ac:dyDescent="0.2">
      <c r="A51" s="565" t="s">
        <v>8099</v>
      </c>
      <c r="B51" s="564" t="s">
        <v>7260</v>
      </c>
      <c r="C51" s="563" t="s">
        <v>8049</v>
      </c>
      <c r="D51" s="562" t="s">
        <v>8048</v>
      </c>
      <c r="E51" s="562" t="s">
        <v>8098</v>
      </c>
      <c r="F51" s="520" t="s">
        <v>533</v>
      </c>
      <c r="G51" s="520">
        <v>4</v>
      </c>
      <c r="H51" s="522">
        <v>0.2</v>
      </c>
      <c r="I51" s="522">
        <v>0.8</v>
      </c>
      <c r="J51" s="521"/>
      <c r="K51" s="521"/>
      <c r="L51" s="562"/>
      <c r="M51" s="561"/>
      <c r="N51" s="561"/>
    </row>
    <row r="52" spans="1:15" ht="25.5" x14ac:dyDescent="0.2">
      <c r="A52" s="570" t="s">
        <v>8079</v>
      </c>
      <c r="B52" s="569" t="s">
        <v>7260</v>
      </c>
      <c r="C52" s="568" t="s">
        <v>8049</v>
      </c>
      <c r="D52" s="567" t="s">
        <v>8048</v>
      </c>
      <c r="E52" s="567" t="s">
        <v>8078</v>
      </c>
      <c r="F52" s="513" t="s">
        <v>641</v>
      </c>
      <c r="G52" s="513">
        <v>0.25</v>
      </c>
      <c r="H52" s="515">
        <v>2.0642999999999998</v>
      </c>
      <c r="I52" s="515">
        <v>0.51607499999999995</v>
      </c>
      <c r="J52" s="514"/>
      <c r="K52" s="514"/>
      <c r="L52" s="567"/>
      <c r="M52" s="566"/>
      <c r="N52" s="566"/>
    </row>
    <row r="53" spans="1:15" ht="25.5" x14ac:dyDescent="0.2">
      <c r="A53" s="565" t="s">
        <v>8114</v>
      </c>
      <c r="B53" s="564" t="s">
        <v>7260</v>
      </c>
      <c r="C53" s="563" t="s">
        <v>8049</v>
      </c>
      <c r="D53" s="562" t="s">
        <v>8048</v>
      </c>
      <c r="E53" s="562" t="s">
        <v>8113</v>
      </c>
      <c r="F53" s="520" t="s">
        <v>641</v>
      </c>
      <c r="G53" s="520">
        <v>1.1000000000000001</v>
      </c>
      <c r="H53" s="522">
        <v>68.19</v>
      </c>
      <c r="I53" s="522">
        <v>75.009</v>
      </c>
      <c r="J53" s="521"/>
      <c r="K53" s="521"/>
      <c r="L53" s="562"/>
      <c r="M53" s="561"/>
      <c r="N53" s="561"/>
    </row>
    <row r="54" spans="1:15" ht="25.5" x14ac:dyDescent="0.2">
      <c r="A54" s="579" t="s">
        <v>7853</v>
      </c>
      <c r="B54" s="578" t="s">
        <v>7260</v>
      </c>
      <c r="C54" s="577" t="s">
        <v>399</v>
      </c>
      <c r="D54" s="572" t="s">
        <v>8048</v>
      </c>
      <c r="E54" s="572" t="s">
        <v>7852</v>
      </c>
      <c r="F54" s="576" t="s">
        <v>1242</v>
      </c>
      <c r="G54" s="575"/>
      <c r="H54" s="574"/>
      <c r="I54" s="574">
        <v>623.4138999999999</v>
      </c>
      <c r="J54" s="573"/>
      <c r="K54" s="573"/>
      <c r="L54" s="572"/>
      <c r="M54" s="571"/>
      <c r="N54" s="571" t="s">
        <v>8112</v>
      </c>
      <c r="O54" s="200" t="str">
        <f>A54&amp;B54&amp;C54</f>
        <v>90511Thozen - Electra</v>
      </c>
    </row>
    <row r="55" spans="1:15" ht="25.5" x14ac:dyDescent="0.2">
      <c r="A55" s="570" t="s">
        <v>8083</v>
      </c>
      <c r="B55" s="569" t="s">
        <v>7260</v>
      </c>
      <c r="C55" s="568" t="s">
        <v>8049</v>
      </c>
      <c r="D55" s="567" t="s">
        <v>8048</v>
      </c>
      <c r="E55" s="567" t="s">
        <v>8082</v>
      </c>
      <c r="F55" s="513" t="s">
        <v>1105</v>
      </c>
      <c r="G55" s="513">
        <v>8.6199999999999992</v>
      </c>
      <c r="H55" s="515">
        <v>2.3450000000000002</v>
      </c>
      <c r="I55" s="515">
        <v>20.213899999999999</v>
      </c>
      <c r="J55" s="514"/>
      <c r="K55" s="514"/>
      <c r="L55" s="567"/>
      <c r="M55" s="566"/>
      <c r="N55" s="566"/>
    </row>
    <row r="56" spans="1:15" ht="25.5" x14ac:dyDescent="0.2">
      <c r="A56" s="565" t="s">
        <v>8081</v>
      </c>
      <c r="B56" s="564" t="s">
        <v>7260</v>
      </c>
      <c r="C56" s="563" t="s">
        <v>8049</v>
      </c>
      <c r="D56" s="562" t="s">
        <v>8048</v>
      </c>
      <c r="E56" s="562" t="s">
        <v>8080</v>
      </c>
      <c r="F56" s="520" t="s">
        <v>641</v>
      </c>
      <c r="G56" s="520">
        <v>1.1599999999999999</v>
      </c>
      <c r="H56" s="522">
        <v>520</v>
      </c>
      <c r="I56" s="522">
        <v>603.19999999999993</v>
      </c>
      <c r="J56" s="521"/>
      <c r="K56" s="521"/>
      <c r="L56" s="562"/>
      <c r="M56" s="561"/>
      <c r="N56" s="561"/>
    </row>
    <row r="57" spans="1:15" ht="25.5" x14ac:dyDescent="0.2">
      <c r="A57" s="579" t="s">
        <v>7848</v>
      </c>
      <c r="B57" s="578" t="s">
        <v>7260</v>
      </c>
      <c r="C57" s="577" t="s">
        <v>399</v>
      </c>
      <c r="D57" s="572" t="s">
        <v>8048</v>
      </c>
      <c r="E57" s="572" t="s">
        <v>7847</v>
      </c>
      <c r="F57" s="576" t="s">
        <v>1242</v>
      </c>
      <c r="G57" s="575"/>
      <c r="H57" s="574"/>
      <c r="I57" s="574">
        <v>623.4138999999999</v>
      </c>
      <c r="J57" s="573"/>
      <c r="K57" s="573"/>
      <c r="L57" s="572"/>
      <c r="M57" s="571"/>
      <c r="N57" s="571" t="s">
        <v>8112</v>
      </c>
      <c r="O57" s="200" t="str">
        <f>A57&amp;B57&amp;C57</f>
        <v>4902Thozen - Electra</v>
      </c>
    </row>
    <row r="58" spans="1:15" ht="25.5" x14ac:dyDescent="0.2">
      <c r="A58" s="570" t="s">
        <v>8083</v>
      </c>
      <c r="B58" s="569" t="s">
        <v>7260</v>
      </c>
      <c r="C58" s="568" t="s">
        <v>8049</v>
      </c>
      <c r="D58" s="567" t="s">
        <v>8048</v>
      </c>
      <c r="E58" s="567" t="s">
        <v>8082</v>
      </c>
      <c r="F58" s="513" t="s">
        <v>1105</v>
      </c>
      <c r="G58" s="513">
        <v>8.6199999999999992</v>
      </c>
      <c r="H58" s="515">
        <v>2.3450000000000002</v>
      </c>
      <c r="I58" s="515">
        <v>20.213899999999999</v>
      </c>
      <c r="J58" s="514"/>
      <c r="K58" s="514"/>
      <c r="L58" s="567"/>
      <c r="M58" s="566"/>
      <c r="N58" s="566"/>
    </row>
    <row r="59" spans="1:15" ht="25.5" x14ac:dyDescent="0.2">
      <c r="A59" s="565" t="s">
        <v>8081</v>
      </c>
      <c r="B59" s="564" t="s">
        <v>7260</v>
      </c>
      <c r="C59" s="563" t="s">
        <v>8049</v>
      </c>
      <c r="D59" s="562" t="s">
        <v>8048</v>
      </c>
      <c r="E59" s="562" t="s">
        <v>8080</v>
      </c>
      <c r="F59" s="520" t="s">
        <v>641</v>
      </c>
      <c r="G59" s="520">
        <v>1.1599999999999999</v>
      </c>
      <c r="H59" s="522">
        <v>520</v>
      </c>
      <c r="I59" s="522">
        <v>603.19999999999993</v>
      </c>
      <c r="J59" s="521"/>
      <c r="K59" s="521"/>
      <c r="L59" s="562"/>
      <c r="M59" s="561"/>
      <c r="N59" s="561"/>
    </row>
    <row r="60" spans="1:15" ht="25.5" x14ac:dyDescent="0.2">
      <c r="A60" s="579" t="s">
        <v>7814</v>
      </c>
      <c r="B60" s="578" t="s">
        <v>7260</v>
      </c>
      <c r="C60" s="577" t="s">
        <v>399</v>
      </c>
      <c r="D60" s="572" t="s">
        <v>8048</v>
      </c>
      <c r="E60" s="572" t="s">
        <v>7813</v>
      </c>
      <c r="F60" s="576" t="s">
        <v>641</v>
      </c>
      <c r="G60" s="575"/>
      <c r="H60" s="574"/>
      <c r="I60" s="574">
        <v>126.4</v>
      </c>
      <c r="J60" s="573"/>
      <c r="K60" s="573"/>
      <c r="L60" s="572"/>
      <c r="M60" s="571"/>
      <c r="N60" s="571" t="s">
        <v>8109</v>
      </c>
      <c r="O60" s="200" t="str">
        <f>A60&amp;B60&amp;C60</f>
        <v>4872Thozen - Electra</v>
      </c>
    </row>
    <row r="61" spans="1:15" ht="25.5" x14ac:dyDescent="0.2">
      <c r="A61" s="570" t="s">
        <v>8111</v>
      </c>
      <c r="B61" s="569" t="s">
        <v>7260</v>
      </c>
      <c r="C61" s="568" t="s">
        <v>8049</v>
      </c>
      <c r="D61" s="567" t="s">
        <v>8048</v>
      </c>
      <c r="E61" s="567" t="s">
        <v>8110</v>
      </c>
      <c r="F61" s="513" t="s">
        <v>641</v>
      </c>
      <c r="G61" s="513">
        <v>1</v>
      </c>
      <c r="H61" s="515">
        <v>100</v>
      </c>
      <c r="I61" s="515">
        <v>100</v>
      </c>
      <c r="J61" s="514"/>
      <c r="K61" s="514"/>
      <c r="L61" s="567"/>
      <c r="M61" s="566"/>
      <c r="N61" s="566"/>
    </row>
    <row r="62" spans="1:15" ht="25.5" x14ac:dyDescent="0.2">
      <c r="A62" s="565" t="s">
        <v>8106</v>
      </c>
      <c r="B62" s="564" t="s">
        <v>7260</v>
      </c>
      <c r="C62" s="563" t="s">
        <v>8049</v>
      </c>
      <c r="D62" s="562" t="s">
        <v>8048</v>
      </c>
      <c r="E62" s="562" t="s">
        <v>8105</v>
      </c>
      <c r="F62" s="520" t="s">
        <v>787</v>
      </c>
      <c r="G62" s="520">
        <v>1.2</v>
      </c>
      <c r="H62" s="522">
        <v>22</v>
      </c>
      <c r="I62" s="522">
        <v>26.4</v>
      </c>
      <c r="J62" s="521"/>
      <c r="K62" s="521"/>
      <c r="L62" s="562"/>
      <c r="M62" s="561"/>
      <c r="N62" s="561"/>
    </row>
    <row r="63" spans="1:15" ht="25.5" x14ac:dyDescent="0.2">
      <c r="A63" s="579" t="s">
        <v>7811</v>
      </c>
      <c r="B63" s="578" t="s">
        <v>7260</v>
      </c>
      <c r="C63" s="577" t="s">
        <v>399</v>
      </c>
      <c r="D63" s="572" t="s">
        <v>8048</v>
      </c>
      <c r="E63" s="572" t="s">
        <v>7810</v>
      </c>
      <c r="F63" s="576" t="s">
        <v>787</v>
      </c>
      <c r="G63" s="575"/>
      <c r="H63" s="574"/>
      <c r="I63" s="574">
        <v>22</v>
      </c>
      <c r="J63" s="573"/>
      <c r="K63" s="573"/>
      <c r="L63" s="572"/>
      <c r="M63" s="571"/>
      <c r="N63" s="571" t="s">
        <v>399</v>
      </c>
      <c r="O63" s="200" t="str">
        <f>A63&amp;B63&amp;C63</f>
        <v>4876Thozen - Electra</v>
      </c>
    </row>
    <row r="64" spans="1:15" ht="25.5" x14ac:dyDescent="0.2">
      <c r="A64" s="570" t="s">
        <v>8106</v>
      </c>
      <c r="B64" s="569" t="s">
        <v>7260</v>
      </c>
      <c r="C64" s="568" t="s">
        <v>8049</v>
      </c>
      <c r="D64" s="567" t="s">
        <v>8048</v>
      </c>
      <c r="E64" s="567" t="s">
        <v>8105</v>
      </c>
      <c r="F64" s="513" t="s">
        <v>787</v>
      </c>
      <c r="G64" s="513">
        <v>1</v>
      </c>
      <c r="H64" s="515">
        <v>22</v>
      </c>
      <c r="I64" s="515">
        <v>22</v>
      </c>
      <c r="J64" s="514"/>
      <c r="K64" s="514"/>
      <c r="L64" s="567"/>
      <c r="M64" s="566"/>
      <c r="N64" s="566"/>
    </row>
    <row r="65" spans="1:15" ht="25.5" x14ac:dyDescent="0.2">
      <c r="A65" s="579" t="s">
        <v>7618</v>
      </c>
      <c r="B65" s="578" t="s">
        <v>7260</v>
      </c>
      <c r="C65" s="577" t="s">
        <v>399</v>
      </c>
      <c r="D65" s="572" t="s">
        <v>8048</v>
      </c>
      <c r="E65" s="572" t="s">
        <v>7617</v>
      </c>
      <c r="F65" s="576" t="s">
        <v>641</v>
      </c>
      <c r="G65" s="575"/>
      <c r="H65" s="574"/>
      <c r="I65" s="574">
        <v>9.1710359999999991</v>
      </c>
      <c r="J65" s="573"/>
      <c r="K65" s="573"/>
      <c r="L65" s="572"/>
      <c r="M65" s="571"/>
      <c r="N65" s="571" t="s">
        <v>8070</v>
      </c>
      <c r="O65" s="200" t="str">
        <f>A65&amp;B65&amp;C65</f>
        <v>1481Thozen - Electra</v>
      </c>
    </row>
    <row r="66" spans="1:15" ht="25.5" x14ac:dyDescent="0.2">
      <c r="A66" s="570" t="s">
        <v>8052</v>
      </c>
      <c r="B66" s="569" t="s">
        <v>7260</v>
      </c>
      <c r="C66" s="568" t="s">
        <v>8049</v>
      </c>
      <c r="D66" s="567" t="s">
        <v>8048</v>
      </c>
      <c r="E66" s="567" t="s">
        <v>8051</v>
      </c>
      <c r="F66" s="513" t="s">
        <v>1105</v>
      </c>
      <c r="G66" s="513">
        <v>1.1073999999999999</v>
      </c>
      <c r="H66" s="515">
        <v>7.23</v>
      </c>
      <c r="I66" s="515">
        <v>8.0065019999999993</v>
      </c>
      <c r="J66" s="514"/>
      <c r="K66" s="514"/>
      <c r="L66" s="567"/>
      <c r="M66" s="566"/>
      <c r="N66" s="566"/>
    </row>
    <row r="67" spans="1:15" ht="25.5" x14ac:dyDescent="0.2">
      <c r="A67" s="565" t="s">
        <v>8057</v>
      </c>
      <c r="B67" s="564" t="s">
        <v>7260</v>
      </c>
      <c r="C67" s="563" t="s">
        <v>8049</v>
      </c>
      <c r="D67" s="562" t="s">
        <v>8048</v>
      </c>
      <c r="E67" s="562" t="s">
        <v>8056</v>
      </c>
      <c r="F67" s="520" t="s">
        <v>8046</v>
      </c>
      <c r="G67" s="520">
        <v>0.1666</v>
      </c>
      <c r="H67" s="522">
        <v>6.99</v>
      </c>
      <c r="I67" s="522">
        <v>1.164534</v>
      </c>
      <c r="J67" s="521"/>
      <c r="K67" s="521"/>
      <c r="L67" s="562"/>
      <c r="M67" s="561"/>
      <c r="N67" s="561"/>
    </row>
    <row r="68" spans="1:15" ht="25.5" x14ac:dyDescent="0.2">
      <c r="A68" s="579" t="s">
        <v>7817</v>
      </c>
      <c r="B68" s="578" t="s">
        <v>7260</v>
      </c>
      <c r="C68" s="577" t="s">
        <v>399</v>
      </c>
      <c r="D68" s="572" t="s">
        <v>8048</v>
      </c>
      <c r="E68" s="572" t="s">
        <v>7816</v>
      </c>
      <c r="F68" s="576" t="s">
        <v>641</v>
      </c>
      <c r="G68" s="575"/>
      <c r="H68" s="574"/>
      <c r="I68" s="574">
        <v>136.4</v>
      </c>
      <c r="J68" s="573"/>
      <c r="K68" s="573"/>
      <c r="L68" s="572"/>
      <c r="M68" s="571"/>
      <c r="N68" s="571" t="s">
        <v>8109</v>
      </c>
      <c r="O68" s="200" t="str">
        <f>A68&amp;B68&amp;C68</f>
        <v>4873Thozen - Electra</v>
      </c>
    </row>
    <row r="69" spans="1:15" ht="25.5" x14ac:dyDescent="0.2">
      <c r="A69" s="570" t="s">
        <v>8108</v>
      </c>
      <c r="B69" s="569" t="s">
        <v>7260</v>
      </c>
      <c r="C69" s="568" t="s">
        <v>8049</v>
      </c>
      <c r="D69" s="567" t="s">
        <v>8048</v>
      </c>
      <c r="E69" s="567" t="s">
        <v>8107</v>
      </c>
      <c r="F69" s="513" t="s">
        <v>641</v>
      </c>
      <c r="G69" s="513">
        <v>1</v>
      </c>
      <c r="H69" s="515">
        <v>110</v>
      </c>
      <c r="I69" s="515">
        <v>110</v>
      </c>
      <c r="J69" s="514"/>
      <c r="K69" s="514"/>
      <c r="L69" s="567"/>
      <c r="M69" s="566"/>
      <c r="N69" s="566"/>
    </row>
    <row r="70" spans="1:15" ht="25.5" x14ac:dyDescent="0.2">
      <c r="A70" s="565" t="s">
        <v>8106</v>
      </c>
      <c r="B70" s="564" t="s">
        <v>7260</v>
      </c>
      <c r="C70" s="563" t="s">
        <v>8049</v>
      </c>
      <c r="D70" s="562" t="s">
        <v>8048</v>
      </c>
      <c r="E70" s="562" t="s">
        <v>8105</v>
      </c>
      <c r="F70" s="520" t="s">
        <v>787</v>
      </c>
      <c r="G70" s="520">
        <v>1.2</v>
      </c>
      <c r="H70" s="522">
        <v>22</v>
      </c>
      <c r="I70" s="522">
        <v>26.4</v>
      </c>
      <c r="J70" s="521"/>
      <c r="K70" s="521"/>
      <c r="L70" s="562"/>
      <c r="M70" s="561"/>
      <c r="N70" s="561"/>
    </row>
    <row r="71" spans="1:15" ht="25.5" x14ac:dyDescent="0.2">
      <c r="A71" s="579" t="s">
        <v>7786</v>
      </c>
      <c r="B71" s="578" t="s">
        <v>7260</v>
      </c>
      <c r="C71" s="577" t="s">
        <v>399</v>
      </c>
      <c r="D71" s="572" t="s">
        <v>8048</v>
      </c>
      <c r="E71" s="572" t="s">
        <v>585</v>
      </c>
      <c r="F71" s="576" t="s">
        <v>641</v>
      </c>
      <c r="G71" s="575"/>
      <c r="H71" s="574"/>
      <c r="I71" s="574">
        <v>26.4</v>
      </c>
      <c r="J71" s="573"/>
      <c r="K71" s="573"/>
      <c r="L71" s="572"/>
      <c r="M71" s="571"/>
      <c r="N71" s="571" t="s">
        <v>8104</v>
      </c>
      <c r="O71" s="200" t="str">
        <f>A71&amp;B71&amp;C71</f>
        <v>60Thozen - Electra</v>
      </c>
    </row>
    <row r="72" spans="1:15" ht="25.5" x14ac:dyDescent="0.2">
      <c r="A72" s="570" t="s">
        <v>8103</v>
      </c>
      <c r="B72" s="569" t="s">
        <v>7260</v>
      </c>
      <c r="C72" s="568" t="s">
        <v>8049</v>
      </c>
      <c r="D72" s="567" t="s">
        <v>8048</v>
      </c>
      <c r="E72" s="567" t="s">
        <v>8102</v>
      </c>
      <c r="F72" s="513" t="s">
        <v>151</v>
      </c>
      <c r="G72" s="513">
        <v>5.5E-2</v>
      </c>
      <c r="H72" s="515">
        <v>480</v>
      </c>
      <c r="I72" s="515">
        <v>26.4</v>
      </c>
      <c r="J72" s="514"/>
      <c r="K72" s="514"/>
      <c r="L72" s="567"/>
      <c r="M72" s="566"/>
      <c r="N72" s="566"/>
    </row>
    <row r="73" spans="1:15" ht="25.5" x14ac:dyDescent="0.2">
      <c r="A73" s="579" t="s">
        <v>7782</v>
      </c>
      <c r="B73" s="578" t="s">
        <v>7260</v>
      </c>
      <c r="C73" s="577" t="s">
        <v>399</v>
      </c>
      <c r="D73" s="572" t="s">
        <v>8048</v>
      </c>
      <c r="E73" s="572" t="s">
        <v>7781</v>
      </c>
      <c r="F73" s="576" t="s">
        <v>641</v>
      </c>
      <c r="G73" s="575"/>
      <c r="H73" s="574"/>
      <c r="I73" s="574">
        <v>32</v>
      </c>
      <c r="J73" s="573"/>
      <c r="K73" s="573"/>
      <c r="L73" s="572"/>
      <c r="M73" s="571"/>
      <c r="N73" s="571" t="s">
        <v>399</v>
      </c>
      <c r="O73" s="200" t="str">
        <f>A73&amp;B73&amp;C73</f>
        <v>4863Thozen - Electra</v>
      </c>
    </row>
    <row r="74" spans="1:15" ht="25.5" x14ac:dyDescent="0.2">
      <c r="A74" s="570" t="s">
        <v>8101</v>
      </c>
      <c r="B74" s="569" t="s">
        <v>7260</v>
      </c>
      <c r="C74" s="568" t="s">
        <v>8049</v>
      </c>
      <c r="D74" s="567" t="s">
        <v>8048</v>
      </c>
      <c r="E74" s="567" t="s">
        <v>8100</v>
      </c>
      <c r="F74" s="513" t="s">
        <v>641</v>
      </c>
      <c r="G74" s="513">
        <v>1</v>
      </c>
      <c r="H74" s="515">
        <v>32</v>
      </c>
      <c r="I74" s="515">
        <v>32</v>
      </c>
      <c r="J74" s="514"/>
      <c r="K74" s="514"/>
      <c r="L74" s="567"/>
      <c r="M74" s="566"/>
      <c r="N74" s="566"/>
    </row>
    <row r="75" spans="1:15" ht="25.5" x14ac:dyDescent="0.2">
      <c r="A75" s="579" t="s">
        <v>7721</v>
      </c>
      <c r="B75" s="578" t="s">
        <v>7260</v>
      </c>
      <c r="C75" s="577" t="s">
        <v>399</v>
      </c>
      <c r="D75" s="572" t="s">
        <v>8048</v>
      </c>
      <c r="E75" s="572" t="s">
        <v>7720</v>
      </c>
      <c r="F75" s="576" t="s">
        <v>641</v>
      </c>
      <c r="G75" s="575"/>
      <c r="H75" s="574"/>
      <c r="I75" s="574">
        <v>93.871700000000004</v>
      </c>
      <c r="J75" s="573"/>
      <c r="K75" s="573"/>
      <c r="L75" s="572"/>
      <c r="M75" s="571"/>
      <c r="N75" s="571" t="s">
        <v>399</v>
      </c>
      <c r="O75" s="200" t="str">
        <f>A75&amp;B75&amp;C75</f>
        <v>4883Thozen - Electra</v>
      </c>
    </row>
    <row r="76" spans="1:15" ht="25.5" x14ac:dyDescent="0.2">
      <c r="A76" s="570" t="s">
        <v>8083</v>
      </c>
      <c r="B76" s="569" t="s">
        <v>7260</v>
      </c>
      <c r="C76" s="568" t="s">
        <v>8049</v>
      </c>
      <c r="D76" s="567" t="s">
        <v>8048</v>
      </c>
      <c r="E76" s="567" t="s">
        <v>8082</v>
      </c>
      <c r="F76" s="513" t="s">
        <v>1105</v>
      </c>
      <c r="G76" s="513">
        <v>9</v>
      </c>
      <c r="H76" s="515">
        <v>2.3450000000000002</v>
      </c>
      <c r="I76" s="515">
        <v>21.105</v>
      </c>
      <c r="J76" s="514"/>
      <c r="K76" s="514"/>
      <c r="L76" s="567"/>
      <c r="M76" s="566"/>
      <c r="N76" s="566"/>
    </row>
    <row r="77" spans="1:15" ht="25.5" x14ac:dyDescent="0.2">
      <c r="A77" s="565" t="s">
        <v>8099</v>
      </c>
      <c r="B77" s="564" t="s">
        <v>7260</v>
      </c>
      <c r="C77" s="563" t="s">
        <v>8049</v>
      </c>
      <c r="D77" s="562" t="s">
        <v>8048</v>
      </c>
      <c r="E77" s="562" t="s">
        <v>8098</v>
      </c>
      <c r="F77" s="520" t="s">
        <v>533</v>
      </c>
      <c r="G77" s="520">
        <v>4</v>
      </c>
      <c r="H77" s="522">
        <v>0.2</v>
      </c>
      <c r="I77" s="522">
        <v>0.8</v>
      </c>
      <c r="J77" s="521"/>
      <c r="K77" s="521"/>
      <c r="L77" s="562"/>
      <c r="M77" s="561"/>
      <c r="N77" s="561"/>
    </row>
    <row r="78" spans="1:15" ht="25.5" x14ac:dyDescent="0.2">
      <c r="A78" s="570" t="s">
        <v>8085</v>
      </c>
      <c r="B78" s="569" t="s">
        <v>7260</v>
      </c>
      <c r="C78" s="568" t="s">
        <v>8049</v>
      </c>
      <c r="D78" s="567" t="s">
        <v>8048</v>
      </c>
      <c r="E78" s="567" t="s">
        <v>8084</v>
      </c>
      <c r="F78" s="513" t="s">
        <v>641</v>
      </c>
      <c r="G78" s="513">
        <v>1.1000000000000001</v>
      </c>
      <c r="H78" s="515">
        <v>65</v>
      </c>
      <c r="I78" s="515">
        <v>71.5</v>
      </c>
      <c r="J78" s="514"/>
      <c r="K78" s="514"/>
      <c r="L78" s="567"/>
      <c r="M78" s="566"/>
      <c r="N78" s="566"/>
    </row>
    <row r="79" spans="1:15" ht="25.5" x14ac:dyDescent="0.2">
      <c r="A79" s="565" t="s">
        <v>8097</v>
      </c>
      <c r="B79" s="564" t="s">
        <v>7260</v>
      </c>
      <c r="C79" s="563" t="s">
        <v>8049</v>
      </c>
      <c r="D79" s="562" t="s">
        <v>8048</v>
      </c>
      <c r="E79" s="562" t="s">
        <v>8096</v>
      </c>
      <c r="F79" s="520" t="s">
        <v>1105</v>
      </c>
      <c r="G79" s="520">
        <v>0.13</v>
      </c>
      <c r="H79" s="522">
        <v>3.59</v>
      </c>
      <c r="I79" s="522">
        <v>0.4667</v>
      </c>
      <c r="J79" s="521"/>
      <c r="K79" s="521"/>
      <c r="L79" s="562"/>
      <c r="M79" s="561"/>
      <c r="N79" s="561"/>
    </row>
    <row r="80" spans="1:15" ht="25.5" x14ac:dyDescent="0.2">
      <c r="A80" s="579" t="s">
        <v>7703</v>
      </c>
      <c r="B80" s="578" t="s">
        <v>7260</v>
      </c>
      <c r="C80" s="577" t="s">
        <v>399</v>
      </c>
      <c r="D80" s="572" t="s">
        <v>8048</v>
      </c>
      <c r="E80" s="572" t="s">
        <v>7702</v>
      </c>
      <c r="F80" s="576" t="s">
        <v>787</v>
      </c>
      <c r="G80" s="575"/>
      <c r="H80" s="574"/>
      <c r="I80" s="574">
        <v>82.225796819999999</v>
      </c>
      <c r="J80" s="573"/>
      <c r="K80" s="573"/>
      <c r="L80" s="572"/>
      <c r="M80" s="571"/>
      <c r="N80" s="571" t="s">
        <v>399</v>
      </c>
      <c r="O80" s="200" t="str">
        <f>A80&amp;B80&amp;C80</f>
        <v>90521Thozen - Electra</v>
      </c>
    </row>
    <row r="81" spans="1:15" ht="25.5" x14ac:dyDescent="0.2">
      <c r="A81" s="570" t="s">
        <v>8093</v>
      </c>
      <c r="B81" s="569" t="s">
        <v>7260</v>
      </c>
      <c r="C81" s="568" t="s">
        <v>8049</v>
      </c>
      <c r="D81" s="567" t="s">
        <v>8048</v>
      </c>
      <c r="E81" s="567" t="s">
        <v>8092</v>
      </c>
      <c r="F81" s="513" t="s">
        <v>533</v>
      </c>
      <c r="G81" s="513">
        <v>2.5</v>
      </c>
      <c r="H81" s="515">
        <v>1.99</v>
      </c>
      <c r="I81" s="515">
        <v>4.9749999999999996</v>
      </c>
      <c r="J81" s="514"/>
      <c r="K81" s="514"/>
      <c r="L81" s="567"/>
      <c r="M81" s="566"/>
      <c r="N81" s="566"/>
    </row>
    <row r="82" spans="1:15" ht="25.5" x14ac:dyDescent="0.2">
      <c r="A82" s="565" t="s">
        <v>8091</v>
      </c>
      <c r="B82" s="564" t="s">
        <v>7260</v>
      </c>
      <c r="C82" s="563" t="s">
        <v>8049</v>
      </c>
      <c r="D82" s="562" t="s">
        <v>8048</v>
      </c>
      <c r="E82" s="562" t="s">
        <v>8090</v>
      </c>
      <c r="F82" s="520" t="s">
        <v>1105</v>
      </c>
      <c r="G82" s="520">
        <v>6.9400000000000003E-2</v>
      </c>
      <c r="H82" s="522">
        <v>5.0403000000000002</v>
      </c>
      <c r="I82" s="522">
        <v>0.34979682000000001</v>
      </c>
      <c r="J82" s="521"/>
      <c r="K82" s="521"/>
      <c r="L82" s="562"/>
      <c r="M82" s="561"/>
      <c r="N82" s="561"/>
    </row>
    <row r="83" spans="1:15" ht="25.5" x14ac:dyDescent="0.2">
      <c r="A83" s="570" t="s">
        <v>8095</v>
      </c>
      <c r="B83" s="569" t="s">
        <v>7260</v>
      </c>
      <c r="C83" s="568" t="s">
        <v>8049</v>
      </c>
      <c r="D83" s="567" t="s">
        <v>8048</v>
      </c>
      <c r="E83" s="567" t="s">
        <v>8094</v>
      </c>
      <c r="F83" s="513" t="s">
        <v>787</v>
      </c>
      <c r="G83" s="513">
        <v>1.1000000000000001</v>
      </c>
      <c r="H83" s="515">
        <v>69.91</v>
      </c>
      <c r="I83" s="515">
        <v>76.900999999999996</v>
      </c>
      <c r="J83" s="514"/>
      <c r="K83" s="514"/>
      <c r="L83" s="567"/>
      <c r="M83" s="566"/>
      <c r="N83" s="566"/>
    </row>
    <row r="84" spans="1:15" ht="25.5" x14ac:dyDescent="0.2">
      <c r="A84" s="579" t="s">
        <v>7706</v>
      </c>
      <c r="B84" s="578" t="s">
        <v>7260</v>
      </c>
      <c r="C84" s="577" t="s">
        <v>399</v>
      </c>
      <c r="D84" s="572" t="s">
        <v>8048</v>
      </c>
      <c r="E84" s="572" t="s">
        <v>7705</v>
      </c>
      <c r="F84" s="576" t="s">
        <v>787</v>
      </c>
      <c r="G84" s="575"/>
      <c r="H84" s="574"/>
      <c r="I84" s="574">
        <v>17.655796819999999</v>
      </c>
      <c r="J84" s="573"/>
      <c r="K84" s="573"/>
      <c r="L84" s="572"/>
      <c r="M84" s="571"/>
      <c r="N84" s="571" t="s">
        <v>399</v>
      </c>
      <c r="O84" s="200" t="str">
        <f>A84&amp;B84&amp;C84</f>
        <v>4882Thozen - Electra</v>
      </c>
    </row>
    <row r="85" spans="1:15" ht="25.5" x14ac:dyDescent="0.2">
      <c r="A85" s="570" t="s">
        <v>8093</v>
      </c>
      <c r="B85" s="569" t="s">
        <v>7260</v>
      </c>
      <c r="C85" s="568" t="s">
        <v>8049</v>
      </c>
      <c r="D85" s="567" t="s">
        <v>8048</v>
      </c>
      <c r="E85" s="567" t="s">
        <v>8092</v>
      </c>
      <c r="F85" s="513" t="s">
        <v>533</v>
      </c>
      <c r="G85" s="513">
        <v>2.5</v>
      </c>
      <c r="H85" s="515">
        <v>1.99</v>
      </c>
      <c r="I85" s="515">
        <v>4.9749999999999996</v>
      </c>
      <c r="J85" s="514"/>
      <c r="K85" s="514"/>
      <c r="L85" s="567"/>
      <c r="M85" s="566"/>
      <c r="N85" s="566"/>
    </row>
    <row r="86" spans="1:15" ht="25.5" x14ac:dyDescent="0.2">
      <c r="A86" s="565" t="s">
        <v>8091</v>
      </c>
      <c r="B86" s="564" t="s">
        <v>7260</v>
      </c>
      <c r="C86" s="563" t="s">
        <v>8049</v>
      </c>
      <c r="D86" s="562" t="s">
        <v>8048</v>
      </c>
      <c r="E86" s="562" t="s">
        <v>8090</v>
      </c>
      <c r="F86" s="520" t="s">
        <v>1105</v>
      </c>
      <c r="G86" s="520">
        <v>6.9400000000000003E-2</v>
      </c>
      <c r="H86" s="522">
        <v>5.0403000000000002</v>
      </c>
      <c r="I86" s="522">
        <v>0.34979682000000001</v>
      </c>
      <c r="J86" s="521"/>
      <c r="K86" s="521"/>
      <c r="L86" s="562"/>
      <c r="M86" s="561"/>
      <c r="N86" s="561"/>
    </row>
    <row r="87" spans="1:15" ht="25.5" x14ac:dyDescent="0.2">
      <c r="A87" s="570" t="s">
        <v>8089</v>
      </c>
      <c r="B87" s="569" t="s">
        <v>7260</v>
      </c>
      <c r="C87" s="568" t="s">
        <v>8049</v>
      </c>
      <c r="D87" s="567" t="s">
        <v>8048</v>
      </c>
      <c r="E87" s="567" t="s">
        <v>8088</v>
      </c>
      <c r="F87" s="513" t="s">
        <v>787</v>
      </c>
      <c r="G87" s="513">
        <v>1.1000000000000001</v>
      </c>
      <c r="H87" s="515">
        <v>11.21</v>
      </c>
      <c r="I87" s="515">
        <v>12.331000000000001</v>
      </c>
      <c r="J87" s="514"/>
      <c r="K87" s="514"/>
      <c r="L87" s="567"/>
      <c r="M87" s="566"/>
      <c r="N87" s="566"/>
    </row>
    <row r="88" spans="1:15" ht="25.5" x14ac:dyDescent="0.2">
      <c r="A88" s="579" t="s">
        <v>7700</v>
      </c>
      <c r="B88" s="578" t="s">
        <v>7260</v>
      </c>
      <c r="C88" s="577" t="s">
        <v>399</v>
      </c>
      <c r="D88" s="572" t="s">
        <v>8048</v>
      </c>
      <c r="E88" s="572" t="s">
        <v>7699</v>
      </c>
      <c r="F88" s="576" t="s">
        <v>787</v>
      </c>
      <c r="G88" s="575"/>
      <c r="H88" s="574"/>
      <c r="I88" s="574">
        <v>9.7339012000000018</v>
      </c>
      <c r="J88" s="573"/>
      <c r="K88" s="573"/>
      <c r="L88" s="572"/>
      <c r="M88" s="571"/>
      <c r="N88" s="571" t="s">
        <v>399</v>
      </c>
      <c r="O88" s="200" t="str">
        <f>A88&amp;B88&amp;C88</f>
        <v>4891Thozen - Electra</v>
      </c>
    </row>
    <row r="89" spans="1:15" ht="25.5" x14ac:dyDescent="0.2">
      <c r="A89" s="570" t="s">
        <v>8083</v>
      </c>
      <c r="B89" s="569" t="s">
        <v>7260</v>
      </c>
      <c r="C89" s="568" t="s">
        <v>8049</v>
      </c>
      <c r="D89" s="567" t="s">
        <v>8048</v>
      </c>
      <c r="E89" s="567" t="s">
        <v>8082</v>
      </c>
      <c r="F89" s="513" t="s">
        <v>1105</v>
      </c>
      <c r="G89" s="513">
        <v>0.9</v>
      </c>
      <c r="H89" s="515">
        <v>2.3450000000000002</v>
      </c>
      <c r="I89" s="515">
        <v>2.1105</v>
      </c>
      <c r="J89" s="514"/>
      <c r="K89" s="514"/>
      <c r="L89" s="567"/>
      <c r="M89" s="566"/>
      <c r="N89" s="566"/>
    </row>
    <row r="90" spans="1:15" ht="25.5" x14ac:dyDescent="0.2">
      <c r="A90" s="565" t="s">
        <v>8087</v>
      </c>
      <c r="B90" s="564" t="s">
        <v>7260</v>
      </c>
      <c r="C90" s="563" t="s">
        <v>8049</v>
      </c>
      <c r="D90" s="562" t="s">
        <v>8048</v>
      </c>
      <c r="E90" s="562" t="s">
        <v>8086</v>
      </c>
      <c r="F90" s="520" t="s">
        <v>533</v>
      </c>
      <c r="G90" s="520">
        <v>2</v>
      </c>
      <c r="H90" s="522">
        <v>0.15</v>
      </c>
      <c r="I90" s="522">
        <v>0.3</v>
      </c>
      <c r="J90" s="521"/>
      <c r="K90" s="521"/>
      <c r="L90" s="562"/>
      <c r="M90" s="561"/>
      <c r="N90" s="561"/>
    </row>
    <row r="91" spans="1:15" ht="25.5" x14ac:dyDescent="0.2">
      <c r="A91" s="570" t="s">
        <v>8085</v>
      </c>
      <c r="B91" s="569" t="s">
        <v>7260</v>
      </c>
      <c r="C91" s="568" t="s">
        <v>8049</v>
      </c>
      <c r="D91" s="567" t="s">
        <v>8048</v>
      </c>
      <c r="E91" s="567" t="s">
        <v>8084</v>
      </c>
      <c r="F91" s="513" t="s">
        <v>641</v>
      </c>
      <c r="G91" s="513">
        <v>0.11</v>
      </c>
      <c r="H91" s="515">
        <v>65</v>
      </c>
      <c r="I91" s="515">
        <v>7.15</v>
      </c>
      <c r="J91" s="514"/>
      <c r="K91" s="514"/>
      <c r="L91" s="567"/>
      <c r="M91" s="566"/>
      <c r="N91" s="566"/>
    </row>
    <row r="92" spans="1:15" ht="25.5" x14ac:dyDescent="0.2">
      <c r="A92" s="565" t="s">
        <v>8079</v>
      </c>
      <c r="B92" s="564" t="s">
        <v>7260</v>
      </c>
      <c r="C92" s="563" t="s">
        <v>8049</v>
      </c>
      <c r="D92" s="562" t="s">
        <v>8048</v>
      </c>
      <c r="E92" s="562" t="s">
        <v>8078</v>
      </c>
      <c r="F92" s="520" t="s">
        <v>641</v>
      </c>
      <c r="G92" s="520">
        <v>8.4000000000000005E-2</v>
      </c>
      <c r="H92" s="522">
        <v>2.0642999999999998</v>
      </c>
      <c r="I92" s="522">
        <v>0.17340120000000001</v>
      </c>
      <c r="J92" s="521"/>
      <c r="K92" s="521"/>
      <c r="L92" s="562"/>
      <c r="M92" s="561"/>
      <c r="N92" s="561"/>
    </row>
    <row r="93" spans="1:15" ht="25.5" x14ac:dyDescent="0.2">
      <c r="A93" s="579" t="s">
        <v>7691</v>
      </c>
      <c r="B93" s="578" t="s">
        <v>7260</v>
      </c>
      <c r="C93" s="577" t="s">
        <v>399</v>
      </c>
      <c r="D93" s="572" t="s">
        <v>8048</v>
      </c>
      <c r="E93" s="572" t="s">
        <v>7690</v>
      </c>
      <c r="F93" s="576" t="s">
        <v>641</v>
      </c>
      <c r="G93" s="575"/>
      <c r="H93" s="574"/>
      <c r="I93" s="574">
        <v>593.64171799999997</v>
      </c>
      <c r="J93" s="573"/>
      <c r="K93" s="573"/>
      <c r="L93" s="572"/>
      <c r="M93" s="571"/>
      <c r="N93" s="571" t="s">
        <v>399</v>
      </c>
      <c r="O93" s="200" t="str">
        <f>A93&amp;B93&amp;C93</f>
        <v>4898Thozen - Electra</v>
      </c>
    </row>
    <row r="94" spans="1:15" ht="25.5" x14ac:dyDescent="0.2">
      <c r="A94" s="570" t="s">
        <v>8083</v>
      </c>
      <c r="B94" s="569" t="s">
        <v>7260</v>
      </c>
      <c r="C94" s="568" t="s">
        <v>8049</v>
      </c>
      <c r="D94" s="567" t="s">
        <v>8048</v>
      </c>
      <c r="E94" s="567" t="s">
        <v>8082</v>
      </c>
      <c r="F94" s="513" t="s">
        <v>1105</v>
      </c>
      <c r="G94" s="513">
        <v>9</v>
      </c>
      <c r="H94" s="515">
        <v>2.3450000000000002</v>
      </c>
      <c r="I94" s="515">
        <v>21.105</v>
      </c>
      <c r="J94" s="514"/>
      <c r="K94" s="514"/>
      <c r="L94" s="567"/>
      <c r="M94" s="566"/>
      <c r="N94" s="566"/>
    </row>
    <row r="95" spans="1:15" ht="25.5" x14ac:dyDescent="0.2">
      <c r="A95" s="565" t="s">
        <v>8081</v>
      </c>
      <c r="B95" s="564" t="s">
        <v>7260</v>
      </c>
      <c r="C95" s="563" t="s">
        <v>8049</v>
      </c>
      <c r="D95" s="562" t="s">
        <v>8048</v>
      </c>
      <c r="E95" s="562" t="s">
        <v>8080</v>
      </c>
      <c r="F95" s="520" t="s">
        <v>641</v>
      </c>
      <c r="G95" s="520">
        <v>1.1000000000000001</v>
      </c>
      <c r="H95" s="522">
        <v>520</v>
      </c>
      <c r="I95" s="522">
        <v>572</v>
      </c>
      <c r="J95" s="521"/>
      <c r="K95" s="521"/>
      <c r="L95" s="562"/>
      <c r="M95" s="561"/>
      <c r="N95" s="561"/>
    </row>
    <row r="96" spans="1:15" ht="25.5" x14ac:dyDescent="0.2">
      <c r="A96" s="570" t="s">
        <v>8079</v>
      </c>
      <c r="B96" s="569" t="s">
        <v>7260</v>
      </c>
      <c r="C96" s="568" t="s">
        <v>8049</v>
      </c>
      <c r="D96" s="567" t="s">
        <v>8048</v>
      </c>
      <c r="E96" s="567" t="s">
        <v>8078</v>
      </c>
      <c r="F96" s="513" t="s">
        <v>641</v>
      </c>
      <c r="G96" s="513">
        <v>0.26</v>
      </c>
      <c r="H96" s="515">
        <v>2.0642999999999998</v>
      </c>
      <c r="I96" s="515">
        <v>0.53671799999999992</v>
      </c>
      <c r="J96" s="514"/>
      <c r="K96" s="514"/>
      <c r="L96" s="567"/>
      <c r="M96" s="566"/>
      <c r="N96" s="566"/>
    </row>
    <row r="97" spans="1:15" ht="25.5" x14ac:dyDescent="0.2">
      <c r="A97" s="579" t="s">
        <v>7638</v>
      </c>
      <c r="B97" s="578" t="s">
        <v>7260</v>
      </c>
      <c r="C97" s="577" t="s">
        <v>399</v>
      </c>
      <c r="D97" s="572" t="s">
        <v>8048</v>
      </c>
      <c r="E97" s="572" t="s">
        <v>7637</v>
      </c>
      <c r="F97" s="576" t="s">
        <v>641</v>
      </c>
      <c r="G97" s="575"/>
      <c r="H97" s="574"/>
      <c r="I97" s="574">
        <v>11.9703</v>
      </c>
      <c r="J97" s="573"/>
      <c r="K97" s="573"/>
      <c r="L97" s="572"/>
      <c r="M97" s="571"/>
      <c r="N97" s="571" t="s">
        <v>8077</v>
      </c>
      <c r="O97" s="200" t="str">
        <f>A97&amp;B97&amp;C97</f>
        <v>90559Thozen - Electra</v>
      </c>
    </row>
    <row r="98" spans="1:15" ht="25.5" x14ac:dyDescent="0.2">
      <c r="A98" s="570" t="s">
        <v>8072</v>
      </c>
      <c r="B98" s="569" t="s">
        <v>7260</v>
      </c>
      <c r="C98" s="568" t="s">
        <v>8049</v>
      </c>
      <c r="D98" s="567" t="s">
        <v>8048</v>
      </c>
      <c r="E98" s="567" t="s">
        <v>8071</v>
      </c>
      <c r="F98" s="513" t="s">
        <v>196</v>
      </c>
      <c r="G98" s="513">
        <v>0.1</v>
      </c>
      <c r="H98" s="515">
        <v>18.48</v>
      </c>
      <c r="I98" s="515">
        <v>1.8480000000000001</v>
      </c>
      <c r="J98" s="514"/>
      <c r="K98" s="514"/>
      <c r="L98" s="567"/>
      <c r="M98" s="566"/>
      <c r="N98" s="566"/>
    </row>
    <row r="99" spans="1:15" ht="25.5" x14ac:dyDescent="0.2">
      <c r="A99" s="565" t="s">
        <v>8076</v>
      </c>
      <c r="B99" s="564" t="s">
        <v>7260</v>
      </c>
      <c r="C99" s="563" t="s">
        <v>8049</v>
      </c>
      <c r="D99" s="562" t="s">
        <v>8048</v>
      </c>
      <c r="E99" s="562" t="s">
        <v>8075</v>
      </c>
      <c r="F99" s="520" t="s">
        <v>1105</v>
      </c>
      <c r="G99" s="520">
        <v>0.88019999999999998</v>
      </c>
      <c r="H99" s="522">
        <v>11.5</v>
      </c>
      <c r="I99" s="522">
        <v>10.122299999999999</v>
      </c>
      <c r="J99" s="521"/>
      <c r="K99" s="521"/>
      <c r="L99" s="562"/>
      <c r="M99" s="561"/>
      <c r="N99" s="561"/>
    </row>
    <row r="100" spans="1:15" ht="25.5" x14ac:dyDescent="0.2">
      <c r="A100" s="579" t="s">
        <v>7635</v>
      </c>
      <c r="B100" s="578" t="s">
        <v>7260</v>
      </c>
      <c r="C100" s="577" t="s">
        <v>399</v>
      </c>
      <c r="D100" s="572" t="s">
        <v>8048</v>
      </c>
      <c r="E100" s="572" t="s">
        <v>7634</v>
      </c>
      <c r="F100" s="576" t="s">
        <v>641</v>
      </c>
      <c r="G100" s="575"/>
      <c r="H100" s="574"/>
      <c r="I100" s="574">
        <v>20.0353125</v>
      </c>
      <c r="J100" s="573"/>
      <c r="K100" s="573"/>
      <c r="L100" s="572"/>
      <c r="M100" s="571"/>
      <c r="N100" s="571" t="s">
        <v>8074</v>
      </c>
      <c r="O100" s="200" t="str">
        <f>A100&amp;B100&amp;C100</f>
        <v>4926Thozen - Electra</v>
      </c>
    </row>
    <row r="101" spans="1:15" ht="25.5" x14ac:dyDescent="0.2">
      <c r="A101" s="570" t="s">
        <v>8059</v>
      </c>
      <c r="B101" s="569" t="s">
        <v>7260</v>
      </c>
      <c r="C101" s="568" t="s">
        <v>8049</v>
      </c>
      <c r="D101" s="567" t="s">
        <v>8048</v>
      </c>
      <c r="E101" s="567" t="s">
        <v>8058</v>
      </c>
      <c r="F101" s="513" t="s">
        <v>8046</v>
      </c>
      <c r="G101" s="513">
        <v>0.34275</v>
      </c>
      <c r="H101" s="515">
        <v>36.67</v>
      </c>
      <c r="I101" s="515">
        <v>12.568642500000001</v>
      </c>
      <c r="J101" s="514"/>
      <c r="K101" s="514"/>
      <c r="L101" s="567"/>
      <c r="M101" s="566"/>
      <c r="N101" s="566"/>
    </row>
    <row r="102" spans="1:15" ht="25.5" x14ac:dyDescent="0.2">
      <c r="A102" s="565" t="s">
        <v>8055</v>
      </c>
      <c r="B102" s="564" t="s">
        <v>7260</v>
      </c>
      <c r="C102" s="563" t="s">
        <v>8049</v>
      </c>
      <c r="D102" s="562" t="s">
        <v>8048</v>
      </c>
      <c r="E102" s="562" t="s">
        <v>8054</v>
      </c>
      <c r="F102" s="520" t="s">
        <v>1105</v>
      </c>
      <c r="G102" s="520">
        <v>1.3389</v>
      </c>
      <c r="H102" s="522">
        <v>3.6</v>
      </c>
      <c r="I102" s="522">
        <v>4.8200399999999997</v>
      </c>
      <c r="J102" s="521"/>
      <c r="K102" s="521"/>
      <c r="L102" s="562"/>
      <c r="M102" s="561"/>
      <c r="N102" s="561"/>
    </row>
    <row r="103" spans="1:15" ht="25.5" x14ac:dyDescent="0.2">
      <c r="A103" s="570" t="s">
        <v>8057</v>
      </c>
      <c r="B103" s="569" t="s">
        <v>7260</v>
      </c>
      <c r="C103" s="568" t="s">
        <v>8049</v>
      </c>
      <c r="D103" s="567" t="s">
        <v>8048</v>
      </c>
      <c r="E103" s="567" t="s">
        <v>8056</v>
      </c>
      <c r="F103" s="513" t="s">
        <v>8046</v>
      </c>
      <c r="G103" s="513">
        <v>0.1666</v>
      </c>
      <c r="H103" s="515">
        <v>6.99</v>
      </c>
      <c r="I103" s="515">
        <v>1.164534</v>
      </c>
      <c r="J103" s="514"/>
      <c r="K103" s="514"/>
      <c r="L103" s="567"/>
      <c r="M103" s="566"/>
      <c r="N103" s="566"/>
    </row>
    <row r="104" spans="1:15" ht="25.5" x14ac:dyDescent="0.2">
      <c r="A104" s="565" t="s">
        <v>8072</v>
      </c>
      <c r="B104" s="564" t="s">
        <v>7260</v>
      </c>
      <c r="C104" s="563" t="s">
        <v>8049</v>
      </c>
      <c r="D104" s="562" t="s">
        <v>8048</v>
      </c>
      <c r="E104" s="562" t="s">
        <v>8071</v>
      </c>
      <c r="F104" s="520" t="s">
        <v>196</v>
      </c>
      <c r="G104" s="520">
        <v>8.0199999999999994E-2</v>
      </c>
      <c r="H104" s="522">
        <v>18.48</v>
      </c>
      <c r="I104" s="522">
        <v>1.4820959999999999</v>
      </c>
      <c r="J104" s="521"/>
      <c r="K104" s="521"/>
      <c r="L104" s="562"/>
      <c r="M104" s="561"/>
      <c r="N104" s="561"/>
    </row>
    <row r="105" spans="1:15" ht="25.5" x14ac:dyDescent="0.2">
      <c r="A105" s="579" t="s">
        <v>7632</v>
      </c>
      <c r="B105" s="578" t="s">
        <v>7260</v>
      </c>
      <c r="C105" s="577" t="s">
        <v>399</v>
      </c>
      <c r="D105" s="572" t="s">
        <v>8048</v>
      </c>
      <c r="E105" s="572" t="s">
        <v>7631</v>
      </c>
      <c r="F105" s="576" t="s">
        <v>641</v>
      </c>
      <c r="G105" s="575"/>
      <c r="H105" s="574"/>
      <c r="I105" s="574">
        <v>1.3980000000000001</v>
      </c>
      <c r="J105" s="573"/>
      <c r="K105" s="573"/>
      <c r="L105" s="572"/>
      <c r="M105" s="571"/>
      <c r="N105" s="571" t="s">
        <v>399</v>
      </c>
      <c r="O105" s="200" t="str">
        <f>A105&amp;B105&amp;C105</f>
        <v>4924Thozen - Electra</v>
      </c>
    </row>
    <row r="106" spans="1:15" ht="25.5" x14ac:dyDescent="0.2">
      <c r="A106" s="570" t="s">
        <v>8057</v>
      </c>
      <c r="B106" s="569" t="s">
        <v>7260</v>
      </c>
      <c r="C106" s="568" t="s">
        <v>8049</v>
      </c>
      <c r="D106" s="567" t="s">
        <v>8048</v>
      </c>
      <c r="E106" s="567" t="s">
        <v>8056</v>
      </c>
      <c r="F106" s="513" t="s">
        <v>8046</v>
      </c>
      <c r="G106" s="513">
        <v>0.2</v>
      </c>
      <c r="H106" s="515">
        <v>6.99</v>
      </c>
      <c r="I106" s="515">
        <v>1.3980000000000001</v>
      </c>
      <c r="J106" s="514"/>
      <c r="K106" s="514"/>
      <c r="L106" s="567"/>
      <c r="M106" s="566"/>
      <c r="N106" s="566"/>
    </row>
    <row r="107" spans="1:15" ht="25.5" x14ac:dyDescent="0.2">
      <c r="A107" s="579" t="s">
        <v>7629</v>
      </c>
      <c r="B107" s="578" t="s">
        <v>7260</v>
      </c>
      <c r="C107" s="577" t="s">
        <v>399</v>
      </c>
      <c r="D107" s="572" t="s">
        <v>8048</v>
      </c>
      <c r="E107" s="572" t="s">
        <v>7628</v>
      </c>
      <c r="F107" s="576" t="s">
        <v>641</v>
      </c>
      <c r="G107" s="575"/>
      <c r="H107" s="574"/>
      <c r="I107" s="574">
        <v>9.2907000000000011</v>
      </c>
      <c r="J107" s="573"/>
      <c r="K107" s="573"/>
      <c r="L107" s="572"/>
      <c r="M107" s="571"/>
      <c r="N107" s="571" t="s">
        <v>8067</v>
      </c>
      <c r="O107" s="200" t="str">
        <f>A107&amp;B107&amp;C107</f>
        <v>4927Thozen - Electra</v>
      </c>
    </row>
    <row r="108" spans="1:15" ht="25.5" x14ac:dyDescent="0.2">
      <c r="A108" s="570" t="s">
        <v>8052</v>
      </c>
      <c r="B108" s="569" t="s">
        <v>7260</v>
      </c>
      <c r="C108" s="568" t="s">
        <v>8049</v>
      </c>
      <c r="D108" s="567" t="s">
        <v>8048</v>
      </c>
      <c r="E108" s="567" t="s">
        <v>8051</v>
      </c>
      <c r="F108" s="513" t="s">
        <v>1105</v>
      </c>
      <c r="G108" s="513">
        <v>1.1399999999999999</v>
      </c>
      <c r="H108" s="515">
        <v>7.23</v>
      </c>
      <c r="I108" s="515">
        <v>8.2422000000000004</v>
      </c>
      <c r="J108" s="514"/>
      <c r="K108" s="514"/>
      <c r="L108" s="567"/>
      <c r="M108" s="566"/>
      <c r="N108" s="566"/>
    </row>
    <row r="109" spans="1:15" ht="25.5" x14ac:dyDescent="0.2">
      <c r="A109" s="565" t="s">
        <v>8057</v>
      </c>
      <c r="B109" s="564" t="s">
        <v>7260</v>
      </c>
      <c r="C109" s="563" t="s">
        <v>8049</v>
      </c>
      <c r="D109" s="562" t="s">
        <v>8048</v>
      </c>
      <c r="E109" s="562" t="s">
        <v>8056</v>
      </c>
      <c r="F109" s="520" t="s">
        <v>8046</v>
      </c>
      <c r="G109" s="520">
        <v>0.15</v>
      </c>
      <c r="H109" s="522">
        <v>6.99</v>
      </c>
      <c r="I109" s="522">
        <v>1.0485</v>
      </c>
      <c r="J109" s="521"/>
      <c r="K109" s="521"/>
      <c r="L109" s="562"/>
      <c r="M109" s="561"/>
      <c r="N109" s="561"/>
    </row>
    <row r="110" spans="1:15" ht="25.5" x14ac:dyDescent="0.2">
      <c r="A110" s="579" t="s">
        <v>7624</v>
      </c>
      <c r="B110" s="578" t="s">
        <v>7260</v>
      </c>
      <c r="C110" s="577" t="s">
        <v>399</v>
      </c>
      <c r="D110" s="572" t="s">
        <v>8048</v>
      </c>
      <c r="E110" s="572" t="s">
        <v>7623</v>
      </c>
      <c r="F110" s="576" t="s">
        <v>641</v>
      </c>
      <c r="G110" s="575"/>
      <c r="H110" s="574"/>
      <c r="I110" s="574">
        <v>2.8</v>
      </c>
      <c r="J110" s="573"/>
      <c r="K110" s="573"/>
      <c r="L110" s="572"/>
      <c r="M110" s="571"/>
      <c r="N110" s="571" t="s">
        <v>8070</v>
      </c>
      <c r="O110" s="200" t="str">
        <f>A110&amp;B110&amp;C110</f>
        <v>4929Thozen - Electra</v>
      </c>
    </row>
    <row r="111" spans="1:15" ht="25.5" x14ac:dyDescent="0.2">
      <c r="A111" s="570" t="s">
        <v>8073</v>
      </c>
      <c r="B111" s="569" t="s">
        <v>7260</v>
      </c>
      <c r="C111" s="568" t="s">
        <v>8049</v>
      </c>
      <c r="D111" s="567" t="s">
        <v>8048</v>
      </c>
      <c r="E111" s="567" t="s">
        <v>498</v>
      </c>
      <c r="F111" s="513" t="s">
        <v>533</v>
      </c>
      <c r="G111" s="513">
        <v>0.1</v>
      </c>
      <c r="H111" s="515">
        <v>2.8</v>
      </c>
      <c r="I111" s="515">
        <v>0.27999999999999997</v>
      </c>
      <c r="J111" s="514"/>
      <c r="K111" s="514"/>
      <c r="L111" s="567"/>
      <c r="M111" s="566"/>
      <c r="N111" s="566"/>
    </row>
    <row r="112" spans="1:15" ht="25.5" x14ac:dyDescent="0.2">
      <c r="A112" s="565" t="s">
        <v>8055</v>
      </c>
      <c r="B112" s="564" t="s">
        <v>7260</v>
      </c>
      <c r="C112" s="563" t="s">
        <v>8049</v>
      </c>
      <c r="D112" s="562" t="s">
        <v>8048</v>
      </c>
      <c r="E112" s="562" t="s">
        <v>8054</v>
      </c>
      <c r="F112" s="520" t="s">
        <v>1105</v>
      </c>
      <c r="G112" s="520">
        <v>0.7</v>
      </c>
      <c r="H112" s="522">
        <v>3.6</v>
      </c>
      <c r="I112" s="522">
        <v>2.52</v>
      </c>
      <c r="J112" s="521"/>
      <c r="K112" s="521"/>
      <c r="L112" s="562"/>
      <c r="M112" s="561"/>
      <c r="N112" s="561"/>
    </row>
    <row r="113" spans="1:15" ht="25.5" x14ac:dyDescent="0.2">
      <c r="A113" s="579" t="s">
        <v>7621</v>
      </c>
      <c r="B113" s="578" t="s">
        <v>7260</v>
      </c>
      <c r="C113" s="577" t="s">
        <v>399</v>
      </c>
      <c r="D113" s="572" t="s">
        <v>8048</v>
      </c>
      <c r="E113" s="572" t="s">
        <v>7620</v>
      </c>
      <c r="F113" s="576" t="s">
        <v>641</v>
      </c>
      <c r="G113" s="575"/>
      <c r="H113" s="574"/>
      <c r="I113" s="574">
        <v>20.033479</v>
      </c>
      <c r="J113" s="573"/>
      <c r="K113" s="573"/>
      <c r="L113" s="572"/>
      <c r="M113" s="571"/>
      <c r="N113" s="571" t="s">
        <v>8070</v>
      </c>
      <c r="O113" s="200" t="str">
        <f>A113&amp;B113&amp;C113</f>
        <v>4930Thozen - Electra</v>
      </c>
    </row>
    <row r="114" spans="1:15" ht="25.5" x14ac:dyDescent="0.2">
      <c r="A114" s="570" t="s">
        <v>8059</v>
      </c>
      <c r="B114" s="569" t="s">
        <v>7260</v>
      </c>
      <c r="C114" s="568" t="s">
        <v>8049</v>
      </c>
      <c r="D114" s="567" t="s">
        <v>8048</v>
      </c>
      <c r="E114" s="567" t="s">
        <v>8058</v>
      </c>
      <c r="F114" s="513" t="s">
        <v>8046</v>
      </c>
      <c r="G114" s="513">
        <v>0.3427</v>
      </c>
      <c r="H114" s="515">
        <v>36.67</v>
      </c>
      <c r="I114" s="515">
        <v>12.566809000000001</v>
      </c>
      <c r="J114" s="514"/>
      <c r="K114" s="514"/>
      <c r="L114" s="567"/>
      <c r="M114" s="566"/>
      <c r="N114" s="566"/>
    </row>
    <row r="115" spans="1:15" ht="25.5" x14ac:dyDescent="0.2">
      <c r="A115" s="565" t="s">
        <v>8055</v>
      </c>
      <c r="B115" s="564" t="s">
        <v>7260</v>
      </c>
      <c r="C115" s="563" t="s">
        <v>8049</v>
      </c>
      <c r="D115" s="562" t="s">
        <v>8048</v>
      </c>
      <c r="E115" s="562" t="s">
        <v>8054</v>
      </c>
      <c r="F115" s="520" t="s">
        <v>1105</v>
      </c>
      <c r="G115" s="520">
        <v>1.3389</v>
      </c>
      <c r="H115" s="522">
        <v>3.6</v>
      </c>
      <c r="I115" s="522">
        <v>4.8200399999999997</v>
      </c>
      <c r="J115" s="521"/>
      <c r="K115" s="521"/>
      <c r="L115" s="562"/>
      <c r="M115" s="561"/>
      <c r="N115" s="561"/>
    </row>
    <row r="116" spans="1:15" ht="25.5" x14ac:dyDescent="0.2">
      <c r="A116" s="570" t="s">
        <v>8057</v>
      </c>
      <c r="B116" s="569" t="s">
        <v>7260</v>
      </c>
      <c r="C116" s="568" t="s">
        <v>8049</v>
      </c>
      <c r="D116" s="567" t="s">
        <v>8048</v>
      </c>
      <c r="E116" s="567" t="s">
        <v>8056</v>
      </c>
      <c r="F116" s="513" t="s">
        <v>8046</v>
      </c>
      <c r="G116" s="513">
        <v>0.1666</v>
      </c>
      <c r="H116" s="515">
        <v>6.99</v>
      </c>
      <c r="I116" s="515">
        <v>1.164534</v>
      </c>
      <c r="J116" s="514"/>
      <c r="K116" s="514"/>
      <c r="L116" s="567"/>
      <c r="M116" s="566"/>
      <c r="N116" s="566"/>
    </row>
    <row r="117" spans="1:15" ht="25.5" x14ac:dyDescent="0.2">
      <c r="A117" s="565" t="s">
        <v>8072</v>
      </c>
      <c r="B117" s="564" t="s">
        <v>7260</v>
      </c>
      <c r="C117" s="563" t="s">
        <v>8049</v>
      </c>
      <c r="D117" s="562" t="s">
        <v>8048</v>
      </c>
      <c r="E117" s="562" t="s">
        <v>8071</v>
      </c>
      <c r="F117" s="520" t="s">
        <v>196</v>
      </c>
      <c r="G117" s="520">
        <v>8.0199999999999994E-2</v>
      </c>
      <c r="H117" s="522">
        <v>18.48</v>
      </c>
      <c r="I117" s="522">
        <v>1.4820959999999999</v>
      </c>
      <c r="J117" s="521"/>
      <c r="K117" s="521"/>
      <c r="L117" s="562"/>
      <c r="M117" s="561"/>
      <c r="N117" s="561"/>
    </row>
    <row r="118" spans="1:15" ht="25.5" x14ac:dyDescent="0.2">
      <c r="A118" s="579" t="s">
        <v>7615</v>
      </c>
      <c r="B118" s="578" t="s">
        <v>7260</v>
      </c>
      <c r="C118" s="577" t="s">
        <v>399</v>
      </c>
      <c r="D118" s="572" t="s">
        <v>8048</v>
      </c>
      <c r="E118" s="572" t="s">
        <v>7614</v>
      </c>
      <c r="F118" s="576" t="s">
        <v>641</v>
      </c>
      <c r="G118" s="575"/>
      <c r="H118" s="574"/>
      <c r="I118" s="574">
        <v>1.1184000000000001</v>
      </c>
      <c r="J118" s="573"/>
      <c r="K118" s="573"/>
      <c r="L118" s="572"/>
      <c r="M118" s="571"/>
      <c r="N118" s="571" t="s">
        <v>8070</v>
      </c>
      <c r="O118" s="200" t="str">
        <f>A118&amp;B118&amp;C118</f>
        <v>245Thozen - Electra</v>
      </c>
    </row>
    <row r="119" spans="1:15" ht="25.5" x14ac:dyDescent="0.2">
      <c r="A119" s="570" t="s">
        <v>8057</v>
      </c>
      <c r="B119" s="569" t="s">
        <v>7260</v>
      </c>
      <c r="C119" s="568" t="s">
        <v>8049</v>
      </c>
      <c r="D119" s="567" t="s">
        <v>8048</v>
      </c>
      <c r="E119" s="567" t="s">
        <v>8056</v>
      </c>
      <c r="F119" s="513" t="s">
        <v>8046</v>
      </c>
      <c r="G119" s="513">
        <v>0.16</v>
      </c>
      <c r="H119" s="515">
        <v>6.99</v>
      </c>
      <c r="I119" s="515">
        <v>1.1184000000000001</v>
      </c>
      <c r="J119" s="514"/>
      <c r="K119" s="514"/>
      <c r="L119" s="567"/>
      <c r="M119" s="566"/>
      <c r="N119" s="566"/>
    </row>
    <row r="120" spans="1:15" ht="25.5" x14ac:dyDescent="0.2">
      <c r="A120" s="579" t="s">
        <v>7608</v>
      </c>
      <c r="B120" s="578" t="s">
        <v>7260</v>
      </c>
      <c r="C120" s="577" t="s">
        <v>399</v>
      </c>
      <c r="D120" s="572" t="s">
        <v>8048</v>
      </c>
      <c r="E120" s="572" t="s">
        <v>7607</v>
      </c>
      <c r="F120" s="576" t="s">
        <v>641</v>
      </c>
      <c r="G120" s="575"/>
      <c r="H120" s="574"/>
      <c r="I120" s="574">
        <v>34</v>
      </c>
      <c r="J120" s="573"/>
      <c r="K120" s="573"/>
      <c r="L120" s="572"/>
      <c r="M120" s="571"/>
      <c r="N120" s="571" t="s">
        <v>399</v>
      </c>
      <c r="O120" s="200" t="str">
        <f>A120&amp;B120&amp;C120</f>
        <v>4937Thozen - Electra</v>
      </c>
    </row>
    <row r="121" spans="1:15" ht="25.5" x14ac:dyDescent="0.2">
      <c r="A121" s="570" t="s">
        <v>8069</v>
      </c>
      <c r="B121" s="569" t="s">
        <v>7260</v>
      </c>
      <c r="C121" s="568" t="s">
        <v>8049</v>
      </c>
      <c r="D121" s="567" t="s">
        <v>8048</v>
      </c>
      <c r="E121" s="567" t="s">
        <v>8068</v>
      </c>
      <c r="F121" s="513" t="s">
        <v>641</v>
      </c>
      <c r="G121" s="513">
        <v>1</v>
      </c>
      <c r="H121" s="515">
        <v>34</v>
      </c>
      <c r="I121" s="515">
        <v>34</v>
      </c>
      <c r="J121" s="514"/>
      <c r="K121" s="514"/>
      <c r="L121" s="567"/>
      <c r="M121" s="566"/>
      <c r="N121" s="566"/>
    </row>
    <row r="122" spans="1:15" ht="25.5" x14ac:dyDescent="0.2">
      <c r="A122" s="579" t="s">
        <v>7605</v>
      </c>
      <c r="B122" s="578" t="s">
        <v>7260</v>
      </c>
      <c r="C122" s="577" t="s">
        <v>399</v>
      </c>
      <c r="D122" s="572" t="s">
        <v>8048</v>
      </c>
      <c r="E122" s="572" t="s">
        <v>7604</v>
      </c>
      <c r="F122" s="576" t="s">
        <v>641</v>
      </c>
      <c r="G122" s="575"/>
      <c r="H122" s="574"/>
      <c r="I122" s="574">
        <v>41</v>
      </c>
      <c r="J122" s="573"/>
      <c r="K122" s="573"/>
      <c r="L122" s="572"/>
      <c r="M122" s="571"/>
      <c r="N122" s="571" t="s">
        <v>8067</v>
      </c>
      <c r="O122" s="200" t="str">
        <f>A122&amp;B122&amp;C122</f>
        <v>80040Thozen - Electra</v>
      </c>
    </row>
    <row r="123" spans="1:15" ht="25.5" x14ac:dyDescent="0.2">
      <c r="A123" s="570" t="s">
        <v>8066</v>
      </c>
      <c r="B123" s="569" t="s">
        <v>7260</v>
      </c>
      <c r="C123" s="568" t="s">
        <v>8049</v>
      </c>
      <c r="D123" s="567" t="s">
        <v>8048</v>
      </c>
      <c r="E123" s="567" t="s">
        <v>8065</v>
      </c>
      <c r="F123" s="513" t="s">
        <v>641</v>
      </c>
      <c r="G123" s="513">
        <v>1</v>
      </c>
      <c r="H123" s="515">
        <v>41</v>
      </c>
      <c r="I123" s="515">
        <v>41</v>
      </c>
      <c r="J123" s="514"/>
      <c r="K123" s="514"/>
      <c r="L123" s="567"/>
      <c r="M123" s="566"/>
      <c r="N123" s="566"/>
    </row>
    <row r="124" spans="1:15" ht="25.5" x14ac:dyDescent="0.2">
      <c r="A124" s="579" t="s">
        <v>7272</v>
      </c>
      <c r="B124" s="578" t="s">
        <v>7260</v>
      </c>
      <c r="C124" s="577" t="s">
        <v>399</v>
      </c>
      <c r="D124" s="572" t="s">
        <v>8048</v>
      </c>
      <c r="E124" s="572" t="s">
        <v>7271</v>
      </c>
      <c r="F124" s="576" t="s">
        <v>641</v>
      </c>
      <c r="G124" s="575"/>
      <c r="H124" s="574"/>
      <c r="I124" s="574">
        <v>1.3365</v>
      </c>
      <c r="J124" s="573"/>
      <c r="K124" s="573"/>
      <c r="L124" s="572"/>
      <c r="M124" s="571"/>
      <c r="N124" s="571" t="s">
        <v>8062</v>
      </c>
      <c r="O124" s="200" t="str">
        <f>A124&amp;B124&amp;C124</f>
        <v>42Thozen - Electra</v>
      </c>
    </row>
    <row r="125" spans="1:15" ht="25.5" x14ac:dyDescent="0.2">
      <c r="A125" s="570" t="s">
        <v>8064</v>
      </c>
      <c r="B125" s="569" t="s">
        <v>7260</v>
      </c>
      <c r="C125" s="568" t="s">
        <v>8049</v>
      </c>
      <c r="D125" s="567" t="s">
        <v>8048</v>
      </c>
      <c r="E125" s="567" t="s">
        <v>8063</v>
      </c>
      <c r="F125" s="513" t="s">
        <v>1246</v>
      </c>
      <c r="G125" s="513">
        <v>3.3E-3</v>
      </c>
      <c r="H125" s="515">
        <v>405</v>
      </c>
      <c r="I125" s="515">
        <v>1.3365</v>
      </c>
      <c r="J125" s="514"/>
      <c r="K125" s="514"/>
      <c r="L125" s="567"/>
      <c r="M125" s="566"/>
      <c r="N125" s="566"/>
    </row>
    <row r="126" spans="1:15" ht="25.5" x14ac:dyDescent="0.2">
      <c r="A126" s="579" t="s">
        <v>7269</v>
      </c>
      <c r="B126" s="578" t="s">
        <v>7260</v>
      </c>
      <c r="C126" s="577" t="s">
        <v>399</v>
      </c>
      <c r="D126" s="572" t="s">
        <v>8048</v>
      </c>
      <c r="E126" s="572" t="s">
        <v>7268</v>
      </c>
      <c r="F126" s="576" t="s">
        <v>641</v>
      </c>
      <c r="G126" s="575"/>
      <c r="H126" s="574"/>
      <c r="I126" s="574">
        <v>5.5020000000000007</v>
      </c>
      <c r="J126" s="573"/>
      <c r="K126" s="573"/>
      <c r="L126" s="572"/>
      <c r="M126" s="571"/>
      <c r="N126" s="571" t="s">
        <v>8062</v>
      </c>
      <c r="O126" s="200" t="str">
        <f>A126&amp;B126&amp;C126</f>
        <v>90546Thozen - Electra</v>
      </c>
    </row>
    <row r="127" spans="1:15" ht="25.5" x14ac:dyDescent="0.2">
      <c r="A127" s="570" t="s">
        <v>8061</v>
      </c>
      <c r="B127" s="569" t="s">
        <v>7260</v>
      </c>
      <c r="C127" s="568" t="s">
        <v>8049</v>
      </c>
      <c r="D127" s="567" t="s">
        <v>8048</v>
      </c>
      <c r="E127" s="567" t="s">
        <v>8060</v>
      </c>
      <c r="F127" s="513" t="s">
        <v>1701</v>
      </c>
      <c r="G127" s="513">
        <v>4.2</v>
      </c>
      <c r="H127" s="515">
        <v>1.31</v>
      </c>
      <c r="I127" s="515">
        <v>5.5020000000000007</v>
      </c>
      <c r="J127" s="514"/>
      <c r="K127" s="514"/>
      <c r="L127" s="567"/>
      <c r="M127" s="566"/>
      <c r="N127" s="566"/>
    </row>
    <row r="128" spans="1:15" ht="25.5" x14ac:dyDescent="0.2">
      <c r="A128" s="579" t="s">
        <v>7263</v>
      </c>
      <c r="B128" s="578" t="s">
        <v>7260</v>
      </c>
      <c r="C128" s="577" t="s">
        <v>399</v>
      </c>
      <c r="D128" s="572" t="s">
        <v>8048</v>
      </c>
      <c r="E128" s="572" t="s">
        <v>7262</v>
      </c>
      <c r="F128" s="576" t="s">
        <v>641</v>
      </c>
      <c r="G128" s="575"/>
      <c r="H128" s="574"/>
      <c r="I128" s="574">
        <v>17.209589999999999</v>
      </c>
      <c r="J128" s="573"/>
      <c r="K128" s="573"/>
      <c r="L128" s="572"/>
      <c r="M128" s="571"/>
      <c r="N128" s="571" t="s">
        <v>8053</v>
      </c>
      <c r="O128" s="200" t="str">
        <f>A128&amp;B128&amp;C128</f>
        <v>4979Thozen - Electra</v>
      </c>
    </row>
    <row r="129" spans="1:15" ht="25.5" x14ac:dyDescent="0.2">
      <c r="A129" s="570" t="s">
        <v>8059</v>
      </c>
      <c r="B129" s="569" t="s">
        <v>7260</v>
      </c>
      <c r="C129" s="568" t="s">
        <v>8049</v>
      </c>
      <c r="D129" s="567" t="s">
        <v>8048</v>
      </c>
      <c r="E129" s="567" t="s">
        <v>8058</v>
      </c>
      <c r="F129" s="513" t="s">
        <v>8046</v>
      </c>
      <c r="G129" s="513">
        <v>0.3</v>
      </c>
      <c r="H129" s="515">
        <v>36.67</v>
      </c>
      <c r="I129" s="515">
        <v>11.000999999999999</v>
      </c>
      <c r="J129" s="514"/>
      <c r="K129" s="514"/>
      <c r="L129" s="567"/>
      <c r="M129" s="566"/>
      <c r="N129" s="566"/>
    </row>
    <row r="130" spans="1:15" ht="25.5" x14ac:dyDescent="0.2">
      <c r="A130" s="565" t="s">
        <v>8057</v>
      </c>
      <c r="B130" s="564" t="s">
        <v>7260</v>
      </c>
      <c r="C130" s="563" t="s">
        <v>8049</v>
      </c>
      <c r="D130" s="562" t="s">
        <v>8048</v>
      </c>
      <c r="E130" s="562" t="s">
        <v>8056</v>
      </c>
      <c r="F130" s="520" t="s">
        <v>8046</v>
      </c>
      <c r="G130" s="520">
        <v>8.8999999999999996E-2</v>
      </c>
      <c r="H130" s="522">
        <v>6.99</v>
      </c>
      <c r="I130" s="522">
        <v>0.62210999999999994</v>
      </c>
      <c r="J130" s="521"/>
      <c r="K130" s="521"/>
      <c r="L130" s="562"/>
      <c r="M130" s="561"/>
      <c r="N130" s="561"/>
    </row>
    <row r="131" spans="1:15" ht="25.5" x14ac:dyDescent="0.2">
      <c r="A131" s="570" t="s">
        <v>8055</v>
      </c>
      <c r="B131" s="569" t="s">
        <v>7260</v>
      </c>
      <c r="C131" s="568" t="s">
        <v>8049</v>
      </c>
      <c r="D131" s="567" t="s">
        <v>8048</v>
      </c>
      <c r="E131" s="567" t="s">
        <v>8054</v>
      </c>
      <c r="F131" s="513" t="s">
        <v>1105</v>
      </c>
      <c r="G131" s="513">
        <v>1.5518000000000001</v>
      </c>
      <c r="H131" s="515">
        <v>3.6</v>
      </c>
      <c r="I131" s="515">
        <v>5.5864800000000008</v>
      </c>
      <c r="J131" s="514"/>
      <c r="K131" s="514"/>
      <c r="L131" s="567"/>
      <c r="M131" s="566"/>
      <c r="N131" s="566"/>
    </row>
    <row r="132" spans="1:15" ht="25.5" x14ac:dyDescent="0.2">
      <c r="A132" s="579" t="s">
        <v>7258</v>
      </c>
      <c r="B132" s="578" t="s">
        <v>7260</v>
      </c>
      <c r="C132" s="577" t="s">
        <v>399</v>
      </c>
      <c r="D132" s="572" t="s">
        <v>8048</v>
      </c>
      <c r="E132" s="572" t="s">
        <v>7257</v>
      </c>
      <c r="F132" s="576" t="s">
        <v>641</v>
      </c>
      <c r="G132" s="575"/>
      <c r="H132" s="574"/>
      <c r="I132" s="574">
        <v>17.585707999999997</v>
      </c>
      <c r="J132" s="573"/>
      <c r="K132" s="573"/>
      <c r="L132" s="572"/>
      <c r="M132" s="571"/>
      <c r="N132" s="571" t="s">
        <v>8053</v>
      </c>
      <c r="O132" s="200" t="str">
        <f>A132&amp;B132&amp;C132</f>
        <v>1497Thozen - Electra</v>
      </c>
    </row>
    <row r="133" spans="1:15" ht="25.5" x14ac:dyDescent="0.2">
      <c r="A133" s="570" t="s">
        <v>8052</v>
      </c>
      <c r="B133" s="569" t="s">
        <v>7260</v>
      </c>
      <c r="C133" s="568" t="s">
        <v>8049</v>
      </c>
      <c r="D133" s="567" t="s">
        <v>8048</v>
      </c>
      <c r="E133" s="567" t="s">
        <v>8051</v>
      </c>
      <c r="F133" s="513" t="s">
        <v>1105</v>
      </c>
      <c r="G133" s="513">
        <v>2.2147999999999999</v>
      </c>
      <c r="H133" s="515">
        <v>7.23</v>
      </c>
      <c r="I133" s="515">
        <v>16.013003999999999</v>
      </c>
      <c r="J133" s="514"/>
      <c r="K133" s="514"/>
      <c r="L133" s="567"/>
      <c r="M133" s="566"/>
      <c r="N133" s="566"/>
    </row>
    <row r="134" spans="1:15" ht="25.5" x14ac:dyDescent="0.2">
      <c r="A134" s="565" t="s">
        <v>8050</v>
      </c>
      <c r="B134" s="564" t="s">
        <v>7260</v>
      </c>
      <c r="C134" s="563" t="s">
        <v>8049</v>
      </c>
      <c r="D134" s="562" t="s">
        <v>8048</v>
      </c>
      <c r="E134" s="562" t="s">
        <v>8047</v>
      </c>
      <c r="F134" s="520" t="s">
        <v>8046</v>
      </c>
      <c r="G134" s="520">
        <v>0.1666</v>
      </c>
      <c r="H134" s="522">
        <v>9.44</v>
      </c>
      <c r="I134" s="522">
        <v>1.5727039999999999</v>
      </c>
      <c r="J134" s="521"/>
      <c r="K134" s="521"/>
      <c r="L134" s="562"/>
      <c r="M134" s="561"/>
      <c r="N134" s="561"/>
    </row>
  </sheetData>
  <mergeCells count="22">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 ref="B6:E6"/>
    <mergeCell ref="A1:G1"/>
    <mergeCell ref="B2:E2"/>
    <mergeCell ref="B3:E3"/>
    <mergeCell ref="B4:E4"/>
    <mergeCell ref="B5:E5"/>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00" customWidth="1"/>
    <col min="2" max="2" width="12.28515625" style="202" customWidth="1"/>
    <col min="3" max="3" width="14.28515625" style="202" customWidth="1"/>
    <col min="4" max="4" width="77.7109375" style="200" customWidth="1"/>
    <col min="5" max="5" width="9.42578125" style="202" customWidth="1"/>
    <col min="6" max="6" width="13.140625" style="201" customWidth="1"/>
    <col min="7" max="7" width="12.85546875" style="201" customWidth="1"/>
    <col min="8" max="8" width="44" style="201" customWidth="1"/>
    <col min="9" max="16384" width="11.5703125" style="200"/>
  </cols>
  <sheetData>
    <row r="1" spans="1:9" x14ac:dyDescent="0.2">
      <c r="A1" s="618" t="s">
        <v>2106</v>
      </c>
      <c r="B1" s="619"/>
      <c r="C1" s="619"/>
      <c r="D1" s="619"/>
      <c r="E1" s="619"/>
      <c r="F1" s="619"/>
      <c r="G1" s="620"/>
      <c r="H1" s="558"/>
    </row>
    <row r="2" spans="1:9" x14ac:dyDescent="0.2">
      <c r="A2" s="585" t="s">
        <v>2105</v>
      </c>
      <c r="B2" s="621" t="s">
        <v>8166</v>
      </c>
      <c r="C2" s="622"/>
      <c r="D2" s="622"/>
      <c r="E2" s="622"/>
      <c r="F2" s="623"/>
      <c r="G2" s="624"/>
      <c r="H2" s="558"/>
    </row>
    <row r="3" spans="1:9" x14ac:dyDescent="0.2">
      <c r="A3" s="584" t="s">
        <v>1275</v>
      </c>
      <c r="B3" s="629" t="s">
        <v>8045</v>
      </c>
      <c r="C3" s="630"/>
      <c r="D3" s="630"/>
      <c r="E3" s="630"/>
      <c r="F3" s="625"/>
      <c r="G3" s="626"/>
      <c r="H3" s="558"/>
    </row>
    <row r="4" spans="1:9" x14ac:dyDescent="0.2">
      <c r="A4" s="585" t="s">
        <v>2104</v>
      </c>
      <c r="B4" s="621" t="s">
        <v>8044</v>
      </c>
      <c r="C4" s="622"/>
      <c r="D4" s="622"/>
      <c r="E4" s="622"/>
      <c r="F4" s="625"/>
      <c r="G4" s="626"/>
      <c r="H4" s="558"/>
    </row>
    <row r="5" spans="1:9" x14ac:dyDescent="0.2">
      <c r="A5" s="584" t="s">
        <v>2103</v>
      </c>
      <c r="B5" s="629" t="s">
        <v>8043</v>
      </c>
      <c r="C5" s="630"/>
      <c r="D5" s="630"/>
      <c r="E5" s="630"/>
      <c r="F5" s="625"/>
      <c r="G5" s="626"/>
      <c r="H5" s="558"/>
    </row>
    <row r="6" spans="1:9" x14ac:dyDescent="0.2">
      <c r="A6" s="585" t="s">
        <v>2102</v>
      </c>
      <c r="B6" s="621" t="s">
        <v>399</v>
      </c>
      <c r="C6" s="622"/>
      <c r="D6" s="622"/>
      <c r="E6" s="622"/>
      <c r="F6" s="625"/>
      <c r="G6" s="626"/>
      <c r="H6" s="558"/>
    </row>
    <row r="7" spans="1:9" x14ac:dyDescent="0.2">
      <c r="A7" s="584" t="s">
        <v>59</v>
      </c>
      <c r="B7" s="629" t="s">
        <v>399</v>
      </c>
      <c r="C7" s="630"/>
      <c r="D7" s="630"/>
      <c r="E7" s="630"/>
      <c r="F7" s="625"/>
      <c r="G7" s="626"/>
      <c r="H7" s="558"/>
    </row>
    <row r="8" spans="1:9" x14ac:dyDescent="0.2">
      <c r="A8" s="583" t="s">
        <v>8042</v>
      </c>
      <c r="B8" s="631" t="s">
        <v>8041</v>
      </c>
      <c r="C8" s="632"/>
      <c r="D8" s="632"/>
      <c r="E8" s="632"/>
      <c r="F8" s="627"/>
      <c r="G8" s="628"/>
      <c r="H8" s="558"/>
    </row>
    <row r="9" spans="1:9" x14ac:dyDescent="0.2">
      <c r="A9" s="548"/>
      <c r="B9" s="547"/>
      <c r="C9" s="547"/>
      <c r="D9" s="547"/>
      <c r="E9" s="511"/>
      <c r="F9" s="546"/>
      <c r="G9" s="543"/>
      <c r="H9" s="543"/>
    </row>
    <row r="10" spans="1:9" x14ac:dyDescent="0.2">
      <c r="A10" s="543"/>
      <c r="B10" s="543"/>
      <c r="C10" s="543"/>
      <c r="D10" s="543"/>
      <c r="E10" s="543"/>
      <c r="F10" s="543"/>
      <c r="G10" s="543"/>
      <c r="H10" s="543"/>
    </row>
    <row r="11" spans="1:9" x14ac:dyDescent="0.2">
      <c r="A11" s="616" t="s">
        <v>8165</v>
      </c>
      <c r="B11" s="617"/>
      <c r="C11" s="617"/>
      <c r="D11" s="617"/>
      <c r="E11" s="617"/>
      <c r="F11" s="617"/>
      <c r="G11" s="617"/>
      <c r="H11" s="204"/>
    </row>
    <row r="12" spans="1:9" ht="21.75" customHeight="1" x14ac:dyDescent="0.2">
      <c r="A12" s="606" t="s">
        <v>8035</v>
      </c>
      <c r="B12" s="606" t="s">
        <v>8164</v>
      </c>
      <c r="C12" s="606" t="s">
        <v>58</v>
      </c>
      <c r="D12" s="606" t="s">
        <v>59</v>
      </c>
      <c r="E12" s="606" t="s">
        <v>1276</v>
      </c>
      <c r="F12" s="606" t="s">
        <v>8039</v>
      </c>
      <c r="G12" s="603" t="s">
        <v>8163</v>
      </c>
      <c r="H12" s="603" t="s">
        <v>8156</v>
      </c>
    </row>
    <row r="13" spans="1:9" ht="17.25" customHeight="1" x14ac:dyDescent="0.2">
      <c r="A13" s="606"/>
      <c r="B13" s="606"/>
      <c r="C13" s="606"/>
      <c r="D13" s="606"/>
      <c r="E13" s="606"/>
      <c r="F13" s="606"/>
      <c r="G13" s="605"/>
      <c r="H13" s="605"/>
    </row>
    <row r="14" spans="1:9" ht="25.5" x14ac:dyDescent="0.2">
      <c r="A14" s="570" t="s">
        <v>8149</v>
      </c>
      <c r="B14" s="569" t="s">
        <v>7260</v>
      </c>
      <c r="C14" s="569" t="s">
        <v>2698</v>
      </c>
      <c r="D14" s="567" t="s">
        <v>355</v>
      </c>
      <c r="E14" s="513" t="s">
        <v>1246</v>
      </c>
      <c r="F14" s="515">
        <v>480</v>
      </c>
      <c r="G14" s="514" t="s">
        <v>399</v>
      </c>
      <c r="H14" s="582"/>
      <c r="I14" s="200" t="str">
        <f t="shared" ref="I14:I61" si="0">A14&amp;B14</f>
        <v>194Thozen - Electra</v>
      </c>
    </row>
    <row r="15" spans="1:9" ht="25.5" x14ac:dyDescent="0.2">
      <c r="A15" s="565" t="s">
        <v>8153</v>
      </c>
      <c r="B15" s="564" t="s">
        <v>7260</v>
      </c>
      <c r="C15" s="581" t="s">
        <v>2698</v>
      </c>
      <c r="D15" s="562" t="s">
        <v>8152</v>
      </c>
      <c r="E15" s="520" t="s">
        <v>533</v>
      </c>
      <c r="F15" s="522">
        <v>1.1000000000000001</v>
      </c>
      <c r="G15" s="521" t="s">
        <v>399</v>
      </c>
      <c r="H15" s="580"/>
      <c r="I15" s="200" t="str">
        <f t="shared" si="0"/>
        <v>228Thozen - Electra</v>
      </c>
    </row>
    <row r="16" spans="1:9" ht="25.5" x14ac:dyDescent="0.2">
      <c r="A16" s="570" t="s">
        <v>8151</v>
      </c>
      <c r="B16" s="569" t="s">
        <v>7260</v>
      </c>
      <c r="C16" s="569" t="s">
        <v>2698</v>
      </c>
      <c r="D16" s="567" t="s">
        <v>8150</v>
      </c>
      <c r="E16" s="513" t="s">
        <v>533</v>
      </c>
      <c r="F16" s="515">
        <v>1.74</v>
      </c>
      <c r="G16" s="514" t="s">
        <v>399</v>
      </c>
      <c r="H16" s="582"/>
      <c r="I16" s="200" t="str">
        <f t="shared" si="0"/>
        <v>232Thozen - Electra</v>
      </c>
    </row>
    <row r="17" spans="1:9" ht="25.5" x14ac:dyDescent="0.2">
      <c r="A17" s="565" t="s">
        <v>8148</v>
      </c>
      <c r="B17" s="564" t="s">
        <v>7260</v>
      </c>
      <c r="C17" s="581" t="s">
        <v>2698</v>
      </c>
      <c r="D17" s="562" t="s">
        <v>8147</v>
      </c>
      <c r="E17" s="520" t="s">
        <v>533</v>
      </c>
      <c r="F17" s="522">
        <v>2.4300000000000002</v>
      </c>
      <c r="G17" s="521" t="s">
        <v>399</v>
      </c>
      <c r="H17" s="580"/>
      <c r="I17" s="200" t="str">
        <f t="shared" si="0"/>
        <v>48433Thozen - Electra</v>
      </c>
    </row>
    <row r="18" spans="1:9" ht="25.5" x14ac:dyDescent="0.2">
      <c r="A18" s="570" t="s">
        <v>8146</v>
      </c>
      <c r="B18" s="569" t="s">
        <v>7260</v>
      </c>
      <c r="C18" s="569" t="s">
        <v>2698</v>
      </c>
      <c r="D18" s="567" t="s">
        <v>8145</v>
      </c>
      <c r="E18" s="513" t="s">
        <v>1246</v>
      </c>
      <c r="F18" s="515">
        <v>450</v>
      </c>
      <c r="G18" s="514" t="s">
        <v>399</v>
      </c>
      <c r="H18" s="582"/>
      <c r="I18" s="200" t="str">
        <f t="shared" si="0"/>
        <v>759Thozen - Electra</v>
      </c>
    </row>
    <row r="19" spans="1:9" ht="25.5" x14ac:dyDescent="0.2">
      <c r="A19" s="565" t="s">
        <v>8144</v>
      </c>
      <c r="B19" s="564" t="s">
        <v>7260</v>
      </c>
      <c r="C19" s="581" t="s">
        <v>2698</v>
      </c>
      <c r="D19" s="562" t="s">
        <v>8143</v>
      </c>
      <c r="E19" s="520" t="s">
        <v>8046</v>
      </c>
      <c r="F19" s="522">
        <v>6.45</v>
      </c>
      <c r="G19" s="521" t="s">
        <v>399</v>
      </c>
      <c r="H19" s="580"/>
      <c r="I19" s="200" t="str">
        <f t="shared" si="0"/>
        <v>4800Thozen - Electra</v>
      </c>
    </row>
    <row r="20" spans="1:9" ht="25.5" x14ac:dyDescent="0.2">
      <c r="A20" s="570" t="s">
        <v>8087</v>
      </c>
      <c r="B20" s="569" t="s">
        <v>7260</v>
      </c>
      <c r="C20" s="569" t="s">
        <v>2698</v>
      </c>
      <c r="D20" s="567" t="s">
        <v>8086</v>
      </c>
      <c r="E20" s="513" t="s">
        <v>533</v>
      </c>
      <c r="F20" s="515">
        <v>0.15</v>
      </c>
      <c r="G20" s="514" t="s">
        <v>399</v>
      </c>
      <c r="H20" s="582"/>
      <c r="I20" s="200" t="str">
        <f t="shared" si="0"/>
        <v>1412Thozen - Electra</v>
      </c>
    </row>
    <row r="21" spans="1:9" ht="25.5" x14ac:dyDescent="0.2">
      <c r="A21" s="565" t="s">
        <v>8142</v>
      </c>
      <c r="B21" s="564" t="s">
        <v>7260</v>
      </c>
      <c r="C21" s="581" t="s">
        <v>2698</v>
      </c>
      <c r="D21" s="562" t="s">
        <v>8141</v>
      </c>
      <c r="E21" s="520" t="s">
        <v>1246</v>
      </c>
      <c r="F21" s="522">
        <v>1310</v>
      </c>
      <c r="G21" s="521" t="s">
        <v>399</v>
      </c>
      <c r="H21" s="580"/>
      <c r="I21" s="200" t="str">
        <f t="shared" si="0"/>
        <v>2324Thozen - Electra</v>
      </c>
    </row>
    <row r="22" spans="1:9" ht="25.5" x14ac:dyDescent="0.2">
      <c r="A22" s="570" t="s">
        <v>8140</v>
      </c>
      <c r="B22" s="569" t="s">
        <v>7260</v>
      </c>
      <c r="C22" s="569" t="s">
        <v>2698</v>
      </c>
      <c r="D22" s="567" t="s">
        <v>8139</v>
      </c>
      <c r="E22" s="513" t="s">
        <v>1105</v>
      </c>
      <c r="F22" s="515">
        <v>10.91</v>
      </c>
      <c r="G22" s="514" t="s">
        <v>399</v>
      </c>
      <c r="H22" s="582"/>
      <c r="I22" s="200" t="str">
        <f t="shared" si="0"/>
        <v>2362Thozen - Electra</v>
      </c>
    </row>
    <row r="23" spans="1:9" ht="25.5" x14ac:dyDescent="0.2">
      <c r="A23" s="565" t="s">
        <v>8138</v>
      </c>
      <c r="B23" s="564" t="s">
        <v>7260</v>
      </c>
      <c r="C23" s="581" t="s">
        <v>2698</v>
      </c>
      <c r="D23" s="562" t="s">
        <v>8137</v>
      </c>
      <c r="E23" s="520" t="s">
        <v>1246</v>
      </c>
      <c r="F23" s="522">
        <v>1300</v>
      </c>
      <c r="G23" s="521" t="s">
        <v>399</v>
      </c>
      <c r="H23" s="580"/>
      <c r="I23" s="200" t="str">
        <f t="shared" si="0"/>
        <v>2546Thozen - Electra</v>
      </c>
    </row>
    <row r="24" spans="1:9" ht="25.5" x14ac:dyDescent="0.2">
      <c r="A24" s="570" t="s">
        <v>8136</v>
      </c>
      <c r="B24" s="569" t="s">
        <v>7260</v>
      </c>
      <c r="C24" s="569" t="s">
        <v>2698</v>
      </c>
      <c r="D24" s="567" t="s">
        <v>8135</v>
      </c>
      <c r="E24" s="513" t="s">
        <v>1246</v>
      </c>
      <c r="F24" s="515">
        <v>1800</v>
      </c>
      <c r="G24" s="514" t="s">
        <v>399</v>
      </c>
      <c r="H24" s="582"/>
      <c r="I24" s="200" t="str">
        <f t="shared" si="0"/>
        <v>2611Thozen - Electra</v>
      </c>
    </row>
    <row r="25" spans="1:9" ht="25.5" x14ac:dyDescent="0.2">
      <c r="A25" s="565" t="s">
        <v>8134</v>
      </c>
      <c r="B25" s="564" t="s">
        <v>7260</v>
      </c>
      <c r="C25" s="581" t="s">
        <v>2698</v>
      </c>
      <c r="D25" s="562" t="s">
        <v>8133</v>
      </c>
      <c r="E25" s="520" t="s">
        <v>1105</v>
      </c>
      <c r="F25" s="522">
        <v>6.9</v>
      </c>
      <c r="G25" s="521" t="s">
        <v>8162</v>
      </c>
      <c r="H25" s="580"/>
      <c r="I25" s="200" t="str">
        <f t="shared" si="0"/>
        <v>32Thozen - Electra</v>
      </c>
    </row>
    <row r="26" spans="1:9" ht="25.5" x14ac:dyDescent="0.2">
      <c r="A26" s="570" t="s">
        <v>8131</v>
      </c>
      <c r="B26" s="569" t="s">
        <v>7260</v>
      </c>
      <c r="C26" s="569" t="s">
        <v>2698</v>
      </c>
      <c r="D26" s="567" t="s">
        <v>8130</v>
      </c>
      <c r="E26" s="513" t="s">
        <v>1701</v>
      </c>
      <c r="F26" s="515">
        <v>16.87</v>
      </c>
      <c r="G26" s="514" t="s">
        <v>399</v>
      </c>
      <c r="H26" s="582"/>
      <c r="I26" s="200" t="str">
        <f t="shared" si="0"/>
        <v>48435Thozen - Electra</v>
      </c>
    </row>
    <row r="27" spans="1:9" ht="25.5" x14ac:dyDescent="0.2">
      <c r="A27" s="565" t="s">
        <v>8129</v>
      </c>
      <c r="B27" s="564" t="s">
        <v>7260</v>
      </c>
      <c r="C27" s="581" t="s">
        <v>2698</v>
      </c>
      <c r="D27" s="562" t="s">
        <v>8128</v>
      </c>
      <c r="E27" s="520" t="s">
        <v>533</v>
      </c>
      <c r="F27" s="522">
        <v>0.3</v>
      </c>
      <c r="G27" s="521" t="s">
        <v>399</v>
      </c>
      <c r="H27" s="580"/>
      <c r="I27" s="200" t="str">
        <f t="shared" si="0"/>
        <v>718Thozen - Electra</v>
      </c>
    </row>
    <row r="28" spans="1:9" ht="25.5" x14ac:dyDescent="0.2">
      <c r="A28" s="570" t="s">
        <v>8127</v>
      </c>
      <c r="B28" s="569" t="s">
        <v>7260</v>
      </c>
      <c r="C28" s="569" t="s">
        <v>2698</v>
      </c>
      <c r="D28" s="567" t="s">
        <v>8126</v>
      </c>
      <c r="E28" s="513" t="s">
        <v>533</v>
      </c>
      <c r="F28" s="515">
        <v>0.3</v>
      </c>
      <c r="G28" s="514" t="s">
        <v>399</v>
      </c>
      <c r="H28" s="582"/>
      <c r="I28" s="200" t="str">
        <f t="shared" si="0"/>
        <v>2260Thozen - Electra</v>
      </c>
    </row>
    <row r="29" spans="1:9" ht="25.5" x14ac:dyDescent="0.2">
      <c r="A29" s="565" t="s">
        <v>8125</v>
      </c>
      <c r="B29" s="564" t="s">
        <v>7260</v>
      </c>
      <c r="C29" s="581" t="s">
        <v>2698</v>
      </c>
      <c r="D29" s="562" t="s">
        <v>8124</v>
      </c>
      <c r="E29" s="520" t="s">
        <v>641</v>
      </c>
      <c r="F29" s="522">
        <v>2.5</v>
      </c>
      <c r="G29" s="521" t="s">
        <v>399</v>
      </c>
      <c r="H29" s="580"/>
      <c r="I29" s="200" t="str">
        <f t="shared" si="0"/>
        <v>2901Thozen - Electra</v>
      </c>
    </row>
    <row r="30" spans="1:9" ht="25.5" x14ac:dyDescent="0.2">
      <c r="A30" s="570" t="s">
        <v>8123</v>
      </c>
      <c r="B30" s="569" t="s">
        <v>7260</v>
      </c>
      <c r="C30" s="569" t="s">
        <v>2698</v>
      </c>
      <c r="D30" s="567" t="s">
        <v>8122</v>
      </c>
      <c r="E30" s="513" t="s">
        <v>1105</v>
      </c>
      <c r="F30" s="515">
        <v>11.5</v>
      </c>
      <c r="G30" s="514" t="s">
        <v>399</v>
      </c>
      <c r="H30" s="582"/>
      <c r="I30" s="200" t="str">
        <f t="shared" si="0"/>
        <v>202Thozen - Electra</v>
      </c>
    </row>
    <row r="31" spans="1:9" ht="25.5" x14ac:dyDescent="0.2">
      <c r="A31" s="565" t="s">
        <v>8118</v>
      </c>
      <c r="B31" s="564" t="s">
        <v>7260</v>
      </c>
      <c r="C31" s="581" t="s">
        <v>2698</v>
      </c>
      <c r="D31" s="562" t="s">
        <v>8117</v>
      </c>
      <c r="E31" s="520" t="s">
        <v>1246</v>
      </c>
      <c r="F31" s="522">
        <v>480</v>
      </c>
      <c r="G31" s="521" t="s">
        <v>399</v>
      </c>
      <c r="H31" s="580"/>
      <c r="I31" s="200" t="str">
        <f t="shared" si="0"/>
        <v>197Thozen - Electra</v>
      </c>
    </row>
    <row r="32" spans="1:9" ht="25.5" x14ac:dyDescent="0.2">
      <c r="A32" s="570" t="s">
        <v>8121</v>
      </c>
      <c r="B32" s="569" t="s">
        <v>7260</v>
      </c>
      <c r="C32" s="569" t="s">
        <v>2698</v>
      </c>
      <c r="D32" s="567" t="s">
        <v>8120</v>
      </c>
      <c r="E32" s="513" t="s">
        <v>1145</v>
      </c>
      <c r="F32" s="515">
        <v>7.8</v>
      </c>
      <c r="G32" s="514" t="s">
        <v>399</v>
      </c>
      <c r="H32" s="582"/>
      <c r="I32" s="200" t="str">
        <f t="shared" si="0"/>
        <v>48481Thozen - Electra</v>
      </c>
    </row>
    <row r="33" spans="1:9" ht="25.5" x14ac:dyDescent="0.2">
      <c r="A33" s="565" t="s">
        <v>8061</v>
      </c>
      <c r="B33" s="564" t="s">
        <v>7260</v>
      </c>
      <c r="C33" s="581" t="s">
        <v>2698</v>
      </c>
      <c r="D33" s="562" t="s">
        <v>8060</v>
      </c>
      <c r="E33" s="520" t="s">
        <v>1701</v>
      </c>
      <c r="F33" s="522">
        <v>1.31</v>
      </c>
      <c r="G33" s="521" t="s">
        <v>399</v>
      </c>
      <c r="H33" s="580"/>
      <c r="I33" s="200" t="str">
        <f t="shared" si="0"/>
        <v>48373Thozen - Electra</v>
      </c>
    </row>
    <row r="34" spans="1:9" ht="25.5" x14ac:dyDescent="0.2">
      <c r="A34" s="570" t="s">
        <v>8116</v>
      </c>
      <c r="B34" s="569" t="s">
        <v>7260</v>
      </c>
      <c r="C34" s="569" t="s">
        <v>8161</v>
      </c>
      <c r="D34" s="567" t="s">
        <v>8115</v>
      </c>
      <c r="E34" s="513" t="s">
        <v>641</v>
      </c>
      <c r="F34" s="515">
        <v>35</v>
      </c>
      <c r="G34" s="514" t="s">
        <v>399</v>
      </c>
      <c r="H34" s="582"/>
      <c r="I34" s="200" t="str">
        <f t="shared" si="0"/>
        <v>2154Thozen - Electra</v>
      </c>
    </row>
    <row r="35" spans="1:9" ht="25.5" x14ac:dyDescent="0.2">
      <c r="A35" s="565" t="s">
        <v>8083</v>
      </c>
      <c r="B35" s="564" t="s">
        <v>7260</v>
      </c>
      <c r="C35" s="581" t="s">
        <v>2698</v>
      </c>
      <c r="D35" s="562" t="s">
        <v>8082</v>
      </c>
      <c r="E35" s="520" t="s">
        <v>1105</v>
      </c>
      <c r="F35" s="522">
        <v>2.3450000000000002</v>
      </c>
      <c r="G35" s="521" t="s">
        <v>399</v>
      </c>
      <c r="H35" s="580"/>
      <c r="I35" s="200" t="str">
        <f t="shared" si="0"/>
        <v>193Thozen - Electra</v>
      </c>
    </row>
    <row r="36" spans="1:9" ht="25.5" x14ac:dyDescent="0.2">
      <c r="A36" s="570" t="s">
        <v>8099</v>
      </c>
      <c r="B36" s="569" t="s">
        <v>7260</v>
      </c>
      <c r="C36" s="569" t="s">
        <v>2698</v>
      </c>
      <c r="D36" s="567" t="s">
        <v>8098</v>
      </c>
      <c r="E36" s="513" t="s">
        <v>533</v>
      </c>
      <c r="F36" s="515">
        <v>0.2</v>
      </c>
      <c r="G36" s="514" t="s">
        <v>399</v>
      </c>
      <c r="H36" s="582"/>
      <c r="I36" s="200" t="str">
        <f t="shared" si="0"/>
        <v>4881Thozen - Electra</v>
      </c>
    </row>
    <row r="37" spans="1:9" ht="25.5" x14ac:dyDescent="0.2">
      <c r="A37" s="565" t="s">
        <v>8079</v>
      </c>
      <c r="B37" s="564" t="s">
        <v>7260</v>
      </c>
      <c r="C37" s="581" t="s">
        <v>2698</v>
      </c>
      <c r="D37" s="562" t="s">
        <v>8078</v>
      </c>
      <c r="E37" s="520" t="s">
        <v>641</v>
      </c>
      <c r="F37" s="522">
        <v>2.0642999999999998</v>
      </c>
      <c r="G37" s="521" t="s">
        <v>399</v>
      </c>
      <c r="H37" s="580"/>
      <c r="I37" s="200" t="str">
        <f t="shared" si="0"/>
        <v>4880Thozen - Electra</v>
      </c>
    </row>
    <row r="38" spans="1:9" ht="25.5" x14ac:dyDescent="0.2">
      <c r="A38" s="570" t="s">
        <v>8114</v>
      </c>
      <c r="B38" s="569" t="s">
        <v>7260</v>
      </c>
      <c r="C38" s="569" t="s">
        <v>2698</v>
      </c>
      <c r="D38" s="567" t="s">
        <v>8113</v>
      </c>
      <c r="E38" s="513" t="s">
        <v>641</v>
      </c>
      <c r="F38" s="515">
        <v>68.19</v>
      </c>
      <c r="G38" s="514" t="s">
        <v>399</v>
      </c>
      <c r="H38" s="582"/>
      <c r="I38" s="200" t="str">
        <f t="shared" si="0"/>
        <v>48500Thozen - Electra</v>
      </c>
    </row>
    <row r="39" spans="1:9" ht="25.5" x14ac:dyDescent="0.2">
      <c r="A39" s="565" t="s">
        <v>8081</v>
      </c>
      <c r="B39" s="564" t="s">
        <v>7260</v>
      </c>
      <c r="C39" s="581" t="s">
        <v>2698</v>
      </c>
      <c r="D39" s="562" t="s">
        <v>8080</v>
      </c>
      <c r="E39" s="520" t="s">
        <v>641</v>
      </c>
      <c r="F39" s="522">
        <v>520</v>
      </c>
      <c r="G39" s="521" t="s">
        <v>399</v>
      </c>
      <c r="H39" s="580"/>
      <c r="I39" s="200" t="str">
        <f t="shared" si="0"/>
        <v>1526Thozen - Electra</v>
      </c>
    </row>
    <row r="40" spans="1:9" ht="25.5" x14ac:dyDescent="0.2">
      <c r="A40" s="570" t="s">
        <v>8111</v>
      </c>
      <c r="B40" s="569" t="s">
        <v>7260</v>
      </c>
      <c r="C40" s="569" t="s">
        <v>2698</v>
      </c>
      <c r="D40" s="567" t="s">
        <v>8110</v>
      </c>
      <c r="E40" s="513" t="s">
        <v>641</v>
      </c>
      <c r="F40" s="515">
        <v>100</v>
      </c>
      <c r="G40" s="514" t="s">
        <v>399</v>
      </c>
      <c r="H40" s="582"/>
      <c r="I40" s="200" t="str">
        <f t="shared" si="0"/>
        <v>4874Thozen - Electra</v>
      </c>
    </row>
    <row r="41" spans="1:9" ht="25.5" x14ac:dyDescent="0.2">
      <c r="A41" s="565" t="s">
        <v>8106</v>
      </c>
      <c r="B41" s="564" t="s">
        <v>7260</v>
      </c>
      <c r="C41" s="581" t="s">
        <v>2698</v>
      </c>
      <c r="D41" s="562" t="s">
        <v>8105</v>
      </c>
      <c r="E41" s="520" t="s">
        <v>787</v>
      </c>
      <c r="F41" s="522">
        <v>22</v>
      </c>
      <c r="G41" s="521" t="s">
        <v>399</v>
      </c>
      <c r="H41" s="580"/>
      <c r="I41" s="200" t="str">
        <f t="shared" si="0"/>
        <v>1514Thozen - Electra</v>
      </c>
    </row>
    <row r="42" spans="1:9" ht="25.5" x14ac:dyDescent="0.2">
      <c r="A42" s="570" t="s">
        <v>8052</v>
      </c>
      <c r="B42" s="569" t="s">
        <v>7260</v>
      </c>
      <c r="C42" s="569" t="s">
        <v>2698</v>
      </c>
      <c r="D42" s="567" t="s">
        <v>8051</v>
      </c>
      <c r="E42" s="513" t="s">
        <v>1105</v>
      </c>
      <c r="F42" s="515">
        <v>7.23</v>
      </c>
      <c r="G42" s="514" t="s">
        <v>399</v>
      </c>
      <c r="H42" s="582"/>
      <c r="I42" s="200" t="str">
        <f t="shared" si="0"/>
        <v>2940Thozen - Electra</v>
      </c>
    </row>
    <row r="43" spans="1:9" ht="25.5" x14ac:dyDescent="0.2">
      <c r="A43" s="565" t="s">
        <v>8057</v>
      </c>
      <c r="B43" s="564" t="s">
        <v>7260</v>
      </c>
      <c r="C43" s="581" t="s">
        <v>2698</v>
      </c>
      <c r="D43" s="562" t="s">
        <v>8056</v>
      </c>
      <c r="E43" s="520" t="s">
        <v>8046</v>
      </c>
      <c r="F43" s="522">
        <v>6.99</v>
      </c>
      <c r="G43" s="521" t="s">
        <v>399</v>
      </c>
      <c r="H43" s="580"/>
      <c r="I43" s="200" t="str">
        <f t="shared" si="0"/>
        <v>2553Thozen - Electra</v>
      </c>
    </row>
    <row r="44" spans="1:9" ht="25.5" x14ac:dyDescent="0.2">
      <c r="A44" s="570" t="s">
        <v>8108</v>
      </c>
      <c r="B44" s="569" t="s">
        <v>7260</v>
      </c>
      <c r="C44" s="569" t="s">
        <v>2698</v>
      </c>
      <c r="D44" s="567" t="s">
        <v>8107</v>
      </c>
      <c r="E44" s="513" t="s">
        <v>641</v>
      </c>
      <c r="F44" s="515">
        <v>110</v>
      </c>
      <c r="G44" s="514" t="s">
        <v>399</v>
      </c>
      <c r="H44" s="582"/>
      <c r="I44" s="200" t="str">
        <f t="shared" si="0"/>
        <v>4875Thozen - Electra</v>
      </c>
    </row>
    <row r="45" spans="1:9" ht="25.5" x14ac:dyDescent="0.2">
      <c r="A45" s="565" t="s">
        <v>8103</v>
      </c>
      <c r="B45" s="564" t="s">
        <v>7260</v>
      </c>
      <c r="C45" s="581" t="s">
        <v>2698</v>
      </c>
      <c r="D45" s="562" t="s">
        <v>8102</v>
      </c>
      <c r="E45" s="520" t="s">
        <v>151</v>
      </c>
      <c r="F45" s="522">
        <v>480</v>
      </c>
      <c r="G45" s="521" t="s">
        <v>399</v>
      </c>
      <c r="H45" s="580"/>
      <c r="I45" s="200" t="str">
        <f t="shared" si="0"/>
        <v>458Thozen - Electra</v>
      </c>
    </row>
    <row r="46" spans="1:9" ht="25.5" x14ac:dyDescent="0.2">
      <c r="A46" s="570" t="s">
        <v>8101</v>
      </c>
      <c r="B46" s="569" t="s">
        <v>7260</v>
      </c>
      <c r="C46" s="569" t="s">
        <v>8161</v>
      </c>
      <c r="D46" s="567" t="s">
        <v>8100</v>
      </c>
      <c r="E46" s="513" t="s">
        <v>641</v>
      </c>
      <c r="F46" s="515">
        <v>32</v>
      </c>
      <c r="G46" s="514" t="s">
        <v>399</v>
      </c>
      <c r="H46" s="582"/>
      <c r="I46" s="200" t="str">
        <f t="shared" si="0"/>
        <v>2156Thozen - Electra</v>
      </c>
    </row>
    <row r="47" spans="1:9" ht="25.5" x14ac:dyDescent="0.2">
      <c r="A47" s="565" t="s">
        <v>8085</v>
      </c>
      <c r="B47" s="564" t="s">
        <v>7260</v>
      </c>
      <c r="C47" s="581" t="s">
        <v>2698</v>
      </c>
      <c r="D47" s="562" t="s">
        <v>8084</v>
      </c>
      <c r="E47" s="520" t="s">
        <v>641</v>
      </c>
      <c r="F47" s="522">
        <v>65</v>
      </c>
      <c r="G47" s="521" t="s">
        <v>399</v>
      </c>
      <c r="H47" s="580"/>
      <c r="I47" s="200" t="str">
        <f t="shared" si="0"/>
        <v>4884Thozen - Electra</v>
      </c>
    </row>
    <row r="48" spans="1:9" ht="25.5" x14ac:dyDescent="0.2">
      <c r="A48" s="570" t="s">
        <v>8097</v>
      </c>
      <c r="B48" s="569" t="s">
        <v>7260</v>
      </c>
      <c r="C48" s="569" t="s">
        <v>2698</v>
      </c>
      <c r="D48" s="567" t="s">
        <v>8096</v>
      </c>
      <c r="E48" s="513" t="s">
        <v>1105</v>
      </c>
      <c r="F48" s="515">
        <v>3.59</v>
      </c>
      <c r="G48" s="514" t="s">
        <v>399</v>
      </c>
      <c r="H48" s="582"/>
      <c r="I48" s="200" t="str">
        <f t="shared" si="0"/>
        <v>2521Thozen - Electra</v>
      </c>
    </row>
    <row r="49" spans="1:9" ht="25.5" x14ac:dyDescent="0.2">
      <c r="A49" s="565" t="s">
        <v>8093</v>
      </c>
      <c r="B49" s="564" t="s">
        <v>7260</v>
      </c>
      <c r="C49" s="581" t="s">
        <v>2698</v>
      </c>
      <c r="D49" s="562" t="s">
        <v>8092</v>
      </c>
      <c r="E49" s="520" t="s">
        <v>533</v>
      </c>
      <c r="F49" s="522">
        <v>1.99</v>
      </c>
      <c r="G49" s="521" t="s">
        <v>399</v>
      </c>
      <c r="H49" s="580"/>
      <c r="I49" s="200" t="str">
        <f t="shared" si="0"/>
        <v>417Thozen - Electra</v>
      </c>
    </row>
    <row r="50" spans="1:9" ht="25.5" x14ac:dyDescent="0.2">
      <c r="A50" s="570" t="s">
        <v>8091</v>
      </c>
      <c r="B50" s="569" t="s">
        <v>7260</v>
      </c>
      <c r="C50" s="569" t="s">
        <v>2698</v>
      </c>
      <c r="D50" s="567" t="s">
        <v>8090</v>
      </c>
      <c r="E50" s="513" t="s">
        <v>1105</v>
      </c>
      <c r="F50" s="515">
        <v>5.0403000000000002</v>
      </c>
      <c r="G50" s="514" t="s">
        <v>399</v>
      </c>
      <c r="H50" s="582"/>
      <c r="I50" s="200" t="str">
        <f t="shared" si="0"/>
        <v>738Thozen - Electra</v>
      </c>
    </row>
    <row r="51" spans="1:9" ht="25.5" x14ac:dyDescent="0.2">
      <c r="A51" s="565" t="s">
        <v>8095</v>
      </c>
      <c r="B51" s="564" t="s">
        <v>7260</v>
      </c>
      <c r="C51" s="581" t="s">
        <v>2698</v>
      </c>
      <c r="D51" s="562" t="s">
        <v>8094</v>
      </c>
      <c r="E51" s="520" t="s">
        <v>787</v>
      </c>
      <c r="F51" s="522">
        <v>69.91</v>
      </c>
      <c r="G51" s="521" t="s">
        <v>399</v>
      </c>
      <c r="H51" s="580"/>
      <c r="I51" s="200" t="str">
        <f t="shared" si="0"/>
        <v>48465Thozen - Electra</v>
      </c>
    </row>
    <row r="52" spans="1:9" ht="25.5" x14ac:dyDescent="0.2">
      <c r="A52" s="570" t="s">
        <v>8089</v>
      </c>
      <c r="B52" s="569" t="s">
        <v>7260</v>
      </c>
      <c r="C52" s="569" t="s">
        <v>2698</v>
      </c>
      <c r="D52" s="567" t="s">
        <v>8088</v>
      </c>
      <c r="E52" s="513" t="s">
        <v>787</v>
      </c>
      <c r="F52" s="515">
        <v>11.21</v>
      </c>
      <c r="G52" s="514" t="s">
        <v>399</v>
      </c>
      <c r="H52" s="582"/>
      <c r="I52" s="200" t="str">
        <f t="shared" si="0"/>
        <v>2538Thozen - Electra</v>
      </c>
    </row>
    <row r="53" spans="1:9" ht="25.5" x14ac:dyDescent="0.2">
      <c r="A53" s="565" t="s">
        <v>8072</v>
      </c>
      <c r="B53" s="564" t="s">
        <v>7260</v>
      </c>
      <c r="C53" s="581" t="s">
        <v>2698</v>
      </c>
      <c r="D53" s="562" t="s">
        <v>8071</v>
      </c>
      <c r="E53" s="520" t="s">
        <v>196</v>
      </c>
      <c r="F53" s="522">
        <v>18.48</v>
      </c>
      <c r="G53" s="521" t="s">
        <v>399</v>
      </c>
      <c r="H53" s="580"/>
      <c r="I53" s="200" t="str">
        <f t="shared" si="0"/>
        <v>1400Thozen - Electra</v>
      </c>
    </row>
    <row r="54" spans="1:9" ht="25.5" x14ac:dyDescent="0.2">
      <c r="A54" s="570" t="s">
        <v>8076</v>
      </c>
      <c r="B54" s="569" t="s">
        <v>7260</v>
      </c>
      <c r="C54" s="569" t="s">
        <v>2698</v>
      </c>
      <c r="D54" s="567" t="s">
        <v>8075</v>
      </c>
      <c r="E54" s="513" t="s">
        <v>1105</v>
      </c>
      <c r="F54" s="515">
        <v>11.5</v>
      </c>
      <c r="G54" s="514" t="s">
        <v>399</v>
      </c>
      <c r="H54" s="582"/>
      <c r="I54" s="200" t="str">
        <f t="shared" si="0"/>
        <v>48483Thozen - Electra</v>
      </c>
    </row>
    <row r="55" spans="1:9" ht="25.5" x14ac:dyDescent="0.2">
      <c r="A55" s="565" t="s">
        <v>8059</v>
      </c>
      <c r="B55" s="564" t="s">
        <v>7260</v>
      </c>
      <c r="C55" s="581" t="s">
        <v>2698</v>
      </c>
      <c r="D55" s="562" t="s">
        <v>8058</v>
      </c>
      <c r="E55" s="520" t="s">
        <v>8046</v>
      </c>
      <c r="F55" s="522">
        <v>36.67</v>
      </c>
      <c r="G55" s="521" t="s">
        <v>399</v>
      </c>
      <c r="H55" s="580"/>
      <c r="I55" s="200" t="str">
        <f t="shared" si="0"/>
        <v>2944Thozen - Electra</v>
      </c>
    </row>
    <row r="56" spans="1:9" ht="25.5" x14ac:dyDescent="0.2">
      <c r="A56" s="570" t="s">
        <v>8055</v>
      </c>
      <c r="B56" s="569" t="s">
        <v>7260</v>
      </c>
      <c r="C56" s="569" t="s">
        <v>2698</v>
      </c>
      <c r="D56" s="567" t="s">
        <v>8054</v>
      </c>
      <c r="E56" s="513" t="s">
        <v>1105</v>
      </c>
      <c r="F56" s="515">
        <v>3.6</v>
      </c>
      <c r="G56" s="514" t="s">
        <v>399</v>
      </c>
      <c r="H56" s="582"/>
      <c r="I56" s="200" t="str">
        <f t="shared" si="0"/>
        <v>2186Thozen - Electra</v>
      </c>
    </row>
    <row r="57" spans="1:9" ht="25.5" x14ac:dyDescent="0.2">
      <c r="A57" s="565" t="s">
        <v>8073</v>
      </c>
      <c r="B57" s="564" t="s">
        <v>7260</v>
      </c>
      <c r="C57" s="581" t="s">
        <v>2698</v>
      </c>
      <c r="D57" s="562" t="s">
        <v>498</v>
      </c>
      <c r="E57" s="520" t="s">
        <v>533</v>
      </c>
      <c r="F57" s="522">
        <v>2.8</v>
      </c>
      <c r="G57" s="521" t="s">
        <v>399</v>
      </c>
      <c r="H57" s="580"/>
      <c r="I57" s="200" t="str">
        <f t="shared" si="0"/>
        <v>1827Thozen - Electra</v>
      </c>
    </row>
    <row r="58" spans="1:9" ht="25.5" x14ac:dyDescent="0.2">
      <c r="A58" s="570" t="s">
        <v>8069</v>
      </c>
      <c r="B58" s="569" t="s">
        <v>7260</v>
      </c>
      <c r="C58" s="569" t="s">
        <v>8161</v>
      </c>
      <c r="D58" s="567" t="s">
        <v>8068</v>
      </c>
      <c r="E58" s="513" t="s">
        <v>641</v>
      </c>
      <c r="F58" s="515">
        <v>34</v>
      </c>
      <c r="G58" s="514" t="s">
        <v>399</v>
      </c>
      <c r="H58" s="582"/>
      <c r="I58" s="200" t="str">
        <f t="shared" si="0"/>
        <v>2134Thozen - Electra</v>
      </c>
    </row>
    <row r="59" spans="1:9" ht="25.5" x14ac:dyDescent="0.2">
      <c r="A59" s="565" t="s">
        <v>8066</v>
      </c>
      <c r="B59" s="564" t="s">
        <v>7260</v>
      </c>
      <c r="C59" s="581" t="s">
        <v>8161</v>
      </c>
      <c r="D59" s="562" t="s">
        <v>8065</v>
      </c>
      <c r="E59" s="520" t="s">
        <v>641</v>
      </c>
      <c r="F59" s="522">
        <v>41</v>
      </c>
      <c r="G59" s="521" t="s">
        <v>399</v>
      </c>
      <c r="H59" s="580"/>
      <c r="I59" s="200" t="str">
        <f t="shared" si="0"/>
        <v>48466Thozen - Electra</v>
      </c>
    </row>
    <row r="60" spans="1:9" ht="25.5" x14ac:dyDescent="0.2">
      <c r="A60" s="570" t="s">
        <v>8064</v>
      </c>
      <c r="B60" s="569" t="s">
        <v>7260</v>
      </c>
      <c r="C60" s="569" t="s">
        <v>2698</v>
      </c>
      <c r="D60" s="567" t="s">
        <v>8063</v>
      </c>
      <c r="E60" s="513" t="s">
        <v>1246</v>
      </c>
      <c r="F60" s="515">
        <v>405</v>
      </c>
      <c r="G60" s="514" t="s">
        <v>399</v>
      </c>
      <c r="H60" s="582"/>
      <c r="I60" s="200" t="str">
        <f t="shared" si="0"/>
        <v>457Thozen - Electra</v>
      </c>
    </row>
    <row r="61" spans="1:9" ht="25.5" x14ac:dyDescent="0.2">
      <c r="A61" s="565" t="s">
        <v>8050</v>
      </c>
      <c r="B61" s="564" t="s">
        <v>7260</v>
      </c>
      <c r="C61" s="581" t="s">
        <v>2698</v>
      </c>
      <c r="D61" s="562" t="s">
        <v>8047</v>
      </c>
      <c r="E61" s="520" t="s">
        <v>8046</v>
      </c>
      <c r="F61" s="522">
        <v>9.44</v>
      </c>
      <c r="G61" s="521" t="s">
        <v>399</v>
      </c>
      <c r="H61" s="580"/>
      <c r="I61" s="200" t="str">
        <f t="shared" si="0"/>
        <v>2552Thozen - Electra</v>
      </c>
    </row>
  </sheetData>
  <mergeCells count="18">
    <mergeCell ref="H12:H13"/>
    <mergeCell ref="A11:G11"/>
    <mergeCell ref="A12:A13"/>
    <mergeCell ref="B12:B13"/>
    <mergeCell ref="C12:C13"/>
    <mergeCell ref="D12:D13"/>
    <mergeCell ref="E12:E13"/>
    <mergeCell ref="F12:F13"/>
    <mergeCell ref="G12:G13"/>
    <mergeCell ref="A1:G1"/>
    <mergeCell ref="B2:E2"/>
    <mergeCell ref="F2:G8"/>
    <mergeCell ref="B3:E3"/>
    <mergeCell ref="B4:E4"/>
    <mergeCell ref="B5:E5"/>
    <mergeCell ref="B6:E6"/>
    <mergeCell ref="B7:E7"/>
    <mergeCell ref="B8:E8"/>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391" customWidth="1"/>
    <col min="2" max="2" width="33.42578125" style="391" customWidth="1"/>
    <col min="3" max="3" width="34" style="391" bestFit="1" customWidth="1"/>
    <col min="4" max="4" width="28.7109375" style="391" customWidth="1"/>
    <col min="5" max="6" width="25.5703125" style="391" customWidth="1"/>
    <col min="7" max="7" width="38.140625" style="391" customWidth="1"/>
    <col min="8" max="8" width="10.28515625" style="391" customWidth="1"/>
    <col min="9" max="9" width="9.140625" style="391"/>
    <col min="10" max="10" width="17" style="391" customWidth="1"/>
    <col min="11" max="38" width="9.140625" style="391"/>
  </cols>
  <sheetData>
    <row r="1" spans="1:38" ht="27" customHeight="1" thickBot="1" x14ac:dyDescent="0.25">
      <c r="A1" s="209"/>
      <c r="B1" s="208" t="s">
        <v>2107</v>
      </c>
      <c r="C1" s="206"/>
      <c r="D1" s="206"/>
      <c r="E1" s="206"/>
      <c r="F1" s="206"/>
      <c r="G1" s="206"/>
      <c r="H1" s="207"/>
      <c r="I1" s="166"/>
      <c r="J1" s="422" t="s">
        <v>2111</v>
      </c>
      <c r="K1"/>
      <c r="L1"/>
      <c r="M1"/>
      <c r="N1"/>
      <c r="O1"/>
      <c r="P1"/>
      <c r="Q1"/>
      <c r="R1"/>
      <c r="S1"/>
      <c r="T1"/>
      <c r="U1"/>
      <c r="V1"/>
      <c r="W1"/>
      <c r="X1"/>
      <c r="Y1"/>
      <c r="Z1"/>
      <c r="AA1"/>
      <c r="AB1"/>
      <c r="AC1"/>
      <c r="AD1"/>
      <c r="AE1"/>
      <c r="AF1"/>
      <c r="AG1"/>
      <c r="AH1"/>
      <c r="AI1"/>
      <c r="AJ1"/>
      <c r="AK1"/>
      <c r="AL1"/>
    </row>
    <row r="2" spans="1:38" ht="19.5" customHeight="1" x14ac:dyDescent="0.2">
      <c r="A2" s="421" t="s">
        <v>1275</v>
      </c>
      <c r="B2" s="420" t="s">
        <v>3300</v>
      </c>
      <c r="C2" s="419"/>
      <c r="D2" s="418"/>
      <c r="E2" s="418"/>
      <c r="F2" s="417"/>
      <c r="G2" s="417"/>
      <c r="H2" s="416"/>
      <c r="J2" s="415" t="s">
        <v>2112</v>
      </c>
      <c r="K2"/>
      <c r="L2"/>
      <c r="M2"/>
      <c r="N2"/>
      <c r="O2"/>
      <c r="P2"/>
      <c r="Q2"/>
      <c r="R2"/>
      <c r="S2"/>
      <c r="T2"/>
      <c r="U2"/>
      <c r="V2"/>
      <c r="W2"/>
      <c r="X2"/>
      <c r="Y2"/>
      <c r="Z2"/>
      <c r="AA2"/>
      <c r="AB2"/>
      <c r="AC2"/>
      <c r="AD2"/>
      <c r="AE2"/>
      <c r="AF2"/>
      <c r="AG2"/>
      <c r="AH2"/>
      <c r="AI2"/>
      <c r="AJ2"/>
      <c r="AK2"/>
      <c r="AL2"/>
    </row>
    <row r="3" spans="1:38" ht="39" customHeight="1" x14ac:dyDescent="0.2">
      <c r="A3" s="414" t="s">
        <v>0</v>
      </c>
      <c r="B3" s="413" t="s">
        <v>3299</v>
      </c>
      <c r="C3" s="412"/>
      <c r="D3" s="411"/>
      <c r="E3" s="411"/>
      <c r="F3" s="410"/>
      <c r="G3" s="410"/>
      <c r="H3" s="409"/>
      <c r="J3" s="408" t="s">
        <v>2113</v>
      </c>
      <c r="K3"/>
      <c r="L3"/>
      <c r="M3"/>
      <c r="N3"/>
      <c r="O3"/>
      <c r="P3"/>
      <c r="Q3"/>
      <c r="R3"/>
      <c r="S3"/>
      <c r="T3"/>
      <c r="U3"/>
      <c r="V3"/>
      <c r="W3"/>
      <c r="X3"/>
      <c r="Y3"/>
      <c r="Z3"/>
      <c r="AA3"/>
      <c r="AB3"/>
      <c r="AC3"/>
      <c r="AD3"/>
      <c r="AE3"/>
      <c r="AF3"/>
      <c r="AG3"/>
      <c r="AH3"/>
      <c r="AI3"/>
      <c r="AJ3"/>
      <c r="AK3"/>
      <c r="AL3"/>
    </row>
    <row r="4" spans="1:38" ht="20.25" customHeight="1" thickBot="1" x14ac:dyDescent="0.25">
      <c r="A4" s="407" t="s">
        <v>1</v>
      </c>
      <c r="B4" s="406" t="s">
        <v>3073</v>
      </c>
      <c r="C4" s="405"/>
      <c r="D4" s="404"/>
      <c r="E4" s="404"/>
      <c r="F4" s="403"/>
      <c r="G4" s="403"/>
      <c r="H4" s="402"/>
      <c r="J4" s="401" t="s">
        <v>2115</v>
      </c>
      <c r="K4"/>
      <c r="L4"/>
      <c r="M4"/>
      <c r="N4"/>
      <c r="O4"/>
      <c r="P4"/>
      <c r="Q4"/>
      <c r="R4"/>
      <c r="S4"/>
      <c r="T4"/>
      <c r="U4"/>
      <c r="V4"/>
      <c r="W4"/>
      <c r="X4"/>
      <c r="Y4"/>
      <c r="Z4"/>
      <c r="AA4"/>
      <c r="AB4"/>
      <c r="AC4"/>
      <c r="AD4"/>
      <c r="AE4"/>
      <c r="AF4"/>
      <c r="AG4"/>
      <c r="AH4"/>
      <c r="AI4"/>
      <c r="AJ4"/>
      <c r="AK4"/>
      <c r="AL4"/>
    </row>
    <row r="5" spans="1:38" ht="13.5" customHeight="1" thickBot="1" x14ac:dyDescent="0.25">
      <c r="B5" s="635" t="s">
        <v>3</v>
      </c>
      <c r="C5" s="635" t="s">
        <v>2108</v>
      </c>
      <c r="D5" s="633" t="s">
        <v>2109</v>
      </c>
      <c r="E5" s="633" t="s">
        <v>2124</v>
      </c>
      <c r="F5" s="633" t="s">
        <v>2110</v>
      </c>
      <c r="G5" s="633" t="s">
        <v>2101</v>
      </c>
      <c r="J5" s="400" t="s">
        <v>2114</v>
      </c>
      <c r="K5"/>
      <c r="L5"/>
      <c r="M5"/>
      <c r="N5"/>
      <c r="O5"/>
      <c r="P5"/>
      <c r="Q5"/>
      <c r="R5"/>
      <c r="S5"/>
      <c r="T5"/>
      <c r="U5"/>
      <c r="V5"/>
      <c r="W5"/>
      <c r="X5"/>
      <c r="Y5"/>
      <c r="Z5"/>
      <c r="AA5"/>
      <c r="AB5"/>
      <c r="AC5"/>
      <c r="AD5"/>
      <c r="AE5"/>
      <c r="AF5"/>
      <c r="AG5"/>
      <c r="AH5"/>
      <c r="AI5"/>
      <c r="AJ5"/>
      <c r="AK5"/>
      <c r="AL5"/>
    </row>
    <row r="6" spans="1:38" ht="13.5" customHeight="1" thickBot="1" x14ac:dyDescent="0.25">
      <c r="B6" s="634"/>
      <c r="C6" s="634"/>
      <c r="D6" s="634"/>
      <c r="E6" s="634"/>
      <c r="F6" s="634"/>
      <c r="G6" s="634"/>
      <c r="K6"/>
      <c r="L6"/>
      <c r="M6"/>
      <c r="N6"/>
      <c r="O6"/>
      <c r="P6"/>
      <c r="Q6"/>
      <c r="R6"/>
      <c r="S6"/>
      <c r="T6"/>
      <c r="U6"/>
      <c r="V6"/>
      <c r="W6"/>
      <c r="X6"/>
      <c r="Y6"/>
      <c r="Z6"/>
      <c r="AA6"/>
      <c r="AB6"/>
      <c r="AC6"/>
      <c r="AD6"/>
      <c r="AE6"/>
      <c r="AF6"/>
      <c r="AG6"/>
      <c r="AH6"/>
      <c r="AI6"/>
      <c r="AJ6"/>
      <c r="AK6"/>
      <c r="AL6"/>
    </row>
    <row r="7" spans="1:38" ht="13.5" customHeight="1" thickBot="1" x14ac:dyDescent="0.25">
      <c r="A7" s="205"/>
      <c r="B7" s="215" t="s">
        <v>2116</v>
      </c>
      <c r="C7" s="216"/>
      <c r="D7" s="396"/>
      <c r="E7" s="396"/>
      <c r="F7" s="213"/>
      <c r="G7" s="214"/>
      <c r="H7" s="205"/>
      <c r="I7" s="205"/>
      <c r="J7" s="205"/>
      <c r="K7"/>
      <c r="L7"/>
      <c r="M7"/>
      <c r="N7"/>
      <c r="O7"/>
      <c r="P7"/>
      <c r="Q7"/>
      <c r="R7"/>
      <c r="S7"/>
      <c r="T7"/>
      <c r="U7"/>
      <c r="V7"/>
      <c r="W7"/>
      <c r="X7"/>
      <c r="Y7"/>
      <c r="Z7"/>
      <c r="AA7"/>
      <c r="AB7"/>
      <c r="AC7"/>
      <c r="AD7"/>
      <c r="AE7"/>
      <c r="AF7"/>
      <c r="AG7"/>
      <c r="AH7"/>
      <c r="AI7"/>
      <c r="AJ7"/>
      <c r="AK7"/>
      <c r="AL7"/>
    </row>
    <row r="8" spans="1:38" x14ac:dyDescent="0.2">
      <c r="B8" s="392" t="s">
        <v>2117</v>
      </c>
      <c r="C8" s="399" t="s">
        <v>2</v>
      </c>
      <c r="D8" s="394"/>
      <c r="E8" s="394"/>
      <c r="F8" s="212" t="s">
        <v>2112</v>
      </c>
      <c r="G8" s="394"/>
      <c r="K8"/>
      <c r="L8"/>
      <c r="M8"/>
      <c r="N8"/>
      <c r="O8"/>
      <c r="P8"/>
      <c r="Q8"/>
      <c r="R8"/>
      <c r="S8"/>
      <c r="T8"/>
      <c r="U8"/>
      <c r="V8"/>
      <c r="W8"/>
      <c r="X8"/>
      <c r="Y8"/>
      <c r="Z8"/>
      <c r="AA8"/>
      <c r="AB8"/>
      <c r="AC8"/>
      <c r="AD8"/>
      <c r="AE8"/>
      <c r="AF8"/>
      <c r="AG8"/>
      <c r="AH8"/>
      <c r="AI8"/>
      <c r="AJ8"/>
      <c r="AK8"/>
      <c r="AL8"/>
    </row>
    <row r="9" spans="1:38" x14ac:dyDescent="0.2">
      <c r="B9" s="392" t="s">
        <v>40</v>
      </c>
      <c r="C9" s="393" t="s">
        <v>2</v>
      </c>
      <c r="D9" s="392"/>
      <c r="E9" s="392"/>
      <c r="F9" s="210" t="s">
        <v>2113</v>
      </c>
      <c r="G9" s="392"/>
      <c r="K9"/>
      <c r="L9"/>
      <c r="M9"/>
      <c r="N9"/>
      <c r="O9"/>
      <c r="P9"/>
      <c r="Q9"/>
      <c r="R9"/>
      <c r="S9"/>
      <c r="T9"/>
      <c r="U9"/>
      <c r="V9"/>
      <c r="W9"/>
      <c r="X9"/>
      <c r="Y9"/>
      <c r="Z9"/>
      <c r="AA9"/>
      <c r="AB9"/>
      <c r="AC9"/>
      <c r="AD9"/>
      <c r="AE9"/>
      <c r="AF9"/>
      <c r="AG9"/>
      <c r="AH9"/>
      <c r="AI9"/>
      <c r="AJ9"/>
      <c r="AK9"/>
      <c r="AL9"/>
    </row>
    <row r="10" spans="1:38" x14ac:dyDescent="0.2">
      <c r="B10" s="392" t="s">
        <v>10</v>
      </c>
      <c r="C10" s="393" t="s">
        <v>2</v>
      </c>
      <c r="D10" s="392" t="s">
        <v>3298</v>
      </c>
      <c r="E10" s="392" t="s">
        <v>3297</v>
      </c>
      <c r="F10" s="210" t="s">
        <v>2115</v>
      </c>
      <c r="G10" s="392" t="s">
        <v>3296</v>
      </c>
      <c r="K10"/>
      <c r="L10"/>
      <c r="M10"/>
      <c r="N10"/>
      <c r="O10"/>
      <c r="P10"/>
      <c r="Q10"/>
      <c r="R10"/>
      <c r="S10"/>
      <c r="T10"/>
      <c r="U10"/>
      <c r="V10"/>
      <c r="W10"/>
      <c r="X10"/>
      <c r="Y10"/>
      <c r="Z10"/>
      <c r="AA10"/>
      <c r="AB10"/>
      <c r="AC10"/>
      <c r="AD10"/>
      <c r="AE10"/>
      <c r="AF10"/>
      <c r="AG10"/>
      <c r="AH10"/>
      <c r="AI10"/>
      <c r="AJ10"/>
      <c r="AK10"/>
      <c r="AL10"/>
    </row>
    <row r="11" spans="1:38" x14ac:dyDescent="0.2">
      <c r="B11" s="392" t="s">
        <v>229</v>
      </c>
      <c r="C11" s="393" t="s">
        <v>2</v>
      </c>
      <c r="D11" s="392" t="s">
        <v>3295</v>
      </c>
      <c r="E11" s="392" t="s">
        <v>3294</v>
      </c>
      <c r="F11" s="210" t="s">
        <v>2115</v>
      </c>
      <c r="G11" s="392" t="s">
        <v>3293</v>
      </c>
      <c r="K11"/>
      <c r="L11"/>
      <c r="M11"/>
      <c r="N11"/>
      <c r="O11"/>
      <c r="P11"/>
      <c r="Q11"/>
      <c r="R11"/>
      <c r="S11"/>
      <c r="T11"/>
      <c r="U11"/>
      <c r="V11"/>
      <c r="W11"/>
      <c r="X11"/>
      <c r="Y11"/>
      <c r="Z11"/>
      <c r="AA11"/>
      <c r="AB11"/>
      <c r="AC11"/>
      <c r="AD11"/>
      <c r="AE11"/>
      <c r="AF11"/>
      <c r="AG11"/>
      <c r="AH11"/>
      <c r="AI11"/>
      <c r="AJ11"/>
      <c r="AK11"/>
      <c r="AL11"/>
    </row>
    <row r="12" spans="1:38" x14ac:dyDescent="0.2">
      <c r="B12" s="392" t="s">
        <v>1618</v>
      </c>
      <c r="C12" s="393" t="s">
        <v>2</v>
      </c>
      <c r="D12" s="392"/>
      <c r="E12" s="392"/>
      <c r="F12" s="210" t="s">
        <v>2112</v>
      </c>
      <c r="G12" s="392"/>
      <c r="K12"/>
      <c r="L12"/>
      <c r="M12"/>
      <c r="N12"/>
      <c r="O12"/>
      <c r="P12"/>
      <c r="Q12"/>
      <c r="R12"/>
      <c r="S12"/>
      <c r="T12"/>
      <c r="U12"/>
      <c r="V12"/>
      <c r="W12"/>
      <c r="X12"/>
      <c r="Y12"/>
      <c r="Z12"/>
      <c r="AA12"/>
      <c r="AB12"/>
      <c r="AC12"/>
      <c r="AD12"/>
      <c r="AE12"/>
      <c r="AF12"/>
      <c r="AG12"/>
      <c r="AH12"/>
      <c r="AI12"/>
      <c r="AJ12"/>
      <c r="AK12"/>
      <c r="AL12"/>
    </row>
    <row r="13" spans="1:38" x14ac:dyDescent="0.2">
      <c r="A13" s="205"/>
      <c r="B13" s="392" t="s">
        <v>2141</v>
      </c>
      <c r="C13" s="393" t="s">
        <v>41</v>
      </c>
      <c r="D13" s="392"/>
      <c r="E13" s="392"/>
      <c r="F13" s="210" t="s">
        <v>2115</v>
      </c>
      <c r="G13" s="392" t="s">
        <v>3292</v>
      </c>
      <c r="H13" s="205"/>
      <c r="I13" s="205"/>
      <c r="J13" s="205"/>
      <c r="K13"/>
      <c r="L13"/>
      <c r="M13"/>
      <c r="N13"/>
      <c r="O13"/>
      <c r="P13"/>
      <c r="Q13"/>
      <c r="R13"/>
      <c r="S13"/>
      <c r="T13"/>
      <c r="U13"/>
      <c r="V13"/>
      <c r="W13"/>
      <c r="X13"/>
      <c r="Y13"/>
      <c r="Z13"/>
      <c r="AA13"/>
      <c r="AB13"/>
      <c r="AC13"/>
      <c r="AD13"/>
      <c r="AE13"/>
      <c r="AF13"/>
      <c r="AG13"/>
      <c r="AH13"/>
      <c r="AI13"/>
      <c r="AJ13"/>
      <c r="AK13"/>
      <c r="AL13"/>
    </row>
    <row r="14" spans="1:38" x14ac:dyDescent="0.2">
      <c r="B14" s="392" t="s">
        <v>2142</v>
      </c>
      <c r="C14" s="393" t="s">
        <v>41</v>
      </c>
      <c r="D14" s="392"/>
      <c r="E14" s="392"/>
      <c r="F14" s="210" t="s">
        <v>2115</v>
      </c>
      <c r="G14" s="392" t="s">
        <v>3292</v>
      </c>
      <c r="K14"/>
      <c r="L14"/>
      <c r="M14"/>
      <c r="N14"/>
      <c r="O14"/>
      <c r="P14"/>
      <c r="Q14"/>
      <c r="R14"/>
      <c r="S14"/>
      <c r="T14"/>
      <c r="U14"/>
      <c r="V14"/>
      <c r="W14"/>
      <c r="X14"/>
      <c r="Y14"/>
      <c r="Z14"/>
      <c r="AA14"/>
      <c r="AB14"/>
      <c r="AC14"/>
      <c r="AD14"/>
      <c r="AE14"/>
      <c r="AF14"/>
      <c r="AG14"/>
      <c r="AH14"/>
      <c r="AI14"/>
      <c r="AJ14"/>
      <c r="AK14"/>
      <c r="AL14"/>
    </row>
    <row r="15" spans="1:38" x14ac:dyDescent="0.2">
      <c r="B15" s="392" t="s">
        <v>2143</v>
      </c>
      <c r="C15" s="393" t="s">
        <v>41</v>
      </c>
      <c r="D15" s="392"/>
      <c r="E15" s="392"/>
      <c r="F15" s="210" t="s">
        <v>2115</v>
      </c>
      <c r="G15" s="392" t="s">
        <v>3292</v>
      </c>
      <c r="K15"/>
      <c r="L15"/>
      <c r="M15"/>
      <c r="N15"/>
      <c r="O15"/>
      <c r="P15"/>
      <c r="Q15"/>
      <c r="R15"/>
      <c r="S15"/>
      <c r="T15"/>
      <c r="U15"/>
      <c r="V15"/>
      <c r="W15"/>
      <c r="X15"/>
      <c r="Y15"/>
      <c r="Z15"/>
      <c r="AA15"/>
      <c r="AB15"/>
      <c r="AC15"/>
      <c r="AD15"/>
      <c r="AE15"/>
      <c r="AF15"/>
      <c r="AG15"/>
      <c r="AH15"/>
      <c r="AI15"/>
      <c r="AJ15"/>
      <c r="AK15"/>
      <c r="AL15"/>
    </row>
    <row r="16" spans="1:38" x14ac:dyDescent="0.2">
      <c r="B16" s="392" t="s">
        <v>2144</v>
      </c>
      <c r="C16" s="393" t="s">
        <v>41</v>
      </c>
      <c r="D16" s="392"/>
      <c r="E16" s="392"/>
      <c r="F16" s="210" t="s">
        <v>2115</v>
      </c>
      <c r="G16" s="392" t="s">
        <v>3292</v>
      </c>
      <c r="K16"/>
      <c r="L16"/>
      <c r="M16"/>
      <c r="N16"/>
      <c r="O16"/>
      <c r="P16"/>
      <c r="Q16"/>
      <c r="R16"/>
      <c r="S16"/>
      <c r="T16"/>
      <c r="U16"/>
      <c r="V16"/>
      <c r="W16"/>
      <c r="X16"/>
      <c r="Y16"/>
      <c r="Z16"/>
      <c r="AA16"/>
      <c r="AB16"/>
      <c r="AC16"/>
      <c r="AD16"/>
      <c r="AE16"/>
      <c r="AF16"/>
      <c r="AG16"/>
      <c r="AH16"/>
      <c r="AI16"/>
      <c r="AJ16"/>
      <c r="AK16"/>
      <c r="AL16"/>
    </row>
    <row r="17" spans="2:38" x14ac:dyDescent="0.2">
      <c r="B17" s="392" t="s">
        <v>2145</v>
      </c>
      <c r="C17" s="393" t="s">
        <v>41</v>
      </c>
      <c r="D17" s="392"/>
      <c r="E17" s="392"/>
      <c r="F17" s="210" t="s">
        <v>2115</v>
      </c>
      <c r="G17" s="392" t="s">
        <v>3292</v>
      </c>
      <c r="K17"/>
      <c r="L17"/>
      <c r="M17"/>
      <c r="N17"/>
      <c r="O17"/>
      <c r="P17"/>
      <c r="Q17"/>
      <c r="R17"/>
      <c r="S17"/>
      <c r="T17"/>
      <c r="U17"/>
      <c r="V17"/>
      <c r="W17"/>
      <c r="X17"/>
      <c r="Y17"/>
      <c r="Z17"/>
      <c r="AA17"/>
      <c r="AB17"/>
      <c r="AC17"/>
      <c r="AD17"/>
      <c r="AE17"/>
      <c r="AF17"/>
      <c r="AG17"/>
      <c r="AH17"/>
      <c r="AI17"/>
      <c r="AJ17"/>
      <c r="AK17"/>
      <c r="AL17"/>
    </row>
    <row r="18" spans="2:38" x14ac:dyDescent="0.2">
      <c r="B18" s="392" t="s">
        <v>2146</v>
      </c>
      <c r="C18" s="393" t="s">
        <v>41</v>
      </c>
      <c r="D18" s="392"/>
      <c r="E18" s="392"/>
      <c r="F18" s="210" t="s">
        <v>2115</v>
      </c>
      <c r="G18" s="392" t="s">
        <v>3292</v>
      </c>
      <c r="K18"/>
      <c r="L18"/>
      <c r="M18"/>
      <c r="N18"/>
      <c r="O18"/>
      <c r="P18"/>
      <c r="Q18"/>
      <c r="R18"/>
      <c r="S18"/>
      <c r="T18"/>
      <c r="U18"/>
      <c r="V18"/>
      <c r="W18"/>
      <c r="X18"/>
      <c r="Y18"/>
      <c r="Z18"/>
      <c r="AA18"/>
      <c r="AB18"/>
      <c r="AC18"/>
      <c r="AD18"/>
      <c r="AE18"/>
      <c r="AF18"/>
      <c r="AG18"/>
      <c r="AH18"/>
      <c r="AI18"/>
      <c r="AJ18"/>
      <c r="AK18"/>
      <c r="AL18"/>
    </row>
    <row r="19" spans="2:38" x14ac:dyDescent="0.2">
      <c r="B19" s="392" t="s">
        <v>2164</v>
      </c>
      <c r="C19" s="393" t="s">
        <v>41</v>
      </c>
      <c r="D19" s="392"/>
      <c r="E19" s="392"/>
      <c r="F19" s="210" t="s">
        <v>2115</v>
      </c>
      <c r="G19" s="392" t="s">
        <v>3292</v>
      </c>
      <c r="K19"/>
      <c r="L19"/>
      <c r="M19"/>
      <c r="N19"/>
      <c r="O19"/>
      <c r="P19"/>
      <c r="Q19"/>
      <c r="R19"/>
      <c r="S19"/>
      <c r="T19"/>
      <c r="U19"/>
      <c r="V19"/>
      <c r="W19"/>
      <c r="X19"/>
      <c r="Y19"/>
      <c r="Z19"/>
      <c r="AA19"/>
      <c r="AB19"/>
      <c r="AC19"/>
      <c r="AD19"/>
      <c r="AE19"/>
      <c r="AF19"/>
      <c r="AG19"/>
      <c r="AH19"/>
      <c r="AI19"/>
      <c r="AJ19"/>
      <c r="AK19"/>
      <c r="AL19"/>
    </row>
    <row r="20" spans="2:38" x14ac:dyDescent="0.2">
      <c r="B20" s="392" t="s">
        <v>2165</v>
      </c>
      <c r="C20" s="393" t="s">
        <v>41</v>
      </c>
      <c r="D20" s="392"/>
      <c r="E20" s="392"/>
      <c r="F20" s="210" t="s">
        <v>2115</v>
      </c>
      <c r="G20" s="392" t="s">
        <v>3292</v>
      </c>
      <c r="K20"/>
      <c r="L20"/>
      <c r="M20"/>
      <c r="N20"/>
      <c r="O20"/>
      <c r="P20"/>
      <c r="Q20"/>
      <c r="R20"/>
      <c r="S20"/>
      <c r="T20"/>
      <c r="U20"/>
      <c r="V20"/>
      <c r="W20"/>
      <c r="X20"/>
      <c r="Y20"/>
      <c r="Z20"/>
      <c r="AA20"/>
      <c r="AB20"/>
      <c r="AC20"/>
      <c r="AD20"/>
      <c r="AE20"/>
      <c r="AF20"/>
      <c r="AG20"/>
      <c r="AH20"/>
      <c r="AI20"/>
      <c r="AJ20"/>
      <c r="AK20"/>
      <c r="AL20"/>
    </row>
    <row r="21" spans="2:38" x14ac:dyDescent="0.2">
      <c r="B21" s="392" t="s">
        <v>2166</v>
      </c>
      <c r="C21" s="393" t="s">
        <v>41</v>
      </c>
      <c r="D21" s="392"/>
      <c r="E21" s="392"/>
      <c r="F21" s="210" t="s">
        <v>2115</v>
      </c>
      <c r="G21" s="392" t="s">
        <v>3292</v>
      </c>
      <c r="K21"/>
      <c r="L21"/>
      <c r="M21"/>
      <c r="N21"/>
      <c r="O21"/>
      <c r="P21"/>
      <c r="Q21"/>
      <c r="R21"/>
      <c r="S21"/>
      <c r="T21"/>
      <c r="U21"/>
      <c r="V21"/>
      <c r="W21"/>
      <c r="X21"/>
      <c r="Y21"/>
      <c r="Z21"/>
      <c r="AA21"/>
      <c r="AB21"/>
      <c r="AC21"/>
      <c r="AD21"/>
      <c r="AE21"/>
      <c r="AF21"/>
      <c r="AG21"/>
      <c r="AH21"/>
      <c r="AI21"/>
      <c r="AJ21"/>
      <c r="AK21"/>
      <c r="AL21"/>
    </row>
    <row r="22" spans="2:38" x14ac:dyDescent="0.2">
      <c r="B22" s="392" t="s">
        <v>2167</v>
      </c>
      <c r="C22" s="393" t="s">
        <v>41</v>
      </c>
      <c r="D22" s="392"/>
      <c r="E22" s="392"/>
      <c r="F22" s="210" t="s">
        <v>2115</v>
      </c>
      <c r="G22" s="392" t="s">
        <v>3292</v>
      </c>
      <c r="K22"/>
      <c r="L22"/>
      <c r="M22"/>
      <c r="N22"/>
      <c r="O22"/>
      <c r="P22"/>
      <c r="Q22"/>
      <c r="R22"/>
      <c r="S22"/>
      <c r="T22"/>
      <c r="U22"/>
      <c r="V22"/>
      <c r="W22"/>
      <c r="X22"/>
      <c r="Y22"/>
      <c r="Z22"/>
      <c r="AA22"/>
      <c r="AB22"/>
      <c r="AC22"/>
      <c r="AD22"/>
      <c r="AE22"/>
      <c r="AF22"/>
      <c r="AG22"/>
      <c r="AH22"/>
      <c r="AI22"/>
      <c r="AJ22"/>
      <c r="AK22"/>
      <c r="AL22"/>
    </row>
    <row r="23" spans="2:38" ht="13.5" thickBot="1" x14ac:dyDescent="0.25">
      <c r="B23" s="392" t="s">
        <v>2168</v>
      </c>
      <c r="C23" s="393" t="s">
        <v>41</v>
      </c>
      <c r="D23" s="392"/>
      <c r="E23" s="392"/>
      <c r="F23" s="210" t="s">
        <v>2115</v>
      </c>
      <c r="G23" s="392" t="s">
        <v>3292</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215" t="s">
        <v>2118</v>
      </c>
      <c r="C24" s="216"/>
      <c r="D24" s="396"/>
      <c r="E24" s="396"/>
      <c r="F24" s="213"/>
      <c r="G24" s="214"/>
      <c r="K24"/>
      <c r="L24"/>
      <c r="M24"/>
      <c r="N24"/>
      <c r="O24"/>
      <c r="P24"/>
      <c r="Q24"/>
      <c r="R24"/>
      <c r="S24"/>
      <c r="T24"/>
      <c r="U24"/>
      <c r="V24"/>
      <c r="W24"/>
      <c r="X24"/>
      <c r="Y24"/>
      <c r="Z24"/>
      <c r="AA24"/>
      <c r="AB24"/>
      <c r="AC24"/>
      <c r="AD24"/>
      <c r="AE24"/>
      <c r="AF24"/>
      <c r="AG24"/>
      <c r="AH24"/>
      <c r="AI24"/>
      <c r="AJ24"/>
      <c r="AK24"/>
      <c r="AL24"/>
    </row>
    <row r="25" spans="2:38" x14ac:dyDescent="0.2">
      <c r="B25" s="392" t="s">
        <v>2117</v>
      </c>
      <c r="C25" s="395" t="s">
        <v>2118</v>
      </c>
      <c r="D25" s="394"/>
      <c r="E25" s="394"/>
      <c r="F25" s="212" t="s">
        <v>2112</v>
      </c>
      <c r="G25" s="394"/>
      <c r="K25"/>
      <c r="L25"/>
      <c r="M25"/>
      <c r="N25"/>
      <c r="O25"/>
      <c r="P25"/>
      <c r="Q25"/>
      <c r="R25"/>
      <c r="S25"/>
      <c r="T25"/>
      <c r="U25"/>
      <c r="V25"/>
      <c r="W25"/>
      <c r="X25"/>
      <c r="Y25"/>
      <c r="Z25"/>
      <c r="AA25"/>
      <c r="AB25"/>
      <c r="AC25"/>
      <c r="AD25"/>
      <c r="AE25"/>
      <c r="AF25"/>
      <c r="AG25"/>
      <c r="AH25"/>
      <c r="AI25"/>
      <c r="AJ25"/>
      <c r="AK25"/>
      <c r="AL25"/>
    </row>
    <row r="26" spans="2:38" x14ac:dyDescent="0.2">
      <c r="B26" s="392" t="s">
        <v>40</v>
      </c>
      <c r="C26" s="393" t="s">
        <v>2118</v>
      </c>
      <c r="D26" s="392"/>
      <c r="E26" s="392"/>
      <c r="F26" s="210" t="s">
        <v>2112</v>
      </c>
      <c r="G26" s="392"/>
      <c r="K26"/>
      <c r="L26"/>
      <c r="M26"/>
      <c r="N26"/>
      <c r="O26"/>
      <c r="P26"/>
      <c r="Q26"/>
      <c r="R26"/>
      <c r="S26"/>
      <c r="T26"/>
      <c r="U26"/>
      <c r="V26"/>
      <c r="W26"/>
      <c r="X26"/>
      <c r="Y26"/>
      <c r="Z26"/>
      <c r="AA26"/>
      <c r="AB26"/>
      <c r="AC26"/>
      <c r="AD26"/>
      <c r="AE26"/>
      <c r="AF26"/>
      <c r="AG26"/>
      <c r="AH26"/>
      <c r="AI26"/>
      <c r="AJ26"/>
      <c r="AK26"/>
      <c r="AL26"/>
    </row>
    <row r="27" spans="2:38" x14ac:dyDescent="0.2">
      <c r="B27" s="392" t="s">
        <v>10</v>
      </c>
      <c r="C27" s="393" t="s">
        <v>2118</v>
      </c>
      <c r="D27" s="392"/>
      <c r="E27" s="392"/>
      <c r="F27" s="210" t="s">
        <v>2112</v>
      </c>
      <c r="G27" s="392"/>
      <c r="K27"/>
      <c r="L27"/>
      <c r="M27"/>
      <c r="N27"/>
      <c r="O27"/>
      <c r="P27"/>
      <c r="Q27"/>
      <c r="R27"/>
      <c r="S27"/>
      <c r="T27"/>
      <c r="U27"/>
      <c r="V27"/>
      <c r="W27"/>
      <c r="X27"/>
      <c r="Y27"/>
      <c r="Z27"/>
      <c r="AA27"/>
      <c r="AB27"/>
      <c r="AC27"/>
      <c r="AD27"/>
      <c r="AE27"/>
      <c r="AF27"/>
      <c r="AG27"/>
      <c r="AH27"/>
      <c r="AI27"/>
      <c r="AJ27"/>
      <c r="AK27"/>
      <c r="AL27"/>
    </row>
    <row r="28" spans="2:38" x14ac:dyDescent="0.2">
      <c r="B28" s="392" t="s">
        <v>229</v>
      </c>
      <c r="C28" s="393" t="s">
        <v>2118</v>
      </c>
      <c r="D28" s="392"/>
      <c r="E28" s="392"/>
      <c r="F28" s="210" t="s">
        <v>2112</v>
      </c>
      <c r="G28" s="392"/>
      <c r="K28"/>
      <c r="L28"/>
      <c r="M28"/>
      <c r="N28"/>
      <c r="O28"/>
      <c r="P28"/>
      <c r="Q28"/>
      <c r="R28"/>
      <c r="S28"/>
      <c r="T28"/>
      <c r="U28"/>
      <c r="V28"/>
      <c r="W28"/>
      <c r="X28"/>
      <c r="Y28"/>
      <c r="Z28"/>
      <c r="AA28"/>
      <c r="AB28"/>
      <c r="AC28"/>
      <c r="AD28"/>
      <c r="AE28"/>
      <c r="AF28"/>
      <c r="AG28"/>
      <c r="AH28"/>
      <c r="AI28"/>
      <c r="AJ28"/>
      <c r="AK28"/>
      <c r="AL28"/>
    </row>
    <row r="29" spans="2:38" x14ac:dyDescent="0.2">
      <c r="B29" s="392" t="s">
        <v>1618</v>
      </c>
      <c r="C29" s="393" t="s">
        <v>2118</v>
      </c>
      <c r="D29" s="392"/>
      <c r="E29" s="392"/>
      <c r="F29" s="210" t="s">
        <v>2112</v>
      </c>
      <c r="G29" s="392"/>
      <c r="K29"/>
      <c r="L29"/>
      <c r="M29"/>
      <c r="N29"/>
      <c r="O29"/>
      <c r="P29"/>
      <c r="Q29"/>
      <c r="R29"/>
      <c r="S29"/>
      <c r="T29"/>
      <c r="U29"/>
      <c r="V29"/>
      <c r="W29"/>
      <c r="X29"/>
      <c r="Y29"/>
      <c r="Z29"/>
      <c r="AA29"/>
      <c r="AB29"/>
      <c r="AC29"/>
      <c r="AD29"/>
      <c r="AE29"/>
      <c r="AF29"/>
      <c r="AG29"/>
      <c r="AH29"/>
      <c r="AI29"/>
      <c r="AJ29"/>
      <c r="AK29"/>
      <c r="AL29"/>
    </row>
    <row r="30" spans="2:38" x14ac:dyDescent="0.2">
      <c r="B30" s="392" t="s">
        <v>1280</v>
      </c>
      <c r="C30" s="393" t="s">
        <v>2118</v>
      </c>
      <c r="D30" s="392" t="s">
        <v>3291</v>
      </c>
      <c r="E30" s="392" t="s">
        <v>3275</v>
      </c>
      <c r="F30" s="210" t="s">
        <v>2115</v>
      </c>
      <c r="G30" s="392" t="s">
        <v>3274</v>
      </c>
      <c r="K30"/>
      <c r="L30"/>
      <c r="M30"/>
      <c r="N30"/>
      <c r="O30"/>
      <c r="P30"/>
      <c r="Q30"/>
      <c r="R30"/>
      <c r="S30"/>
      <c r="T30"/>
      <c r="U30"/>
      <c r="V30"/>
      <c r="W30"/>
      <c r="X30"/>
      <c r="Y30"/>
      <c r="Z30"/>
      <c r="AA30"/>
      <c r="AB30"/>
      <c r="AC30"/>
      <c r="AD30"/>
      <c r="AE30"/>
      <c r="AF30"/>
      <c r="AG30"/>
      <c r="AH30"/>
      <c r="AI30"/>
      <c r="AJ30"/>
      <c r="AK30"/>
      <c r="AL30"/>
    </row>
    <row r="31" spans="2:38" x14ac:dyDescent="0.2">
      <c r="B31" s="392" t="s">
        <v>1281</v>
      </c>
      <c r="C31" s="393" t="s">
        <v>2118</v>
      </c>
      <c r="D31" s="392" t="s">
        <v>3290</v>
      </c>
      <c r="E31" s="392" t="s">
        <v>3275</v>
      </c>
      <c r="F31" s="210" t="s">
        <v>2115</v>
      </c>
      <c r="G31" s="392" t="s">
        <v>3289</v>
      </c>
      <c r="K31"/>
      <c r="L31"/>
      <c r="M31"/>
      <c r="N31"/>
      <c r="O31"/>
      <c r="P31"/>
      <c r="Q31"/>
      <c r="R31"/>
      <c r="S31"/>
      <c r="T31"/>
      <c r="U31"/>
      <c r="V31"/>
      <c r="W31"/>
      <c r="X31"/>
      <c r="Y31"/>
      <c r="Z31"/>
      <c r="AA31"/>
      <c r="AB31"/>
      <c r="AC31"/>
      <c r="AD31"/>
      <c r="AE31"/>
      <c r="AF31"/>
      <c r="AG31"/>
      <c r="AH31"/>
      <c r="AI31"/>
      <c r="AJ31"/>
      <c r="AK31"/>
      <c r="AL31"/>
    </row>
    <row r="32" spans="2:38" x14ac:dyDescent="0.2">
      <c r="B32" s="392" t="s">
        <v>2085</v>
      </c>
      <c r="C32" s="393" t="s">
        <v>2118</v>
      </c>
      <c r="D32" s="392" t="s">
        <v>3288</v>
      </c>
      <c r="E32" s="392" t="s">
        <v>3275</v>
      </c>
      <c r="F32" s="210" t="s">
        <v>2115</v>
      </c>
      <c r="G32" s="392" t="s">
        <v>3274</v>
      </c>
      <c r="K32"/>
      <c r="L32"/>
      <c r="M32"/>
      <c r="N32"/>
      <c r="O32"/>
      <c r="P32"/>
      <c r="Q32"/>
      <c r="R32"/>
      <c r="S32"/>
      <c r="T32"/>
      <c r="U32"/>
      <c r="V32"/>
      <c r="W32"/>
      <c r="X32"/>
      <c r="Y32"/>
      <c r="Z32"/>
      <c r="AA32"/>
      <c r="AB32"/>
      <c r="AC32"/>
      <c r="AD32"/>
      <c r="AE32"/>
      <c r="AF32"/>
      <c r="AG32"/>
      <c r="AH32"/>
      <c r="AI32"/>
      <c r="AJ32"/>
      <c r="AK32"/>
      <c r="AL32"/>
    </row>
    <row r="33" spans="2:38" x14ac:dyDescent="0.2">
      <c r="B33" s="392" t="s">
        <v>2086</v>
      </c>
      <c r="C33" s="393" t="s">
        <v>2118</v>
      </c>
      <c r="D33" s="392" t="s">
        <v>3287</v>
      </c>
      <c r="E33" s="392" t="s">
        <v>3275</v>
      </c>
      <c r="F33" s="210" t="s">
        <v>2115</v>
      </c>
      <c r="G33" s="392" t="s">
        <v>3274</v>
      </c>
      <c r="K33"/>
      <c r="L33"/>
      <c r="M33"/>
      <c r="N33"/>
      <c r="O33"/>
      <c r="P33"/>
      <c r="Q33"/>
      <c r="R33"/>
      <c r="S33"/>
      <c r="T33"/>
      <c r="U33"/>
      <c r="V33"/>
      <c r="W33"/>
      <c r="X33"/>
      <c r="Y33"/>
      <c r="Z33"/>
      <c r="AA33"/>
      <c r="AB33"/>
      <c r="AC33"/>
      <c r="AD33"/>
      <c r="AE33"/>
      <c r="AF33"/>
      <c r="AG33"/>
      <c r="AH33"/>
      <c r="AI33"/>
      <c r="AJ33"/>
      <c r="AK33"/>
      <c r="AL33"/>
    </row>
    <row r="34" spans="2:38" x14ac:dyDescent="0.2">
      <c r="B34" s="392" t="s">
        <v>2087</v>
      </c>
      <c r="C34" s="393" t="s">
        <v>2118</v>
      </c>
      <c r="D34" s="392" t="s">
        <v>3286</v>
      </c>
      <c r="E34" s="392" t="s">
        <v>3275</v>
      </c>
      <c r="F34" s="210" t="s">
        <v>2115</v>
      </c>
      <c r="G34" s="392" t="s">
        <v>3274</v>
      </c>
      <c r="K34"/>
      <c r="L34"/>
      <c r="M34"/>
      <c r="N34"/>
      <c r="O34"/>
      <c r="P34"/>
      <c r="Q34"/>
      <c r="R34"/>
      <c r="S34"/>
      <c r="T34"/>
      <c r="U34"/>
      <c r="V34"/>
      <c r="W34"/>
      <c r="X34"/>
      <c r="Y34"/>
      <c r="Z34"/>
      <c r="AA34"/>
      <c r="AB34"/>
      <c r="AC34"/>
      <c r="AD34"/>
      <c r="AE34"/>
      <c r="AF34"/>
      <c r="AG34"/>
      <c r="AH34"/>
      <c r="AI34"/>
      <c r="AJ34"/>
      <c r="AK34"/>
      <c r="AL34"/>
    </row>
    <row r="35" spans="2:38" x14ac:dyDescent="0.2">
      <c r="B35" s="392" t="s">
        <v>2088</v>
      </c>
      <c r="C35" s="393" t="s">
        <v>2118</v>
      </c>
      <c r="D35" s="392" t="s">
        <v>3285</v>
      </c>
      <c r="E35" s="392" t="s">
        <v>3275</v>
      </c>
      <c r="F35" s="210" t="s">
        <v>2115</v>
      </c>
      <c r="G35" s="392" t="s">
        <v>3274</v>
      </c>
      <c r="K35"/>
      <c r="L35"/>
      <c r="M35"/>
      <c r="N35"/>
      <c r="O35"/>
      <c r="P35"/>
      <c r="Q35"/>
      <c r="R35"/>
      <c r="S35"/>
      <c r="T35"/>
      <c r="U35"/>
      <c r="V35"/>
      <c r="W35"/>
      <c r="X35"/>
      <c r="Y35"/>
      <c r="Z35"/>
      <c r="AA35"/>
      <c r="AB35"/>
      <c r="AC35"/>
      <c r="AD35"/>
      <c r="AE35"/>
      <c r="AF35"/>
      <c r="AG35"/>
      <c r="AH35"/>
      <c r="AI35"/>
      <c r="AJ35"/>
      <c r="AK35"/>
      <c r="AL35"/>
    </row>
    <row r="36" spans="2:38" x14ac:dyDescent="0.2">
      <c r="B36" s="392" t="s">
        <v>1282</v>
      </c>
      <c r="C36" s="393" t="s">
        <v>2118</v>
      </c>
      <c r="D36" s="392" t="s">
        <v>3284</v>
      </c>
      <c r="E36" s="392" t="s">
        <v>3275</v>
      </c>
      <c r="F36" s="210" t="s">
        <v>2115</v>
      </c>
      <c r="G36" s="392" t="s">
        <v>3274</v>
      </c>
      <c r="K36"/>
      <c r="L36"/>
      <c r="M36"/>
      <c r="N36"/>
      <c r="O36"/>
      <c r="P36"/>
      <c r="Q36"/>
      <c r="R36"/>
      <c r="S36"/>
      <c r="T36"/>
      <c r="U36"/>
      <c r="V36"/>
      <c r="W36"/>
      <c r="X36"/>
      <c r="Y36"/>
      <c r="Z36"/>
      <c r="AA36"/>
      <c r="AB36"/>
      <c r="AC36"/>
      <c r="AD36"/>
      <c r="AE36"/>
      <c r="AF36"/>
      <c r="AG36"/>
      <c r="AH36"/>
      <c r="AI36"/>
      <c r="AJ36"/>
      <c r="AK36"/>
      <c r="AL36"/>
    </row>
    <row r="37" spans="2:38" x14ac:dyDescent="0.2">
      <c r="B37" s="392" t="s">
        <v>1283</v>
      </c>
      <c r="C37" s="393" t="s">
        <v>2118</v>
      </c>
      <c r="D37" s="392" t="s">
        <v>3283</v>
      </c>
      <c r="E37" s="392" t="s">
        <v>3275</v>
      </c>
      <c r="F37" s="210" t="s">
        <v>2115</v>
      </c>
      <c r="G37" s="392" t="s">
        <v>3274</v>
      </c>
      <c r="K37"/>
      <c r="L37"/>
      <c r="M37"/>
      <c r="N37"/>
      <c r="O37"/>
      <c r="P37"/>
      <c r="Q37"/>
      <c r="R37"/>
      <c r="S37"/>
      <c r="T37"/>
      <c r="U37"/>
      <c r="V37"/>
      <c r="W37"/>
      <c r="X37"/>
      <c r="Y37"/>
      <c r="Z37"/>
      <c r="AA37"/>
      <c r="AB37"/>
      <c r="AC37"/>
      <c r="AD37"/>
      <c r="AE37"/>
      <c r="AF37"/>
      <c r="AG37"/>
      <c r="AH37"/>
      <c r="AI37"/>
      <c r="AJ37"/>
      <c r="AK37"/>
      <c r="AL37"/>
    </row>
    <row r="38" spans="2:38" x14ac:dyDescent="0.2">
      <c r="B38" s="392" t="s">
        <v>2089</v>
      </c>
      <c r="C38" s="393" t="s">
        <v>2118</v>
      </c>
      <c r="D38" s="392" t="s">
        <v>3282</v>
      </c>
      <c r="E38" s="392" t="s">
        <v>3279</v>
      </c>
      <c r="F38" s="210" t="s">
        <v>2115</v>
      </c>
      <c r="G38" s="392" t="s">
        <v>3281</v>
      </c>
      <c r="K38"/>
      <c r="L38"/>
      <c r="M38"/>
      <c r="N38"/>
      <c r="O38"/>
      <c r="P38"/>
      <c r="Q38"/>
      <c r="R38"/>
      <c r="S38"/>
      <c r="T38"/>
      <c r="U38"/>
      <c r="V38"/>
      <c r="W38"/>
      <c r="X38"/>
      <c r="Y38"/>
      <c r="Z38"/>
      <c r="AA38"/>
      <c r="AB38"/>
      <c r="AC38"/>
      <c r="AD38"/>
      <c r="AE38"/>
      <c r="AF38"/>
      <c r="AG38"/>
      <c r="AH38"/>
      <c r="AI38"/>
      <c r="AJ38"/>
      <c r="AK38"/>
      <c r="AL38"/>
    </row>
    <row r="39" spans="2:38" x14ac:dyDescent="0.2">
      <c r="B39" s="392" t="s">
        <v>2090</v>
      </c>
      <c r="C39" s="393" t="s">
        <v>2118</v>
      </c>
      <c r="D39" s="392" t="s">
        <v>3280</v>
      </c>
      <c r="E39" s="392" t="s">
        <v>3279</v>
      </c>
      <c r="F39" s="210" t="s">
        <v>2115</v>
      </c>
      <c r="G39" s="392" t="s">
        <v>3278</v>
      </c>
      <c r="K39"/>
      <c r="L39"/>
      <c r="M39"/>
      <c r="N39"/>
      <c r="O39"/>
      <c r="P39"/>
      <c r="Q39"/>
      <c r="R39"/>
      <c r="S39"/>
      <c r="T39"/>
      <c r="U39"/>
      <c r="V39"/>
      <c r="W39"/>
      <c r="X39"/>
      <c r="Y39"/>
      <c r="Z39"/>
      <c r="AA39"/>
      <c r="AB39"/>
      <c r="AC39"/>
      <c r="AD39"/>
      <c r="AE39"/>
      <c r="AF39"/>
      <c r="AG39"/>
      <c r="AH39"/>
      <c r="AI39"/>
      <c r="AJ39"/>
      <c r="AK39"/>
      <c r="AL39"/>
    </row>
    <row r="40" spans="2:38" x14ac:dyDescent="0.2">
      <c r="B40" s="392" t="s">
        <v>2091</v>
      </c>
      <c r="C40" s="393" t="s">
        <v>2118</v>
      </c>
      <c r="D40" s="392" t="s">
        <v>3277</v>
      </c>
      <c r="E40" s="392" t="s">
        <v>3275</v>
      </c>
      <c r="F40" s="210" t="s">
        <v>2115</v>
      </c>
      <c r="G40" s="392" t="s">
        <v>3274</v>
      </c>
      <c r="K40"/>
      <c r="L40"/>
      <c r="M40"/>
      <c r="N40"/>
      <c r="O40"/>
      <c r="P40"/>
      <c r="Q40"/>
      <c r="R40"/>
      <c r="S40"/>
      <c r="T40"/>
      <c r="U40"/>
      <c r="V40"/>
      <c r="W40"/>
      <c r="X40"/>
      <c r="Y40"/>
      <c r="Z40"/>
      <c r="AA40"/>
      <c r="AB40"/>
      <c r="AC40"/>
      <c r="AD40"/>
      <c r="AE40"/>
      <c r="AF40"/>
      <c r="AG40"/>
      <c r="AH40"/>
      <c r="AI40"/>
      <c r="AJ40"/>
      <c r="AK40"/>
      <c r="AL40"/>
    </row>
    <row r="41" spans="2:38" x14ac:dyDescent="0.2">
      <c r="B41" s="392" t="s">
        <v>2092</v>
      </c>
      <c r="C41" s="393" t="s">
        <v>2118</v>
      </c>
      <c r="D41" s="392"/>
      <c r="E41" s="392"/>
      <c r="F41" s="210" t="s">
        <v>2112</v>
      </c>
      <c r="G41" s="392"/>
      <c r="K41"/>
      <c r="L41"/>
      <c r="M41"/>
      <c r="N41"/>
      <c r="O41"/>
      <c r="P41"/>
      <c r="Q41"/>
      <c r="R41"/>
      <c r="S41"/>
      <c r="T41"/>
      <c r="U41"/>
      <c r="V41"/>
      <c r="W41"/>
      <c r="X41"/>
      <c r="Y41"/>
      <c r="Z41"/>
      <c r="AA41"/>
      <c r="AB41"/>
      <c r="AC41"/>
      <c r="AD41"/>
      <c r="AE41"/>
      <c r="AF41"/>
      <c r="AG41"/>
      <c r="AH41"/>
      <c r="AI41"/>
      <c r="AJ41"/>
      <c r="AK41"/>
      <c r="AL41"/>
    </row>
    <row r="42" spans="2:38" x14ac:dyDescent="0.2">
      <c r="B42" s="392" t="s">
        <v>2093</v>
      </c>
      <c r="C42" s="393" t="s">
        <v>2118</v>
      </c>
      <c r="D42" s="392"/>
      <c r="E42" s="392"/>
      <c r="F42" s="210" t="s">
        <v>2112</v>
      </c>
      <c r="G42" s="392"/>
      <c r="K42"/>
      <c r="L42"/>
      <c r="M42"/>
      <c r="N42"/>
      <c r="O42"/>
      <c r="P42"/>
      <c r="Q42"/>
      <c r="R42"/>
      <c r="S42"/>
      <c r="T42"/>
      <c r="U42"/>
      <c r="V42"/>
      <c r="W42"/>
      <c r="X42"/>
      <c r="Y42"/>
      <c r="Z42"/>
      <c r="AA42"/>
      <c r="AB42"/>
      <c r="AC42"/>
      <c r="AD42"/>
      <c r="AE42"/>
      <c r="AF42"/>
      <c r="AG42"/>
      <c r="AH42"/>
      <c r="AI42"/>
      <c r="AJ42"/>
      <c r="AK42"/>
      <c r="AL42"/>
    </row>
    <row r="43" spans="2:38" x14ac:dyDescent="0.2">
      <c r="B43" s="392" t="s">
        <v>2094</v>
      </c>
      <c r="C43" s="393" t="s">
        <v>2118</v>
      </c>
      <c r="D43" s="392"/>
      <c r="E43" s="392"/>
      <c r="F43" s="210" t="s">
        <v>2112</v>
      </c>
      <c r="G43" s="392"/>
      <c r="K43"/>
      <c r="L43"/>
      <c r="M43"/>
      <c r="N43"/>
      <c r="O43"/>
      <c r="P43"/>
      <c r="Q43"/>
      <c r="R43"/>
      <c r="S43"/>
      <c r="T43"/>
      <c r="U43"/>
      <c r="V43"/>
      <c r="W43"/>
      <c r="X43"/>
      <c r="Y43"/>
      <c r="Z43"/>
      <c r="AA43"/>
      <c r="AB43"/>
      <c r="AC43"/>
      <c r="AD43"/>
      <c r="AE43"/>
      <c r="AF43"/>
      <c r="AG43"/>
      <c r="AH43"/>
      <c r="AI43"/>
      <c r="AJ43"/>
      <c r="AK43"/>
      <c r="AL43"/>
    </row>
    <row r="44" spans="2:38" x14ac:dyDescent="0.2">
      <c r="B44" s="392" t="s">
        <v>2095</v>
      </c>
      <c r="C44" s="393" t="s">
        <v>2118</v>
      </c>
      <c r="D44" s="392"/>
      <c r="E44" s="392"/>
      <c r="F44" s="210" t="s">
        <v>2112</v>
      </c>
      <c r="G44" s="392"/>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397" t="s">
        <v>2097</v>
      </c>
      <c r="C45" s="398" t="s">
        <v>2118</v>
      </c>
      <c r="D45" s="397" t="s">
        <v>3276</v>
      </c>
      <c r="E45" s="397" t="s">
        <v>3275</v>
      </c>
      <c r="F45" s="211" t="s">
        <v>2115</v>
      </c>
      <c r="G45" s="397" t="s">
        <v>3274</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215" t="s">
        <v>2119</v>
      </c>
      <c r="C46" s="216"/>
      <c r="D46" s="396"/>
      <c r="E46" s="396"/>
      <c r="F46" s="213"/>
      <c r="G46" s="214"/>
      <c r="K46"/>
      <c r="L46"/>
      <c r="M46"/>
      <c r="N46"/>
      <c r="O46"/>
      <c r="P46"/>
      <c r="Q46"/>
      <c r="R46"/>
      <c r="S46"/>
      <c r="T46"/>
      <c r="U46"/>
      <c r="V46"/>
      <c r="W46"/>
      <c r="X46"/>
      <c r="Y46"/>
      <c r="Z46"/>
      <c r="AA46"/>
      <c r="AB46"/>
      <c r="AC46"/>
      <c r="AD46"/>
      <c r="AE46"/>
      <c r="AF46"/>
      <c r="AG46"/>
      <c r="AH46"/>
      <c r="AI46"/>
      <c r="AJ46"/>
      <c r="AK46"/>
      <c r="AL46"/>
    </row>
    <row r="47" spans="2:38" x14ac:dyDescent="0.2">
      <c r="B47" s="392" t="s">
        <v>2120</v>
      </c>
      <c r="C47" s="395" t="s">
        <v>2125</v>
      </c>
      <c r="D47" s="394"/>
      <c r="E47" s="394"/>
      <c r="F47" s="212" t="s">
        <v>2112</v>
      </c>
      <c r="G47" s="394"/>
      <c r="K47"/>
      <c r="L47"/>
      <c r="M47"/>
      <c r="N47"/>
      <c r="O47"/>
      <c r="P47"/>
      <c r="Q47"/>
      <c r="R47"/>
      <c r="S47"/>
      <c r="T47"/>
      <c r="U47"/>
      <c r="V47"/>
      <c r="W47"/>
      <c r="X47"/>
      <c r="Y47"/>
      <c r="Z47"/>
      <c r="AA47"/>
      <c r="AB47"/>
      <c r="AC47"/>
      <c r="AD47"/>
      <c r="AE47"/>
      <c r="AF47"/>
      <c r="AG47"/>
      <c r="AH47"/>
      <c r="AI47"/>
      <c r="AJ47"/>
      <c r="AK47"/>
      <c r="AL47"/>
    </row>
    <row r="48" spans="2:38" x14ac:dyDescent="0.2">
      <c r="B48" s="392" t="s">
        <v>2120</v>
      </c>
      <c r="C48" s="393" t="s">
        <v>2126</v>
      </c>
      <c r="D48" s="394" t="s">
        <v>3273</v>
      </c>
      <c r="E48" s="394" t="s">
        <v>3272</v>
      </c>
      <c r="F48" s="210" t="s">
        <v>2115</v>
      </c>
      <c r="G48" s="392" t="s">
        <v>3269</v>
      </c>
      <c r="K48"/>
      <c r="L48"/>
      <c r="M48"/>
      <c r="N48"/>
      <c r="O48"/>
      <c r="P48"/>
      <c r="Q48"/>
      <c r="R48"/>
      <c r="S48"/>
      <c r="T48"/>
      <c r="U48"/>
      <c r="V48"/>
      <c r="W48"/>
      <c r="X48"/>
      <c r="Y48"/>
      <c r="Z48"/>
      <c r="AA48"/>
      <c r="AB48"/>
      <c r="AC48"/>
      <c r="AD48"/>
      <c r="AE48"/>
      <c r="AF48"/>
      <c r="AG48"/>
      <c r="AH48"/>
      <c r="AI48"/>
      <c r="AJ48"/>
      <c r="AK48"/>
      <c r="AL48"/>
    </row>
    <row r="49" spans="2:38" x14ac:dyDescent="0.2">
      <c r="B49" s="392" t="s">
        <v>2120</v>
      </c>
      <c r="C49" s="393" t="s">
        <v>2127</v>
      </c>
      <c r="D49" s="394" t="s">
        <v>3271</v>
      </c>
      <c r="E49" s="394" t="s">
        <v>3270</v>
      </c>
      <c r="F49" s="210" t="s">
        <v>2115</v>
      </c>
      <c r="G49" s="392" t="s">
        <v>3269</v>
      </c>
      <c r="K49"/>
      <c r="L49"/>
      <c r="M49"/>
      <c r="N49"/>
      <c r="O49"/>
      <c r="P49"/>
      <c r="Q49"/>
      <c r="R49"/>
      <c r="S49"/>
      <c r="T49"/>
      <c r="U49"/>
      <c r="V49"/>
      <c r="W49"/>
      <c r="X49"/>
      <c r="Y49"/>
      <c r="Z49"/>
      <c r="AA49"/>
      <c r="AB49"/>
      <c r="AC49"/>
      <c r="AD49"/>
      <c r="AE49"/>
      <c r="AF49"/>
      <c r="AG49"/>
      <c r="AH49"/>
      <c r="AI49"/>
      <c r="AJ49"/>
      <c r="AK49"/>
      <c r="AL49"/>
    </row>
    <row r="50" spans="2:38" x14ac:dyDescent="0.2">
      <c r="B50" s="392" t="s">
        <v>2120</v>
      </c>
      <c r="C50" s="393" t="s">
        <v>2128</v>
      </c>
      <c r="D50" s="394" t="s">
        <v>3268</v>
      </c>
      <c r="E50" s="394" t="s">
        <v>3267</v>
      </c>
      <c r="F50" s="210" t="s">
        <v>2115</v>
      </c>
      <c r="G50" s="392" t="s">
        <v>3266</v>
      </c>
      <c r="K50"/>
      <c r="L50"/>
      <c r="M50"/>
      <c r="N50"/>
      <c r="O50"/>
      <c r="P50"/>
      <c r="Q50"/>
      <c r="R50"/>
      <c r="S50"/>
      <c r="T50"/>
      <c r="U50"/>
      <c r="V50"/>
      <c r="W50"/>
      <c r="X50"/>
      <c r="Y50"/>
      <c r="Z50"/>
      <c r="AA50"/>
      <c r="AB50"/>
      <c r="AC50"/>
      <c r="AD50"/>
      <c r="AE50"/>
      <c r="AF50"/>
      <c r="AG50"/>
      <c r="AH50"/>
      <c r="AI50"/>
      <c r="AJ50"/>
      <c r="AK50"/>
      <c r="AL50"/>
    </row>
    <row r="51" spans="2:38" x14ac:dyDescent="0.2">
      <c r="B51" s="392" t="s">
        <v>2120</v>
      </c>
      <c r="C51" s="393" t="s">
        <v>2129</v>
      </c>
      <c r="D51" s="394" t="s">
        <v>3265</v>
      </c>
      <c r="E51" s="394" t="s">
        <v>3264</v>
      </c>
      <c r="F51" s="210" t="s">
        <v>2115</v>
      </c>
      <c r="G51" s="392" t="s">
        <v>3263</v>
      </c>
      <c r="K51"/>
      <c r="L51"/>
      <c r="M51"/>
      <c r="N51"/>
      <c r="O51"/>
      <c r="P51"/>
      <c r="Q51"/>
      <c r="R51"/>
      <c r="S51"/>
      <c r="T51"/>
      <c r="U51"/>
      <c r="V51"/>
      <c r="W51"/>
      <c r="X51"/>
      <c r="Y51"/>
      <c r="Z51"/>
      <c r="AA51"/>
      <c r="AB51"/>
      <c r="AC51"/>
      <c r="AD51"/>
      <c r="AE51"/>
      <c r="AF51"/>
      <c r="AG51"/>
      <c r="AH51"/>
      <c r="AI51"/>
      <c r="AJ51"/>
      <c r="AK51"/>
      <c r="AL51"/>
    </row>
    <row r="52" spans="2:38" x14ac:dyDescent="0.2">
      <c r="B52" s="392" t="s">
        <v>2120</v>
      </c>
      <c r="C52" s="393" t="s">
        <v>2130</v>
      </c>
      <c r="D52" s="394" t="s">
        <v>3262</v>
      </c>
      <c r="E52" s="394" t="s">
        <v>3261</v>
      </c>
      <c r="F52" s="210" t="s">
        <v>2115</v>
      </c>
      <c r="G52" s="392" t="s">
        <v>3260</v>
      </c>
      <c r="K52"/>
      <c r="L52"/>
      <c r="M52"/>
      <c r="N52"/>
      <c r="O52"/>
      <c r="P52"/>
      <c r="Q52"/>
      <c r="R52"/>
      <c r="S52"/>
      <c r="T52"/>
      <c r="U52"/>
      <c r="V52"/>
      <c r="W52"/>
      <c r="X52"/>
      <c r="Y52"/>
      <c r="Z52"/>
      <c r="AA52"/>
      <c r="AB52"/>
      <c r="AC52"/>
      <c r="AD52"/>
      <c r="AE52"/>
      <c r="AF52"/>
      <c r="AG52"/>
      <c r="AH52"/>
      <c r="AI52"/>
      <c r="AJ52"/>
      <c r="AK52"/>
      <c r="AL52"/>
    </row>
    <row r="53" spans="2:38" x14ac:dyDescent="0.2">
      <c r="B53" s="392" t="s">
        <v>2120</v>
      </c>
      <c r="C53" s="393" t="s">
        <v>3259</v>
      </c>
      <c r="D53" s="394" t="s">
        <v>3258</v>
      </c>
      <c r="E53" s="394" t="s">
        <v>3257</v>
      </c>
      <c r="F53" s="210" t="s">
        <v>2115</v>
      </c>
      <c r="G53" s="392" t="s">
        <v>3256</v>
      </c>
      <c r="K53"/>
      <c r="L53"/>
      <c r="M53"/>
      <c r="N53"/>
      <c r="O53"/>
      <c r="P53"/>
      <c r="Q53"/>
      <c r="R53"/>
      <c r="S53"/>
      <c r="T53"/>
      <c r="U53"/>
      <c r="V53"/>
      <c r="W53"/>
      <c r="X53"/>
      <c r="Y53"/>
      <c r="Z53"/>
      <c r="AA53"/>
      <c r="AB53"/>
      <c r="AC53"/>
      <c r="AD53"/>
      <c r="AE53"/>
      <c r="AF53"/>
      <c r="AG53"/>
      <c r="AH53"/>
      <c r="AI53"/>
      <c r="AJ53"/>
      <c r="AK53"/>
      <c r="AL53"/>
    </row>
    <row r="54" spans="2:38" x14ac:dyDescent="0.2">
      <c r="B54" s="392" t="s">
        <v>2120</v>
      </c>
      <c r="C54" s="393" t="s">
        <v>3255</v>
      </c>
      <c r="D54" s="394" t="s">
        <v>3254</v>
      </c>
      <c r="E54" s="394" t="s">
        <v>3253</v>
      </c>
      <c r="F54" s="210" t="s">
        <v>2115</v>
      </c>
      <c r="G54" s="392" t="s">
        <v>3252</v>
      </c>
      <c r="K54"/>
      <c r="L54"/>
      <c r="M54"/>
      <c r="N54"/>
      <c r="O54"/>
      <c r="P54"/>
      <c r="Q54"/>
      <c r="R54"/>
      <c r="S54"/>
      <c r="T54"/>
      <c r="U54"/>
      <c r="V54"/>
      <c r="W54"/>
      <c r="X54"/>
      <c r="Y54"/>
      <c r="Z54"/>
      <c r="AA54"/>
      <c r="AB54"/>
      <c r="AC54"/>
      <c r="AD54"/>
      <c r="AE54"/>
      <c r="AF54"/>
      <c r="AG54"/>
      <c r="AH54"/>
      <c r="AI54"/>
      <c r="AJ54"/>
      <c r="AK54"/>
      <c r="AL54"/>
    </row>
    <row r="55" spans="2:38" x14ac:dyDescent="0.2">
      <c r="B55" s="392" t="s">
        <v>2120</v>
      </c>
      <c r="C55" s="393" t="s">
        <v>3251</v>
      </c>
      <c r="D55" s="392" t="s">
        <v>3250</v>
      </c>
      <c r="E55" s="392" t="s">
        <v>3249</v>
      </c>
      <c r="F55" s="210" t="s">
        <v>2115</v>
      </c>
      <c r="G55" s="392" t="s">
        <v>3248</v>
      </c>
      <c r="K55"/>
      <c r="L55"/>
      <c r="M55"/>
      <c r="N55"/>
      <c r="O55"/>
      <c r="P55"/>
      <c r="Q55"/>
      <c r="R55"/>
      <c r="S55"/>
      <c r="T55"/>
      <c r="U55"/>
      <c r="V55"/>
      <c r="W55"/>
      <c r="X55"/>
      <c r="Y55"/>
      <c r="Z55"/>
      <c r="AA55"/>
      <c r="AB55"/>
      <c r="AC55"/>
      <c r="AD55"/>
      <c r="AE55"/>
      <c r="AF55"/>
      <c r="AG55"/>
      <c r="AH55"/>
      <c r="AI55"/>
      <c r="AJ55"/>
      <c r="AK55"/>
      <c r="AL55"/>
    </row>
    <row r="56" spans="2:38" x14ac:dyDescent="0.2">
      <c r="B56" s="392" t="s">
        <v>2120</v>
      </c>
      <c r="C56" s="393" t="s">
        <v>3247</v>
      </c>
      <c r="D56" s="392" t="s">
        <v>3246</v>
      </c>
      <c r="E56" s="392" t="s">
        <v>3245</v>
      </c>
      <c r="F56" s="210" t="s">
        <v>2115</v>
      </c>
      <c r="G56" s="392" t="s">
        <v>3244</v>
      </c>
      <c r="K56"/>
      <c r="L56"/>
      <c r="M56"/>
      <c r="N56"/>
      <c r="O56"/>
      <c r="P56"/>
      <c r="Q56"/>
      <c r="R56"/>
      <c r="S56"/>
      <c r="T56"/>
      <c r="U56"/>
      <c r="V56"/>
      <c r="W56"/>
      <c r="X56"/>
      <c r="Y56"/>
      <c r="Z56"/>
      <c r="AA56"/>
      <c r="AB56"/>
      <c r="AC56"/>
      <c r="AD56"/>
      <c r="AE56"/>
      <c r="AF56"/>
      <c r="AG56"/>
      <c r="AH56"/>
      <c r="AI56"/>
      <c r="AJ56"/>
      <c r="AK56"/>
      <c r="AL56"/>
    </row>
    <row r="57" spans="2:38" x14ac:dyDescent="0.2">
      <c r="B57" s="392" t="s">
        <v>2120</v>
      </c>
      <c r="C57" s="393" t="s">
        <v>3243</v>
      </c>
      <c r="D57" s="392" t="s">
        <v>3242</v>
      </c>
      <c r="E57" s="392" t="s">
        <v>3241</v>
      </c>
      <c r="F57" s="210" t="s">
        <v>2115</v>
      </c>
      <c r="G57" s="392" t="s">
        <v>3240</v>
      </c>
      <c r="K57"/>
      <c r="L57"/>
      <c r="M57"/>
      <c r="N57"/>
      <c r="O57"/>
      <c r="P57"/>
      <c r="Q57"/>
      <c r="R57"/>
      <c r="S57"/>
      <c r="T57"/>
      <c r="U57"/>
      <c r="V57"/>
      <c r="W57"/>
      <c r="X57"/>
      <c r="Y57"/>
      <c r="Z57"/>
      <c r="AA57"/>
      <c r="AB57"/>
      <c r="AC57"/>
      <c r="AD57"/>
      <c r="AE57"/>
      <c r="AF57"/>
      <c r="AG57"/>
      <c r="AH57"/>
      <c r="AI57"/>
      <c r="AJ57"/>
      <c r="AK57"/>
      <c r="AL57"/>
    </row>
    <row r="58" spans="2:38" x14ac:dyDescent="0.2">
      <c r="B58" s="392" t="s">
        <v>2120</v>
      </c>
      <c r="C58" s="393" t="s">
        <v>42</v>
      </c>
      <c r="D58" s="392" t="s">
        <v>3239</v>
      </c>
      <c r="E58" s="392" t="s">
        <v>3238</v>
      </c>
      <c r="F58" s="210" t="s">
        <v>2115</v>
      </c>
      <c r="G58" s="392" t="s">
        <v>3237</v>
      </c>
      <c r="K58"/>
      <c r="L58"/>
      <c r="M58"/>
      <c r="N58"/>
      <c r="O58"/>
      <c r="P58"/>
      <c r="Q58"/>
      <c r="R58"/>
      <c r="S58"/>
      <c r="T58"/>
      <c r="U58"/>
      <c r="V58"/>
      <c r="W58"/>
      <c r="X58"/>
      <c r="Y58"/>
      <c r="Z58"/>
      <c r="AA58"/>
      <c r="AB58"/>
      <c r="AC58"/>
      <c r="AD58"/>
      <c r="AE58"/>
      <c r="AF58"/>
      <c r="AG58"/>
      <c r="AH58"/>
      <c r="AI58"/>
      <c r="AJ58"/>
      <c r="AK58"/>
      <c r="AL58"/>
    </row>
    <row r="59" spans="2:38" x14ac:dyDescent="0.2">
      <c r="B59" s="392" t="s">
        <v>2120</v>
      </c>
      <c r="C59" s="393" t="s">
        <v>26</v>
      </c>
      <c r="D59" s="392" t="s">
        <v>3236</v>
      </c>
      <c r="E59" s="392" t="s">
        <v>3235</v>
      </c>
      <c r="F59" s="210" t="s">
        <v>2115</v>
      </c>
      <c r="G59" s="392" t="s">
        <v>3234</v>
      </c>
      <c r="K59"/>
      <c r="L59"/>
      <c r="M59"/>
      <c r="N59"/>
      <c r="O59"/>
      <c r="P59"/>
      <c r="Q59"/>
      <c r="R59"/>
      <c r="S59"/>
      <c r="T59"/>
      <c r="U59"/>
      <c r="V59"/>
      <c r="W59"/>
      <c r="X59"/>
      <c r="Y59"/>
      <c r="Z59"/>
      <c r="AA59"/>
      <c r="AB59"/>
      <c r="AC59"/>
      <c r="AD59"/>
      <c r="AE59"/>
      <c r="AF59"/>
      <c r="AG59"/>
      <c r="AH59"/>
      <c r="AI59"/>
      <c r="AJ59"/>
      <c r="AK59"/>
      <c r="AL59"/>
    </row>
    <row r="60" spans="2:38" x14ac:dyDescent="0.2">
      <c r="B60" s="392" t="s">
        <v>2120</v>
      </c>
      <c r="C60" s="393" t="s">
        <v>2121</v>
      </c>
      <c r="D60" s="392"/>
      <c r="E60" s="392"/>
      <c r="F60" s="210" t="s">
        <v>2112</v>
      </c>
      <c r="G60" s="392"/>
      <c r="K60"/>
      <c r="L60"/>
      <c r="M60"/>
      <c r="N60"/>
      <c r="O60"/>
      <c r="P60"/>
      <c r="Q60"/>
      <c r="R60"/>
      <c r="S60"/>
      <c r="T60"/>
      <c r="U60"/>
      <c r="V60"/>
      <c r="W60"/>
      <c r="X60"/>
      <c r="Y60"/>
      <c r="Z60"/>
      <c r="AA60"/>
      <c r="AB60"/>
      <c r="AC60"/>
      <c r="AD60"/>
      <c r="AE60"/>
      <c r="AF60"/>
      <c r="AG60"/>
      <c r="AH60"/>
      <c r="AI60"/>
      <c r="AJ60"/>
      <c r="AK60"/>
      <c r="AL60"/>
    </row>
    <row r="61" spans="2:38" x14ac:dyDescent="0.2">
      <c r="B61" s="392" t="s">
        <v>2120</v>
      </c>
      <c r="C61" s="393" t="s">
        <v>2122</v>
      </c>
      <c r="D61" s="392"/>
      <c r="E61" s="392"/>
      <c r="F61" s="210" t="s">
        <v>2112</v>
      </c>
      <c r="G61" s="392"/>
      <c r="K61"/>
      <c r="L61"/>
      <c r="M61"/>
      <c r="N61"/>
      <c r="O61"/>
      <c r="P61"/>
      <c r="Q61"/>
      <c r="R61"/>
      <c r="S61"/>
      <c r="T61"/>
      <c r="U61"/>
      <c r="V61"/>
      <c r="W61"/>
      <c r="X61"/>
      <c r="Y61"/>
      <c r="Z61"/>
      <c r="AA61"/>
      <c r="AB61"/>
      <c r="AC61"/>
      <c r="AD61"/>
      <c r="AE61"/>
      <c r="AF61"/>
      <c r="AG61"/>
      <c r="AH61"/>
      <c r="AI61"/>
      <c r="AJ61"/>
      <c r="AK61"/>
      <c r="AL61"/>
    </row>
    <row r="62" spans="2:38" x14ac:dyDescent="0.2">
      <c r="B62" s="392" t="s">
        <v>2120</v>
      </c>
      <c r="C62" s="393" t="s">
        <v>2123</v>
      </c>
      <c r="D62" s="392"/>
      <c r="E62" s="392"/>
      <c r="F62" s="210" t="s">
        <v>2112</v>
      </c>
      <c r="G62" s="392"/>
      <c r="K62"/>
      <c r="L62"/>
      <c r="M62"/>
      <c r="N62"/>
      <c r="O62"/>
      <c r="P62"/>
      <c r="Q62"/>
      <c r="R62"/>
      <c r="S62"/>
      <c r="T62"/>
      <c r="U62"/>
      <c r="V62"/>
      <c r="W62"/>
      <c r="X62"/>
      <c r="Y62"/>
      <c r="Z62"/>
      <c r="AA62"/>
      <c r="AB62"/>
      <c r="AC62"/>
      <c r="AD62"/>
      <c r="AE62"/>
      <c r="AF62"/>
      <c r="AG62"/>
      <c r="AH62"/>
      <c r="AI62"/>
      <c r="AJ62"/>
      <c r="AK62"/>
      <c r="AL62"/>
    </row>
    <row r="63" spans="2:38" x14ac:dyDescent="0.2">
      <c r="B63" s="392" t="s">
        <v>2120</v>
      </c>
      <c r="C63" s="393" t="s">
        <v>2131</v>
      </c>
      <c r="D63" s="392"/>
      <c r="E63" s="392"/>
      <c r="F63" s="210" t="s">
        <v>2112</v>
      </c>
      <c r="G63" s="392"/>
      <c r="K63"/>
      <c r="L63"/>
      <c r="M63"/>
      <c r="N63"/>
      <c r="O63"/>
      <c r="P63"/>
      <c r="Q63"/>
      <c r="R63"/>
      <c r="S63"/>
      <c r="T63"/>
      <c r="U63"/>
      <c r="V63"/>
      <c r="W63"/>
      <c r="X63"/>
      <c r="Y63"/>
      <c r="Z63"/>
      <c r="AA63"/>
      <c r="AB63"/>
      <c r="AC63"/>
      <c r="AD63"/>
      <c r="AE63"/>
      <c r="AF63"/>
      <c r="AG63"/>
      <c r="AH63"/>
      <c r="AI63"/>
      <c r="AJ63"/>
      <c r="AK63"/>
      <c r="AL63"/>
    </row>
    <row r="64" spans="2:38" x14ac:dyDescent="0.2">
      <c r="B64" s="392" t="s">
        <v>2120</v>
      </c>
      <c r="C64" s="393" t="s">
        <v>2132</v>
      </c>
      <c r="D64" s="392"/>
      <c r="E64" s="392"/>
      <c r="F64" s="210" t="s">
        <v>2112</v>
      </c>
      <c r="G64" s="392"/>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69" priority="1">
      <formula>$F7=$J$5</formula>
    </cfRule>
    <cfRule type="expression" dxfId="20268" priority="2">
      <formula>$F7=$J$4</formula>
    </cfRule>
    <cfRule type="expression" dxfId="20267" priority="3">
      <formula>$F7=$J$3</formula>
    </cfRule>
    <cfRule type="expression" dxfId="20266"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3" customWidth="1"/>
    <col min="2" max="2" width="8.5703125" style="153" customWidth="1" outlineLevel="1"/>
    <col min="3" max="3" width="12.28515625" style="153" customWidth="1"/>
    <col min="4" max="4" width="40.7109375" style="154" customWidth="1"/>
    <col min="5" max="5" width="6.85546875" style="155" customWidth="1"/>
    <col min="6" max="6" width="11.140625" style="156" customWidth="1"/>
    <col min="7" max="7" width="13.5703125" style="156" bestFit="1" customWidth="1"/>
    <col min="8" max="8" width="18.85546875" style="165" bestFit="1" customWidth="1"/>
    <col min="9" max="9" width="61" style="159" customWidth="1" outlineLevel="1"/>
    <col min="10" max="10" width="17.5703125" style="160" customWidth="1"/>
    <col min="11" max="11" width="9.140625" style="161" outlineLevel="1"/>
    <col min="12" max="32" width="9.140625" style="161"/>
  </cols>
  <sheetData>
    <row r="1" spans="1:32" ht="6.75" customHeight="1" x14ac:dyDescent="0.2">
      <c r="A1" s="90"/>
      <c r="B1" s="90"/>
      <c r="C1" s="90"/>
      <c r="D1" s="91"/>
      <c r="E1" s="92"/>
      <c r="F1" s="93"/>
      <c r="G1" s="93"/>
      <c r="H1" s="94"/>
      <c r="I1" s="93"/>
      <c r="J1" s="95"/>
      <c r="K1" s="89"/>
      <c r="L1" s="89"/>
      <c r="M1"/>
      <c r="N1"/>
      <c r="O1"/>
      <c r="P1"/>
      <c r="Q1"/>
      <c r="R1"/>
      <c r="S1"/>
      <c r="T1"/>
      <c r="U1"/>
      <c r="V1"/>
      <c r="W1"/>
      <c r="X1"/>
      <c r="Y1"/>
      <c r="Z1"/>
      <c r="AA1"/>
      <c r="AB1"/>
      <c r="AC1"/>
      <c r="AD1"/>
      <c r="AE1"/>
      <c r="AF1"/>
    </row>
    <row r="2" spans="1:32" ht="17.45" customHeight="1" x14ac:dyDescent="0.2">
      <c r="A2" s="97"/>
      <c r="B2" s="98"/>
      <c r="C2" s="98"/>
      <c r="D2" s="99"/>
      <c r="E2" s="100"/>
      <c r="F2" s="100"/>
      <c r="G2" s="100"/>
      <c r="H2" s="101"/>
      <c r="I2" s="102"/>
      <c r="J2" s="103"/>
      <c r="K2" s="96"/>
      <c r="L2" s="96"/>
      <c r="M2"/>
      <c r="N2"/>
      <c r="O2"/>
      <c r="P2"/>
      <c r="Q2"/>
      <c r="R2"/>
      <c r="S2"/>
      <c r="T2"/>
      <c r="U2"/>
      <c r="V2"/>
      <c r="W2"/>
      <c r="X2"/>
      <c r="Y2"/>
      <c r="Z2"/>
      <c r="AA2"/>
      <c r="AB2"/>
      <c r="AC2"/>
      <c r="AD2"/>
      <c r="AE2"/>
      <c r="AF2"/>
    </row>
    <row r="3" spans="1:32" ht="18" customHeight="1" x14ac:dyDescent="0.2">
      <c r="A3" s="104"/>
      <c r="B3" s="105"/>
      <c r="C3" s="105"/>
      <c r="D3" s="106"/>
      <c r="E3" s="107"/>
      <c r="F3" s="107"/>
      <c r="G3" s="107"/>
      <c r="H3" s="108"/>
      <c r="I3" s="109"/>
      <c r="J3" s="110"/>
      <c r="K3" s="96"/>
      <c r="L3" s="96"/>
      <c r="M3"/>
      <c r="N3"/>
      <c r="O3"/>
      <c r="P3"/>
      <c r="Q3"/>
      <c r="R3"/>
      <c r="S3"/>
      <c r="T3"/>
      <c r="U3"/>
      <c r="V3"/>
      <c r="W3"/>
      <c r="X3"/>
      <c r="Y3"/>
      <c r="Z3"/>
      <c r="AA3"/>
      <c r="AB3"/>
      <c r="AC3"/>
      <c r="AD3"/>
      <c r="AE3"/>
      <c r="AF3"/>
    </row>
    <row r="4" spans="1:32" ht="15" customHeight="1" x14ac:dyDescent="0.2">
      <c r="A4" s="112" t="s">
        <v>1221</v>
      </c>
      <c r="B4" s="113"/>
      <c r="C4" s="66" t="s">
        <v>3304</v>
      </c>
      <c r="D4" s="114"/>
      <c r="E4" s="111"/>
      <c r="F4" s="111"/>
      <c r="G4" s="111"/>
      <c r="H4" s="115"/>
      <c r="I4" s="113" t="s">
        <v>1222</v>
      </c>
      <c r="J4" s="116" t="s">
        <v>1223</v>
      </c>
      <c r="K4" s="111"/>
      <c r="L4" s="111"/>
      <c r="M4"/>
      <c r="N4"/>
      <c r="O4"/>
      <c r="P4"/>
      <c r="Q4"/>
      <c r="R4"/>
      <c r="S4"/>
      <c r="T4"/>
      <c r="U4"/>
      <c r="V4"/>
      <c r="W4"/>
      <c r="X4"/>
      <c r="Y4"/>
      <c r="Z4"/>
      <c r="AA4"/>
      <c r="AB4"/>
      <c r="AC4"/>
      <c r="AD4"/>
      <c r="AE4"/>
      <c r="AF4"/>
    </row>
    <row r="5" spans="1:32" ht="15" customHeight="1" x14ac:dyDescent="0.2">
      <c r="A5" s="118" t="s">
        <v>1224</v>
      </c>
      <c r="B5" s="119"/>
      <c r="C5" s="120" t="s">
        <v>3303</v>
      </c>
      <c r="D5" s="121"/>
      <c r="E5" s="117"/>
      <c r="F5" s="117"/>
      <c r="G5" s="117"/>
      <c r="H5" s="122"/>
      <c r="I5" s="123" t="s">
        <v>1245</v>
      </c>
      <c r="J5" s="124"/>
      <c r="K5" s="117"/>
      <c r="L5" s="117"/>
      <c r="M5"/>
      <c r="N5"/>
      <c r="O5"/>
      <c r="P5"/>
      <c r="Q5"/>
      <c r="R5"/>
      <c r="S5"/>
      <c r="T5"/>
      <c r="U5"/>
      <c r="V5"/>
      <c r="W5"/>
      <c r="X5"/>
      <c r="Y5"/>
      <c r="Z5"/>
      <c r="AA5"/>
      <c r="AB5"/>
      <c r="AC5"/>
      <c r="AD5"/>
      <c r="AE5"/>
      <c r="AF5"/>
    </row>
    <row r="6" spans="1:32" ht="18" customHeight="1" x14ac:dyDescent="0.2">
      <c r="A6" s="636" t="s">
        <v>9</v>
      </c>
      <c r="B6" s="636"/>
      <c r="C6" s="636"/>
      <c r="D6" s="636"/>
      <c r="E6" s="636"/>
      <c r="F6" s="636"/>
      <c r="G6" s="636"/>
      <c r="H6" s="636"/>
      <c r="I6" s="636"/>
      <c r="J6" s="636"/>
      <c r="K6" s="125"/>
      <c r="L6" s="125"/>
      <c r="M6"/>
      <c r="N6"/>
      <c r="O6"/>
      <c r="P6"/>
      <c r="Q6"/>
      <c r="R6"/>
      <c r="S6"/>
      <c r="T6"/>
      <c r="U6"/>
      <c r="V6"/>
      <c r="W6"/>
      <c r="X6"/>
      <c r="Y6"/>
      <c r="Z6"/>
      <c r="AA6"/>
      <c r="AB6"/>
      <c r="AC6"/>
      <c r="AD6"/>
      <c r="AE6"/>
      <c r="AF6"/>
    </row>
    <row r="7" spans="1:32" ht="24" customHeight="1" x14ac:dyDescent="0.2">
      <c r="A7" s="127" t="s">
        <v>1228</v>
      </c>
      <c r="B7" s="128" t="s">
        <v>1229</v>
      </c>
      <c r="C7" s="129" t="s">
        <v>1230</v>
      </c>
      <c r="D7" s="130" t="s">
        <v>59</v>
      </c>
      <c r="E7" s="131" t="s">
        <v>1219</v>
      </c>
      <c r="F7" s="132" t="s">
        <v>1231</v>
      </c>
      <c r="G7" s="132" t="s">
        <v>1232</v>
      </c>
      <c r="H7" s="132" t="s">
        <v>1233</v>
      </c>
      <c r="I7" s="133" t="s">
        <v>1234</v>
      </c>
      <c r="J7" s="134" t="s">
        <v>1235</v>
      </c>
      <c r="K7" s="426"/>
      <c r="L7" s="126"/>
      <c r="M7"/>
      <c r="N7"/>
      <c r="O7"/>
      <c r="P7"/>
      <c r="Q7"/>
      <c r="R7"/>
      <c r="S7"/>
      <c r="T7"/>
      <c r="U7"/>
      <c r="V7"/>
      <c r="W7"/>
      <c r="X7"/>
      <c r="Y7"/>
      <c r="Z7"/>
      <c r="AA7"/>
      <c r="AB7"/>
      <c r="AC7"/>
      <c r="AD7"/>
      <c r="AE7"/>
      <c r="AF7"/>
    </row>
    <row r="8" spans="1:32" ht="13.9" customHeight="1" x14ac:dyDescent="0.2">
      <c r="A8" s="135"/>
      <c r="B8" s="136" t="s">
        <v>1236</v>
      </c>
      <c r="C8" s="137" t="s">
        <v>3305</v>
      </c>
      <c r="D8" s="138" t="s">
        <v>1936</v>
      </c>
      <c r="E8" s="67"/>
      <c r="F8" s="139"/>
      <c r="G8" s="139"/>
      <c r="H8" s="140">
        <f>H9+H57</f>
        <v>3668982.5253731697</v>
      </c>
      <c r="I8" s="141"/>
      <c r="J8" s="142"/>
      <c r="K8" s="125"/>
      <c r="L8"/>
      <c r="M8"/>
      <c r="N8"/>
      <c r="O8"/>
      <c r="P8"/>
      <c r="Q8"/>
      <c r="R8"/>
      <c r="S8"/>
      <c r="T8"/>
      <c r="U8"/>
      <c r="V8"/>
      <c r="W8"/>
      <c r="X8"/>
      <c r="Y8"/>
      <c r="Z8"/>
      <c r="AA8"/>
      <c r="AB8"/>
      <c r="AC8"/>
      <c r="AD8"/>
      <c r="AE8"/>
      <c r="AF8"/>
    </row>
    <row r="9" spans="1:32" ht="13.9" customHeight="1" outlineLevel="1" x14ac:dyDescent="0.2">
      <c r="A9" s="135"/>
      <c r="B9" s="136" t="s">
        <v>38</v>
      </c>
      <c r="C9" s="137" t="s">
        <v>3306</v>
      </c>
      <c r="D9" s="138" t="s">
        <v>3077</v>
      </c>
      <c r="E9" s="67"/>
      <c r="F9" s="139"/>
      <c r="G9" s="139"/>
      <c r="H9" s="140">
        <f>H10+H20+H41+H46</f>
        <v>2273047.3790156972</v>
      </c>
      <c r="I9" s="141"/>
      <c r="J9" s="142" t="s">
        <v>1937</v>
      </c>
      <c r="K9" s="125"/>
      <c r="L9" s="125"/>
      <c r="M9"/>
      <c r="N9"/>
      <c r="O9"/>
      <c r="P9"/>
      <c r="Q9"/>
      <c r="R9"/>
      <c r="S9"/>
      <c r="T9"/>
      <c r="U9"/>
      <c r="V9"/>
      <c r="W9"/>
      <c r="X9"/>
      <c r="Y9"/>
      <c r="Z9"/>
      <c r="AA9"/>
      <c r="AB9"/>
      <c r="AC9"/>
      <c r="AD9"/>
      <c r="AE9"/>
      <c r="AF9"/>
    </row>
    <row r="10" spans="1:32" ht="13.9" customHeight="1" outlineLevel="1" x14ac:dyDescent="0.2">
      <c r="A10" s="135"/>
      <c r="B10" s="136" t="s">
        <v>1237</v>
      </c>
      <c r="C10" s="137" t="s">
        <v>3307</v>
      </c>
      <c r="D10" s="138" t="s">
        <v>4</v>
      </c>
      <c r="E10" s="67"/>
      <c r="F10" s="139"/>
      <c r="G10" s="139"/>
      <c r="H10" s="140">
        <f>H11+H12+H13+H14+H15+H16+H17+H18+H19</f>
        <v>260925.31096866407</v>
      </c>
      <c r="I10" s="141"/>
      <c r="J10" s="142"/>
      <c r="K10" s="125"/>
      <c r="L10" s="125"/>
      <c r="M10"/>
      <c r="N10"/>
      <c r="O10"/>
      <c r="P10"/>
      <c r="Q10"/>
      <c r="R10"/>
      <c r="S10"/>
      <c r="T10"/>
      <c r="U10"/>
      <c r="V10"/>
      <c r="W10"/>
      <c r="X10"/>
      <c r="Y10"/>
      <c r="Z10"/>
      <c r="AA10"/>
      <c r="AB10"/>
      <c r="AC10"/>
      <c r="AD10"/>
      <c r="AE10"/>
      <c r="AF10"/>
    </row>
    <row r="11" spans="1:32" ht="13.9" customHeight="1" outlineLevel="2" x14ac:dyDescent="0.2">
      <c r="A11" s="135"/>
      <c r="B11" s="136" t="s">
        <v>1238</v>
      </c>
      <c r="C11" s="137" t="s">
        <v>3308</v>
      </c>
      <c r="D11" s="138" t="s">
        <v>1938</v>
      </c>
      <c r="E11" s="67" t="s">
        <v>1129</v>
      </c>
      <c r="F11" s="139">
        <v>1</v>
      </c>
      <c r="G11" s="139">
        <v>18386.350074278835</v>
      </c>
      <c r="H11" s="140">
        <f t="shared" ref="H11:H19" si="0">G11*F11</f>
        <v>18386.350074278835</v>
      </c>
      <c r="I11" s="139" t="s">
        <v>2002</v>
      </c>
      <c r="J11" s="142" t="s">
        <v>3171</v>
      </c>
      <c r="K11" s="125"/>
      <c r="L11" s="125"/>
      <c r="M11"/>
      <c r="N11"/>
      <c r="O11"/>
      <c r="P11"/>
      <c r="Q11"/>
      <c r="R11"/>
      <c r="S11"/>
      <c r="T11"/>
      <c r="U11"/>
      <c r="V11"/>
      <c r="W11"/>
      <c r="X11"/>
      <c r="Y11"/>
      <c r="Z11"/>
      <c r="AA11"/>
      <c r="AB11"/>
      <c r="AC11"/>
      <c r="AD11"/>
      <c r="AE11"/>
      <c r="AF11"/>
    </row>
    <row r="12" spans="1:32" ht="13.9" customHeight="1" outlineLevel="2" x14ac:dyDescent="0.2">
      <c r="A12" s="135"/>
      <c r="B12" s="136" t="s">
        <v>1238</v>
      </c>
      <c r="C12" s="137" t="s">
        <v>6582</v>
      </c>
      <c r="D12" s="138" t="s">
        <v>1939</v>
      </c>
      <c r="E12" s="67" t="s">
        <v>1129</v>
      </c>
      <c r="F12" s="139">
        <v>1</v>
      </c>
      <c r="G12" s="139">
        <v>3000</v>
      </c>
      <c r="H12" s="140">
        <f t="shared" si="0"/>
        <v>3000</v>
      </c>
      <c r="I12" s="139" t="s">
        <v>6576</v>
      </c>
      <c r="J12" s="142" t="s">
        <v>3171</v>
      </c>
      <c r="K12" s="125"/>
      <c r="L12" s="125"/>
      <c r="M12"/>
      <c r="N12"/>
      <c r="O12"/>
      <c r="P12"/>
      <c r="Q12"/>
      <c r="R12"/>
      <c r="S12"/>
      <c r="T12"/>
      <c r="U12"/>
      <c r="V12"/>
      <c r="W12"/>
      <c r="X12"/>
      <c r="Y12"/>
      <c r="Z12"/>
      <c r="AA12"/>
      <c r="AB12"/>
      <c r="AC12"/>
      <c r="AD12"/>
      <c r="AE12"/>
      <c r="AF12"/>
    </row>
    <row r="13" spans="1:32" ht="13.9" customHeight="1" outlineLevel="2" x14ac:dyDescent="0.2">
      <c r="A13" s="135"/>
      <c r="B13" s="136" t="s">
        <v>1238</v>
      </c>
      <c r="C13" s="137" t="s">
        <v>6583</v>
      </c>
      <c r="D13" s="138" t="s">
        <v>3172</v>
      </c>
      <c r="E13" s="67" t="s">
        <v>1129</v>
      </c>
      <c r="F13" s="139">
        <v>1</v>
      </c>
      <c r="G13" s="139">
        <v>26930.407783940045</v>
      </c>
      <c r="H13" s="140">
        <f t="shared" si="0"/>
        <v>26930.407783940045</v>
      </c>
      <c r="I13" s="139" t="s">
        <v>2002</v>
      </c>
      <c r="J13" s="142" t="s">
        <v>3171</v>
      </c>
      <c r="K13" s="125"/>
      <c r="L13" s="125"/>
      <c r="M13"/>
      <c r="N13"/>
      <c r="O13"/>
      <c r="P13"/>
      <c r="Q13"/>
      <c r="R13"/>
      <c r="S13"/>
      <c r="T13"/>
      <c r="U13"/>
      <c r="V13"/>
      <c r="W13"/>
      <c r="X13"/>
      <c r="Y13"/>
      <c r="Z13"/>
      <c r="AA13"/>
      <c r="AB13"/>
      <c r="AC13"/>
      <c r="AD13"/>
      <c r="AE13"/>
      <c r="AF13"/>
    </row>
    <row r="14" spans="1:32" ht="13.9" customHeight="1" outlineLevel="2" x14ac:dyDescent="0.2">
      <c r="A14" s="135"/>
      <c r="B14" s="136" t="s">
        <v>1238</v>
      </c>
      <c r="C14" s="137" t="s">
        <v>6584</v>
      </c>
      <c r="D14" s="138" t="s">
        <v>1579</v>
      </c>
      <c r="E14" s="67" t="s">
        <v>1129</v>
      </c>
      <c r="F14" s="139">
        <v>1</v>
      </c>
      <c r="G14" s="139">
        <v>4500</v>
      </c>
      <c r="H14" s="140">
        <f t="shared" si="0"/>
        <v>4500</v>
      </c>
      <c r="I14" s="139" t="s">
        <v>6576</v>
      </c>
      <c r="J14" s="142" t="s">
        <v>3171</v>
      </c>
      <c r="K14" s="125"/>
      <c r="L14" s="125"/>
      <c r="M14"/>
      <c r="N14"/>
      <c r="O14"/>
      <c r="P14"/>
      <c r="Q14"/>
      <c r="R14"/>
      <c r="S14"/>
      <c r="T14"/>
      <c r="U14"/>
      <c r="V14"/>
      <c r="W14"/>
      <c r="X14"/>
      <c r="Y14"/>
      <c r="Z14"/>
      <c r="AA14"/>
      <c r="AB14"/>
      <c r="AC14"/>
      <c r="AD14"/>
      <c r="AE14"/>
      <c r="AF14"/>
    </row>
    <row r="15" spans="1:32" ht="13.9" customHeight="1" outlineLevel="2" x14ac:dyDescent="0.2">
      <c r="A15" s="135"/>
      <c r="B15" s="136" t="s">
        <v>1238</v>
      </c>
      <c r="C15" s="137" t="s">
        <v>6585</v>
      </c>
      <c r="D15" s="138" t="s">
        <v>1239</v>
      </c>
      <c r="E15" s="67" t="s">
        <v>1129</v>
      </c>
      <c r="F15" s="139">
        <v>1</v>
      </c>
      <c r="G15" s="139">
        <v>7947.99</v>
      </c>
      <c r="H15" s="140">
        <f t="shared" si="0"/>
        <v>7947.99</v>
      </c>
      <c r="I15" s="139" t="s">
        <v>6576</v>
      </c>
      <c r="J15" s="142" t="s">
        <v>3171</v>
      </c>
      <c r="K15" s="125"/>
      <c r="L15" s="125"/>
      <c r="M15"/>
      <c r="N15"/>
      <c r="O15"/>
      <c r="P15"/>
      <c r="Q15"/>
      <c r="R15"/>
      <c r="S15"/>
      <c r="T15"/>
      <c r="U15"/>
      <c r="V15"/>
      <c r="W15"/>
      <c r="X15"/>
      <c r="Y15"/>
      <c r="Z15"/>
      <c r="AA15"/>
      <c r="AB15"/>
      <c r="AC15"/>
      <c r="AD15"/>
      <c r="AE15"/>
      <c r="AF15"/>
    </row>
    <row r="16" spans="1:32" ht="13.9" customHeight="1" outlineLevel="2" x14ac:dyDescent="0.2">
      <c r="A16" s="135"/>
      <c r="B16" s="136" t="s">
        <v>1238</v>
      </c>
      <c r="C16" s="137" t="s">
        <v>6586</v>
      </c>
      <c r="D16" s="138" t="s">
        <v>3173</v>
      </c>
      <c r="E16" s="67" t="s">
        <v>1129</v>
      </c>
      <c r="F16" s="139">
        <v>1</v>
      </c>
      <c r="G16" s="139">
        <v>11160.56311044519</v>
      </c>
      <c r="H16" s="140">
        <f t="shared" si="0"/>
        <v>11160.56311044519</v>
      </c>
      <c r="I16" s="139" t="s">
        <v>2002</v>
      </c>
      <c r="J16" s="142" t="s">
        <v>3171</v>
      </c>
      <c r="K16" s="125"/>
      <c r="L16" s="125"/>
      <c r="M16"/>
      <c r="N16"/>
      <c r="O16"/>
      <c r="P16"/>
      <c r="Q16"/>
      <c r="R16"/>
      <c r="S16"/>
      <c r="T16"/>
      <c r="U16"/>
      <c r="V16"/>
      <c r="W16"/>
      <c r="X16"/>
      <c r="Y16"/>
      <c r="Z16"/>
      <c r="AA16"/>
      <c r="AB16"/>
      <c r="AC16"/>
      <c r="AD16"/>
      <c r="AE16"/>
      <c r="AF16"/>
    </row>
    <row r="17" spans="1:32" ht="13.9" customHeight="1" outlineLevel="2" x14ac:dyDescent="0.2">
      <c r="A17" s="135"/>
      <c r="B17" s="136" t="s">
        <v>1238</v>
      </c>
      <c r="C17" s="137" t="s">
        <v>6587</v>
      </c>
      <c r="D17" s="138" t="s">
        <v>2052</v>
      </c>
      <c r="E17" s="67" t="s">
        <v>1129</v>
      </c>
      <c r="F17" s="139">
        <v>1</v>
      </c>
      <c r="G17" s="139">
        <v>29000</v>
      </c>
      <c r="H17" s="140">
        <f t="shared" si="0"/>
        <v>29000</v>
      </c>
      <c r="I17" s="139" t="s">
        <v>6576</v>
      </c>
      <c r="J17" s="142" t="s">
        <v>3171</v>
      </c>
      <c r="K17" s="125"/>
      <c r="L17" s="125"/>
      <c r="M17"/>
      <c r="N17"/>
      <c r="O17"/>
      <c r="P17"/>
      <c r="Q17"/>
      <c r="R17"/>
      <c r="S17"/>
      <c r="T17"/>
      <c r="U17"/>
      <c r="V17"/>
      <c r="W17"/>
      <c r="X17"/>
      <c r="Y17"/>
      <c r="Z17"/>
      <c r="AA17"/>
      <c r="AB17"/>
      <c r="AC17"/>
      <c r="AD17"/>
      <c r="AE17"/>
      <c r="AF17"/>
    </row>
    <row r="18" spans="1:32" ht="13.9" customHeight="1" outlineLevel="2" x14ac:dyDescent="0.2">
      <c r="A18" s="135"/>
      <c r="B18" s="136" t="s">
        <v>1238</v>
      </c>
      <c r="C18" s="137" t="s">
        <v>6588</v>
      </c>
      <c r="D18" s="138" t="s">
        <v>2053</v>
      </c>
      <c r="E18" s="67" t="s">
        <v>1129</v>
      </c>
      <c r="F18" s="139">
        <v>1</v>
      </c>
      <c r="G18" s="139">
        <v>140000</v>
      </c>
      <c r="H18" s="140">
        <f t="shared" si="0"/>
        <v>140000</v>
      </c>
      <c r="I18" s="139" t="s">
        <v>6576</v>
      </c>
      <c r="J18" s="142" t="s">
        <v>3171</v>
      </c>
      <c r="K18" s="125"/>
      <c r="L18" s="125"/>
      <c r="M18"/>
      <c r="N18"/>
      <c r="O18"/>
      <c r="P18"/>
      <c r="Q18"/>
      <c r="R18"/>
      <c r="S18"/>
      <c r="T18"/>
      <c r="U18"/>
      <c r="V18"/>
      <c r="W18"/>
      <c r="X18"/>
      <c r="Y18"/>
      <c r="Z18"/>
      <c r="AA18"/>
      <c r="AB18"/>
      <c r="AC18"/>
      <c r="AD18"/>
      <c r="AE18"/>
      <c r="AF18"/>
    </row>
    <row r="19" spans="1:32" ht="13.9" customHeight="1" outlineLevel="2" x14ac:dyDescent="0.2">
      <c r="A19" s="135"/>
      <c r="B19" s="136" t="s">
        <v>1238</v>
      </c>
      <c r="C19" s="137" t="s">
        <v>6589</v>
      </c>
      <c r="D19" s="138" t="s">
        <v>2054</v>
      </c>
      <c r="E19" s="67" t="s">
        <v>1129</v>
      </c>
      <c r="F19" s="139">
        <v>1</v>
      </c>
      <c r="G19" s="139">
        <v>20000</v>
      </c>
      <c r="H19" s="140">
        <f t="shared" si="0"/>
        <v>20000</v>
      </c>
      <c r="I19" s="139" t="s">
        <v>6576</v>
      </c>
      <c r="J19" s="142" t="s">
        <v>3171</v>
      </c>
      <c r="K19" s="125"/>
      <c r="L19" s="125"/>
      <c r="M19"/>
      <c r="N19"/>
      <c r="O19"/>
      <c r="P19"/>
      <c r="Q19"/>
      <c r="R19"/>
      <c r="S19"/>
      <c r="T19"/>
      <c r="U19"/>
      <c r="V19"/>
      <c r="W19"/>
      <c r="X19"/>
      <c r="Y19"/>
      <c r="Z19"/>
      <c r="AA19"/>
      <c r="AB19"/>
      <c r="AC19"/>
      <c r="AD19"/>
      <c r="AE19"/>
      <c r="AF19"/>
    </row>
    <row r="20" spans="1:32" ht="13.9" customHeight="1" outlineLevel="1" x14ac:dyDescent="0.2">
      <c r="A20" s="135"/>
      <c r="B20" s="136" t="s">
        <v>1237</v>
      </c>
      <c r="C20" s="137" t="s">
        <v>6475</v>
      </c>
      <c r="D20" s="138" t="s">
        <v>5</v>
      </c>
      <c r="E20" s="67"/>
      <c r="F20" s="139"/>
      <c r="G20" s="139"/>
      <c r="H20" s="140">
        <f>H21+H22+H23+H24+H25+H26+H27+H28+H29+H30+H31+H32+H33+H34+H35+H36+H37+H38+H39+H40</f>
        <v>1205079.1977090864</v>
      </c>
      <c r="I20" s="139"/>
      <c r="J20" s="142"/>
      <c r="K20" s="125"/>
      <c r="L20" s="125"/>
      <c r="M20"/>
      <c r="N20"/>
      <c r="O20"/>
      <c r="P20"/>
      <c r="Q20"/>
      <c r="R20"/>
      <c r="S20"/>
      <c r="T20"/>
      <c r="U20"/>
      <c r="V20"/>
      <c r="W20"/>
      <c r="X20"/>
      <c r="Y20"/>
      <c r="Z20"/>
      <c r="AA20"/>
      <c r="AB20"/>
      <c r="AC20"/>
      <c r="AD20"/>
      <c r="AE20"/>
      <c r="AF20"/>
    </row>
    <row r="21" spans="1:32" ht="13.9" customHeight="1" outlineLevel="2" x14ac:dyDescent="0.2">
      <c r="A21" s="135"/>
      <c r="B21" s="136" t="s">
        <v>1238</v>
      </c>
      <c r="C21" s="137" t="s">
        <v>6590</v>
      </c>
      <c r="D21" s="138" t="s">
        <v>1940</v>
      </c>
      <c r="E21" s="67" t="s">
        <v>1129</v>
      </c>
      <c r="F21" s="139">
        <v>1</v>
      </c>
      <c r="G21" s="139">
        <v>67351.992909918219</v>
      </c>
      <c r="H21" s="140">
        <f t="shared" ref="H21:H40" si="1">G21*F21</f>
        <v>67351.992909918219</v>
      </c>
      <c r="I21" s="139" t="s">
        <v>2002</v>
      </c>
      <c r="J21" s="142" t="s">
        <v>3171</v>
      </c>
      <c r="K21" s="125"/>
      <c r="L21" s="125"/>
      <c r="M21"/>
      <c r="N21"/>
      <c r="O21"/>
      <c r="P21"/>
      <c r="Q21"/>
      <c r="R21"/>
      <c r="S21"/>
      <c r="T21"/>
      <c r="U21"/>
      <c r="V21"/>
      <c r="W21"/>
      <c r="X21"/>
      <c r="Y21"/>
      <c r="Z21"/>
      <c r="AA21"/>
      <c r="AB21"/>
      <c r="AC21"/>
      <c r="AD21"/>
      <c r="AE21"/>
      <c r="AF21"/>
    </row>
    <row r="22" spans="1:32" ht="25.5" customHeight="1" outlineLevel="2" x14ac:dyDescent="0.2">
      <c r="A22" s="135"/>
      <c r="B22" s="136" t="s">
        <v>1238</v>
      </c>
      <c r="C22" s="137" t="s">
        <v>6591</v>
      </c>
      <c r="D22" s="138" t="s">
        <v>1240</v>
      </c>
      <c r="E22" s="67" t="s">
        <v>1129</v>
      </c>
      <c r="F22" s="139">
        <v>1</v>
      </c>
      <c r="G22" s="139">
        <v>237000</v>
      </c>
      <c r="H22" s="140">
        <f t="shared" si="1"/>
        <v>237000</v>
      </c>
      <c r="I22" s="139" t="s">
        <v>3174</v>
      </c>
      <c r="J22" s="142" t="s">
        <v>3171</v>
      </c>
      <c r="K22" s="125"/>
      <c r="L22" s="125"/>
      <c r="M22"/>
      <c r="N22"/>
      <c r="O22"/>
      <c r="P22"/>
      <c r="Q22"/>
      <c r="R22"/>
      <c r="S22"/>
      <c r="T22"/>
      <c r="U22"/>
      <c r="V22"/>
      <c r="W22"/>
      <c r="X22"/>
      <c r="Y22"/>
      <c r="Z22"/>
      <c r="AA22"/>
      <c r="AB22"/>
      <c r="AC22"/>
      <c r="AD22"/>
      <c r="AE22"/>
      <c r="AF22"/>
    </row>
    <row r="23" spans="1:32" ht="18.75" customHeight="1" outlineLevel="2" x14ac:dyDescent="0.2">
      <c r="A23" s="135"/>
      <c r="B23" s="136" t="s">
        <v>1238</v>
      </c>
      <c r="C23" s="137" t="s">
        <v>6592</v>
      </c>
      <c r="D23" s="138" t="s">
        <v>1941</v>
      </c>
      <c r="E23" s="67" t="s">
        <v>1129</v>
      </c>
      <c r="F23" s="139">
        <v>1</v>
      </c>
      <c r="G23" s="139">
        <v>86773.378183711349</v>
      </c>
      <c r="H23" s="140">
        <f t="shared" si="1"/>
        <v>86773.378183711349</v>
      </c>
      <c r="I23" s="139" t="s">
        <v>2002</v>
      </c>
      <c r="J23" s="142" t="s">
        <v>3171</v>
      </c>
      <c r="K23" s="125"/>
      <c r="L23" s="125"/>
      <c r="M23"/>
      <c r="N23"/>
      <c r="O23"/>
      <c r="P23"/>
      <c r="Q23"/>
      <c r="R23"/>
      <c r="S23"/>
      <c r="T23"/>
      <c r="U23"/>
      <c r="V23"/>
      <c r="W23"/>
      <c r="X23"/>
      <c r="Y23"/>
      <c r="Z23"/>
      <c r="AA23"/>
      <c r="AB23"/>
      <c r="AC23"/>
      <c r="AD23"/>
      <c r="AE23"/>
      <c r="AF23"/>
    </row>
    <row r="24" spans="1:32" ht="18.75" customHeight="1" outlineLevel="2" x14ac:dyDescent="0.2">
      <c r="A24" s="135"/>
      <c r="B24" s="136" t="s">
        <v>1238</v>
      </c>
      <c r="C24" s="137" t="s">
        <v>6593</v>
      </c>
      <c r="D24" s="138" t="s">
        <v>3175</v>
      </c>
      <c r="E24" s="67" t="s">
        <v>1129</v>
      </c>
      <c r="F24" s="139">
        <v>1</v>
      </c>
      <c r="G24" s="139">
        <v>58250</v>
      </c>
      <c r="H24" s="140">
        <f t="shared" si="1"/>
        <v>58250</v>
      </c>
      <c r="I24" s="139" t="s">
        <v>6576</v>
      </c>
      <c r="J24" s="142" t="s">
        <v>3171</v>
      </c>
      <c r="K24" s="125"/>
      <c r="L24" s="125"/>
      <c r="M24"/>
      <c r="N24"/>
      <c r="O24"/>
      <c r="P24"/>
      <c r="Q24"/>
      <c r="R24"/>
      <c r="S24"/>
      <c r="T24"/>
      <c r="U24"/>
      <c r="V24"/>
      <c r="W24"/>
      <c r="X24"/>
      <c r="Y24"/>
      <c r="Z24"/>
      <c r="AA24"/>
      <c r="AB24"/>
      <c r="AC24"/>
      <c r="AD24"/>
      <c r="AE24"/>
      <c r="AF24"/>
    </row>
    <row r="25" spans="1:32" ht="18.75" customHeight="1" outlineLevel="2" x14ac:dyDescent="0.2">
      <c r="A25" s="135"/>
      <c r="B25" s="136" t="s">
        <v>1238</v>
      </c>
      <c r="C25" s="137" t="s">
        <v>6594</v>
      </c>
      <c r="D25" s="138" t="s">
        <v>3176</v>
      </c>
      <c r="E25" s="67" t="s">
        <v>1129</v>
      </c>
      <c r="F25" s="139">
        <v>1</v>
      </c>
      <c r="G25" s="139">
        <v>75145.119866323716</v>
      </c>
      <c r="H25" s="140">
        <f t="shared" si="1"/>
        <v>75145.119866323716</v>
      </c>
      <c r="I25" s="139" t="s">
        <v>2002</v>
      </c>
      <c r="J25" s="142" t="s">
        <v>3171</v>
      </c>
      <c r="K25" s="125"/>
      <c r="L25" s="125"/>
      <c r="M25"/>
      <c r="N25"/>
      <c r="O25"/>
      <c r="P25"/>
      <c r="Q25"/>
      <c r="R25"/>
      <c r="S25"/>
      <c r="T25"/>
      <c r="U25"/>
      <c r="V25"/>
      <c r="W25"/>
      <c r="X25"/>
      <c r="Y25"/>
      <c r="Z25"/>
      <c r="AA25"/>
      <c r="AB25"/>
      <c r="AC25"/>
      <c r="AD25"/>
      <c r="AE25"/>
      <c r="AF25"/>
    </row>
    <row r="26" spans="1:32" ht="13.9" customHeight="1" outlineLevel="2" x14ac:dyDescent="0.2">
      <c r="A26" s="135"/>
      <c r="B26" s="136" t="s">
        <v>1238</v>
      </c>
      <c r="C26" s="137" t="s">
        <v>6595</v>
      </c>
      <c r="D26" s="138" t="s">
        <v>1580</v>
      </c>
      <c r="E26" s="67" t="s">
        <v>1129</v>
      </c>
      <c r="F26" s="139">
        <v>1</v>
      </c>
      <c r="G26" s="139">
        <v>6962.4358420872659</v>
      </c>
      <c r="H26" s="140">
        <f t="shared" si="1"/>
        <v>6962.4358420872659</v>
      </c>
      <c r="I26" s="139" t="s">
        <v>2002</v>
      </c>
      <c r="J26" s="142" t="s">
        <v>3171</v>
      </c>
      <c r="K26" s="125"/>
      <c r="L26" s="125"/>
      <c r="M26"/>
      <c r="N26"/>
      <c r="O26"/>
      <c r="P26"/>
      <c r="Q26"/>
      <c r="R26"/>
      <c r="S26"/>
      <c r="T26"/>
      <c r="U26"/>
      <c r="V26"/>
      <c r="W26"/>
      <c r="X26"/>
      <c r="Y26"/>
      <c r="Z26"/>
      <c r="AA26"/>
      <c r="AB26"/>
      <c r="AC26"/>
      <c r="AD26"/>
      <c r="AE26"/>
      <c r="AF26"/>
    </row>
    <row r="27" spans="1:32" ht="22.5" outlineLevel="2" x14ac:dyDescent="0.2">
      <c r="A27" s="135"/>
      <c r="B27" s="136" t="s">
        <v>1238</v>
      </c>
      <c r="C27" s="137" t="s">
        <v>6596</v>
      </c>
      <c r="D27" s="138" t="s">
        <v>1241</v>
      </c>
      <c r="E27" s="67" t="s">
        <v>1129</v>
      </c>
      <c r="F27" s="139">
        <v>1</v>
      </c>
      <c r="G27" s="139">
        <v>70000</v>
      </c>
      <c r="H27" s="140">
        <f t="shared" si="1"/>
        <v>70000</v>
      </c>
      <c r="I27" s="139" t="s">
        <v>3177</v>
      </c>
      <c r="J27" s="142" t="s">
        <v>3171</v>
      </c>
      <c r="K27" s="125"/>
      <c r="L27" s="125"/>
      <c r="M27"/>
      <c r="N27"/>
      <c r="O27"/>
      <c r="P27"/>
      <c r="Q27"/>
      <c r="R27"/>
      <c r="S27"/>
      <c r="T27"/>
      <c r="U27"/>
      <c r="V27"/>
      <c r="W27"/>
      <c r="X27"/>
      <c r="Y27"/>
      <c r="Z27"/>
      <c r="AA27"/>
      <c r="AB27"/>
      <c r="AC27"/>
      <c r="AD27"/>
      <c r="AE27"/>
      <c r="AF27"/>
    </row>
    <row r="28" spans="1:32" ht="13.9" customHeight="1" outlineLevel="2" x14ac:dyDescent="0.2">
      <c r="A28" s="135"/>
      <c r="B28" s="136" t="s">
        <v>1238</v>
      </c>
      <c r="C28" s="137" t="s">
        <v>6597</v>
      </c>
      <c r="D28" s="138" t="s">
        <v>3178</v>
      </c>
      <c r="E28" s="67" t="s">
        <v>1129</v>
      </c>
      <c r="F28" s="139">
        <v>1</v>
      </c>
      <c r="G28" s="139">
        <v>96720.281258195813</v>
      </c>
      <c r="H28" s="140">
        <f t="shared" si="1"/>
        <v>96720.281258195813</v>
      </c>
      <c r="I28" s="139" t="s">
        <v>2002</v>
      </c>
      <c r="J28" s="142" t="s">
        <v>3171</v>
      </c>
      <c r="K28" s="125"/>
      <c r="L28" s="125"/>
      <c r="M28"/>
      <c r="N28"/>
      <c r="O28"/>
      <c r="P28"/>
      <c r="Q28"/>
      <c r="R28"/>
      <c r="S28"/>
      <c r="T28"/>
      <c r="U28"/>
      <c r="V28"/>
      <c r="W28"/>
      <c r="X28"/>
      <c r="Y28"/>
      <c r="Z28"/>
      <c r="AA28"/>
      <c r="AB28"/>
      <c r="AC28"/>
      <c r="AD28"/>
      <c r="AE28"/>
      <c r="AF28"/>
    </row>
    <row r="29" spans="1:32" ht="13.9" customHeight="1" outlineLevel="2" x14ac:dyDescent="0.2">
      <c r="A29" s="135"/>
      <c r="B29" s="136" t="s">
        <v>1238</v>
      </c>
      <c r="C29" s="137" t="s">
        <v>6598</v>
      </c>
      <c r="D29" s="138" t="s">
        <v>3179</v>
      </c>
      <c r="E29" s="67" t="s">
        <v>1129</v>
      </c>
      <c r="F29" s="139">
        <v>1</v>
      </c>
      <c r="G29" s="139">
        <v>39550.220177069976</v>
      </c>
      <c r="H29" s="140">
        <f t="shared" si="1"/>
        <v>39550.220177069976</v>
      </c>
      <c r="I29" s="139" t="s">
        <v>2002</v>
      </c>
      <c r="J29" s="142" t="s">
        <v>3171</v>
      </c>
      <c r="K29" s="125"/>
      <c r="L29" s="125"/>
      <c r="M29"/>
      <c r="N29"/>
      <c r="O29"/>
      <c r="P29"/>
      <c r="Q29"/>
      <c r="R29"/>
      <c r="S29"/>
      <c r="T29"/>
      <c r="U29"/>
      <c r="V29"/>
      <c r="W29"/>
      <c r="X29"/>
      <c r="Y29"/>
      <c r="Z29"/>
      <c r="AA29"/>
      <c r="AB29"/>
      <c r="AC29"/>
      <c r="AD29"/>
      <c r="AE29"/>
      <c r="AF29"/>
    </row>
    <row r="30" spans="1:32" ht="22.5" outlineLevel="2" x14ac:dyDescent="0.2">
      <c r="A30" s="135"/>
      <c r="B30" s="136" t="s">
        <v>1238</v>
      </c>
      <c r="C30" s="137" t="s">
        <v>6599</v>
      </c>
      <c r="D30" s="138" t="s">
        <v>3180</v>
      </c>
      <c r="E30" s="67" t="s">
        <v>1129</v>
      </c>
      <c r="F30" s="139">
        <v>1</v>
      </c>
      <c r="G30" s="139">
        <v>27354.018040217943</v>
      </c>
      <c r="H30" s="140">
        <f t="shared" si="1"/>
        <v>27354.018040217943</v>
      </c>
      <c r="I30" s="139" t="s">
        <v>3181</v>
      </c>
      <c r="J30" s="142" t="s">
        <v>3171</v>
      </c>
      <c r="K30" s="125"/>
      <c r="L30" s="125"/>
      <c r="M30"/>
      <c r="N30"/>
      <c r="O30"/>
      <c r="P30"/>
      <c r="Q30"/>
      <c r="R30"/>
      <c r="S30"/>
      <c r="T30"/>
      <c r="U30"/>
      <c r="V30"/>
      <c r="W30"/>
      <c r="X30"/>
      <c r="Y30"/>
      <c r="Z30"/>
      <c r="AA30"/>
      <c r="AB30"/>
      <c r="AC30"/>
      <c r="AD30"/>
      <c r="AE30"/>
      <c r="AF30"/>
    </row>
    <row r="31" spans="1:32" ht="13.9" customHeight="1" outlineLevel="2" x14ac:dyDescent="0.2">
      <c r="A31" s="135"/>
      <c r="B31" s="136" t="s">
        <v>1238</v>
      </c>
      <c r="C31" s="137" t="s">
        <v>6600</v>
      </c>
      <c r="D31" s="138" t="s">
        <v>1581</v>
      </c>
      <c r="E31" s="67" t="s">
        <v>1129</v>
      </c>
      <c r="F31" s="139">
        <v>1</v>
      </c>
      <c r="G31" s="139">
        <v>91124.893086234064</v>
      </c>
      <c r="H31" s="140">
        <f t="shared" si="1"/>
        <v>91124.893086234064</v>
      </c>
      <c r="I31" s="139" t="s">
        <v>2002</v>
      </c>
      <c r="J31" s="142" t="s">
        <v>3171</v>
      </c>
      <c r="K31" s="125"/>
      <c r="L31" s="125"/>
      <c r="M31"/>
      <c r="N31"/>
      <c r="O31"/>
      <c r="P31"/>
      <c r="Q31"/>
      <c r="R31"/>
      <c r="S31"/>
      <c r="T31"/>
      <c r="U31"/>
      <c r="V31"/>
      <c r="W31"/>
      <c r="X31"/>
      <c r="Y31"/>
      <c r="Z31"/>
      <c r="AA31"/>
      <c r="AB31"/>
      <c r="AC31"/>
      <c r="AD31"/>
      <c r="AE31"/>
      <c r="AF31"/>
    </row>
    <row r="32" spans="1:32" ht="13.9" customHeight="1" outlineLevel="2" x14ac:dyDescent="0.2">
      <c r="A32" s="135"/>
      <c r="B32" s="136" t="s">
        <v>1238</v>
      </c>
      <c r="C32" s="137" t="s">
        <v>6601</v>
      </c>
      <c r="D32" s="138" t="s">
        <v>3182</v>
      </c>
      <c r="E32" s="67" t="s">
        <v>1129</v>
      </c>
      <c r="F32" s="139">
        <v>1</v>
      </c>
      <c r="G32" s="139">
        <v>24827.00068568244</v>
      </c>
      <c r="H32" s="140">
        <f t="shared" si="1"/>
        <v>24827.00068568244</v>
      </c>
      <c r="I32" s="139" t="s">
        <v>2002</v>
      </c>
      <c r="J32" s="142" t="s">
        <v>3171</v>
      </c>
      <c r="K32" s="125"/>
      <c r="L32" s="125"/>
      <c r="M32"/>
      <c r="N32"/>
      <c r="O32"/>
      <c r="P32"/>
      <c r="Q32"/>
      <c r="R32"/>
      <c r="S32"/>
      <c r="T32"/>
      <c r="U32"/>
      <c r="V32"/>
      <c r="W32"/>
      <c r="X32"/>
      <c r="Y32"/>
      <c r="Z32"/>
      <c r="AA32"/>
      <c r="AB32"/>
      <c r="AC32"/>
      <c r="AD32"/>
      <c r="AE32"/>
      <c r="AF32"/>
    </row>
    <row r="33" spans="1:32" ht="13.9" customHeight="1" outlineLevel="2" x14ac:dyDescent="0.2">
      <c r="A33" s="135"/>
      <c r="B33" s="136" t="s">
        <v>1238</v>
      </c>
      <c r="C33" s="137" t="s">
        <v>6602</v>
      </c>
      <c r="D33" s="138" t="s">
        <v>2009</v>
      </c>
      <c r="E33" s="67" t="s">
        <v>1129</v>
      </c>
      <c r="F33" s="139">
        <v>1</v>
      </c>
      <c r="G33" s="139">
        <v>85263.057858464599</v>
      </c>
      <c r="H33" s="140">
        <f t="shared" si="1"/>
        <v>85263.057858464599</v>
      </c>
      <c r="I33" s="139" t="s">
        <v>2002</v>
      </c>
      <c r="J33" s="142" t="s">
        <v>3171</v>
      </c>
      <c r="K33" s="125"/>
      <c r="L33" s="125"/>
      <c r="M33"/>
      <c r="N33"/>
      <c r="O33"/>
      <c r="P33"/>
      <c r="Q33"/>
      <c r="R33"/>
      <c r="S33"/>
      <c r="T33"/>
      <c r="U33"/>
      <c r="V33"/>
      <c r="W33"/>
      <c r="X33"/>
      <c r="Y33"/>
      <c r="Z33"/>
      <c r="AA33"/>
      <c r="AB33"/>
      <c r="AC33"/>
      <c r="AD33"/>
      <c r="AE33"/>
      <c r="AF33"/>
    </row>
    <row r="34" spans="1:32" ht="13.9" customHeight="1" outlineLevel="2" x14ac:dyDescent="0.2">
      <c r="A34" s="135"/>
      <c r="B34" s="136" t="s">
        <v>1238</v>
      </c>
      <c r="C34" s="137" t="s">
        <v>6603</v>
      </c>
      <c r="D34" s="138" t="s">
        <v>1582</v>
      </c>
      <c r="E34" s="67" t="s">
        <v>1129</v>
      </c>
      <c r="F34" s="139">
        <v>1</v>
      </c>
      <c r="G34" s="139">
        <v>40000</v>
      </c>
      <c r="H34" s="140">
        <f t="shared" si="1"/>
        <v>40000</v>
      </c>
      <c r="I34" s="139" t="s">
        <v>6576</v>
      </c>
      <c r="J34" s="142" t="s">
        <v>3171</v>
      </c>
      <c r="K34" s="125"/>
      <c r="L34" s="125"/>
      <c r="M34"/>
      <c r="N34"/>
      <c r="O34"/>
      <c r="P34"/>
      <c r="Q34"/>
      <c r="R34"/>
      <c r="S34"/>
      <c r="T34"/>
      <c r="U34"/>
      <c r="V34"/>
      <c r="W34"/>
      <c r="X34"/>
      <c r="Y34"/>
      <c r="Z34"/>
      <c r="AA34"/>
      <c r="AB34"/>
      <c r="AC34"/>
      <c r="AD34"/>
      <c r="AE34"/>
      <c r="AF34"/>
    </row>
    <row r="35" spans="1:32" ht="12.75" outlineLevel="2" x14ac:dyDescent="0.2">
      <c r="A35" s="135"/>
      <c r="B35" s="136" t="s">
        <v>1238</v>
      </c>
      <c r="C35" s="137" t="s">
        <v>6604</v>
      </c>
      <c r="D35" s="138" t="s">
        <v>3183</v>
      </c>
      <c r="E35" s="67" t="s">
        <v>1129</v>
      </c>
      <c r="F35" s="139">
        <v>1</v>
      </c>
      <c r="G35" s="139">
        <v>64959.929999999986</v>
      </c>
      <c r="H35" s="140">
        <f t="shared" si="1"/>
        <v>64959.929999999986</v>
      </c>
      <c r="I35" s="139" t="s">
        <v>2002</v>
      </c>
      <c r="J35" s="142" t="s">
        <v>3171</v>
      </c>
      <c r="K35" s="125"/>
      <c r="L35" s="125"/>
      <c r="M35"/>
      <c r="N35"/>
      <c r="O35"/>
      <c r="P35"/>
      <c r="Q35"/>
      <c r="R35"/>
      <c r="S35"/>
      <c r="T35"/>
      <c r="U35"/>
      <c r="V35"/>
      <c r="W35"/>
      <c r="X35"/>
      <c r="Y35"/>
      <c r="Z35"/>
      <c r="AA35"/>
      <c r="AB35"/>
      <c r="AC35"/>
      <c r="AD35"/>
      <c r="AE35"/>
      <c r="AF35"/>
    </row>
    <row r="36" spans="1:32" ht="13.9" customHeight="1" outlineLevel="2" x14ac:dyDescent="0.2">
      <c r="A36" s="135"/>
      <c r="B36" s="136" t="s">
        <v>1238</v>
      </c>
      <c r="C36" s="137" t="s">
        <v>6605</v>
      </c>
      <c r="D36" s="138" t="s">
        <v>3184</v>
      </c>
      <c r="E36" s="67" t="s">
        <v>1129</v>
      </c>
      <c r="F36" s="139">
        <v>1</v>
      </c>
      <c r="G36" s="139">
        <v>8000</v>
      </c>
      <c r="H36" s="140">
        <f t="shared" si="1"/>
        <v>8000</v>
      </c>
      <c r="I36" s="139" t="s">
        <v>6576</v>
      </c>
      <c r="J36" s="142" t="s">
        <v>3171</v>
      </c>
      <c r="K36" s="125"/>
      <c r="L36" s="125"/>
      <c r="M36"/>
      <c r="N36"/>
      <c r="O36"/>
      <c r="P36"/>
      <c r="Q36"/>
      <c r="R36"/>
      <c r="S36"/>
      <c r="T36"/>
      <c r="U36"/>
      <c r="V36"/>
      <c r="W36"/>
      <c r="X36"/>
      <c r="Y36"/>
      <c r="Z36"/>
      <c r="AA36"/>
      <c r="AB36"/>
      <c r="AC36"/>
      <c r="AD36"/>
      <c r="AE36"/>
      <c r="AF36"/>
    </row>
    <row r="37" spans="1:32" ht="13.9" customHeight="1" outlineLevel="2" x14ac:dyDescent="0.2">
      <c r="A37" s="135"/>
      <c r="B37" s="136" t="s">
        <v>1238</v>
      </c>
      <c r="C37" s="137" t="s">
        <v>6606</v>
      </c>
      <c r="D37" s="138" t="s">
        <v>3185</v>
      </c>
      <c r="E37" s="67" t="s">
        <v>1129</v>
      </c>
      <c r="F37" s="139">
        <v>1</v>
      </c>
      <c r="G37" s="139">
        <v>43306.619999999988</v>
      </c>
      <c r="H37" s="140">
        <f t="shared" si="1"/>
        <v>43306.619999999988</v>
      </c>
      <c r="I37" s="139" t="s">
        <v>2002</v>
      </c>
      <c r="J37" s="142" t="s">
        <v>3171</v>
      </c>
      <c r="K37" s="125"/>
      <c r="L37" s="125"/>
      <c r="M37"/>
      <c r="N37"/>
      <c r="O37"/>
      <c r="P37"/>
      <c r="Q37"/>
      <c r="R37"/>
      <c r="S37"/>
      <c r="T37"/>
      <c r="U37"/>
      <c r="V37"/>
      <c r="W37"/>
      <c r="X37"/>
      <c r="Y37"/>
      <c r="Z37"/>
      <c r="AA37"/>
      <c r="AB37"/>
      <c r="AC37"/>
      <c r="AD37"/>
      <c r="AE37"/>
      <c r="AF37"/>
    </row>
    <row r="38" spans="1:32" ht="12.75" outlineLevel="2" x14ac:dyDescent="0.2">
      <c r="A38" s="135"/>
      <c r="B38" s="136" t="s">
        <v>1238</v>
      </c>
      <c r="C38" s="137" t="s">
        <v>6607</v>
      </c>
      <c r="D38" s="138" t="s">
        <v>2010</v>
      </c>
      <c r="E38" s="67" t="s">
        <v>1129</v>
      </c>
      <c r="F38" s="139">
        <v>1</v>
      </c>
      <c r="G38" s="139">
        <v>22859.798868849757</v>
      </c>
      <c r="H38" s="140">
        <f t="shared" si="1"/>
        <v>22859.798868849757</v>
      </c>
      <c r="I38" s="139" t="s">
        <v>2002</v>
      </c>
      <c r="J38" s="142" t="s">
        <v>3171</v>
      </c>
      <c r="K38" s="125"/>
      <c r="L38" s="125"/>
      <c r="M38"/>
      <c r="N38"/>
      <c r="O38"/>
      <c r="P38"/>
      <c r="Q38"/>
      <c r="R38"/>
      <c r="S38"/>
      <c r="T38"/>
      <c r="U38"/>
      <c r="V38"/>
      <c r="W38"/>
      <c r="X38"/>
      <c r="Y38"/>
      <c r="Z38"/>
      <c r="AA38"/>
      <c r="AB38"/>
      <c r="AC38"/>
      <c r="AD38"/>
      <c r="AE38"/>
      <c r="AF38"/>
    </row>
    <row r="39" spans="1:32" ht="13.9" customHeight="1" outlineLevel="2" x14ac:dyDescent="0.2">
      <c r="A39" s="135"/>
      <c r="B39" s="136" t="s">
        <v>1238</v>
      </c>
      <c r="C39" s="137" t="s">
        <v>6608</v>
      </c>
      <c r="D39" s="138" t="s">
        <v>3186</v>
      </c>
      <c r="E39" s="67" t="s">
        <v>1129</v>
      </c>
      <c r="F39" s="139">
        <v>1</v>
      </c>
      <c r="G39" s="139">
        <v>22859.798868849757</v>
      </c>
      <c r="H39" s="140">
        <f t="shared" si="1"/>
        <v>22859.798868849757</v>
      </c>
      <c r="I39" s="139" t="s">
        <v>2002</v>
      </c>
      <c r="J39" s="142" t="s">
        <v>3171</v>
      </c>
      <c r="K39" s="125"/>
      <c r="L39" s="125"/>
      <c r="M39"/>
      <c r="N39"/>
      <c r="O39"/>
      <c r="P39"/>
      <c r="Q39"/>
      <c r="R39"/>
      <c r="S39"/>
      <c r="T39"/>
      <c r="U39"/>
      <c r="V39"/>
      <c r="W39"/>
      <c r="X39"/>
      <c r="Y39"/>
      <c r="Z39"/>
      <c r="AA39"/>
      <c r="AB39"/>
      <c r="AC39"/>
      <c r="AD39"/>
      <c r="AE39"/>
      <c r="AF39"/>
    </row>
    <row r="40" spans="1:32" ht="13.9" customHeight="1" outlineLevel="2" x14ac:dyDescent="0.2">
      <c r="A40" s="135"/>
      <c r="B40" s="136" t="s">
        <v>1238</v>
      </c>
      <c r="C40" s="137" t="s">
        <v>6609</v>
      </c>
      <c r="D40" s="138" t="s">
        <v>3187</v>
      </c>
      <c r="E40" s="67" t="s">
        <v>1129</v>
      </c>
      <c r="F40" s="139">
        <v>1</v>
      </c>
      <c r="G40" s="139">
        <v>36770.652063481619</v>
      </c>
      <c r="H40" s="140">
        <f t="shared" si="1"/>
        <v>36770.652063481619</v>
      </c>
      <c r="I40" s="139" t="s">
        <v>2002</v>
      </c>
      <c r="J40" s="142" t="s">
        <v>3171</v>
      </c>
      <c r="K40" s="125"/>
      <c r="L40" s="125"/>
      <c r="M40"/>
      <c r="N40"/>
      <c r="O40"/>
      <c r="P40"/>
      <c r="Q40"/>
      <c r="R40"/>
      <c r="S40"/>
      <c r="T40"/>
      <c r="U40"/>
      <c r="V40"/>
      <c r="W40"/>
      <c r="X40"/>
      <c r="Y40"/>
      <c r="Z40"/>
      <c r="AA40"/>
      <c r="AB40"/>
      <c r="AC40"/>
      <c r="AD40"/>
      <c r="AE40"/>
      <c r="AF40"/>
    </row>
    <row r="41" spans="1:32" ht="13.9" customHeight="1" outlineLevel="1" x14ac:dyDescent="0.2">
      <c r="A41" s="135"/>
      <c r="B41" s="136" t="s">
        <v>1237</v>
      </c>
      <c r="C41" s="137" t="s">
        <v>6474</v>
      </c>
      <c r="D41" s="138" t="s">
        <v>6</v>
      </c>
      <c r="E41" s="67"/>
      <c r="F41" s="139"/>
      <c r="G41" s="139"/>
      <c r="H41" s="140">
        <f>H42+H43+H44+H45</f>
        <v>206589.87033794672</v>
      </c>
      <c r="I41" s="139"/>
      <c r="J41" s="142"/>
      <c r="K41" s="125"/>
      <c r="L41" s="125"/>
      <c r="M41"/>
      <c r="N41"/>
      <c r="O41"/>
      <c r="P41"/>
      <c r="Q41"/>
      <c r="R41"/>
      <c r="S41"/>
      <c r="T41"/>
      <c r="U41"/>
      <c r="V41"/>
      <c r="W41"/>
      <c r="X41"/>
      <c r="Y41"/>
      <c r="Z41"/>
      <c r="AA41"/>
      <c r="AB41"/>
      <c r="AC41"/>
      <c r="AD41"/>
      <c r="AE41"/>
      <c r="AF41"/>
    </row>
    <row r="42" spans="1:32" ht="13.9" customHeight="1" outlineLevel="2" x14ac:dyDescent="0.2">
      <c r="A42" s="135"/>
      <c r="B42" s="136" t="s">
        <v>1238</v>
      </c>
      <c r="C42" s="137" t="s">
        <v>6610</v>
      </c>
      <c r="D42" s="138" t="s">
        <v>2011</v>
      </c>
      <c r="E42" s="67" t="s">
        <v>1129</v>
      </c>
      <c r="F42" s="139">
        <v>1</v>
      </c>
      <c r="G42" s="139">
        <v>144789.87033794672</v>
      </c>
      <c r="H42" s="140">
        <f>G42*F42</f>
        <v>144789.87033794672</v>
      </c>
      <c r="I42" s="139" t="s">
        <v>2002</v>
      </c>
      <c r="J42" s="142" t="s">
        <v>3171</v>
      </c>
      <c r="K42" s="125"/>
      <c r="L42" s="125"/>
      <c r="M42"/>
      <c r="N42"/>
      <c r="O42"/>
      <c r="P42"/>
      <c r="Q42"/>
      <c r="R42"/>
      <c r="S42"/>
      <c r="T42"/>
      <c r="U42"/>
      <c r="V42"/>
      <c r="W42"/>
      <c r="X42"/>
      <c r="Y42"/>
      <c r="Z42"/>
      <c r="AA42"/>
      <c r="AB42"/>
      <c r="AC42"/>
      <c r="AD42"/>
      <c r="AE42"/>
      <c r="AF42"/>
    </row>
    <row r="43" spans="1:32" ht="13.9" customHeight="1" outlineLevel="2" x14ac:dyDescent="0.2">
      <c r="A43" s="135"/>
      <c r="B43" s="136" t="s">
        <v>1238</v>
      </c>
      <c r="C43" s="137" t="s">
        <v>6611</v>
      </c>
      <c r="D43" s="138" t="s">
        <v>3188</v>
      </c>
      <c r="E43" s="67" t="s">
        <v>1129</v>
      </c>
      <c r="F43" s="139">
        <v>1</v>
      </c>
      <c r="G43" s="139">
        <v>11300</v>
      </c>
      <c r="H43" s="140">
        <f>G43*F43</f>
        <v>11300</v>
      </c>
      <c r="I43" s="139" t="s">
        <v>6576</v>
      </c>
      <c r="J43" s="142" t="s">
        <v>3171</v>
      </c>
      <c r="K43" s="125"/>
      <c r="L43" s="125"/>
      <c r="M43"/>
      <c r="N43"/>
      <c r="O43"/>
      <c r="P43"/>
      <c r="Q43"/>
      <c r="R43"/>
      <c r="S43"/>
      <c r="T43"/>
      <c r="U43"/>
      <c r="V43"/>
      <c r="W43"/>
      <c r="X43"/>
      <c r="Y43"/>
      <c r="Z43"/>
      <c r="AA43"/>
      <c r="AB43"/>
      <c r="AC43"/>
      <c r="AD43"/>
      <c r="AE43"/>
      <c r="AF43"/>
    </row>
    <row r="44" spans="1:32" ht="13.9" customHeight="1" outlineLevel="2" x14ac:dyDescent="0.2">
      <c r="A44" s="135"/>
      <c r="B44" s="136" t="s">
        <v>1238</v>
      </c>
      <c r="C44" s="137" t="s">
        <v>6612</v>
      </c>
      <c r="D44" s="138" t="s">
        <v>3189</v>
      </c>
      <c r="E44" s="67" t="s">
        <v>1129</v>
      </c>
      <c r="F44" s="139">
        <v>1</v>
      </c>
      <c r="G44" s="139">
        <v>16000</v>
      </c>
      <c r="H44" s="140">
        <f>G44*F44</f>
        <v>16000</v>
      </c>
      <c r="I44" s="139" t="s">
        <v>6576</v>
      </c>
      <c r="J44" s="142" t="s">
        <v>3171</v>
      </c>
      <c r="K44" s="125"/>
      <c r="L44" s="125"/>
      <c r="M44"/>
      <c r="N44"/>
      <c r="O44"/>
      <c r="P44"/>
      <c r="Q44"/>
      <c r="R44"/>
      <c r="S44"/>
      <c r="T44"/>
      <c r="U44"/>
      <c r="V44"/>
      <c r="W44"/>
      <c r="X44"/>
      <c r="Y44"/>
      <c r="Z44"/>
      <c r="AA44"/>
      <c r="AB44"/>
      <c r="AC44"/>
      <c r="AD44"/>
      <c r="AE44"/>
      <c r="AF44"/>
    </row>
    <row r="45" spans="1:32" ht="13.9" customHeight="1" outlineLevel="2" x14ac:dyDescent="0.2">
      <c r="A45" s="135"/>
      <c r="B45" s="136" t="s">
        <v>1238</v>
      </c>
      <c r="C45" s="137" t="s">
        <v>6613</v>
      </c>
      <c r="D45" s="138" t="s">
        <v>1584</v>
      </c>
      <c r="E45" s="67" t="s">
        <v>1129</v>
      </c>
      <c r="F45" s="139">
        <v>1</v>
      </c>
      <c r="G45" s="139">
        <v>34500</v>
      </c>
      <c r="H45" s="140">
        <f>G45*F45</f>
        <v>34500</v>
      </c>
      <c r="I45" s="139" t="s">
        <v>6576</v>
      </c>
      <c r="J45" s="142" t="s">
        <v>3171</v>
      </c>
      <c r="K45" s="125"/>
      <c r="L45" s="125"/>
      <c r="M45"/>
      <c r="N45"/>
      <c r="O45"/>
      <c r="P45"/>
      <c r="Q45"/>
      <c r="R45"/>
      <c r="S45"/>
      <c r="T45"/>
      <c r="U45"/>
      <c r="V45"/>
      <c r="W45"/>
      <c r="X45"/>
      <c r="Y45"/>
      <c r="Z45"/>
      <c r="AA45"/>
      <c r="AB45"/>
      <c r="AC45"/>
      <c r="AD45"/>
      <c r="AE45"/>
      <c r="AF45"/>
    </row>
    <row r="46" spans="1:32" ht="13.9" customHeight="1" outlineLevel="1" x14ac:dyDescent="0.2">
      <c r="A46" s="135"/>
      <c r="B46" s="136" t="s">
        <v>1237</v>
      </c>
      <c r="C46" s="137" t="s">
        <v>6473</v>
      </c>
      <c r="D46" s="138" t="s">
        <v>1942</v>
      </c>
      <c r="E46" s="67"/>
      <c r="F46" s="139"/>
      <c r="G46" s="139"/>
      <c r="H46" s="140">
        <f>H47+H48+H49+H50+H51+H52+H53+H54+H55+H56</f>
        <v>600453</v>
      </c>
      <c r="I46" s="139"/>
      <c r="J46" s="142"/>
      <c r="K46" s="125"/>
      <c r="L46" s="125"/>
      <c r="M46"/>
      <c r="N46"/>
      <c r="O46"/>
      <c r="P46"/>
      <c r="Q46"/>
      <c r="R46"/>
      <c r="S46"/>
      <c r="T46"/>
      <c r="U46"/>
      <c r="V46"/>
      <c r="W46"/>
      <c r="X46"/>
      <c r="Y46"/>
      <c r="Z46"/>
      <c r="AA46"/>
      <c r="AB46"/>
      <c r="AC46"/>
      <c r="AD46"/>
      <c r="AE46"/>
      <c r="AF46"/>
    </row>
    <row r="47" spans="1:32" ht="13.9" customHeight="1" outlineLevel="2" x14ac:dyDescent="0.2">
      <c r="A47" s="135"/>
      <c r="B47" s="136" t="s">
        <v>1238</v>
      </c>
      <c r="C47" s="137" t="s">
        <v>6614</v>
      </c>
      <c r="D47" s="138" t="s">
        <v>1578</v>
      </c>
      <c r="E47" s="67" t="s">
        <v>1129</v>
      </c>
      <c r="F47" s="139">
        <v>1</v>
      </c>
      <c r="G47" s="139">
        <v>238185</v>
      </c>
      <c r="H47" s="140">
        <f t="shared" ref="H47:H56" si="2">G47*F47</f>
        <v>238185</v>
      </c>
      <c r="I47" s="139" t="s">
        <v>2002</v>
      </c>
      <c r="J47" s="142" t="s">
        <v>3171</v>
      </c>
      <c r="K47" s="125"/>
      <c r="L47" s="125"/>
      <c r="M47"/>
      <c r="N47"/>
      <c r="O47"/>
      <c r="P47"/>
      <c r="Q47"/>
      <c r="R47"/>
      <c r="S47"/>
      <c r="T47"/>
      <c r="U47"/>
      <c r="V47"/>
      <c r="W47"/>
      <c r="X47"/>
      <c r="Y47"/>
      <c r="Z47"/>
      <c r="AA47"/>
      <c r="AB47"/>
      <c r="AC47"/>
      <c r="AD47"/>
      <c r="AE47"/>
      <c r="AF47"/>
    </row>
    <row r="48" spans="1:32" ht="13.9" customHeight="1" outlineLevel="2" x14ac:dyDescent="0.2">
      <c r="A48" s="135"/>
      <c r="B48" s="136" t="s">
        <v>1238</v>
      </c>
      <c r="C48" s="137" t="s">
        <v>6615</v>
      </c>
      <c r="D48" s="138" t="s">
        <v>3190</v>
      </c>
      <c r="E48" s="67" t="s">
        <v>1129</v>
      </c>
      <c r="F48" s="139">
        <v>1</v>
      </c>
      <c r="G48" s="139">
        <v>11200</v>
      </c>
      <c r="H48" s="140">
        <f t="shared" si="2"/>
        <v>11200</v>
      </c>
      <c r="I48" s="139" t="s">
        <v>2002</v>
      </c>
      <c r="J48" s="142" t="s">
        <v>3171</v>
      </c>
      <c r="K48" s="125"/>
      <c r="L48" s="125"/>
      <c r="M48"/>
      <c r="N48"/>
      <c r="O48"/>
      <c r="P48"/>
      <c r="Q48"/>
      <c r="R48"/>
      <c r="S48"/>
      <c r="T48"/>
      <c r="U48"/>
      <c r="V48"/>
      <c r="W48"/>
      <c r="X48"/>
      <c r="Y48"/>
      <c r="Z48"/>
      <c r="AA48"/>
      <c r="AB48"/>
      <c r="AC48"/>
      <c r="AD48"/>
      <c r="AE48"/>
      <c r="AF48"/>
    </row>
    <row r="49" spans="1:32" ht="12.75" outlineLevel="2" x14ac:dyDescent="0.2">
      <c r="A49" s="135"/>
      <c r="B49" s="136" t="s">
        <v>1238</v>
      </c>
      <c r="C49" s="137" t="s">
        <v>6616</v>
      </c>
      <c r="D49" s="138" t="s">
        <v>3191</v>
      </c>
      <c r="E49" s="67" t="s">
        <v>1129</v>
      </c>
      <c r="F49" s="139">
        <v>1</v>
      </c>
      <c r="G49" s="139">
        <v>5500</v>
      </c>
      <c r="H49" s="140">
        <f t="shared" si="2"/>
        <v>5500</v>
      </c>
      <c r="I49" s="139" t="s">
        <v>2002</v>
      </c>
      <c r="J49" s="142" t="s">
        <v>3171</v>
      </c>
      <c r="K49" s="125"/>
      <c r="L49" s="125"/>
      <c r="M49"/>
      <c r="N49"/>
      <c r="O49"/>
      <c r="P49"/>
      <c r="Q49"/>
      <c r="R49"/>
      <c r="S49"/>
      <c r="T49"/>
      <c r="U49"/>
      <c r="V49"/>
      <c r="W49"/>
      <c r="X49"/>
      <c r="Y49"/>
      <c r="Z49"/>
      <c r="AA49"/>
      <c r="AB49"/>
      <c r="AC49"/>
      <c r="AD49"/>
      <c r="AE49"/>
      <c r="AF49"/>
    </row>
    <row r="50" spans="1:32" ht="13.9" customHeight="1" outlineLevel="2" x14ac:dyDescent="0.2">
      <c r="A50" s="135"/>
      <c r="B50" s="136" t="s">
        <v>1238</v>
      </c>
      <c r="C50" s="137" t="s">
        <v>6617</v>
      </c>
      <c r="D50" s="138" t="s">
        <v>3192</v>
      </c>
      <c r="E50" s="67" t="s">
        <v>1129</v>
      </c>
      <c r="F50" s="139">
        <v>1</v>
      </c>
      <c r="G50" s="139">
        <v>6300</v>
      </c>
      <c r="H50" s="140">
        <f t="shared" si="2"/>
        <v>6300</v>
      </c>
      <c r="I50" s="139" t="s">
        <v>2002</v>
      </c>
      <c r="J50" s="142" t="s">
        <v>3171</v>
      </c>
      <c r="K50" s="125"/>
      <c r="L50" s="125"/>
      <c r="M50"/>
      <c r="N50"/>
      <c r="O50"/>
      <c r="P50"/>
      <c r="Q50"/>
      <c r="R50"/>
      <c r="S50"/>
      <c r="T50"/>
      <c r="U50"/>
      <c r="V50"/>
      <c r="W50"/>
      <c r="X50"/>
      <c r="Y50"/>
      <c r="Z50"/>
      <c r="AA50"/>
      <c r="AB50"/>
      <c r="AC50"/>
      <c r="AD50"/>
      <c r="AE50"/>
      <c r="AF50"/>
    </row>
    <row r="51" spans="1:32" ht="13.9" customHeight="1" outlineLevel="2" x14ac:dyDescent="0.2">
      <c r="A51" s="135"/>
      <c r="B51" s="136" t="s">
        <v>1238</v>
      </c>
      <c r="C51" s="137" t="s">
        <v>6618</v>
      </c>
      <c r="D51" s="138" t="s">
        <v>2012</v>
      </c>
      <c r="E51" s="67" t="s">
        <v>1129</v>
      </c>
      <c r="F51" s="139">
        <v>1</v>
      </c>
      <c r="G51" s="139">
        <v>5360</v>
      </c>
      <c r="H51" s="140">
        <f t="shared" si="2"/>
        <v>5360</v>
      </c>
      <c r="I51" s="139" t="s">
        <v>2002</v>
      </c>
      <c r="J51" s="142" t="s">
        <v>3171</v>
      </c>
      <c r="K51" s="125"/>
      <c r="L51" s="125"/>
      <c r="M51"/>
      <c r="N51"/>
      <c r="O51"/>
      <c r="P51"/>
      <c r="Q51"/>
      <c r="R51"/>
      <c r="S51"/>
      <c r="T51"/>
      <c r="U51"/>
      <c r="V51"/>
      <c r="W51"/>
      <c r="X51"/>
      <c r="Y51"/>
      <c r="Z51"/>
      <c r="AA51"/>
      <c r="AB51"/>
      <c r="AC51"/>
      <c r="AD51"/>
      <c r="AE51"/>
      <c r="AF51"/>
    </row>
    <row r="52" spans="1:32" ht="12.75" outlineLevel="2" x14ac:dyDescent="0.2">
      <c r="A52" s="135"/>
      <c r="B52" s="136" t="s">
        <v>1238</v>
      </c>
      <c r="C52" s="137" t="s">
        <v>6619</v>
      </c>
      <c r="D52" s="138" t="s">
        <v>2013</v>
      </c>
      <c r="E52" s="67" t="s">
        <v>1129</v>
      </c>
      <c r="F52" s="139">
        <v>1</v>
      </c>
      <c r="G52" s="139">
        <v>5360</v>
      </c>
      <c r="H52" s="140">
        <f t="shared" si="2"/>
        <v>5360</v>
      </c>
      <c r="I52" s="139" t="s">
        <v>2002</v>
      </c>
      <c r="J52" s="142" t="s">
        <v>3171</v>
      </c>
      <c r="K52" s="125"/>
      <c r="L52" s="125"/>
      <c r="M52"/>
      <c r="N52"/>
      <c r="O52"/>
      <c r="P52"/>
      <c r="Q52"/>
      <c r="R52"/>
      <c r="S52"/>
      <c r="T52"/>
      <c r="U52"/>
      <c r="V52"/>
      <c r="W52"/>
      <c r="X52"/>
      <c r="Y52"/>
      <c r="Z52"/>
      <c r="AA52"/>
      <c r="AB52"/>
      <c r="AC52"/>
      <c r="AD52"/>
      <c r="AE52"/>
      <c r="AF52"/>
    </row>
    <row r="53" spans="1:32" ht="13.9" customHeight="1" outlineLevel="2" x14ac:dyDescent="0.2">
      <c r="A53" s="135"/>
      <c r="B53" s="136" t="s">
        <v>1238</v>
      </c>
      <c r="C53" s="137" t="s">
        <v>6620</v>
      </c>
      <c r="D53" s="138" t="s">
        <v>3193</v>
      </c>
      <c r="E53" s="67" t="s">
        <v>1129</v>
      </c>
      <c r="F53" s="139">
        <v>1</v>
      </c>
      <c r="G53" s="139">
        <v>3840</v>
      </c>
      <c r="H53" s="140">
        <f t="shared" si="2"/>
        <v>3840</v>
      </c>
      <c r="I53" s="139" t="s">
        <v>2002</v>
      </c>
      <c r="J53" s="142" t="s">
        <v>3171</v>
      </c>
      <c r="K53" s="125"/>
      <c r="L53" s="125"/>
      <c r="M53"/>
      <c r="N53"/>
      <c r="O53"/>
      <c r="P53"/>
      <c r="Q53"/>
      <c r="R53"/>
      <c r="S53"/>
      <c r="T53"/>
      <c r="U53"/>
      <c r="V53"/>
      <c r="W53"/>
      <c r="X53"/>
      <c r="Y53"/>
      <c r="Z53"/>
      <c r="AA53"/>
      <c r="AB53"/>
      <c r="AC53"/>
      <c r="AD53"/>
      <c r="AE53"/>
      <c r="AF53"/>
    </row>
    <row r="54" spans="1:32" ht="13.9" customHeight="1" outlineLevel="2" x14ac:dyDescent="0.2">
      <c r="A54" s="135"/>
      <c r="B54" s="136" t="s">
        <v>1238</v>
      </c>
      <c r="C54" s="137" t="s">
        <v>6621</v>
      </c>
      <c r="D54" s="138" t="s">
        <v>3194</v>
      </c>
      <c r="E54" s="67" t="s">
        <v>1129</v>
      </c>
      <c r="F54" s="139">
        <v>1</v>
      </c>
      <c r="G54" s="139">
        <v>7500</v>
      </c>
      <c r="H54" s="140">
        <f t="shared" si="2"/>
        <v>7500</v>
      </c>
      <c r="I54" s="139" t="s">
        <v>6576</v>
      </c>
      <c r="J54" s="142" t="s">
        <v>3171</v>
      </c>
      <c r="K54" s="125"/>
      <c r="L54" s="125"/>
      <c r="M54"/>
      <c r="N54"/>
      <c r="O54"/>
      <c r="P54"/>
      <c r="Q54"/>
      <c r="R54"/>
      <c r="S54"/>
      <c r="T54"/>
      <c r="U54"/>
      <c r="V54"/>
      <c r="W54"/>
      <c r="X54"/>
      <c r="Y54"/>
      <c r="Z54"/>
      <c r="AA54"/>
      <c r="AB54"/>
      <c r="AC54"/>
      <c r="AD54"/>
      <c r="AE54"/>
      <c r="AF54"/>
    </row>
    <row r="55" spans="1:32" ht="13.9" customHeight="1" outlineLevel="2" x14ac:dyDescent="0.2">
      <c r="A55" s="135"/>
      <c r="B55" s="136" t="s">
        <v>1238</v>
      </c>
      <c r="C55" s="137" t="s">
        <v>6622</v>
      </c>
      <c r="D55" s="138" t="s">
        <v>3195</v>
      </c>
      <c r="E55" s="67" t="s">
        <v>1129</v>
      </c>
      <c r="F55" s="139">
        <v>1</v>
      </c>
      <c r="G55" s="139">
        <v>4200</v>
      </c>
      <c r="H55" s="140">
        <f t="shared" si="2"/>
        <v>4200</v>
      </c>
      <c r="I55" s="139" t="s">
        <v>2002</v>
      </c>
      <c r="J55" s="142" t="s">
        <v>3171</v>
      </c>
      <c r="K55" s="125"/>
      <c r="L55" s="125"/>
      <c r="M55"/>
      <c r="N55"/>
      <c r="O55"/>
      <c r="P55"/>
      <c r="Q55"/>
      <c r="R55"/>
      <c r="S55"/>
      <c r="T55"/>
      <c r="U55"/>
      <c r="V55"/>
      <c r="W55"/>
      <c r="X55"/>
      <c r="Y55"/>
      <c r="Z55"/>
      <c r="AA55"/>
      <c r="AB55"/>
      <c r="AC55"/>
      <c r="AD55"/>
      <c r="AE55"/>
      <c r="AF55"/>
    </row>
    <row r="56" spans="1:32" ht="13.9" customHeight="1" outlineLevel="2" x14ac:dyDescent="0.2">
      <c r="A56" s="135"/>
      <c r="B56" s="136" t="s">
        <v>1238</v>
      </c>
      <c r="C56" s="137" t="s">
        <v>6623</v>
      </c>
      <c r="D56" s="138" t="s">
        <v>3196</v>
      </c>
      <c r="E56" s="67" t="s">
        <v>1129</v>
      </c>
      <c r="F56" s="139">
        <v>1</v>
      </c>
      <c r="G56" s="139">
        <v>313008</v>
      </c>
      <c r="H56" s="140">
        <f t="shared" si="2"/>
        <v>313008</v>
      </c>
      <c r="I56" s="139" t="s">
        <v>2002</v>
      </c>
      <c r="J56" s="142" t="s">
        <v>3171</v>
      </c>
      <c r="K56" s="125"/>
      <c r="L56" s="125"/>
      <c r="M56"/>
      <c r="N56"/>
      <c r="O56"/>
      <c r="P56"/>
      <c r="Q56"/>
      <c r="R56"/>
      <c r="S56"/>
      <c r="T56"/>
      <c r="U56"/>
      <c r="V56"/>
      <c r="W56"/>
      <c r="X56"/>
      <c r="Y56"/>
      <c r="Z56"/>
      <c r="AA56"/>
      <c r="AB56"/>
      <c r="AC56"/>
      <c r="AD56"/>
      <c r="AE56"/>
      <c r="AF56"/>
    </row>
    <row r="57" spans="1:32" ht="17.25" customHeight="1" outlineLevel="1" x14ac:dyDescent="0.2">
      <c r="A57" s="135"/>
      <c r="B57" s="136" t="s">
        <v>38</v>
      </c>
      <c r="C57" s="137" t="s">
        <v>3309</v>
      </c>
      <c r="D57" s="138" t="s">
        <v>3078</v>
      </c>
      <c r="E57" s="67"/>
      <c r="F57" s="139"/>
      <c r="G57" s="139"/>
      <c r="H57" s="140">
        <f>H58+H75</f>
        <v>1395935.1463574725</v>
      </c>
      <c r="I57" s="141"/>
      <c r="J57" s="142"/>
      <c r="K57" s="125"/>
      <c r="L57" s="125"/>
      <c r="M57"/>
      <c r="N57"/>
      <c r="O57"/>
      <c r="P57"/>
      <c r="Q57"/>
      <c r="R57"/>
      <c r="S57"/>
      <c r="T57"/>
      <c r="U57"/>
      <c r="V57"/>
      <c r="W57"/>
      <c r="X57"/>
      <c r="Y57"/>
      <c r="Z57"/>
      <c r="AA57"/>
      <c r="AB57"/>
      <c r="AC57"/>
      <c r="AD57"/>
      <c r="AE57"/>
      <c r="AF57"/>
    </row>
    <row r="58" spans="1:32" ht="12" customHeight="1" outlineLevel="1" x14ac:dyDescent="0.2">
      <c r="A58" s="135"/>
      <c r="B58" s="136" t="s">
        <v>1237</v>
      </c>
      <c r="C58" s="137" t="s">
        <v>3310</v>
      </c>
      <c r="D58" s="143" t="s">
        <v>1943</v>
      </c>
      <c r="E58" s="67"/>
      <c r="F58" s="139"/>
      <c r="G58" s="139"/>
      <c r="H58" s="140">
        <f>H59+H60+H61+H62+H63+H64+H65+H66+H67+H68+H69+H70+H71+H72+H73+H74</f>
        <v>1044668.2749294546</v>
      </c>
      <c r="I58" s="141"/>
      <c r="J58" s="142"/>
      <c r="K58" s="125"/>
      <c r="L58" s="144"/>
      <c r="M58"/>
      <c r="N58"/>
      <c r="O58"/>
      <c r="P58"/>
      <c r="Q58"/>
      <c r="R58"/>
      <c r="S58"/>
      <c r="T58"/>
      <c r="U58"/>
      <c r="V58"/>
      <c r="W58"/>
      <c r="X58"/>
      <c r="Y58"/>
      <c r="Z58"/>
      <c r="AA58"/>
      <c r="AB58"/>
      <c r="AC58"/>
      <c r="AD58"/>
      <c r="AE58"/>
      <c r="AF58"/>
    </row>
    <row r="59" spans="1:32" ht="12" customHeight="1" outlineLevel="2" x14ac:dyDescent="0.2">
      <c r="A59" s="135"/>
      <c r="B59" s="136" t="s">
        <v>1238</v>
      </c>
      <c r="C59" s="137" t="s">
        <v>3311</v>
      </c>
      <c r="D59" s="143" t="s">
        <v>1944</v>
      </c>
      <c r="E59" s="139" t="s">
        <v>1129</v>
      </c>
      <c r="F59" s="139">
        <v>1</v>
      </c>
      <c r="G59" s="139">
        <v>71960.851415719226</v>
      </c>
      <c r="H59" s="140">
        <f t="shared" ref="H59:H74" si="3">G59*F59</f>
        <v>71960.851415719226</v>
      </c>
      <c r="I59" s="139" t="s">
        <v>2002</v>
      </c>
      <c r="J59" s="142" t="s">
        <v>1286</v>
      </c>
      <c r="K59" s="125"/>
      <c r="L59" s="144"/>
      <c r="M59"/>
      <c r="N59"/>
      <c r="O59"/>
      <c r="P59"/>
      <c r="Q59"/>
      <c r="R59"/>
      <c r="S59"/>
      <c r="T59"/>
      <c r="U59"/>
      <c r="V59"/>
      <c r="W59"/>
      <c r="X59"/>
      <c r="Y59"/>
      <c r="Z59"/>
      <c r="AA59"/>
      <c r="AB59"/>
      <c r="AC59"/>
      <c r="AD59"/>
      <c r="AE59"/>
      <c r="AF59"/>
    </row>
    <row r="60" spans="1:32" ht="12" customHeight="1" outlineLevel="2" x14ac:dyDescent="0.2">
      <c r="A60" s="135"/>
      <c r="B60" s="136" t="s">
        <v>1238</v>
      </c>
      <c r="C60" s="137" t="s">
        <v>3312</v>
      </c>
      <c r="D60" s="143" t="s">
        <v>2046</v>
      </c>
      <c r="E60" s="139" t="s">
        <v>1129</v>
      </c>
      <c r="F60" s="139">
        <v>1</v>
      </c>
      <c r="G60" s="139">
        <v>412.37</v>
      </c>
      <c r="H60" s="140">
        <f t="shared" si="3"/>
        <v>412.37</v>
      </c>
      <c r="I60" s="139" t="s">
        <v>2002</v>
      </c>
      <c r="J60" s="142" t="s">
        <v>1286</v>
      </c>
      <c r="K60" s="125"/>
      <c r="L60" s="144"/>
      <c r="M60"/>
      <c r="N60"/>
      <c r="O60"/>
      <c r="P60"/>
      <c r="Q60"/>
      <c r="R60"/>
      <c r="S60"/>
      <c r="T60"/>
      <c r="U60"/>
      <c r="V60"/>
      <c r="W60"/>
      <c r="X60"/>
      <c r="Y60"/>
      <c r="Z60"/>
      <c r="AA60"/>
      <c r="AB60"/>
      <c r="AC60"/>
      <c r="AD60"/>
      <c r="AE60"/>
      <c r="AF60"/>
    </row>
    <row r="61" spans="1:32" ht="12" customHeight="1" outlineLevel="2" x14ac:dyDescent="0.2">
      <c r="A61" s="135"/>
      <c r="B61" s="136" t="s">
        <v>1238</v>
      </c>
      <c r="C61" s="137" t="s">
        <v>6624</v>
      </c>
      <c r="D61" s="143" t="s">
        <v>1945</v>
      </c>
      <c r="E61" s="139" t="s">
        <v>1129</v>
      </c>
      <c r="F61" s="139">
        <v>1</v>
      </c>
      <c r="G61" s="139">
        <v>11955.031669576918</v>
      </c>
      <c r="H61" s="140">
        <f t="shared" si="3"/>
        <v>11955.031669576918</v>
      </c>
      <c r="I61" s="139" t="s">
        <v>2002</v>
      </c>
      <c r="J61" s="142" t="s">
        <v>1286</v>
      </c>
      <c r="K61" s="125"/>
      <c r="L61" s="144"/>
      <c r="M61"/>
      <c r="N61"/>
      <c r="O61"/>
      <c r="P61"/>
      <c r="Q61"/>
      <c r="R61"/>
      <c r="S61"/>
      <c r="T61"/>
      <c r="U61"/>
      <c r="V61"/>
      <c r="W61"/>
      <c r="X61"/>
      <c r="Y61"/>
      <c r="Z61"/>
      <c r="AA61"/>
      <c r="AB61"/>
      <c r="AC61"/>
      <c r="AD61"/>
      <c r="AE61"/>
      <c r="AF61"/>
    </row>
    <row r="62" spans="1:32" ht="12" customHeight="1" outlineLevel="2" x14ac:dyDescent="0.2">
      <c r="A62" s="135"/>
      <c r="B62" s="136" t="s">
        <v>1238</v>
      </c>
      <c r="C62" s="137" t="s">
        <v>6625</v>
      </c>
      <c r="D62" s="143" t="s">
        <v>1946</v>
      </c>
      <c r="E62" s="139" t="s">
        <v>1129</v>
      </c>
      <c r="F62" s="139">
        <v>1</v>
      </c>
      <c r="G62" s="139">
        <v>30000</v>
      </c>
      <c r="H62" s="140">
        <f t="shared" si="3"/>
        <v>30000</v>
      </c>
      <c r="I62" s="139" t="s">
        <v>6576</v>
      </c>
      <c r="J62" s="142" t="s">
        <v>1286</v>
      </c>
      <c r="K62" s="125"/>
      <c r="L62" s="144"/>
      <c r="M62"/>
      <c r="N62"/>
      <c r="O62"/>
      <c r="P62"/>
      <c r="Q62"/>
      <c r="R62"/>
      <c r="S62"/>
      <c r="T62"/>
      <c r="U62"/>
      <c r="V62"/>
      <c r="W62"/>
      <c r="X62"/>
      <c r="Y62"/>
      <c r="Z62"/>
      <c r="AA62"/>
      <c r="AB62"/>
      <c r="AC62"/>
      <c r="AD62"/>
      <c r="AE62"/>
      <c r="AF62"/>
    </row>
    <row r="63" spans="1:32" ht="12" customHeight="1" outlineLevel="2" x14ac:dyDescent="0.2">
      <c r="A63" s="135"/>
      <c r="B63" s="136" t="s">
        <v>1238</v>
      </c>
      <c r="C63" s="137" t="s">
        <v>6626</v>
      </c>
      <c r="D63" s="143" t="s">
        <v>1947</v>
      </c>
      <c r="E63" s="139" t="s">
        <v>1129</v>
      </c>
      <c r="F63" s="139">
        <v>1</v>
      </c>
      <c r="G63" s="139">
        <v>16643.349340092074</v>
      </c>
      <c r="H63" s="140">
        <f t="shared" si="3"/>
        <v>16643.349340092074</v>
      </c>
      <c r="I63" s="139" t="s">
        <v>2002</v>
      </c>
      <c r="J63" s="142" t="s">
        <v>1286</v>
      </c>
      <c r="K63" s="125"/>
      <c r="L63" s="144"/>
      <c r="M63"/>
      <c r="N63"/>
      <c r="O63"/>
      <c r="P63"/>
      <c r="Q63"/>
      <c r="R63"/>
      <c r="S63"/>
      <c r="T63"/>
      <c r="U63"/>
      <c r="V63"/>
      <c r="W63"/>
      <c r="X63"/>
      <c r="Y63"/>
      <c r="Z63"/>
      <c r="AA63"/>
      <c r="AB63"/>
      <c r="AC63"/>
      <c r="AD63"/>
      <c r="AE63"/>
      <c r="AF63"/>
    </row>
    <row r="64" spans="1:32" ht="12" customHeight="1" outlineLevel="2" x14ac:dyDescent="0.2">
      <c r="A64" s="135"/>
      <c r="B64" s="136" t="s">
        <v>1238</v>
      </c>
      <c r="C64" s="137" t="s">
        <v>6627</v>
      </c>
      <c r="D64" s="143" t="s">
        <v>1948</v>
      </c>
      <c r="E64" s="139" t="s">
        <v>1129</v>
      </c>
      <c r="F64" s="139">
        <v>1</v>
      </c>
      <c r="G64" s="139">
        <v>33097.80497987273</v>
      </c>
      <c r="H64" s="140">
        <f t="shared" si="3"/>
        <v>33097.80497987273</v>
      </c>
      <c r="I64" s="139" t="s">
        <v>2002</v>
      </c>
      <c r="J64" s="142" t="s">
        <v>1286</v>
      </c>
      <c r="K64" s="125"/>
      <c r="L64" s="144"/>
      <c r="M64"/>
      <c r="N64"/>
      <c r="O64"/>
      <c r="P64"/>
      <c r="Q64"/>
      <c r="R64"/>
      <c r="S64"/>
      <c r="T64"/>
      <c r="U64"/>
      <c r="V64"/>
      <c r="W64"/>
      <c r="X64"/>
      <c r="Y64"/>
      <c r="Z64"/>
      <c r="AA64"/>
      <c r="AB64"/>
      <c r="AC64"/>
      <c r="AD64"/>
      <c r="AE64"/>
      <c r="AF64"/>
    </row>
    <row r="65" spans="1:32" ht="12" customHeight="1" outlineLevel="2" x14ac:dyDescent="0.2">
      <c r="A65" s="135"/>
      <c r="B65" s="136" t="s">
        <v>1238</v>
      </c>
      <c r="C65" s="137" t="s">
        <v>6628</v>
      </c>
      <c r="D65" s="143" t="s">
        <v>1949</v>
      </c>
      <c r="E65" s="139" t="s">
        <v>1129</v>
      </c>
      <c r="F65" s="139">
        <v>1</v>
      </c>
      <c r="G65" s="139">
        <v>12228.686097311251</v>
      </c>
      <c r="H65" s="140">
        <f t="shared" si="3"/>
        <v>12228.686097311251</v>
      </c>
      <c r="I65" s="139" t="s">
        <v>2002</v>
      </c>
      <c r="J65" s="142" t="s">
        <v>1286</v>
      </c>
      <c r="K65" s="125"/>
      <c r="L65" s="144"/>
      <c r="M65"/>
      <c r="N65"/>
      <c r="O65"/>
      <c r="P65"/>
      <c r="Q65"/>
      <c r="R65"/>
      <c r="S65"/>
      <c r="T65"/>
      <c r="U65"/>
      <c r="V65"/>
      <c r="W65"/>
      <c r="X65"/>
      <c r="Y65"/>
      <c r="Z65"/>
      <c r="AA65"/>
      <c r="AB65"/>
      <c r="AC65"/>
      <c r="AD65"/>
      <c r="AE65"/>
      <c r="AF65"/>
    </row>
    <row r="66" spans="1:32" ht="12" customHeight="1" outlineLevel="2" x14ac:dyDescent="0.2">
      <c r="A66" s="135"/>
      <c r="B66" s="136" t="s">
        <v>1238</v>
      </c>
      <c r="C66" s="137" t="s">
        <v>6629</v>
      </c>
      <c r="D66" s="143" t="s">
        <v>1950</v>
      </c>
      <c r="E66" s="139" t="s">
        <v>1129</v>
      </c>
      <c r="F66" s="139">
        <v>1</v>
      </c>
      <c r="G66" s="139">
        <v>146127.50888094533</v>
      </c>
      <c r="H66" s="140">
        <f t="shared" si="3"/>
        <v>146127.50888094533</v>
      </c>
      <c r="I66" s="139" t="s">
        <v>2002</v>
      </c>
      <c r="J66" s="142" t="s">
        <v>1286</v>
      </c>
      <c r="K66" s="125"/>
      <c r="L66" s="144"/>
      <c r="M66"/>
      <c r="N66"/>
      <c r="O66"/>
      <c r="P66"/>
      <c r="Q66"/>
      <c r="R66"/>
      <c r="S66"/>
      <c r="T66"/>
      <c r="U66"/>
      <c r="V66"/>
      <c r="W66"/>
      <c r="X66"/>
      <c r="Y66"/>
      <c r="Z66"/>
      <c r="AA66"/>
      <c r="AB66"/>
      <c r="AC66"/>
      <c r="AD66"/>
      <c r="AE66"/>
      <c r="AF66"/>
    </row>
    <row r="67" spans="1:32" ht="12" customHeight="1" outlineLevel="2" x14ac:dyDescent="0.2">
      <c r="A67" s="135"/>
      <c r="B67" s="136" t="s">
        <v>1238</v>
      </c>
      <c r="C67" s="137" t="s">
        <v>6630</v>
      </c>
      <c r="D67" s="143" t="s">
        <v>3197</v>
      </c>
      <c r="E67" s="139" t="s">
        <v>1129</v>
      </c>
      <c r="F67" s="139">
        <v>1</v>
      </c>
      <c r="G67" s="139">
        <v>3600</v>
      </c>
      <c r="H67" s="140">
        <f t="shared" si="3"/>
        <v>3600</v>
      </c>
      <c r="I67" s="139" t="s">
        <v>2002</v>
      </c>
      <c r="J67" s="142" t="s">
        <v>1286</v>
      </c>
      <c r="K67" s="125"/>
      <c r="L67" s="144"/>
      <c r="M67"/>
      <c r="N67"/>
      <c r="O67"/>
      <c r="P67"/>
      <c r="Q67"/>
      <c r="R67"/>
      <c r="S67"/>
      <c r="T67"/>
      <c r="U67"/>
      <c r="V67"/>
      <c r="W67"/>
      <c r="X67"/>
      <c r="Y67"/>
      <c r="Z67"/>
      <c r="AA67"/>
      <c r="AB67"/>
      <c r="AC67"/>
      <c r="AD67"/>
      <c r="AE67"/>
      <c r="AF67"/>
    </row>
    <row r="68" spans="1:32" ht="12" customHeight="1" outlineLevel="2" x14ac:dyDescent="0.2">
      <c r="A68" s="135"/>
      <c r="B68" s="136" t="s">
        <v>1238</v>
      </c>
      <c r="C68" s="137" t="s">
        <v>6631</v>
      </c>
      <c r="D68" s="143" t="s">
        <v>3198</v>
      </c>
      <c r="E68" s="139" t="s">
        <v>1129</v>
      </c>
      <c r="F68" s="139">
        <v>1</v>
      </c>
      <c r="G68" s="139">
        <v>1000</v>
      </c>
      <c r="H68" s="140">
        <f t="shared" si="3"/>
        <v>1000</v>
      </c>
      <c r="I68" s="139" t="s">
        <v>6576</v>
      </c>
      <c r="J68" s="142" t="s">
        <v>1286</v>
      </c>
      <c r="K68" s="125"/>
      <c r="L68" s="144"/>
      <c r="M68"/>
      <c r="N68"/>
      <c r="O68"/>
      <c r="P68"/>
      <c r="Q68"/>
      <c r="R68"/>
      <c r="S68"/>
      <c r="T68"/>
      <c r="U68"/>
      <c r="V68"/>
      <c r="W68"/>
      <c r="X68"/>
      <c r="Y68"/>
      <c r="Z68"/>
      <c r="AA68"/>
      <c r="AB68"/>
      <c r="AC68"/>
      <c r="AD68"/>
      <c r="AE68"/>
      <c r="AF68"/>
    </row>
    <row r="69" spans="1:32" ht="12" customHeight="1" outlineLevel="2" x14ac:dyDescent="0.2">
      <c r="A69" s="135"/>
      <c r="B69" s="136" t="s">
        <v>1238</v>
      </c>
      <c r="C69" s="137" t="s">
        <v>6632</v>
      </c>
      <c r="D69" s="143" t="s">
        <v>2047</v>
      </c>
      <c r="E69" s="139" t="s">
        <v>1129</v>
      </c>
      <c r="F69" s="139">
        <v>1</v>
      </c>
      <c r="G69" s="139">
        <v>8800</v>
      </c>
      <c r="H69" s="140">
        <f t="shared" si="3"/>
        <v>8800</v>
      </c>
      <c r="I69" s="139" t="s">
        <v>2002</v>
      </c>
      <c r="J69" s="142" t="s">
        <v>1286</v>
      </c>
      <c r="K69" s="125"/>
      <c r="L69" s="144"/>
      <c r="M69"/>
      <c r="N69"/>
      <c r="O69"/>
      <c r="P69"/>
      <c r="Q69"/>
      <c r="R69"/>
      <c r="S69"/>
      <c r="T69"/>
      <c r="U69"/>
      <c r="V69"/>
      <c r="W69"/>
      <c r="X69"/>
      <c r="Y69"/>
      <c r="Z69"/>
      <c r="AA69"/>
      <c r="AB69"/>
      <c r="AC69"/>
      <c r="AD69"/>
      <c r="AE69"/>
      <c r="AF69"/>
    </row>
    <row r="70" spans="1:32" ht="12" customHeight="1" outlineLevel="2" x14ac:dyDescent="0.2">
      <c r="A70" s="135"/>
      <c r="B70" s="136" t="s">
        <v>1238</v>
      </c>
      <c r="C70" s="137" t="s">
        <v>6633</v>
      </c>
      <c r="D70" s="143" t="s">
        <v>3199</v>
      </c>
      <c r="E70" s="139" t="s">
        <v>1129</v>
      </c>
      <c r="F70" s="139">
        <v>1</v>
      </c>
      <c r="G70" s="139">
        <v>453148.83</v>
      </c>
      <c r="H70" s="140">
        <f t="shared" si="3"/>
        <v>453148.83</v>
      </c>
      <c r="I70" s="139" t="s">
        <v>6576</v>
      </c>
      <c r="J70" s="142" t="s">
        <v>1286</v>
      </c>
      <c r="K70" s="125"/>
      <c r="L70" s="144"/>
      <c r="M70"/>
      <c r="N70"/>
      <c r="O70"/>
      <c r="P70"/>
      <c r="Q70"/>
      <c r="R70"/>
      <c r="S70"/>
      <c r="T70"/>
      <c r="U70"/>
      <c r="V70"/>
      <c r="W70"/>
      <c r="X70"/>
      <c r="Y70"/>
      <c r="Z70"/>
      <c r="AA70"/>
      <c r="AB70"/>
      <c r="AC70"/>
      <c r="AD70"/>
      <c r="AE70"/>
      <c r="AF70"/>
    </row>
    <row r="71" spans="1:32" ht="12" customHeight="1" outlineLevel="2" x14ac:dyDescent="0.2">
      <c r="A71" s="135"/>
      <c r="B71" s="136" t="s">
        <v>1238</v>
      </c>
      <c r="C71" s="137" t="s">
        <v>6634</v>
      </c>
      <c r="D71" s="143" t="s">
        <v>1951</v>
      </c>
      <c r="E71" s="139" t="s">
        <v>1129</v>
      </c>
      <c r="F71" s="139">
        <v>1</v>
      </c>
      <c r="G71" s="139">
        <v>124279.41784041961</v>
      </c>
      <c r="H71" s="140">
        <f t="shared" si="3"/>
        <v>124279.41784041961</v>
      </c>
      <c r="I71" s="139" t="s">
        <v>2002</v>
      </c>
      <c r="J71" s="142" t="s">
        <v>1286</v>
      </c>
      <c r="K71" s="125"/>
      <c r="L71" s="144"/>
      <c r="M71"/>
      <c r="N71"/>
      <c r="O71"/>
      <c r="P71"/>
      <c r="Q71"/>
      <c r="R71"/>
      <c r="S71"/>
      <c r="T71"/>
      <c r="U71"/>
      <c r="V71"/>
      <c r="W71"/>
      <c r="X71"/>
      <c r="Y71"/>
      <c r="Z71"/>
      <c r="AA71"/>
      <c r="AB71"/>
      <c r="AC71"/>
      <c r="AD71"/>
      <c r="AE71"/>
      <c r="AF71"/>
    </row>
    <row r="72" spans="1:32" ht="12" customHeight="1" outlineLevel="2" x14ac:dyDescent="0.2">
      <c r="A72" s="135"/>
      <c r="B72" s="136" t="s">
        <v>1238</v>
      </c>
      <c r="C72" s="137" t="s">
        <v>6635</v>
      </c>
      <c r="D72" s="143" t="s">
        <v>1952</v>
      </c>
      <c r="E72" s="139" t="s">
        <v>1129</v>
      </c>
      <c r="F72" s="139">
        <v>1</v>
      </c>
      <c r="G72" s="139">
        <v>73162.253705517534</v>
      </c>
      <c r="H72" s="140">
        <f t="shared" si="3"/>
        <v>73162.253705517534</v>
      </c>
      <c r="I72" s="139" t="s">
        <v>2002</v>
      </c>
      <c r="J72" s="142" t="s">
        <v>1286</v>
      </c>
      <c r="K72" s="125"/>
      <c r="L72" s="144"/>
      <c r="M72"/>
      <c r="N72"/>
      <c r="O72"/>
      <c r="P72"/>
      <c r="Q72"/>
      <c r="R72"/>
      <c r="S72"/>
      <c r="T72"/>
      <c r="U72"/>
      <c r="V72"/>
      <c r="W72"/>
      <c r="X72"/>
      <c r="Y72"/>
      <c r="Z72"/>
      <c r="AA72"/>
      <c r="AB72"/>
      <c r="AC72"/>
      <c r="AD72"/>
      <c r="AE72"/>
      <c r="AF72"/>
    </row>
    <row r="73" spans="1:32" ht="12" customHeight="1" outlineLevel="2" x14ac:dyDescent="0.2">
      <c r="A73" s="135"/>
      <c r="B73" s="136" t="s">
        <v>1238</v>
      </c>
      <c r="C73" s="137" t="s">
        <v>6636</v>
      </c>
      <c r="D73" s="143" t="s">
        <v>1953</v>
      </c>
      <c r="E73" s="139" t="s">
        <v>1129</v>
      </c>
      <c r="F73" s="139">
        <v>1</v>
      </c>
      <c r="G73" s="139">
        <v>27215.760000000006</v>
      </c>
      <c r="H73" s="140">
        <f t="shared" si="3"/>
        <v>27215.760000000006</v>
      </c>
      <c r="I73" s="139" t="s">
        <v>2002</v>
      </c>
      <c r="J73" s="142" t="s">
        <v>1286</v>
      </c>
      <c r="K73" s="125"/>
      <c r="L73" s="144"/>
      <c r="M73"/>
      <c r="N73"/>
      <c r="O73"/>
      <c r="P73"/>
      <c r="Q73"/>
      <c r="R73"/>
      <c r="S73"/>
      <c r="T73"/>
      <c r="U73"/>
      <c r="V73"/>
      <c r="W73"/>
      <c r="X73"/>
      <c r="Y73"/>
      <c r="Z73"/>
      <c r="AA73"/>
      <c r="AB73"/>
      <c r="AC73"/>
      <c r="AD73"/>
      <c r="AE73"/>
      <c r="AF73"/>
    </row>
    <row r="74" spans="1:32" ht="12" customHeight="1" outlineLevel="2" x14ac:dyDescent="0.2">
      <c r="A74" s="135"/>
      <c r="B74" s="136" t="s">
        <v>1238</v>
      </c>
      <c r="C74" s="137" t="s">
        <v>6637</v>
      </c>
      <c r="D74" s="143" t="s">
        <v>1954</v>
      </c>
      <c r="E74" s="139" t="s">
        <v>1129</v>
      </c>
      <c r="F74" s="139">
        <v>1</v>
      </c>
      <c r="G74" s="139">
        <v>31036.410999999993</v>
      </c>
      <c r="H74" s="140">
        <f t="shared" si="3"/>
        <v>31036.410999999993</v>
      </c>
      <c r="I74" s="139" t="s">
        <v>2002</v>
      </c>
      <c r="J74" s="142" t="s">
        <v>1286</v>
      </c>
      <c r="K74" s="125"/>
      <c r="L74" s="144"/>
      <c r="M74"/>
      <c r="N74"/>
      <c r="O74"/>
      <c r="P74"/>
      <c r="Q74"/>
      <c r="R74"/>
      <c r="S74"/>
      <c r="T74"/>
      <c r="U74"/>
      <c r="V74"/>
      <c r="W74"/>
      <c r="X74"/>
      <c r="Y74"/>
      <c r="Z74"/>
      <c r="AA74"/>
      <c r="AB74"/>
      <c r="AC74"/>
      <c r="AD74"/>
      <c r="AE74"/>
      <c r="AF74"/>
    </row>
    <row r="75" spans="1:32" ht="12" customHeight="1" outlineLevel="1" x14ac:dyDescent="0.2">
      <c r="A75" s="135"/>
      <c r="B75" s="136" t="s">
        <v>1237</v>
      </c>
      <c r="C75" s="137" t="s">
        <v>3313</v>
      </c>
      <c r="D75" s="143" t="s">
        <v>1955</v>
      </c>
      <c r="E75" s="67"/>
      <c r="F75" s="139"/>
      <c r="G75" s="139"/>
      <c r="H75" s="140">
        <f>H76+H77+H78+H79</f>
        <v>351266.87142801785</v>
      </c>
      <c r="I75" s="141"/>
      <c r="J75" s="142"/>
      <c r="K75" s="125"/>
      <c r="L75" s="144"/>
      <c r="M75"/>
      <c r="N75"/>
      <c r="O75"/>
      <c r="P75"/>
      <c r="Q75"/>
      <c r="R75"/>
      <c r="S75"/>
      <c r="T75"/>
      <c r="U75"/>
      <c r="V75"/>
      <c r="W75"/>
      <c r="X75"/>
      <c r="Y75"/>
      <c r="Z75"/>
      <c r="AA75"/>
      <c r="AB75"/>
      <c r="AC75"/>
      <c r="AD75"/>
      <c r="AE75"/>
      <c r="AF75"/>
    </row>
    <row r="76" spans="1:32" ht="12" customHeight="1" outlineLevel="2" x14ac:dyDescent="0.2">
      <c r="A76" s="135"/>
      <c r="B76" s="136" t="s">
        <v>1238</v>
      </c>
      <c r="C76" s="137" t="s">
        <v>3314</v>
      </c>
      <c r="D76" s="143" t="s">
        <v>1583</v>
      </c>
      <c r="E76" s="139" t="s">
        <v>1129</v>
      </c>
      <c r="F76" s="139">
        <v>1</v>
      </c>
      <c r="G76" s="139">
        <v>41370.448316999908</v>
      </c>
      <c r="H76" s="140">
        <f>G76*F76</f>
        <v>41370.448316999908</v>
      </c>
      <c r="I76" s="139" t="s">
        <v>2002</v>
      </c>
      <c r="J76" s="142" t="s">
        <v>1286</v>
      </c>
      <c r="K76" s="125"/>
      <c r="L76" s="144"/>
      <c r="M76"/>
      <c r="N76"/>
      <c r="O76"/>
      <c r="P76"/>
      <c r="Q76"/>
      <c r="R76"/>
      <c r="S76"/>
      <c r="T76"/>
      <c r="U76"/>
      <c r="V76"/>
      <c r="W76"/>
      <c r="X76"/>
      <c r="Y76"/>
      <c r="Z76"/>
      <c r="AA76"/>
      <c r="AB76"/>
      <c r="AC76"/>
      <c r="AD76"/>
      <c r="AE76"/>
      <c r="AF76"/>
    </row>
    <row r="77" spans="1:32" ht="12" customHeight="1" outlineLevel="2" x14ac:dyDescent="0.2">
      <c r="A77" s="135"/>
      <c r="B77" s="136" t="s">
        <v>1238</v>
      </c>
      <c r="C77" s="137" t="s">
        <v>6638</v>
      </c>
      <c r="D77" s="143" t="s">
        <v>2014</v>
      </c>
      <c r="E77" s="139" t="s">
        <v>1129</v>
      </c>
      <c r="F77" s="139">
        <v>1</v>
      </c>
      <c r="G77" s="139">
        <v>162829.56539673769</v>
      </c>
      <c r="H77" s="140">
        <f>G77*F77</f>
        <v>162829.56539673769</v>
      </c>
      <c r="I77" s="139" t="s">
        <v>2002</v>
      </c>
      <c r="J77" s="142" t="s">
        <v>1286</v>
      </c>
      <c r="K77" s="125"/>
      <c r="L77" s="144"/>
      <c r="M77"/>
      <c r="N77"/>
      <c r="O77"/>
      <c r="P77"/>
      <c r="Q77"/>
      <c r="R77"/>
      <c r="S77"/>
      <c r="T77"/>
      <c r="U77"/>
      <c r="V77"/>
      <c r="W77"/>
      <c r="X77"/>
      <c r="Y77"/>
      <c r="Z77"/>
      <c r="AA77"/>
      <c r="AB77"/>
      <c r="AC77"/>
      <c r="AD77"/>
      <c r="AE77"/>
      <c r="AF77"/>
    </row>
    <row r="78" spans="1:32" ht="12" customHeight="1" outlineLevel="2" x14ac:dyDescent="0.2">
      <c r="A78" s="135"/>
      <c r="B78" s="136" t="s">
        <v>1238</v>
      </c>
      <c r="C78" s="137" t="s">
        <v>6639</v>
      </c>
      <c r="D78" s="143" t="s">
        <v>1956</v>
      </c>
      <c r="E78" s="139" t="s">
        <v>1129</v>
      </c>
      <c r="F78" s="139">
        <v>1</v>
      </c>
      <c r="G78" s="139">
        <v>105185.05145395904</v>
      </c>
      <c r="H78" s="140">
        <f>G78*F78</f>
        <v>105185.05145395904</v>
      </c>
      <c r="I78" s="139" t="s">
        <v>2002</v>
      </c>
      <c r="J78" s="142" t="s">
        <v>1286</v>
      </c>
      <c r="K78" s="125"/>
      <c r="L78" s="144"/>
      <c r="M78"/>
      <c r="N78"/>
      <c r="O78"/>
      <c r="P78"/>
      <c r="Q78"/>
      <c r="R78"/>
      <c r="S78"/>
      <c r="T78"/>
      <c r="U78"/>
      <c r="V78"/>
      <c r="W78"/>
      <c r="X78"/>
      <c r="Y78"/>
      <c r="Z78"/>
      <c r="AA78"/>
      <c r="AB78"/>
      <c r="AC78"/>
      <c r="AD78"/>
      <c r="AE78"/>
      <c r="AF78"/>
    </row>
    <row r="79" spans="1:32" ht="12" customHeight="1" outlineLevel="2" x14ac:dyDescent="0.2">
      <c r="A79" s="135"/>
      <c r="B79" s="136" t="s">
        <v>1238</v>
      </c>
      <c r="C79" s="137" t="s">
        <v>6640</v>
      </c>
      <c r="D79" s="143" t="s">
        <v>1957</v>
      </c>
      <c r="E79" s="139" t="s">
        <v>1129</v>
      </c>
      <c r="F79" s="139">
        <v>1</v>
      </c>
      <c r="G79" s="139">
        <v>41881.806260321238</v>
      </c>
      <c r="H79" s="140">
        <f>G79*F79</f>
        <v>41881.806260321238</v>
      </c>
      <c r="I79" s="139" t="s">
        <v>2002</v>
      </c>
      <c r="J79" s="142" t="s">
        <v>1286</v>
      </c>
      <c r="K79" s="125"/>
      <c r="L79" s="144"/>
      <c r="M79"/>
      <c r="N79"/>
      <c r="O79"/>
      <c r="P79"/>
      <c r="Q79"/>
      <c r="R79"/>
      <c r="S79"/>
      <c r="T79"/>
      <c r="U79"/>
      <c r="V79"/>
      <c r="W79"/>
      <c r="X79"/>
      <c r="Y79"/>
      <c r="Z79"/>
      <c r="AA79"/>
      <c r="AB79"/>
      <c r="AC79"/>
      <c r="AD79"/>
      <c r="AE79"/>
      <c r="AF79"/>
    </row>
    <row r="80" spans="1:32" ht="13.9" customHeight="1" x14ac:dyDescent="0.2">
      <c r="A80" s="135"/>
      <c r="B80" s="136" t="s">
        <v>1236</v>
      </c>
      <c r="C80" s="145" t="s">
        <v>3321</v>
      </c>
      <c r="D80" s="138" t="s">
        <v>1958</v>
      </c>
      <c r="E80" s="67"/>
      <c r="F80" s="139"/>
      <c r="G80" s="139"/>
      <c r="H80" s="140">
        <f>H81+H106+H148</f>
        <v>4925713.3008399364</v>
      </c>
      <c r="I80" s="141"/>
      <c r="J80" s="142"/>
      <c r="K80" s="125"/>
      <c r="L80" s="125"/>
      <c r="M80"/>
      <c r="N80"/>
      <c r="O80"/>
      <c r="P80"/>
      <c r="Q80"/>
      <c r="R80"/>
      <c r="S80"/>
      <c r="T80"/>
      <c r="U80"/>
      <c r="V80"/>
      <c r="W80"/>
      <c r="X80"/>
      <c r="Y80"/>
      <c r="Z80"/>
      <c r="AA80"/>
      <c r="AB80"/>
      <c r="AC80"/>
      <c r="AD80"/>
      <c r="AE80"/>
      <c r="AF80"/>
    </row>
    <row r="81" spans="1:32" ht="13.9" customHeight="1" outlineLevel="1" x14ac:dyDescent="0.2">
      <c r="A81" s="135"/>
      <c r="B81" s="136" t="s">
        <v>38</v>
      </c>
      <c r="C81" s="137" t="s">
        <v>3322</v>
      </c>
      <c r="D81" s="138" t="s">
        <v>1959</v>
      </c>
      <c r="E81" s="67"/>
      <c r="F81" s="139"/>
      <c r="G81" s="139"/>
      <c r="H81" s="140">
        <f>H82+H86+H98+H102</f>
        <v>609504.1794048372</v>
      </c>
      <c r="I81" s="141"/>
      <c r="J81" s="142" t="s">
        <v>1937</v>
      </c>
      <c r="K81" s="125"/>
      <c r="L81" s="125"/>
      <c r="M81"/>
      <c r="N81"/>
      <c r="O81"/>
      <c r="P81"/>
      <c r="Q81"/>
      <c r="R81"/>
      <c r="S81"/>
      <c r="T81"/>
      <c r="U81"/>
      <c r="V81"/>
      <c r="W81"/>
      <c r="X81"/>
      <c r="Y81"/>
      <c r="Z81"/>
      <c r="AA81"/>
      <c r="AB81"/>
      <c r="AC81"/>
      <c r="AD81"/>
      <c r="AE81"/>
      <c r="AF81"/>
    </row>
    <row r="82" spans="1:32" ht="12" customHeight="1" outlineLevel="1" x14ac:dyDescent="0.2">
      <c r="A82" s="135"/>
      <c r="B82" s="136" t="s">
        <v>1237</v>
      </c>
      <c r="C82" s="137" t="s">
        <v>3323</v>
      </c>
      <c r="D82" s="143" t="s">
        <v>1960</v>
      </c>
      <c r="E82" s="67"/>
      <c r="F82" s="139"/>
      <c r="G82" s="139"/>
      <c r="H82" s="140">
        <f>H83+H84+H85</f>
        <v>300750</v>
      </c>
      <c r="I82" s="141"/>
      <c r="J82" s="142"/>
      <c r="K82" s="125"/>
      <c r="L82" s="144"/>
      <c r="M82"/>
      <c r="N82"/>
      <c r="O82"/>
      <c r="P82"/>
      <c r="Q82"/>
      <c r="R82"/>
      <c r="S82"/>
      <c r="T82"/>
      <c r="U82"/>
      <c r="V82"/>
      <c r="W82"/>
      <c r="X82"/>
      <c r="Y82"/>
      <c r="Z82"/>
      <c r="AA82"/>
      <c r="AB82"/>
      <c r="AC82"/>
      <c r="AD82"/>
      <c r="AE82"/>
      <c r="AF82"/>
    </row>
    <row r="83" spans="1:32" ht="12" customHeight="1" outlineLevel="2" x14ac:dyDescent="0.2">
      <c r="A83" s="135"/>
      <c r="B83" s="136" t="s">
        <v>1238</v>
      </c>
      <c r="C83" s="137" t="s">
        <v>3324</v>
      </c>
      <c r="D83" s="143" t="s">
        <v>3200</v>
      </c>
      <c r="E83" s="139" t="s">
        <v>1243</v>
      </c>
      <c r="F83" s="139">
        <v>36</v>
      </c>
      <c r="G83" s="139">
        <v>2500</v>
      </c>
      <c r="H83" s="140">
        <f>G83*F83</f>
        <v>90000</v>
      </c>
      <c r="I83" s="139" t="s">
        <v>6576</v>
      </c>
      <c r="J83" s="142" t="s">
        <v>1286</v>
      </c>
      <c r="K83" s="125"/>
      <c r="L83" s="144"/>
      <c r="M83"/>
      <c r="N83"/>
      <c r="O83"/>
      <c r="P83"/>
      <c r="Q83"/>
      <c r="R83"/>
      <c r="S83"/>
      <c r="T83"/>
      <c r="U83"/>
      <c r="V83"/>
      <c r="W83"/>
      <c r="X83"/>
      <c r="Y83"/>
      <c r="Z83"/>
      <c r="AA83"/>
      <c r="AB83"/>
      <c r="AC83"/>
      <c r="AD83"/>
      <c r="AE83"/>
      <c r="AF83"/>
    </row>
    <row r="84" spans="1:32" ht="12" customHeight="1" outlineLevel="2" x14ac:dyDescent="0.2">
      <c r="A84" s="135"/>
      <c r="B84" s="136" t="s">
        <v>1238</v>
      </c>
      <c r="C84" s="137" t="s">
        <v>6641</v>
      </c>
      <c r="D84" s="143" t="s">
        <v>1961</v>
      </c>
      <c r="E84" s="139" t="s">
        <v>1129</v>
      </c>
      <c r="F84" s="139">
        <v>1</v>
      </c>
      <c r="G84" s="139">
        <v>204750</v>
      </c>
      <c r="H84" s="140">
        <f>G84*F84</f>
        <v>204750</v>
      </c>
      <c r="I84" s="139" t="s">
        <v>2002</v>
      </c>
      <c r="J84" s="142" t="s">
        <v>1286</v>
      </c>
      <c r="K84" s="125"/>
      <c r="L84" s="144"/>
      <c r="M84"/>
      <c r="N84"/>
      <c r="O84"/>
      <c r="P84"/>
      <c r="Q84"/>
      <c r="R84"/>
      <c r="S84"/>
      <c r="T84"/>
      <c r="U84"/>
      <c r="V84"/>
      <c r="W84"/>
      <c r="X84"/>
      <c r="Y84"/>
      <c r="Z84"/>
      <c r="AA84"/>
      <c r="AB84"/>
      <c r="AC84"/>
      <c r="AD84"/>
      <c r="AE84"/>
      <c r="AF84"/>
    </row>
    <row r="85" spans="1:32" ht="12" customHeight="1" outlineLevel="2" x14ac:dyDescent="0.2">
      <c r="A85" s="135"/>
      <c r="B85" s="136" t="s">
        <v>1238</v>
      </c>
      <c r="C85" s="137" t="s">
        <v>6642</v>
      </c>
      <c r="D85" s="143" t="s">
        <v>1970</v>
      </c>
      <c r="E85" s="139" t="s">
        <v>1129</v>
      </c>
      <c r="F85" s="139">
        <v>1</v>
      </c>
      <c r="G85" s="139">
        <v>6000</v>
      </c>
      <c r="H85" s="140">
        <f>G85*F85</f>
        <v>6000</v>
      </c>
      <c r="I85" s="139" t="s">
        <v>6576</v>
      </c>
      <c r="J85" s="142" t="s">
        <v>1286</v>
      </c>
      <c r="K85" s="125"/>
      <c r="L85" s="125"/>
      <c r="M85"/>
      <c r="N85"/>
      <c r="O85"/>
      <c r="P85"/>
      <c r="Q85"/>
      <c r="R85"/>
      <c r="S85"/>
      <c r="T85"/>
      <c r="U85"/>
      <c r="V85"/>
      <c r="W85"/>
      <c r="X85"/>
      <c r="Y85"/>
      <c r="Z85"/>
      <c r="AA85"/>
      <c r="AB85"/>
      <c r="AC85"/>
      <c r="AD85"/>
      <c r="AE85"/>
      <c r="AF85"/>
    </row>
    <row r="86" spans="1:32" ht="13.9" customHeight="1" outlineLevel="1" x14ac:dyDescent="0.2">
      <c r="A86" s="135"/>
      <c r="B86" s="136" t="s">
        <v>1237</v>
      </c>
      <c r="C86" s="137" t="s">
        <v>3325</v>
      </c>
      <c r="D86" s="138" t="s">
        <v>1962</v>
      </c>
      <c r="E86" s="67"/>
      <c r="F86" s="139"/>
      <c r="G86" s="139"/>
      <c r="H86" s="140">
        <f>H87+H88+H89+H90+H91+H92+H93+H94+H95+H96+H97</f>
        <v>213973.13674528402</v>
      </c>
      <c r="I86" s="141"/>
      <c r="J86" s="142"/>
      <c r="K86" s="125"/>
      <c r="L86" s="125"/>
      <c r="M86"/>
      <c r="N86"/>
      <c r="O86"/>
      <c r="P86"/>
      <c r="Q86"/>
      <c r="R86"/>
      <c r="S86"/>
      <c r="T86"/>
      <c r="U86"/>
      <c r="V86"/>
      <c r="W86"/>
      <c r="X86"/>
      <c r="Y86"/>
      <c r="Z86"/>
      <c r="AA86"/>
      <c r="AB86"/>
      <c r="AC86"/>
      <c r="AD86"/>
      <c r="AE86"/>
      <c r="AF86"/>
    </row>
    <row r="87" spans="1:32" ht="13.9" customHeight="1" outlineLevel="2" x14ac:dyDescent="0.2">
      <c r="A87" s="135"/>
      <c r="B87" s="136" t="s">
        <v>1238</v>
      </c>
      <c r="C87" s="137" t="s">
        <v>3326</v>
      </c>
      <c r="D87" s="138" t="s">
        <v>114</v>
      </c>
      <c r="E87" s="139" t="s">
        <v>787</v>
      </c>
      <c r="F87" s="139">
        <v>0</v>
      </c>
      <c r="G87" s="139">
        <v>243.95614637281909</v>
      </c>
      <c r="H87" s="140">
        <f t="shared" ref="H87:H97" si="4">G87*F87</f>
        <v>0</v>
      </c>
      <c r="I87" s="199" t="s">
        <v>113</v>
      </c>
      <c r="J87" s="142" t="s">
        <v>3171</v>
      </c>
      <c r="K87" s="125"/>
      <c r="L87" s="125"/>
      <c r="M87"/>
      <c r="N87"/>
      <c r="O87"/>
      <c r="P87"/>
      <c r="Q87"/>
      <c r="R87"/>
      <c r="S87"/>
      <c r="T87"/>
      <c r="U87"/>
      <c r="V87"/>
      <c r="W87"/>
      <c r="X87"/>
      <c r="Y87"/>
      <c r="Z87"/>
      <c r="AA87"/>
      <c r="AB87"/>
      <c r="AC87"/>
      <c r="AD87"/>
      <c r="AE87"/>
      <c r="AF87"/>
    </row>
    <row r="88" spans="1:32" ht="13.9" customHeight="1" outlineLevel="2" x14ac:dyDescent="0.2">
      <c r="A88" s="135"/>
      <c r="B88" s="136" t="s">
        <v>1238</v>
      </c>
      <c r="C88" s="137" t="s">
        <v>3327</v>
      </c>
      <c r="D88" s="138" t="s">
        <v>120</v>
      </c>
      <c r="E88" s="139" t="s">
        <v>787</v>
      </c>
      <c r="F88" s="139">
        <v>0</v>
      </c>
      <c r="G88" s="139">
        <v>230.09614637281908</v>
      </c>
      <c r="H88" s="140">
        <f t="shared" si="4"/>
        <v>0</v>
      </c>
      <c r="I88" s="199" t="s">
        <v>113</v>
      </c>
      <c r="J88" s="142" t="s">
        <v>3171</v>
      </c>
      <c r="K88" s="125"/>
      <c r="L88" s="125"/>
      <c r="M88"/>
      <c r="N88"/>
      <c r="O88"/>
      <c r="P88"/>
      <c r="Q88"/>
      <c r="R88"/>
      <c r="S88"/>
      <c r="T88"/>
      <c r="U88"/>
      <c r="V88"/>
      <c r="W88"/>
      <c r="X88"/>
      <c r="Y88"/>
      <c r="Z88"/>
      <c r="AA88"/>
      <c r="AB88"/>
      <c r="AC88"/>
      <c r="AD88"/>
      <c r="AE88"/>
      <c r="AF88"/>
    </row>
    <row r="89" spans="1:32" ht="13.9" customHeight="1" outlineLevel="2" x14ac:dyDescent="0.2">
      <c r="A89" s="135"/>
      <c r="B89" s="136" t="s">
        <v>1238</v>
      </c>
      <c r="C89" s="137" t="s">
        <v>6643</v>
      </c>
      <c r="D89" s="138" t="s">
        <v>1963</v>
      </c>
      <c r="E89" s="139" t="s">
        <v>641</v>
      </c>
      <c r="F89" s="139">
        <v>649.37200000000007</v>
      </c>
      <c r="G89" s="139">
        <v>38.622647000000001</v>
      </c>
      <c r="H89" s="140">
        <f t="shared" si="4"/>
        <v>25080.465527684002</v>
      </c>
      <c r="I89" s="199" t="s">
        <v>113</v>
      </c>
      <c r="J89" s="142" t="s">
        <v>3171</v>
      </c>
      <c r="K89" s="125"/>
      <c r="L89" s="125"/>
      <c r="M89"/>
      <c r="N89"/>
      <c r="O89"/>
      <c r="P89"/>
      <c r="Q89"/>
      <c r="R89"/>
      <c r="S89"/>
      <c r="T89"/>
      <c r="U89"/>
      <c r="V89"/>
      <c r="W89"/>
      <c r="X89"/>
      <c r="Y89"/>
      <c r="Z89"/>
      <c r="AA89"/>
      <c r="AB89"/>
      <c r="AC89"/>
      <c r="AD89"/>
      <c r="AE89"/>
      <c r="AF89"/>
    </row>
    <row r="90" spans="1:32" ht="13.9" customHeight="1" outlineLevel="2" x14ac:dyDescent="0.2">
      <c r="A90" s="135"/>
      <c r="B90" s="136" t="s">
        <v>1238</v>
      </c>
      <c r="C90" s="137" t="s">
        <v>6644</v>
      </c>
      <c r="D90" s="138" t="s">
        <v>2048</v>
      </c>
      <c r="E90" s="139" t="s">
        <v>787</v>
      </c>
      <c r="F90" s="139">
        <v>0</v>
      </c>
      <c r="G90" s="139">
        <v>42.431057000000003</v>
      </c>
      <c r="H90" s="140">
        <f t="shared" si="4"/>
        <v>0</v>
      </c>
      <c r="I90" s="199" t="s">
        <v>113</v>
      </c>
      <c r="J90" s="142" t="s">
        <v>3171</v>
      </c>
      <c r="K90" s="125"/>
      <c r="L90" s="125"/>
      <c r="M90"/>
      <c r="N90"/>
      <c r="O90"/>
      <c r="P90"/>
      <c r="Q90"/>
      <c r="R90"/>
      <c r="S90"/>
      <c r="T90"/>
      <c r="U90"/>
      <c r="V90"/>
      <c r="W90"/>
      <c r="X90"/>
      <c r="Y90"/>
      <c r="Z90"/>
      <c r="AA90"/>
      <c r="AB90"/>
      <c r="AC90"/>
      <c r="AD90"/>
      <c r="AE90"/>
      <c r="AF90"/>
    </row>
    <row r="91" spans="1:32" ht="13.9" customHeight="1" outlineLevel="2" x14ac:dyDescent="0.2">
      <c r="A91" s="135"/>
      <c r="B91" s="136" t="s">
        <v>1238</v>
      </c>
      <c r="C91" s="137" t="s">
        <v>6645</v>
      </c>
      <c r="D91" s="138" t="s">
        <v>126</v>
      </c>
      <c r="E91" s="139" t="s">
        <v>641</v>
      </c>
      <c r="F91" s="139">
        <v>0</v>
      </c>
      <c r="G91" s="139">
        <v>8.5113000000000003</v>
      </c>
      <c r="H91" s="140">
        <f t="shared" si="4"/>
        <v>0</v>
      </c>
      <c r="I91" s="199" t="s">
        <v>113</v>
      </c>
      <c r="J91" s="142" t="s">
        <v>3171</v>
      </c>
      <c r="K91" s="125"/>
      <c r="L91" s="125"/>
      <c r="M91"/>
      <c r="N91"/>
      <c r="O91"/>
      <c r="P91"/>
      <c r="Q91"/>
      <c r="R91"/>
      <c r="S91"/>
      <c r="T91"/>
      <c r="U91"/>
      <c r="V91"/>
      <c r="W91"/>
      <c r="X91"/>
      <c r="Y91"/>
      <c r="Z91"/>
      <c r="AA91"/>
      <c r="AB91"/>
      <c r="AC91"/>
      <c r="AD91"/>
      <c r="AE91"/>
      <c r="AF91"/>
    </row>
    <row r="92" spans="1:32" ht="13.9" customHeight="1" outlineLevel="2" x14ac:dyDescent="0.2">
      <c r="A92" s="135"/>
      <c r="B92" s="136" t="s">
        <v>1238</v>
      </c>
      <c r="C92" s="137" t="s">
        <v>6646</v>
      </c>
      <c r="D92" s="138" t="s">
        <v>1965</v>
      </c>
      <c r="E92" s="139" t="s">
        <v>641</v>
      </c>
      <c r="F92" s="139">
        <v>211.68</v>
      </c>
      <c r="G92" s="139">
        <v>49.519651000000003</v>
      </c>
      <c r="H92" s="140">
        <f t="shared" si="4"/>
        <v>10482.319723680001</v>
      </c>
      <c r="I92" s="199" t="s">
        <v>113</v>
      </c>
      <c r="J92" s="142" t="s">
        <v>3171</v>
      </c>
      <c r="K92" s="125"/>
      <c r="L92" s="125"/>
      <c r="M92"/>
      <c r="N92"/>
      <c r="O92"/>
      <c r="P92"/>
      <c r="Q92"/>
      <c r="R92"/>
      <c r="S92"/>
      <c r="T92"/>
      <c r="U92"/>
      <c r="V92"/>
      <c r="W92"/>
      <c r="X92"/>
      <c r="Y92"/>
      <c r="Z92"/>
      <c r="AA92"/>
      <c r="AB92"/>
      <c r="AC92"/>
      <c r="AD92"/>
      <c r="AE92"/>
      <c r="AF92"/>
    </row>
    <row r="93" spans="1:32" ht="13.9" customHeight="1" outlineLevel="2" x14ac:dyDescent="0.2">
      <c r="A93" s="135"/>
      <c r="B93" s="136" t="s">
        <v>1238</v>
      </c>
      <c r="C93" s="137" t="s">
        <v>6647</v>
      </c>
      <c r="D93" s="138" t="s">
        <v>2049</v>
      </c>
      <c r="E93" s="139" t="s">
        <v>641</v>
      </c>
      <c r="F93" s="139">
        <v>861.84</v>
      </c>
      <c r="G93" s="139">
        <v>49.519651000000003</v>
      </c>
      <c r="H93" s="140">
        <f t="shared" si="4"/>
        <v>42678.016017840004</v>
      </c>
      <c r="I93" s="199" t="s">
        <v>113</v>
      </c>
      <c r="J93" s="142" t="s">
        <v>3171</v>
      </c>
      <c r="K93" s="125"/>
      <c r="L93" s="125"/>
      <c r="M93"/>
      <c r="N93"/>
      <c r="O93"/>
      <c r="P93"/>
      <c r="Q93"/>
      <c r="R93"/>
      <c r="S93"/>
      <c r="T93"/>
      <c r="U93"/>
      <c r="V93"/>
      <c r="W93"/>
      <c r="X93"/>
      <c r="Y93"/>
      <c r="Z93"/>
      <c r="AA93"/>
      <c r="AB93"/>
      <c r="AC93"/>
      <c r="AD93"/>
      <c r="AE93"/>
      <c r="AF93"/>
    </row>
    <row r="94" spans="1:32" ht="13.9" customHeight="1" outlineLevel="2" x14ac:dyDescent="0.2">
      <c r="A94" s="135"/>
      <c r="B94" s="136" t="s">
        <v>1238</v>
      </c>
      <c r="C94" s="137" t="s">
        <v>6648</v>
      </c>
      <c r="D94" s="138" t="s">
        <v>2050</v>
      </c>
      <c r="E94" s="139" t="s">
        <v>641</v>
      </c>
      <c r="F94" s="139">
        <v>304.08</v>
      </c>
      <c r="G94" s="139">
        <v>49.519651000000003</v>
      </c>
      <c r="H94" s="140">
        <f t="shared" si="4"/>
        <v>15057.93547608</v>
      </c>
      <c r="I94" s="199" t="s">
        <v>113</v>
      </c>
      <c r="J94" s="142" t="s">
        <v>3171</v>
      </c>
      <c r="K94" s="125"/>
      <c r="L94" s="125"/>
      <c r="M94"/>
      <c r="N94"/>
      <c r="O94"/>
      <c r="P94"/>
      <c r="Q94"/>
      <c r="R94"/>
      <c r="S94"/>
      <c r="T94"/>
      <c r="U94"/>
      <c r="V94"/>
      <c r="W94"/>
      <c r="X94"/>
      <c r="Y94"/>
      <c r="Z94"/>
      <c r="AA94"/>
      <c r="AB94"/>
      <c r="AC94"/>
      <c r="AD94"/>
      <c r="AE94"/>
      <c r="AF94"/>
    </row>
    <row r="95" spans="1:32" ht="13.9" customHeight="1" outlineLevel="2" x14ac:dyDescent="0.2">
      <c r="A95" s="135"/>
      <c r="B95" s="136" t="s">
        <v>1238</v>
      </c>
      <c r="C95" s="137" t="s">
        <v>6649</v>
      </c>
      <c r="D95" s="138" t="s">
        <v>131</v>
      </c>
      <c r="E95" s="139" t="s">
        <v>641</v>
      </c>
      <c r="F95" s="139">
        <v>137.13</v>
      </c>
      <c r="G95" s="139">
        <v>880</v>
      </c>
      <c r="H95" s="140">
        <f t="shared" si="4"/>
        <v>120674.4</v>
      </c>
      <c r="I95" s="199" t="s">
        <v>113</v>
      </c>
      <c r="J95" s="142" t="s">
        <v>3171</v>
      </c>
      <c r="K95" s="125"/>
      <c r="L95" s="125"/>
      <c r="M95"/>
      <c r="N95"/>
      <c r="O95"/>
      <c r="P95"/>
      <c r="Q95"/>
      <c r="R95"/>
      <c r="S95"/>
      <c r="T95"/>
      <c r="U95"/>
      <c r="V95"/>
      <c r="W95"/>
      <c r="X95"/>
      <c r="Y95"/>
      <c r="Z95"/>
      <c r="AA95"/>
      <c r="AB95"/>
      <c r="AC95"/>
      <c r="AD95"/>
      <c r="AE95"/>
      <c r="AF95"/>
    </row>
    <row r="96" spans="1:32" ht="13.9" customHeight="1" outlineLevel="2" x14ac:dyDescent="0.2">
      <c r="A96" s="135"/>
      <c r="B96" s="136" t="s">
        <v>1238</v>
      </c>
      <c r="C96" s="137" t="s">
        <v>6650</v>
      </c>
      <c r="D96" s="138" t="s">
        <v>1966</v>
      </c>
      <c r="E96" s="139" t="s">
        <v>787</v>
      </c>
      <c r="F96" s="139">
        <v>0</v>
      </c>
      <c r="G96" s="139">
        <v>87.213999999999999</v>
      </c>
      <c r="H96" s="140">
        <f t="shared" si="4"/>
        <v>0</v>
      </c>
      <c r="I96" s="199" t="s">
        <v>113</v>
      </c>
      <c r="J96" s="142" t="s">
        <v>3171</v>
      </c>
      <c r="K96" s="125"/>
      <c r="L96" s="125"/>
      <c r="M96"/>
      <c r="N96"/>
      <c r="O96"/>
      <c r="P96"/>
      <c r="Q96"/>
      <c r="R96"/>
      <c r="S96"/>
      <c r="T96"/>
      <c r="U96"/>
      <c r="V96"/>
      <c r="W96"/>
      <c r="X96"/>
      <c r="Y96"/>
      <c r="Z96"/>
      <c r="AA96"/>
      <c r="AB96"/>
      <c r="AC96"/>
      <c r="AD96"/>
      <c r="AE96"/>
      <c r="AF96"/>
    </row>
    <row r="97" spans="1:32" ht="13.9" customHeight="1" outlineLevel="2" x14ac:dyDescent="0.2">
      <c r="A97" s="135"/>
      <c r="B97" s="136" t="s">
        <v>1238</v>
      </c>
      <c r="C97" s="137" t="s">
        <v>6651</v>
      </c>
      <c r="D97" s="138" t="s">
        <v>1967</v>
      </c>
      <c r="E97" s="139" t="s">
        <v>787</v>
      </c>
      <c r="F97" s="139">
        <v>0</v>
      </c>
      <c r="G97" s="139">
        <v>88</v>
      </c>
      <c r="H97" s="140">
        <f t="shared" si="4"/>
        <v>0</v>
      </c>
      <c r="I97" s="199" t="s">
        <v>113</v>
      </c>
      <c r="J97" s="142" t="s">
        <v>3171</v>
      </c>
      <c r="K97" s="125"/>
      <c r="L97" s="125"/>
      <c r="M97"/>
      <c r="N97"/>
      <c r="O97"/>
      <c r="P97"/>
      <c r="Q97"/>
      <c r="R97"/>
      <c r="S97"/>
      <c r="T97"/>
      <c r="U97"/>
      <c r="V97"/>
      <c r="W97"/>
      <c r="X97"/>
      <c r="Y97"/>
      <c r="Z97"/>
      <c r="AA97"/>
      <c r="AB97"/>
      <c r="AC97"/>
      <c r="AD97"/>
      <c r="AE97"/>
      <c r="AF97"/>
    </row>
    <row r="98" spans="1:32" ht="12" customHeight="1" outlineLevel="1" x14ac:dyDescent="0.2">
      <c r="A98" s="135"/>
      <c r="B98" s="136" t="s">
        <v>1237</v>
      </c>
      <c r="C98" s="137" t="s">
        <v>3328</v>
      </c>
      <c r="D98" s="143" t="s">
        <v>1968</v>
      </c>
      <c r="E98" s="67"/>
      <c r="F98" s="139"/>
      <c r="G98" s="146"/>
      <c r="H98" s="140">
        <f>H99+H100+H101</f>
        <v>85259.85615879629</v>
      </c>
      <c r="I98" s="141"/>
      <c r="J98" s="142"/>
      <c r="K98" s="125"/>
      <c r="L98" s="125"/>
      <c r="M98"/>
      <c r="N98"/>
      <c r="O98"/>
      <c r="P98"/>
      <c r="Q98"/>
      <c r="R98"/>
      <c r="S98"/>
      <c r="T98"/>
      <c r="U98"/>
      <c r="V98"/>
      <c r="W98"/>
      <c r="X98"/>
      <c r="Y98"/>
      <c r="Z98"/>
      <c r="AA98"/>
      <c r="AB98"/>
      <c r="AC98"/>
      <c r="AD98"/>
      <c r="AE98"/>
      <c r="AF98"/>
    </row>
    <row r="99" spans="1:32" ht="12" customHeight="1" outlineLevel="2" x14ac:dyDescent="0.2">
      <c r="A99" s="135"/>
      <c r="B99" s="136" t="s">
        <v>1238</v>
      </c>
      <c r="C99" s="137" t="s">
        <v>3329</v>
      </c>
      <c r="D99" s="143" t="s">
        <v>1969</v>
      </c>
      <c r="E99" s="139" t="s">
        <v>1129</v>
      </c>
      <c r="F99" s="139">
        <v>1</v>
      </c>
      <c r="G99" s="139">
        <v>8059.8561587962831</v>
      </c>
      <c r="H99" s="140">
        <f>G99*F99</f>
        <v>8059.8561587962831</v>
      </c>
      <c r="I99" s="139" t="s">
        <v>2002</v>
      </c>
      <c r="J99" s="142" t="s">
        <v>1286</v>
      </c>
      <c r="K99" s="125"/>
      <c r="L99" s="125"/>
      <c r="M99"/>
      <c r="N99"/>
      <c r="O99"/>
      <c r="P99"/>
      <c r="Q99"/>
      <c r="R99"/>
      <c r="S99"/>
      <c r="T99"/>
      <c r="U99"/>
      <c r="V99"/>
      <c r="W99"/>
      <c r="X99"/>
      <c r="Y99"/>
      <c r="Z99"/>
      <c r="AA99"/>
      <c r="AB99"/>
      <c r="AC99"/>
      <c r="AD99"/>
      <c r="AE99"/>
      <c r="AF99"/>
    </row>
    <row r="100" spans="1:32" ht="12" customHeight="1" outlineLevel="2" x14ac:dyDescent="0.2">
      <c r="A100" s="135"/>
      <c r="B100" s="136" t="s">
        <v>1238</v>
      </c>
      <c r="C100" s="137" t="s">
        <v>6652</v>
      </c>
      <c r="D100" s="143" t="s">
        <v>1971</v>
      </c>
      <c r="E100" s="139" t="s">
        <v>1129</v>
      </c>
      <c r="F100" s="139">
        <v>1</v>
      </c>
      <c r="G100" s="139">
        <v>5200</v>
      </c>
      <c r="H100" s="140">
        <f>G100*F100</f>
        <v>5200</v>
      </c>
      <c r="I100" s="139" t="s">
        <v>6576</v>
      </c>
      <c r="J100" s="142" t="s">
        <v>1286</v>
      </c>
      <c r="K100" s="125"/>
      <c r="L100" s="125"/>
      <c r="M100"/>
      <c r="N100"/>
      <c r="O100"/>
      <c r="P100"/>
      <c r="Q100"/>
      <c r="R100"/>
      <c r="S100"/>
      <c r="T100"/>
      <c r="U100"/>
      <c r="V100"/>
      <c r="W100"/>
      <c r="X100"/>
      <c r="Y100"/>
      <c r="Z100"/>
      <c r="AA100"/>
      <c r="AB100"/>
      <c r="AC100"/>
      <c r="AD100"/>
      <c r="AE100"/>
      <c r="AF100"/>
    </row>
    <row r="101" spans="1:32" ht="12" customHeight="1" outlineLevel="2" x14ac:dyDescent="0.2">
      <c r="A101" s="135"/>
      <c r="B101" s="136" t="s">
        <v>1238</v>
      </c>
      <c r="C101" s="137" t="s">
        <v>6653</v>
      </c>
      <c r="D101" s="143" t="s">
        <v>1972</v>
      </c>
      <c r="E101" s="139" t="s">
        <v>1243</v>
      </c>
      <c r="F101" s="139">
        <v>36</v>
      </c>
      <c r="G101" s="139">
        <v>2000</v>
      </c>
      <c r="H101" s="140">
        <f>G101*F101</f>
        <v>72000</v>
      </c>
      <c r="I101" s="139" t="s">
        <v>2002</v>
      </c>
      <c r="J101" s="142" t="s">
        <v>1286</v>
      </c>
      <c r="K101" s="125"/>
      <c r="L101" s="125"/>
      <c r="M101"/>
      <c r="N101"/>
      <c r="O101"/>
      <c r="P101"/>
      <c r="Q101"/>
      <c r="R101"/>
      <c r="S101"/>
      <c r="T101"/>
      <c r="U101"/>
      <c r="V101"/>
      <c r="W101"/>
      <c r="X101"/>
      <c r="Y101"/>
      <c r="Z101"/>
      <c r="AA101"/>
      <c r="AB101"/>
      <c r="AC101"/>
      <c r="AD101"/>
      <c r="AE101"/>
      <c r="AF101"/>
    </row>
    <row r="102" spans="1:32" ht="12" customHeight="1" outlineLevel="1" x14ac:dyDescent="0.2">
      <c r="A102" s="135"/>
      <c r="B102" s="136" t="s">
        <v>1237</v>
      </c>
      <c r="C102" s="137" t="s">
        <v>6472</v>
      </c>
      <c r="D102" s="143" t="s">
        <v>1973</v>
      </c>
      <c r="E102" s="67"/>
      <c r="F102" s="139"/>
      <c r="G102" s="146"/>
      <c r="H102" s="140">
        <f>H103+H104+H105</f>
        <v>9521.1865007569322</v>
      </c>
      <c r="I102" s="141"/>
      <c r="J102" s="142"/>
      <c r="K102" s="125"/>
      <c r="L102" s="125"/>
      <c r="M102"/>
      <c r="N102"/>
      <c r="O102"/>
      <c r="P102"/>
      <c r="Q102"/>
      <c r="R102"/>
      <c r="S102"/>
      <c r="T102"/>
      <c r="U102"/>
      <c r="V102"/>
      <c r="W102"/>
      <c r="X102"/>
      <c r="Y102"/>
      <c r="Z102"/>
      <c r="AA102"/>
      <c r="AB102"/>
      <c r="AC102"/>
      <c r="AD102"/>
      <c r="AE102"/>
      <c r="AF102"/>
    </row>
    <row r="103" spans="1:32" ht="12" customHeight="1" outlineLevel="2" x14ac:dyDescent="0.2">
      <c r="A103" s="135"/>
      <c r="B103" s="136" t="s">
        <v>1238</v>
      </c>
      <c r="C103" s="137" t="s">
        <v>6654</v>
      </c>
      <c r="D103" s="143" t="s">
        <v>1974</v>
      </c>
      <c r="E103" s="139" t="s">
        <v>1129</v>
      </c>
      <c r="F103" s="139">
        <v>1</v>
      </c>
      <c r="G103" s="139">
        <v>3789.0563017917584</v>
      </c>
      <c r="H103" s="140">
        <f>G103*F103</f>
        <v>3789.0563017917584</v>
      </c>
      <c r="I103" s="139" t="s">
        <v>2002</v>
      </c>
      <c r="J103" s="142" t="s">
        <v>1286</v>
      </c>
      <c r="K103" s="125"/>
      <c r="L103" s="125"/>
      <c r="M103"/>
      <c r="N103"/>
      <c r="O103"/>
      <c r="P103"/>
      <c r="Q103"/>
      <c r="R103"/>
      <c r="S103"/>
      <c r="T103"/>
      <c r="U103"/>
      <c r="V103"/>
      <c r="W103"/>
      <c r="X103"/>
      <c r="Y103"/>
      <c r="Z103"/>
      <c r="AA103"/>
      <c r="AB103"/>
      <c r="AC103"/>
      <c r="AD103"/>
      <c r="AE103"/>
      <c r="AF103"/>
    </row>
    <row r="104" spans="1:32" ht="12" customHeight="1" outlineLevel="2" x14ac:dyDescent="0.2">
      <c r="A104" s="135"/>
      <c r="B104" s="136" t="s">
        <v>1238</v>
      </c>
      <c r="C104" s="137" t="s">
        <v>6655</v>
      </c>
      <c r="D104" s="143" t="s">
        <v>1975</v>
      </c>
      <c r="E104" s="139" t="s">
        <v>1129</v>
      </c>
      <c r="F104" s="139">
        <v>1</v>
      </c>
      <c r="G104" s="139">
        <v>1232.1301989651729</v>
      </c>
      <c r="H104" s="140">
        <f>G104*F104</f>
        <v>1232.1301989651729</v>
      </c>
      <c r="I104" s="139" t="s">
        <v>2002</v>
      </c>
      <c r="J104" s="142" t="s">
        <v>1286</v>
      </c>
      <c r="K104" s="125"/>
      <c r="L104" s="125"/>
      <c r="M104"/>
      <c r="N104"/>
      <c r="O104"/>
      <c r="P104"/>
      <c r="Q104"/>
      <c r="R104"/>
      <c r="S104"/>
      <c r="T104"/>
      <c r="U104"/>
      <c r="V104"/>
      <c r="W104"/>
      <c r="X104"/>
      <c r="Y104"/>
      <c r="Z104"/>
      <c r="AA104"/>
      <c r="AB104"/>
      <c r="AC104"/>
      <c r="AD104"/>
      <c r="AE104"/>
      <c r="AF104"/>
    </row>
    <row r="105" spans="1:32" ht="12" customHeight="1" outlineLevel="2" x14ac:dyDescent="0.2">
      <c r="A105" s="135"/>
      <c r="B105" s="136" t="s">
        <v>1238</v>
      </c>
      <c r="C105" s="137" t="s">
        <v>6656</v>
      </c>
      <c r="D105" s="143" t="s">
        <v>1976</v>
      </c>
      <c r="E105" s="139" t="s">
        <v>1243</v>
      </c>
      <c r="F105" s="139">
        <v>18</v>
      </c>
      <c r="G105" s="139">
        <v>250</v>
      </c>
      <c r="H105" s="140">
        <f>G105*F105</f>
        <v>4500</v>
      </c>
      <c r="I105" s="139" t="s">
        <v>2002</v>
      </c>
      <c r="J105" s="142" t="s">
        <v>1286</v>
      </c>
      <c r="K105" s="125"/>
      <c r="L105" s="125"/>
      <c r="M105"/>
      <c r="N105"/>
      <c r="O105"/>
      <c r="P105"/>
      <c r="Q105"/>
      <c r="R105"/>
      <c r="S105"/>
      <c r="T105"/>
      <c r="U105"/>
      <c r="V105"/>
      <c r="W105"/>
      <c r="X105"/>
      <c r="Y105"/>
      <c r="Z105"/>
      <c r="AA105"/>
      <c r="AB105"/>
      <c r="AC105"/>
      <c r="AD105"/>
      <c r="AE105"/>
      <c r="AF105"/>
    </row>
    <row r="106" spans="1:32" ht="12" customHeight="1" outlineLevel="1" x14ac:dyDescent="0.2">
      <c r="A106" s="135"/>
      <c r="B106" s="136" t="s">
        <v>38</v>
      </c>
      <c r="C106" s="137" t="s">
        <v>3330</v>
      </c>
      <c r="D106" s="143" t="s">
        <v>1977</v>
      </c>
      <c r="E106" s="67"/>
      <c r="F106" s="139"/>
      <c r="G106" s="139"/>
      <c r="H106" s="140">
        <f>H107+H114+H133+H138</f>
        <v>4271209.1214350993</v>
      </c>
      <c r="I106" s="141"/>
      <c r="J106" s="142"/>
      <c r="K106" s="125"/>
      <c r="L106" s="144"/>
      <c r="M106"/>
      <c r="N106"/>
      <c r="O106"/>
      <c r="P106"/>
      <c r="Q106"/>
      <c r="R106"/>
      <c r="S106"/>
      <c r="T106"/>
      <c r="U106"/>
      <c r="V106"/>
      <c r="W106"/>
      <c r="X106"/>
      <c r="Y106"/>
      <c r="Z106"/>
      <c r="AA106"/>
      <c r="AB106"/>
      <c r="AC106"/>
      <c r="AD106"/>
      <c r="AE106"/>
      <c r="AF106"/>
    </row>
    <row r="107" spans="1:32" ht="12" customHeight="1" outlineLevel="1" x14ac:dyDescent="0.2">
      <c r="A107" s="135"/>
      <c r="B107" s="136" t="s">
        <v>1237</v>
      </c>
      <c r="C107" s="137" t="s">
        <v>3331</v>
      </c>
      <c r="D107" s="143" t="s">
        <v>1978</v>
      </c>
      <c r="E107" s="67"/>
      <c r="F107" s="139"/>
      <c r="G107" s="139"/>
      <c r="H107" s="140">
        <f>H108+H109+H110+H111+H112+H113</f>
        <v>2054400</v>
      </c>
      <c r="I107" s="141"/>
      <c r="J107" s="142"/>
      <c r="K107" s="125"/>
      <c r="L107" s="144"/>
      <c r="M107"/>
      <c r="N107"/>
      <c r="O107"/>
      <c r="P107"/>
      <c r="Q107"/>
      <c r="R107"/>
      <c r="S107"/>
      <c r="T107"/>
      <c r="U107"/>
      <c r="V107"/>
      <c r="W107"/>
      <c r="X107"/>
      <c r="Y107"/>
      <c r="Z107"/>
      <c r="AA107"/>
      <c r="AB107"/>
      <c r="AC107"/>
      <c r="AD107"/>
      <c r="AE107"/>
      <c r="AF107"/>
    </row>
    <row r="108" spans="1:32" ht="12" customHeight="1" outlineLevel="2" x14ac:dyDescent="0.2">
      <c r="A108" s="135"/>
      <c r="B108" s="136" t="s">
        <v>1238</v>
      </c>
      <c r="C108" s="137" t="s">
        <v>3332</v>
      </c>
      <c r="D108" s="143" t="s">
        <v>1979</v>
      </c>
      <c r="E108" s="139" t="s">
        <v>1243</v>
      </c>
      <c r="F108" s="139">
        <v>48</v>
      </c>
      <c r="G108" s="139">
        <v>21000</v>
      </c>
      <c r="H108" s="140">
        <f t="shared" ref="H108:H113" si="5">G108*F108</f>
        <v>1008000</v>
      </c>
      <c r="I108" s="139" t="s">
        <v>6576</v>
      </c>
      <c r="J108" s="142" t="s">
        <v>1286</v>
      </c>
      <c r="K108" s="125"/>
      <c r="L108" s="144"/>
      <c r="M108"/>
      <c r="N108"/>
      <c r="O108"/>
      <c r="P108"/>
      <c r="Q108"/>
      <c r="R108"/>
      <c r="S108"/>
      <c r="T108"/>
      <c r="U108"/>
      <c r="V108"/>
      <c r="W108"/>
      <c r="X108"/>
      <c r="Y108"/>
      <c r="Z108"/>
      <c r="AA108"/>
      <c r="AB108"/>
      <c r="AC108"/>
      <c r="AD108"/>
      <c r="AE108"/>
      <c r="AF108"/>
    </row>
    <row r="109" spans="1:32" ht="12" customHeight="1" outlineLevel="2" x14ac:dyDescent="0.2">
      <c r="A109" s="135"/>
      <c r="B109" s="136" t="s">
        <v>1238</v>
      </c>
      <c r="C109" s="137" t="s">
        <v>3333</v>
      </c>
      <c r="D109" s="143" t="s">
        <v>1980</v>
      </c>
      <c r="E109" s="139" t="s">
        <v>1243</v>
      </c>
      <c r="F109" s="139">
        <v>24</v>
      </c>
      <c r="G109" s="139">
        <v>5000</v>
      </c>
      <c r="H109" s="140">
        <f t="shared" si="5"/>
        <v>120000</v>
      </c>
      <c r="I109" s="139" t="s">
        <v>6576</v>
      </c>
      <c r="J109" s="142" t="s">
        <v>1286</v>
      </c>
      <c r="K109" s="125"/>
      <c r="L109" s="144"/>
      <c r="M109"/>
      <c r="N109"/>
      <c r="O109"/>
      <c r="P109"/>
      <c r="Q109"/>
      <c r="R109"/>
      <c r="S109"/>
      <c r="T109"/>
      <c r="U109"/>
      <c r="V109"/>
      <c r="W109"/>
      <c r="X109"/>
      <c r="Y109"/>
      <c r="Z109"/>
      <c r="AA109"/>
      <c r="AB109"/>
      <c r="AC109"/>
      <c r="AD109"/>
      <c r="AE109"/>
      <c r="AF109"/>
    </row>
    <row r="110" spans="1:32" ht="12" customHeight="1" outlineLevel="2" x14ac:dyDescent="0.2">
      <c r="A110" s="135"/>
      <c r="B110" s="136" t="s">
        <v>1238</v>
      </c>
      <c r="C110" s="137" t="s">
        <v>3334</v>
      </c>
      <c r="D110" s="143" t="s">
        <v>2017</v>
      </c>
      <c r="E110" s="139" t="s">
        <v>1243</v>
      </c>
      <c r="F110" s="139">
        <v>12</v>
      </c>
      <c r="G110" s="139">
        <v>6800</v>
      </c>
      <c r="H110" s="140">
        <f t="shared" si="5"/>
        <v>81600</v>
      </c>
      <c r="I110" s="139" t="s">
        <v>6576</v>
      </c>
      <c r="J110" s="142" t="s">
        <v>1286</v>
      </c>
      <c r="K110" s="125"/>
      <c r="L110" s="144"/>
      <c r="M110"/>
      <c r="N110"/>
      <c r="O110"/>
      <c r="P110"/>
      <c r="Q110"/>
      <c r="R110"/>
      <c r="S110"/>
      <c r="T110"/>
      <c r="U110"/>
      <c r="V110"/>
      <c r="W110"/>
      <c r="X110"/>
      <c r="Y110"/>
      <c r="Z110"/>
      <c r="AA110"/>
      <c r="AB110"/>
      <c r="AC110"/>
      <c r="AD110"/>
      <c r="AE110"/>
      <c r="AF110"/>
    </row>
    <row r="111" spans="1:32" ht="12" customHeight="1" outlineLevel="2" x14ac:dyDescent="0.2">
      <c r="A111" s="135"/>
      <c r="B111" s="136" t="s">
        <v>1238</v>
      </c>
      <c r="C111" s="137" t="s">
        <v>3335</v>
      </c>
      <c r="D111" s="143" t="s">
        <v>2018</v>
      </c>
      <c r="E111" s="139" t="s">
        <v>1243</v>
      </c>
      <c r="F111" s="139">
        <v>48</v>
      </c>
      <c r="G111" s="139">
        <v>4500</v>
      </c>
      <c r="H111" s="140">
        <f t="shared" si="5"/>
        <v>216000</v>
      </c>
      <c r="I111" s="139" t="s">
        <v>6576</v>
      </c>
      <c r="J111" s="142" t="s">
        <v>1286</v>
      </c>
      <c r="K111" s="125"/>
      <c r="L111" s="144"/>
      <c r="M111"/>
      <c r="N111"/>
      <c r="O111"/>
      <c r="P111"/>
      <c r="Q111"/>
      <c r="R111"/>
      <c r="S111"/>
      <c r="T111"/>
      <c r="U111"/>
      <c r="V111"/>
      <c r="W111"/>
      <c r="X111"/>
      <c r="Y111"/>
      <c r="Z111"/>
      <c r="AA111"/>
      <c r="AB111"/>
      <c r="AC111"/>
      <c r="AD111"/>
      <c r="AE111"/>
      <c r="AF111"/>
    </row>
    <row r="112" spans="1:32" ht="12" customHeight="1" outlineLevel="2" x14ac:dyDescent="0.2">
      <c r="A112" s="135"/>
      <c r="B112" s="136" t="s">
        <v>1238</v>
      </c>
      <c r="C112" s="137" t="s">
        <v>6657</v>
      </c>
      <c r="D112" s="143" t="s">
        <v>3201</v>
      </c>
      <c r="E112" s="139" t="s">
        <v>1243</v>
      </c>
      <c r="F112" s="139">
        <v>36</v>
      </c>
      <c r="G112" s="139">
        <v>2000</v>
      </c>
      <c r="H112" s="140">
        <f t="shared" si="5"/>
        <v>72000</v>
      </c>
      <c r="I112" s="139" t="s">
        <v>6576</v>
      </c>
      <c r="J112" s="142" t="s">
        <v>1286</v>
      </c>
      <c r="K112" s="125"/>
      <c r="L112" s="144"/>
      <c r="M112"/>
      <c r="N112"/>
      <c r="O112"/>
      <c r="P112"/>
      <c r="Q112"/>
      <c r="R112"/>
      <c r="S112"/>
      <c r="T112"/>
      <c r="U112"/>
      <c r="V112"/>
      <c r="W112"/>
      <c r="X112"/>
      <c r="Y112"/>
      <c r="Z112"/>
      <c r="AA112"/>
      <c r="AB112"/>
      <c r="AC112"/>
      <c r="AD112"/>
      <c r="AE112"/>
      <c r="AF112"/>
    </row>
    <row r="113" spans="1:32" ht="12" customHeight="1" outlineLevel="2" x14ac:dyDescent="0.2">
      <c r="A113" s="135"/>
      <c r="B113" s="136" t="s">
        <v>1238</v>
      </c>
      <c r="C113" s="137" t="s">
        <v>6658</v>
      </c>
      <c r="D113" s="143" t="s">
        <v>2019</v>
      </c>
      <c r="E113" s="139" t="s">
        <v>1243</v>
      </c>
      <c r="F113" s="139">
        <v>48</v>
      </c>
      <c r="G113" s="139">
        <v>11600</v>
      </c>
      <c r="H113" s="140">
        <f t="shared" si="5"/>
        <v>556800</v>
      </c>
      <c r="I113" s="139" t="s">
        <v>3202</v>
      </c>
      <c r="J113" s="142" t="s">
        <v>1286</v>
      </c>
      <c r="K113" s="125"/>
      <c r="L113" s="144"/>
      <c r="M113"/>
      <c r="N113"/>
      <c r="O113"/>
      <c r="P113"/>
      <c r="Q113"/>
      <c r="R113"/>
      <c r="S113"/>
      <c r="T113"/>
      <c r="U113"/>
      <c r="V113"/>
      <c r="W113"/>
      <c r="X113"/>
      <c r="Y113"/>
      <c r="Z113"/>
      <c r="AA113"/>
      <c r="AB113"/>
      <c r="AC113"/>
      <c r="AD113"/>
      <c r="AE113"/>
      <c r="AF113"/>
    </row>
    <row r="114" spans="1:32" ht="12" customHeight="1" outlineLevel="1" x14ac:dyDescent="0.2">
      <c r="A114" s="135"/>
      <c r="B114" s="136" t="s">
        <v>1237</v>
      </c>
      <c r="C114" s="137" t="s">
        <v>3336</v>
      </c>
      <c r="D114" s="143" t="s">
        <v>1981</v>
      </c>
      <c r="E114" s="67"/>
      <c r="F114" s="139"/>
      <c r="G114" s="139"/>
      <c r="H114" s="140">
        <f>H115+H116+H117+H118+H119+H120+H121+H122+H123+H124+H125+H126+H127+H128+H129+H130+H131+H132</f>
        <v>1267260.3564207242</v>
      </c>
      <c r="I114" s="141"/>
      <c r="J114" s="142"/>
      <c r="K114" s="125"/>
      <c r="L114" s="144"/>
      <c r="M114"/>
      <c r="N114"/>
      <c r="O114"/>
      <c r="P114"/>
      <c r="Q114"/>
      <c r="R114"/>
      <c r="S114"/>
      <c r="T114"/>
      <c r="U114"/>
      <c r="V114"/>
      <c r="W114"/>
      <c r="X114"/>
      <c r="Y114"/>
      <c r="Z114"/>
      <c r="AA114"/>
      <c r="AB114"/>
      <c r="AC114"/>
      <c r="AD114"/>
      <c r="AE114"/>
      <c r="AF114"/>
    </row>
    <row r="115" spans="1:32" ht="12" customHeight="1" outlineLevel="2" x14ac:dyDescent="0.2">
      <c r="A115" s="135"/>
      <c r="B115" s="136" t="s">
        <v>1238</v>
      </c>
      <c r="C115" s="137" t="s">
        <v>3337</v>
      </c>
      <c r="D115" s="143" t="s">
        <v>1982</v>
      </c>
      <c r="E115" s="139" t="s">
        <v>1243</v>
      </c>
      <c r="F115" s="139">
        <v>36</v>
      </c>
      <c r="G115" s="139">
        <v>4959.2772358560378</v>
      </c>
      <c r="H115" s="140">
        <f t="shared" ref="H115:H132" si="6">G115*F115</f>
        <v>178533.98049081737</v>
      </c>
      <c r="I115" s="139" t="s">
        <v>2002</v>
      </c>
      <c r="J115" s="142" t="s">
        <v>1286</v>
      </c>
      <c r="K115" s="125"/>
      <c r="L115" s="144"/>
      <c r="M115"/>
      <c r="N115"/>
      <c r="O115"/>
      <c r="P115"/>
      <c r="Q115"/>
      <c r="R115"/>
      <c r="S115"/>
      <c r="T115"/>
      <c r="U115"/>
      <c r="V115"/>
      <c r="W115"/>
      <c r="X115"/>
      <c r="Y115"/>
      <c r="Z115"/>
      <c r="AA115"/>
      <c r="AB115"/>
      <c r="AC115"/>
      <c r="AD115"/>
      <c r="AE115"/>
      <c r="AF115"/>
    </row>
    <row r="116" spans="1:32" ht="12" customHeight="1" outlineLevel="2" x14ac:dyDescent="0.2">
      <c r="A116" s="135"/>
      <c r="B116" s="136" t="s">
        <v>1238</v>
      </c>
      <c r="C116" s="137" t="s">
        <v>6659</v>
      </c>
      <c r="D116" s="143" t="s">
        <v>1983</v>
      </c>
      <c r="E116" s="139" t="s">
        <v>1243</v>
      </c>
      <c r="F116" s="139">
        <v>36</v>
      </c>
      <c r="G116" s="139">
        <v>8975.8897279491375</v>
      </c>
      <c r="H116" s="140">
        <f t="shared" si="6"/>
        <v>323132.03020616894</v>
      </c>
      <c r="I116" s="139" t="s">
        <v>2002</v>
      </c>
      <c r="J116" s="142" t="s">
        <v>1286</v>
      </c>
      <c r="K116" s="125"/>
      <c r="L116" s="144"/>
      <c r="M116"/>
      <c r="N116"/>
      <c r="O116"/>
      <c r="P116"/>
      <c r="Q116"/>
      <c r="R116"/>
      <c r="S116"/>
      <c r="T116"/>
      <c r="U116"/>
      <c r="V116"/>
      <c r="W116"/>
      <c r="X116"/>
      <c r="Y116"/>
      <c r="Z116"/>
      <c r="AA116"/>
      <c r="AB116"/>
      <c r="AC116"/>
      <c r="AD116"/>
      <c r="AE116"/>
      <c r="AF116"/>
    </row>
    <row r="117" spans="1:32" ht="12" customHeight="1" outlineLevel="2" x14ac:dyDescent="0.2">
      <c r="A117" s="135"/>
      <c r="B117" s="136" t="s">
        <v>1238</v>
      </c>
      <c r="C117" s="137" t="s">
        <v>6660</v>
      </c>
      <c r="D117" s="143" t="s">
        <v>1984</v>
      </c>
      <c r="E117" s="139" t="s">
        <v>1243</v>
      </c>
      <c r="F117" s="139">
        <v>36</v>
      </c>
      <c r="G117" s="139">
        <v>400</v>
      </c>
      <c r="H117" s="140">
        <f t="shared" si="6"/>
        <v>14400</v>
      </c>
      <c r="I117" s="139" t="s">
        <v>6576</v>
      </c>
      <c r="J117" s="142" t="s">
        <v>1286</v>
      </c>
      <c r="K117" s="125"/>
      <c r="L117" s="144"/>
      <c r="M117"/>
      <c r="N117"/>
      <c r="O117"/>
      <c r="P117"/>
      <c r="Q117"/>
      <c r="R117"/>
      <c r="S117"/>
      <c r="T117"/>
      <c r="U117"/>
      <c r="V117"/>
      <c r="W117"/>
      <c r="X117"/>
      <c r="Y117"/>
      <c r="Z117"/>
      <c r="AA117"/>
      <c r="AB117"/>
      <c r="AC117"/>
      <c r="AD117"/>
      <c r="AE117"/>
      <c r="AF117"/>
    </row>
    <row r="118" spans="1:32" ht="12" customHeight="1" outlineLevel="2" x14ac:dyDescent="0.2">
      <c r="A118" s="135"/>
      <c r="B118" s="136" t="s">
        <v>1238</v>
      </c>
      <c r="C118" s="137" t="s">
        <v>6661</v>
      </c>
      <c r="D118" s="143" t="s">
        <v>3203</v>
      </c>
      <c r="E118" s="139" t="s">
        <v>1243</v>
      </c>
      <c r="F118" s="139">
        <v>36</v>
      </c>
      <c r="G118" s="139">
        <v>400</v>
      </c>
      <c r="H118" s="140">
        <f t="shared" si="6"/>
        <v>14400</v>
      </c>
      <c r="I118" s="139" t="s">
        <v>6576</v>
      </c>
      <c r="J118" s="142" t="s">
        <v>1286</v>
      </c>
      <c r="K118" s="125"/>
      <c r="L118" s="144"/>
      <c r="M118"/>
      <c r="N118"/>
      <c r="O118"/>
      <c r="P118"/>
      <c r="Q118"/>
      <c r="R118"/>
      <c r="S118"/>
      <c r="T118"/>
      <c r="U118"/>
      <c r="V118"/>
      <c r="W118"/>
      <c r="X118"/>
      <c r="Y118"/>
      <c r="Z118"/>
      <c r="AA118"/>
      <c r="AB118"/>
      <c r="AC118"/>
      <c r="AD118"/>
      <c r="AE118"/>
      <c r="AF118"/>
    </row>
    <row r="119" spans="1:32" ht="12" customHeight="1" outlineLevel="2" x14ac:dyDescent="0.2">
      <c r="A119" s="135"/>
      <c r="B119" s="136" t="s">
        <v>1238</v>
      </c>
      <c r="C119" s="137" t="s">
        <v>6662</v>
      </c>
      <c r="D119" s="143" t="s">
        <v>1985</v>
      </c>
      <c r="E119" s="139" t="s">
        <v>1243</v>
      </c>
      <c r="F119" s="139">
        <v>36</v>
      </c>
      <c r="G119" s="139">
        <v>70</v>
      </c>
      <c r="H119" s="140">
        <f t="shared" si="6"/>
        <v>2520</v>
      </c>
      <c r="I119" s="139" t="s">
        <v>2002</v>
      </c>
      <c r="J119" s="142" t="s">
        <v>1286</v>
      </c>
      <c r="K119" s="125"/>
      <c r="L119" s="144"/>
      <c r="M119"/>
      <c r="N119"/>
      <c r="O119"/>
      <c r="P119"/>
      <c r="Q119"/>
      <c r="R119"/>
      <c r="S119"/>
      <c r="T119"/>
      <c r="U119"/>
      <c r="V119"/>
      <c r="W119"/>
      <c r="X119"/>
      <c r="Y119"/>
      <c r="Z119"/>
      <c r="AA119"/>
      <c r="AB119"/>
      <c r="AC119"/>
      <c r="AD119"/>
      <c r="AE119"/>
      <c r="AF119"/>
    </row>
    <row r="120" spans="1:32" ht="12" customHeight="1" outlineLevel="2" x14ac:dyDescent="0.2">
      <c r="A120" s="135"/>
      <c r="B120" s="136" t="s">
        <v>1238</v>
      </c>
      <c r="C120" s="137" t="s">
        <v>6663</v>
      </c>
      <c r="D120" s="143" t="s">
        <v>2022</v>
      </c>
      <c r="E120" s="139" t="s">
        <v>1243</v>
      </c>
      <c r="F120" s="139">
        <v>36</v>
      </c>
      <c r="G120" s="139">
        <v>576.16302654100161</v>
      </c>
      <c r="H120" s="140">
        <f t="shared" si="6"/>
        <v>20741.868955476057</v>
      </c>
      <c r="I120" s="139" t="s">
        <v>2002</v>
      </c>
      <c r="J120" s="142" t="s">
        <v>1286</v>
      </c>
      <c r="K120" s="125"/>
      <c r="L120" s="144"/>
      <c r="M120"/>
      <c r="N120"/>
      <c r="O120"/>
      <c r="P120"/>
      <c r="Q120"/>
      <c r="R120"/>
      <c r="S120"/>
      <c r="T120"/>
      <c r="U120"/>
      <c r="V120"/>
      <c r="W120"/>
      <c r="X120"/>
      <c r="Y120"/>
      <c r="Z120"/>
      <c r="AA120"/>
      <c r="AB120"/>
      <c r="AC120"/>
      <c r="AD120"/>
      <c r="AE120"/>
      <c r="AF120"/>
    </row>
    <row r="121" spans="1:32" ht="12" customHeight="1" outlineLevel="2" x14ac:dyDescent="0.2">
      <c r="A121" s="135"/>
      <c r="B121" s="136" t="s">
        <v>1238</v>
      </c>
      <c r="C121" s="137" t="s">
        <v>6664</v>
      </c>
      <c r="D121" s="143" t="s">
        <v>2023</v>
      </c>
      <c r="E121" s="139" t="s">
        <v>1243</v>
      </c>
      <c r="F121" s="139">
        <v>36</v>
      </c>
      <c r="G121" s="139">
        <v>300</v>
      </c>
      <c r="H121" s="140">
        <f t="shared" si="6"/>
        <v>10800</v>
      </c>
      <c r="I121" s="139" t="s">
        <v>6576</v>
      </c>
      <c r="J121" s="142" t="s">
        <v>1286</v>
      </c>
      <c r="K121" s="125"/>
      <c r="L121" s="144"/>
      <c r="M121"/>
      <c r="N121"/>
      <c r="O121"/>
      <c r="P121"/>
      <c r="Q121"/>
      <c r="R121"/>
      <c r="S121"/>
      <c r="T121"/>
      <c r="U121"/>
      <c r="V121"/>
      <c r="W121"/>
      <c r="X121"/>
      <c r="Y121"/>
      <c r="Z121"/>
      <c r="AA121"/>
      <c r="AB121"/>
      <c r="AC121"/>
      <c r="AD121"/>
      <c r="AE121"/>
      <c r="AF121"/>
    </row>
    <row r="122" spans="1:32" ht="13.5" customHeight="1" outlineLevel="2" x14ac:dyDescent="0.2">
      <c r="A122" s="135"/>
      <c r="B122" s="136" t="s">
        <v>1238</v>
      </c>
      <c r="C122" s="137" t="s">
        <v>6665</v>
      </c>
      <c r="D122" s="143" t="s">
        <v>1986</v>
      </c>
      <c r="E122" s="139" t="s">
        <v>1243</v>
      </c>
      <c r="F122" s="139">
        <v>36</v>
      </c>
      <c r="G122" s="139">
        <v>500</v>
      </c>
      <c r="H122" s="140">
        <f t="shared" si="6"/>
        <v>18000</v>
      </c>
      <c r="I122" s="139" t="s">
        <v>6576</v>
      </c>
      <c r="J122" s="142" t="s">
        <v>1286</v>
      </c>
      <c r="K122" s="125"/>
      <c r="L122" s="144"/>
      <c r="M122"/>
      <c r="N122"/>
      <c r="O122"/>
      <c r="P122"/>
      <c r="Q122"/>
      <c r="R122"/>
      <c r="S122"/>
      <c r="T122"/>
      <c r="U122"/>
      <c r="V122"/>
      <c r="W122"/>
      <c r="X122"/>
      <c r="Y122"/>
      <c r="Z122"/>
      <c r="AA122"/>
      <c r="AB122"/>
      <c r="AC122"/>
      <c r="AD122"/>
      <c r="AE122"/>
      <c r="AF122"/>
    </row>
    <row r="123" spans="1:32" ht="12" customHeight="1" outlineLevel="2" x14ac:dyDescent="0.2">
      <c r="A123" s="135"/>
      <c r="B123" s="136" t="s">
        <v>1238</v>
      </c>
      <c r="C123" s="137" t="s">
        <v>6666</v>
      </c>
      <c r="D123" s="143" t="s">
        <v>3204</v>
      </c>
      <c r="E123" s="139" t="s">
        <v>1243</v>
      </c>
      <c r="F123" s="139">
        <v>36</v>
      </c>
      <c r="G123" s="139">
        <v>1570</v>
      </c>
      <c r="H123" s="140">
        <f t="shared" si="6"/>
        <v>56520</v>
      </c>
      <c r="I123" s="139" t="s">
        <v>2002</v>
      </c>
      <c r="J123" s="142" t="s">
        <v>1286</v>
      </c>
      <c r="K123" s="125"/>
      <c r="L123" s="144"/>
      <c r="M123"/>
      <c r="N123"/>
      <c r="O123"/>
      <c r="P123"/>
      <c r="Q123"/>
      <c r="R123"/>
      <c r="S123"/>
      <c r="T123"/>
      <c r="U123"/>
      <c r="V123"/>
      <c r="W123"/>
      <c r="X123"/>
      <c r="Y123"/>
      <c r="Z123"/>
      <c r="AA123"/>
      <c r="AB123"/>
      <c r="AC123"/>
      <c r="AD123"/>
      <c r="AE123"/>
      <c r="AF123"/>
    </row>
    <row r="124" spans="1:32" ht="12" customHeight="1" outlineLevel="2" x14ac:dyDescent="0.2">
      <c r="A124" s="135"/>
      <c r="B124" s="136" t="s">
        <v>1238</v>
      </c>
      <c r="C124" s="137" t="s">
        <v>6667</v>
      </c>
      <c r="D124" s="143" t="s">
        <v>1987</v>
      </c>
      <c r="E124" s="139" t="s">
        <v>1243</v>
      </c>
      <c r="F124" s="139">
        <v>36</v>
      </c>
      <c r="G124" s="139">
        <v>3437.6162421404651</v>
      </c>
      <c r="H124" s="140">
        <f t="shared" si="6"/>
        <v>123754.18471705675</v>
      </c>
      <c r="I124" s="139" t="s">
        <v>2002</v>
      </c>
      <c r="J124" s="142" t="s">
        <v>1286</v>
      </c>
      <c r="K124" s="125"/>
      <c r="L124" s="144"/>
      <c r="M124"/>
      <c r="N124"/>
      <c r="O124"/>
      <c r="P124"/>
      <c r="Q124"/>
      <c r="R124"/>
      <c r="S124"/>
      <c r="T124"/>
      <c r="U124"/>
      <c r="V124"/>
      <c r="W124"/>
      <c r="X124"/>
      <c r="Y124"/>
      <c r="Z124"/>
      <c r="AA124"/>
      <c r="AB124"/>
      <c r="AC124"/>
      <c r="AD124"/>
      <c r="AE124"/>
      <c r="AF124"/>
    </row>
    <row r="125" spans="1:32" ht="12" customHeight="1" outlineLevel="2" x14ac:dyDescent="0.2">
      <c r="A125" s="135"/>
      <c r="B125" s="136" t="s">
        <v>1238</v>
      </c>
      <c r="C125" s="137" t="s">
        <v>6668</v>
      </c>
      <c r="D125" s="143" t="s">
        <v>1988</v>
      </c>
      <c r="E125" s="139" t="s">
        <v>1243</v>
      </c>
      <c r="F125" s="139">
        <v>36</v>
      </c>
      <c r="G125" s="139">
        <v>8639.4823164263689</v>
      </c>
      <c r="H125" s="140">
        <f t="shared" si="6"/>
        <v>311021.36339134927</v>
      </c>
      <c r="I125" s="139" t="s">
        <v>2002</v>
      </c>
      <c r="J125" s="142" t="s">
        <v>1286</v>
      </c>
      <c r="K125" s="125"/>
      <c r="L125" s="144"/>
      <c r="M125"/>
      <c r="N125"/>
      <c r="O125"/>
      <c r="P125"/>
      <c r="Q125"/>
      <c r="R125"/>
      <c r="S125"/>
      <c r="T125"/>
      <c r="U125"/>
      <c r="V125"/>
      <c r="W125"/>
      <c r="X125"/>
      <c r="Y125"/>
      <c r="Z125"/>
      <c r="AA125"/>
      <c r="AB125"/>
      <c r="AC125"/>
      <c r="AD125"/>
      <c r="AE125"/>
      <c r="AF125"/>
    </row>
    <row r="126" spans="1:32" ht="13.5" customHeight="1" outlineLevel="2" x14ac:dyDescent="0.2">
      <c r="A126" s="135"/>
      <c r="B126" s="136" t="s">
        <v>1238</v>
      </c>
      <c r="C126" s="137" t="s">
        <v>6669</v>
      </c>
      <c r="D126" s="143" t="s">
        <v>1989</v>
      </c>
      <c r="E126" s="139" t="s">
        <v>1129</v>
      </c>
      <c r="F126" s="139">
        <v>1</v>
      </c>
      <c r="G126" s="139">
        <v>87151.909122383964</v>
      </c>
      <c r="H126" s="140">
        <f t="shared" si="6"/>
        <v>87151.909122383964</v>
      </c>
      <c r="I126" s="139" t="s">
        <v>2002</v>
      </c>
      <c r="J126" s="142" t="s">
        <v>1286</v>
      </c>
      <c r="K126" s="125"/>
      <c r="L126" s="144"/>
      <c r="M126"/>
      <c r="N126"/>
      <c r="O126"/>
      <c r="P126"/>
      <c r="Q126"/>
      <c r="R126"/>
      <c r="S126"/>
      <c r="T126"/>
      <c r="U126"/>
      <c r="V126"/>
      <c r="W126"/>
      <c r="X126"/>
      <c r="Y126"/>
      <c r="Z126"/>
      <c r="AA126"/>
      <c r="AB126"/>
      <c r="AC126"/>
      <c r="AD126"/>
      <c r="AE126"/>
      <c r="AF126"/>
    </row>
    <row r="127" spans="1:32" ht="13.5" customHeight="1" outlineLevel="2" x14ac:dyDescent="0.2">
      <c r="A127" s="135"/>
      <c r="B127" s="136" t="s">
        <v>1238</v>
      </c>
      <c r="C127" s="137" t="s">
        <v>6670</v>
      </c>
      <c r="D127" s="143" t="s">
        <v>2024</v>
      </c>
      <c r="E127" s="139" t="s">
        <v>1243</v>
      </c>
      <c r="F127" s="139">
        <v>36</v>
      </c>
      <c r="G127" s="139">
        <v>552.08104966345445</v>
      </c>
      <c r="H127" s="140">
        <f t="shared" si="6"/>
        <v>19874.917787884362</v>
      </c>
      <c r="I127" s="139" t="s">
        <v>2002</v>
      </c>
      <c r="J127" s="142" t="s">
        <v>1286</v>
      </c>
      <c r="K127" s="125"/>
      <c r="L127" s="144"/>
      <c r="M127"/>
      <c r="N127"/>
      <c r="O127"/>
      <c r="P127"/>
      <c r="Q127"/>
      <c r="R127"/>
      <c r="S127"/>
      <c r="T127"/>
      <c r="U127"/>
      <c r="V127"/>
      <c r="W127"/>
      <c r="X127"/>
      <c r="Y127"/>
      <c r="Z127"/>
      <c r="AA127"/>
      <c r="AB127"/>
      <c r="AC127"/>
      <c r="AD127"/>
      <c r="AE127"/>
      <c r="AF127"/>
    </row>
    <row r="128" spans="1:32" ht="12.75" customHeight="1" outlineLevel="2" x14ac:dyDescent="0.2">
      <c r="A128" s="135"/>
      <c r="B128" s="136" t="s">
        <v>1238</v>
      </c>
      <c r="C128" s="137" t="s">
        <v>6671</v>
      </c>
      <c r="D128" s="143" t="s">
        <v>2025</v>
      </c>
      <c r="E128" s="139" t="s">
        <v>1243</v>
      </c>
      <c r="F128" s="139">
        <v>36</v>
      </c>
      <c r="G128" s="139">
        <v>432.22504859964829</v>
      </c>
      <c r="H128" s="140">
        <f t="shared" si="6"/>
        <v>15560.101749587338</v>
      </c>
      <c r="I128" s="139" t="s">
        <v>2002</v>
      </c>
      <c r="J128" s="142" t="s">
        <v>1286</v>
      </c>
      <c r="K128" s="125"/>
      <c r="L128" s="144"/>
      <c r="M128"/>
      <c r="N128"/>
      <c r="O128"/>
      <c r="P128"/>
      <c r="Q128"/>
      <c r="R128"/>
      <c r="S128"/>
      <c r="T128"/>
      <c r="U128"/>
      <c r="V128"/>
      <c r="W128"/>
      <c r="X128"/>
      <c r="Y128"/>
      <c r="Z128"/>
      <c r="AA128"/>
      <c r="AB128"/>
      <c r="AC128"/>
      <c r="AD128"/>
      <c r="AE128"/>
      <c r="AF128"/>
    </row>
    <row r="129" spans="1:32" ht="12.75" customHeight="1" outlineLevel="2" x14ac:dyDescent="0.2">
      <c r="A129" s="135"/>
      <c r="B129" s="136" t="s">
        <v>1238</v>
      </c>
      <c r="C129" s="137" t="s">
        <v>6672</v>
      </c>
      <c r="D129" s="143" t="s">
        <v>3205</v>
      </c>
      <c r="E129" s="139" t="s">
        <v>1129</v>
      </c>
      <c r="F129" s="139">
        <v>1</v>
      </c>
      <c r="G129" s="139">
        <v>20000</v>
      </c>
      <c r="H129" s="140">
        <f t="shared" si="6"/>
        <v>20000</v>
      </c>
      <c r="I129" s="139" t="s">
        <v>6576</v>
      </c>
      <c r="J129" s="142" t="s">
        <v>1286</v>
      </c>
      <c r="K129" s="125"/>
      <c r="L129" s="144"/>
      <c r="M129"/>
      <c r="N129"/>
      <c r="O129"/>
      <c r="P129"/>
      <c r="Q129"/>
      <c r="R129"/>
      <c r="S129"/>
      <c r="T129"/>
      <c r="U129"/>
      <c r="V129"/>
      <c r="W129"/>
      <c r="X129"/>
      <c r="Y129"/>
      <c r="Z129"/>
      <c r="AA129"/>
      <c r="AB129"/>
      <c r="AC129"/>
      <c r="AD129"/>
      <c r="AE129"/>
      <c r="AF129"/>
    </row>
    <row r="130" spans="1:32" ht="12.75" customHeight="1" outlineLevel="2" x14ac:dyDescent="0.2">
      <c r="A130" s="135"/>
      <c r="B130" s="136" t="s">
        <v>1238</v>
      </c>
      <c r="C130" s="137" t="s">
        <v>6673</v>
      </c>
      <c r="D130" s="143" t="s">
        <v>1990</v>
      </c>
      <c r="E130" s="139" t="s">
        <v>1129</v>
      </c>
      <c r="F130" s="139">
        <v>1</v>
      </c>
      <c r="G130" s="139">
        <v>17450</v>
      </c>
      <c r="H130" s="140">
        <f t="shared" si="6"/>
        <v>17450</v>
      </c>
      <c r="I130" s="139" t="s">
        <v>6577</v>
      </c>
      <c r="J130" s="142" t="s">
        <v>1286</v>
      </c>
      <c r="K130" s="125"/>
      <c r="L130" s="144"/>
      <c r="M130"/>
      <c r="N130"/>
      <c r="O130"/>
      <c r="P130"/>
      <c r="Q130"/>
      <c r="R130"/>
      <c r="S130"/>
      <c r="T130"/>
      <c r="U130"/>
      <c r="V130"/>
      <c r="W130"/>
      <c r="X130"/>
      <c r="Y130"/>
      <c r="Z130"/>
      <c r="AA130"/>
      <c r="AB130"/>
      <c r="AC130"/>
      <c r="AD130"/>
      <c r="AE130"/>
      <c r="AF130"/>
    </row>
    <row r="131" spans="1:32" ht="12.75" customHeight="1" outlineLevel="2" x14ac:dyDescent="0.2">
      <c r="A131" s="135"/>
      <c r="B131" s="136" t="s">
        <v>1238</v>
      </c>
      <c r="C131" s="137" t="s">
        <v>6674</v>
      </c>
      <c r="D131" s="143" t="s">
        <v>1991</v>
      </c>
      <c r="E131" s="139" t="s">
        <v>1129</v>
      </c>
      <c r="F131" s="139">
        <v>1</v>
      </c>
      <c r="G131" s="139">
        <v>33400</v>
      </c>
      <c r="H131" s="140">
        <f t="shared" si="6"/>
        <v>33400</v>
      </c>
      <c r="I131" s="139" t="s">
        <v>6577</v>
      </c>
      <c r="J131" s="142" t="s">
        <v>1286</v>
      </c>
      <c r="K131" s="125"/>
      <c r="L131" s="144"/>
      <c r="M131"/>
      <c r="N131"/>
      <c r="O131"/>
      <c r="P131"/>
      <c r="Q131"/>
      <c r="R131"/>
      <c r="S131"/>
      <c r="T131"/>
      <c r="U131"/>
      <c r="V131"/>
      <c r="W131"/>
      <c r="X131"/>
      <c r="Y131"/>
      <c r="Z131"/>
      <c r="AA131"/>
      <c r="AB131"/>
      <c r="AC131"/>
      <c r="AD131"/>
      <c r="AE131"/>
      <c r="AF131"/>
    </row>
    <row r="132" spans="1:32" ht="12.75" customHeight="1" outlineLevel="2" x14ac:dyDescent="0.2">
      <c r="A132" s="135"/>
      <c r="B132" s="136" t="s">
        <v>1238</v>
      </c>
      <c r="C132" s="137" t="s">
        <v>6675</v>
      </c>
      <c r="D132" s="143" t="s">
        <v>2021</v>
      </c>
      <c r="E132" s="139" t="s">
        <v>1129</v>
      </c>
      <c r="F132" s="139">
        <v>1</v>
      </c>
      <c r="G132" s="139">
        <v>0</v>
      </c>
      <c r="H132" s="140">
        <f t="shared" si="6"/>
        <v>0</v>
      </c>
      <c r="I132" s="139" t="s">
        <v>2002</v>
      </c>
      <c r="J132" s="142" t="s">
        <v>1286</v>
      </c>
      <c r="K132" s="125"/>
      <c r="L132" s="144"/>
      <c r="M132"/>
      <c r="N132"/>
      <c r="O132"/>
      <c r="P132"/>
      <c r="Q132"/>
      <c r="R132"/>
      <c r="S132"/>
      <c r="T132"/>
      <c r="U132"/>
      <c r="V132"/>
      <c r="W132"/>
      <c r="X132"/>
      <c r="Y132"/>
      <c r="Z132"/>
      <c r="AA132"/>
      <c r="AB132"/>
      <c r="AC132"/>
      <c r="AD132"/>
      <c r="AE132"/>
      <c r="AF132"/>
    </row>
    <row r="133" spans="1:32" ht="12" customHeight="1" outlineLevel="1" x14ac:dyDescent="0.2">
      <c r="A133" s="135"/>
      <c r="B133" s="136" t="s">
        <v>1237</v>
      </c>
      <c r="C133" s="137" t="s">
        <v>6471</v>
      </c>
      <c r="D133" s="143" t="s">
        <v>1992</v>
      </c>
      <c r="E133" s="67"/>
      <c r="F133" s="139"/>
      <c r="G133" s="139"/>
      <c r="H133" s="140">
        <f>H134+H135+H136+H137</f>
        <v>244800</v>
      </c>
      <c r="I133" s="141"/>
      <c r="J133" s="142"/>
      <c r="K133" s="125"/>
      <c r="L133" s="144"/>
      <c r="M133"/>
      <c r="N133"/>
      <c r="O133"/>
      <c r="P133"/>
      <c r="Q133"/>
      <c r="R133"/>
      <c r="S133"/>
      <c r="T133"/>
      <c r="U133"/>
      <c r="V133"/>
      <c r="W133"/>
      <c r="X133"/>
      <c r="Y133"/>
      <c r="Z133"/>
      <c r="AA133"/>
      <c r="AB133"/>
      <c r="AC133"/>
      <c r="AD133"/>
      <c r="AE133"/>
      <c r="AF133"/>
    </row>
    <row r="134" spans="1:32" ht="12.75" customHeight="1" outlineLevel="2" x14ac:dyDescent="0.2">
      <c r="A134" s="135"/>
      <c r="B134" s="136" t="s">
        <v>1238</v>
      </c>
      <c r="C134" s="137" t="s">
        <v>6676</v>
      </c>
      <c r="D134" s="143" t="s">
        <v>1993</v>
      </c>
      <c r="E134" s="139" t="s">
        <v>1243</v>
      </c>
      <c r="F134" s="139">
        <v>36</v>
      </c>
      <c r="G134" s="139">
        <v>1500</v>
      </c>
      <c r="H134" s="140">
        <f>G134*F134</f>
        <v>54000</v>
      </c>
      <c r="I134" s="139" t="s">
        <v>6576</v>
      </c>
      <c r="J134" s="142" t="s">
        <v>1286</v>
      </c>
      <c r="K134" s="125"/>
      <c r="L134" s="144"/>
      <c r="M134"/>
      <c r="N134"/>
      <c r="O134"/>
      <c r="P134"/>
      <c r="Q134"/>
      <c r="R134"/>
      <c r="S134"/>
      <c r="T134"/>
      <c r="U134"/>
      <c r="V134"/>
      <c r="W134"/>
      <c r="X134"/>
      <c r="Y134"/>
      <c r="Z134"/>
      <c r="AA134"/>
      <c r="AB134"/>
      <c r="AC134"/>
      <c r="AD134"/>
      <c r="AE134"/>
      <c r="AF134"/>
    </row>
    <row r="135" spans="1:32" ht="12.75" customHeight="1" outlineLevel="2" x14ac:dyDescent="0.2">
      <c r="A135" s="135"/>
      <c r="B135" s="136" t="s">
        <v>1238</v>
      </c>
      <c r="C135" s="137" t="s">
        <v>6677</v>
      </c>
      <c r="D135" s="143" t="s">
        <v>2026</v>
      </c>
      <c r="E135" s="139" t="s">
        <v>1243</v>
      </c>
      <c r="F135" s="139">
        <v>36</v>
      </c>
      <c r="G135" s="139">
        <v>3000</v>
      </c>
      <c r="H135" s="140">
        <f>G135*F135</f>
        <v>108000</v>
      </c>
      <c r="I135" s="139" t="s">
        <v>6576</v>
      </c>
      <c r="J135" s="142" t="s">
        <v>1286</v>
      </c>
      <c r="K135" s="125"/>
      <c r="L135" s="144"/>
      <c r="M135"/>
      <c r="N135"/>
      <c r="O135"/>
      <c r="P135"/>
      <c r="Q135"/>
      <c r="R135"/>
      <c r="S135"/>
      <c r="T135"/>
      <c r="U135"/>
      <c r="V135"/>
      <c r="W135"/>
      <c r="X135"/>
      <c r="Y135"/>
      <c r="Z135"/>
      <c r="AA135"/>
      <c r="AB135"/>
      <c r="AC135"/>
      <c r="AD135"/>
      <c r="AE135"/>
      <c r="AF135"/>
    </row>
    <row r="136" spans="1:32" ht="13.5" customHeight="1" outlineLevel="2" x14ac:dyDescent="0.2">
      <c r="A136" s="135"/>
      <c r="B136" s="136" t="s">
        <v>1238</v>
      </c>
      <c r="C136" s="137" t="s">
        <v>6678</v>
      </c>
      <c r="D136" s="143" t="s">
        <v>2027</v>
      </c>
      <c r="E136" s="139" t="s">
        <v>1243</v>
      </c>
      <c r="F136" s="139">
        <v>36</v>
      </c>
      <c r="G136" s="139">
        <v>2000</v>
      </c>
      <c r="H136" s="140">
        <f>G136*F136</f>
        <v>72000</v>
      </c>
      <c r="I136" s="139" t="s">
        <v>6576</v>
      </c>
      <c r="J136" s="142" t="s">
        <v>1286</v>
      </c>
      <c r="K136" s="125"/>
      <c r="L136" s="144"/>
      <c r="M136"/>
      <c r="N136"/>
      <c r="O136"/>
      <c r="P136"/>
      <c r="Q136"/>
      <c r="R136"/>
      <c r="S136"/>
      <c r="T136"/>
      <c r="U136"/>
      <c r="V136"/>
      <c r="W136"/>
      <c r="X136"/>
      <c r="Y136"/>
      <c r="Z136"/>
      <c r="AA136"/>
      <c r="AB136"/>
      <c r="AC136"/>
      <c r="AD136"/>
      <c r="AE136"/>
      <c r="AF136"/>
    </row>
    <row r="137" spans="1:32" ht="13.5" customHeight="1" outlineLevel="2" x14ac:dyDescent="0.2">
      <c r="A137" s="135"/>
      <c r="B137" s="136" t="s">
        <v>1238</v>
      </c>
      <c r="C137" s="137" t="s">
        <v>6679</v>
      </c>
      <c r="D137" s="143" t="s">
        <v>1994</v>
      </c>
      <c r="E137" s="139" t="s">
        <v>1243</v>
      </c>
      <c r="F137" s="139">
        <v>36</v>
      </c>
      <c r="G137" s="139">
        <v>300</v>
      </c>
      <c r="H137" s="140">
        <f>G137*F137</f>
        <v>10800</v>
      </c>
      <c r="I137" s="139" t="s">
        <v>6576</v>
      </c>
      <c r="J137" s="142" t="s">
        <v>1286</v>
      </c>
      <c r="K137" s="125"/>
      <c r="L137" s="144"/>
      <c r="M137"/>
      <c r="N137"/>
      <c r="O137"/>
      <c r="P137"/>
      <c r="Q137"/>
      <c r="R137"/>
      <c r="S137"/>
      <c r="T137"/>
      <c r="U137"/>
      <c r="V137"/>
      <c r="W137"/>
      <c r="X137"/>
      <c r="Y137"/>
      <c r="Z137"/>
      <c r="AA137"/>
      <c r="AB137"/>
      <c r="AC137"/>
      <c r="AD137"/>
      <c r="AE137"/>
      <c r="AF137"/>
    </row>
    <row r="138" spans="1:32" ht="12" customHeight="1" outlineLevel="1" x14ac:dyDescent="0.2">
      <c r="A138" s="135"/>
      <c r="B138" s="136" t="s">
        <v>1237</v>
      </c>
      <c r="C138" s="137" t="s">
        <v>6470</v>
      </c>
      <c r="D138" s="143" t="s">
        <v>1995</v>
      </c>
      <c r="E138" s="67"/>
      <c r="F138" s="139"/>
      <c r="G138" s="139"/>
      <c r="H138" s="140">
        <f>H139+H140+H141+H142+H143+H144+H145+H146+H147</f>
        <v>704748.76501437509</v>
      </c>
      <c r="I138" s="141"/>
      <c r="J138" s="142"/>
      <c r="K138" s="125"/>
      <c r="L138" s="144"/>
      <c r="M138"/>
      <c r="N138"/>
      <c r="O138"/>
      <c r="P138"/>
      <c r="Q138"/>
      <c r="R138"/>
      <c r="S138"/>
      <c r="T138"/>
      <c r="U138"/>
      <c r="V138"/>
      <c r="W138"/>
      <c r="X138"/>
      <c r="Y138"/>
      <c r="Z138"/>
      <c r="AA138"/>
      <c r="AB138"/>
      <c r="AC138"/>
      <c r="AD138"/>
      <c r="AE138"/>
      <c r="AF138"/>
    </row>
    <row r="139" spans="1:32" ht="12" customHeight="1" outlineLevel="2" x14ac:dyDescent="0.2">
      <c r="A139" s="135"/>
      <c r="B139" s="136" t="s">
        <v>1238</v>
      </c>
      <c r="C139" s="137" t="s">
        <v>6680</v>
      </c>
      <c r="D139" s="143" t="s">
        <v>1998</v>
      </c>
      <c r="E139" s="139" t="s">
        <v>1243</v>
      </c>
      <c r="F139" s="139">
        <v>6</v>
      </c>
      <c r="G139" s="139">
        <v>16155.36773237363</v>
      </c>
      <c r="H139" s="140">
        <f t="shared" ref="H139:H147" si="7">G139*F139</f>
        <v>96932.206394241774</v>
      </c>
      <c r="I139" s="139" t="s">
        <v>1997</v>
      </c>
      <c r="J139" s="142" t="s">
        <v>1286</v>
      </c>
      <c r="K139" s="125"/>
      <c r="L139" s="144"/>
      <c r="M139"/>
      <c r="N139"/>
      <c r="O139"/>
      <c r="P139"/>
      <c r="Q139"/>
      <c r="R139"/>
      <c r="S139"/>
      <c r="T139"/>
      <c r="U139"/>
      <c r="V139"/>
      <c r="W139"/>
      <c r="X139"/>
      <c r="Y139"/>
      <c r="Z139"/>
      <c r="AA139"/>
      <c r="AB139"/>
      <c r="AC139"/>
      <c r="AD139"/>
      <c r="AE139"/>
      <c r="AF139"/>
    </row>
    <row r="140" spans="1:32" ht="12" customHeight="1" outlineLevel="2" x14ac:dyDescent="0.2">
      <c r="A140" s="135"/>
      <c r="B140" s="136" t="s">
        <v>1238</v>
      </c>
      <c r="C140" s="137" t="s">
        <v>6681</v>
      </c>
      <c r="D140" s="143" t="s">
        <v>1996</v>
      </c>
      <c r="E140" s="139" t="s">
        <v>1129</v>
      </c>
      <c r="F140" s="139">
        <v>1</v>
      </c>
      <c r="G140" s="139">
        <v>312816.83996733336</v>
      </c>
      <c r="H140" s="140">
        <f t="shared" si="7"/>
        <v>312816.83996733336</v>
      </c>
      <c r="I140" s="139" t="s">
        <v>2002</v>
      </c>
      <c r="J140" s="142" t="s">
        <v>1286</v>
      </c>
      <c r="K140" s="125"/>
      <c r="L140" s="144"/>
      <c r="M140"/>
      <c r="N140"/>
      <c r="O140"/>
      <c r="P140"/>
      <c r="Q140"/>
      <c r="R140"/>
      <c r="S140"/>
      <c r="T140"/>
      <c r="U140"/>
      <c r="V140"/>
      <c r="W140"/>
      <c r="X140"/>
      <c r="Y140"/>
      <c r="Z140"/>
      <c r="AA140"/>
      <c r="AB140"/>
      <c r="AC140"/>
      <c r="AD140"/>
      <c r="AE140"/>
      <c r="AF140"/>
    </row>
    <row r="141" spans="1:32" ht="12" customHeight="1" outlineLevel="2" x14ac:dyDescent="0.2">
      <c r="A141" s="135"/>
      <c r="B141" s="136" t="s">
        <v>1238</v>
      </c>
      <c r="C141" s="137" t="s">
        <v>6682</v>
      </c>
      <c r="D141" s="143" t="s">
        <v>3206</v>
      </c>
      <c r="E141" s="139" t="s">
        <v>1129</v>
      </c>
      <c r="F141" s="139">
        <v>1</v>
      </c>
      <c r="G141" s="139">
        <v>24000</v>
      </c>
      <c r="H141" s="140">
        <f t="shared" si="7"/>
        <v>24000</v>
      </c>
      <c r="I141" s="139" t="s">
        <v>6576</v>
      </c>
      <c r="J141" s="142" t="s">
        <v>1286</v>
      </c>
      <c r="K141" s="125"/>
      <c r="L141" s="144"/>
      <c r="M141"/>
      <c r="N141"/>
      <c r="O141"/>
      <c r="P141"/>
      <c r="Q141"/>
      <c r="R141"/>
      <c r="S141"/>
      <c r="T141"/>
      <c r="U141"/>
      <c r="V141"/>
      <c r="W141"/>
      <c r="X141"/>
      <c r="Y141"/>
      <c r="Z141"/>
      <c r="AA141"/>
      <c r="AB141"/>
      <c r="AC141"/>
      <c r="AD141"/>
      <c r="AE141"/>
      <c r="AF141"/>
    </row>
    <row r="142" spans="1:32" ht="12" customHeight="1" outlineLevel="2" x14ac:dyDescent="0.2">
      <c r="A142" s="135"/>
      <c r="B142" s="136" t="s">
        <v>1238</v>
      </c>
      <c r="C142" s="137" t="s">
        <v>6683</v>
      </c>
      <c r="D142" s="143" t="s">
        <v>3207</v>
      </c>
      <c r="E142" s="139" t="s">
        <v>1129</v>
      </c>
      <c r="F142" s="139">
        <v>1</v>
      </c>
      <c r="G142" s="139">
        <v>170000</v>
      </c>
      <c r="H142" s="140">
        <f t="shared" si="7"/>
        <v>170000</v>
      </c>
      <c r="I142" s="139" t="s">
        <v>2002</v>
      </c>
      <c r="J142" s="142" t="s">
        <v>1286</v>
      </c>
      <c r="K142" s="125"/>
      <c r="L142" s="144"/>
      <c r="M142"/>
      <c r="N142"/>
      <c r="O142"/>
      <c r="P142"/>
      <c r="Q142"/>
      <c r="R142"/>
      <c r="S142"/>
      <c r="T142"/>
      <c r="U142"/>
      <c r="V142"/>
      <c r="W142"/>
      <c r="X142"/>
      <c r="Y142"/>
      <c r="Z142"/>
      <c r="AA142"/>
      <c r="AB142"/>
      <c r="AC142"/>
      <c r="AD142"/>
      <c r="AE142"/>
      <c r="AF142"/>
    </row>
    <row r="143" spans="1:32" ht="22.5" outlineLevel="2" x14ac:dyDescent="0.2">
      <c r="A143" s="135"/>
      <c r="B143" s="136" t="s">
        <v>1238</v>
      </c>
      <c r="C143" s="137" t="s">
        <v>6684</v>
      </c>
      <c r="D143" s="143" t="s">
        <v>3208</v>
      </c>
      <c r="E143" s="139" t="s">
        <v>1129</v>
      </c>
      <c r="F143" s="139">
        <v>1</v>
      </c>
      <c r="G143" s="139">
        <v>40000</v>
      </c>
      <c r="H143" s="140">
        <f t="shared" si="7"/>
        <v>40000</v>
      </c>
      <c r="I143" s="139" t="s">
        <v>3209</v>
      </c>
      <c r="J143" s="142" t="s">
        <v>1286</v>
      </c>
      <c r="K143" s="125"/>
      <c r="L143" s="144"/>
      <c r="M143"/>
      <c r="N143"/>
      <c r="O143"/>
      <c r="P143"/>
      <c r="Q143"/>
      <c r="R143"/>
      <c r="S143"/>
      <c r="T143"/>
      <c r="U143"/>
      <c r="V143"/>
      <c r="W143"/>
      <c r="X143"/>
      <c r="Y143"/>
      <c r="Z143"/>
      <c r="AA143"/>
      <c r="AB143"/>
      <c r="AC143"/>
      <c r="AD143"/>
      <c r="AE143"/>
      <c r="AF143"/>
    </row>
    <row r="144" spans="1:32" ht="12" customHeight="1" outlineLevel="2" x14ac:dyDescent="0.2">
      <c r="A144" s="135"/>
      <c r="B144" s="136" t="s">
        <v>1238</v>
      </c>
      <c r="C144" s="137" t="s">
        <v>6685</v>
      </c>
      <c r="D144" s="143" t="s">
        <v>2001</v>
      </c>
      <c r="E144" s="139" t="s">
        <v>641</v>
      </c>
      <c r="F144" s="139">
        <v>219.40799999999999</v>
      </c>
      <c r="G144" s="139">
        <v>164.07660000000001</v>
      </c>
      <c r="H144" s="140">
        <f t="shared" si="7"/>
        <v>35999.718652800002</v>
      </c>
      <c r="I144" s="139" t="s">
        <v>2002</v>
      </c>
      <c r="J144" s="142" t="s">
        <v>1286</v>
      </c>
      <c r="K144" s="125"/>
      <c r="L144" s="144"/>
      <c r="M144"/>
      <c r="N144"/>
      <c r="O144"/>
      <c r="P144"/>
      <c r="Q144"/>
      <c r="R144"/>
      <c r="S144"/>
      <c r="T144"/>
      <c r="U144"/>
      <c r="V144"/>
      <c r="W144"/>
      <c r="X144"/>
      <c r="Y144"/>
      <c r="Z144"/>
      <c r="AA144"/>
      <c r="AB144"/>
      <c r="AC144"/>
      <c r="AD144"/>
      <c r="AE144"/>
      <c r="AF144"/>
    </row>
    <row r="145" spans="1:32" ht="12" customHeight="1" outlineLevel="2" x14ac:dyDescent="0.2">
      <c r="A145" s="135"/>
      <c r="B145" s="136" t="s">
        <v>1238</v>
      </c>
      <c r="C145" s="137" t="s">
        <v>6686</v>
      </c>
      <c r="D145" s="143" t="s">
        <v>1999</v>
      </c>
      <c r="E145" s="139" t="s">
        <v>1129</v>
      </c>
      <c r="F145" s="139">
        <v>1</v>
      </c>
      <c r="G145" s="139">
        <v>5000</v>
      </c>
      <c r="H145" s="140">
        <f t="shared" si="7"/>
        <v>5000</v>
      </c>
      <c r="I145" s="139" t="s">
        <v>6576</v>
      </c>
      <c r="J145" s="142" t="s">
        <v>1286</v>
      </c>
      <c r="K145" s="125"/>
      <c r="L145" s="144"/>
      <c r="M145"/>
      <c r="N145"/>
      <c r="O145"/>
      <c r="P145"/>
      <c r="Q145"/>
      <c r="R145"/>
      <c r="S145"/>
      <c r="T145"/>
      <c r="U145"/>
      <c r="V145"/>
      <c r="W145"/>
      <c r="X145"/>
      <c r="Y145"/>
      <c r="Z145"/>
      <c r="AA145"/>
      <c r="AB145"/>
      <c r="AC145"/>
      <c r="AD145"/>
      <c r="AE145"/>
      <c r="AF145"/>
    </row>
    <row r="146" spans="1:32" ht="22.5" outlineLevel="2" x14ac:dyDescent="0.2">
      <c r="A146" s="135"/>
      <c r="B146" s="136" t="s">
        <v>1238</v>
      </c>
      <c r="C146" s="137" t="s">
        <v>6687</v>
      </c>
      <c r="D146" s="143" t="s">
        <v>2000</v>
      </c>
      <c r="E146" s="139" t="s">
        <v>1129</v>
      </c>
      <c r="F146" s="139">
        <v>1</v>
      </c>
      <c r="G146" s="139">
        <v>8000</v>
      </c>
      <c r="H146" s="140">
        <f t="shared" si="7"/>
        <v>8000</v>
      </c>
      <c r="I146" s="139" t="s">
        <v>3209</v>
      </c>
      <c r="J146" s="142" t="s">
        <v>1286</v>
      </c>
      <c r="K146" s="125"/>
      <c r="L146" s="144"/>
      <c r="M146"/>
      <c r="N146"/>
      <c r="O146"/>
      <c r="P146"/>
      <c r="Q146"/>
      <c r="R146"/>
      <c r="S146"/>
      <c r="T146"/>
      <c r="U146"/>
      <c r="V146"/>
      <c r="W146"/>
      <c r="X146"/>
      <c r="Y146"/>
      <c r="Z146"/>
      <c r="AA146"/>
      <c r="AB146"/>
      <c r="AC146"/>
      <c r="AD146"/>
      <c r="AE146"/>
      <c r="AF146"/>
    </row>
    <row r="147" spans="1:32" ht="12" customHeight="1" outlineLevel="2" x14ac:dyDescent="0.2">
      <c r="A147" s="135"/>
      <c r="B147" s="136" t="s">
        <v>1238</v>
      </c>
      <c r="C147" s="137" t="s">
        <v>6688</v>
      </c>
      <c r="D147" s="143" t="s">
        <v>3210</v>
      </c>
      <c r="E147" s="139" t="s">
        <v>1129</v>
      </c>
      <c r="F147" s="139">
        <v>1</v>
      </c>
      <c r="G147" s="139">
        <v>12000</v>
      </c>
      <c r="H147" s="140">
        <f t="shared" si="7"/>
        <v>12000</v>
      </c>
      <c r="I147" s="139" t="s">
        <v>6576</v>
      </c>
      <c r="J147" s="142" t="s">
        <v>1286</v>
      </c>
      <c r="K147" s="125"/>
      <c r="L147" s="144"/>
      <c r="M147"/>
      <c r="N147"/>
      <c r="O147"/>
      <c r="P147"/>
      <c r="Q147"/>
      <c r="R147"/>
      <c r="S147"/>
      <c r="T147"/>
      <c r="U147"/>
      <c r="V147"/>
      <c r="W147"/>
      <c r="X147"/>
      <c r="Y147"/>
      <c r="Z147"/>
      <c r="AA147"/>
      <c r="AB147"/>
      <c r="AC147"/>
      <c r="AD147"/>
      <c r="AE147"/>
      <c r="AF147"/>
    </row>
    <row r="148" spans="1:32" ht="12" customHeight="1" outlineLevel="1" x14ac:dyDescent="0.2">
      <c r="A148" s="135"/>
      <c r="B148" s="136" t="s">
        <v>38</v>
      </c>
      <c r="C148" s="137" t="s">
        <v>3338</v>
      </c>
      <c r="D148" s="143" t="s">
        <v>2003</v>
      </c>
      <c r="E148" s="67"/>
      <c r="F148" s="139"/>
      <c r="G148" s="139"/>
      <c r="H148" s="140">
        <f>H149</f>
        <v>45000</v>
      </c>
      <c r="I148" s="141"/>
      <c r="J148" s="142"/>
      <c r="K148" s="125"/>
      <c r="L148" s="144"/>
      <c r="M148"/>
      <c r="N148"/>
      <c r="O148"/>
      <c r="P148"/>
      <c r="Q148"/>
      <c r="R148"/>
      <c r="S148"/>
      <c r="T148"/>
      <c r="U148"/>
      <c r="V148"/>
      <c r="W148"/>
      <c r="X148"/>
      <c r="Y148"/>
      <c r="Z148"/>
      <c r="AA148"/>
      <c r="AB148"/>
      <c r="AC148"/>
      <c r="AD148"/>
      <c r="AE148"/>
      <c r="AF148"/>
    </row>
    <row r="149" spans="1:32" ht="12" customHeight="1" outlineLevel="1" x14ac:dyDescent="0.2">
      <c r="A149" s="135"/>
      <c r="B149" s="136" t="s">
        <v>1237</v>
      </c>
      <c r="C149" s="137" t="s">
        <v>3339</v>
      </c>
      <c r="D149" s="143" t="s">
        <v>3083</v>
      </c>
      <c r="E149" s="67"/>
      <c r="F149" s="139"/>
      <c r="G149" s="139"/>
      <c r="H149" s="140">
        <f>H150</f>
        <v>45000</v>
      </c>
      <c r="I149" s="141"/>
      <c r="J149" s="142"/>
      <c r="K149" s="125"/>
      <c r="L149" s="144"/>
      <c r="M149"/>
      <c r="N149"/>
      <c r="O149"/>
      <c r="P149"/>
      <c r="Q149"/>
      <c r="R149"/>
      <c r="S149"/>
      <c r="T149"/>
      <c r="U149"/>
      <c r="V149"/>
      <c r="W149"/>
      <c r="X149"/>
      <c r="Y149"/>
      <c r="Z149"/>
      <c r="AA149"/>
      <c r="AB149"/>
      <c r="AC149"/>
      <c r="AD149"/>
      <c r="AE149"/>
      <c r="AF149"/>
    </row>
    <row r="150" spans="1:32" ht="12" customHeight="1" outlineLevel="2" x14ac:dyDescent="0.2">
      <c r="A150" s="135"/>
      <c r="B150" s="136" t="s">
        <v>1238</v>
      </c>
      <c r="C150" s="137" t="s">
        <v>3340</v>
      </c>
      <c r="D150" s="143" t="s">
        <v>3211</v>
      </c>
      <c r="E150" s="139" t="s">
        <v>641</v>
      </c>
      <c r="F150" s="139">
        <v>1</v>
      </c>
      <c r="G150" s="139">
        <v>45000</v>
      </c>
      <c r="H150" s="140">
        <f>G150*F150</f>
        <v>45000</v>
      </c>
      <c r="I150" s="139" t="s">
        <v>3212</v>
      </c>
      <c r="J150" s="142" t="s">
        <v>1286</v>
      </c>
      <c r="K150" s="125"/>
      <c r="L150" s="144"/>
      <c r="M150"/>
      <c r="N150"/>
      <c r="O150"/>
      <c r="P150"/>
      <c r="Q150"/>
      <c r="R150"/>
      <c r="S150"/>
      <c r="T150"/>
      <c r="U150"/>
      <c r="V150"/>
      <c r="W150"/>
      <c r="X150"/>
      <c r="Y150"/>
      <c r="Z150"/>
      <c r="AA150"/>
      <c r="AB150"/>
      <c r="AC150"/>
      <c r="AD150"/>
      <c r="AE150"/>
      <c r="AF150"/>
    </row>
    <row r="151" spans="1:32" ht="13.9" customHeight="1" x14ac:dyDescent="0.2">
      <c r="A151" s="135"/>
      <c r="B151" s="136" t="s">
        <v>1236</v>
      </c>
      <c r="C151" s="137" t="s">
        <v>3355</v>
      </c>
      <c r="D151" s="138" t="s">
        <v>8</v>
      </c>
      <c r="E151" s="67"/>
      <c r="F151" s="139"/>
      <c r="G151" s="139"/>
      <c r="H151" s="140">
        <f>H152</f>
        <v>1725398.1669884394</v>
      </c>
      <c r="I151" s="141"/>
      <c r="J151" s="142"/>
      <c r="K151" s="125"/>
      <c r="L151" s="125"/>
      <c r="M151"/>
      <c r="N151"/>
      <c r="O151"/>
      <c r="P151"/>
      <c r="Q151"/>
      <c r="R151"/>
      <c r="S151"/>
      <c r="T151"/>
      <c r="U151"/>
      <c r="V151"/>
      <c r="W151"/>
      <c r="X151"/>
      <c r="Y151"/>
      <c r="Z151"/>
      <c r="AA151"/>
      <c r="AB151"/>
      <c r="AC151"/>
      <c r="AD151"/>
      <c r="AE151"/>
      <c r="AF151"/>
    </row>
    <row r="152" spans="1:32" ht="13.9" customHeight="1" outlineLevel="1" x14ac:dyDescent="0.2">
      <c r="A152" s="135"/>
      <c r="B152" s="136" t="s">
        <v>38</v>
      </c>
      <c r="C152" s="137" t="s">
        <v>3356</v>
      </c>
      <c r="D152" s="138" t="s">
        <v>8</v>
      </c>
      <c r="E152" s="67"/>
      <c r="F152" s="139"/>
      <c r="G152" s="139"/>
      <c r="H152" s="140">
        <f>H153+H162+H171</f>
        <v>1725398.1669884394</v>
      </c>
      <c r="I152" s="141"/>
      <c r="J152" s="142"/>
      <c r="K152" s="125"/>
      <c r="L152" s="125"/>
      <c r="M152"/>
      <c r="N152"/>
      <c r="O152"/>
      <c r="P152"/>
      <c r="Q152"/>
      <c r="R152"/>
      <c r="S152"/>
      <c r="T152"/>
      <c r="U152"/>
      <c r="V152"/>
      <c r="W152"/>
      <c r="X152"/>
      <c r="Y152"/>
      <c r="Z152"/>
      <c r="AA152"/>
      <c r="AB152"/>
      <c r="AC152"/>
      <c r="AD152"/>
      <c r="AE152"/>
      <c r="AF152"/>
    </row>
    <row r="153" spans="1:32" ht="13.9" customHeight="1" outlineLevel="1" x14ac:dyDescent="0.2">
      <c r="A153" s="135"/>
      <c r="B153" s="136" t="s">
        <v>1237</v>
      </c>
      <c r="C153" s="137" t="s">
        <v>3357</v>
      </c>
      <c r="D153" s="138" t="s">
        <v>2005</v>
      </c>
      <c r="E153" s="67"/>
      <c r="F153" s="139"/>
      <c r="G153" s="139"/>
      <c r="H153" s="140">
        <f>H154+H155+H156+H157+H158+H159+H160+H161</f>
        <v>760640</v>
      </c>
      <c r="I153" s="141"/>
      <c r="J153" s="142"/>
      <c r="K153" s="125"/>
      <c r="L153" s="125"/>
      <c r="M153"/>
      <c r="N153"/>
      <c r="O153"/>
      <c r="P153"/>
      <c r="Q153"/>
      <c r="R153"/>
      <c r="S153"/>
      <c r="T153"/>
      <c r="U153"/>
      <c r="V153"/>
      <c r="W153"/>
      <c r="X153"/>
      <c r="Y153"/>
      <c r="Z153"/>
      <c r="AA153"/>
      <c r="AB153"/>
      <c r="AC153"/>
      <c r="AD153"/>
      <c r="AE153"/>
      <c r="AF153"/>
    </row>
    <row r="154" spans="1:32" ht="13.9" customHeight="1" outlineLevel="2" x14ac:dyDescent="0.2">
      <c r="A154" s="135"/>
      <c r="B154" s="136" t="s">
        <v>1238</v>
      </c>
      <c r="C154" s="137" t="s">
        <v>3358</v>
      </c>
      <c r="D154" s="138" t="s">
        <v>3213</v>
      </c>
      <c r="E154" s="139" t="s">
        <v>1243</v>
      </c>
      <c r="F154" s="139">
        <v>21</v>
      </c>
      <c r="G154" s="139">
        <v>12000</v>
      </c>
      <c r="H154" s="140">
        <f t="shared" ref="H154:H161" si="8">G154*F154</f>
        <v>252000</v>
      </c>
      <c r="I154" s="139" t="s">
        <v>2002</v>
      </c>
      <c r="J154" s="142" t="s">
        <v>3171</v>
      </c>
      <c r="K154" s="125"/>
      <c r="L154" s="125"/>
      <c r="M154"/>
      <c r="N154"/>
      <c r="O154"/>
      <c r="P154"/>
      <c r="Q154"/>
      <c r="R154"/>
      <c r="S154"/>
      <c r="T154"/>
      <c r="U154"/>
      <c r="V154"/>
      <c r="W154"/>
      <c r="X154"/>
      <c r="Y154"/>
      <c r="Z154"/>
      <c r="AA154"/>
      <c r="AB154"/>
      <c r="AC154"/>
      <c r="AD154"/>
      <c r="AE154"/>
      <c r="AF154"/>
    </row>
    <row r="155" spans="1:32" ht="13.9" customHeight="1" outlineLevel="2" x14ac:dyDescent="0.2">
      <c r="A155" s="135"/>
      <c r="B155" s="136" t="s">
        <v>1238</v>
      </c>
      <c r="C155" s="137" t="s">
        <v>3359</v>
      </c>
      <c r="D155" s="138" t="s">
        <v>3214</v>
      </c>
      <c r="E155" s="139" t="s">
        <v>1243</v>
      </c>
      <c r="F155" s="139">
        <v>21</v>
      </c>
      <c r="G155" s="139">
        <v>1500</v>
      </c>
      <c r="H155" s="140">
        <f t="shared" si="8"/>
        <v>31500</v>
      </c>
      <c r="I155" s="139" t="s">
        <v>2002</v>
      </c>
      <c r="J155" s="142" t="s">
        <v>3171</v>
      </c>
      <c r="K155" s="125"/>
      <c r="L155" s="125"/>
      <c r="M155"/>
      <c r="N155"/>
      <c r="O155"/>
      <c r="P155"/>
      <c r="Q155"/>
      <c r="R155"/>
      <c r="S155"/>
      <c r="T155"/>
      <c r="U155"/>
      <c r="V155"/>
      <c r="W155"/>
      <c r="X155"/>
      <c r="Y155"/>
      <c r="Z155"/>
      <c r="AA155"/>
      <c r="AB155"/>
      <c r="AC155"/>
      <c r="AD155"/>
      <c r="AE155"/>
      <c r="AF155"/>
    </row>
    <row r="156" spans="1:32" ht="13.9" customHeight="1" outlineLevel="2" x14ac:dyDescent="0.2">
      <c r="A156" s="135"/>
      <c r="B156" s="136" t="s">
        <v>1238</v>
      </c>
      <c r="C156" s="137" t="s">
        <v>6689</v>
      </c>
      <c r="D156" s="138" t="s">
        <v>2029</v>
      </c>
      <c r="E156" s="139" t="s">
        <v>196</v>
      </c>
      <c r="F156" s="139">
        <v>1</v>
      </c>
      <c r="G156" s="139">
        <v>10000</v>
      </c>
      <c r="H156" s="140">
        <f t="shared" si="8"/>
        <v>10000</v>
      </c>
      <c r="I156" s="139" t="s">
        <v>2002</v>
      </c>
      <c r="J156" s="142" t="s">
        <v>3171</v>
      </c>
      <c r="K156" s="125"/>
      <c r="L156" s="125"/>
      <c r="M156"/>
      <c r="N156"/>
      <c r="O156"/>
      <c r="P156"/>
      <c r="Q156"/>
      <c r="R156"/>
      <c r="S156"/>
      <c r="T156"/>
      <c r="U156"/>
      <c r="V156"/>
      <c r="W156"/>
      <c r="X156"/>
      <c r="Y156"/>
      <c r="Z156"/>
      <c r="AA156"/>
      <c r="AB156"/>
      <c r="AC156"/>
      <c r="AD156"/>
      <c r="AE156"/>
      <c r="AF156"/>
    </row>
    <row r="157" spans="1:32" ht="13.9" customHeight="1" outlineLevel="2" x14ac:dyDescent="0.2">
      <c r="A157" s="135"/>
      <c r="B157" s="136" t="s">
        <v>1238</v>
      </c>
      <c r="C157" s="137" t="s">
        <v>6690</v>
      </c>
      <c r="D157" s="138" t="s">
        <v>2030</v>
      </c>
      <c r="E157" s="139" t="s">
        <v>196</v>
      </c>
      <c r="F157" s="139">
        <v>1</v>
      </c>
      <c r="G157" s="139">
        <v>3500</v>
      </c>
      <c r="H157" s="140">
        <f t="shared" si="8"/>
        <v>3500</v>
      </c>
      <c r="I157" s="139" t="s">
        <v>6577</v>
      </c>
      <c r="J157" s="142" t="s">
        <v>3171</v>
      </c>
      <c r="K157" s="125"/>
      <c r="L157" s="125"/>
      <c r="M157"/>
      <c r="N157"/>
      <c r="O157"/>
      <c r="P157"/>
      <c r="Q157"/>
      <c r="R157"/>
      <c r="S157"/>
      <c r="T157"/>
      <c r="U157"/>
      <c r="V157"/>
      <c r="W157"/>
      <c r="X157"/>
      <c r="Y157"/>
      <c r="Z157"/>
      <c r="AA157"/>
      <c r="AB157"/>
      <c r="AC157"/>
      <c r="AD157"/>
      <c r="AE157"/>
      <c r="AF157"/>
    </row>
    <row r="158" spans="1:32" ht="13.9" customHeight="1" outlineLevel="2" x14ac:dyDescent="0.2">
      <c r="A158" s="135"/>
      <c r="B158" s="136" t="s">
        <v>1238</v>
      </c>
      <c r="C158" s="137" t="s">
        <v>6691</v>
      </c>
      <c r="D158" s="138" t="s">
        <v>3215</v>
      </c>
      <c r="E158" s="139" t="s">
        <v>1243</v>
      </c>
      <c r="F158" s="139">
        <v>19</v>
      </c>
      <c r="G158" s="139">
        <v>22000</v>
      </c>
      <c r="H158" s="140">
        <f t="shared" si="8"/>
        <v>418000</v>
      </c>
      <c r="I158" s="139" t="s">
        <v>2002</v>
      </c>
      <c r="J158" s="142" t="s">
        <v>3171</v>
      </c>
      <c r="K158" s="125"/>
      <c r="L158" s="125"/>
      <c r="M158"/>
      <c r="N158"/>
      <c r="O158"/>
      <c r="P158"/>
      <c r="Q158"/>
      <c r="R158"/>
      <c r="S158"/>
      <c r="T158"/>
      <c r="U158"/>
      <c r="V158"/>
      <c r="W158"/>
      <c r="X158"/>
      <c r="Y158"/>
      <c r="Z158"/>
      <c r="AA158"/>
      <c r="AB158"/>
      <c r="AC158"/>
      <c r="AD158"/>
      <c r="AE158"/>
      <c r="AF158"/>
    </row>
    <row r="159" spans="1:32" ht="13.9" customHeight="1" outlineLevel="2" x14ac:dyDescent="0.2">
      <c r="A159" s="135"/>
      <c r="B159" s="136" t="s">
        <v>1238</v>
      </c>
      <c r="C159" s="137" t="s">
        <v>6692</v>
      </c>
      <c r="D159" s="138" t="s">
        <v>2031</v>
      </c>
      <c r="E159" s="139" t="s">
        <v>196</v>
      </c>
      <c r="F159" s="139">
        <v>1</v>
      </c>
      <c r="G159" s="139">
        <v>1440</v>
      </c>
      <c r="H159" s="140">
        <f t="shared" si="8"/>
        <v>1440</v>
      </c>
      <c r="I159" s="139" t="s">
        <v>2002</v>
      </c>
      <c r="J159" s="142" t="s">
        <v>3171</v>
      </c>
      <c r="K159" s="125"/>
      <c r="L159" s="125"/>
      <c r="M159"/>
      <c r="N159"/>
      <c r="O159"/>
      <c r="P159"/>
      <c r="Q159"/>
      <c r="R159"/>
      <c r="S159"/>
      <c r="T159"/>
      <c r="U159"/>
      <c r="V159"/>
      <c r="W159"/>
      <c r="X159"/>
      <c r="Y159"/>
      <c r="Z159"/>
      <c r="AA159"/>
      <c r="AB159"/>
      <c r="AC159"/>
      <c r="AD159"/>
      <c r="AE159"/>
      <c r="AF159"/>
    </row>
    <row r="160" spans="1:32" ht="13.9" customHeight="1" outlineLevel="2" x14ac:dyDescent="0.2">
      <c r="A160" s="135"/>
      <c r="B160" s="136" t="s">
        <v>1238</v>
      </c>
      <c r="C160" s="137" t="s">
        <v>6693</v>
      </c>
      <c r="D160" s="138" t="s">
        <v>2032</v>
      </c>
      <c r="E160" s="139" t="s">
        <v>196</v>
      </c>
      <c r="F160" s="139">
        <v>19</v>
      </c>
      <c r="G160" s="139">
        <v>1800</v>
      </c>
      <c r="H160" s="140">
        <f t="shared" si="8"/>
        <v>34200</v>
      </c>
      <c r="I160" s="139" t="s">
        <v>2002</v>
      </c>
      <c r="J160" s="142" t="s">
        <v>3171</v>
      </c>
      <c r="K160" s="125"/>
      <c r="L160" s="125"/>
      <c r="M160"/>
      <c r="N160"/>
      <c r="O160"/>
      <c r="P160"/>
      <c r="Q160"/>
      <c r="R160"/>
      <c r="S160"/>
      <c r="T160"/>
      <c r="U160"/>
      <c r="V160"/>
      <c r="W160"/>
      <c r="X160"/>
      <c r="Y160"/>
      <c r="Z160"/>
      <c r="AA160"/>
      <c r="AB160"/>
      <c r="AC160"/>
      <c r="AD160"/>
      <c r="AE160"/>
      <c r="AF160"/>
    </row>
    <row r="161" spans="1:32" ht="13.9" customHeight="1" outlineLevel="2" x14ac:dyDescent="0.2">
      <c r="A161" s="135"/>
      <c r="B161" s="136" t="s">
        <v>1238</v>
      </c>
      <c r="C161" s="137" t="s">
        <v>6694</v>
      </c>
      <c r="D161" s="138" t="s">
        <v>2033</v>
      </c>
      <c r="E161" s="139" t="s">
        <v>196</v>
      </c>
      <c r="F161" s="139">
        <v>1</v>
      </c>
      <c r="G161" s="139">
        <v>10000</v>
      </c>
      <c r="H161" s="140">
        <f t="shared" si="8"/>
        <v>10000</v>
      </c>
      <c r="I161" s="139" t="s">
        <v>6577</v>
      </c>
      <c r="J161" s="142" t="s">
        <v>3171</v>
      </c>
      <c r="K161" s="125"/>
      <c r="L161" s="125"/>
      <c r="M161"/>
      <c r="N161"/>
      <c r="O161"/>
      <c r="P161"/>
      <c r="Q161"/>
      <c r="R161"/>
      <c r="S161"/>
      <c r="T161"/>
      <c r="U161"/>
      <c r="V161"/>
      <c r="W161"/>
      <c r="X161"/>
      <c r="Y161"/>
      <c r="Z161"/>
      <c r="AA161"/>
      <c r="AB161"/>
      <c r="AC161"/>
      <c r="AD161"/>
      <c r="AE161"/>
      <c r="AF161"/>
    </row>
    <row r="162" spans="1:32" ht="13.9" customHeight="1" outlineLevel="1" x14ac:dyDescent="0.2">
      <c r="A162" s="135"/>
      <c r="B162" s="136" t="s">
        <v>1237</v>
      </c>
      <c r="C162" s="137" t="s">
        <v>3360</v>
      </c>
      <c r="D162" s="138" t="s">
        <v>2006</v>
      </c>
      <c r="E162" s="67"/>
      <c r="F162" s="139"/>
      <c r="G162" s="139"/>
      <c r="H162" s="140">
        <f>H163+H164+H165+H166+H167+H168+H169+H170</f>
        <v>299658.20120650431</v>
      </c>
      <c r="I162" s="139"/>
      <c r="J162" s="142"/>
      <c r="K162" s="125"/>
      <c r="L162" s="125"/>
      <c r="M162"/>
      <c r="N162"/>
      <c r="O162"/>
      <c r="P162"/>
      <c r="Q162"/>
      <c r="R162"/>
      <c r="S162"/>
      <c r="T162"/>
      <c r="U162"/>
      <c r="V162"/>
      <c r="W162"/>
      <c r="X162"/>
      <c r="Y162"/>
      <c r="Z162"/>
      <c r="AA162"/>
      <c r="AB162"/>
      <c r="AC162"/>
      <c r="AD162"/>
      <c r="AE162"/>
      <c r="AF162"/>
    </row>
    <row r="163" spans="1:32" ht="13.9" customHeight="1" outlineLevel="2" x14ac:dyDescent="0.2">
      <c r="A163" s="135"/>
      <c r="B163" s="136" t="s">
        <v>1238</v>
      </c>
      <c r="C163" s="137" t="s">
        <v>3361</v>
      </c>
      <c r="D163" s="138" t="s">
        <v>2007</v>
      </c>
      <c r="E163" s="67" t="s">
        <v>1129</v>
      </c>
      <c r="F163" s="139">
        <v>1</v>
      </c>
      <c r="G163" s="139">
        <v>136500</v>
      </c>
      <c r="H163" s="140">
        <f t="shared" ref="H163:H170" si="9">G163*F163</f>
        <v>136500</v>
      </c>
      <c r="I163" s="139" t="s">
        <v>6577</v>
      </c>
      <c r="J163" s="142" t="s">
        <v>3171</v>
      </c>
      <c r="K163" s="125"/>
      <c r="L163" s="125"/>
      <c r="M163"/>
      <c r="N163"/>
      <c r="O163"/>
      <c r="P163"/>
      <c r="Q163"/>
      <c r="R163"/>
      <c r="S163"/>
      <c r="T163"/>
      <c r="U163"/>
      <c r="V163"/>
      <c r="W163"/>
      <c r="X163"/>
      <c r="Y163"/>
      <c r="Z163"/>
      <c r="AA163"/>
      <c r="AB163"/>
      <c r="AC163"/>
      <c r="AD163"/>
      <c r="AE163"/>
      <c r="AF163"/>
    </row>
    <row r="164" spans="1:32" ht="13.9" customHeight="1" outlineLevel="2" x14ac:dyDescent="0.2">
      <c r="A164" s="135"/>
      <c r="B164" s="136" t="s">
        <v>1238</v>
      </c>
      <c r="C164" s="137" t="s">
        <v>3362</v>
      </c>
      <c r="D164" s="138" t="s">
        <v>3216</v>
      </c>
      <c r="E164" s="139" t="s">
        <v>196</v>
      </c>
      <c r="F164" s="139">
        <v>1</v>
      </c>
      <c r="G164" s="139">
        <v>6204.2066549189176</v>
      </c>
      <c r="H164" s="140">
        <f t="shared" si="9"/>
        <v>6204.2066549189176</v>
      </c>
      <c r="I164" s="139" t="s">
        <v>2002</v>
      </c>
      <c r="J164" s="142" t="s">
        <v>3171</v>
      </c>
      <c r="K164" s="125"/>
      <c r="L164" s="125"/>
      <c r="M164"/>
      <c r="N164"/>
      <c r="O164"/>
      <c r="P164"/>
      <c r="Q164"/>
      <c r="R164"/>
      <c r="S164"/>
      <c r="T164"/>
      <c r="U164"/>
      <c r="V164"/>
      <c r="W164"/>
      <c r="X164"/>
      <c r="Y164"/>
      <c r="Z164"/>
      <c r="AA164"/>
      <c r="AB164"/>
      <c r="AC164"/>
      <c r="AD164"/>
      <c r="AE164"/>
      <c r="AF164"/>
    </row>
    <row r="165" spans="1:32" ht="13.9" customHeight="1" outlineLevel="2" x14ac:dyDescent="0.2">
      <c r="A165" s="135"/>
      <c r="B165" s="136" t="s">
        <v>1238</v>
      </c>
      <c r="C165" s="137" t="s">
        <v>6695</v>
      </c>
      <c r="D165" s="138" t="s">
        <v>3217</v>
      </c>
      <c r="E165" s="139" t="s">
        <v>1243</v>
      </c>
      <c r="F165" s="139">
        <v>9</v>
      </c>
      <c r="G165" s="139">
        <v>1250</v>
      </c>
      <c r="H165" s="140">
        <f t="shared" si="9"/>
        <v>11250</v>
      </c>
      <c r="I165" s="139" t="s">
        <v>2002</v>
      </c>
      <c r="J165" s="142" t="s">
        <v>3171</v>
      </c>
      <c r="K165" s="125"/>
      <c r="L165" s="125"/>
      <c r="M165"/>
      <c r="N165"/>
      <c r="O165"/>
      <c r="P165"/>
      <c r="Q165"/>
      <c r="R165"/>
      <c r="S165"/>
      <c r="T165"/>
      <c r="U165"/>
      <c r="V165"/>
      <c r="W165"/>
      <c r="X165"/>
      <c r="Y165"/>
      <c r="Z165"/>
      <c r="AA165"/>
      <c r="AB165"/>
      <c r="AC165"/>
      <c r="AD165"/>
      <c r="AE165"/>
      <c r="AF165"/>
    </row>
    <row r="166" spans="1:32" ht="13.9" customHeight="1" outlineLevel="2" x14ac:dyDescent="0.2">
      <c r="A166" s="135"/>
      <c r="B166" s="136" t="s">
        <v>1238</v>
      </c>
      <c r="C166" s="137" t="s">
        <v>6696</v>
      </c>
      <c r="D166" s="138" t="s">
        <v>3218</v>
      </c>
      <c r="E166" s="139" t="s">
        <v>196</v>
      </c>
      <c r="F166" s="139">
        <v>1</v>
      </c>
      <c r="G166" s="139">
        <v>990</v>
      </c>
      <c r="H166" s="140">
        <f t="shared" si="9"/>
        <v>990</v>
      </c>
      <c r="I166" s="139" t="s">
        <v>2002</v>
      </c>
      <c r="J166" s="142" t="s">
        <v>3171</v>
      </c>
      <c r="K166" s="125"/>
      <c r="L166" s="125"/>
      <c r="M166"/>
      <c r="N166"/>
      <c r="O166"/>
      <c r="P166"/>
      <c r="Q166"/>
      <c r="R166"/>
      <c r="S166"/>
      <c r="T166"/>
      <c r="U166"/>
      <c r="V166"/>
      <c r="W166"/>
      <c r="X166"/>
      <c r="Y166"/>
      <c r="Z166"/>
      <c r="AA166"/>
      <c r="AB166"/>
      <c r="AC166"/>
      <c r="AD166"/>
      <c r="AE166"/>
      <c r="AF166"/>
    </row>
    <row r="167" spans="1:32" ht="13.9" customHeight="1" outlineLevel="2" x14ac:dyDescent="0.2">
      <c r="A167" s="135"/>
      <c r="B167" s="136" t="s">
        <v>1238</v>
      </c>
      <c r="C167" s="137" t="s">
        <v>6697</v>
      </c>
      <c r="D167" s="138" t="s">
        <v>3219</v>
      </c>
      <c r="E167" s="139" t="s">
        <v>1243</v>
      </c>
      <c r="F167" s="139">
        <v>9</v>
      </c>
      <c r="G167" s="139">
        <v>1250</v>
      </c>
      <c r="H167" s="140">
        <f t="shared" si="9"/>
        <v>11250</v>
      </c>
      <c r="I167" s="139" t="s">
        <v>2002</v>
      </c>
      <c r="J167" s="142" t="s">
        <v>3171</v>
      </c>
      <c r="K167" s="125"/>
      <c r="L167" s="125"/>
      <c r="M167"/>
      <c r="N167"/>
      <c r="O167"/>
      <c r="P167"/>
      <c r="Q167"/>
      <c r="R167"/>
      <c r="S167"/>
      <c r="T167"/>
      <c r="U167"/>
      <c r="V167"/>
      <c r="W167"/>
      <c r="X167"/>
      <c r="Y167"/>
      <c r="Z167"/>
      <c r="AA167"/>
      <c r="AB167"/>
      <c r="AC167"/>
      <c r="AD167"/>
      <c r="AE167"/>
      <c r="AF167"/>
    </row>
    <row r="168" spans="1:32" ht="13.9" customHeight="1" outlineLevel="2" x14ac:dyDescent="0.2">
      <c r="A168" s="135"/>
      <c r="B168" s="136" t="s">
        <v>1238</v>
      </c>
      <c r="C168" s="137" t="s">
        <v>6698</v>
      </c>
      <c r="D168" s="138" t="s">
        <v>3220</v>
      </c>
      <c r="E168" s="139" t="s">
        <v>1243</v>
      </c>
      <c r="F168" s="139">
        <v>36</v>
      </c>
      <c r="G168" s="139">
        <v>1465.1109597662617</v>
      </c>
      <c r="H168" s="140">
        <f t="shared" si="9"/>
        <v>52743.99455158542</v>
      </c>
      <c r="I168" s="139" t="s">
        <v>2002</v>
      </c>
      <c r="J168" s="142" t="s">
        <v>3171</v>
      </c>
      <c r="K168" s="125"/>
      <c r="L168" s="125"/>
      <c r="M168"/>
      <c r="N168"/>
      <c r="O168"/>
      <c r="P168"/>
      <c r="Q168"/>
      <c r="R168"/>
      <c r="S168"/>
      <c r="T168"/>
      <c r="U168"/>
      <c r="V168"/>
      <c r="W168"/>
      <c r="X168"/>
      <c r="Y168"/>
      <c r="Z168"/>
      <c r="AA168"/>
      <c r="AB168"/>
      <c r="AC168"/>
      <c r="AD168"/>
      <c r="AE168"/>
      <c r="AF168"/>
    </row>
    <row r="169" spans="1:32" ht="13.9" customHeight="1" outlineLevel="2" x14ac:dyDescent="0.2">
      <c r="A169" s="135"/>
      <c r="B169" s="136" t="s">
        <v>1238</v>
      </c>
      <c r="C169" s="137" t="s">
        <v>6699</v>
      </c>
      <c r="D169" s="138" t="s">
        <v>3221</v>
      </c>
      <c r="E169" s="139" t="s">
        <v>1129</v>
      </c>
      <c r="F169" s="139">
        <v>1</v>
      </c>
      <c r="G169" s="139">
        <v>8000</v>
      </c>
      <c r="H169" s="140">
        <f t="shared" si="9"/>
        <v>8000</v>
      </c>
      <c r="I169" s="139" t="s">
        <v>2002</v>
      </c>
      <c r="J169" s="142" t="s">
        <v>3171</v>
      </c>
      <c r="K169" s="125"/>
      <c r="L169" s="125"/>
      <c r="M169"/>
      <c r="N169"/>
      <c r="O169"/>
      <c r="P169"/>
      <c r="Q169"/>
      <c r="R169"/>
      <c r="S169"/>
      <c r="T169"/>
      <c r="U169"/>
      <c r="V169"/>
      <c r="W169"/>
      <c r="X169"/>
      <c r="Y169"/>
      <c r="Z169"/>
      <c r="AA169"/>
      <c r="AB169"/>
      <c r="AC169"/>
      <c r="AD169"/>
      <c r="AE169"/>
      <c r="AF169"/>
    </row>
    <row r="170" spans="1:32" ht="22.5" outlineLevel="2" x14ac:dyDescent="0.2">
      <c r="A170" s="135"/>
      <c r="B170" s="136" t="s">
        <v>1238</v>
      </c>
      <c r="C170" s="137" t="s">
        <v>6700</v>
      </c>
      <c r="D170" s="138" t="s">
        <v>3222</v>
      </c>
      <c r="E170" s="67" t="s">
        <v>1243</v>
      </c>
      <c r="F170" s="139">
        <v>36</v>
      </c>
      <c r="G170" s="139">
        <v>2020</v>
      </c>
      <c r="H170" s="140">
        <f t="shared" si="9"/>
        <v>72720</v>
      </c>
      <c r="I170" s="139" t="s">
        <v>3223</v>
      </c>
      <c r="J170" s="142" t="s">
        <v>3171</v>
      </c>
      <c r="K170" s="125"/>
      <c r="L170" s="125"/>
      <c r="M170"/>
      <c r="N170"/>
      <c r="O170"/>
      <c r="P170"/>
      <c r="Q170"/>
      <c r="R170"/>
      <c r="S170"/>
      <c r="T170"/>
      <c r="U170"/>
      <c r="V170"/>
      <c r="W170"/>
      <c r="X170"/>
      <c r="Y170"/>
      <c r="Z170"/>
      <c r="AA170"/>
      <c r="AB170"/>
      <c r="AC170"/>
      <c r="AD170"/>
      <c r="AE170"/>
      <c r="AF170"/>
    </row>
    <row r="171" spans="1:32" ht="13.9" customHeight="1" outlineLevel="1" x14ac:dyDescent="0.2">
      <c r="A171" s="135"/>
      <c r="B171" s="136" t="s">
        <v>1237</v>
      </c>
      <c r="C171" s="137" t="s">
        <v>3363</v>
      </c>
      <c r="D171" s="138" t="s">
        <v>2008</v>
      </c>
      <c r="E171" s="67"/>
      <c r="F171" s="139"/>
      <c r="G171" s="139"/>
      <c r="H171" s="140">
        <f>H172+H173+H174+H175+H176+H177+H178+H179+H180+H181</f>
        <v>665099.96578193491</v>
      </c>
      <c r="I171" s="139"/>
      <c r="J171" s="142"/>
      <c r="K171" s="125"/>
      <c r="L171" s="125"/>
      <c r="M171"/>
      <c r="N171"/>
      <c r="O171"/>
      <c r="P171"/>
      <c r="Q171"/>
      <c r="R171"/>
      <c r="S171"/>
      <c r="T171"/>
      <c r="U171"/>
      <c r="V171"/>
      <c r="W171"/>
      <c r="X171"/>
      <c r="Y171"/>
      <c r="Z171"/>
      <c r="AA171"/>
      <c r="AB171"/>
      <c r="AC171"/>
      <c r="AD171"/>
      <c r="AE171"/>
      <c r="AF171"/>
    </row>
    <row r="172" spans="1:32" ht="13.9" customHeight="1" outlineLevel="2" x14ac:dyDescent="0.2">
      <c r="A172" s="135"/>
      <c r="B172" s="136" t="s">
        <v>1238</v>
      </c>
      <c r="C172" s="137" t="s">
        <v>3364</v>
      </c>
      <c r="D172" s="138" t="s">
        <v>3224</v>
      </c>
      <c r="E172" s="139" t="s">
        <v>1243</v>
      </c>
      <c r="F172" s="139">
        <v>6</v>
      </c>
      <c r="G172" s="139">
        <v>56255.211877862508</v>
      </c>
      <c r="H172" s="140">
        <f t="shared" ref="H172:H181" si="10">G172*F172</f>
        <v>337531.27126717503</v>
      </c>
      <c r="I172" s="139" t="s">
        <v>2002</v>
      </c>
      <c r="J172" s="142" t="s">
        <v>3171</v>
      </c>
      <c r="K172" s="125"/>
      <c r="L172" s="125"/>
      <c r="M172"/>
      <c r="N172"/>
      <c r="O172"/>
      <c r="P172"/>
      <c r="Q172"/>
      <c r="R172"/>
      <c r="S172"/>
      <c r="T172"/>
      <c r="U172"/>
      <c r="V172"/>
      <c r="W172"/>
      <c r="X172"/>
      <c r="Y172"/>
      <c r="Z172"/>
      <c r="AA172"/>
      <c r="AB172"/>
      <c r="AC172"/>
      <c r="AD172"/>
      <c r="AE172"/>
      <c r="AF172"/>
    </row>
    <row r="173" spans="1:32" ht="13.9" customHeight="1" outlineLevel="2" x14ac:dyDescent="0.2">
      <c r="A173" s="135"/>
      <c r="B173" s="136" t="s">
        <v>1238</v>
      </c>
      <c r="C173" s="137" t="s">
        <v>6701</v>
      </c>
      <c r="D173" s="138" t="s">
        <v>3225</v>
      </c>
      <c r="E173" s="139" t="s">
        <v>196</v>
      </c>
      <c r="F173" s="139">
        <v>1</v>
      </c>
      <c r="G173" s="139">
        <v>16876.563563358752</v>
      </c>
      <c r="H173" s="140">
        <f t="shared" si="10"/>
        <v>16876.563563358752</v>
      </c>
      <c r="I173" s="139" t="s">
        <v>2002</v>
      </c>
      <c r="J173" s="142" t="s">
        <v>3171</v>
      </c>
      <c r="K173" s="125"/>
      <c r="L173" s="125"/>
      <c r="M173"/>
      <c r="N173"/>
      <c r="O173"/>
      <c r="P173"/>
      <c r="Q173"/>
      <c r="R173"/>
      <c r="S173"/>
      <c r="T173"/>
      <c r="U173"/>
      <c r="V173"/>
      <c r="W173"/>
      <c r="X173"/>
      <c r="Y173"/>
      <c r="Z173"/>
      <c r="AA173"/>
      <c r="AB173"/>
      <c r="AC173"/>
      <c r="AD173"/>
      <c r="AE173"/>
      <c r="AF173"/>
    </row>
    <row r="174" spans="1:32" ht="13.9" customHeight="1" outlineLevel="2" x14ac:dyDescent="0.2">
      <c r="A174" s="135"/>
      <c r="B174" s="136" t="s">
        <v>1238</v>
      </c>
      <c r="C174" s="137" t="s">
        <v>6702</v>
      </c>
      <c r="D174" s="138" t="s">
        <v>3226</v>
      </c>
      <c r="E174" s="139" t="s">
        <v>1243</v>
      </c>
      <c r="F174" s="139">
        <v>6</v>
      </c>
      <c r="G174" s="139">
        <v>20251.876276030504</v>
      </c>
      <c r="H174" s="140">
        <f t="shared" si="10"/>
        <v>121511.25765618302</v>
      </c>
      <c r="I174" s="139" t="s">
        <v>2002</v>
      </c>
      <c r="J174" s="142" t="s">
        <v>3171</v>
      </c>
      <c r="K174" s="125"/>
      <c r="L174" s="125"/>
      <c r="M174"/>
      <c r="N174"/>
      <c r="O174"/>
      <c r="P174"/>
      <c r="Q174"/>
      <c r="R174"/>
      <c r="S174"/>
      <c r="T174"/>
      <c r="U174"/>
      <c r="V174"/>
      <c r="W174"/>
      <c r="X174"/>
      <c r="Y174"/>
      <c r="Z174"/>
      <c r="AA174"/>
      <c r="AB174"/>
      <c r="AC174"/>
      <c r="AD174"/>
      <c r="AE174"/>
      <c r="AF174"/>
    </row>
    <row r="175" spans="1:32" ht="13.9" customHeight="1" outlineLevel="2" x14ac:dyDescent="0.2">
      <c r="A175" s="135"/>
      <c r="B175" s="136" t="s">
        <v>1238</v>
      </c>
      <c r="C175" s="137" t="s">
        <v>6703</v>
      </c>
      <c r="D175" s="138" t="s">
        <v>3227</v>
      </c>
      <c r="E175" s="139" t="s">
        <v>1243</v>
      </c>
      <c r="F175" s="139">
        <v>6</v>
      </c>
      <c r="G175" s="139">
        <v>20251.876276030504</v>
      </c>
      <c r="H175" s="140">
        <f t="shared" si="10"/>
        <v>121511.25765618302</v>
      </c>
      <c r="I175" s="139" t="s">
        <v>2002</v>
      </c>
      <c r="J175" s="142" t="s">
        <v>3171</v>
      </c>
      <c r="K175" s="125"/>
      <c r="L175" s="125"/>
      <c r="M175"/>
      <c r="N175"/>
      <c r="O175"/>
      <c r="P175"/>
      <c r="Q175"/>
      <c r="R175"/>
      <c r="S175"/>
      <c r="T175"/>
      <c r="U175"/>
      <c r="V175"/>
      <c r="W175"/>
      <c r="X175"/>
      <c r="Y175"/>
      <c r="Z175"/>
      <c r="AA175"/>
      <c r="AB175"/>
      <c r="AC175"/>
      <c r="AD175"/>
      <c r="AE175"/>
      <c r="AF175"/>
    </row>
    <row r="176" spans="1:32" ht="13.9" customHeight="1" outlineLevel="2" x14ac:dyDescent="0.2">
      <c r="A176" s="135"/>
      <c r="B176" s="136" t="s">
        <v>1238</v>
      </c>
      <c r="C176" s="137" t="s">
        <v>6704</v>
      </c>
      <c r="D176" s="138" t="s">
        <v>3228</v>
      </c>
      <c r="E176" s="139" t="s">
        <v>196</v>
      </c>
      <c r="F176" s="139">
        <v>1</v>
      </c>
      <c r="G176" s="139">
        <v>6075.5628828091512</v>
      </c>
      <c r="H176" s="140">
        <f t="shared" si="10"/>
        <v>6075.5628828091512</v>
      </c>
      <c r="I176" s="139" t="s">
        <v>2002</v>
      </c>
      <c r="J176" s="142" t="s">
        <v>3171</v>
      </c>
      <c r="K176" s="125"/>
      <c r="L176" s="125"/>
      <c r="M176"/>
      <c r="N176"/>
      <c r="O176"/>
      <c r="P176"/>
      <c r="Q176"/>
      <c r="R176"/>
      <c r="S176"/>
      <c r="T176"/>
      <c r="U176"/>
      <c r="V176"/>
      <c r="W176"/>
      <c r="X176"/>
      <c r="Y176"/>
      <c r="Z176"/>
      <c r="AA176"/>
      <c r="AB176"/>
      <c r="AC176"/>
      <c r="AD176"/>
      <c r="AE176"/>
      <c r="AF176"/>
    </row>
    <row r="177" spans="1:32" ht="13.9" customHeight="1" outlineLevel="2" x14ac:dyDescent="0.2">
      <c r="A177" s="135"/>
      <c r="B177" s="136" t="s">
        <v>1238</v>
      </c>
      <c r="C177" s="137" t="s">
        <v>6705</v>
      </c>
      <c r="D177" s="138" t="s">
        <v>3229</v>
      </c>
      <c r="E177" s="139" t="s">
        <v>1243</v>
      </c>
      <c r="F177" s="139">
        <v>6</v>
      </c>
      <c r="G177" s="139">
        <v>7290.6754593709811</v>
      </c>
      <c r="H177" s="140">
        <f t="shared" si="10"/>
        <v>43744.052756225887</v>
      </c>
      <c r="I177" s="139" t="s">
        <v>2002</v>
      </c>
      <c r="J177" s="142" t="s">
        <v>3171</v>
      </c>
      <c r="K177" s="125"/>
      <c r="L177" s="125"/>
      <c r="M177"/>
      <c r="N177"/>
      <c r="O177"/>
      <c r="P177"/>
      <c r="Q177"/>
      <c r="R177"/>
      <c r="S177"/>
      <c r="T177"/>
      <c r="U177"/>
      <c r="V177"/>
      <c r="W177"/>
      <c r="X177"/>
      <c r="Y177"/>
      <c r="Z177"/>
      <c r="AA177"/>
      <c r="AB177"/>
      <c r="AC177"/>
      <c r="AD177"/>
      <c r="AE177"/>
      <c r="AF177"/>
    </row>
    <row r="178" spans="1:32" ht="13.9" customHeight="1" outlineLevel="2" x14ac:dyDescent="0.2">
      <c r="A178" s="135"/>
      <c r="B178" s="136" t="s">
        <v>1238</v>
      </c>
      <c r="C178" s="137" t="s">
        <v>6706</v>
      </c>
      <c r="D178" s="138" t="s">
        <v>3230</v>
      </c>
      <c r="E178" s="67" t="s">
        <v>1243</v>
      </c>
      <c r="F178" s="139">
        <v>3</v>
      </c>
      <c r="G178" s="139">
        <v>5550</v>
      </c>
      <c r="H178" s="140">
        <f t="shared" si="10"/>
        <v>16650</v>
      </c>
      <c r="I178" s="139" t="s">
        <v>2002</v>
      </c>
      <c r="J178" s="142" t="s">
        <v>3171</v>
      </c>
      <c r="K178" s="125"/>
      <c r="L178" s="125"/>
      <c r="M178"/>
      <c r="N178"/>
      <c r="O178"/>
      <c r="P178"/>
      <c r="Q178"/>
      <c r="R178"/>
      <c r="S178"/>
      <c r="T178"/>
      <c r="U178"/>
      <c r="V178"/>
      <c r="W178"/>
      <c r="X178"/>
      <c r="Y178"/>
      <c r="Z178"/>
      <c r="AA178"/>
      <c r="AB178"/>
      <c r="AC178"/>
      <c r="AD178"/>
      <c r="AE178"/>
      <c r="AF178"/>
    </row>
    <row r="179" spans="1:32" ht="13.9" customHeight="1" outlineLevel="2" x14ac:dyDescent="0.2">
      <c r="A179" s="135"/>
      <c r="B179" s="136" t="s">
        <v>1238</v>
      </c>
      <c r="C179" s="137" t="s">
        <v>6707</v>
      </c>
      <c r="D179" s="138" t="s">
        <v>3231</v>
      </c>
      <c r="E179" s="67" t="s">
        <v>1243</v>
      </c>
      <c r="F179" s="139">
        <v>3</v>
      </c>
      <c r="G179" s="139">
        <v>300</v>
      </c>
      <c r="H179" s="140">
        <f t="shared" si="10"/>
        <v>900</v>
      </c>
      <c r="I179" s="139" t="s">
        <v>2002</v>
      </c>
      <c r="J179" s="142" t="s">
        <v>3171</v>
      </c>
      <c r="K179" s="125"/>
      <c r="L179" s="125"/>
      <c r="M179"/>
      <c r="N179"/>
      <c r="O179"/>
      <c r="P179"/>
      <c r="Q179"/>
      <c r="R179"/>
      <c r="S179"/>
      <c r="T179"/>
      <c r="U179"/>
      <c r="V179"/>
      <c r="W179"/>
      <c r="X179"/>
      <c r="Y179"/>
      <c r="Z179"/>
      <c r="AA179"/>
      <c r="AB179"/>
      <c r="AC179"/>
      <c r="AD179"/>
      <c r="AE179"/>
      <c r="AF179"/>
    </row>
    <row r="180" spans="1:32" ht="13.9" customHeight="1" outlineLevel="2" x14ac:dyDescent="0.2">
      <c r="A180" s="135"/>
      <c r="B180" s="136" t="s">
        <v>1238</v>
      </c>
      <c r="C180" s="137" t="s">
        <v>6708</v>
      </c>
      <c r="D180" s="138" t="s">
        <v>3232</v>
      </c>
      <c r="E180" s="67" t="s">
        <v>1600</v>
      </c>
      <c r="F180" s="139">
        <v>0</v>
      </c>
      <c r="G180" s="139">
        <v>450</v>
      </c>
      <c r="H180" s="140">
        <f t="shared" si="10"/>
        <v>0</v>
      </c>
      <c r="I180" s="139" t="s">
        <v>6577</v>
      </c>
      <c r="J180" s="142" t="s">
        <v>3171</v>
      </c>
      <c r="K180" s="125"/>
      <c r="L180" s="125"/>
      <c r="M180"/>
      <c r="N180"/>
      <c r="O180"/>
      <c r="P180"/>
      <c r="Q180"/>
      <c r="R180"/>
      <c r="S180"/>
      <c r="T180"/>
      <c r="U180"/>
      <c r="V180"/>
      <c r="W180"/>
      <c r="X180"/>
      <c r="Y180"/>
      <c r="Z180"/>
      <c r="AA180"/>
      <c r="AB180"/>
      <c r="AC180"/>
      <c r="AD180"/>
      <c r="AE180"/>
      <c r="AF180"/>
    </row>
    <row r="181" spans="1:32" ht="13.9" customHeight="1" outlineLevel="2" x14ac:dyDescent="0.2">
      <c r="A181" s="135"/>
      <c r="B181" s="136" t="s">
        <v>1238</v>
      </c>
      <c r="C181" s="137" t="s">
        <v>6709</v>
      </c>
      <c r="D181" s="138" t="s">
        <v>3233</v>
      </c>
      <c r="E181" s="67" t="s">
        <v>1600</v>
      </c>
      <c r="F181" s="139">
        <v>1</v>
      </c>
      <c r="G181" s="139">
        <v>300</v>
      </c>
      <c r="H181" s="140">
        <f t="shared" si="10"/>
        <v>300</v>
      </c>
      <c r="I181" s="139" t="s">
        <v>6577</v>
      </c>
      <c r="J181" s="142" t="s">
        <v>3171</v>
      </c>
      <c r="K181" s="125"/>
      <c r="L181" s="125"/>
      <c r="M181"/>
      <c r="N181"/>
      <c r="O181"/>
      <c r="P181"/>
      <c r="Q181"/>
      <c r="R181"/>
      <c r="S181"/>
      <c r="T181"/>
      <c r="U181"/>
      <c r="V181"/>
      <c r="W181"/>
      <c r="X181"/>
      <c r="Y181"/>
      <c r="Z181"/>
      <c r="AA181"/>
      <c r="AB181"/>
      <c r="AC181"/>
      <c r="AD181"/>
      <c r="AE181"/>
      <c r="AF181"/>
    </row>
    <row r="182" spans="1:32" ht="12.75" x14ac:dyDescent="0.2">
      <c r="A182" s="147"/>
      <c r="B182" s="147"/>
      <c r="C182" s="147"/>
      <c r="D182" s="148" t="s">
        <v>55</v>
      </c>
      <c r="E182" s="149"/>
      <c r="F182" s="150"/>
      <c r="G182" s="150"/>
      <c r="H182" s="151"/>
      <c r="I182" s="151">
        <v>285.96350377475454</v>
      </c>
      <c r="J182" s="149"/>
      <c r="K182" s="125"/>
      <c r="L182" s="152"/>
      <c r="M182"/>
      <c r="N182"/>
      <c r="O182"/>
      <c r="P182"/>
      <c r="Q182"/>
      <c r="R182"/>
      <c r="S182"/>
      <c r="T182"/>
      <c r="U182"/>
      <c r="V182"/>
      <c r="W182"/>
      <c r="X182"/>
      <c r="Y182"/>
      <c r="Z182"/>
      <c r="AA182"/>
      <c r="AB182"/>
      <c r="AC182"/>
      <c r="AD182"/>
      <c r="AE182"/>
      <c r="AF182"/>
    </row>
    <row r="183" spans="1:32" ht="14.1" customHeight="1" x14ac:dyDescent="0.2">
      <c r="G183" s="157">
        <f>SUMIFS($H$7:$H$474,$B$7:$B$474,H183)</f>
        <v>0</v>
      </c>
      <c r="H183" s="158"/>
      <c r="K183" s="125"/>
      <c r="L183" s="153"/>
      <c r="M183"/>
      <c r="N183"/>
      <c r="O183"/>
      <c r="P183"/>
      <c r="Q183"/>
      <c r="R183"/>
      <c r="S183"/>
      <c r="T183"/>
      <c r="U183"/>
      <c r="V183"/>
      <c r="W183"/>
      <c r="X183"/>
      <c r="Y183"/>
      <c r="Z183"/>
      <c r="AA183"/>
      <c r="AB183"/>
      <c r="AC183"/>
      <c r="AD183"/>
      <c r="AE183"/>
      <c r="AF183"/>
    </row>
    <row r="184" spans="1:32" ht="14.1" customHeight="1" x14ac:dyDescent="0.2">
      <c r="G184" s="157">
        <f>SUMIFS($H$7:$H$474,$B$7:$B$474,H184)</f>
        <v>0</v>
      </c>
      <c r="H184" s="158"/>
      <c r="K184" s="125"/>
      <c r="L184" s="153"/>
      <c r="M184"/>
      <c r="N184"/>
      <c r="O184"/>
      <c r="P184"/>
      <c r="Q184"/>
      <c r="R184"/>
      <c r="S184"/>
      <c r="T184"/>
      <c r="U184"/>
      <c r="V184"/>
      <c r="W184"/>
      <c r="X184"/>
      <c r="Y184"/>
      <c r="Z184"/>
      <c r="AA184"/>
      <c r="AB184"/>
      <c r="AC184"/>
      <c r="AD184"/>
      <c r="AE184"/>
      <c r="AF184"/>
    </row>
    <row r="185" spans="1:32" ht="14.1" customHeight="1" x14ac:dyDescent="0.2">
      <c r="G185" s="157">
        <f>SUMIFS($H$7:$H$474,$B$7:$B$474,H185)</f>
        <v>0</v>
      </c>
      <c r="H185" s="158"/>
      <c r="K185" s="125"/>
      <c r="L185" s="153"/>
      <c r="M185"/>
      <c r="N185"/>
      <c r="O185"/>
      <c r="P185"/>
      <c r="Q185"/>
      <c r="R185"/>
      <c r="S185"/>
      <c r="T185"/>
      <c r="U185"/>
      <c r="V185"/>
      <c r="W185"/>
      <c r="X185"/>
      <c r="Y185"/>
      <c r="Z185"/>
      <c r="AA185"/>
      <c r="AB185"/>
      <c r="AC185"/>
      <c r="AD185"/>
      <c r="AE185"/>
      <c r="AF185"/>
    </row>
    <row r="186" spans="1:32" ht="14.1" customHeight="1" x14ac:dyDescent="0.2">
      <c r="D186" s="162"/>
      <c r="G186" s="157">
        <f>SUMIFS($H$7:$H$474,$B$7:$B$474,H186)</f>
        <v>0</v>
      </c>
      <c r="H186" s="158"/>
      <c r="K186" s="125"/>
      <c r="L186" s="153"/>
      <c r="M186"/>
      <c r="N186"/>
      <c r="O186"/>
      <c r="P186"/>
      <c r="Q186"/>
      <c r="R186"/>
      <c r="S186"/>
      <c r="T186"/>
      <c r="U186"/>
      <c r="V186"/>
      <c r="W186"/>
      <c r="X186"/>
      <c r="Y186"/>
      <c r="Z186"/>
      <c r="AA186"/>
      <c r="AB186"/>
      <c r="AC186"/>
      <c r="AD186"/>
      <c r="AE186"/>
      <c r="AF186"/>
    </row>
    <row r="187" spans="1:32" ht="14.1" customHeight="1" x14ac:dyDescent="0.2">
      <c r="D187" s="162"/>
      <c r="E187" s="162"/>
      <c r="F187" s="153"/>
      <c r="G187" s="157"/>
      <c r="H187" s="158"/>
      <c r="I187" s="163"/>
      <c r="K187" s="125"/>
      <c r="L187" s="153"/>
      <c r="M187"/>
      <c r="N187"/>
      <c r="O187"/>
      <c r="P187"/>
      <c r="Q187"/>
      <c r="R187"/>
      <c r="S187"/>
      <c r="T187"/>
      <c r="U187"/>
      <c r="V187"/>
      <c r="W187"/>
      <c r="X187"/>
      <c r="Y187"/>
      <c r="Z187"/>
      <c r="AA187"/>
      <c r="AB187"/>
      <c r="AC187"/>
      <c r="AD187"/>
      <c r="AE187"/>
      <c r="AF187"/>
    </row>
    <row r="188" spans="1:32" ht="14.1" customHeight="1" x14ac:dyDescent="0.2">
      <c r="G188" s="164"/>
      <c r="H188" s="158"/>
      <c r="K188" s="125"/>
      <c r="L188" s="153"/>
      <c r="M188"/>
      <c r="N188"/>
      <c r="O188"/>
      <c r="P188"/>
      <c r="Q188"/>
      <c r="R188"/>
      <c r="S188"/>
      <c r="T188"/>
      <c r="U188"/>
      <c r="V188"/>
      <c r="W188"/>
      <c r="X188"/>
      <c r="Y188"/>
      <c r="Z188"/>
      <c r="AA188"/>
      <c r="AB188"/>
      <c r="AC188"/>
      <c r="AD188"/>
      <c r="AE188"/>
      <c r="AF188"/>
    </row>
    <row r="189" spans="1:32" ht="14.1" customHeight="1" x14ac:dyDescent="0.2">
      <c r="K189" s="125"/>
      <c r="L189" s="153"/>
      <c r="M189"/>
      <c r="N189"/>
      <c r="O189"/>
      <c r="P189"/>
      <c r="Q189"/>
      <c r="R189"/>
      <c r="S189"/>
      <c r="T189"/>
      <c r="U189"/>
      <c r="V189"/>
      <c r="W189"/>
      <c r="X189"/>
      <c r="Y189"/>
      <c r="Z189"/>
      <c r="AA189"/>
      <c r="AB189"/>
      <c r="AC189"/>
      <c r="AD189"/>
      <c r="AE189"/>
      <c r="AF189"/>
    </row>
    <row r="190" spans="1:32" ht="14.1" customHeight="1" x14ac:dyDescent="0.2">
      <c r="K190" s="125"/>
      <c r="L190" s="153"/>
      <c r="M190"/>
      <c r="N190"/>
      <c r="O190"/>
      <c r="P190"/>
      <c r="Q190"/>
      <c r="R190"/>
      <c r="S190"/>
      <c r="T190"/>
      <c r="U190"/>
      <c r="V190"/>
      <c r="W190"/>
      <c r="X190"/>
      <c r="Y190"/>
      <c r="Z190"/>
      <c r="AA190"/>
      <c r="AB190"/>
      <c r="AC190"/>
      <c r="AD190"/>
      <c r="AE190"/>
      <c r="AF190"/>
    </row>
    <row r="191" spans="1:32" ht="14.1" customHeight="1" x14ac:dyDescent="0.2">
      <c r="K191" s="125"/>
      <c r="L191" s="153"/>
      <c r="M191"/>
      <c r="N191"/>
      <c r="O191"/>
      <c r="P191"/>
      <c r="Q191"/>
      <c r="R191"/>
      <c r="S191"/>
      <c r="T191"/>
      <c r="U191"/>
      <c r="V191"/>
      <c r="W191"/>
      <c r="X191"/>
      <c r="Y191"/>
      <c r="Z191"/>
      <c r="AA191"/>
      <c r="AB191"/>
      <c r="AC191"/>
      <c r="AD191"/>
      <c r="AE191"/>
      <c r="AF191"/>
    </row>
    <row r="192" spans="1:32" ht="14.1" customHeight="1" x14ac:dyDescent="0.2">
      <c r="K192" s="125"/>
      <c r="L192" s="153"/>
      <c r="M192"/>
      <c r="N192"/>
      <c r="O192"/>
      <c r="P192"/>
      <c r="Q192"/>
      <c r="R192"/>
      <c r="S192"/>
      <c r="T192"/>
      <c r="U192"/>
      <c r="V192"/>
      <c r="W192"/>
      <c r="X192"/>
      <c r="Y192"/>
      <c r="Z192"/>
      <c r="AA192"/>
      <c r="AB192"/>
      <c r="AC192"/>
      <c r="AD192"/>
      <c r="AE192"/>
      <c r="AF192"/>
    </row>
    <row r="193" spans="11:32" ht="14.1" customHeight="1" x14ac:dyDescent="0.2">
      <c r="K193" s="125"/>
      <c r="L193" s="153"/>
      <c r="M193"/>
      <c r="N193"/>
      <c r="O193"/>
      <c r="P193"/>
      <c r="Q193"/>
      <c r="R193"/>
      <c r="S193"/>
      <c r="T193"/>
      <c r="U193"/>
      <c r="V193"/>
      <c r="W193"/>
      <c r="X193"/>
      <c r="Y193"/>
      <c r="Z193"/>
      <c r="AA193"/>
      <c r="AB193"/>
      <c r="AC193"/>
      <c r="AD193"/>
      <c r="AE193"/>
      <c r="AF193"/>
    </row>
    <row r="194" spans="11:32" ht="14.1" customHeight="1" x14ac:dyDescent="0.2">
      <c r="K194" s="125"/>
      <c r="L194" s="153"/>
      <c r="M194"/>
      <c r="N194"/>
      <c r="O194"/>
      <c r="P194"/>
      <c r="Q194"/>
      <c r="R194"/>
      <c r="S194"/>
      <c r="T194"/>
      <c r="U194"/>
      <c r="V194"/>
      <c r="W194"/>
      <c r="X194"/>
      <c r="Y194"/>
      <c r="Z194"/>
      <c r="AA194"/>
      <c r="AB194"/>
      <c r="AC194"/>
      <c r="AD194"/>
      <c r="AE194"/>
      <c r="AF194"/>
    </row>
    <row r="195" spans="11:32" ht="14.1" customHeight="1" x14ac:dyDescent="0.2">
      <c r="K195" s="125"/>
      <c r="L195" s="153"/>
      <c r="M195"/>
      <c r="N195"/>
      <c r="O195"/>
      <c r="P195"/>
      <c r="Q195"/>
      <c r="R195"/>
      <c r="S195"/>
      <c r="T195"/>
      <c r="U195"/>
      <c r="V195"/>
      <c r="W195"/>
      <c r="X195"/>
      <c r="Y195"/>
      <c r="Z195"/>
      <c r="AA195"/>
      <c r="AB195"/>
      <c r="AC195"/>
      <c r="AD195"/>
      <c r="AE195"/>
      <c r="AF195"/>
    </row>
    <row r="196" spans="11:32" ht="14.1" customHeight="1" x14ac:dyDescent="0.2">
      <c r="K196" s="125"/>
      <c r="L196" s="153"/>
      <c r="M196"/>
      <c r="N196"/>
      <c r="O196"/>
      <c r="P196"/>
      <c r="Q196"/>
      <c r="R196"/>
      <c r="S196"/>
      <c r="T196"/>
      <c r="U196"/>
      <c r="V196"/>
      <c r="W196"/>
      <c r="X196"/>
      <c r="Y196"/>
      <c r="Z196"/>
      <c r="AA196"/>
      <c r="AB196"/>
      <c r="AC196"/>
      <c r="AD196"/>
      <c r="AE196"/>
      <c r="AF196"/>
    </row>
    <row r="197" spans="11:32" ht="14.1" customHeight="1" x14ac:dyDescent="0.2">
      <c r="K197" s="125"/>
      <c r="L197" s="153"/>
      <c r="M197"/>
      <c r="N197"/>
      <c r="O197"/>
      <c r="P197"/>
      <c r="Q197"/>
      <c r="R197"/>
      <c r="S197"/>
      <c r="T197"/>
      <c r="U197"/>
      <c r="V197"/>
      <c r="W197"/>
      <c r="X197"/>
      <c r="Y197"/>
      <c r="Z197"/>
      <c r="AA197"/>
      <c r="AB197"/>
      <c r="AC197"/>
      <c r="AD197"/>
      <c r="AE197"/>
      <c r="AF197"/>
    </row>
    <row r="198" spans="11:32" ht="14.1" customHeight="1" x14ac:dyDescent="0.2">
      <c r="K198" s="125"/>
      <c r="L198" s="153"/>
      <c r="M198"/>
      <c r="N198"/>
      <c r="O198"/>
      <c r="P198"/>
      <c r="Q198"/>
      <c r="R198"/>
      <c r="S198"/>
      <c r="T198"/>
      <c r="U198"/>
      <c r="V198"/>
      <c r="W198"/>
      <c r="X198"/>
      <c r="Y198"/>
      <c r="Z198"/>
      <c r="AA198"/>
      <c r="AB198"/>
      <c r="AC198"/>
      <c r="AD198"/>
      <c r="AE198"/>
      <c r="AF198"/>
    </row>
    <row r="199" spans="11:32" ht="14.1" customHeight="1" x14ac:dyDescent="0.2">
      <c r="K199" s="125"/>
      <c r="L199" s="153"/>
      <c r="M199"/>
      <c r="N199"/>
      <c r="O199"/>
      <c r="P199"/>
      <c r="Q199"/>
      <c r="R199"/>
      <c r="S199"/>
      <c r="T199"/>
      <c r="U199"/>
      <c r="V199"/>
      <c r="W199"/>
      <c r="X199"/>
      <c r="Y199"/>
      <c r="Z199"/>
      <c r="AA199"/>
      <c r="AB199"/>
      <c r="AC199"/>
      <c r="AD199"/>
      <c r="AE199"/>
      <c r="AF199"/>
    </row>
    <row r="200" spans="11:32" ht="14.1" customHeight="1" x14ac:dyDescent="0.2">
      <c r="K200" s="125"/>
      <c r="L200" s="153"/>
      <c r="M200"/>
      <c r="N200"/>
      <c r="O200"/>
      <c r="P200"/>
      <c r="Q200"/>
      <c r="R200"/>
      <c r="S200"/>
      <c r="T200"/>
      <c r="U200"/>
      <c r="V200"/>
      <c r="W200"/>
      <c r="X200"/>
      <c r="Y200"/>
      <c r="Z200"/>
      <c r="AA200"/>
      <c r="AB200"/>
      <c r="AC200"/>
      <c r="AD200"/>
      <c r="AE200"/>
      <c r="AF200"/>
    </row>
    <row r="201" spans="11:32" ht="14.1" customHeight="1" x14ac:dyDescent="0.2">
      <c r="K201" s="125"/>
      <c r="L201" s="153"/>
      <c r="M201"/>
      <c r="N201"/>
      <c r="O201"/>
      <c r="P201"/>
      <c r="Q201"/>
      <c r="R201"/>
      <c r="S201"/>
      <c r="T201"/>
      <c r="U201"/>
      <c r="V201"/>
      <c r="W201"/>
      <c r="X201"/>
      <c r="Y201"/>
      <c r="Z201"/>
      <c r="AA201"/>
      <c r="AB201"/>
      <c r="AC201"/>
      <c r="AD201"/>
      <c r="AE201"/>
      <c r="AF201"/>
    </row>
    <row r="202" spans="11:32" ht="14.1" customHeight="1" x14ac:dyDescent="0.2">
      <c r="K202" s="125"/>
      <c r="L202" s="153"/>
      <c r="M202"/>
      <c r="N202"/>
      <c r="O202"/>
      <c r="P202"/>
      <c r="Q202"/>
      <c r="R202"/>
      <c r="S202"/>
      <c r="T202"/>
      <c r="U202"/>
      <c r="V202"/>
      <c r="W202"/>
      <c r="X202"/>
      <c r="Y202"/>
      <c r="Z202"/>
      <c r="AA202"/>
      <c r="AB202"/>
      <c r="AC202"/>
      <c r="AD202"/>
      <c r="AE202"/>
      <c r="AF202"/>
    </row>
    <row r="203" spans="11:32" ht="14.1" customHeight="1" x14ac:dyDescent="0.2">
      <c r="K203" s="125"/>
      <c r="L203" s="153"/>
      <c r="M203"/>
      <c r="N203"/>
      <c r="O203"/>
      <c r="P203"/>
      <c r="Q203"/>
      <c r="R203"/>
      <c r="S203"/>
      <c r="T203"/>
      <c r="U203"/>
      <c r="V203"/>
      <c r="W203"/>
      <c r="X203"/>
      <c r="Y203"/>
      <c r="Z203"/>
      <c r="AA203"/>
      <c r="AB203"/>
      <c r="AC203"/>
      <c r="AD203"/>
      <c r="AE203"/>
      <c r="AF203"/>
    </row>
    <row r="204" spans="11:32" ht="14.1" customHeight="1" x14ac:dyDescent="0.2">
      <c r="K204" s="125"/>
      <c r="L204" s="153"/>
      <c r="M204"/>
      <c r="N204"/>
      <c r="O204"/>
      <c r="P204"/>
      <c r="Q204"/>
      <c r="R204"/>
      <c r="S204"/>
      <c r="T204"/>
      <c r="U204"/>
      <c r="V204"/>
      <c r="W204"/>
      <c r="X204"/>
      <c r="Y204"/>
      <c r="Z204"/>
      <c r="AA204"/>
      <c r="AB204"/>
      <c r="AC204"/>
      <c r="AD204"/>
      <c r="AE204"/>
      <c r="AF204"/>
    </row>
    <row r="205" spans="11:32" ht="14.1" customHeight="1" x14ac:dyDescent="0.2">
      <c r="K205" s="125"/>
      <c r="L205" s="153"/>
      <c r="M205"/>
      <c r="N205"/>
      <c r="O205"/>
      <c r="P205"/>
      <c r="Q205"/>
      <c r="R205"/>
      <c r="S205"/>
      <c r="T205"/>
      <c r="U205"/>
      <c r="V205"/>
      <c r="W205"/>
      <c r="X205"/>
      <c r="Y205"/>
      <c r="Z205"/>
      <c r="AA205"/>
      <c r="AB205"/>
      <c r="AC205"/>
      <c r="AD205"/>
      <c r="AE205"/>
      <c r="AF205"/>
    </row>
    <row r="206" spans="11:32" ht="14.1" customHeight="1" x14ac:dyDescent="0.2">
      <c r="K206" s="125"/>
      <c r="L206" s="153"/>
      <c r="M206"/>
      <c r="N206"/>
      <c r="O206"/>
      <c r="P206"/>
      <c r="Q206"/>
      <c r="R206"/>
      <c r="S206"/>
      <c r="T206"/>
      <c r="U206"/>
      <c r="V206"/>
      <c r="W206"/>
      <c r="X206"/>
      <c r="Y206"/>
      <c r="Z206"/>
      <c r="AA206"/>
      <c r="AB206"/>
      <c r="AC206"/>
      <c r="AD206"/>
      <c r="AE206"/>
      <c r="AF206"/>
    </row>
    <row r="207" spans="11:32" ht="14.1" customHeight="1" x14ac:dyDescent="0.2">
      <c r="K207" s="125"/>
      <c r="L207" s="153"/>
      <c r="M207"/>
      <c r="N207"/>
      <c r="O207"/>
      <c r="P207"/>
      <c r="Q207"/>
      <c r="R207"/>
      <c r="S207"/>
      <c r="T207"/>
      <c r="U207"/>
      <c r="V207"/>
      <c r="W207"/>
      <c r="X207"/>
      <c r="Y207"/>
      <c r="Z207"/>
      <c r="AA207"/>
      <c r="AB207"/>
      <c r="AC207"/>
      <c r="AD207"/>
      <c r="AE207"/>
      <c r="AF207"/>
    </row>
    <row r="208" spans="11:32" ht="14.1" customHeight="1" x14ac:dyDescent="0.2">
      <c r="K208" s="125"/>
      <c r="L208" s="153"/>
      <c r="M208"/>
      <c r="N208"/>
      <c r="O208"/>
      <c r="P208"/>
      <c r="Q208"/>
      <c r="R208"/>
      <c r="S208"/>
      <c r="T208"/>
      <c r="U208"/>
      <c r="V208"/>
      <c r="W208"/>
      <c r="X208"/>
      <c r="Y208"/>
      <c r="Z208"/>
      <c r="AA208"/>
      <c r="AB208"/>
      <c r="AC208"/>
      <c r="AD208"/>
      <c r="AE208"/>
      <c r="AF208"/>
    </row>
    <row r="209" spans="11:32" ht="14.1" customHeight="1" x14ac:dyDescent="0.2">
      <c r="K209" s="125"/>
      <c r="L209" s="153"/>
      <c r="M209"/>
      <c r="N209"/>
      <c r="O209"/>
      <c r="P209"/>
      <c r="Q209"/>
      <c r="R209"/>
      <c r="S209"/>
      <c r="T209"/>
      <c r="U209"/>
      <c r="V209"/>
      <c r="W209"/>
      <c r="X209"/>
      <c r="Y209"/>
      <c r="Z209"/>
      <c r="AA209"/>
      <c r="AB209"/>
      <c r="AC209"/>
      <c r="AD209"/>
      <c r="AE209"/>
      <c r="AF209"/>
    </row>
    <row r="210" spans="11:32" ht="14.1" customHeight="1" x14ac:dyDescent="0.2">
      <c r="K210" s="125"/>
      <c r="L210" s="153"/>
      <c r="M210"/>
      <c r="N210"/>
      <c r="O210"/>
      <c r="P210"/>
      <c r="Q210"/>
      <c r="R210"/>
      <c r="S210"/>
      <c r="T210"/>
      <c r="U210"/>
      <c r="V210"/>
      <c r="W210"/>
      <c r="X210"/>
      <c r="Y210"/>
      <c r="Z210"/>
      <c r="AA210"/>
      <c r="AB210"/>
      <c r="AC210"/>
      <c r="AD210"/>
      <c r="AE210"/>
      <c r="AF210"/>
    </row>
    <row r="211" spans="11:32" ht="14.1" customHeight="1" x14ac:dyDescent="0.2">
      <c r="K211" s="125"/>
      <c r="L211" s="153"/>
      <c r="M211"/>
      <c r="N211"/>
      <c r="O211"/>
      <c r="P211"/>
      <c r="Q211"/>
      <c r="R211"/>
      <c r="S211"/>
      <c r="T211"/>
      <c r="U211"/>
      <c r="V211"/>
      <c r="W211"/>
      <c r="X211"/>
      <c r="Y211"/>
      <c r="Z211"/>
      <c r="AA211"/>
      <c r="AB211"/>
      <c r="AC211"/>
      <c r="AD211"/>
      <c r="AE211"/>
      <c r="AF211"/>
    </row>
    <row r="212" spans="11:32" ht="14.1" customHeight="1" x14ac:dyDescent="0.2">
      <c r="K212" s="125"/>
      <c r="L212" s="153"/>
      <c r="M212"/>
      <c r="N212"/>
      <c r="O212"/>
      <c r="P212"/>
      <c r="Q212"/>
      <c r="R212"/>
      <c r="S212"/>
      <c r="T212"/>
      <c r="U212"/>
      <c r="V212"/>
      <c r="W212"/>
      <c r="X212"/>
      <c r="Y212"/>
      <c r="Z212"/>
      <c r="AA212"/>
      <c r="AB212"/>
      <c r="AC212"/>
      <c r="AD212"/>
      <c r="AE212"/>
      <c r="AF212"/>
    </row>
    <row r="213" spans="11:32" ht="14.1" customHeight="1" x14ac:dyDescent="0.2">
      <c r="K213" s="125"/>
      <c r="L213" s="153"/>
      <c r="M213"/>
      <c r="N213"/>
      <c r="O213"/>
      <c r="P213"/>
      <c r="Q213"/>
      <c r="R213"/>
      <c r="S213"/>
      <c r="T213"/>
      <c r="U213"/>
      <c r="V213"/>
      <c r="W213"/>
      <c r="X213"/>
      <c r="Y213"/>
      <c r="Z213"/>
      <c r="AA213"/>
      <c r="AB213"/>
      <c r="AC213"/>
      <c r="AD213"/>
      <c r="AE213"/>
      <c r="AF213"/>
    </row>
    <row r="214" spans="11:32" ht="14.1" customHeight="1" x14ac:dyDescent="0.2">
      <c r="K214" s="125"/>
      <c r="L214" s="153"/>
      <c r="M214"/>
      <c r="N214"/>
      <c r="O214"/>
      <c r="P214"/>
      <c r="Q214"/>
      <c r="R214"/>
      <c r="S214"/>
      <c r="T214"/>
      <c r="U214"/>
      <c r="V214"/>
      <c r="W214"/>
      <c r="X214"/>
      <c r="Y214"/>
      <c r="Z214"/>
      <c r="AA214"/>
      <c r="AB214"/>
      <c r="AC214"/>
      <c r="AD214"/>
      <c r="AE214"/>
      <c r="AF214"/>
    </row>
    <row r="215" spans="11:32" ht="14.1" customHeight="1" x14ac:dyDescent="0.2">
      <c r="K215" s="125"/>
      <c r="L215" s="153"/>
      <c r="M215"/>
      <c r="N215"/>
      <c r="O215"/>
      <c r="P215"/>
      <c r="Q215"/>
      <c r="R215"/>
      <c r="S215"/>
      <c r="T215"/>
      <c r="U215"/>
      <c r="V215"/>
      <c r="W215"/>
      <c r="X215"/>
      <c r="Y215"/>
      <c r="Z215"/>
      <c r="AA215"/>
      <c r="AB215"/>
      <c r="AC215"/>
      <c r="AD215"/>
      <c r="AE215"/>
      <c r="AF215"/>
    </row>
    <row r="216" spans="11:32" ht="14.1" customHeight="1" x14ac:dyDescent="0.2">
      <c r="K216" s="125"/>
      <c r="L216" s="153"/>
      <c r="M216"/>
      <c r="N216"/>
      <c r="O216"/>
      <c r="P216"/>
      <c r="Q216"/>
      <c r="R216"/>
      <c r="S216"/>
      <c r="T216"/>
      <c r="U216"/>
      <c r="V216"/>
      <c r="W216"/>
      <c r="X216"/>
      <c r="Y216"/>
      <c r="Z216"/>
      <c r="AA216"/>
      <c r="AB216"/>
      <c r="AC216"/>
      <c r="AD216"/>
      <c r="AE216"/>
      <c r="AF216"/>
    </row>
    <row r="217" spans="11:32" ht="14.1" customHeight="1" x14ac:dyDescent="0.2">
      <c r="K217" s="125"/>
      <c r="L217" s="153"/>
      <c r="M217"/>
      <c r="N217"/>
      <c r="O217"/>
      <c r="P217"/>
      <c r="Q217"/>
      <c r="R217"/>
      <c r="S217"/>
      <c r="T217"/>
      <c r="U217"/>
      <c r="V217"/>
      <c r="W217"/>
      <c r="X217"/>
      <c r="Y217"/>
      <c r="Z217"/>
      <c r="AA217"/>
      <c r="AB217"/>
      <c r="AC217"/>
      <c r="AD217"/>
      <c r="AE217"/>
      <c r="AF217"/>
    </row>
    <row r="218" spans="11:32" ht="14.1" customHeight="1" x14ac:dyDescent="0.2">
      <c r="K218" s="125"/>
      <c r="L218" s="153"/>
      <c r="M218"/>
      <c r="N218"/>
      <c r="O218"/>
      <c r="P218"/>
      <c r="Q218"/>
      <c r="R218"/>
      <c r="S218"/>
      <c r="T218"/>
      <c r="U218"/>
      <c r="V218"/>
      <c r="W218"/>
      <c r="X218"/>
      <c r="Y218"/>
      <c r="Z218"/>
      <c r="AA218"/>
      <c r="AB218"/>
      <c r="AC218"/>
      <c r="AD218"/>
      <c r="AE218"/>
      <c r="AF218"/>
    </row>
    <row r="219" spans="11:32" ht="14.1" customHeight="1" x14ac:dyDescent="0.2">
      <c r="K219" s="125"/>
      <c r="L219" s="153"/>
      <c r="M219"/>
      <c r="N219"/>
      <c r="O219"/>
      <c r="P219"/>
      <c r="Q219"/>
      <c r="R219"/>
      <c r="S219"/>
      <c r="T219"/>
      <c r="U219"/>
      <c r="V219"/>
      <c r="W219"/>
      <c r="X219"/>
      <c r="Y219"/>
      <c r="Z219"/>
      <c r="AA219"/>
      <c r="AB219"/>
      <c r="AC219"/>
      <c r="AD219"/>
      <c r="AE219"/>
      <c r="AF219"/>
    </row>
    <row r="220" spans="11:32" ht="14.1" customHeight="1" x14ac:dyDescent="0.2">
      <c r="K220" s="125"/>
      <c r="L220" s="153"/>
      <c r="M220"/>
      <c r="N220"/>
      <c r="O220"/>
      <c r="P220"/>
      <c r="Q220"/>
      <c r="R220"/>
      <c r="S220"/>
      <c r="T220"/>
      <c r="U220"/>
      <c r="V220"/>
      <c r="W220"/>
      <c r="X220"/>
      <c r="Y220"/>
      <c r="Z220"/>
      <c r="AA220"/>
      <c r="AB220"/>
      <c r="AC220"/>
      <c r="AD220"/>
      <c r="AE220"/>
      <c r="AF220"/>
    </row>
    <row r="221" spans="11:32" ht="14.1" customHeight="1" x14ac:dyDescent="0.2">
      <c r="K221" s="125"/>
      <c r="L221" s="153"/>
      <c r="M221"/>
      <c r="N221"/>
      <c r="O221"/>
      <c r="P221"/>
      <c r="Q221"/>
      <c r="R221"/>
      <c r="S221"/>
      <c r="T221"/>
      <c r="U221"/>
      <c r="V221"/>
      <c r="W221"/>
      <c r="X221"/>
      <c r="Y221"/>
      <c r="Z221"/>
      <c r="AA221"/>
      <c r="AB221"/>
      <c r="AC221"/>
      <c r="AD221"/>
      <c r="AE221"/>
      <c r="AF221"/>
    </row>
    <row r="222" spans="11:32" ht="14.1" customHeight="1" x14ac:dyDescent="0.2">
      <c r="K222" s="125"/>
      <c r="L222" s="153"/>
      <c r="M222"/>
      <c r="N222"/>
      <c r="O222"/>
      <c r="P222"/>
      <c r="Q222"/>
      <c r="R222"/>
      <c r="S222"/>
      <c r="T222"/>
      <c r="U222"/>
      <c r="V222"/>
      <c r="W222"/>
      <c r="X222"/>
      <c r="Y222"/>
      <c r="Z222"/>
      <c r="AA222"/>
      <c r="AB222"/>
      <c r="AC222"/>
      <c r="AD222"/>
      <c r="AE222"/>
      <c r="AF222"/>
    </row>
    <row r="223" spans="11:32" ht="14.1" customHeight="1" x14ac:dyDescent="0.2">
      <c r="K223" s="125"/>
      <c r="L223" s="153"/>
      <c r="M223"/>
      <c r="N223"/>
      <c r="O223"/>
      <c r="P223"/>
      <c r="Q223"/>
      <c r="R223"/>
      <c r="S223"/>
      <c r="T223"/>
      <c r="U223"/>
      <c r="V223"/>
      <c r="W223"/>
      <c r="X223"/>
      <c r="Y223"/>
      <c r="Z223"/>
      <c r="AA223"/>
      <c r="AB223"/>
      <c r="AC223"/>
      <c r="AD223"/>
      <c r="AE223"/>
      <c r="AF223"/>
    </row>
    <row r="224" spans="11:32" ht="14.1" customHeight="1" x14ac:dyDescent="0.2">
      <c r="K224" s="125"/>
      <c r="L224" s="153"/>
      <c r="M224"/>
      <c r="N224"/>
      <c r="O224"/>
      <c r="P224"/>
      <c r="Q224"/>
      <c r="R224"/>
      <c r="S224"/>
      <c r="T224"/>
      <c r="U224"/>
      <c r="V224"/>
      <c r="W224"/>
      <c r="X224"/>
      <c r="Y224"/>
      <c r="Z224"/>
      <c r="AA224"/>
      <c r="AB224"/>
      <c r="AC224"/>
      <c r="AD224"/>
      <c r="AE224"/>
      <c r="AF224"/>
    </row>
    <row r="225" spans="11:32" ht="14.1" customHeight="1" x14ac:dyDescent="0.2">
      <c r="K225" s="125"/>
      <c r="L225" s="153"/>
      <c r="M225"/>
      <c r="N225"/>
      <c r="O225"/>
      <c r="P225"/>
      <c r="Q225"/>
      <c r="R225"/>
      <c r="S225"/>
      <c r="T225"/>
      <c r="U225"/>
      <c r="V225"/>
      <c r="W225"/>
      <c r="X225"/>
      <c r="Y225"/>
      <c r="Z225"/>
      <c r="AA225"/>
      <c r="AB225"/>
      <c r="AC225"/>
      <c r="AD225"/>
      <c r="AE225"/>
      <c r="AF225"/>
    </row>
    <row r="226" spans="11:32" ht="14.1" customHeight="1" x14ac:dyDescent="0.2">
      <c r="K226" s="125"/>
      <c r="L226" s="153"/>
      <c r="M226"/>
      <c r="N226"/>
      <c r="O226"/>
      <c r="P226"/>
      <c r="Q226"/>
      <c r="R226"/>
      <c r="S226"/>
      <c r="T226"/>
      <c r="U226"/>
      <c r="V226"/>
      <c r="W226"/>
      <c r="X226"/>
      <c r="Y226"/>
      <c r="Z226"/>
      <c r="AA226"/>
      <c r="AB226"/>
      <c r="AC226"/>
      <c r="AD226"/>
      <c r="AE226"/>
      <c r="AF226"/>
    </row>
    <row r="227" spans="11:32" ht="14.1" customHeight="1" x14ac:dyDescent="0.2">
      <c r="K227" s="125"/>
      <c r="L227" s="153"/>
      <c r="M227"/>
      <c r="N227"/>
      <c r="O227"/>
      <c r="P227"/>
      <c r="Q227"/>
      <c r="R227"/>
      <c r="S227"/>
      <c r="T227"/>
      <c r="U227"/>
      <c r="V227"/>
      <c r="W227"/>
      <c r="X227"/>
      <c r="Y227"/>
      <c r="Z227"/>
      <c r="AA227"/>
      <c r="AB227"/>
      <c r="AC227"/>
      <c r="AD227"/>
      <c r="AE227"/>
      <c r="AF227"/>
    </row>
    <row r="228" spans="11:32" ht="14.1" customHeight="1" x14ac:dyDescent="0.2">
      <c r="K228" s="125"/>
      <c r="L228" s="153"/>
      <c r="M228"/>
      <c r="N228"/>
      <c r="O228"/>
      <c r="P228"/>
      <c r="Q228"/>
      <c r="R228"/>
      <c r="S228"/>
      <c r="T228"/>
      <c r="U228"/>
      <c r="V228"/>
      <c r="W228"/>
      <c r="X228"/>
      <c r="Y228"/>
      <c r="Z228"/>
      <c r="AA228"/>
      <c r="AB228"/>
      <c r="AC228"/>
      <c r="AD228"/>
      <c r="AE228"/>
      <c r="AF228"/>
    </row>
    <row r="229" spans="11:32" ht="14.1" customHeight="1" x14ac:dyDescent="0.2">
      <c r="K229" s="125"/>
      <c r="L229" s="153"/>
      <c r="M229"/>
      <c r="N229"/>
      <c r="O229"/>
      <c r="P229"/>
      <c r="Q229"/>
      <c r="R229"/>
      <c r="S229"/>
      <c r="T229"/>
      <c r="U229"/>
      <c r="V229"/>
      <c r="W229"/>
      <c r="X229"/>
      <c r="Y229"/>
      <c r="Z229"/>
      <c r="AA229"/>
      <c r="AB229"/>
      <c r="AC229"/>
      <c r="AD229"/>
      <c r="AE229"/>
      <c r="AF229"/>
    </row>
    <row r="230" spans="11:32" ht="14.1" customHeight="1" x14ac:dyDescent="0.2">
      <c r="K230" s="125"/>
      <c r="L230" s="153"/>
      <c r="M230"/>
      <c r="N230"/>
      <c r="O230"/>
      <c r="P230"/>
      <c r="Q230"/>
      <c r="R230"/>
      <c r="S230"/>
      <c r="T230"/>
      <c r="U230"/>
      <c r="V230"/>
      <c r="W230"/>
      <c r="X230"/>
      <c r="Y230"/>
      <c r="Z230"/>
      <c r="AA230"/>
      <c r="AB230"/>
      <c r="AC230"/>
      <c r="AD230"/>
      <c r="AE230"/>
      <c r="AF230"/>
    </row>
    <row r="231" spans="11:32" ht="14.1" customHeight="1" x14ac:dyDescent="0.2">
      <c r="K231" s="125"/>
      <c r="L231" s="153"/>
      <c r="M231"/>
      <c r="N231"/>
      <c r="O231"/>
      <c r="P231"/>
      <c r="Q231"/>
      <c r="R231"/>
      <c r="S231"/>
      <c r="T231"/>
      <c r="U231"/>
      <c r="V231"/>
      <c r="W231"/>
      <c r="X231"/>
      <c r="Y231"/>
      <c r="Z231"/>
      <c r="AA231"/>
      <c r="AB231"/>
      <c r="AC231"/>
      <c r="AD231"/>
      <c r="AE231"/>
      <c r="AF231"/>
    </row>
    <row r="232" spans="11:32" ht="14.1" customHeight="1" x14ac:dyDescent="0.2">
      <c r="K232" s="125"/>
      <c r="L232" s="153"/>
      <c r="M232"/>
      <c r="N232"/>
      <c r="O232"/>
      <c r="P232"/>
      <c r="Q232"/>
      <c r="R232"/>
      <c r="S232"/>
      <c r="T232"/>
      <c r="U232"/>
      <c r="V232"/>
      <c r="W232"/>
      <c r="X232"/>
      <c r="Y232"/>
      <c r="Z232"/>
      <c r="AA232"/>
      <c r="AB232"/>
      <c r="AC232"/>
      <c r="AD232"/>
      <c r="AE232"/>
      <c r="AF232"/>
    </row>
    <row r="233" spans="11:32" ht="14.1" customHeight="1" x14ac:dyDescent="0.2">
      <c r="K233" s="125"/>
      <c r="L233" s="153"/>
      <c r="M233"/>
      <c r="N233"/>
      <c r="O233"/>
      <c r="P233"/>
      <c r="Q233"/>
      <c r="R233"/>
      <c r="S233"/>
      <c r="T233"/>
      <c r="U233"/>
      <c r="V233"/>
      <c r="W233"/>
      <c r="X233"/>
      <c r="Y233"/>
      <c r="Z233"/>
      <c r="AA233"/>
      <c r="AB233"/>
      <c r="AC233"/>
      <c r="AD233"/>
      <c r="AE233"/>
      <c r="AF233"/>
    </row>
    <row r="234" spans="11:32" ht="14.1" customHeight="1" x14ac:dyDescent="0.2">
      <c r="K234" s="125"/>
      <c r="L234" s="153"/>
      <c r="M234"/>
      <c r="N234"/>
      <c r="O234"/>
      <c r="P234"/>
      <c r="Q234"/>
      <c r="R234"/>
      <c r="S234"/>
      <c r="T234"/>
      <c r="U234"/>
      <c r="V234"/>
      <c r="W234"/>
      <c r="X234"/>
      <c r="Y234"/>
      <c r="Z234"/>
      <c r="AA234"/>
      <c r="AB234"/>
      <c r="AC234"/>
      <c r="AD234"/>
      <c r="AE234"/>
      <c r="AF234"/>
    </row>
    <row r="235" spans="11:32" ht="14.1" customHeight="1" x14ac:dyDescent="0.2">
      <c r="K235" s="125"/>
      <c r="L235" s="153"/>
      <c r="M235"/>
      <c r="N235"/>
      <c r="O235"/>
      <c r="P235"/>
      <c r="Q235"/>
      <c r="R235"/>
      <c r="S235"/>
      <c r="T235"/>
      <c r="U235"/>
      <c r="V235"/>
      <c r="W235"/>
      <c r="X235"/>
      <c r="Y235"/>
      <c r="Z235"/>
      <c r="AA235"/>
      <c r="AB235"/>
      <c r="AC235"/>
      <c r="AD235"/>
      <c r="AE235"/>
      <c r="AF235"/>
    </row>
    <row r="236" spans="11:32" ht="14.1" customHeight="1" x14ac:dyDescent="0.2">
      <c r="K236" s="125"/>
      <c r="L236" s="153"/>
      <c r="M236"/>
      <c r="N236"/>
      <c r="O236"/>
      <c r="P236"/>
      <c r="Q236"/>
      <c r="R236"/>
      <c r="S236"/>
      <c r="T236"/>
      <c r="U236"/>
      <c r="V236"/>
      <c r="W236"/>
      <c r="X236"/>
      <c r="Y236"/>
      <c r="Z236"/>
      <c r="AA236"/>
      <c r="AB236"/>
      <c r="AC236"/>
      <c r="AD236"/>
      <c r="AE236"/>
      <c r="AF236"/>
    </row>
    <row r="237" spans="11:32" ht="14.1" customHeight="1" x14ac:dyDescent="0.2">
      <c r="K237" s="125"/>
      <c r="L237" s="153"/>
      <c r="M237"/>
      <c r="N237"/>
      <c r="O237"/>
      <c r="P237"/>
      <c r="Q237"/>
      <c r="R237"/>
      <c r="S237"/>
      <c r="T237"/>
      <c r="U237"/>
      <c r="V237"/>
      <c r="W237"/>
      <c r="X237"/>
      <c r="Y237"/>
      <c r="Z237"/>
      <c r="AA237"/>
      <c r="AB237"/>
      <c r="AC237"/>
      <c r="AD237"/>
      <c r="AE237"/>
      <c r="AF237"/>
    </row>
    <row r="238" spans="11:32" ht="14.1" customHeight="1" x14ac:dyDescent="0.2">
      <c r="K238" s="125"/>
      <c r="L238" s="153"/>
      <c r="M238"/>
      <c r="N238"/>
      <c r="O238"/>
      <c r="P238"/>
      <c r="Q238"/>
      <c r="R238"/>
      <c r="S238"/>
      <c r="T238"/>
      <c r="U238"/>
      <c r="V238"/>
      <c r="W238"/>
      <c r="X238"/>
      <c r="Y238"/>
      <c r="Z238"/>
      <c r="AA238"/>
      <c r="AB238"/>
      <c r="AC238"/>
      <c r="AD238"/>
      <c r="AE238"/>
      <c r="AF238"/>
    </row>
    <row r="239" spans="11:32" ht="14.1" customHeight="1" x14ac:dyDescent="0.2">
      <c r="K239" s="125"/>
      <c r="L239" s="153"/>
      <c r="M239"/>
      <c r="N239"/>
      <c r="O239"/>
      <c r="P239"/>
      <c r="Q239"/>
      <c r="R239"/>
      <c r="S239"/>
      <c r="T239"/>
      <c r="U239"/>
      <c r="V239"/>
      <c r="W239"/>
      <c r="X239"/>
      <c r="Y239"/>
      <c r="Z239"/>
      <c r="AA239"/>
      <c r="AB239"/>
      <c r="AC239"/>
      <c r="AD239"/>
      <c r="AE239"/>
      <c r="AF239"/>
    </row>
    <row r="240" spans="11:32" ht="14.1" customHeight="1" x14ac:dyDescent="0.2">
      <c r="K240" s="125"/>
      <c r="L240" s="153"/>
      <c r="M240"/>
      <c r="N240"/>
      <c r="O240"/>
      <c r="P240"/>
      <c r="Q240"/>
      <c r="R240"/>
      <c r="S240"/>
      <c r="T240"/>
      <c r="U240"/>
      <c r="V240"/>
      <c r="W240"/>
      <c r="X240"/>
      <c r="Y240"/>
      <c r="Z240"/>
      <c r="AA240"/>
      <c r="AB240"/>
      <c r="AC240"/>
      <c r="AD240"/>
      <c r="AE240"/>
      <c r="AF240"/>
    </row>
    <row r="241" spans="11:32" ht="14.1" customHeight="1" x14ac:dyDescent="0.2">
      <c r="K241" s="125"/>
      <c r="L241" s="153"/>
      <c r="M241"/>
      <c r="N241"/>
      <c r="O241"/>
      <c r="P241"/>
      <c r="Q241"/>
      <c r="R241"/>
      <c r="S241"/>
      <c r="T241"/>
      <c r="U241"/>
      <c r="V241"/>
      <c r="W241"/>
      <c r="X241"/>
      <c r="Y241"/>
      <c r="Z241"/>
      <c r="AA241"/>
      <c r="AB241"/>
      <c r="AC241"/>
      <c r="AD241"/>
      <c r="AE241"/>
      <c r="AF241"/>
    </row>
    <row r="242" spans="11:32" ht="14.1" customHeight="1" x14ac:dyDescent="0.2">
      <c r="K242" s="125"/>
      <c r="L242" s="153"/>
      <c r="M242"/>
      <c r="N242"/>
      <c r="O242"/>
      <c r="P242"/>
      <c r="Q242"/>
      <c r="R242"/>
      <c r="S242"/>
      <c r="T242"/>
      <c r="U242"/>
      <c r="V242"/>
      <c r="W242"/>
      <c r="X242"/>
      <c r="Y242"/>
      <c r="Z242"/>
      <c r="AA242"/>
      <c r="AB242"/>
      <c r="AC242"/>
      <c r="AD242"/>
      <c r="AE242"/>
      <c r="AF242"/>
    </row>
    <row r="243" spans="11:32" ht="14.1" customHeight="1" x14ac:dyDescent="0.2">
      <c r="K243" s="125"/>
      <c r="L243" s="153"/>
      <c r="M243"/>
      <c r="N243"/>
      <c r="O243"/>
      <c r="P243"/>
      <c r="Q243"/>
      <c r="R243"/>
      <c r="S243"/>
      <c r="T243"/>
      <c r="U243"/>
      <c r="V243"/>
      <c r="W243"/>
      <c r="X243"/>
      <c r="Y243"/>
      <c r="Z243"/>
      <c r="AA243"/>
      <c r="AB243"/>
      <c r="AC243"/>
      <c r="AD243"/>
      <c r="AE243"/>
      <c r="AF243"/>
    </row>
    <row r="244" spans="11:32" ht="14.1" customHeight="1" x14ac:dyDescent="0.2">
      <c r="K244" s="125"/>
      <c r="L244" s="153"/>
      <c r="M244"/>
      <c r="N244"/>
      <c r="O244"/>
      <c r="P244"/>
      <c r="Q244"/>
      <c r="R244"/>
      <c r="S244"/>
      <c r="T244"/>
      <c r="U244"/>
      <c r="V244"/>
      <c r="W244"/>
      <c r="X244"/>
      <c r="Y244"/>
      <c r="Z244"/>
      <c r="AA244"/>
      <c r="AB244"/>
      <c r="AC244"/>
      <c r="AD244"/>
      <c r="AE244"/>
      <c r="AF244"/>
    </row>
    <row r="245" spans="11:32" ht="14.1" customHeight="1" x14ac:dyDescent="0.2">
      <c r="K245" s="125"/>
      <c r="L245" s="153"/>
      <c r="M245"/>
      <c r="N245"/>
      <c r="O245"/>
      <c r="P245"/>
      <c r="Q245"/>
      <c r="R245"/>
      <c r="S245"/>
      <c r="T245"/>
      <c r="U245"/>
      <c r="V245"/>
      <c r="W245"/>
      <c r="X245"/>
      <c r="Y245"/>
      <c r="Z245"/>
      <c r="AA245"/>
      <c r="AB245"/>
      <c r="AC245"/>
      <c r="AD245"/>
      <c r="AE245"/>
      <c r="AF245"/>
    </row>
    <row r="246" spans="11:32" ht="14.1" customHeight="1" x14ac:dyDescent="0.2">
      <c r="K246" s="125"/>
      <c r="L246" s="153"/>
      <c r="M246"/>
      <c r="N246"/>
      <c r="O246"/>
      <c r="P246"/>
      <c r="Q246"/>
      <c r="R246"/>
      <c r="S246"/>
      <c r="T246"/>
      <c r="U246"/>
      <c r="V246"/>
      <c r="W246"/>
      <c r="X246"/>
      <c r="Y246"/>
      <c r="Z246"/>
      <c r="AA246"/>
      <c r="AB246"/>
      <c r="AC246"/>
      <c r="AD246"/>
      <c r="AE246"/>
      <c r="AF246"/>
    </row>
    <row r="247" spans="11:32" ht="14.1" customHeight="1" x14ac:dyDescent="0.2">
      <c r="K247" s="125"/>
      <c r="L247" s="153"/>
      <c r="M247"/>
      <c r="N247"/>
      <c r="O247"/>
      <c r="P247"/>
      <c r="Q247"/>
      <c r="R247"/>
      <c r="S247"/>
      <c r="T247"/>
      <c r="U247"/>
      <c r="V247"/>
      <c r="W247"/>
      <c r="X247"/>
      <c r="Y247"/>
      <c r="Z247"/>
      <c r="AA247"/>
      <c r="AB247"/>
      <c r="AC247"/>
      <c r="AD247"/>
      <c r="AE247"/>
      <c r="AF247"/>
    </row>
    <row r="248" spans="11:32" ht="14.1" customHeight="1" x14ac:dyDescent="0.2">
      <c r="K248" s="125"/>
      <c r="L248" s="153"/>
      <c r="M248"/>
      <c r="N248"/>
      <c r="O248"/>
      <c r="P248"/>
      <c r="Q248"/>
      <c r="R248"/>
      <c r="S248"/>
      <c r="T248"/>
      <c r="U248"/>
      <c r="V248"/>
      <c r="W248"/>
      <c r="X248"/>
      <c r="Y248"/>
      <c r="Z248"/>
      <c r="AA248"/>
      <c r="AB248"/>
      <c r="AC248"/>
      <c r="AD248"/>
      <c r="AE248"/>
      <c r="AF248"/>
    </row>
    <row r="249" spans="11:32" ht="14.1" customHeight="1" x14ac:dyDescent="0.2">
      <c r="K249" s="125"/>
      <c r="L249" s="153"/>
      <c r="M249"/>
      <c r="N249"/>
      <c r="O249"/>
      <c r="P249"/>
      <c r="Q249"/>
      <c r="R249"/>
      <c r="S249"/>
      <c r="T249"/>
      <c r="U249"/>
      <c r="V249"/>
      <c r="W249"/>
      <c r="X249"/>
      <c r="Y249"/>
      <c r="Z249"/>
      <c r="AA249"/>
      <c r="AB249"/>
      <c r="AC249"/>
      <c r="AD249"/>
      <c r="AE249"/>
      <c r="AF249"/>
    </row>
    <row r="250" spans="11:32" ht="14.1" customHeight="1" x14ac:dyDescent="0.2">
      <c r="K250" s="125"/>
      <c r="L250" s="153"/>
      <c r="M250"/>
      <c r="N250"/>
      <c r="O250"/>
      <c r="P250"/>
      <c r="Q250"/>
      <c r="R250"/>
      <c r="S250"/>
      <c r="T250"/>
      <c r="U250"/>
      <c r="V250"/>
      <c r="W250"/>
      <c r="X250"/>
      <c r="Y250"/>
      <c r="Z250"/>
      <c r="AA250"/>
      <c r="AB250"/>
      <c r="AC250"/>
      <c r="AD250"/>
      <c r="AE250"/>
      <c r="AF250"/>
    </row>
    <row r="251" spans="11:32" ht="14.1" customHeight="1" x14ac:dyDescent="0.2">
      <c r="K251" s="125"/>
      <c r="L251" s="153"/>
      <c r="M251"/>
      <c r="N251"/>
      <c r="O251"/>
      <c r="P251"/>
      <c r="Q251"/>
      <c r="R251"/>
      <c r="S251"/>
      <c r="T251"/>
      <c r="U251"/>
      <c r="V251"/>
      <c r="W251"/>
      <c r="X251"/>
      <c r="Y251"/>
      <c r="Z251"/>
      <c r="AA251"/>
      <c r="AB251"/>
      <c r="AC251"/>
      <c r="AD251"/>
      <c r="AE251"/>
      <c r="AF251"/>
    </row>
    <row r="252" spans="11:32" ht="14.1" customHeight="1" x14ac:dyDescent="0.2">
      <c r="K252" s="125"/>
      <c r="L252" s="153"/>
      <c r="M252"/>
      <c r="N252"/>
      <c r="O252"/>
      <c r="P252"/>
      <c r="Q252"/>
      <c r="R252"/>
      <c r="S252"/>
      <c r="T252"/>
      <c r="U252"/>
      <c r="V252"/>
      <c r="W252"/>
      <c r="X252"/>
      <c r="Y252"/>
      <c r="Z252"/>
      <c r="AA252"/>
      <c r="AB252"/>
      <c r="AC252"/>
      <c r="AD252"/>
      <c r="AE252"/>
      <c r="AF252"/>
    </row>
    <row r="253" spans="11:32" ht="14.1" customHeight="1" x14ac:dyDescent="0.2">
      <c r="K253" s="125"/>
      <c r="L253" s="153"/>
      <c r="M253"/>
      <c r="N253"/>
      <c r="O253"/>
      <c r="P253"/>
      <c r="Q253"/>
      <c r="R253"/>
      <c r="S253"/>
      <c r="T253"/>
      <c r="U253"/>
      <c r="V253"/>
      <c r="W253"/>
      <c r="X253"/>
      <c r="Y253"/>
      <c r="Z253"/>
      <c r="AA253"/>
      <c r="AB253"/>
      <c r="AC253"/>
      <c r="AD253"/>
      <c r="AE253"/>
      <c r="AF253"/>
    </row>
    <row r="254" spans="11:32" ht="14.1" customHeight="1" x14ac:dyDescent="0.2">
      <c r="K254" s="125"/>
      <c r="L254" s="153"/>
      <c r="M254"/>
      <c r="N254"/>
      <c r="O254"/>
      <c r="P254"/>
      <c r="Q254"/>
      <c r="R254"/>
      <c r="S254"/>
      <c r="T254"/>
      <c r="U254"/>
      <c r="V254"/>
      <c r="W254"/>
      <c r="X254"/>
      <c r="Y254"/>
      <c r="Z254"/>
      <c r="AA254"/>
      <c r="AB254"/>
      <c r="AC254"/>
      <c r="AD254"/>
      <c r="AE254"/>
      <c r="AF254"/>
    </row>
    <row r="255" spans="11:32" ht="14.1" customHeight="1" x14ac:dyDescent="0.2">
      <c r="K255" s="125"/>
      <c r="L255" s="153"/>
      <c r="M255"/>
      <c r="N255"/>
      <c r="O255"/>
      <c r="P255"/>
      <c r="Q255"/>
      <c r="R255"/>
      <c r="S255"/>
      <c r="T255"/>
      <c r="U255"/>
      <c r="V255"/>
      <c r="W255"/>
      <c r="X255"/>
      <c r="Y255"/>
      <c r="Z255"/>
      <c r="AA255"/>
      <c r="AB255"/>
      <c r="AC255"/>
      <c r="AD255"/>
      <c r="AE255"/>
      <c r="AF255"/>
    </row>
    <row r="256" spans="11:32" ht="14.1" customHeight="1" x14ac:dyDescent="0.2">
      <c r="K256" s="125"/>
      <c r="L256" s="153"/>
      <c r="M256"/>
      <c r="N256"/>
      <c r="O256"/>
      <c r="P256"/>
      <c r="Q256"/>
      <c r="R256"/>
      <c r="S256"/>
      <c r="T256"/>
      <c r="U256"/>
      <c r="V256"/>
      <c r="W256"/>
      <c r="X256"/>
      <c r="Y256"/>
      <c r="Z256"/>
      <c r="AA256"/>
      <c r="AB256"/>
      <c r="AC256"/>
      <c r="AD256"/>
      <c r="AE256"/>
      <c r="AF256"/>
    </row>
    <row r="257" spans="11:32" ht="14.1" customHeight="1" x14ac:dyDescent="0.2">
      <c r="K257" s="125"/>
      <c r="L257" s="153"/>
      <c r="M257"/>
      <c r="N257"/>
      <c r="O257"/>
      <c r="P257"/>
      <c r="Q257"/>
      <c r="R257"/>
      <c r="S257"/>
      <c r="T257"/>
      <c r="U257"/>
      <c r="V257"/>
      <c r="W257"/>
      <c r="X257"/>
      <c r="Y257"/>
      <c r="Z257"/>
      <c r="AA257"/>
      <c r="AB257"/>
      <c r="AC257"/>
      <c r="AD257"/>
      <c r="AE257"/>
      <c r="AF257"/>
    </row>
    <row r="258" spans="11:32" ht="14.1" customHeight="1" x14ac:dyDescent="0.2">
      <c r="K258" s="125"/>
      <c r="L258" s="153"/>
      <c r="M258"/>
      <c r="N258"/>
      <c r="O258"/>
      <c r="P258"/>
      <c r="Q258"/>
      <c r="R258"/>
      <c r="S258"/>
      <c r="T258"/>
      <c r="U258"/>
      <c r="V258"/>
      <c r="W258"/>
      <c r="X258"/>
      <c r="Y258"/>
      <c r="Z258"/>
      <c r="AA258"/>
      <c r="AB258"/>
      <c r="AC258"/>
      <c r="AD258"/>
      <c r="AE258"/>
      <c r="AF258"/>
    </row>
    <row r="259" spans="11:32" ht="14.1" customHeight="1" x14ac:dyDescent="0.2">
      <c r="K259" s="125"/>
      <c r="L259" s="153"/>
      <c r="M259"/>
      <c r="N259"/>
      <c r="O259"/>
      <c r="P259"/>
      <c r="Q259"/>
      <c r="R259"/>
      <c r="S259"/>
      <c r="T259"/>
      <c r="U259"/>
      <c r="V259"/>
      <c r="W259"/>
      <c r="X259"/>
      <c r="Y259"/>
      <c r="Z259"/>
      <c r="AA259"/>
      <c r="AB259"/>
      <c r="AC259"/>
      <c r="AD259"/>
      <c r="AE259"/>
      <c r="AF259"/>
    </row>
    <row r="260" spans="11:32" ht="14.1" customHeight="1" x14ac:dyDescent="0.2">
      <c r="K260" s="125"/>
      <c r="L260" s="153"/>
      <c r="M260"/>
      <c r="N260"/>
      <c r="O260"/>
      <c r="P260"/>
      <c r="Q260"/>
      <c r="R260"/>
      <c r="S260"/>
      <c r="T260"/>
      <c r="U260"/>
      <c r="V260"/>
      <c r="W260"/>
      <c r="X260"/>
      <c r="Y260"/>
      <c r="Z260"/>
      <c r="AA260"/>
      <c r="AB260"/>
      <c r="AC260"/>
      <c r="AD260"/>
      <c r="AE260"/>
      <c r="AF260"/>
    </row>
    <row r="261" spans="11:32" ht="14.1" customHeight="1" x14ac:dyDescent="0.2">
      <c r="K261" s="125"/>
      <c r="L261" s="153"/>
      <c r="M261"/>
      <c r="N261"/>
      <c r="O261"/>
      <c r="P261"/>
      <c r="Q261"/>
      <c r="R261"/>
      <c r="S261"/>
      <c r="T261"/>
      <c r="U261"/>
      <c r="V261"/>
      <c r="W261"/>
      <c r="X261"/>
      <c r="Y261"/>
      <c r="Z261"/>
      <c r="AA261"/>
      <c r="AB261"/>
      <c r="AC261"/>
      <c r="AD261"/>
      <c r="AE261"/>
      <c r="AF261"/>
    </row>
    <row r="262" spans="11:32" ht="14.1" customHeight="1" x14ac:dyDescent="0.2">
      <c r="K262" s="125"/>
      <c r="L262" s="153"/>
      <c r="M262"/>
      <c r="N262"/>
      <c r="O262"/>
      <c r="P262"/>
      <c r="Q262"/>
      <c r="R262"/>
      <c r="S262"/>
      <c r="T262"/>
      <c r="U262"/>
      <c r="V262"/>
      <c r="W262"/>
      <c r="X262"/>
      <c r="Y262"/>
      <c r="Z262"/>
      <c r="AA262"/>
      <c r="AB262"/>
      <c r="AC262"/>
      <c r="AD262"/>
      <c r="AE262"/>
      <c r="AF262"/>
    </row>
    <row r="263" spans="11:32" ht="14.1" customHeight="1" x14ac:dyDescent="0.2">
      <c r="K263" s="125"/>
      <c r="L263" s="153"/>
      <c r="M263"/>
      <c r="N263"/>
      <c r="O263"/>
      <c r="P263"/>
      <c r="Q263"/>
      <c r="R263"/>
      <c r="S263"/>
      <c r="T263"/>
      <c r="U263"/>
      <c r="V263"/>
      <c r="W263"/>
      <c r="X263"/>
      <c r="Y263"/>
      <c r="Z263"/>
      <c r="AA263"/>
      <c r="AB263"/>
      <c r="AC263"/>
      <c r="AD263"/>
      <c r="AE263"/>
      <c r="AF263"/>
    </row>
    <row r="264" spans="11:32" ht="14.1" customHeight="1" x14ac:dyDescent="0.2">
      <c r="K264" s="125"/>
      <c r="L264" s="153"/>
      <c r="M264"/>
      <c r="N264"/>
      <c r="O264"/>
      <c r="P264"/>
      <c r="Q264"/>
      <c r="R264"/>
      <c r="S264"/>
      <c r="T264"/>
      <c r="U264"/>
      <c r="V264"/>
      <c r="W264"/>
      <c r="X264"/>
      <c r="Y264"/>
      <c r="Z264"/>
      <c r="AA264"/>
      <c r="AB264"/>
      <c r="AC264"/>
      <c r="AD264"/>
      <c r="AE264"/>
      <c r="AF264"/>
    </row>
    <row r="265" spans="11:32" ht="14.1" customHeight="1" x14ac:dyDescent="0.2">
      <c r="K265" s="125"/>
      <c r="L265" s="153"/>
      <c r="M265"/>
      <c r="N265"/>
      <c r="O265"/>
      <c r="P265"/>
      <c r="Q265"/>
      <c r="R265"/>
      <c r="S265"/>
      <c r="T265"/>
      <c r="U265"/>
      <c r="V265"/>
      <c r="W265"/>
      <c r="X265"/>
      <c r="Y265"/>
      <c r="Z265"/>
      <c r="AA265"/>
      <c r="AB265"/>
      <c r="AC265"/>
      <c r="AD265"/>
      <c r="AE265"/>
      <c r="AF265"/>
    </row>
    <row r="266" spans="11:32" ht="14.1" customHeight="1" x14ac:dyDescent="0.2">
      <c r="K266" s="125"/>
      <c r="L266" s="153"/>
      <c r="M266"/>
      <c r="N266"/>
      <c r="O266"/>
      <c r="P266"/>
      <c r="Q266"/>
      <c r="R266"/>
      <c r="S266"/>
      <c r="T266"/>
      <c r="U266"/>
      <c r="V266"/>
      <c r="W266"/>
      <c r="X266"/>
      <c r="Y266"/>
      <c r="Z266"/>
      <c r="AA266"/>
      <c r="AB266"/>
      <c r="AC266"/>
      <c r="AD266"/>
      <c r="AE266"/>
      <c r="AF266"/>
    </row>
    <row r="267" spans="11:32" ht="14.1" customHeight="1" x14ac:dyDescent="0.2">
      <c r="K267" s="125"/>
      <c r="L267" s="153"/>
      <c r="M267"/>
      <c r="N267"/>
      <c r="O267"/>
      <c r="P267"/>
      <c r="Q267"/>
      <c r="R267"/>
      <c r="S267"/>
      <c r="T267"/>
      <c r="U267"/>
      <c r="V267"/>
      <c r="W267"/>
      <c r="X267"/>
      <c r="Y267"/>
      <c r="Z267"/>
      <c r="AA267"/>
      <c r="AB267"/>
      <c r="AC267"/>
      <c r="AD267"/>
      <c r="AE267"/>
      <c r="AF267"/>
    </row>
    <row r="268" spans="11:32" ht="14.1" customHeight="1" x14ac:dyDescent="0.2">
      <c r="K268" s="125"/>
      <c r="L268" s="153"/>
      <c r="M268"/>
      <c r="N268"/>
      <c r="O268"/>
      <c r="P268"/>
      <c r="Q268"/>
      <c r="R268"/>
      <c r="S268"/>
      <c r="T268"/>
      <c r="U268"/>
      <c r="V268"/>
      <c r="W268"/>
      <c r="X268"/>
      <c r="Y268"/>
      <c r="Z268"/>
      <c r="AA268"/>
      <c r="AB268"/>
      <c r="AC268"/>
      <c r="AD268"/>
      <c r="AE268"/>
      <c r="AF268"/>
    </row>
    <row r="269" spans="11:32" ht="14.1" customHeight="1" x14ac:dyDescent="0.2">
      <c r="K269" s="125"/>
      <c r="L269" s="153"/>
      <c r="M269"/>
      <c r="N269"/>
      <c r="O269"/>
      <c r="P269"/>
      <c r="Q269"/>
      <c r="R269"/>
      <c r="S269"/>
      <c r="T269"/>
      <c r="U269"/>
      <c r="V269"/>
      <c r="W269"/>
      <c r="X269"/>
      <c r="Y269"/>
      <c r="Z269"/>
      <c r="AA269"/>
      <c r="AB269"/>
      <c r="AC269"/>
      <c r="AD269"/>
      <c r="AE269"/>
      <c r="AF269"/>
    </row>
    <row r="270" spans="11:32" ht="14.1" customHeight="1" x14ac:dyDescent="0.2">
      <c r="K270" s="125"/>
      <c r="L270" s="153"/>
      <c r="M270"/>
      <c r="N270"/>
      <c r="O270"/>
      <c r="P270"/>
      <c r="Q270"/>
      <c r="R270"/>
      <c r="S270"/>
      <c r="T270"/>
      <c r="U270"/>
      <c r="V270"/>
      <c r="W270"/>
      <c r="X270"/>
      <c r="Y270"/>
      <c r="Z270"/>
      <c r="AA270"/>
      <c r="AB270"/>
      <c r="AC270"/>
      <c r="AD270"/>
      <c r="AE270"/>
      <c r="AF270"/>
    </row>
    <row r="271" spans="11:32" ht="14.1" customHeight="1" x14ac:dyDescent="0.2">
      <c r="K271" s="125"/>
      <c r="L271" s="153"/>
      <c r="M271"/>
      <c r="N271"/>
      <c r="O271"/>
      <c r="P271"/>
      <c r="Q271"/>
      <c r="R271"/>
      <c r="S271"/>
      <c r="T271"/>
      <c r="U271"/>
      <c r="V271"/>
      <c r="W271"/>
      <c r="X271"/>
      <c r="Y271"/>
      <c r="Z271"/>
      <c r="AA271"/>
      <c r="AB271"/>
      <c r="AC271"/>
      <c r="AD271"/>
      <c r="AE271"/>
      <c r="AF271"/>
    </row>
    <row r="272" spans="11:32" ht="14.1" customHeight="1" x14ac:dyDescent="0.2">
      <c r="K272" s="125"/>
      <c r="L272" s="153"/>
      <c r="M272"/>
      <c r="N272"/>
      <c r="O272"/>
      <c r="P272"/>
      <c r="Q272"/>
      <c r="R272"/>
      <c r="S272"/>
      <c r="T272"/>
      <c r="U272"/>
      <c r="V272"/>
      <c r="W272"/>
      <c r="X272"/>
      <c r="Y272"/>
      <c r="Z272"/>
      <c r="AA272"/>
      <c r="AB272"/>
      <c r="AC272"/>
      <c r="AD272"/>
      <c r="AE272"/>
      <c r="AF272"/>
    </row>
    <row r="273" spans="11:32" ht="14.1" customHeight="1" x14ac:dyDescent="0.2">
      <c r="K273" s="125"/>
      <c r="L273" s="153"/>
      <c r="M273"/>
      <c r="N273"/>
      <c r="O273"/>
      <c r="P273"/>
      <c r="Q273"/>
      <c r="R273"/>
      <c r="S273"/>
      <c r="T273"/>
      <c r="U273"/>
      <c r="V273"/>
      <c r="W273"/>
      <c r="X273"/>
      <c r="Y273"/>
      <c r="Z273"/>
      <c r="AA273"/>
      <c r="AB273"/>
      <c r="AC273"/>
      <c r="AD273"/>
      <c r="AE273"/>
      <c r="AF273"/>
    </row>
    <row r="274" spans="11:32" ht="14.1" customHeight="1" x14ac:dyDescent="0.2">
      <c r="K274" s="125"/>
      <c r="L274" s="153"/>
      <c r="M274"/>
      <c r="N274"/>
      <c r="O274"/>
      <c r="P274"/>
      <c r="Q274"/>
      <c r="R274"/>
      <c r="S274"/>
      <c r="T274"/>
      <c r="U274"/>
      <c r="V274"/>
      <c r="W274"/>
      <c r="X274"/>
      <c r="Y274"/>
      <c r="Z274"/>
      <c r="AA274"/>
      <c r="AB274"/>
      <c r="AC274"/>
      <c r="AD274"/>
      <c r="AE274"/>
      <c r="AF274"/>
    </row>
    <row r="275" spans="11:32" ht="14.1" customHeight="1" x14ac:dyDescent="0.2">
      <c r="K275" s="125"/>
      <c r="L275" s="153"/>
      <c r="M275"/>
      <c r="N275"/>
      <c r="O275"/>
      <c r="P275"/>
      <c r="Q275"/>
      <c r="R275"/>
      <c r="S275"/>
      <c r="T275"/>
      <c r="U275"/>
      <c r="V275"/>
      <c r="W275"/>
      <c r="X275"/>
      <c r="Y275"/>
      <c r="Z275"/>
      <c r="AA275"/>
      <c r="AB275"/>
      <c r="AC275"/>
      <c r="AD275"/>
      <c r="AE275"/>
      <c r="AF275"/>
    </row>
    <row r="276" spans="11:32" ht="14.1" customHeight="1" x14ac:dyDescent="0.2">
      <c r="K276" s="125"/>
      <c r="L276" s="153"/>
      <c r="M276"/>
      <c r="N276"/>
      <c r="O276"/>
      <c r="P276"/>
      <c r="Q276"/>
      <c r="R276"/>
      <c r="S276"/>
      <c r="T276"/>
      <c r="U276"/>
      <c r="V276"/>
      <c r="W276"/>
      <c r="X276"/>
      <c r="Y276"/>
      <c r="Z276"/>
      <c r="AA276"/>
      <c r="AB276"/>
      <c r="AC276"/>
      <c r="AD276"/>
      <c r="AE276"/>
      <c r="AF276"/>
    </row>
    <row r="277" spans="11:32" ht="14.1" customHeight="1" x14ac:dyDescent="0.2">
      <c r="K277" s="125"/>
      <c r="L277" s="153"/>
      <c r="M277"/>
      <c r="N277"/>
      <c r="O277"/>
      <c r="P277"/>
      <c r="Q277"/>
      <c r="R277"/>
      <c r="S277"/>
      <c r="T277"/>
      <c r="U277"/>
      <c r="V277"/>
      <c r="W277"/>
      <c r="X277"/>
      <c r="Y277"/>
      <c r="Z277"/>
      <c r="AA277"/>
      <c r="AB277"/>
      <c r="AC277"/>
      <c r="AD277"/>
      <c r="AE277"/>
      <c r="AF277"/>
    </row>
    <row r="278" spans="11:32" ht="14.1" customHeight="1" x14ac:dyDescent="0.2">
      <c r="K278" s="125"/>
      <c r="L278" s="153"/>
      <c r="M278"/>
      <c r="N278"/>
      <c r="O278"/>
      <c r="P278"/>
      <c r="Q278"/>
      <c r="R278"/>
      <c r="S278"/>
      <c r="T278"/>
      <c r="U278"/>
      <c r="V278"/>
      <c r="W278"/>
      <c r="X278"/>
      <c r="Y278"/>
      <c r="Z278"/>
      <c r="AA278"/>
      <c r="AB278"/>
      <c r="AC278"/>
      <c r="AD278"/>
      <c r="AE278"/>
      <c r="AF278"/>
    </row>
    <row r="279" spans="11:32" ht="14.1" customHeight="1" x14ac:dyDescent="0.2">
      <c r="K279" s="125"/>
      <c r="L279" s="153"/>
      <c r="M279"/>
      <c r="N279"/>
      <c r="O279"/>
      <c r="P279"/>
      <c r="Q279"/>
      <c r="R279"/>
      <c r="S279"/>
      <c r="T279"/>
      <c r="U279"/>
      <c r="V279"/>
      <c r="W279"/>
      <c r="X279"/>
      <c r="Y279"/>
      <c r="Z279"/>
      <c r="AA279"/>
      <c r="AB279"/>
      <c r="AC279"/>
      <c r="AD279"/>
      <c r="AE279"/>
      <c r="AF279"/>
    </row>
    <row r="280" spans="11:32" ht="14.1" customHeight="1" x14ac:dyDescent="0.2">
      <c r="K280" s="125"/>
      <c r="L280" s="153"/>
      <c r="M280"/>
      <c r="N280"/>
      <c r="O280"/>
      <c r="P280"/>
      <c r="Q280"/>
      <c r="R280"/>
      <c r="S280"/>
      <c r="T280"/>
      <c r="U280"/>
      <c r="V280"/>
      <c r="W280"/>
      <c r="X280"/>
      <c r="Y280"/>
      <c r="Z280"/>
      <c r="AA280"/>
      <c r="AB280"/>
      <c r="AC280"/>
      <c r="AD280"/>
      <c r="AE280"/>
      <c r="AF280"/>
    </row>
    <row r="281" spans="11:32" ht="14.1" customHeight="1" x14ac:dyDescent="0.2">
      <c r="K281" s="125"/>
      <c r="L281" s="153"/>
      <c r="M281"/>
      <c r="N281"/>
      <c r="O281"/>
      <c r="P281"/>
      <c r="Q281"/>
      <c r="R281"/>
      <c r="S281"/>
      <c r="T281"/>
      <c r="U281"/>
      <c r="V281"/>
      <c r="W281"/>
      <c r="X281"/>
      <c r="Y281"/>
      <c r="Z281"/>
      <c r="AA281"/>
      <c r="AB281"/>
      <c r="AC281"/>
      <c r="AD281"/>
      <c r="AE281"/>
      <c r="AF281"/>
    </row>
    <row r="282" spans="11:32" ht="14.1" customHeight="1" x14ac:dyDescent="0.2">
      <c r="K282" s="125"/>
      <c r="L282" s="153"/>
      <c r="M282"/>
      <c r="N282"/>
      <c r="O282"/>
      <c r="P282"/>
      <c r="Q282"/>
      <c r="R282"/>
      <c r="S282"/>
      <c r="T282"/>
      <c r="U282"/>
      <c r="V282"/>
      <c r="W282"/>
      <c r="X282"/>
      <c r="Y282"/>
      <c r="Z282"/>
      <c r="AA282"/>
      <c r="AB282"/>
      <c r="AC282"/>
      <c r="AD282"/>
      <c r="AE282"/>
      <c r="AF282"/>
    </row>
    <row r="283" spans="11:32" ht="14.1" customHeight="1" x14ac:dyDescent="0.2">
      <c r="K283" s="125"/>
      <c r="L283" s="153"/>
      <c r="M283"/>
      <c r="N283"/>
      <c r="O283"/>
      <c r="P283"/>
      <c r="Q283"/>
      <c r="R283"/>
      <c r="S283"/>
      <c r="T283"/>
      <c r="U283"/>
      <c r="V283"/>
      <c r="W283"/>
      <c r="X283"/>
      <c r="Y283"/>
      <c r="Z283"/>
      <c r="AA283"/>
      <c r="AB283"/>
      <c r="AC283"/>
      <c r="AD283"/>
      <c r="AE283"/>
      <c r="AF283"/>
    </row>
    <row r="284" spans="11:32" ht="14.1" customHeight="1" x14ac:dyDescent="0.2">
      <c r="K284" s="125"/>
      <c r="L284" s="153"/>
      <c r="M284"/>
      <c r="N284"/>
      <c r="O284"/>
      <c r="P284"/>
      <c r="Q284"/>
      <c r="R284"/>
      <c r="S284"/>
      <c r="T284"/>
      <c r="U284"/>
      <c r="V284"/>
      <c r="W284"/>
      <c r="X284"/>
      <c r="Y284"/>
      <c r="Z284"/>
      <c r="AA284"/>
      <c r="AB284"/>
      <c r="AC284"/>
      <c r="AD284"/>
      <c r="AE284"/>
      <c r="AF284"/>
    </row>
    <row r="285" spans="11:32" ht="14.1" customHeight="1" x14ac:dyDescent="0.2">
      <c r="K285" s="125"/>
      <c r="L285" s="153"/>
      <c r="M285"/>
      <c r="N285"/>
      <c r="O285"/>
      <c r="P285"/>
      <c r="Q285"/>
      <c r="R285"/>
      <c r="S285"/>
      <c r="T285"/>
      <c r="U285"/>
      <c r="V285"/>
      <c r="W285"/>
      <c r="X285"/>
      <c r="Y285"/>
      <c r="Z285"/>
      <c r="AA285"/>
      <c r="AB285"/>
      <c r="AC285"/>
      <c r="AD285"/>
      <c r="AE285"/>
      <c r="AF285"/>
    </row>
    <row r="286" spans="11:32" ht="14.1" customHeight="1" x14ac:dyDescent="0.2">
      <c r="K286" s="125"/>
      <c r="L286" s="153"/>
      <c r="M286"/>
      <c r="N286"/>
      <c r="O286"/>
      <c r="P286"/>
      <c r="Q286"/>
      <c r="R286"/>
      <c r="S286"/>
      <c r="T286"/>
      <c r="U286"/>
      <c r="V286"/>
      <c r="W286"/>
      <c r="X286"/>
      <c r="Y286"/>
      <c r="Z286"/>
      <c r="AA286"/>
      <c r="AB286"/>
      <c r="AC286"/>
      <c r="AD286"/>
      <c r="AE286"/>
      <c r="AF286"/>
    </row>
    <row r="287" spans="11:32" ht="14.1" customHeight="1" x14ac:dyDescent="0.2">
      <c r="K287" s="125"/>
      <c r="L287" s="153"/>
      <c r="M287"/>
      <c r="N287"/>
      <c r="O287"/>
      <c r="P287"/>
      <c r="Q287"/>
      <c r="R287"/>
      <c r="S287"/>
      <c r="T287"/>
      <c r="U287"/>
      <c r="V287"/>
      <c r="W287"/>
      <c r="X287"/>
      <c r="Y287"/>
      <c r="Z287"/>
      <c r="AA287"/>
      <c r="AB287"/>
      <c r="AC287"/>
      <c r="AD287"/>
      <c r="AE287"/>
      <c r="AF287"/>
    </row>
    <row r="288" spans="11:32" ht="14.1" customHeight="1" x14ac:dyDescent="0.2">
      <c r="K288" s="125"/>
      <c r="L288" s="153"/>
      <c r="M288"/>
      <c r="N288"/>
      <c r="O288"/>
      <c r="P288"/>
      <c r="Q288"/>
      <c r="R288"/>
      <c r="S288"/>
      <c r="T288"/>
      <c r="U288"/>
      <c r="V288"/>
      <c r="W288"/>
      <c r="X288"/>
      <c r="Y288"/>
      <c r="Z288"/>
      <c r="AA288"/>
      <c r="AB288"/>
      <c r="AC288"/>
      <c r="AD288"/>
      <c r="AE288"/>
      <c r="AF288"/>
    </row>
    <row r="289" spans="11:32" ht="14.1" customHeight="1" x14ac:dyDescent="0.2">
      <c r="K289" s="125"/>
      <c r="L289" s="153"/>
      <c r="M289"/>
      <c r="N289"/>
      <c r="O289"/>
      <c r="P289"/>
      <c r="Q289"/>
      <c r="R289"/>
      <c r="S289"/>
      <c r="T289"/>
      <c r="U289"/>
      <c r="V289"/>
      <c r="W289"/>
      <c r="X289"/>
      <c r="Y289"/>
      <c r="Z289"/>
      <c r="AA289"/>
      <c r="AB289"/>
      <c r="AC289"/>
      <c r="AD289"/>
      <c r="AE289"/>
      <c r="AF289"/>
    </row>
    <row r="290" spans="11:32" ht="14.1" customHeight="1" x14ac:dyDescent="0.2">
      <c r="K290" s="125"/>
      <c r="L290" s="153"/>
      <c r="M290"/>
      <c r="N290"/>
      <c r="O290"/>
      <c r="P290"/>
      <c r="Q290"/>
      <c r="R290"/>
      <c r="S290"/>
      <c r="T290"/>
      <c r="U290"/>
      <c r="V290"/>
      <c r="W290"/>
      <c r="X290"/>
      <c r="Y290"/>
      <c r="Z290"/>
      <c r="AA290"/>
      <c r="AB290"/>
      <c r="AC290"/>
      <c r="AD290"/>
      <c r="AE290"/>
      <c r="AF290"/>
    </row>
    <row r="291" spans="11:32" ht="14.1" customHeight="1" x14ac:dyDescent="0.2">
      <c r="K291" s="125"/>
      <c r="L291" s="153"/>
      <c r="M291"/>
      <c r="N291"/>
      <c r="O291"/>
      <c r="P291"/>
      <c r="Q291"/>
      <c r="R291"/>
      <c r="S291"/>
      <c r="T291"/>
      <c r="U291"/>
      <c r="V291"/>
      <c r="W291"/>
      <c r="X291"/>
      <c r="Y291"/>
      <c r="Z291"/>
      <c r="AA291"/>
      <c r="AB291"/>
      <c r="AC291"/>
      <c r="AD291"/>
      <c r="AE291"/>
      <c r="AF291"/>
    </row>
    <row r="292" spans="11:32" ht="14.1" customHeight="1" x14ac:dyDescent="0.2">
      <c r="K292" s="125"/>
      <c r="L292" s="153"/>
      <c r="M292"/>
      <c r="N292"/>
      <c r="O292"/>
      <c r="P292"/>
      <c r="Q292"/>
      <c r="R292"/>
      <c r="S292"/>
      <c r="T292"/>
      <c r="U292"/>
      <c r="V292"/>
      <c r="W292"/>
      <c r="X292"/>
      <c r="Y292"/>
      <c r="Z292"/>
      <c r="AA292"/>
      <c r="AB292"/>
      <c r="AC292"/>
      <c r="AD292"/>
      <c r="AE292"/>
      <c r="AF292"/>
    </row>
    <row r="293" spans="11:32" ht="14.1" customHeight="1" x14ac:dyDescent="0.2">
      <c r="K293" s="125"/>
      <c r="L293" s="153"/>
      <c r="M293"/>
      <c r="N293"/>
      <c r="O293"/>
      <c r="P293"/>
      <c r="Q293"/>
      <c r="R293"/>
      <c r="S293"/>
      <c r="T293"/>
      <c r="U293"/>
      <c r="V293"/>
      <c r="W293"/>
      <c r="X293"/>
      <c r="Y293"/>
      <c r="Z293"/>
      <c r="AA293"/>
      <c r="AB293"/>
      <c r="AC293"/>
      <c r="AD293"/>
      <c r="AE293"/>
      <c r="AF293"/>
    </row>
    <row r="294" spans="11:32" ht="14.1" customHeight="1" x14ac:dyDescent="0.2">
      <c r="K294" s="125"/>
      <c r="L294" s="153"/>
      <c r="M294"/>
      <c r="N294"/>
      <c r="O294"/>
      <c r="P294"/>
      <c r="Q294"/>
      <c r="R294"/>
      <c r="S294"/>
      <c r="T294"/>
      <c r="U294"/>
      <c r="V294"/>
      <c r="W294"/>
      <c r="X294"/>
      <c r="Y294"/>
      <c r="Z294"/>
      <c r="AA294"/>
      <c r="AB294"/>
      <c r="AC294"/>
      <c r="AD294"/>
      <c r="AE294"/>
      <c r="AF294"/>
    </row>
    <row r="295" spans="11:32" ht="14.1" customHeight="1" x14ac:dyDescent="0.2">
      <c r="K295" s="125"/>
      <c r="L295" s="153"/>
      <c r="M295"/>
      <c r="N295"/>
      <c r="O295"/>
      <c r="P295"/>
      <c r="Q295"/>
      <c r="R295"/>
      <c r="S295"/>
      <c r="T295"/>
      <c r="U295"/>
      <c r="V295"/>
      <c r="W295"/>
      <c r="X295"/>
      <c r="Y295"/>
      <c r="Z295"/>
      <c r="AA295"/>
      <c r="AB295"/>
      <c r="AC295"/>
      <c r="AD295"/>
      <c r="AE295"/>
      <c r="AF295"/>
    </row>
    <row r="296" spans="11:32" ht="14.1" customHeight="1" x14ac:dyDescent="0.2">
      <c r="K296" s="125"/>
      <c r="L296" s="153"/>
      <c r="M296"/>
      <c r="N296"/>
      <c r="O296"/>
      <c r="P296"/>
      <c r="Q296"/>
      <c r="R296"/>
      <c r="S296"/>
      <c r="T296"/>
      <c r="U296"/>
      <c r="V296"/>
      <c r="W296"/>
      <c r="X296"/>
      <c r="Y296"/>
      <c r="Z296"/>
      <c r="AA296"/>
      <c r="AB296"/>
      <c r="AC296"/>
      <c r="AD296"/>
      <c r="AE296"/>
      <c r="AF296"/>
    </row>
    <row r="297" spans="11:32" ht="14.1" customHeight="1" x14ac:dyDescent="0.2">
      <c r="K297" s="125"/>
      <c r="L297" s="153"/>
      <c r="M297"/>
      <c r="N297"/>
      <c r="O297"/>
      <c r="P297"/>
      <c r="Q297"/>
      <c r="R297"/>
      <c r="S297"/>
      <c r="T297"/>
      <c r="U297"/>
      <c r="V297"/>
      <c r="W297"/>
      <c r="X297"/>
      <c r="Y297"/>
      <c r="Z297"/>
      <c r="AA297"/>
      <c r="AB297"/>
      <c r="AC297"/>
      <c r="AD297"/>
      <c r="AE297"/>
      <c r="AF297"/>
    </row>
    <row r="298" spans="11:32" ht="14.1" customHeight="1" x14ac:dyDescent="0.2">
      <c r="K298" s="125"/>
      <c r="L298" s="153"/>
      <c r="M298"/>
      <c r="N298"/>
      <c r="O298"/>
      <c r="P298"/>
      <c r="Q298"/>
      <c r="R298"/>
      <c r="S298"/>
      <c r="T298"/>
      <c r="U298"/>
      <c r="V298"/>
      <c r="W298"/>
      <c r="X298"/>
      <c r="Y298"/>
      <c r="Z298"/>
      <c r="AA298"/>
      <c r="AB298"/>
      <c r="AC298"/>
      <c r="AD298"/>
      <c r="AE298"/>
      <c r="AF298"/>
    </row>
    <row r="299" spans="11:32" ht="14.1" customHeight="1" x14ac:dyDescent="0.2">
      <c r="K299" s="125"/>
      <c r="L299" s="153"/>
      <c r="M299"/>
      <c r="N299"/>
      <c r="O299"/>
      <c r="P299"/>
      <c r="Q299"/>
      <c r="R299"/>
      <c r="S299"/>
      <c r="T299"/>
      <c r="U299"/>
      <c r="V299"/>
      <c r="W299"/>
      <c r="X299"/>
      <c r="Y299"/>
      <c r="Z299"/>
      <c r="AA299"/>
      <c r="AB299"/>
      <c r="AC299"/>
      <c r="AD299"/>
      <c r="AE299"/>
      <c r="AF299"/>
    </row>
    <row r="300" spans="11:32" ht="14.1" customHeight="1" x14ac:dyDescent="0.2">
      <c r="K300" s="125"/>
      <c r="L300" s="153"/>
      <c r="M300"/>
      <c r="N300"/>
      <c r="O300"/>
      <c r="P300"/>
      <c r="Q300"/>
      <c r="R300"/>
      <c r="S300"/>
      <c r="T300"/>
      <c r="U300"/>
      <c r="V300"/>
      <c r="W300"/>
      <c r="X300"/>
      <c r="Y300"/>
      <c r="Z300"/>
      <c r="AA300"/>
      <c r="AB300"/>
      <c r="AC300"/>
      <c r="AD300"/>
      <c r="AE300"/>
      <c r="AF300"/>
    </row>
    <row r="301" spans="11:32" ht="14.1" customHeight="1" x14ac:dyDescent="0.2">
      <c r="K301" s="125"/>
      <c r="L301" s="153"/>
      <c r="M301"/>
      <c r="N301"/>
      <c r="O301"/>
      <c r="P301"/>
      <c r="Q301"/>
      <c r="R301"/>
      <c r="S301"/>
      <c r="T301"/>
      <c r="U301"/>
      <c r="V301"/>
      <c r="W301"/>
      <c r="X301"/>
      <c r="Y301"/>
      <c r="Z301"/>
      <c r="AA301"/>
      <c r="AB301"/>
      <c r="AC301"/>
      <c r="AD301"/>
      <c r="AE301"/>
      <c r="AF301"/>
    </row>
    <row r="302" spans="11:32" ht="14.1" customHeight="1" x14ac:dyDescent="0.2">
      <c r="K302" s="125"/>
      <c r="L302" s="153"/>
      <c r="M302"/>
      <c r="N302"/>
      <c r="O302"/>
      <c r="P302"/>
      <c r="Q302"/>
      <c r="R302"/>
      <c r="S302"/>
      <c r="T302"/>
      <c r="U302"/>
      <c r="V302"/>
      <c r="W302"/>
      <c r="X302"/>
      <c r="Y302"/>
      <c r="Z302"/>
      <c r="AA302"/>
      <c r="AB302"/>
      <c r="AC302"/>
      <c r="AD302"/>
      <c r="AE302"/>
      <c r="AF302"/>
    </row>
    <row r="303" spans="11:32" ht="14.1" customHeight="1" x14ac:dyDescent="0.2">
      <c r="K303" s="125"/>
      <c r="L303" s="153"/>
      <c r="M303"/>
      <c r="N303"/>
      <c r="O303"/>
      <c r="P303"/>
      <c r="Q303"/>
      <c r="R303"/>
      <c r="S303"/>
      <c r="T303"/>
      <c r="U303"/>
      <c r="V303"/>
      <c r="W303"/>
      <c r="X303"/>
      <c r="Y303"/>
      <c r="Z303"/>
      <c r="AA303"/>
      <c r="AB303"/>
      <c r="AC303"/>
      <c r="AD303"/>
      <c r="AE303"/>
      <c r="AF303"/>
    </row>
    <row r="304" spans="11:32" ht="14.1" customHeight="1" x14ac:dyDescent="0.2">
      <c r="K304" s="125"/>
      <c r="L304" s="153"/>
      <c r="M304"/>
      <c r="N304"/>
      <c r="O304"/>
      <c r="P304"/>
      <c r="Q304"/>
      <c r="R304"/>
      <c r="S304"/>
      <c r="T304"/>
      <c r="U304"/>
      <c r="V304"/>
      <c r="W304"/>
      <c r="X304"/>
      <c r="Y304"/>
      <c r="Z304"/>
      <c r="AA304"/>
      <c r="AB304"/>
      <c r="AC304"/>
      <c r="AD304"/>
      <c r="AE304"/>
      <c r="AF304"/>
    </row>
    <row r="305" spans="11:32" ht="14.1" customHeight="1" x14ac:dyDescent="0.2">
      <c r="K305" s="125"/>
      <c r="L305" s="153"/>
      <c r="M305"/>
      <c r="N305"/>
      <c r="O305"/>
      <c r="P305"/>
      <c r="Q305"/>
      <c r="R305"/>
      <c r="S305"/>
      <c r="T305"/>
      <c r="U305"/>
      <c r="V305"/>
      <c r="W305"/>
      <c r="X305"/>
      <c r="Y305"/>
      <c r="Z305"/>
      <c r="AA305"/>
      <c r="AB305"/>
      <c r="AC305"/>
      <c r="AD305"/>
      <c r="AE305"/>
      <c r="AF305"/>
    </row>
    <row r="306" spans="11:32" ht="14.1" customHeight="1" x14ac:dyDescent="0.2">
      <c r="K306" s="125"/>
      <c r="L306" s="153"/>
      <c r="M306"/>
      <c r="N306"/>
      <c r="O306"/>
      <c r="P306"/>
      <c r="Q306"/>
      <c r="R306"/>
      <c r="S306"/>
      <c r="T306"/>
      <c r="U306"/>
      <c r="V306"/>
      <c r="W306"/>
      <c r="X306"/>
      <c r="Y306"/>
      <c r="Z306"/>
      <c r="AA306"/>
      <c r="AB306"/>
      <c r="AC306"/>
      <c r="AD306"/>
      <c r="AE306"/>
      <c r="AF306"/>
    </row>
    <row r="307" spans="11:32" ht="14.1" customHeight="1" x14ac:dyDescent="0.2">
      <c r="K307" s="125"/>
      <c r="L307" s="153"/>
      <c r="M307"/>
      <c r="N307"/>
      <c r="O307"/>
      <c r="P307"/>
      <c r="Q307"/>
      <c r="R307"/>
      <c r="S307"/>
      <c r="T307"/>
      <c r="U307"/>
      <c r="V307"/>
      <c r="W307"/>
      <c r="X307"/>
      <c r="Y307"/>
      <c r="Z307"/>
      <c r="AA307"/>
      <c r="AB307"/>
      <c r="AC307"/>
      <c r="AD307"/>
      <c r="AE307"/>
      <c r="AF307"/>
    </row>
    <row r="308" spans="11:32" ht="14.1" customHeight="1" x14ac:dyDescent="0.2">
      <c r="K308" s="125"/>
      <c r="L308" s="153"/>
      <c r="M308"/>
      <c r="N308"/>
      <c r="O308"/>
      <c r="P308"/>
      <c r="Q308"/>
      <c r="R308"/>
      <c r="S308"/>
      <c r="T308"/>
      <c r="U308"/>
      <c r="V308"/>
      <c r="W308"/>
      <c r="X308"/>
      <c r="Y308"/>
      <c r="Z308"/>
      <c r="AA308"/>
      <c r="AB308"/>
      <c r="AC308"/>
      <c r="AD308"/>
      <c r="AE308"/>
      <c r="AF308"/>
    </row>
    <row r="309" spans="11:32" ht="14.1" customHeight="1" x14ac:dyDescent="0.2">
      <c r="K309" s="125"/>
      <c r="L309" s="153"/>
      <c r="M309"/>
      <c r="N309"/>
      <c r="O309"/>
      <c r="P309"/>
      <c r="Q309"/>
      <c r="R309"/>
      <c r="S309"/>
      <c r="T309"/>
      <c r="U309"/>
      <c r="V309"/>
      <c r="W309"/>
      <c r="X309"/>
      <c r="Y309"/>
      <c r="Z309"/>
      <c r="AA309"/>
      <c r="AB309"/>
      <c r="AC309"/>
      <c r="AD309"/>
      <c r="AE309"/>
      <c r="AF309"/>
    </row>
    <row r="310" spans="11:32" ht="14.1" customHeight="1" x14ac:dyDescent="0.2">
      <c r="K310" s="125"/>
      <c r="L310" s="153"/>
      <c r="M310"/>
      <c r="N310"/>
      <c r="O310"/>
      <c r="P310"/>
      <c r="Q310"/>
      <c r="R310"/>
      <c r="S310"/>
      <c r="T310"/>
      <c r="U310"/>
      <c r="V310"/>
      <c r="W310"/>
      <c r="X310"/>
      <c r="Y310"/>
      <c r="Z310"/>
      <c r="AA310"/>
      <c r="AB310"/>
      <c r="AC310"/>
      <c r="AD310"/>
      <c r="AE310"/>
      <c r="AF310"/>
    </row>
    <row r="311" spans="11:32" ht="14.1" customHeight="1" x14ac:dyDescent="0.2">
      <c r="K311" s="125"/>
      <c r="L311" s="153"/>
      <c r="M311"/>
      <c r="N311"/>
      <c r="O311"/>
      <c r="P311"/>
      <c r="Q311"/>
      <c r="R311"/>
      <c r="S311"/>
      <c r="T311"/>
      <c r="U311"/>
      <c r="V311"/>
      <c r="W311"/>
      <c r="X311"/>
      <c r="Y311"/>
      <c r="Z311"/>
      <c r="AA311"/>
      <c r="AB311"/>
      <c r="AC311"/>
      <c r="AD311"/>
      <c r="AE311"/>
      <c r="AF311"/>
    </row>
    <row r="312" spans="11:32" ht="14.1" customHeight="1" x14ac:dyDescent="0.2">
      <c r="K312" s="125"/>
      <c r="L312" s="153"/>
      <c r="M312"/>
      <c r="N312"/>
      <c r="O312"/>
      <c r="P312"/>
      <c r="Q312"/>
      <c r="R312"/>
      <c r="S312"/>
      <c r="T312"/>
      <c r="U312"/>
      <c r="V312"/>
      <c r="W312"/>
      <c r="X312"/>
      <c r="Y312"/>
      <c r="Z312"/>
      <c r="AA312"/>
      <c r="AB312"/>
      <c r="AC312"/>
      <c r="AD312"/>
      <c r="AE312"/>
      <c r="AF312"/>
    </row>
    <row r="313" spans="11:32" ht="14.1" customHeight="1" x14ac:dyDescent="0.2">
      <c r="K313" s="125"/>
      <c r="L313" s="153"/>
      <c r="M313"/>
      <c r="N313"/>
      <c r="O313"/>
      <c r="P313"/>
      <c r="Q313"/>
      <c r="R313"/>
      <c r="S313"/>
      <c r="T313"/>
      <c r="U313"/>
      <c r="V313"/>
      <c r="W313"/>
      <c r="X313"/>
      <c r="Y313"/>
      <c r="Z313"/>
      <c r="AA313"/>
      <c r="AB313"/>
      <c r="AC313"/>
      <c r="AD313"/>
      <c r="AE313"/>
      <c r="AF313"/>
    </row>
    <row r="314" spans="11:32" ht="14.1" customHeight="1" x14ac:dyDescent="0.2">
      <c r="K314" s="125"/>
      <c r="L314" s="153"/>
      <c r="M314"/>
      <c r="N314"/>
      <c r="O314"/>
      <c r="P314"/>
      <c r="Q314"/>
      <c r="R314"/>
      <c r="S314"/>
      <c r="T314"/>
      <c r="U314"/>
      <c r="V314"/>
      <c r="W314"/>
      <c r="X314"/>
      <c r="Y314"/>
      <c r="Z314"/>
      <c r="AA314"/>
      <c r="AB314"/>
      <c r="AC314"/>
      <c r="AD314"/>
      <c r="AE314"/>
      <c r="AF314"/>
    </row>
    <row r="315" spans="11:32" ht="14.1" customHeight="1" x14ac:dyDescent="0.2">
      <c r="K315" s="125"/>
      <c r="L315" s="153"/>
      <c r="M315"/>
      <c r="N315"/>
      <c r="O315"/>
      <c r="P315"/>
      <c r="Q315"/>
      <c r="R315"/>
      <c r="S315"/>
      <c r="T315"/>
      <c r="U315"/>
      <c r="V315"/>
      <c r="W315"/>
      <c r="X315"/>
      <c r="Y315"/>
      <c r="Z315"/>
      <c r="AA315"/>
      <c r="AB315"/>
      <c r="AC315"/>
      <c r="AD315"/>
      <c r="AE315"/>
      <c r="AF315"/>
    </row>
    <row r="316" spans="11:32" ht="14.1" customHeight="1" x14ac:dyDescent="0.2">
      <c r="K316" s="125"/>
      <c r="L316" s="153"/>
      <c r="M316"/>
      <c r="N316"/>
      <c r="O316"/>
      <c r="P316"/>
      <c r="Q316"/>
      <c r="R316"/>
      <c r="S316"/>
      <c r="T316"/>
      <c r="U316"/>
      <c r="V316"/>
      <c r="W316"/>
      <c r="X316"/>
      <c r="Y316"/>
      <c r="Z316"/>
      <c r="AA316"/>
      <c r="AB316"/>
      <c r="AC316"/>
      <c r="AD316"/>
      <c r="AE316"/>
      <c r="AF316"/>
    </row>
    <row r="317" spans="11:32" ht="14.1" customHeight="1" x14ac:dyDescent="0.2">
      <c r="K317" s="125"/>
      <c r="L317" s="153"/>
      <c r="M317"/>
      <c r="N317"/>
      <c r="O317"/>
      <c r="P317"/>
      <c r="Q317"/>
      <c r="R317"/>
      <c r="S317"/>
      <c r="T317"/>
      <c r="U317"/>
      <c r="V317"/>
      <c r="W317"/>
      <c r="X317"/>
      <c r="Y317"/>
      <c r="Z317"/>
      <c r="AA317"/>
      <c r="AB317"/>
      <c r="AC317"/>
      <c r="AD317"/>
      <c r="AE317"/>
      <c r="AF317"/>
    </row>
    <row r="318" spans="11:32" ht="14.1" customHeight="1" x14ac:dyDescent="0.2">
      <c r="K318" s="125"/>
      <c r="L318" s="153"/>
      <c r="M318"/>
      <c r="N318"/>
      <c r="O318"/>
      <c r="P318"/>
      <c r="Q318"/>
      <c r="R318"/>
      <c r="S318"/>
      <c r="T318"/>
      <c r="U318"/>
      <c r="V318"/>
      <c r="W318"/>
      <c r="X318"/>
      <c r="Y318"/>
      <c r="Z318"/>
      <c r="AA318"/>
      <c r="AB318"/>
      <c r="AC318"/>
      <c r="AD318"/>
      <c r="AE318"/>
      <c r="AF318"/>
    </row>
    <row r="319" spans="11:32" ht="14.1" customHeight="1" x14ac:dyDescent="0.2">
      <c r="K319" s="125"/>
      <c r="L319" s="153"/>
      <c r="M319"/>
      <c r="N319"/>
      <c r="O319"/>
      <c r="P319"/>
      <c r="Q319"/>
      <c r="R319"/>
      <c r="S319"/>
      <c r="T319"/>
      <c r="U319"/>
      <c r="V319"/>
      <c r="W319"/>
      <c r="X319"/>
      <c r="Y319"/>
      <c r="Z319"/>
      <c r="AA319"/>
      <c r="AB319"/>
      <c r="AC319"/>
      <c r="AD319"/>
      <c r="AE319"/>
      <c r="AF319"/>
    </row>
    <row r="320" spans="11:32" ht="14.1" customHeight="1" x14ac:dyDescent="0.2">
      <c r="K320" s="125"/>
      <c r="L320" s="153"/>
      <c r="M320"/>
      <c r="N320"/>
      <c r="O320"/>
      <c r="P320"/>
      <c r="Q320"/>
      <c r="R320"/>
      <c r="S320"/>
      <c r="T320"/>
      <c r="U320"/>
      <c r="V320"/>
      <c r="W320"/>
      <c r="X320"/>
      <c r="Y320"/>
      <c r="Z320"/>
      <c r="AA320"/>
      <c r="AB320"/>
      <c r="AC320"/>
      <c r="AD320"/>
      <c r="AE320"/>
      <c r="AF320"/>
    </row>
    <row r="321" spans="11:32" ht="14.1" customHeight="1" x14ac:dyDescent="0.2">
      <c r="K321" s="125"/>
      <c r="L321" s="153"/>
      <c r="M321"/>
      <c r="N321"/>
      <c r="O321"/>
      <c r="P321"/>
      <c r="Q321"/>
      <c r="R321"/>
      <c r="S321"/>
      <c r="T321"/>
      <c r="U321"/>
      <c r="V321"/>
      <c r="W321"/>
      <c r="X321"/>
      <c r="Y321"/>
      <c r="Z321"/>
      <c r="AA321"/>
      <c r="AB321"/>
      <c r="AC321"/>
      <c r="AD321"/>
      <c r="AE321"/>
      <c r="AF321"/>
    </row>
    <row r="322" spans="11:32" ht="14.1" customHeight="1" x14ac:dyDescent="0.2">
      <c r="K322" s="125"/>
      <c r="L322" s="153"/>
      <c r="M322"/>
      <c r="N322"/>
      <c r="O322"/>
      <c r="P322"/>
      <c r="Q322"/>
      <c r="R322"/>
      <c r="S322"/>
      <c r="T322"/>
      <c r="U322"/>
      <c r="V322"/>
      <c r="W322"/>
      <c r="X322"/>
      <c r="Y322"/>
      <c r="Z322"/>
      <c r="AA322"/>
      <c r="AB322"/>
      <c r="AC322"/>
      <c r="AD322"/>
      <c r="AE322"/>
      <c r="AF322"/>
    </row>
    <row r="323" spans="11:32" ht="14.1" customHeight="1" x14ac:dyDescent="0.2">
      <c r="K323" s="125"/>
      <c r="L323" s="153"/>
      <c r="M323"/>
      <c r="N323"/>
      <c r="O323"/>
      <c r="P323"/>
      <c r="Q323"/>
      <c r="R323"/>
      <c r="S323"/>
      <c r="T323"/>
      <c r="U323"/>
      <c r="V323"/>
      <c r="W323"/>
      <c r="X323"/>
      <c r="Y323"/>
      <c r="Z323"/>
      <c r="AA323"/>
      <c r="AB323"/>
      <c r="AC323"/>
      <c r="AD323"/>
      <c r="AE323"/>
      <c r="AF323"/>
    </row>
    <row r="324" spans="11:32" ht="14.1" customHeight="1" x14ac:dyDescent="0.2">
      <c r="K324" s="125"/>
      <c r="L324" s="153"/>
      <c r="M324"/>
      <c r="N324"/>
      <c r="O324"/>
      <c r="P324"/>
      <c r="Q324"/>
      <c r="R324"/>
      <c r="S324"/>
      <c r="T324"/>
      <c r="U324"/>
      <c r="V324"/>
      <c r="W324"/>
      <c r="X324"/>
      <c r="Y324"/>
      <c r="Z324"/>
      <c r="AA324"/>
      <c r="AB324"/>
      <c r="AC324"/>
      <c r="AD324"/>
      <c r="AE324"/>
      <c r="AF324"/>
    </row>
    <row r="325" spans="11:32" ht="14.1" customHeight="1" x14ac:dyDescent="0.2">
      <c r="K325" s="125"/>
      <c r="L325" s="153"/>
      <c r="M325"/>
      <c r="N325"/>
      <c r="O325"/>
      <c r="P325"/>
      <c r="Q325"/>
      <c r="R325"/>
      <c r="S325"/>
      <c r="T325"/>
      <c r="U325"/>
      <c r="V325"/>
      <c r="W325"/>
      <c r="X325"/>
      <c r="Y325"/>
      <c r="Z325"/>
      <c r="AA325"/>
      <c r="AB325"/>
      <c r="AC325"/>
      <c r="AD325"/>
      <c r="AE325"/>
      <c r="AF325"/>
    </row>
    <row r="326" spans="11:32" ht="14.1" customHeight="1" x14ac:dyDescent="0.2">
      <c r="K326" s="125"/>
      <c r="L326" s="153"/>
      <c r="M326"/>
      <c r="N326"/>
      <c r="O326"/>
      <c r="P326"/>
      <c r="Q326"/>
      <c r="R326"/>
      <c r="S326"/>
      <c r="T326"/>
      <c r="U326"/>
      <c r="V326"/>
      <c r="W326"/>
      <c r="X326"/>
      <c r="Y326"/>
      <c r="Z326"/>
      <c r="AA326"/>
      <c r="AB326"/>
      <c r="AC326"/>
      <c r="AD326"/>
      <c r="AE326"/>
      <c r="AF326"/>
    </row>
    <row r="327" spans="11:32" ht="14.1" customHeight="1" x14ac:dyDescent="0.2">
      <c r="K327" s="125"/>
      <c r="L327" s="153"/>
      <c r="M327"/>
      <c r="N327"/>
      <c r="O327"/>
      <c r="P327"/>
      <c r="Q327"/>
      <c r="R327"/>
      <c r="S327"/>
      <c r="T327"/>
      <c r="U327"/>
      <c r="V327"/>
      <c r="W327"/>
      <c r="X327"/>
      <c r="Y327"/>
      <c r="Z327"/>
      <c r="AA327"/>
      <c r="AB327"/>
      <c r="AC327"/>
      <c r="AD327"/>
      <c r="AE327"/>
      <c r="AF327"/>
    </row>
    <row r="328" spans="11:32" ht="14.1" customHeight="1" x14ac:dyDescent="0.2">
      <c r="K328" s="125"/>
      <c r="L328" s="153"/>
      <c r="M328"/>
      <c r="N328"/>
      <c r="O328"/>
      <c r="P328"/>
      <c r="Q328"/>
      <c r="R328"/>
      <c r="S328"/>
      <c r="T328"/>
      <c r="U328"/>
      <c r="V328"/>
      <c r="W328"/>
      <c r="X328"/>
      <c r="Y328"/>
      <c r="Z328"/>
      <c r="AA328"/>
      <c r="AB328"/>
      <c r="AC328"/>
      <c r="AD328"/>
      <c r="AE328"/>
      <c r="AF328"/>
    </row>
    <row r="329" spans="11:32" ht="14.1" customHeight="1" x14ac:dyDescent="0.2">
      <c r="K329" s="125"/>
      <c r="L329" s="153"/>
      <c r="M329"/>
      <c r="N329"/>
      <c r="O329"/>
      <c r="P329"/>
      <c r="Q329"/>
      <c r="R329"/>
      <c r="S329"/>
      <c r="T329"/>
      <c r="U329"/>
      <c r="V329"/>
      <c r="W329"/>
      <c r="X329"/>
      <c r="Y329"/>
      <c r="Z329"/>
      <c r="AA329"/>
      <c r="AB329"/>
      <c r="AC329"/>
      <c r="AD329"/>
      <c r="AE329"/>
      <c r="AF329"/>
    </row>
    <row r="330" spans="11:32" ht="14.1" customHeight="1" x14ac:dyDescent="0.2">
      <c r="K330" s="125"/>
      <c r="L330" s="153"/>
      <c r="M330"/>
      <c r="N330"/>
      <c r="O330"/>
      <c r="P330"/>
      <c r="Q330"/>
      <c r="R330"/>
      <c r="S330"/>
      <c r="T330"/>
      <c r="U330"/>
      <c r="V330"/>
      <c r="W330"/>
      <c r="X330"/>
      <c r="Y330"/>
      <c r="Z330"/>
      <c r="AA330"/>
      <c r="AB330"/>
      <c r="AC330"/>
      <c r="AD330"/>
      <c r="AE330"/>
      <c r="AF330"/>
    </row>
    <row r="331" spans="11:32" ht="14.1" customHeight="1" x14ac:dyDescent="0.2">
      <c r="K331" s="125"/>
      <c r="L331" s="153"/>
      <c r="M331"/>
      <c r="N331"/>
      <c r="O331"/>
      <c r="P331"/>
      <c r="Q331"/>
      <c r="R331"/>
      <c r="S331"/>
      <c r="T331"/>
      <c r="U331"/>
      <c r="V331"/>
      <c r="W331"/>
      <c r="X331"/>
      <c r="Y331"/>
      <c r="Z331"/>
      <c r="AA331"/>
      <c r="AB331"/>
      <c r="AC331"/>
      <c r="AD331"/>
      <c r="AE331"/>
      <c r="AF331"/>
    </row>
    <row r="332" spans="11:32" ht="14.1" customHeight="1" x14ac:dyDescent="0.2">
      <c r="K332" s="125"/>
      <c r="L332" s="153"/>
      <c r="M332"/>
      <c r="N332"/>
      <c r="O332"/>
      <c r="P332"/>
      <c r="Q332"/>
      <c r="R332"/>
      <c r="S332"/>
      <c r="T332"/>
      <c r="U332"/>
      <c r="V332"/>
      <c r="W332"/>
      <c r="X332"/>
      <c r="Y332"/>
      <c r="Z332"/>
      <c r="AA332"/>
      <c r="AB332"/>
      <c r="AC332"/>
      <c r="AD332"/>
      <c r="AE332"/>
      <c r="AF332"/>
    </row>
    <row r="333" spans="11:32" ht="14.1" customHeight="1" x14ac:dyDescent="0.2">
      <c r="K333" s="125"/>
      <c r="L333" s="153"/>
      <c r="M333"/>
      <c r="N333"/>
      <c r="O333"/>
      <c r="P333"/>
      <c r="Q333"/>
      <c r="R333"/>
      <c r="S333"/>
      <c r="T333"/>
      <c r="U333"/>
      <c r="V333"/>
      <c r="W333"/>
      <c r="X333"/>
      <c r="Y333"/>
      <c r="Z333"/>
      <c r="AA333"/>
      <c r="AB333"/>
      <c r="AC333"/>
      <c r="AD333"/>
      <c r="AE333"/>
      <c r="AF333"/>
    </row>
    <row r="334" spans="11:32" ht="14.1" customHeight="1" x14ac:dyDescent="0.2">
      <c r="K334" s="125"/>
      <c r="L334" s="153"/>
      <c r="M334"/>
      <c r="N334"/>
      <c r="O334"/>
      <c r="P334"/>
      <c r="Q334"/>
      <c r="R334"/>
      <c r="S334"/>
      <c r="T334"/>
      <c r="U334"/>
      <c r="V334"/>
      <c r="W334"/>
      <c r="X334"/>
      <c r="Y334"/>
      <c r="Z334"/>
      <c r="AA334"/>
      <c r="AB334"/>
      <c r="AC334"/>
      <c r="AD334"/>
      <c r="AE334"/>
      <c r="AF334"/>
    </row>
    <row r="335" spans="11:32" ht="14.1" customHeight="1" x14ac:dyDescent="0.2">
      <c r="K335" s="125"/>
      <c r="L335" s="153"/>
      <c r="M335"/>
      <c r="N335"/>
      <c r="O335"/>
      <c r="P335"/>
      <c r="Q335"/>
      <c r="R335"/>
      <c r="S335"/>
      <c r="T335"/>
      <c r="U335"/>
      <c r="V335"/>
      <c r="W335"/>
      <c r="X335"/>
      <c r="Y335"/>
      <c r="Z335"/>
      <c r="AA335"/>
      <c r="AB335"/>
      <c r="AC335"/>
      <c r="AD335"/>
      <c r="AE335"/>
      <c r="AF335"/>
    </row>
    <row r="336" spans="11:32" ht="14.1" customHeight="1" x14ac:dyDescent="0.2">
      <c r="K336" s="125"/>
      <c r="L336" s="153"/>
      <c r="M336"/>
      <c r="N336"/>
      <c r="O336"/>
      <c r="P336"/>
      <c r="Q336"/>
      <c r="R336"/>
      <c r="S336"/>
      <c r="T336"/>
      <c r="U336"/>
      <c r="V336"/>
      <c r="W336"/>
      <c r="X336"/>
      <c r="Y336"/>
      <c r="Z336"/>
      <c r="AA336"/>
      <c r="AB336"/>
      <c r="AC336"/>
      <c r="AD336"/>
      <c r="AE336"/>
      <c r="AF336"/>
    </row>
    <row r="337" spans="11:32" ht="14.1" customHeight="1" x14ac:dyDescent="0.2">
      <c r="K337" s="125"/>
      <c r="L337" s="153"/>
      <c r="M337"/>
      <c r="N337"/>
      <c r="O337"/>
      <c r="P337"/>
      <c r="Q337"/>
      <c r="R337"/>
      <c r="S337"/>
      <c r="T337"/>
      <c r="U337"/>
      <c r="V337"/>
      <c r="W337"/>
      <c r="X337"/>
      <c r="Y337"/>
      <c r="Z337"/>
      <c r="AA337"/>
      <c r="AB337"/>
      <c r="AC337"/>
      <c r="AD337"/>
      <c r="AE337"/>
      <c r="AF337"/>
    </row>
    <row r="338" spans="11:32" ht="14.1" customHeight="1" x14ac:dyDescent="0.2">
      <c r="K338" s="125"/>
      <c r="L338" s="153"/>
      <c r="M338"/>
      <c r="N338"/>
      <c r="O338"/>
      <c r="P338"/>
      <c r="Q338"/>
      <c r="R338"/>
      <c r="S338"/>
      <c r="T338"/>
      <c r="U338"/>
      <c r="V338"/>
      <c r="W338"/>
      <c r="X338"/>
      <c r="Y338"/>
      <c r="Z338"/>
      <c r="AA338"/>
      <c r="AB338"/>
      <c r="AC338"/>
      <c r="AD338"/>
      <c r="AE338"/>
      <c r="AF338"/>
    </row>
    <row r="339" spans="11:32" ht="14.1" customHeight="1" x14ac:dyDescent="0.2">
      <c r="K339" s="125"/>
      <c r="L339" s="153"/>
      <c r="M339"/>
      <c r="N339"/>
      <c r="O339"/>
      <c r="P339"/>
      <c r="Q339"/>
      <c r="R339"/>
      <c r="S339"/>
      <c r="T339"/>
      <c r="U339"/>
      <c r="V339"/>
      <c r="W339"/>
      <c r="X339"/>
      <c r="Y339"/>
      <c r="Z339"/>
      <c r="AA339"/>
      <c r="AB339"/>
      <c r="AC339"/>
      <c r="AD339"/>
      <c r="AE339"/>
      <c r="AF339"/>
    </row>
    <row r="340" spans="11:32" ht="14.1" customHeight="1" x14ac:dyDescent="0.2">
      <c r="K340" s="125"/>
      <c r="L340" s="153"/>
      <c r="M340"/>
      <c r="N340"/>
      <c r="O340"/>
      <c r="P340"/>
      <c r="Q340"/>
      <c r="R340"/>
      <c r="S340"/>
      <c r="T340"/>
      <c r="U340"/>
      <c r="V340"/>
      <c r="W340"/>
      <c r="X340"/>
      <c r="Y340"/>
      <c r="Z340"/>
      <c r="AA340"/>
      <c r="AB340"/>
      <c r="AC340"/>
      <c r="AD340"/>
      <c r="AE340"/>
      <c r="AF340"/>
    </row>
    <row r="341" spans="11:32" ht="14.1" customHeight="1" x14ac:dyDescent="0.2">
      <c r="K341" s="125"/>
      <c r="L341" s="153"/>
      <c r="M341"/>
      <c r="N341"/>
      <c r="O341"/>
      <c r="P341"/>
      <c r="Q341"/>
      <c r="R341"/>
      <c r="S341"/>
      <c r="T341"/>
      <c r="U341"/>
      <c r="V341"/>
      <c r="W341"/>
      <c r="X341"/>
      <c r="Y341"/>
      <c r="Z341"/>
      <c r="AA341"/>
      <c r="AB341"/>
      <c r="AC341"/>
      <c r="AD341"/>
      <c r="AE341"/>
      <c r="AF341"/>
    </row>
    <row r="342" spans="11:32" ht="14.1" customHeight="1" x14ac:dyDescent="0.2">
      <c r="K342" s="125"/>
      <c r="L342" s="153"/>
      <c r="M342"/>
      <c r="N342"/>
      <c r="O342"/>
      <c r="P342"/>
      <c r="Q342"/>
      <c r="R342"/>
      <c r="S342"/>
      <c r="T342"/>
      <c r="U342"/>
      <c r="V342"/>
      <c r="W342"/>
      <c r="X342"/>
      <c r="Y342"/>
      <c r="Z342"/>
      <c r="AA342"/>
      <c r="AB342"/>
      <c r="AC342"/>
      <c r="AD342"/>
      <c r="AE342"/>
      <c r="AF342"/>
    </row>
    <row r="343" spans="11:32" ht="14.1" customHeight="1" x14ac:dyDescent="0.2">
      <c r="K343" s="125"/>
      <c r="L343" s="153"/>
      <c r="M343"/>
      <c r="N343"/>
      <c r="O343"/>
      <c r="P343"/>
      <c r="Q343"/>
      <c r="R343"/>
      <c r="S343"/>
      <c r="T343"/>
      <c r="U343"/>
      <c r="V343"/>
      <c r="W343"/>
      <c r="X343"/>
      <c r="Y343"/>
      <c r="Z343"/>
      <c r="AA343"/>
      <c r="AB343"/>
      <c r="AC343"/>
      <c r="AD343"/>
      <c r="AE343"/>
      <c r="AF343"/>
    </row>
    <row r="344" spans="11:32" ht="14.1" customHeight="1" x14ac:dyDescent="0.2">
      <c r="K344" s="125"/>
      <c r="L344" s="153"/>
      <c r="M344"/>
      <c r="N344"/>
      <c r="O344"/>
      <c r="P344"/>
      <c r="Q344"/>
      <c r="R344"/>
      <c r="S344"/>
      <c r="T344"/>
      <c r="U344"/>
      <c r="V344"/>
      <c r="W344"/>
      <c r="X344"/>
      <c r="Y344"/>
      <c r="Z344"/>
      <c r="AA344"/>
      <c r="AB344"/>
      <c r="AC344"/>
      <c r="AD344"/>
      <c r="AE344"/>
      <c r="AF344"/>
    </row>
    <row r="345" spans="11:32" ht="14.1" customHeight="1" x14ac:dyDescent="0.2">
      <c r="K345" s="125"/>
      <c r="L345" s="153"/>
      <c r="M345"/>
      <c r="N345"/>
      <c r="O345"/>
      <c r="P345"/>
      <c r="Q345"/>
      <c r="R345"/>
      <c r="S345"/>
      <c r="T345"/>
      <c r="U345"/>
      <c r="V345"/>
      <c r="W345"/>
      <c r="X345"/>
      <c r="Y345"/>
      <c r="Z345"/>
      <c r="AA345"/>
      <c r="AB345"/>
      <c r="AC345"/>
      <c r="AD345"/>
      <c r="AE345"/>
      <c r="AF345"/>
    </row>
    <row r="346" spans="11:32" ht="14.1" customHeight="1" x14ac:dyDescent="0.2">
      <c r="K346" s="125"/>
      <c r="L346" s="153"/>
      <c r="M346"/>
      <c r="N346"/>
      <c r="O346"/>
      <c r="P346"/>
      <c r="Q346"/>
      <c r="R346"/>
      <c r="S346"/>
      <c r="T346"/>
      <c r="U346"/>
      <c r="V346"/>
      <c r="W346"/>
      <c r="X346"/>
      <c r="Y346"/>
      <c r="Z346"/>
      <c r="AA346"/>
      <c r="AB346"/>
      <c r="AC346"/>
      <c r="AD346"/>
      <c r="AE346"/>
      <c r="AF346"/>
    </row>
    <row r="347" spans="11:32" ht="14.1" customHeight="1" x14ac:dyDescent="0.2">
      <c r="K347" s="125"/>
      <c r="L347" s="153"/>
      <c r="M347"/>
      <c r="N347"/>
      <c r="O347"/>
      <c r="P347"/>
      <c r="Q347"/>
      <c r="R347"/>
      <c r="S347"/>
      <c r="T347"/>
      <c r="U347"/>
      <c r="V347"/>
      <c r="W347"/>
      <c r="X347"/>
      <c r="Y347"/>
      <c r="Z347"/>
      <c r="AA347"/>
      <c r="AB347"/>
      <c r="AC347"/>
      <c r="AD347"/>
      <c r="AE347"/>
      <c r="AF347"/>
    </row>
    <row r="348" spans="11:32" ht="14.1" customHeight="1" x14ac:dyDescent="0.2">
      <c r="K348" s="125"/>
      <c r="L348" s="153"/>
      <c r="M348"/>
      <c r="N348"/>
      <c r="O348"/>
      <c r="P348"/>
      <c r="Q348"/>
      <c r="R348"/>
      <c r="S348"/>
      <c r="T348"/>
      <c r="U348"/>
      <c r="V348"/>
      <c r="W348"/>
      <c r="X348"/>
      <c r="Y348"/>
      <c r="Z348"/>
      <c r="AA348"/>
      <c r="AB348"/>
      <c r="AC348"/>
      <c r="AD348"/>
      <c r="AE348"/>
      <c r="AF348"/>
    </row>
    <row r="349" spans="11:32" ht="14.1" customHeight="1" x14ac:dyDescent="0.2">
      <c r="K349" s="125"/>
      <c r="L349" s="153"/>
      <c r="M349"/>
      <c r="N349"/>
      <c r="O349"/>
      <c r="P349"/>
      <c r="Q349"/>
      <c r="R349"/>
      <c r="S349"/>
      <c r="T349"/>
      <c r="U349"/>
      <c r="V349"/>
      <c r="W349"/>
      <c r="X349"/>
      <c r="Y349"/>
      <c r="Z349"/>
      <c r="AA349"/>
      <c r="AB349"/>
      <c r="AC349"/>
      <c r="AD349"/>
      <c r="AE349"/>
      <c r="AF349"/>
    </row>
    <row r="350" spans="11:32" ht="14.1" customHeight="1" x14ac:dyDescent="0.2">
      <c r="K350" s="125"/>
      <c r="L350" s="153"/>
      <c r="M350"/>
      <c r="N350"/>
      <c r="O350"/>
      <c r="P350"/>
      <c r="Q350"/>
      <c r="R350"/>
      <c r="S350"/>
      <c r="T350"/>
      <c r="U350"/>
      <c r="V350"/>
      <c r="W350"/>
      <c r="X350"/>
      <c r="Y350"/>
      <c r="Z350"/>
      <c r="AA350"/>
      <c r="AB350"/>
      <c r="AC350"/>
      <c r="AD350"/>
      <c r="AE350"/>
      <c r="AF350"/>
    </row>
    <row r="351" spans="11:32" ht="14.1" customHeight="1" x14ac:dyDescent="0.2">
      <c r="K351" s="125"/>
      <c r="L351" s="153"/>
      <c r="M351"/>
      <c r="N351"/>
      <c r="O351"/>
      <c r="P351"/>
      <c r="Q351"/>
      <c r="R351"/>
      <c r="S351"/>
      <c r="T351"/>
      <c r="U351"/>
      <c r="V351"/>
      <c r="W351"/>
      <c r="X351"/>
      <c r="Y351"/>
      <c r="Z351"/>
      <c r="AA351"/>
      <c r="AB351"/>
      <c r="AC351"/>
      <c r="AD351"/>
      <c r="AE351"/>
      <c r="AF351"/>
    </row>
    <row r="352" spans="11:32" ht="14.1" customHeight="1" x14ac:dyDescent="0.2">
      <c r="K352" s="125"/>
      <c r="L352" s="153"/>
      <c r="M352"/>
      <c r="N352"/>
      <c r="O352"/>
      <c r="P352"/>
      <c r="Q352"/>
      <c r="R352"/>
      <c r="S352"/>
      <c r="T352"/>
      <c r="U352"/>
      <c r="V352"/>
      <c r="W352"/>
      <c r="X352"/>
      <c r="Y352"/>
      <c r="Z352"/>
      <c r="AA352"/>
      <c r="AB352"/>
      <c r="AC352"/>
      <c r="AD352"/>
      <c r="AE352"/>
      <c r="AF352"/>
    </row>
    <row r="353" spans="11:32" ht="14.1" customHeight="1" x14ac:dyDescent="0.2">
      <c r="K353" s="125"/>
      <c r="L353" s="153"/>
      <c r="M353"/>
      <c r="N353"/>
      <c r="O353"/>
      <c r="P353"/>
      <c r="Q353"/>
      <c r="R353"/>
      <c r="S353"/>
      <c r="T353"/>
      <c r="U353"/>
      <c r="V353"/>
      <c r="W353"/>
      <c r="X353"/>
      <c r="Y353"/>
      <c r="Z353"/>
      <c r="AA353"/>
      <c r="AB353"/>
      <c r="AC353"/>
      <c r="AD353"/>
      <c r="AE353"/>
      <c r="AF353"/>
    </row>
    <row r="354" spans="11:32" ht="14.1" customHeight="1" x14ac:dyDescent="0.2">
      <c r="K354" s="125"/>
      <c r="L354" s="153"/>
      <c r="M354"/>
      <c r="N354"/>
      <c r="O354"/>
      <c r="P354"/>
      <c r="Q354"/>
      <c r="R354"/>
      <c r="S354"/>
      <c r="T354"/>
      <c r="U354"/>
      <c r="V354"/>
      <c r="W354"/>
      <c r="X354"/>
      <c r="Y354"/>
      <c r="Z354"/>
      <c r="AA354"/>
      <c r="AB354"/>
      <c r="AC354"/>
      <c r="AD354"/>
      <c r="AE354"/>
      <c r="AF354"/>
    </row>
    <row r="355" spans="11:32" ht="14.1" customHeight="1" x14ac:dyDescent="0.2">
      <c r="K355" s="125"/>
      <c r="L355" s="153"/>
      <c r="M355"/>
      <c r="N355"/>
      <c r="O355"/>
      <c r="P355"/>
      <c r="Q355"/>
      <c r="R355"/>
      <c r="S355"/>
      <c r="T355"/>
      <c r="U355"/>
      <c r="V355"/>
      <c r="W355"/>
      <c r="X355"/>
      <c r="Y355"/>
      <c r="Z355"/>
      <c r="AA355"/>
      <c r="AB355"/>
      <c r="AC355"/>
      <c r="AD355"/>
      <c r="AE355"/>
      <c r="AF355"/>
    </row>
    <row r="356" spans="11:32" ht="14.1" customHeight="1" x14ac:dyDescent="0.2">
      <c r="K356" s="125"/>
      <c r="L356" s="153"/>
      <c r="M356"/>
      <c r="N356"/>
      <c r="O356"/>
      <c r="P356"/>
      <c r="Q356"/>
      <c r="R356"/>
      <c r="S356"/>
      <c r="T356"/>
      <c r="U356"/>
      <c r="V356"/>
      <c r="W356"/>
      <c r="X356"/>
      <c r="Y356"/>
      <c r="Z356"/>
      <c r="AA356"/>
      <c r="AB356"/>
      <c r="AC356"/>
      <c r="AD356"/>
      <c r="AE356"/>
      <c r="AF356"/>
    </row>
    <row r="357" spans="11:32" ht="14.1" customHeight="1" x14ac:dyDescent="0.2">
      <c r="K357" s="125"/>
      <c r="L357" s="153"/>
      <c r="M357"/>
      <c r="N357"/>
      <c r="O357"/>
      <c r="P357"/>
      <c r="Q357"/>
      <c r="R357"/>
      <c r="S357"/>
      <c r="T357"/>
      <c r="U357"/>
      <c r="V357"/>
      <c r="W357"/>
      <c r="X357"/>
      <c r="Y357"/>
      <c r="Z357"/>
      <c r="AA357"/>
      <c r="AB357"/>
      <c r="AC357"/>
      <c r="AD357"/>
      <c r="AE357"/>
      <c r="AF357"/>
    </row>
    <row r="358" spans="11:32" ht="14.1" customHeight="1" x14ac:dyDescent="0.2">
      <c r="K358" s="125"/>
      <c r="L358" s="153"/>
      <c r="M358"/>
      <c r="N358"/>
      <c r="O358"/>
      <c r="P358"/>
      <c r="Q358"/>
      <c r="R358"/>
      <c r="S358"/>
      <c r="T358"/>
      <c r="U358"/>
      <c r="V358"/>
      <c r="W358"/>
      <c r="X358"/>
      <c r="Y358"/>
      <c r="Z358"/>
      <c r="AA358"/>
      <c r="AB358"/>
      <c r="AC358"/>
      <c r="AD358"/>
      <c r="AE358"/>
      <c r="AF358"/>
    </row>
    <row r="359" spans="11:32" ht="14.1" customHeight="1" x14ac:dyDescent="0.2">
      <c r="K359" s="125"/>
      <c r="L359" s="153"/>
      <c r="M359"/>
      <c r="N359"/>
      <c r="O359"/>
      <c r="P359"/>
      <c r="Q359"/>
      <c r="R359"/>
      <c r="S359"/>
      <c r="T359"/>
      <c r="U359"/>
      <c r="V359"/>
      <c r="W359"/>
      <c r="X359"/>
      <c r="Y359"/>
      <c r="Z359"/>
      <c r="AA359"/>
      <c r="AB359"/>
      <c r="AC359"/>
      <c r="AD359"/>
      <c r="AE359"/>
      <c r="AF359"/>
    </row>
    <row r="360" spans="11:32" ht="14.1" customHeight="1" x14ac:dyDescent="0.2">
      <c r="K360" s="125"/>
      <c r="L360" s="153"/>
      <c r="M360"/>
      <c r="N360"/>
      <c r="O360"/>
      <c r="P360"/>
      <c r="Q360"/>
      <c r="R360"/>
      <c r="S360"/>
      <c r="T360"/>
      <c r="U360"/>
      <c r="V360"/>
      <c r="W360"/>
      <c r="X360"/>
      <c r="Y360"/>
      <c r="Z360"/>
      <c r="AA360"/>
      <c r="AB360"/>
      <c r="AC360"/>
      <c r="AD360"/>
      <c r="AE360"/>
      <c r="AF360"/>
    </row>
    <row r="361" spans="11:32" ht="14.1" customHeight="1" x14ac:dyDescent="0.2">
      <c r="K361" s="125"/>
      <c r="L361" s="153"/>
      <c r="M361"/>
      <c r="N361"/>
      <c r="O361"/>
      <c r="P361"/>
      <c r="Q361"/>
      <c r="R361"/>
      <c r="S361"/>
      <c r="T361"/>
      <c r="U361"/>
      <c r="V361"/>
      <c r="W361"/>
      <c r="X361"/>
      <c r="Y361"/>
      <c r="Z361"/>
      <c r="AA361"/>
      <c r="AB361"/>
      <c r="AC361"/>
      <c r="AD361"/>
      <c r="AE361"/>
      <c r="AF361"/>
    </row>
    <row r="362" spans="11:32" ht="14.1" customHeight="1" x14ac:dyDescent="0.2">
      <c r="K362" s="125"/>
      <c r="L362" s="153"/>
      <c r="M362"/>
      <c r="N362"/>
      <c r="O362"/>
      <c r="P362"/>
      <c r="Q362"/>
      <c r="R362"/>
      <c r="S362"/>
      <c r="T362"/>
      <c r="U362"/>
      <c r="V362"/>
      <c r="W362"/>
      <c r="X362"/>
      <c r="Y362"/>
      <c r="Z362"/>
      <c r="AA362"/>
      <c r="AB362"/>
      <c r="AC362"/>
      <c r="AD362"/>
      <c r="AE362"/>
      <c r="AF362"/>
    </row>
    <row r="363" spans="11:32" ht="14.1" customHeight="1" x14ac:dyDescent="0.2">
      <c r="K363" s="125"/>
      <c r="L363" s="153"/>
      <c r="M363"/>
      <c r="N363"/>
      <c r="O363"/>
      <c r="P363"/>
      <c r="Q363"/>
      <c r="R363"/>
      <c r="S363"/>
      <c r="T363"/>
      <c r="U363"/>
      <c r="V363"/>
      <c r="W363"/>
      <c r="X363"/>
      <c r="Y363"/>
      <c r="Z363"/>
      <c r="AA363"/>
      <c r="AB363"/>
      <c r="AC363"/>
      <c r="AD363"/>
      <c r="AE363"/>
      <c r="AF363"/>
    </row>
    <row r="364" spans="11:32" ht="14.1" customHeight="1" x14ac:dyDescent="0.2">
      <c r="K364" s="125"/>
      <c r="L364" s="153"/>
      <c r="M364"/>
      <c r="N364"/>
      <c r="O364"/>
      <c r="P364"/>
      <c r="Q364"/>
      <c r="R364"/>
      <c r="S364"/>
      <c r="T364"/>
      <c r="U364"/>
      <c r="V364"/>
      <c r="W364"/>
      <c r="X364"/>
      <c r="Y364"/>
      <c r="Z364"/>
      <c r="AA364"/>
      <c r="AB364"/>
      <c r="AC364"/>
      <c r="AD364"/>
      <c r="AE364"/>
      <c r="AF364"/>
    </row>
    <row r="365" spans="11:32" ht="14.1" customHeight="1" x14ac:dyDescent="0.2">
      <c r="K365" s="125"/>
      <c r="L365" s="153"/>
      <c r="M365"/>
      <c r="N365"/>
      <c r="O365"/>
      <c r="P365"/>
      <c r="Q365"/>
      <c r="R365"/>
      <c r="S365"/>
      <c r="T365"/>
      <c r="U365"/>
      <c r="V365"/>
      <c r="W365"/>
      <c r="X365"/>
      <c r="Y365"/>
      <c r="Z365"/>
      <c r="AA365"/>
      <c r="AB365"/>
      <c r="AC365"/>
      <c r="AD365"/>
      <c r="AE365"/>
      <c r="AF365"/>
    </row>
    <row r="366" spans="11:32" ht="14.1" customHeight="1" x14ac:dyDescent="0.2">
      <c r="K366" s="125"/>
      <c r="L366" s="153"/>
      <c r="M366"/>
      <c r="N366"/>
      <c r="O366"/>
      <c r="P366"/>
      <c r="Q366"/>
      <c r="R366"/>
      <c r="S366"/>
      <c r="T366"/>
      <c r="U366"/>
      <c r="V366"/>
      <c r="W366"/>
      <c r="X366"/>
      <c r="Y366"/>
      <c r="Z366"/>
      <c r="AA366"/>
      <c r="AB366"/>
      <c r="AC366"/>
      <c r="AD366"/>
      <c r="AE366"/>
      <c r="AF366"/>
    </row>
    <row r="367" spans="11:32" ht="14.1" customHeight="1" x14ac:dyDescent="0.2">
      <c r="K367" s="125"/>
      <c r="L367" s="153"/>
      <c r="M367"/>
      <c r="N367"/>
      <c r="O367"/>
      <c r="P367"/>
      <c r="Q367"/>
      <c r="R367"/>
      <c r="S367"/>
      <c r="T367"/>
      <c r="U367"/>
      <c r="V367"/>
      <c r="W367"/>
      <c r="X367"/>
      <c r="Y367"/>
      <c r="Z367"/>
      <c r="AA367"/>
      <c r="AB367"/>
      <c r="AC367"/>
      <c r="AD367"/>
      <c r="AE367"/>
      <c r="AF367"/>
    </row>
    <row r="368" spans="11:32" ht="14.1" customHeight="1" x14ac:dyDescent="0.2">
      <c r="K368" s="125"/>
      <c r="L368" s="153"/>
      <c r="M368"/>
      <c r="N368"/>
      <c r="O368"/>
      <c r="P368"/>
      <c r="Q368"/>
      <c r="R368"/>
      <c r="S368"/>
      <c r="T368"/>
      <c r="U368"/>
      <c r="V368"/>
      <c r="W368"/>
      <c r="X368"/>
      <c r="Y368"/>
      <c r="Z368"/>
      <c r="AA368"/>
      <c r="AB368"/>
      <c r="AC368"/>
      <c r="AD368"/>
      <c r="AE368"/>
      <c r="AF368"/>
    </row>
    <row r="369" spans="11:32" ht="14.1" customHeight="1" x14ac:dyDescent="0.2">
      <c r="K369" s="125"/>
      <c r="L369" s="153"/>
      <c r="M369"/>
      <c r="N369"/>
      <c r="O369"/>
      <c r="P369"/>
      <c r="Q369"/>
      <c r="R369"/>
      <c r="S369"/>
      <c r="T369"/>
      <c r="U369"/>
      <c r="V369"/>
      <c r="W369"/>
      <c r="X369"/>
      <c r="Y369"/>
      <c r="Z369"/>
      <c r="AA369"/>
      <c r="AB369"/>
      <c r="AC369"/>
      <c r="AD369"/>
      <c r="AE369"/>
      <c r="AF369"/>
    </row>
    <row r="370" spans="11:32" ht="14.1" customHeight="1" x14ac:dyDescent="0.2">
      <c r="K370" s="125"/>
      <c r="L370" s="153"/>
      <c r="M370"/>
      <c r="N370"/>
      <c r="O370"/>
      <c r="P370"/>
      <c r="Q370"/>
      <c r="R370"/>
      <c r="S370"/>
      <c r="T370"/>
      <c r="U370"/>
      <c r="V370"/>
      <c r="W370"/>
      <c r="X370"/>
      <c r="Y370"/>
      <c r="Z370"/>
      <c r="AA370"/>
      <c r="AB370"/>
      <c r="AC370"/>
      <c r="AD370"/>
      <c r="AE370"/>
      <c r="AF370"/>
    </row>
    <row r="371" spans="11:32" ht="14.1" customHeight="1" x14ac:dyDescent="0.2">
      <c r="K371" s="125"/>
      <c r="L371" s="153"/>
      <c r="M371"/>
      <c r="N371"/>
      <c r="O371"/>
      <c r="P371"/>
      <c r="Q371"/>
      <c r="R371"/>
      <c r="S371"/>
      <c r="T371"/>
      <c r="U371"/>
      <c r="V371"/>
      <c r="W371"/>
      <c r="X371"/>
      <c r="Y371"/>
      <c r="Z371"/>
      <c r="AA371"/>
      <c r="AB371"/>
      <c r="AC371"/>
      <c r="AD371"/>
      <c r="AE371"/>
      <c r="AF371"/>
    </row>
    <row r="372" spans="11:32" ht="14.1" customHeight="1" x14ac:dyDescent="0.2">
      <c r="K372" s="125"/>
      <c r="L372" s="153"/>
      <c r="M372"/>
      <c r="N372"/>
      <c r="O372"/>
      <c r="P372"/>
      <c r="Q372"/>
      <c r="R372"/>
      <c r="S372"/>
      <c r="T372"/>
      <c r="U372"/>
      <c r="V372"/>
      <c r="W372"/>
      <c r="X372"/>
      <c r="Y372"/>
      <c r="Z372"/>
      <c r="AA372"/>
      <c r="AB372"/>
      <c r="AC372"/>
      <c r="AD372"/>
      <c r="AE372"/>
      <c r="AF372"/>
    </row>
    <row r="373" spans="11:32" ht="14.1" customHeight="1" x14ac:dyDescent="0.2">
      <c r="K373" s="125"/>
      <c r="L373" s="153"/>
      <c r="M373"/>
      <c r="N373"/>
      <c r="O373"/>
      <c r="P373"/>
      <c r="Q373"/>
      <c r="R373"/>
      <c r="S373"/>
      <c r="T373"/>
      <c r="U373"/>
      <c r="V373"/>
      <c r="W373"/>
      <c r="X373"/>
      <c r="Y373"/>
      <c r="Z373"/>
      <c r="AA373"/>
      <c r="AB373"/>
      <c r="AC373"/>
      <c r="AD373"/>
      <c r="AE373"/>
      <c r="AF373"/>
    </row>
    <row r="374" spans="11:32" ht="14.1" customHeight="1" x14ac:dyDescent="0.2">
      <c r="K374" s="125"/>
      <c r="L374" s="153"/>
      <c r="M374"/>
      <c r="N374"/>
      <c r="O374"/>
      <c r="P374"/>
      <c r="Q374"/>
      <c r="R374"/>
      <c r="S374"/>
      <c r="T374"/>
      <c r="U374"/>
      <c r="V374"/>
      <c r="W374"/>
      <c r="X374"/>
      <c r="Y374"/>
      <c r="Z374"/>
      <c r="AA374"/>
      <c r="AB374"/>
      <c r="AC374"/>
      <c r="AD374"/>
      <c r="AE374"/>
      <c r="AF374"/>
    </row>
    <row r="375" spans="11:32" ht="14.1" customHeight="1" x14ac:dyDescent="0.2">
      <c r="K375" s="125"/>
      <c r="L375" s="153"/>
      <c r="M375"/>
      <c r="N375"/>
      <c r="O375"/>
      <c r="P375"/>
      <c r="Q375"/>
      <c r="R375"/>
      <c r="S375"/>
      <c r="T375"/>
      <c r="U375"/>
      <c r="V375"/>
      <c r="W375"/>
      <c r="X375"/>
      <c r="Y375"/>
      <c r="Z375"/>
      <c r="AA375"/>
      <c r="AB375"/>
      <c r="AC375"/>
      <c r="AD375"/>
      <c r="AE375"/>
      <c r="AF375"/>
    </row>
    <row r="376" spans="11:32" ht="14.1" customHeight="1" x14ac:dyDescent="0.2">
      <c r="K376" s="125"/>
      <c r="L376" s="153"/>
      <c r="M376"/>
      <c r="N376"/>
      <c r="O376"/>
      <c r="P376"/>
      <c r="Q376"/>
      <c r="R376"/>
      <c r="S376"/>
      <c r="T376"/>
      <c r="U376"/>
      <c r="V376"/>
      <c r="W376"/>
      <c r="X376"/>
      <c r="Y376"/>
      <c r="Z376"/>
      <c r="AA376"/>
      <c r="AB376"/>
      <c r="AC376"/>
      <c r="AD376"/>
      <c r="AE376"/>
      <c r="AF376"/>
    </row>
    <row r="377" spans="11:32" ht="14.1" customHeight="1" x14ac:dyDescent="0.2">
      <c r="K377" s="125"/>
      <c r="L377" s="153"/>
      <c r="M377"/>
      <c r="N377"/>
      <c r="O377"/>
      <c r="P377"/>
      <c r="Q377"/>
      <c r="R377"/>
      <c r="S377"/>
      <c r="T377"/>
      <c r="U377"/>
      <c r="V377"/>
      <c r="W377"/>
      <c r="X377"/>
      <c r="Y377"/>
      <c r="Z377"/>
      <c r="AA377"/>
      <c r="AB377"/>
      <c r="AC377"/>
      <c r="AD377"/>
      <c r="AE377"/>
      <c r="AF377"/>
    </row>
    <row r="378" spans="11:32" ht="14.1" customHeight="1" x14ac:dyDescent="0.2">
      <c r="K378" s="125"/>
      <c r="L378" s="153"/>
      <c r="M378"/>
      <c r="N378"/>
      <c r="O378"/>
      <c r="P378"/>
      <c r="Q378"/>
      <c r="R378"/>
      <c r="S378"/>
      <c r="T378"/>
      <c r="U378"/>
      <c r="V378"/>
      <c r="W378"/>
      <c r="X378"/>
      <c r="Y378"/>
      <c r="Z378"/>
      <c r="AA378"/>
      <c r="AB378"/>
      <c r="AC378"/>
      <c r="AD378"/>
      <c r="AE378"/>
      <c r="AF378"/>
    </row>
    <row r="379" spans="11:32" ht="14.1" customHeight="1" x14ac:dyDescent="0.2">
      <c r="K379" s="125"/>
      <c r="L379" s="153"/>
      <c r="M379"/>
      <c r="N379"/>
      <c r="O379"/>
      <c r="P379"/>
      <c r="Q379"/>
      <c r="R379"/>
      <c r="S379"/>
      <c r="T379"/>
      <c r="U379"/>
      <c r="V379"/>
      <c r="W379"/>
      <c r="X379"/>
      <c r="Y379"/>
      <c r="Z379"/>
      <c r="AA379"/>
      <c r="AB379"/>
      <c r="AC379"/>
      <c r="AD379"/>
      <c r="AE379"/>
      <c r="AF379"/>
    </row>
    <row r="380" spans="11:32" ht="14.1" customHeight="1" x14ac:dyDescent="0.2">
      <c r="K380" s="125"/>
      <c r="L380" s="153"/>
      <c r="M380"/>
      <c r="N380"/>
      <c r="O380"/>
      <c r="P380"/>
      <c r="Q380"/>
      <c r="R380"/>
      <c r="S380"/>
      <c r="T380"/>
      <c r="U380"/>
      <c r="V380"/>
      <c r="W380"/>
      <c r="X380"/>
      <c r="Y380"/>
      <c r="Z380"/>
      <c r="AA380"/>
      <c r="AB380"/>
      <c r="AC380"/>
      <c r="AD380"/>
      <c r="AE380"/>
      <c r="AF380"/>
    </row>
    <row r="381" spans="11:32" ht="14.1" customHeight="1" x14ac:dyDescent="0.2">
      <c r="K381" s="125"/>
      <c r="L381" s="153"/>
      <c r="M381"/>
      <c r="N381"/>
      <c r="O381"/>
      <c r="P381"/>
      <c r="Q381"/>
      <c r="R381"/>
      <c r="S381"/>
      <c r="T381"/>
      <c r="U381"/>
      <c r="V381"/>
      <c r="W381"/>
      <c r="X381"/>
      <c r="Y381"/>
      <c r="Z381"/>
      <c r="AA381"/>
      <c r="AB381"/>
      <c r="AC381"/>
      <c r="AD381"/>
      <c r="AE381"/>
      <c r="AF381"/>
    </row>
    <row r="382" spans="11:32" ht="14.1" customHeight="1" x14ac:dyDescent="0.2">
      <c r="K382" s="125"/>
      <c r="L382" s="153"/>
      <c r="M382"/>
      <c r="N382"/>
      <c r="O382"/>
      <c r="P382"/>
      <c r="Q382"/>
      <c r="R382"/>
      <c r="S382"/>
      <c r="T382"/>
      <c r="U382"/>
      <c r="V382"/>
      <c r="W382"/>
      <c r="X382"/>
      <c r="Y382"/>
      <c r="Z382"/>
      <c r="AA382"/>
      <c r="AB382"/>
      <c r="AC382"/>
      <c r="AD382"/>
      <c r="AE382"/>
      <c r="AF382"/>
    </row>
    <row r="383" spans="11:32" ht="14.1" customHeight="1" x14ac:dyDescent="0.2">
      <c r="K383" s="125"/>
      <c r="L383" s="153"/>
      <c r="M383"/>
      <c r="N383"/>
      <c r="O383"/>
      <c r="P383"/>
      <c r="Q383"/>
      <c r="R383"/>
      <c r="S383"/>
      <c r="T383"/>
      <c r="U383"/>
      <c r="V383"/>
      <c r="W383"/>
      <c r="X383"/>
      <c r="Y383"/>
      <c r="Z383"/>
      <c r="AA383"/>
      <c r="AB383"/>
      <c r="AC383"/>
      <c r="AD383"/>
      <c r="AE383"/>
      <c r="AF383"/>
    </row>
    <row r="384" spans="11:32" ht="14.1" customHeight="1" x14ac:dyDescent="0.2">
      <c r="K384" s="125"/>
      <c r="L384" s="153"/>
      <c r="M384"/>
      <c r="N384"/>
      <c r="O384"/>
      <c r="P384"/>
      <c r="Q384"/>
      <c r="R384"/>
      <c r="S384"/>
      <c r="T384"/>
      <c r="U384"/>
      <c r="V384"/>
      <c r="W384"/>
      <c r="X384"/>
      <c r="Y384"/>
      <c r="Z384"/>
      <c r="AA384"/>
      <c r="AB384"/>
      <c r="AC384"/>
      <c r="AD384"/>
      <c r="AE384"/>
      <c r="AF384"/>
    </row>
    <row r="385" spans="11:32" ht="14.1" customHeight="1" x14ac:dyDescent="0.2">
      <c r="K385" s="125"/>
      <c r="L385" s="153"/>
      <c r="M385"/>
      <c r="N385"/>
      <c r="O385"/>
      <c r="P385"/>
      <c r="Q385"/>
      <c r="R385"/>
      <c r="S385"/>
      <c r="T385"/>
      <c r="U385"/>
      <c r="V385"/>
      <c r="W385"/>
      <c r="X385"/>
      <c r="Y385"/>
      <c r="Z385"/>
      <c r="AA385"/>
      <c r="AB385"/>
      <c r="AC385"/>
      <c r="AD385"/>
      <c r="AE385"/>
      <c r="AF385"/>
    </row>
    <row r="386" spans="11:32" ht="14.1" customHeight="1" x14ac:dyDescent="0.2">
      <c r="K386" s="125"/>
      <c r="L386" s="153"/>
      <c r="M386"/>
      <c r="N386"/>
      <c r="O386"/>
      <c r="P386"/>
      <c r="Q386"/>
      <c r="R386"/>
      <c r="S386"/>
      <c r="T386"/>
      <c r="U386"/>
      <c r="V386"/>
      <c r="W386"/>
      <c r="X386"/>
      <c r="Y386"/>
      <c r="Z386"/>
      <c r="AA386"/>
      <c r="AB386"/>
      <c r="AC386"/>
      <c r="AD386"/>
      <c r="AE386"/>
      <c r="AF386"/>
    </row>
    <row r="387" spans="11:32" ht="14.1" customHeight="1" x14ac:dyDescent="0.2">
      <c r="K387" s="125"/>
      <c r="L387" s="153"/>
      <c r="M387"/>
      <c r="N387"/>
      <c r="O387"/>
      <c r="P387"/>
      <c r="Q387"/>
      <c r="R387"/>
      <c r="S387"/>
      <c r="T387"/>
      <c r="U387"/>
      <c r="V387"/>
      <c r="W387"/>
      <c r="X387"/>
      <c r="Y387"/>
      <c r="Z387"/>
      <c r="AA387"/>
      <c r="AB387"/>
      <c r="AC387"/>
      <c r="AD387"/>
      <c r="AE387"/>
      <c r="AF387"/>
    </row>
    <row r="388" spans="11:32" ht="14.1" customHeight="1" x14ac:dyDescent="0.2">
      <c r="K388" s="125"/>
      <c r="L388" s="153"/>
      <c r="M388"/>
      <c r="N388"/>
      <c r="O388"/>
      <c r="P388"/>
      <c r="Q388"/>
      <c r="R388"/>
      <c r="S388"/>
      <c r="T388"/>
      <c r="U388"/>
      <c r="V388"/>
      <c r="W388"/>
      <c r="X388"/>
      <c r="Y388"/>
      <c r="Z388"/>
      <c r="AA388"/>
      <c r="AB388"/>
      <c r="AC388"/>
      <c r="AD388"/>
      <c r="AE388"/>
      <c r="AF388"/>
    </row>
    <row r="389" spans="11:32" ht="14.1" customHeight="1" x14ac:dyDescent="0.2">
      <c r="K389" s="125"/>
      <c r="L389" s="153"/>
      <c r="M389"/>
      <c r="N389"/>
      <c r="O389"/>
      <c r="P389"/>
      <c r="Q389"/>
      <c r="R389"/>
      <c r="S389"/>
      <c r="T389"/>
      <c r="U389"/>
      <c r="V389"/>
      <c r="W389"/>
      <c r="X389"/>
      <c r="Y389"/>
      <c r="Z389"/>
      <c r="AA389"/>
      <c r="AB389"/>
      <c r="AC389"/>
      <c r="AD389"/>
      <c r="AE389"/>
      <c r="AF389"/>
    </row>
    <row r="390" spans="11:32" ht="14.1" customHeight="1" x14ac:dyDescent="0.2">
      <c r="K390" s="125"/>
      <c r="L390" s="153"/>
      <c r="M390"/>
      <c r="N390"/>
      <c r="O390"/>
      <c r="P390"/>
      <c r="Q390"/>
      <c r="R390"/>
      <c r="S390"/>
      <c r="T390"/>
      <c r="U390"/>
      <c r="V390"/>
      <c r="W390"/>
      <c r="X390"/>
      <c r="Y390"/>
      <c r="Z390"/>
      <c r="AA390"/>
      <c r="AB390"/>
      <c r="AC390"/>
      <c r="AD390"/>
      <c r="AE390"/>
      <c r="AF390"/>
    </row>
    <row r="391" spans="11:32" ht="14.1" customHeight="1" x14ac:dyDescent="0.2">
      <c r="K391" s="125"/>
      <c r="L391" s="153"/>
      <c r="M391"/>
      <c r="N391"/>
      <c r="O391"/>
      <c r="P391"/>
      <c r="Q391"/>
      <c r="R391"/>
      <c r="S391"/>
      <c r="T391"/>
      <c r="U391"/>
      <c r="V391"/>
      <c r="W391"/>
      <c r="X391"/>
      <c r="Y391"/>
      <c r="Z391"/>
      <c r="AA391"/>
      <c r="AB391"/>
      <c r="AC391"/>
      <c r="AD391"/>
      <c r="AE391"/>
      <c r="AF391"/>
    </row>
    <row r="392" spans="11:32" ht="14.1" customHeight="1" x14ac:dyDescent="0.2">
      <c r="K392" s="125"/>
      <c r="L392" s="153"/>
      <c r="M392"/>
      <c r="N392"/>
      <c r="O392"/>
      <c r="P392"/>
      <c r="Q392"/>
      <c r="R392"/>
      <c r="S392"/>
      <c r="T392"/>
      <c r="U392"/>
      <c r="V392"/>
      <c r="W392"/>
      <c r="X392"/>
      <c r="Y392"/>
      <c r="Z392"/>
      <c r="AA392"/>
      <c r="AB392"/>
      <c r="AC392"/>
      <c r="AD392"/>
      <c r="AE392"/>
      <c r="AF392"/>
    </row>
    <row r="393" spans="11:32" ht="14.1" customHeight="1" x14ac:dyDescent="0.2">
      <c r="K393" s="125"/>
      <c r="L393" s="153"/>
      <c r="M393"/>
      <c r="N393"/>
      <c r="O393"/>
      <c r="P393"/>
      <c r="Q393"/>
      <c r="R393"/>
      <c r="S393"/>
      <c r="T393"/>
      <c r="U393"/>
      <c r="V393"/>
      <c r="W393"/>
      <c r="X393"/>
      <c r="Y393"/>
      <c r="Z393"/>
      <c r="AA393"/>
      <c r="AB393"/>
      <c r="AC393"/>
      <c r="AD393"/>
      <c r="AE393"/>
      <c r="AF393"/>
    </row>
    <row r="394" spans="11:32" ht="14.1" customHeight="1" x14ac:dyDescent="0.2">
      <c r="K394" s="125"/>
      <c r="L394" s="153"/>
      <c r="M394"/>
      <c r="N394"/>
      <c r="O394"/>
      <c r="P394"/>
      <c r="Q394"/>
      <c r="R394"/>
      <c r="S394"/>
      <c r="T394"/>
      <c r="U394"/>
      <c r="V394"/>
      <c r="W394"/>
      <c r="X394"/>
      <c r="Y394"/>
      <c r="Z394"/>
      <c r="AA394"/>
      <c r="AB394"/>
      <c r="AC394"/>
      <c r="AD394"/>
      <c r="AE394"/>
      <c r="AF394"/>
    </row>
    <row r="395" spans="11:32" ht="14.1" customHeight="1" x14ac:dyDescent="0.2">
      <c r="K395" s="125"/>
      <c r="L395" s="153"/>
      <c r="M395"/>
      <c r="N395"/>
      <c r="O395"/>
      <c r="P395"/>
      <c r="Q395"/>
      <c r="R395"/>
      <c r="S395"/>
      <c r="T395"/>
      <c r="U395"/>
      <c r="V395"/>
      <c r="W395"/>
      <c r="X395"/>
      <c r="Y395"/>
      <c r="Z395"/>
      <c r="AA395"/>
      <c r="AB395"/>
      <c r="AC395"/>
      <c r="AD395"/>
      <c r="AE395"/>
      <c r="AF395"/>
    </row>
    <row r="396" spans="11:32" ht="14.1" customHeight="1" x14ac:dyDescent="0.2">
      <c r="K396" s="125"/>
      <c r="L396" s="153"/>
      <c r="M396"/>
      <c r="N396"/>
      <c r="O396"/>
      <c r="P396"/>
      <c r="Q396"/>
      <c r="R396"/>
      <c r="S396"/>
      <c r="T396"/>
      <c r="U396"/>
      <c r="V396"/>
      <c r="W396"/>
      <c r="X396"/>
      <c r="Y396"/>
      <c r="Z396"/>
      <c r="AA396"/>
      <c r="AB396"/>
      <c r="AC396"/>
      <c r="AD396"/>
      <c r="AE396"/>
      <c r="AF396"/>
    </row>
    <row r="397" spans="11:32" ht="14.1" customHeight="1" x14ac:dyDescent="0.2">
      <c r="K397" s="125"/>
      <c r="L397" s="153"/>
      <c r="M397"/>
      <c r="N397"/>
      <c r="O397"/>
      <c r="P397"/>
      <c r="Q397"/>
      <c r="R397"/>
      <c r="S397"/>
      <c r="T397"/>
      <c r="U397"/>
      <c r="V397"/>
      <c r="W397"/>
      <c r="X397"/>
      <c r="Y397"/>
      <c r="Z397"/>
      <c r="AA397"/>
      <c r="AB397"/>
      <c r="AC397"/>
      <c r="AD397"/>
      <c r="AE397"/>
      <c r="AF397"/>
    </row>
    <row r="398" spans="11:32" ht="14.1" customHeight="1" x14ac:dyDescent="0.2">
      <c r="K398" s="125"/>
      <c r="L398" s="153"/>
      <c r="M398"/>
      <c r="N398"/>
      <c r="O398"/>
      <c r="P398"/>
      <c r="Q398"/>
      <c r="R398"/>
      <c r="S398"/>
      <c r="T398"/>
      <c r="U398"/>
      <c r="V398"/>
      <c r="W398"/>
      <c r="X398"/>
      <c r="Y398"/>
      <c r="Z398"/>
      <c r="AA398"/>
      <c r="AB398"/>
      <c r="AC398"/>
      <c r="AD398"/>
      <c r="AE398"/>
      <c r="AF398"/>
    </row>
    <row r="399" spans="11:32" ht="14.1" customHeight="1" x14ac:dyDescent="0.2">
      <c r="K399" s="125"/>
      <c r="L399" s="153"/>
      <c r="M399"/>
      <c r="N399"/>
      <c r="O399"/>
      <c r="P399"/>
      <c r="Q399"/>
      <c r="R399"/>
      <c r="S399"/>
      <c r="T399"/>
      <c r="U399"/>
      <c r="V399"/>
      <c r="W399"/>
      <c r="X399"/>
      <c r="Y399"/>
      <c r="Z399"/>
      <c r="AA399"/>
      <c r="AB399"/>
      <c r="AC399"/>
      <c r="AD399"/>
      <c r="AE399"/>
      <c r="AF399"/>
    </row>
    <row r="400" spans="11:32" ht="14.1" customHeight="1" x14ac:dyDescent="0.2">
      <c r="K400" s="125"/>
      <c r="L400" s="153"/>
      <c r="M400"/>
      <c r="N400"/>
      <c r="O400"/>
      <c r="P400"/>
      <c r="Q400"/>
      <c r="R400"/>
      <c r="S400"/>
      <c r="T400"/>
      <c r="U400"/>
      <c r="V400"/>
      <c r="W400"/>
      <c r="X400"/>
      <c r="Y400"/>
      <c r="Z400"/>
      <c r="AA400"/>
      <c r="AB400"/>
      <c r="AC400"/>
      <c r="AD400"/>
      <c r="AE400"/>
      <c r="AF400"/>
    </row>
    <row r="401" spans="11:32" ht="14.1" customHeight="1" x14ac:dyDescent="0.2">
      <c r="K401" s="125"/>
      <c r="L401" s="153"/>
      <c r="M401"/>
      <c r="N401"/>
      <c r="O401"/>
      <c r="P401"/>
      <c r="Q401"/>
      <c r="R401"/>
      <c r="S401"/>
      <c r="T401"/>
      <c r="U401"/>
      <c r="V401"/>
      <c r="W401"/>
      <c r="X401"/>
      <c r="Y401"/>
      <c r="Z401"/>
      <c r="AA401"/>
      <c r="AB401"/>
      <c r="AC401"/>
      <c r="AD401"/>
      <c r="AE401"/>
      <c r="AF401"/>
    </row>
    <row r="402" spans="11:32" ht="14.1" customHeight="1" x14ac:dyDescent="0.2">
      <c r="K402" s="125"/>
      <c r="L402" s="153"/>
      <c r="M402"/>
      <c r="N402"/>
      <c r="O402"/>
      <c r="P402"/>
      <c r="Q402"/>
      <c r="R402"/>
      <c r="S402"/>
      <c r="T402"/>
      <c r="U402"/>
      <c r="V402"/>
      <c r="W402"/>
      <c r="X402"/>
      <c r="Y402"/>
      <c r="Z402"/>
      <c r="AA402"/>
      <c r="AB402"/>
      <c r="AC402"/>
      <c r="AD402"/>
      <c r="AE402"/>
      <c r="AF402"/>
    </row>
    <row r="403" spans="11:32" ht="14.1" customHeight="1" x14ac:dyDescent="0.2">
      <c r="K403" s="125"/>
      <c r="L403" s="153"/>
      <c r="M403"/>
      <c r="N403"/>
      <c r="O403"/>
      <c r="P403"/>
      <c r="Q403"/>
      <c r="R403"/>
      <c r="S403"/>
      <c r="T403"/>
      <c r="U403"/>
      <c r="V403"/>
      <c r="W403"/>
      <c r="X403"/>
      <c r="Y403"/>
      <c r="Z403"/>
      <c r="AA403"/>
      <c r="AB403"/>
      <c r="AC403"/>
      <c r="AD403"/>
      <c r="AE403"/>
      <c r="AF403"/>
    </row>
    <row r="404" spans="11:32" ht="14.1" customHeight="1" x14ac:dyDescent="0.2">
      <c r="K404" s="125"/>
      <c r="L404" s="153"/>
      <c r="M404"/>
      <c r="N404"/>
      <c r="O404"/>
      <c r="P404"/>
      <c r="Q404"/>
      <c r="R404"/>
      <c r="S404"/>
      <c r="T404"/>
      <c r="U404"/>
      <c r="V404"/>
      <c r="W404"/>
      <c r="X404"/>
      <c r="Y404"/>
      <c r="Z404"/>
      <c r="AA404"/>
      <c r="AB404"/>
      <c r="AC404"/>
      <c r="AD404"/>
      <c r="AE404"/>
      <c r="AF404"/>
    </row>
    <row r="405" spans="11:32" ht="14.1" customHeight="1" x14ac:dyDescent="0.2">
      <c r="K405" s="125"/>
      <c r="L405" s="153"/>
      <c r="M405"/>
      <c r="N405"/>
      <c r="O405"/>
      <c r="P405"/>
      <c r="Q405"/>
      <c r="R405"/>
      <c r="S405"/>
      <c r="T405"/>
      <c r="U405"/>
      <c r="V405"/>
      <c r="W405"/>
      <c r="X405"/>
      <c r="Y405"/>
      <c r="Z405"/>
      <c r="AA405"/>
      <c r="AB405"/>
      <c r="AC405"/>
      <c r="AD405"/>
      <c r="AE405"/>
      <c r="AF405"/>
    </row>
    <row r="406" spans="11:32" ht="14.1" customHeight="1" x14ac:dyDescent="0.2">
      <c r="K406" s="125"/>
      <c r="L406" s="153"/>
      <c r="M406"/>
      <c r="N406"/>
      <c r="O406"/>
      <c r="P406"/>
      <c r="Q406"/>
      <c r="R406"/>
      <c r="S406"/>
      <c r="T406"/>
      <c r="U406"/>
      <c r="V406"/>
      <c r="W406"/>
      <c r="X406"/>
      <c r="Y406"/>
      <c r="Z406"/>
      <c r="AA406"/>
      <c r="AB406"/>
      <c r="AC406"/>
      <c r="AD406"/>
      <c r="AE406"/>
      <c r="AF406"/>
    </row>
    <row r="407" spans="11:32" ht="14.1" customHeight="1" x14ac:dyDescent="0.2">
      <c r="K407" s="125"/>
      <c r="L407" s="153"/>
      <c r="M407"/>
      <c r="N407"/>
      <c r="O407"/>
      <c r="P407"/>
      <c r="Q407"/>
      <c r="R407"/>
      <c r="S407"/>
      <c r="T407"/>
      <c r="U407"/>
      <c r="V407"/>
      <c r="W407"/>
      <c r="X407"/>
      <c r="Y407"/>
      <c r="Z407"/>
      <c r="AA407"/>
      <c r="AB407"/>
      <c r="AC407"/>
      <c r="AD407"/>
      <c r="AE407"/>
      <c r="AF407"/>
    </row>
    <row r="408" spans="11:32" ht="14.1" customHeight="1" x14ac:dyDescent="0.2">
      <c r="K408" s="125"/>
      <c r="L408" s="153"/>
      <c r="M408"/>
      <c r="N408"/>
      <c r="O408"/>
      <c r="P408"/>
      <c r="Q408"/>
      <c r="R408"/>
      <c r="S408"/>
      <c r="T408"/>
      <c r="U408"/>
      <c r="V408"/>
      <c r="W408"/>
      <c r="X408"/>
      <c r="Y408"/>
      <c r="Z408"/>
      <c r="AA408"/>
      <c r="AB408"/>
      <c r="AC408"/>
      <c r="AD408"/>
      <c r="AE408"/>
      <c r="AF408"/>
    </row>
    <row r="409" spans="11:32" ht="14.1" customHeight="1" x14ac:dyDescent="0.2">
      <c r="K409" s="125"/>
      <c r="L409" s="153"/>
      <c r="M409"/>
      <c r="N409"/>
      <c r="O409"/>
      <c r="P409"/>
      <c r="Q409"/>
      <c r="R409"/>
      <c r="S409"/>
      <c r="T409"/>
      <c r="U409"/>
      <c r="V409"/>
      <c r="W409"/>
      <c r="X409"/>
      <c r="Y409"/>
      <c r="Z409"/>
      <c r="AA409"/>
      <c r="AB409"/>
      <c r="AC409"/>
      <c r="AD409"/>
      <c r="AE409"/>
      <c r="AF409"/>
    </row>
    <row r="410" spans="11:32" ht="14.1" customHeight="1" x14ac:dyDescent="0.2">
      <c r="K410" s="125"/>
      <c r="L410" s="153"/>
      <c r="M410"/>
      <c r="N410"/>
      <c r="O410"/>
      <c r="P410"/>
      <c r="Q410"/>
      <c r="R410"/>
      <c r="S410"/>
      <c r="T410"/>
      <c r="U410"/>
      <c r="V410"/>
      <c r="W410"/>
      <c r="X410"/>
      <c r="Y410"/>
      <c r="Z410"/>
      <c r="AA410"/>
      <c r="AB410"/>
      <c r="AC410"/>
      <c r="AD410"/>
      <c r="AE410"/>
      <c r="AF410"/>
    </row>
    <row r="411" spans="11:32" ht="14.1" customHeight="1" x14ac:dyDescent="0.2">
      <c r="K411" s="125"/>
      <c r="L411" s="153"/>
      <c r="M411"/>
      <c r="N411"/>
      <c r="O411"/>
      <c r="P411"/>
      <c r="Q411"/>
      <c r="R411"/>
      <c r="S411"/>
      <c r="T411"/>
      <c r="U411"/>
      <c r="V411"/>
      <c r="W411"/>
      <c r="X411"/>
      <c r="Y411"/>
      <c r="Z411"/>
      <c r="AA411"/>
      <c r="AB411"/>
      <c r="AC411"/>
      <c r="AD411"/>
      <c r="AE411"/>
      <c r="AF411"/>
    </row>
    <row r="412" spans="11:32" ht="14.1" customHeight="1" x14ac:dyDescent="0.2">
      <c r="K412" s="125"/>
      <c r="L412" s="153"/>
      <c r="M412"/>
      <c r="N412"/>
      <c r="O412"/>
      <c r="P412"/>
      <c r="Q412"/>
      <c r="R412"/>
      <c r="S412"/>
      <c r="T412"/>
      <c r="U412"/>
      <c r="V412"/>
      <c r="W412"/>
      <c r="X412"/>
      <c r="Y412"/>
      <c r="Z412"/>
      <c r="AA412"/>
      <c r="AB412"/>
      <c r="AC412"/>
      <c r="AD412"/>
      <c r="AE412"/>
      <c r="AF412"/>
    </row>
    <row r="413" spans="11:32" ht="14.1" customHeight="1" x14ac:dyDescent="0.2">
      <c r="K413" s="125"/>
      <c r="L413" s="153"/>
      <c r="M413"/>
      <c r="N413"/>
      <c r="O413"/>
      <c r="P413"/>
      <c r="Q413"/>
      <c r="R413"/>
      <c r="S413"/>
      <c r="T413"/>
      <c r="U413"/>
      <c r="V413"/>
      <c r="W413"/>
      <c r="X413"/>
      <c r="Y413"/>
      <c r="Z413"/>
      <c r="AA413"/>
      <c r="AB413"/>
      <c r="AC413"/>
      <c r="AD413"/>
      <c r="AE413"/>
      <c r="AF413"/>
    </row>
    <row r="414" spans="11:32" ht="14.1" customHeight="1" x14ac:dyDescent="0.2">
      <c r="K414" s="125"/>
      <c r="L414" s="153"/>
      <c r="M414"/>
      <c r="N414"/>
      <c r="O414"/>
      <c r="P414"/>
      <c r="Q414"/>
      <c r="R414"/>
      <c r="S414"/>
      <c r="T414"/>
      <c r="U414"/>
      <c r="V414"/>
      <c r="W414"/>
      <c r="X414"/>
      <c r="Y414"/>
      <c r="Z414"/>
      <c r="AA414"/>
      <c r="AB414"/>
      <c r="AC414"/>
      <c r="AD414"/>
      <c r="AE414"/>
      <c r="AF414"/>
    </row>
    <row r="415" spans="11:32" ht="14.1" customHeight="1" x14ac:dyDescent="0.2">
      <c r="K415" s="125"/>
      <c r="L415" s="153"/>
      <c r="M415"/>
      <c r="N415"/>
      <c r="O415"/>
      <c r="P415"/>
      <c r="Q415"/>
      <c r="R415"/>
      <c r="S415"/>
      <c r="T415"/>
      <c r="U415"/>
      <c r="V415"/>
      <c r="W415"/>
      <c r="X415"/>
      <c r="Y415"/>
      <c r="Z415"/>
      <c r="AA415"/>
      <c r="AB415"/>
      <c r="AC415"/>
      <c r="AD415"/>
      <c r="AE415"/>
      <c r="AF415"/>
    </row>
    <row r="416" spans="11:32" ht="14.1" customHeight="1" x14ac:dyDescent="0.2">
      <c r="K416" s="125"/>
      <c r="L416" s="153"/>
      <c r="M416"/>
      <c r="N416"/>
      <c r="O416"/>
      <c r="P416"/>
      <c r="Q416"/>
      <c r="R416"/>
      <c r="S416"/>
      <c r="T416"/>
      <c r="U416"/>
      <c r="V416"/>
      <c r="W416"/>
      <c r="X416"/>
      <c r="Y416"/>
      <c r="Z416"/>
      <c r="AA416"/>
      <c r="AB416"/>
      <c r="AC416"/>
      <c r="AD416"/>
      <c r="AE416"/>
      <c r="AF416"/>
    </row>
    <row r="417" spans="11:32" ht="14.1" customHeight="1" x14ac:dyDescent="0.2">
      <c r="K417" s="125"/>
      <c r="L417" s="153"/>
      <c r="M417"/>
      <c r="N417"/>
      <c r="O417"/>
      <c r="P417"/>
      <c r="Q417"/>
      <c r="R417"/>
      <c r="S417"/>
      <c r="T417"/>
      <c r="U417"/>
      <c r="V417"/>
      <c r="W417"/>
      <c r="X417"/>
      <c r="Y417"/>
      <c r="Z417"/>
      <c r="AA417"/>
      <c r="AB417"/>
      <c r="AC417"/>
      <c r="AD417"/>
      <c r="AE417"/>
      <c r="AF417"/>
    </row>
    <row r="418" spans="11:32" ht="14.1" customHeight="1" x14ac:dyDescent="0.2">
      <c r="K418" s="125"/>
      <c r="L418" s="153"/>
      <c r="M418"/>
      <c r="N418"/>
      <c r="O418"/>
      <c r="P418"/>
      <c r="Q418"/>
      <c r="R418"/>
      <c r="S418"/>
      <c r="T418"/>
      <c r="U418"/>
      <c r="V418"/>
      <c r="W418"/>
      <c r="X418"/>
      <c r="Y418"/>
      <c r="Z418"/>
      <c r="AA418"/>
      <c r="AB418"/>
      <c r="AC418"/>
      <c r="AD418"/>
      <c r="AE418"/>
      <c r="AF418"/>
    </row>
    <row r="419" spans="11:32" ht="14.1" customHeight="1" x14ac:dyDescent="0.2">
      <c r="K419" s="125"/>
      <c r="L419" s="153"/>
      <c r="M419"/>
      <c r="N419"/>
      <c r="O419"/>
      <c r="P419"/>
      <c r="Q419"/>
      <c r="R419"/>
      <c r="S419"/>
      <c r="T419"/>
      <c r="U419"/>
      <c r="V419"/>
      <c r="W419"/>
      <c r="X419"/>
      <c r="Y419"/>
      <c r="Z419"/>
      <c r="AA419"/>
      <c r="AB419"/>
      <c r="AC419"/>
      <c r="AD419"/>
      <c r="AE419"/>
      <c r="AF419"/>
    </row>
    <row r="420" spans="11:32" ht="14.1" customHeight="1" x14ac:dyDescent="0.2">
      <c r="K420" s="125"/>
      <c r="L420" s="153"/>
      <c r="M420"/>
      <c r="N420"/>
      <c r="O420"/>
      <c r="P420"/>
      <c r="Q420"/>
      <c r="R420"/>
      <c r="S420"/>
      <c r="T420"/>
      <c r="U420"/>
      <c r="V420"/>
      <c r="W420"/>
      <c r="X420"/>
      <c r="Y420"/>
      <c r="Z420"/>
      <c r="AA420"/>
      <c r="AB420"/>
      <c r="AC420"/>
      <c r="AD420"/>
      <c r="AE420"/>
      <c r="AF420"/>
    </row>
    <row r="421" spans="11:32" ht="14.1" customHeight="1" x14ac:dyDescent="0.2">
      <c r="K421" s="125"/>
      <c r="L421" s="153"/>
      <c r="M421"/>
      <c r="N421"/>
      <c r="O421"/>
      <c r="P421"/>
      <c r="Q421"/>
      <c r="R421"/>
      <c r="S421"/>
      <c r="T421"/>
      <c r="U421"/>
      <c r="V421"/>
      <c r="W421"/>
      <c r="X421"/>
      <c r="Y421"/>
      <c r="Z421"/>
      <c r="AA421"/>
      <c r="AB421"/>
      <c r="AC421"/>
      <c r="AD421"/>
      <c r="AE421"/>
      <c r="AF421"/>
    </row>
    <row r="422" spans="11:32" ht="14.1" customHeight="1" x14ac:dyDescent="0.2">
      <c r="K422" s="125"/>
      <c r="L422" s="153"/>
      <c r="M422"/>
      <c r="N422"/>
      <c r="O422"/>
      <c r="P422"/>
      <c r="Q422"/>
      <c r="R422"/>
      <c r="S422"/>
      <c r="T422"/>
      <c r="U422"/>
      <c r="V422"/>
      <c r="W422"/>
      <c r="X422"/>
      <c r="Y422"/>
      <c r="Z422"/>
      <c r="AA422"/>
      <c r="AB422"/>
      <c r="AC422"/>
      <c r="AD422"/>
      <c r="AE422"/>
      <c r="AF422"/>
    </row>
    <row r="423" spans="11:32" ht="14.1" customHeight="1" x14ac:dyDescent="0.2">
      <c r="K423" s="125"/>
      <c r="L423" s="153"/>
      <c r="M423"/>
      <c r="N423"/>
      <c r="O423"/>
      <c r="P423"/>
      <c r="Q423"/>
      <c r="R423"/>
      <c r="S423"/>
      <c r="T423"/>
      <c r="U423"/>
      <c r="V423"/>
      <c r="W423"/>
      <c r="X423"/>
      <c r="Y423"/>
      <c r="Z423"/>
      <c r="AA423"/>
      <c r="AB423"/>
      <c r="AC423"/>
      <c r="AD423"/>
      <c r="AE423"/>
      <c r="AF423"/>
    </row>
    <row r="424" spans="11:32" ht="14.1" customHeight="1" x14ac:dyDescent="0.2">
      <c r="K424" s="125"/>
      <c r="L424" s="153"/>
      <c r="M424"/>
      <c r="N424"/>
      <c r="O424"/>
      <c r="P424"/>
      <c r="Q424"/>
      <c r="R424"/>
      <c r="S424"/>
      <c r="T424"/>
      <c r="U424"/>
      <c r="V424"/>
      <c r="W424"/>
      <c r="X424"/>
      <c r="Y424"/>
      <c r="Z424"/>
      <c r="AA424"/>
      <c r="AB424"/>
      <c r="AC424"/>
      <c r="AD424"/>
      <c r="AE424"/>
      <c r="AF424"/>
    </row>
    <row r="425" spans="11:32" ht="14.1" customHeight="1" x14ac:dyDescent="0.2">
      <c r="K425" s="125"/>
      <c r="L425" s="153"/>
      <c r="M425"/>
      <c r="N425"/>
      <c r="O425"/>
      <c r="P425"/>
      <c r="Q425"/>
      <c r="R425"/>
      <c r="S425"/>
      <c r="T425"/>
      <c r="U425"/>
      <c r="V425"/>
      <c r="W425"/>
      <c r="X425"/>
      <c r="Y425"/>
      <c r="Z425"/>
      <c r="AA425"/>
      <c r="AB425"/>
      <c r="AC425"/>
      <c r="AD425"/>
      <c r="AE425"/>
      <c r="AF425"/>
    </row>
    <row r="426" spans="11:32" ht="14.1" customHeight="1" x14ac:dyDescent="0.2">
      <c r="K426" s="125"/>
      <c r="L426" s="153"/>
      <c r="M426"/>
      <c r="N426"/>
      <c r="O426"/>
      <c r="P426"/>
      <c r="Q426"/>
      <c r="R426"/>
      <c r="S426"/>
      <c r="T426"/>
      <c r="U426"/>
      <c r="V426"/>
      <c r="W426"/>
      <c r="X426"/>
      <c r="Y426"/>
      <c r="Z426"/>
      <c r="AA426"/>
      <c r="AB426"/>
      <c r="AC426"/>
      <c r="AD426"/>
      <c r="AE426"/>
      <c r="AF426"/>
    </row>
    <row r="427" spans="11:32" ht="14.1" customHeight="1" x14ac:dyDescent="0.2">
      <c r="K427" s="125"/>
      <c r="L427" s="153"/>
      <c r="M427"/>
      <c r="N427"/>
      <c r="O427"/>
      <c r="P427"/>
      <c r="Q427"/>
      <c r="R427"/>
      <c r="S427"/>
      <c r="T427"/>
      <c r="U427"/>
      <c r="V427"/>
      <c r="W427"/>
      <c r="X427"/>
      <c r="Y427"/>
      <c r="Z427"/>
      <c r="AA427"/>
      <c r="AB427"/>
      <c r="AC427"/>
      <c r="AD427"/>
      <c r="AE427"/>
      <c r="AF427"/>
    </row>
    <row r="428" spans="11:32" ht="14.1" customHeight="1" x14ac:dyDescent="0.2">
      <c r="K428" s="125"/>
      <c r="L428" s="153"/>
      <c r="M428"/>
      <c r="N428"/>
      <c r="O428"/>
      <c r="P428"/>
      <c r="Q428"/>
      <c r="R428"/>
      <c r="S428"/>
      <c r="T428"/>
      <c r="U428"/>
      <c r="V428"/>
      <c r="W428"/>
      <c r="X428"/>
      <c r="Y428"/>
      <c r="Z428"/>
      <c r="AA428"/>
      <c r="AB428"/>
      <c r="AC428"/>
      <c r="AD428"/>
      <c r="AE428"/>
      <c r="AF428"/>
    </row>
    <row r="429" spans="11:32" ht="14.1" customHeight="1" x14ac:dyDescent="0.2">
      <c r="K429" s="125"/>
      <c r="L429" s="153"/>
      <c r="M429"/>
      <c r="N429"/>
      <c r="O429"/>
      <c r="P429"/>
      <c r="Q429"/>
      <c r="R429"/>
      <c r="S429"/>
      <c r="T429"/>
      <c r="U429"/>
      <c r="V429"/>
      <c r="W429"/>
      <c r="X429"/>
      <c r="Y429"/>
      <c r="Z429"/>
      <c r="AA429"/>
      <c r="AB429"/>
      <c r="AC429"/>
      <c r="AD429"/>
      <c r="AE429"/>
      <c r="AF429"/>
    </row>
    <row r="430" spans="11:32" ht="14.1" customHeight="1" x14ac:dyDescent="0.2">
      <c r="K430" s="125"/>
      <c r="L430" s="153"/>
      <c r="M430"/>
      <c r="N430"/>
      <c r="O430"/>
      <c r="P430"/>
      <c r="Q430"/>
      <c r="R430"/>
      <c r="S430"/>
      <c r="T430"/>
      <c r="U430"/>
      <c r="V430"/>
      <c r="W430"/>
      <c r="X430"/>
      <c r="Y430"/>
      <c r="Z430"/>
      <c r="AA430"/>
      <c r="AB430"/>
      <c r="AC430"/>
      <c r="AD430"/>
      <c r="AE430"/>
      <c r="AF430"/>
    </row>
    <row r="431" spans="11:32" ht="14.1" customHeight="1" x14ac:dyDescent="0.2">
      <c r="K431" s="125"/>
      <c r="L431" s="153"/>
      <c r="M431"/>
      <c r="N431"/>
      <c r="O431"/>
      <c r="P431"/>
      <c r="Q431"/>
      <c r="R431"/>
      <c r="S431"/>
      <c r="T431"/>
      <c r="U431"/>
      <c r="V431"/>
      <c r="W431"/>
      <c r="X431"/>
      <c r="Y431"/>
      <c r="Z431"/>
      <c r="AA431"/>
      <c r="AB431"/>
      <c r="AC431"/>
      <c r="AD431"/>
      <c r="AE431"/>
      <c r="AF431"/>
    </row>
    <row r="432" spans="11:32" ht="14.1" customHeight="1" x14ac:dyDescent="0.2">
      <c r="K432" s="125"/>
      <c r="L432" s="153"/>
      <c r="M432"/>
      <c r="N432"/>
      <c r="O432"/>
      <c r="P432"/>
      <c r="Q432"/>
      <c r="R432"/>
      <c r="S432"/>
      <c r="T432"/>
      <c r="U432"/>
      <c r="V432"/>
      <c r="W432"/>
      <c r="X432"/>
      <c r="Y432"/>
      <c r="Z432"/>
      <c r="AA432"/>
      <c r="AB432"/>
      <c r="AC432"/>
      <c r="AD432"/>
      <c r="AE432"/>
      <c r="AF432"/>
    </row>
    <row r="433" spans="11:32" ht="14.1" customHeight="1" x14ac:dyDescent="0.2">
      <c r="K433" s="125"/>
      <c r="L433" s="153"/>
      <c r="M433"/>
      <c r="N433"/>
      <c r="O433"/>
      <c r="P433"/>
      <c r="Q433"/>
      <c r="R433"/>
      <c r="S433"/>
      <c r="T433"/>
      <c r="U433"/>
      <c r="V433"/>
      <c r="W433"/>
      <c r="X433"/>
      <c r="Y433"/>
      <c r="Z433"/>
      <c r="AA433"/>
      <c r="AB433"/>
      <c r="AC433"/>
      <c r="AD433"/>
      <c r="AE433"/>
      <c r="AF433"/>
    </row>
    <row r="434" spans="11:32" ht="14.1" customHeight="1" x14ac:dyDescent="0.2">
      <c r="K434" s="125"/>
      <c r="L434" s="153"/>
      <c r="M434"/>
      <c r="N434"/>
      <c r="O434"/>
      <c r="P434"/>
      <c r="Q434"/>
      <c r="R434"/>
      <c r="S434"/>
      <c r="T434"/>
      <c r="U434"/>
      <c r="V434"/>
      <c r="W434"/>
      <c r="X434"/>
      <c r="Y434"/>
      <c r="Z434"/>
      <c r="AA434"/>
      <c r="AB434"/>
      <c r="AC434"/>
      <c r="AD434"/>
      <c r="AE434"/>
      <c r="AF434"/>
    </row>
    <row r="435" spans="11:32" ht="14.1" customHeight="1" x14ac:dyDescent="0.2">
      <c r="K435" s="125"/>
      <c r="L435" s="153"/>
      <c r="M435"/>
      <c r="N435"/>
      <c r="O435"/>
      <c r="P435"/>
      <c r="Q435"/>
      <c r="R435"/>
      <c r="S435"/>
      <c r="T435"/>
      <c r="U435"/>
      <c r="V435"/>
      <c r="W435"/>
      <c r="X435"/>
      <c r="Y435"/>
      <c r="Z435"/>
      <c r="AA435"/>
      <c r="AB435"/>
      <c r="AC435"/>
      <c r="AD435"/>
      <c r="AE435"/>
      <c r="AF435"/>
    </row>
    <row r="436" spans="11:32" ht="14.1" customHeight="1" x14ac:dyDescent="0.2">
      <c r="K436" s="125"/>
      <c r="L436" s="153"/>
      <c r="M436"/>
      <c r="N436"/>
      <c r="O436"/>
      <c r="P436"/>
      <c r="Q436"/>
      <c r="R436"/>
      <c r="S436"/>
      <c r="T436"/>
      <c r="U436"/>
      <c r="V436"/>
      <c r="W436"/>
      <c r="X436"/>
      <c r="Y436"/>
      <c r="Z436"/>
      <c r="AA436"/>
      <c r="AB436"/>
      <c r="AC436"/>
      <c r="AD436"/>
      <c r="AE436"/>
      <c r="AF436"/>
    </row>
    <row r="437" spans="11:32" ht="14.1" customHeight="1" x14ac:dyDescent="0.2">
      <c r="K437" s="125"/>
      <c r="L437" s="153"/>
      <c r="M437"/>
      <c r="N437"/>
      <c r="O437"/>
      <c r="P437"/>
      <c r="Q437"/>
      <c r="R437"/>
      <c r="S437"/>
      <c r="T437"/>
      <c r="U437"/>
      <c r="V437"/>
      <c r="W437"/>
      <c r="X437"/>
      <c r="Y437"/>
      <c r="Z437"/>
      <c r="AA437"/>
      <c r="AB437"/>
      <c r="AC437"/>
      <c r="AD437"/>
      <c r="AE437"/>
      <c r="AF437"/>
    </row>
    <row r="438" spans="11:32" ht="14.1" customHeight="1" x14ac:dyDescent="0.2">
      <c r="K438" s="125"/>
      <c r="L438" s="153"/>
      <c r="M438"/>
      <c r="N438"/>
      <c r="O438"/>
      <c r="P438"/>
      <c r="Q438"/>
      <c r="R438"/>
      <c r="S438"/>
      <c r="T438"/>
      <c r="U438"/>
      <c r="V438"/>
      <c r="W438"/>
      <c r="X438"/>
      <c r="Y438"/>
      <c r="Z438"/>
      <c r="AA438"/>
      <c r="AB438"/>
      <c r="AC438"/>
      <c r="AD438"/>
      <c r="AE438"/>
      <c r="AF438"/>
    </row>
    <row r="439" spans="11:32" ht="14.1" customHeight="1" x14ac:dyDescent="0.2">
      <c r="K439" s="125"/>
      <c r="L439" s="153"/>
      <c r="M439"/>
      <c r="N439"/>
      <c r="O439"/>
      <c r="P439"/>
      <c r="Q439"/>
      <c r="R439"/>
      <c r="S439"/>
      <c r="T439"/>
      <c r="U439"/>
      <c r="V439"/>
      <c r="W439"/>
      <c r="X439"/>
      <c r="Y439"/>
      <c r="Z439"/>
      <c r="AA439"/>
      <c r="AB439"/>
      <c r="AC439"/>
      <c r="AD439"/>
      <c r="AE439"/>
      <c r="AF439"/>
    </row>
    <row r="440" spans="11:32" ht="14.1" customHeight="1" x14ac:dyDescent="0.2">
      <c r="K440" s="125"/>
      <c r="L440" s="153"/>
      <c r="M440"/>
      <c r="N440"/>
      <c r="O440"/>
      <c r="P440"/>
      <c r="Q440"/>
      <c r="R440"/>
      <c r="S440"/>
      <c r="T440"/>
      <c r="U440"/>
      <c r="V440"/>
      <c r="W440"/>
      <c r="X440"/>
      <c r="Y440"/>
      <c r="Z440"/>
      <c r="AA440"/>
      <c r="AB440"/>
      <c r="AC440"/>
      <c r="AD440"/>
      <c r="AE440"/>
      <c r="AF440"/>
    </row>
    <row r="441" spans="11:32" ht="14.1" customHeight="1" x14ac:dyDescent="0.2">
      <c r="K441" s="125"/>
      <c r="L441" s="153"/>
      <c r="M441"/>
      <c r="N441"/>
      <c r="O441"/>
      <c r="P441"/>
      <c r="Q441"/>
      <c r="R441"/>
      <c r="S441"/>
      <c r="T441"/>
      <c r="U441"/>
      <c r="V441"/>
      <c r="W441"/>
      <c r="X441"/>
      <c r="Y441"/>
      <c r="Z441"/>
      <c r="AA441"/>
      <c r="AB441"/>
      <c r="AC441"/>
      <c r="AD441"/>
      <c r="AE441"/>
      <c r="AF441"/>
    </row>
    <row r="442" spans="11:32" ht="14.1" customHeight="1" x14ac:dyDescent="0.2">
      <c r="K442" s="125"/>
      <c r="L442" s="153"/>
      <c r="M442"/>
      <c r="N442"/>
      <c r="O442"/>
      <c r="P442"/>
      <c r="Q442"/>
      <c r="R442"/>
      <c r="S442"/>
      <c r="T442"/>
      <c r="U442"/>
      <c r="V442"/>
      <c r="W442"/>
      <c r="X442"/>
      <c r="Y442"/>
      <c r="Z442"/>
      <c r="AA442"/>
      <c r="AB442"/>
      <c r="AC442"/>
      <c r="AD442"/>
      <c r="AE442"/>
      <c r="AF442"/>
    </row>
    <row r="443" spans="11:32" ht="14.1" customHeight="1" x14ac:dyDescent="0.2">
      <c r="K443" s="125"/>
      <c r="L443" s="153"/>
      <c r="M443"/>
      <c r="N443"/>
      <c r="O443"/>
      <c r="P443"/>
      <c r="Q443"/>
      <c r="R443"/>
      <c r="S443"/>
      <c r="T443"/>
      <c r="U443"/>
      <c r="V443"/>
      <c r="W443"/>
      <c r="X443"/>
      <c r="Y443"/>
      <c r="Z443"/>
      <c r="AA443"/>
      <c r="AB443"/>
      <c r="AC443"/>
      <c r="AD443"/>
      <c r="AE443"/>
      <c r="AF443"/>
    </row>
    <row r="444" spans="11:32" ht="14.1" customHeight="1" x14ac:dyDescent="0.2">
      <c r="K444" s="125"/>
      <c r="L444" s="153"/>
      <c r="M444"/>
      <c r="N444"/>
      <c r="O444"/>
      <c r="P444"/>
      <c r="Q444"/>
      <c r="R444"/>
      <c r="S444"/>
      <c r="T444"/>
      <c r="U444"/>
      <c r="V444"/>
      <c r="W444"/>
      <c r="X444"/>
      <c r="Y444"/>
      <c r="Z444"/>
      <c r="AA444"/>
      <c r="AB444"/>
      <c r="AC444"/>
      <c r="AD444"/>
      <c r="AE444"/>
      <c r="AF444"/>
    </row>
    <row r="445" spans="11:32" ht="14.1" customHeight="1" x14ac:dyDescent="0.2">
      <c r="K445" s="125"/>
      <c r="L445" s="153"/>
      <c r="M445"/>
      <c r="N445"/>
      <c r="O445"/>
      <c r="P445"/>
      <c r="Q445"/>
      <c r="R445"/>
      <c r="S445"/>
      <c r="T445"/>
      <c r="U445"/>
      <c r="V445"/>
      <c r="W445"/>
      <c r="X445"/>
      <c r="Y445"/>
      <c r="Z445"/>
      <c r="AA445"/>
      <c r="AB445"/>
      <c r="AC445"/>
      <c r="AD445"/>
      <c r="AE445"/>
      <c r="AF445"/>
    </row>
    <row r="446" spans="11:32" ht="14.1" customHeight="1" x14ac:dyDescent="0.2">
      <c r="K446" s="125"/>
      <c r="L446" s="153"/>
      <c r="M446"/>
      <c r="N446"/>
      <c r="O446"/>
      <c r="P446"/>
      <c r="Q446"/>
      <c r="R446"/>
      <c r="S446"/>
      <c r="T446"/>
      <c r="U446"/>
      <c r="V446"/>
      <c r="W446"/>
      <c r="X446"/>
      <c r="Y446"/>
      <c r="Z446"/>
      <c r="AA446"/>
      <c r="AB446"/>
      <c r="AC446"/>
      <c r="AD446"/>
      <c r="AE446"/>
      <c r="AF446"/>
    </row>
    <row r="447" spans="11:32" ht="14.1" customHeight="1" x14ac:dyDescent="0.2">
      <c r="K447" s="125"/>
      <c r="L447" s="153"/>
      <c r="M447"/>
      <c r="N447"/>
      <c r="O447"/>
      <c r="P447"/>
      <c r="Q447"/>
      <c r="R447"/>
      <c r="S447"/>
      <c r="T447"/>
      <c r="U447"/>
      <c r="V447"/>
      <c r="W447"/>
      <c r="X447"/>
      <c r="Y447"/>
      <c r="Z447"/>
      <c r="AA447"/>
      <c r="AB447"/>
      <c r="AC447"/>
      <c r="AD447"/>
      <c r="AE447"/>
      <c r="AF447"/>
    </row>
    <row r="448" spans="11:32" ht="14.1" customHeight="1" x14ac:dyDescent="0.2">
      <c r="K448" s="125"/>
      <c r="L448" s="153"/>
      <c r="M448"/>
      <c r="N448"/>
      <c r="O448"/>
      <c r="P448"/>
      <c r="Q448"/>
      <c r="R448"/>
      <c r="S448"/>
      <c r="T448"/>
      <c r="U448"/>
      <c r="V448"/>
      <c r="W448"/>
      <c r="X448"/>
      <c r="Y448"/>
      <c r="Z448"/>
      <c r="AA448"/>
      <c r="AB448"/>
      <c r="AC448"/>
      <c r="AD448"/>
      <c r="AE448"/>
      <c r="AF448"/>
    </row>
    <row r="449" spans="11:32" ht="14.1" customHeight="1" x14ac:dyDescent="0.2">
      <c r="K449" s="125"/>
      <c r="L449" s="153"/>
      <c r="M449"/>
      <c r="N449"/>
      <c r="O449"/>
      <c r="P449"/>
      <c r="Q449"/>
      <c r="R449"/>
      <c r="S449"/>
      <c r="T449"/>
      <c r="U449"/>
      <c r="V449"/>
      <c r="W449"/>
      <c r="X449"/>
      <c r="Y449"/>
      <c r="Z449"/>
      <c r="AA449"/>
      <c r="AB449"/>
      <c r="AC449"/>
      <c r="AD449"/>
      <c r="AE449"/>
      <c r="AF449"/>
    </row>
    <row r="450" spans="11:32" ht="14.1" customHeight="1" x14ac:dyDescent="0.2">
      <c r="K450" s="125"/>
      <c r="L450" s="153"/>
      <c r="M450"/>
      <c r="N450"/>
      <c r="O450"/>
      <c r="P450"/>
      <c r="Q450"/>
      <c r="R450"/>
      <c r="S450"/>
      <c r="T450"/>
      <c r="U450"/>
      <c r="V450"/>
      <c r="W450"/>
      <c r="X450"/>
      <c r="Y450"/>
      <c r="Z450"/>
      <c r="AA450"/>
      <c r="AB450"/>
      <c r="AC450"/>
      <c r="AD450"/>
      <c r="AE450"/>
      <c r="AF450"/>
    </row>
    <row r="451" spans="11:32" ht="14.1" customHeight="1" x14ac:dyDescent="0.2">
      <c r="K451" s="125"/>
      <c r="L451" s="153"/>
      <c r="M451"/>
      <c r="N451"/>
      <c r="O451"/>
      <c r="P451"/>
      <c r="Q451"/>
      <c r="R451"/>
      <c r="S451"/>
      <c r="T451"/>
      <c r="U451"/>
      <c r="V451"/>
      <c r="W451"/>
      <c r="X451"/>
      <c r="Y451"/>
      <c r="Z451"/>
      <c r="AA451"/>
      <c r="AB451"/>
      <c r="AC451"/>
      <c r="AD451"/>
      <c r="AE451"/>
      <c r="AF451"/>
    </row>
    <row r="452" spans="11:32" ht="14.1" customHeight="1" x14ac:dyDescent="0.2">
      <c r="K452" s="125"/>
      <c r="L452" s="153"/>
      <c r="M452"/>
      <c r="N452"/>
      <c r="O452"/>
      <c r="P452"/>
      <c r="Q452"/>
      <c r="R452"/>
      <c r="S452"/>
      <c r="T452"/>
      <c r="U452"/>
      <c r="V452"/>
      <c r="W452"/>
      <c r="X452"/>
      <c r="Y452"/>
      <c r="Z452"/>
      <c r="AA452"/>
      <c r="AB452"/>
      <c r="AC452"/>
      <c r="AD452"/>
      <c r="AE452"/>
      <c r="AF452"/>
    </row>
    <row r="453" spans="11:32" ht="14.1" customHeight="1" x14ac:dyDescent="0.2">
      <c r="K453" s="125"/>
      <c r="L453" s="153"/>
      <c r="M453"/>
      <c r="N453"/>
      <c r="O453"/>
      <c r="P453"/>
      <c r="Q453"/>
      <c r="R453"/>
      <c r="S453"/>
      <c r="T453"/>
      <c r="U453"/>
      <c r="V453"/>
      <c r="W453"/>
      <c r="X453"/>
      <c r="Y453"/>
      <c r="Z453"/>
      <c r="AA453"/>
      <c r="AB453"/>
      <c r="AC453"/>
      <c r="AD453"/>
      <c r="AE453"/>
      <c r="AF453"/>
    </row>
    <row r="454" spans="11:32" ht="14.1" customHeight="1" x14ac:dyDescent="0.2">
      <c r="K454" s="125"/>
      <c r="L454" s="153"/>
      <c r="M454"/>
      <c r="N454"/>
      <c r="O454"/>
      <c r="P454"/>
      <c r="Q454"/>
      <c r="R454"/>
      <c r="S454"/>
      <c r="T454"/>
      <c r="U454"/>
      <c r="V454"/>
      <c r="W454"/>
      <c r="X454"/>
      <c r="Y454"/>
      <c r="Z454"/>
      <c r="AA454"/>
      <c r="AB454"/>
      <c r="AC454"/>
      <c r="AD454"/>
      <c r="AE454"/>
      <c r="AF454"/>
    </row>
    <row r="455" spans="11:32" ht="14.1" customHeight="1" x14ac:dyDescent="0.2">
      <c r="K455" s="125"/>
      <c r="L455" s="153"/>
      <c r="M455"/>
      <c r="N455"/>
      <c r="O455"/>
      <c r="P455"/>
      <c r="Q455"/>
      <c r="R455"/>
      <c r="S455"/>
      <c r="T455"/>
      <c r="U455"/>
      <c r="V455"/>
      <c r="W455"/>
      <c r="X455"/>
      <c r="Y455"/>
      <c r="Z455"/>
      <c r="AA455"/>
      <c r="AB455"/>
      <c r="AC455"/>
      <c r="AD455"/>
      <c r="AE455"/>
      <c r="AF455"/>
    </row>
    <row r="456" spans="11:32" ht="14.1" customHeight="1" x14ac:dyDescent="0.2">
      <c r="K456" s="125"/>
      <c r="L456" s="153"/>
      <c r="M456"/>
      <c r="N456"/>
      <c r="O456"/>
      <c r="P456"/>
      <c r="Q456"/>
      <c r="R456"/>
      <c r="S456"/>
      <c r="T456"/>
      <c r="U456"/>
      <c r="V456"/>
      <c r="W456"/>
      <c r="X456"/>
      <c r="Y456"/>
      <c r="Z456"/>
      <c r="AA456"/>
      <c r="AB456"/>
      <c r="AC456"/>
      <c r="AD456"/>
      <c r="AE456"/>
      <c r="AF456"/>
    </row>
    <row r="457" spans="11:32" ht="14.1" customHeight="1" x14ac:dyDescent="0.2">
      <c r="K457" s="125"/>
      <c r="L457" s="153"/>
      <c r="M457"/>
      <c r="N457"/>
      <c r="O457"/>
      <c r="P457"/>
      <c r="Q457"/>
      <c r="R457"/>
      <c r="S457"/>
      <c r="T457"/>
      <c r="U457"/>
      <c r="V457"/>
      <c r="W457"/>
      <c r="X457"/>
      <c r="Y457"/>
      <c r="Z457"/>
      <c r="AA457"/>
      <c r="AB457"/>
      <c r="AC457"/>
      <c r="AD457"/>
      <c r="AE457"/>
      <c r="AF457"/>
    </row>
    <row r="458" spans="11:32" ht="14.1" customHeight="1" x14ac:dyDescent="0.2">
      <c r="K458" s="125"/>
      <c r="L458" s="153"/>
      <c r="M458"/>
      <c r="N458"/>
      <c r="O458"/>
      <c r="P458"/>
      <c r="Q458"/>
      <c r="R458"/>
      <c r="S458"/>
      <c r="T458"/>
      <c r="U458"/>
      <c r="V458"/>
      <c r="W458"/>
      <c r="X458"/>
      <c r="Y458"/>
      <c r="Z458"/>
      <c r="AA458"/>
      <c r="AB458"/>
      <c r="AC458"/>
      <c r="AD458"/>
      <c r="AE458"/>
      <c r="AF458"/>
    </row>
    <row r="459" spans="11:32" ht="14.1" customHeight="1" x14ac:dyDescent="0.2">
      <c r="K459" s="125"/>
      <c r="L459" s="153"/>
      <c r="M459"/>
      <c r="N459"/>
      <c r="O459"/>
      <c r="P459"/>
      <c r="Q459"/>
      <c r="R459"/>
      <c r="S459"/>
      <c r="T459"/>
      <c r="U459"/>
      <c r="V459"/>
      <c r="W459"/>
      <c r="X459"/>
      <c r="Y459"/>
      <c r="Z459"/>
      <c r="AA459"/>
      <c r="AB459"/>
      <c r="AC459"/>
      <c r="AD459"/>
      <c r="AE459"/>
      <c r="AF459"/>
    </row>
    <row r="460" spans="11:32" ht="14.1" customHeight="1" x14ac:dyDescent="0.2">
      <c r="K460" s="125"/>
      <c r="L460" s="153"/>
      <c r="M460"/>
      <c r="N460"/>
      <c r="O460"/>
      <c r="P460"/>
      <c r="Q460"/>
      <c r="R460"/>
      <c r="S460"/>
      <c r="T460"/>
      <c r="U460"/>
      <c r="V460"/>
      <c r="W460"/>
      <c r="X460"/>
      <c r="Y460"/>
      <c r="Z460"/>
      <c r="AA460"/>
      <c r="AB460"/>
      <c r="AC460"/>
      <c r="AD460"/>
      <c r="AE460"/>
      <c r="AF460"/>
    </row>
    <row r="461" spans="11:32" ht="14.1" customHeight="1" x14ac:dyDescent="0.2">
      <c r="K461" s="125"/>
      <c r="L461" s="153"/>
      <c r="M461"/>
      <c r="N461"/>
      <c r="O461"/>
      <c r="P461"/>
      <c r="Q461"/>
      <c r="R461"/>
      <c r="S461"/>
      <c r="T461"/>
      <c r="U461"/>
      <c r="V461"/>
      <c r="W461"/>
      <c r="X461"/>
      <c r="Y461"/>
      <c r="Z461"/>
      <c r="AA461"/>
      <c r="AB461"/>
      <c r="AC461"/>
      <c r="AD461"/>
      <c r="AE461"/>
      <c r="AF461"/>
    </row>
    <row r="462" spans="11:32" ht="14.1" customHeight="1" x14ac:dyDescent="0.2">
      <c r="K462" s="125"/>
      <c r="L462" s="153"/>
      <c r="M462"/>
      <c r="N462"/>
      <c r="O462"/>
      <c r="P462"/>
      <c r="Q462"/>
      <c r="R462"/>
      <c r="S462"/>
      <c r="T462"/>
      <c r="U462"/>
      <c r="V462"/>
      <c r="W462"/>
      <c r="X462"/>
      <c r="Y462"/>
      <c r="Z462"/>
      <c r="AA462"/>
      <c r="AB462"/>
      <c r="AC462"/>
      <c r="AD462"/>
      <c r="AE462"/>
      <c r="AF462"/>
    </row>
    <row r="463" spans="11:32" ht="14.1" customHeight="1" x14ac:dyDescent="0.2">
      <c r="K463" s="125"/>
      <c r="L463" s="153"/>
      <c r="M463"/>
      <c r="N463"/>
      <c r="O463"/>
      <c r="P463"/>
      <c r="Q463"/>
      <c r="R463"/>
      <c r="S463"/>
      <c r="T463"/>
      <c r="U463"/>
      <c r="V463"/>
      <c r="W463"/>
      <c r="X463"/>
      <c r="Y463"/>
      <c r="Z463"/>
      <c r="AA463"/>
      <c r="AB463"/>
      <c r="AC463"/>
      <c r="AD463"/>
      <c r="AE463"/>
      <c r="AF463"/>
    </row>
    <row r="464" spans="11:32" ht="14.1" customHeight="1" x14ac:dyDescent="0.2">
      <c r="K464" s="125"/>
      <c r="L464" s="153"/>
      <c r="M464"/>
      <c r="N464"/>
      <c r="O464"/>
      <c r="P464"/>
      <c r="Q464"/>
      <c r="R464"/>
      <c r="S464"/>
      <c r="T464"/>
      <c r="U464"/>
      <c r="V464"/>
      <c r="W464"/>
      <c r="X464"/>
      <c r="Y464"/>
      <c r="Z464"/>
      <c r="AA464"/>
      <c r="AB464"/>
      <c r="AC464"/>
      <c r="AD464"/>
      <c r="AE464"/>
      <c r="AF464"/>
    </row>
    <row r="465" spans="11:32" ht="14.1" customHeight="1" x14ac:dyDescent="0.2">
      <c r="K465" s="125"/>
      <c r="L465" s="153"/>
      <c r="M465"/>
      <c r="N465"/>
      <c r="O465"/>
      <c r="P465"/>
      <c r="Q465"/>
      <c r="R465"/>
      <c r="S465"/>
      <c r="T465"/>
      <c r="U465"/>
      <c r="V465"/>
      <c r="W465"/>
      <c r="X465"/>
      <c r="Y465"/>
      <c r="Z465"/>
      <c r="AA465"/>
      <c r="AB465"/>
      <c r="AC465"/>
      <c r="AD465"/>
      <c r="AE465"/>
      <c r="AF465"/>
    </row>
    <row r="466" spans="11:32" ht="14.1" customHeight="1" x14ac:dyDescent="0.2">
      <c r="K466" s="125"/>
      <c r="L466" s="153"/>
      <c r="M466"/>
      <c r="N466"/>
      <c r="O466"/>
      <c r="P466"/>
      <c r="Q466"/>
      <c r="R466"/>
      <c r="S466"/>
      <c r="T466"/>
      <c r="U466"/>
      <c r="V466"/>
      <c r="W466"/>
      <c r="X466"/>
      <c r="Y466"/>
      <c r="Z466"/>
      <c r="AA466"/>
      <c r="AB466"/>
      <c r="AC466"/>
      <c r="AD466"/>
      <c r="AE466"/>
      <c r="AF466"/>
    </row>
    <row r="467" spans="11:32" ht="14.1" customHeight="1" x14ac:dyDescent="0.2">
      <c r="K467" s="125"/>
      <c r="L467" s="153"/>
      <c r="M467"/>
      <c r="N467"/>
      <c r="O467"/>
      <c r="P467"/>
      <c r="Q467"/>
      <c r="R467"/>
      <c r="S467"/>
      <c r="T467"/>
      <c r="U467"/>
      <c r="V467"/>
      <c r="W467"/>
      <c r="X467"/>
      <c r="Y467"/>
      <c r="Z467"/>
      <c r="AA467"/>
      <c r="AB467"/>
      <c r="AC467"/>
      <c r="AD467"/>
      <c r="AE467"/>
      <c r="AF467"/>
    </row>
    <row r="468" spans="11:32" ht="14.1" customHeight="1" x14ac:dyDescent="0.2">
      <c r="K468" s="125"/>
      <c r="L468" s="153"/>
      <c r="M468"/>
      <c r="N468"/>
      <c r="O468"/>
      <c r="P468"/>
      <c r="Q468"/>
      <c r="R468"/>
      <c r="S468"/>
      <c r="T468"/>
      <c r="U468"/>
      <c r="V468"/>
      <c r="W468"/>
      <c r="X468"/>
      <c r="Y468"/>
      <c r="Z468"/>
      <c r="AA468"/>
      <c r="AB468"/>
      <c r="AC468"/>
      <c r="AD468"/>
      <c r="AE468"/>
      <c r="AF468"/>
    </row>
    <row r="469" spans="11:32" ht="14.1" customHeight="1" x14ac:dyDescent="0.2">
      <c r="K469" s="125"/>
      <c r="L469" s="153"/>
      <c r="M469"/>
      <c r="N469"/>
      <c r="O469"/>
      <c r="P469"/>
      <c r="Q469"/>
      <c r="R469"/>
      <c r="S469"/>
      <c r="T469"/>
      <c r="U469"/>
      <c r="V469"/>
      <c r="W469"/>
      <c r="X469"/>
      <c r="Y469"/>
      <c r="Z469"/>
      <c r="AA469"/>
      <c r="AB469"/>
      <c r="AC469"/>
      <c r="AD469"/>
      <c r="AE469"/>
      <c r="AF469"/>
    </row>
    <row r="470" spans="11:32" ht="14.1" customHeight="1" x14ac:dyDescent="0.2">
      <c r="K470" s="125"/>
      <c r="L470" s="153"/>
      <c r="M470"/>
      <c r="N470"/>
      <c r="O470"/>
      <c r="P470"/>
      <c r="Q470"/>
      <c r="R470"/>
      <c r="S470"/>
      <c r="T470"/>
      <c r="U470"/>
      <c r="V470"/>
      <c r="W470"/>
      <c r="X470"/>
      <c r="Y470"/>
      <c r="Z470"/>
      <c r="AA470"/>
      <c r="AB470"/>
      <c r="AC470"/>
      <c r="AD470"/>
      <c r="AE470"/>
      <c r="AF470"/>
    </row>
    <row r="471" spans="11:32" ht="14.1" customHeight="1" x14ac:dyDescent="0.2">
      <c r="K471" s="125"/>
      <c r="L471" s="153"/>
      <c r="M471"/>
      <c r="N471"/>
      <c r="O471"/>
      <c r="P471"/>
      <c r="Q471"/>
      <c r="R471"/>
      <c r="S471"/>
      <c r="T471"/>
      <c r="U471"/>
      <c r="V471"/>
      <c r="W471"/>
      <c r="X471"/>
      <c r="Y471"/>
      <c r="Z471"/>
      <c r="AA471"/>
      <c r="AB471"/>
      <c r="AC471"/>
      <c r="AD471"/>
      <c r="AE471"/>
      <c r="AF471"/>
    </row>
    <row r="472" spans="11:32" ht="14.1" customHeight="1" x14ac:dyDescent="0.2">
      <c r="K472" s="125"/>
      <c r="L472" s="153"/>
      <c r="M472"/>
      <c r="N472"/>
      <c r="O472"/>
      <c r="P472"/>
      <c r="Q472"/>
      <c r="R472"/>
      <c r="S472"/>
      <c r="T472"/>
      <c r="U472"/>
      <c r="V472"/>
      <c r="W472"/>
      <c r="X472"/>
      <c r="Y472"/>
      <c r="Z472"/>
      <c r="AA472"/>
      <c r="AB472"/>
      <c r="AC472"/>
      <c r="AD472"/>
      <c r="AE472"/>
      <c r="AF472"/>
    </row>
    <row r="473" spans="11:32" ht="14.1" customHeight="1" x14ac:dyDescent="0.2">
      <c r="K473" s="125"/>
      <c r="L473" s="153"/>
      <c r="M473"/>
      <c r="N473"/>
      <c r="O473"/>
      <c r="P473"/>
      <c r="Q473"/>
      <c r="R473"/>
      <c r="S473"/>
      <c r="T473"/>
      <c r="U473"/>
      <c r="V473"/>
      <c r="W473"/>
      <c r="X473"/>
      <c r="Y473"/>
      <c r="Z473"/>
      <c r="AA473"/>
      <c r="AB473"/>
      <c r="AC473"/>
      <c r="AD473"/>
      <c r="AE473"/>
      <c r="AF473"/>
    </row>
    <row r="474" spans="11:32" ht="14.1" customHeight="1" x14ac:dyDescent="0.2">
      <c r="K474" s="125"/>
      <c r="L474" s="153"/>
      <c r="M474"/>
      <c r="N474"/>
      <c r="O474"/>
      <c r="P474"/>
      <c r="Q474"/>
      <c r="R474"/>
      <c r="S474"/>
      <c r="T474"/>
      <c r="U474"/>
      <c r="V474"/>
      <c r="W474"/>
      <c r="X474"/>
      <c r="Y474"/>
      <c r="Z474"/>
      <c r="AA474"/>
      <c r="AB474"/>
      <c r="AC474"/>
      <c r="AD474"/>
      <c r="AE474"/>
      <c r="AF474"/>
    </row>
    <row r="475" spans="11:32" ht="14.1" customHeight="1" x14ac:dyDescent="0.2">
      <c r="K475" s="125"/>
      <c r="L475" s="153"/>
      <c r="M475"/>
      <c r="N475"/>
      <c r="O475"/>
      <c r="P475"/>
      <c r="Q475"/>
      <c r="R475"/>
      <c r="S475"/>
      <c r="T475"/>
      <c r="U475"/>
      <c r="V475"/>
      <c r="W475"/>
      <c r="X475"/>
      <c r="Y475"/>
      <c r="Z475"/>
      <c r="AA475"/>
      <c r="AB475"/>
      <c r="AC475"/>
      <c r="AD475"/>
      <c r="AE475"/>
      <c r="AF475"/>
    </row>
    <row r="476" spans="11:32" ht="14.1" customHeight="1" x14ac:dyDescent="0.2">
      <c r="K476" s="125"/>
      <c r="L476" s="153"/>
      <c r="M476"/>
      <c r="N476"/>
      <c r="O476"/>
      <c r="P476"/>
      <c r="Q476"/>
      <c r="R476"/>
      <c r="S476"/>
      <c r="T476"/>
      <c r="U476"/>
      <c r="V476"/>
      <c r="W476"/>
      <c r="X476"/>
      <c r="Y476"/>
      <c r="Z476"/>
      <c r="AA476"/>
      <c r="AB476"/>
      <c r="AC476"/>
      <c r="AD476"/>
      <c r="AE476"/>
      <c r="AF476"/>
    </row>
    <row r="477" spans="11:32" ht="14.1" customHeight="1" x14ac:dyDescent="0.2">
      <c r="K477" s="125"/>
      <c r="L477" s="153"/>
      <c r="M477"/>
      <c r="N477"/>
      <c r="O477"/>
      <c r="P477"/>
      <c r="Q477"/>
      <c r="R477"/>
      <c r="S477"/>
      <c r="T477"/>
      <c r="U477"/>
      <c r="V477"/>
      <c r="W477"/>
      <c r="X477"/>
      <c r="Y477"/>
      <c r="Z477"/>
      <c r="AA477"/>
      <c r="AB477"/>
      <c r="AC477"/>
      <c r="AD477"/>
      <c r="AE477"/>
      <c r="AF477"/>
    </row>
    <row r="478" spans="11:32" ht="14.1" customHeight="1" x14ac:dyDescent="0.2">
      <c r="K478" s="125"/>
      <c r="L478" s="153"/>
      <c r="M478"/>
      <c r="N478"/>
      <c r="O478"/>
      <c r="P478"/>
      <c r="Q478"/>
      <c r="R478"/>
      <c r="S478"/>
      <c r="T478"/>
      <c r="U478"/>
      <c r="V478"/>
      <c r="W478"/>
      <c r="X478"/>
      <c r="Y478"/>
      <c r="Z478"/>
      <c r="AA478"/>
      <c r="AB478"/>
      <c r="AC478"/>
      <c r="AD478"/>
      <c r="AE478"/>
      <c r="AF478"/>
    </row>
    <row r="479" spans="11:32" ht="14.1" customHeight="1" x14ac:dyDescent="0.2">
      <c r="K479" s="125"/>
      <c r="L479" s="153"/>
      <c r="M479"/>
      <c r="N479"/>
      <c r="O479"/>
      <c r="P479"/>
      <c r="Q479"/>
      <c r="R479"/>
      <c r="S479"/>
      <c r="T479"/>
      <c r="U479"/>
      <c r="V479"/>
      <c r="W479"/>
      <c r="X479"/>
      <c r="Y479"/>
      <c r="Z479"/>
      <c r="AA479"/>
      <c r="AB479"/>
      <c r="AC479"/>
      <c r="AD479"/>
      <c r="AE479"/>
      <c r="AF479"/>
    </row>
    <row r="480" spans="11:32" ht="14.1" customHeight="1" x14ac:dyDescent="0.2">
      <c r="K480" s="153"/>
      <c r="L480" s="153"/>
      <c r="M480"/>
      <c r="N480"/>
      <c r="O480"/>
      <c r="P480"/>
      <c r="Q480"/>
      <c r="R480"/>
      <c r="S480"/>
      <c r="T480"/>
      <c r="U480"/>
      <c r="V480"/>
      <c r="W480"/>
      <c r="X480"/>
      <c r="Y480"/>
      <c r="Z480"/>
      <c r="AA480"/>
      <c r="AB480"/>
      <c r="AC480"/>
      <c r="AD480"/>
      <c r="AE480"/>
      <c r="AF480"/>
    </row>
    <row r="481" spans="11:32" ht="14.1" customHeight="1" x14ac:dyDescent="0.2">
      <c r="K481" s="153"/>
      <c r="L481" s="153"/>
      <c r="M481"/>
      <c r="N481"/>
      <c r="O481"/>
      <c r="P481"/>
      <c r="Q481"/>
      <c r="R481"/>
      <c r="S481"/>
      <c r="T481"/>
      <c r="U481"/>
      <c r="V481"/>
      <c r="W481"/>
      <c r="X481"/>
      <c r="Y481"/>
      <c r="Z481"/>
      <c r="AA481"/>
      <c r="AB481"/>
      <c r="AC481"/>
      <c r="AD481"/>
      <c r="AE481"/>
      <c r="AF481"/>
    </row>
    <row r="482" spans="11:32" ht="14.1" customHeight="1" x14ac:dyDescent="0.2">
      <c r="K482" s="153"/>
      <c r="L482" s="153"/>
      <c r="M482"/>
      <c r="N482"/>
      <c r="O482"/>
      <c r="P482"/>
      <c r="Q482"/>
      <c r="R482"/>
      <c r="S482"/>
      <c r="T482"/>
      <c r="U482"/>
      <c r="V482"/>
      <c r="W482"/>
      <c r="X482"/>
      <c r="Y482"/>
      <c r="Z482"/>
      <c r="AA482"/>
      <c r="AB482"/>
      <c r="AC482"/>
      <c r="AD482"/>
      <c r="AE482"/>
      <c r="AF482"/>
    </row>
    <row r="483" spans="11:32" ht="14.1" customHeight="1" x14ac:dyDescent="0.2">
      <c r="K483" s="153"/>
      <c r="L483" s="153"/>
      <c r="M483"/>
      <c r="N483"/>
      <c r="O483"/>
      <c r="P483"/>
      <c r="Q483"/>
      <c r="R483"/>
      <c r="S483"/>
      <c r="T483"/>
      <c r="U483"/>
      <c r="V483"/>
      <c r="W483"/>
      <c r="X483"/>
      <c r="Y483"/>
      <c r="Z483"/>
      <c r="AA483"/>
      <c r="AB483"/>
      <c r="AC483"/>
      <c r="AD483"/>
      <c r="AE483"/>
      <c r="AF483"/>
    </row>
    <row r="484" spans="11:32" ht="14.1" customHeight="1" x14ac:dyDescent="0.2">
      <c r="K484" s="153"/>
      <c r="L484" s="153"/>
      <c r="M484"/>
      <c r="N484"/>
      <c r="O484"/>
      <c r="P484"/>
      <c r="Q484"/>
      <c r="R484"/>
      <c r="S484"/>
      <c r="T484"/>
      <c r="U484"/>
      <c r="V484"/>
      <c r="W484"/>
      <c r="X484"/>
      <c r="Y484"/>
      <c r="Z484"/>
      <c r="AA484"/>
      <c r="AB484"/>
      <c r="AC484"/>
      <c r="AD484"/>
      <c r="AE484"/>
      <c r="AF484"/>
    </row>
    <row r="485" spans="11:32" ht="14.1" customHeight="1" x14ac:dyDescent="0.2">
      <c r="K485" s="153"/>
      <c r="L485" s="153"/>
      <c r="M485"/>
      <c r="N485"/>
      <c r="O485"/>
      <c r="P485"/>
      <c r="Q485"/>
      <c r="R485"/>
      <c r="S485"/>
      <c r="T485"/>
      <c r="U485"/>
      <c r="V485"/>
      <c r="W485"/>
      <c r="X485"/>
      <c r="Y485"/>
      <c r="Z485"/>
      <c r="AA485"/>
      <c r="AB485"/>
      <c r="AC485"/>
      <c r="AD485"/>
      <c r="AE485"/>
      <c r="AF485"/>
    </row>
    <row r="486" spans="11:32" ht="14.1" customHeight="1" x14ac:dyDescent="0.2">
      <c r="K486" s="153"/>
      <c r="L486" s="153"/>
      <c r="M486"/>
      <c r="N486"/>
      <c r="O486"/>
      <c r="P486"/>
      <c r="Q486"/>
      <c r="R486"/>
      <c r="S486"/>
      <c r="T486"/>
      <c r="U486"/>
      <c r="V486"/>
      <c r="W486"/>
      <c r="X486"/>
      <c r="Y486"/>
      <c r="Z486"/>
      <c r="AA486"/>
      <c r="AB486"/>
      <c r="AC486"/>
      <c r="AD486"/>
      <c r="AE486"/>
      <c r="AF486"/>
    </row>
    <row r="487" spans="11:32" ht="14.1" customHeight="1" x14ac:dyDescent="0.2">
      <c r="K487" s="153"/>
      <c r="L487" s="153"/>
      <c r="M487"/>
      <c r="N487"/>
      <c r="O487"/>
      <c r="P487"/>
      <c r="Q487"/>
      <c r="R487"/>
      <c r="S487"/>
      <c r="T487"/>
      <c r="U487"/>
      <c r="V487"/>
      <c r="W487"/>
      <c r="X487"/>
      <c r="Y487"/>
      <c r="Z487"/>
      <c r="AA487"/>
      <c r="AB487"/>
      <c r="AC487"/>
      <c r="AD487"/>
      <c r="AE487"/>
      <c r="AF487"/>
    </row>
    <row r="488" spans="11:32" ht="14.1" customHeight="1" x14ac:dyDescent="0.2">
      <c r="K488" s="153"/>
      <c r="L488" s="153"/>
      <c r="M488"/>
      <c r="N488"/>
      <c r="O488"/>
      <c r="P488"/>
      <c r="Q488"/>
      <c r="R488"/>
      <c r="S488"/>
      <c r="T488"/>
      <c r="U488"/>
      <c r="V488"/>
      <c r="W488"/>
      <c r="X488"/>
      <c r="Y488"/>
      <c r="Z488"/>
      <c r="AA488"/>
      <c r="AB488"/>
      <c r="AC488"/>
      <c r="AD488"/>
      <c r="AE488"/>
      <c r="AF488"/>
    </row>
    <row r="489" spans="11:32" ht="14.1" customHeight="1" x14ac:dyDescent="0.2">
      <c r="K489" s="153"/>
      <c r="L489" s="153"/>
      <c r="M489"/>
      <c r="N489"/>
      <c r="O489"/>
      <c r="P489"/>
      <c r="Q489"/>
      <c r="R489"/>
      <c r="S489"/>
      <c r="T489"/>
      <c r="U489"/>
      <c r="V489"/>
      <c r="W489"/>
      <c r="X489"/>
      <c r="Y489"/>
      <c r="Z489"/>
      <c r="AA489"/>
      <c r="AB489"/>
      <c r="AC489"/>
      <c r="AD489"/>
      <c r="AE489"/>
      <c r="AF489"/>
    </row>
    <row r="490" spans="11:32" ht="14.1" customHeight="1" x14ac:dyDescent="0.2">
      <c r="K490" s="153"/>
      <c r="L490" s="153"/>
      <c r="M490"/>
      <c r="N490"/>
      <c r="O490"/>
      <c r="P490"/>
      <c r="Q490"/>
      <c r="R490"/>
      <c r="S490"/>
      <c r="T490"/>
      <c r="U490"/>
      <c r="V490"/>
      <c r="W490"/>
      <c r="X490"/>
      <c r="Y490"/>
      <c r="Z490"/>
      <c r="AA490"/>
      <c r="AB490"/>
      <c r="AC490"/>
      <c r="AD490"/>
      <c r="AE490"/>
      <c r="AF490"/>
    </row>
    <row r="491" spans="11:32" ht="14.1" customHeight="1" x14ac:dyDescent="0.2">
      <c r="K491" s="153"/>
      <c r="L491" s="153"/>
      <c r="M491"/>
      <c r="N491"/>
      <c r="O491"/>
      <c r="P491"/>
      <c r="Q491"/>
      <c r="R491"/>
      <c r="S491"/>
      <c r="T491"/>
      <c r="U491"/>
      <c r="V491"/>
      <c r="W491"/>
      <c r="X491"/>
      <c r="Y491"/>
      <c r="Z491"/>
      <c r="AA491"/>
      <c r="AB491"/>
      <c r="AC491"/>
      <c r="AD491"/>
      <c r="AE491"/>
      <c r="AF491"/>
    </row>
    <row r="492" spans="11:32" ht="14.1" customHeight="1" x14ac:dyDescent="0.2">
      <c r="K492" s="153"/>
      <c r="L492" s="153"/>
      <c r="M492"/>
      <c r="N492"/>
      <c r="O492"/>
      <c r="P492"/>
      <c r="Q492"/>
      <c r="R492"/>
      <c r="S492"/>
      <c r="T492"/>
      <c r="U492"/>
      <c r="V492"/>
      <c r="W492"/>
      <c r="X492"/>
      <c r="Y492"/>
      <c r="Z492"/>
      <c r="AA492"/>
      <c r="AB492"/>
      <c r="AC492"/>
      <c r="AD492"/>
      <c r="AE492"/>
      <c r="AF492"/>
    </row>
    <row r="493" spans="11:32" ht="14.1" customHeight="1" x14ac:dyDescent="0.2">
      <c r="K493" s="153"/>
      <c r="L493" s="153"/>
      <c r="M493"/>
      <c r="N493"/>
      <c r="O493"/>
      <c r="P493"/>
      <c r="Q493"/>
      <c r="R493"/>
      <c r="S493"/>
      <c r="T493"/>
      <c r="U493"/>
      <c r="V493"/>
      <c r="W493"/>
      <c r="X493"/>
      <c r="Y493"/>
      <c r="Z493"/>
      <c r="AA493"/>
      <c r="AB493"/>
      <c r="AC493"/>
      <c r="AD493"/>
      <c r="AE493"/>
      <c r="AF493"/>
    </row>
    <row r="494" spans="11:32" ht="14.1" customHeight="1" x14ac:dyDescent="0.2">
      <c r="K494" s="153"/>
      <c r="L494" s="153"/>
      <c r="M494"/>
      <c r="N494"/>
      <c r="O494"/>
      <c r="P494"/>
      <c r="Q494"/>
      <c r="R494"/>
      <c r="S494"/>
      <c r="T494"/>
      <c r="U494"/>
      <c r="V494"/>
      <c r="W494"/>
      <c r="X494"/>
      <c r="Y494"/>
      <c r="Z494"/>
      <c r="AA494"/>
      <c r="AB494"/>
      <c r="AC494"/>
      <c r="AD494"/>
      <c r="AE494"/>
      <c r="AF494"/>
    </row>
    <row r="495" spans="11:32" ht="14.1" customHeight="1" x14ac:dyDescent="0.2">
      <c r="K495" s="153"/>
      <c r="L495" s="153"/>
      <c r="M495"/>
      <c r="N495"/>
      <c r="O495"/>
      <c r="P495"/>
      <c r="Q495"/>
      <c r="R495"/>
      <c r="S495"/>
      <c r="T495"/>
      <c r="U495"/>
      <c r="V495"/>
      <c r="W495"/>
      <c r="X495"/>
      <c r="Y495"/>
      <c r="Z495"/>
      <c r="AA495"/>
      <c r="AB495"/>
      <c r="AC495"/>
      <c r="AD495"/>
      <c r="AE495"/>
      <c r="AF495"/>
    </row>
    <row r="496" spans="11:32" ht="14.1" customHeight="1" x14ac:dyDescent="0.2">
      <c r="K496" s="153"/>
      <c r="L496" s="153"/>
      <c r="M496"/>
      <c r="N496"/>
      <c r="O496"/>
      <c r="P496"/>
      <c r="Q496"/>
      <c r="R496"/>
      <c r="S496"/>
      <c r="T496"/>
      <c r="U496"/>
      <c r="V496"/>
      <c r="W496"/>
      <c r="X496"/>
      <c r="Y496"/>
      <c r="Z496"/>
      <c r="AA496"/>
      <c r="AB496"/>
      <c r="AC496"/>
      <c r="AD496"/>
      <c r="AE496"/>
      <c r="AF496"/>
    </row>
    <row r="497" spans="11:32" ht="14.1" customHeight="1" x14ac:dyDescent="0.2">
      <c r="K497" s="153"/>
      <c r="L497" s="153"/>
      <c r="M497"/>
      <c r="N497"/>
      <c r="O497"/>
      <c r="P497"/>
      <c r="Q497"/>
      <c r="R497"/>
      <c r="S497"/>
      <c r="T497"/>
      <c r="U497"/>
      <c r="V497"/>
      <c r="W497"/>
      <c r="X497"/>
      <c r="Y497"/>
      <c r="Z497"/>
      <c r="AA497"/>
      <c r="AB497"/>
      <c r="AC497"/>
      <c r="AD497"/>
      <c r="AE497"/>
      <c r="AF497"/>
    </row>
    <row r="498" spans="11:32" ht="14.1" customHeight="1" x14ac:dyDescent="0.2">
      <c r="K498" s="153"/>
      <c r="L498" s="153"/>
      <c r="M498"/>
      <c r="N498"/>
      <c r="O498"/>
      <c r="P498"/>
      <c r="Q498"/>
      <c r="R498"/>
      <c r="S498"/>
      <c r="T498"/>
      <c r="U498"/>
      <c r="V498"/>
      <c r="W498"/>
      <c r="X498"/>
      <c r="Y498"/>
      <c r="Z498"/>
      <c r="AA498"/>
      <c r="AB498"/>
      <c r="AC498"/>
      <c r="AD498"/>
      <c r="AE498"/>
      <c r="AF498"/>
    </row>
    <row r="499" spans="11:32" ht="14.1" customHeight="1" x14ac:dyDescent="0.2">
      <c r="K499" s="153"/>
      <c r="L499" s="153"/>
      <c r="M499"/>
      <c r="N499"/>
      <c r="O499"/>
      <c r="P499"/>
      <c r="Q499"/>
      <c r="R499"/>
      <c r="S499"/>
      <c r="T499"/>
      <c r="U499"/>
      <c r="V499"/>
      <c r="W499"/>
      <c r="X499"/>
      <c r="Y499"/>
      <c r="Z499"/>
      <c r="AA499"/>
      <c r="AB499"/>
      <c r="AC499"/>
      <c r="AD499"/>
      <c r="AE499"/>
      <c r="AF499"/>
    </row>
    <row r="500" spans="11:32" ht="14.1" customHeight="1" x14ac:dyDescent="0.2">
      <c r="K500" s="153"/>
      <c r="L500" s="153"/>
      <c r="M500"/>
      <c r="N500"/>
      <c r="O500"/>
      <c r="P500"/>
      <c r="Q500"/>
      <c r="R500"/>
      <c r="S500"/>
      <c r="T500"/>
      <c r="U500"/>
      <c r="V500"/>
      <c r="W500"/>
      <c r="X500"/>
      <c r="Y500"/>
      <c r="Z500"/>
      <c r="AA500"/>
      <c r="AB500"/>
      <c r="AC500"/>
      <c r="AD500"/>
      <c r="AE500"/>
      <c r="AF500"/>
    </row>
    <row r="501" spans="11:32" ht="14.1" customHeight="1" x14ac:dyDescent="0.2">
      <c r="K501" s="153"/>
      <c r="L501" s="153"/>
      <c r="M501"/>
      <c r="N501"/>
      <c r="O501"/>
      <c r="P501"/>
      <c r="Q501"/>
      <c r="R501"/>
      <c r="S501"/>
      <c r="T501"/>
      <c r="U501"/>
      <c r="V501"/>
      <c r="W501"/>
      <c r="X501"/>
      <c r="Y501"/>
      <c r="Z501"/>
      <c r="AA501"/>
      <c r="AB501"/>
      <c r="AC501"/>
      <c r="AD501"/>
      <c r="AE501"/>
      <c r="AF501"/>
    </row>
    <row r="502" spans="11:32" ht="14.1" customHeight="1" x14ac:dyDescent="0.2">
      <c r="K502" s="153"/>
      <c r="L502" s="153"/>
      <c r="M502"/>
      <c r="N502"/>
      <c r="O502"/>
      <c r="P502"/>
      <c r="Q502"/>
      <c r="R502"/>
      <c r="S502"/>
      <c r="T502"/>
      <c r="U502"/>
      <c r="V502"/>
      <c r="W502"/>
      <c r="X502"/>
      <c r="Y502"/>
      <c r="Z502"/>
      <c r="AA502"/>
      <c r="AB502"/>
      <c r="AC502"/>
      <c r="AD502"/>
      <c r="AE502"/>
      <c r="AF502"/>
    </row>
    <row r="503" spans="11:32" ht="14.1" customHeight="1" x14ac:dyDescent="0.2">
      <c r="K503" s="153"/>
      <c r="L503" s="153"/>
      <c r="M503"/>
      <c r="N503"/>
      <c r="O503"/>
      <c r="P503"/>
      <c r="Q503"/>
      <c r="R503"/>
      <c r="S503"/>
      <c r="T503"/>
      <c r="U503"/>
      <c r="V503"/>
      <c r="W503"/>
      <c r="X503"/>
      <c r="Y503"/>
      <c r="Z503"/>
      <c r="AA503"/>
      <c r="AB503"/>
      <c r="AC503"/>
      <c r="AD503"/>
      <c r="AE503"/>
      <c r="AF503"/>
    </row>
    <row r="504" spans="11:32" ht="14.1" customHeight="1" x14ac:dyDescent="0.2">
      <c r="K504" s="153"/>
      <c r="L504" s="153"/>
      <c r="M504"/>
      <c r="N504"/>
      <c r="O504"/>
      <c r="P504"/>
      <c r="Q504"/>
      <c r="R504"/>
      <c r="S504"/>
      <c r="T504"/>
      <c r="U504"/>
      <c r="V504"/>
      <c r="W504"/>
      <c r="X504"/>
      <c r="Y504"/>
      <c r="Z504"/>
      <c r="AA504"/>
      <c r="AB504"/>
      <c r="AC504"/>
      <c r="AD504"/>
      <c r="AE504"/>
      <c r="AF504"/>
    </row>
    <row r="505" spans="11:32" ht="14.1" customHeight="1" x14ac:dyDescent="0.2">
      <c r="K505" s="153"/>
      <c r="L505" s="153"/>
      <c r="M505"/>
      <c r="N505"/>
      <c r="O505"/>
      <c r="P505"/>
      <c r="Q505"/>
      <c r="R505"/>
      <c r="S505"/>
      <c r="T505"/>
      <c r="U505"/>
      <c r="V505"/>
      <c r="W505"/>
      <c r="X505"/>
      <c r="Y505"/>
      <c r="Z505"/>
      <c r="AA505"/>
      <c r="AB505"/>
      <c r="AC505"/>
      <c r="AD505"/>
      <c r="AE505"/>
      <c r="AF505"/>
    </row>
    <row r="506" spans="11:32" ht="14.1" customHeight="1" x14ac:dyDescent="0.2">
      <c r="K506" s="153"/>
      <c r="L506" s="153"/>
      <c r="M506"/>
      <c r="N506"/>
      <c r="O506"/>
      <c r="P506"/>
      <c r="Q506"/>
      <c r="R506"/>
      <c r="S506"/>
      <c r="T506"/>
      <c r="U506"/>
      <c r="V506"/>
      <c r="W506"/>
      <c r="X506"/>
      <c r="Y506"/>
      <c r="Z506"/>
      <c r="AA506"/>
      <c r="AB506"/>
      <c r="AC506"/>
      <c r="AD506"/>
      <c r="AE506"/>
      <c r="AF506"/>
    </row>
    <row r="507" spans="11:32" ht="14.1" customHeight="1" x14ac:dyDescent="0.2">
      <c r="K507" s="153"/>
      <c r="L507" s="153"/>
      <c r="M507"/>
      <c r="N507"/>
      <c r="O507"/>
      <c r="P507"/>
      <c r="Q507"/>
      <c r="R507"/>
      <c r="S507"/>
      <c r="T507"/>
      <c r="U507"/>
      <c r="V507"/>
      <c r="W507"/>
      <c r="X507"/>
      <c r="Y507"/>
      <c r="Z507"/>
      <c r="AA507"/>
      <c r="AB507"/>
      <c r="AC507"/>
      <c r="AD507"/>
      <c r="AE507"/>
      <c r="AF507"/>
    </row>
    <row r="508" spans="11:32" ht="14.1" customHeight="1" x14ac:dyDescent="0.2">
      <c r="K508" s="153"/>
      <c r="L508" s="153"/>
      <c r="M508"/>
      <c r="N508"/>
      <c r="O508"/>
      <c r="P508"/>
      <c r="Q508"/>
      <c r="R508"/>
      <c r="S508"/>
      <c r="T508"/>
      <c r="U508"/>
      <c r="V508"/>
      <c r="W508"/>
      <c r="X508"/>
      <c r="Y508"/>
      <c r="Z508"/>
      <c r="AA508"/>
      <c r="AB508"/>
      <c r="AC508"/>
      <c r="AD508"/>
      <c r="AE508"/>
      <c r="AF508"/>
    </row>
    <row r="509" spans="11:32" ht="14.1" customHeight="1" x14ac:dyDescent="0.2">
      <c r="K509" s="153"/>
      <c r="L509" s="153"/>
      <c r="M509"/>
      <c r="N509"/>
      <c r="O509"/>
      <c r="P509"/>
      <c r="Q509"/>
      <c r="R509"/>
      <c r="S509"/>
      <c r="T509"/>
      <c r="U509"/>
      <c r="V509"/>
      <c r="W509"/>
      <c r="X509"/>
      <c r="Y509"/>
      <c r="Z509"/>
      <c r="AA509"/>
      <c r="AB509"/>
      <c r="AC509"/>
      <c r="AD509"/>
      <c r="AE509"/>
      <c r="AF509"/>
    </row>
    <row r="510" spans="11:32" ht="14.1" customHeight="1" x14ac:dyDescent="0.2">
      <c r="K510" s="153"/>
      <c r="L510" s="153"/>
      <c r="M510"/>
      <c r="N510"/>
      <c r="O510"/>
      <c r="P510"/>
      <c r="Q510"/>
      <c r="R510"/>
      <c r="S510"/>
      <c r="T510"/>
      <c r="U510"/>
      <c r="V510"/>
      <c r="W510"/>
      <c r="X510"/>
      <c r="Y510"/>
      <c r="Z510"/>
      <c r="AA510"/>
      <c r="AB510"/>
      <c r="AC510"/>
      <c r="AD510"/>
      <c r="AE510"/>
      <c r="AF510"/>
    </row>
    <row r="511" spans="11:32" ht="14.1" customHeight="1" x14ac:dyDescent="0.2">
      <c r="K511" s="153"/>
      <c r="L511" s="153"/>
      <c r="M511"/>
      <c r="N511"/>
      <c r="O511"/>
      <c r="P511"/>
      <c r="Q511"/>
      <c r="R511"/>
      <c r="S511"/>
      <c r="T511"/>
      <c r="U511"/>
      <c r="V511"/>
      <c r="W511"/>
      <c r="X511"/>
      <c r="Y511"/>
      <c r="Z511"/>
      <c r="AA511"/>
      <c r="AB511"/>
      <c r="AC511"/>
      <c r="AD511"/>
      <c r="AE511"/>
      <c r="AF511"/>
    </row>
    <row r="512" spans="11:32" ht="14.1" customHeight="1" x14ac:dyDescent="0.2">
      <c r="K512" s="153"/>
      <c r="L512" s="153"/>
      <c r="M512"/>
      <c r="N512"/>
      <c r="O512"/>
      <c r="P512"/>
      <c r="Q512"/>
      <c r="R512"/>
      <c r="S512"/>
      <c r="T512"/>
      <c r="U512"/>
      <c r="V512"/>
      <c r="W512"/>
      <c r="X512"/>
      <c r="Y512"/>
      <c r="Z512"/>
      <c r="AA512"/>
      <c r="AB512"/>
      <c r="AC512"/>
      <c r="AD512"/>
      <c r="AE512"/>
      <c r="AF512"/>
    </row>
    <row r="513" spans="11:32" ht="14.1" customHeight="1" x14ac:dyDescent="0.2">
      <c r="K513" s="153"/>
      <c r="L513" s="153"/>
      <c r="M513"/>
      <c r="N513"/>
      <c r="O513"/>
      <c r="P513"/>
      <c r="Q513"/>
      <c r="R513"/>
      <c r="S513"/>
      <c r="T513"/>
      <c r="U513"/>
      <c r="V513"/>
      <c r="W513"/>
      <c r="X513"/>
      <c r="Y513"/>
      <c r="Z513"/>
      <c r="AA513"/>
      <c r="AB513"/>
      <c r="AC513"/>
      <c r="AD513"/>
      <c r="AE513"/>
      <c r="AF513"/>
    </row>
    <row r="514" spans="11:32" ht="14.1" customHeight="1" x14ac:dyDescent="0.2">
      <c r="K514" s="153"/>
      <c r="L514" s="153"/>
      <c r="M514"/>
      <c r="N514"/>
      <c r="O514"/>
      <c r="P514"/>
      <c r="Q514"/>
      <c r="R514"/>
      <c r="S514"/>
      <c r="T514"/>
      <c r="U514"/>
      <c r="V514"/>
      <c r="W514"/>
      <c r="X514"/>
      <c r="Y514"/>
      <c r="Z514"/>
      <c r="AA514"/>
      <c r="AB514"/>
      <c r="AC514"/>
      <c r="AD514"/>
      <c r="AE514"/>
      <c r="AF514"/>
    </row>
    <row r="515" spans="11:32" ht="14.1" customHeight="1" x14ac:dyDescent="0.2">
      <c r="K515" s="153"/>
      <c r="L515" s="153"/>
      <c r="M515"/>
      <c r="N515"/>
      <c r="O515"/>
      <c r="P515"/>
      <c r="Q515"/>
      <c r="R515"/>
      <c r="S515"/>
      <c r="T515"/>
      <c r="U515"/>
      <c r="V515"/>
      <c r="W515"/>
      <c r="X515"/>
      <c r="Y515"/>
      <c r="Z515"/>
      <c r="AA515"/>
      <c r="AB515"/>
      <c r="AC515"/>
      <c r="AD515"/>
      <c r="AE515"/>
      <c r="AF515"/>
    </row>
    <row r="516" spans="11:32" ht="14.1" customHeight="1" x14ac:dyDescent="0.2">
      <c r="K516" s="153"/>
      <c r="L516" s="153"/>
      <c r="M516"/>
      <c r="N516"/>
      <c r="O516"/>
      <c r="P516"/>
      <c r="Q516"/>
      <c r="R516"/>
      <c r="S516"/>
      <c r="T516"/>
      <c r="U516"/>
      <c r="V516"/>
      <c r="W516"/>
      <c r="X516"/>
      <c r="Y516"/>
      <c r="Z516"/>
      <c r="AA516"/>
      <c r="AB516"/>
      <c r="AC516"/>
      <c r="AD516"/>
      <c r="AE516"/>
      <c r="AF516"/>
    </row>
    <row r="517" spans="11:32" ht="14.1" customHeight="1" x14ac:dyDescent="0.2">
      <c r="K517" s="153"/>
      <c r="L517" s="153"/>
      <c r="M517"/>
      <c r="N517"/>
      <c r="O517"/>
      <c r="P517"/>
      <c r="Q517"/>
      <c r="R517"/>
      <c r="S517"/>
      <c r="T517"/>
      <c r="U517"/>
      <c r="V517"/>
      <c r="W517"/>
      <c r="X517"/>
      <c r="Y517"/>
      <c r="Z517"/>
      <c r="AA517"/>
      <c r="AB517"/>
      <c r="AC517"/>
      <c r="AD517"/>
      <c r="AE517"/>
      <c r="AF517"/>
    </row>
    <row r="518" spans="11:32" ht="14.1" customHeight="1" x14ac:dyDescent="0.2">
      <c r="K518" s="153"/>
      <c r="L518" s="153"/>
      <c r="M518"/>
      <c r="N518"/>
      <c r="O518"/>
      <c r="P518"/>
      <c r="Q518"/>
      <c r="R518"/>
      <c r="S518"/>
      <c r="T518"/>
      <c r="U518"/>
      <c r="V518"/>
      <c r="W518"/>
      <c r="X518"/>
      <c r="Y518"/>
      <c r="Z518"/>
      <c r="AA518"/>
      <c r="AB518"/>
      <c r="AC518"/>
      <c r="AD518"/>
      <c r="AE518"/>
      <c r="AF518"/>
    </row>
    <row r="519" spans="11:32" ht="14.1" customHeight="1" x14ac:dyDescent="0.2">
      <c r="K519" s="153"/>
      <c r="L519" s="153"/>
      <c r="M519"/>
      <c r="N519"/>
      <c r="O519"/>
      <c r="P519"/>
      <c r="Q519"/>
      <c r="R519"/>
      <c r="S519"/>
      <c r="T519"/>
      <c r="U519"/>
      <c r="V519"/>
      <c r="W519"/>
      <c r="X519"/>
      <c r="Y519"/>
      <c r="Z519"/>
      <c r="AA519"/>
      <c r="AB519"/>
      <c r="AC519"/>
      <c r="AD519"/>
      <c r="AE519"/>
      <c r="AF519"/>
    </row>
    <row r="520" spans="11:32" ht="14.1" customHeight="1" x14ac:dyDescent="0.2">
      <c r="K520" s="153"/>
      <c r="L520" s="153"/>
      <c r="M520"/>
      <c r="N520"/>
      <c r="O520"/>
      <c r="P520"/>
      <c r="Q520"/>
      <c r="R520"/>
      <c r="S520"/>
      <c r="T520"/>
      <c r="U520"/>
      <c r="V520"/>
      <c r="W520"/>
      <c r="X520"/>
      <c r="Y520"/>
      <c r="Z520"/>
      <c r="AA520"/>
      <c r="AB520"/>
      <c r="AC520"/>
      <c r="AD520"/>
      <c r="AE520"/>
      <c r="AF520"/>
    </row>
    <row r="521" spans="11:32" ht="14.1" customHeight="1" x14ac:dyDescent="0.2">
      <c r="K521" s="153"/>
      <c r="L521" s="153"/>
      <c r="M521"/>
      <c r="N521"/>
      <c r="O521"/>
      <c r="P521"/>
      <c r="Q521"/>
      <c r="R521"/>
      <c r="S521"/>
      <c r="T521"/>
      <c r="U521"/>
      <c r="V521"/>
      <c r="W521"/>
      <c r="X521"/>
      <c r="Y521"/>
      <c r="Z521"/>
      <c r="AA521"/>
      <c r="AB521"/>
      <c r="AC521"/>
      <c r="AD521"/>
      <c r="AE521"/>
      <c r="AF521"/>
    </row>
    <row r="522" spans="11:32" ht="14.1" customHeight="1" x14ac:dyDescent="0.2">
      <c r="K522" s="153"/>
      <c r="L522" s="153"/>
      <c r="M522"/>
      <c r="N522"/>
      <c r="O522"/>
      <c r="P522"/>
      <c r="Q522"/>
      <c r="R522"/>
      <c r="S522"/>
      <c r="T522"/>
      <c r="U522"/>
      <c r="V522"/>
      <c r="W522"/>
      <c r="X522"/>
      <c r="Y522"/>
      <c r="Z522"/>
      <c r="AA522"/>
      <c r="AB522"/>
      <c r="AC522"/>
      <c r="AD522"/>
      <c r="AE522"/>
      <c r="AF522"/>
    </row>
    <row r="523" spans="11:32" ht="14.1" customHeight="1" x14ac:dyDescent="0.2">
      <c r="K523" s="153"/>
      <c r="L523" s="153"/>
      <c r="M523"/>
      <c r="N523"/>
      <c r="O523"/>
      <c r="P523"/>
      <c r="Q523"/>
      <c r="R523"/>
      <c r="S523"/>
      <c r="T523"/>
      <c r="U523"/>
      <c r="V523"/>
      <c r="W523"/>
      <c r="X523"/>
      <c r="Y523"/>
      <c r="Z523"/>
      <c r="AA523"/>
      <c r="AB523"/>
      <c r="AC523"/>
      <c r="AD523"/>
      <c r="AE523"/>
      <c r="AF523"/>
    </row>
    <row r="524" spans="11:32" ht="14.1" customHeight="1" x14ac:dyDescent="0.2">
      <c r="K524" s="153"/>
      <c r="L524" s="153"/>
      <c r="M524"/>
      <c r="N524"/>
      <c r="O524"/>
      <c r="P524"/>
      <c r="Q524"/>
      <c r="R524"/>
      <c r="S524"/>
      <c r="T524"/>
      <c r="U524"/>
      <c r="V524"/>
      <c r="W524"/>
      <c r="X524"/>
      <c r="Y524"/>
      <c r="Z524"/>
      <c r="AA524"/>
      <c r="AB524"/>
      <c r="AC524"/>
      <c r="AD524"/>
      <c r="AE524"/>
      <c r="AF524"/>
    </row>
    <row r="525" spans="11:32" ht="14.1" customHeight="1" x14ac:dyDescent="0.2">
      <c r="K525" s="153"/>
      <c r="L525" s="153"/>
      <c r="M525"/>
      <c r="N525"/>
      <c r="O525"/>
      <c r="P525"/>
      <c r="Q525"/>
      <c r="R525"/>
      <c r="S525"/>
      <c r="T525"/>
      <c r="U525"/>
      <c r="V525"/>
      <c r="W525"/>
      <c r="X525"/>
      <c r="Y525"/>
      <c r="Z525"/>
      <c r="AA525"/>
      <c r="AB525"/>
      <c r="AC525"/>
      <c r="AD525"/>
      <c r="AE525"/>
      <c r="AF525"/>
    </row>
    <row r="526" spans="11:32" ht="14.1" customHeight="1" x14ac:dyDescent="0.2">
      <c r="K526" s="153"/>
      <c r="L526" s="153"/>
      <c r="M526"/>
      <c r="N526"/>
      <c r="O526"/>
      <c r="P526"/>
      <c r="Q526"/>
      <c r="R526"/>
      <c r="S526"/>
      <c r="T526"/>
      <c r="U526"/>
      <c r="V526"/>
      <c r="W526"/>
      <c r="X526"/>
      <c r="Y526"/>
      <c r="Z526"/>
      <c r="AA526"/>
      <c r="AB526"/>
      <c r="AC526"/>
      <c r="AD526"/>
      <c r="AE526"/>
      <c r="AF526"/>
    </row>
    <row r="527" spans="11:32" ht="14.1" customHeight="1" x14ac:dyDescent="0.2">
      <c r="K527" s="153"/>
      <c r="L527" s="153"/>
      <c r="M527"/>
      <c r="N527"/>
      <c r="O527"/>
      <c r="P527"/>
      <c r="Q527"/>
      <c r="R527"/>
      <c r="S527"/>
      <c r="T527"/>
      <c r="U527"/>
      <c r="V527"/>
      <c r="W527"/>
      <c r="X527"/>
      <c r="Y527"/>
      <c r="Z527"/>
      <c r="AA527"/>
      <c r="AB527"/>
      <c r="AC527"/>
      <c r="AD527"/>
      <c r="AE527"/>
      <c r="AF527"/>
    </row>
    <row r="528" spans="11:32" ht="14.1" customHeight="1" x14ac:dyDescent="0.2">
      <c r="K528" s="153"/>
      <c r="L528" s="153"/>
      <c r="M528"/>
      <c r="N528"/>
      <c r="O528"/>
      <c r="P528"/>
      <c r="Q528"/>
      <c r="R528"/>
      <c r="S528"/>
      <c r="T528"/>
      <c r="U528"/>
      <c r="V528"/>
      <c r="W528"/>
      <c r="X528"/>
      <c r="Y528"/>
      <c r="Z528"/>
      <c r="AA528"/>
      <c r="AB528"/>
      <c r="AC528"/>
      <c r="AD528"/>
      <c r="AE528"/>
      <c r="AF528"/>
    </row>
    <row r="529" spans="11:32" ht="14.1" customHeight="1" x14ac:dyDescent="0.2">
      <c r="K529" s="153"/>
      <c r="L529" s="153"/>
      <c r="M529"/>
      <c r="N529"/>
      <c r="O529"/>
      <c r="P529"/>
      <c r="Q529"/>
      <c r="R529"/>
      <c r="S529"/>
      <c r="T529"/>
      <c r="U529"/>
      <c r="V529"/>
      <c r="W529"/>
      <c r="X529"/>
      <c r="Y529"/>
      <c r="Z529"/>
      <c r="AA529"/>
      <c r="AB529"/>
      <c r="AC529"/>
      <c r="AD529"/>
      <c r="AE529"/>
      <c r="AF529"/>
    </row>
    <row r="530" spans="11:32" ht="14.1" customHeight="1" x14ac:dyDescent="0.2">
      <c r="K530" s="153"/>
      <c r="L530" s="153"/>
      <c r="M530"/>
      <c r="N530"/>
      <c r="O530"/>
      <c r="P530"/>
      <c r="Q530"/>
      <c r="R530"/>
      <c r="S530"/>
      <c r="T530"/>
      <c r="U530"/>
      <c r="V530"/>
      <c r="W530"/>
      <c r="X530"/>
      <c r="Y530"/>
      <c r="Z530"/>
      <c r="AA530"/>
      <c r="AB530"/>
      <c r="AC530"/>
      <c r="AD530"/>
      <c r="AE530"/>
      <c r="AF530"/>
    </row>
    <row r="531" spans="11:32" ht="14.1" customHeight="1" x14ac:dyDescent="0.2">
      <c r="K531" s="153"/>
      <c r="L531" s="153"/>
      <c r="M531"/>
      <c r="N531"/>
      <c r="O531"/>
      <c r="P531"/>
      <c r="Q531"/>
      <c r="R531"/>
      <c r="S531"/>
      <c r="T531"/>
      <c r="U531"/>
      <c r="V531"/>
      <c r="W531"/>
      <c r="X531"/>
      <c r="Y531"/>
      <c r="Z531"/>
      <c r="AA531"/>
      <c r="AB531"/>
      <c r="AC531"/>
      <c r="AD531"/>
      <c r="AE531"/>
      <c r="AF531"/>
    </row>
    <row r="532" spans="11:32" ht="14.1" customHeight="1" x14ac:dyDescent="0.2">
      <c r="K532" s="153"/>
      <c r="L532" s="153"/>
      <c r="M532"/>
      <c r="N532"/>
      <c r="O532"/>
      <c r="P532"/>
      <c r="Q532"/>
      <c r="R532"/>
      <c r="S532"/>
      <c r="T532"/>
      <c r="U532"/>
      <c r="V532"/>
      <c r="W532"/>
      <c r="X532"/>
      <c r="Y532"/>
      <c r="Z532"/>
      <c r="AA532"/>
      <c r="AB532"/>
      <c r="AC532"/>
      <c r="AD532"/>
      <c r="AE532"/>
      <c r="AF532"/>
    </row>
    <row r="533" spans="11:32" ht="14.1" customHeight="1" x14ac:dyDescent="0.2">
      <c r="K533" s="153"/>
      <c r="L533" s="153"/>
      <c r="M533"/>
      <c r="N533"/>
      <c r="O533"/>
      <c r="P533"/>
      <c r="Q533"/>
      <c r="R533"/>
      <c r="S533"/>
      <c r="T533"/>
      <c r="U533"/>
      <c r="V533"/>
      <c r="W533"/>
      <c r="X533"/>
      <c r="Y533"/>
      <c r="Z533"/>
      <c r="AA533"/>
      <c r="AB533"/>
      <c r="AC533"/>
      <c r="AD533"/>
      <c r="AE533"/>
      <c r="AF533"/>
    </row>
    <row r="534" spans="11:32" ht="14.1" customHeight="1" x14ac:dyDescent="0.2">
      <c r="K534" s="153"/>
      <c r="L534" s="153"/>
      <c r="M534"/>
      <c r="N534"/>
      <c r="O534"/>
      <c r="P534"/>
      <c r="Q534"/>
      <c r="R534"/>
      <c r="S534"/>
      <c r="T534"/>
      <c r="U534"/>
      <c r="V534"/>
      <c r="W534"/>
      <c r="X534"/>
      <c r="Y534"/>
      <c r="Z534"/>
      <c r="AA534"/>
      <c r="AB534"/>
      <c r="AC534"/>
      <c r="AD534"/>
      <c r="AE534"/>
      <c r="AF534"/>
    </row>
    <row r="535" spans="11:32" ht="14.1" customHeight="1" x14ac:dyDescent="0.2">
      <c r="K535" s="153"/>
      <c r="L535" s="153"/>
      <c r="M535"/>
      <c r="N535"/>
      <c r="O535"/>
      <c r="P535"/>
      <c r="Q535"/>
      <c r="R535"/>
      <c r="S535"/>
      <c r="T535"/>
      <c r="U535"/>
      <c r="V535"/>
      <c r="W535"/>
      <c r="X535"/>
      <c r="Y535"/>
      <c r="Z535"/>
      <c r="AA535"/>
      <c r="AB535"/>
      <c r="AC535"/>
      <c r="AD535"/>
      <c r="AE535"/>
      <c r="AF535"/>
    </row>
    <row r="536" spans="11:32" ht="14.1" customHeight="1" x14ac:dyDescent="0.2">
      <c r="K536" s="153"/>
      <c r="L536" s="153"/>
      <c r="M536"/>
      <c r="N536"/>
      <c r="O536"/>
      <c r="P536"/>
      <c r="Q536"/>
      <c r="R536"/>
      <c r="S536"/>
      <c r="T536"/>
      <c r="U536"/>
      <c r="V536"/>
      <c r="W536"/>
      <c r="X536"/>
      <c r="Y536"/>
      <c r="Z536"/>
      <c r="AA536"/>
      <c r="AB536"/>
      <c r="AC536"/>
      <c r="AD536"/>
      <c r="AE536"/>
      <c r="AF536"/>
    </row>
    <row r="537" spans="11:32" ht="14.1" customHeight="1" x14ac:dyDescent="0.2">
      <c r="K537" s="153"/>
      <c r="L537" s="153"/>
      <c r="M537"/>
      <c r="N537"/>
      <c r="O537"/>
      <c r="P537"/>
      <c r="Q537"/>
      <c r="R537"/>
      <c r="S537"/>
      <c r="T537"/>
      <c r="U537"/>
      <c r="V537"/>
      <c r="W537"/>
      <c r="X537"/>
      <c r="Y537"/>
      <c r="Z537"/>
      <c r="AA537"/>
      <c r="AB537"/>
      <c r="AC537"/>
      <c r="AD537"/>
      <c r="AE537"/>
      <c r="AF537"/>
    </row>
    <row r="538" spans="11:32" ht="14.1" customHeight="1" x14ac:dyDescent="0.2">
      <c r="K538" s="153"/>
      <c r="L538" s="153"/>
      <c r="M538"/>
      <c r="N538"/>
      <c r="O538"/>
      <c r="P538"/>
      <c r="Q538"/>
      <c r="R538"/>
      <c r="S538"/>
      <c r="T538"/>
      <c r="U538"/>
      <c r="V538"/>
      <c r="W538"/>
      <c r="X538"/>
      <c r="Y538"/>
      <c r="Z538"/>
      <c r="AA538"/>
      <c r="AB538"/>
      <c r="AC538"/>
      <c r="AD538"/>
      <c r="AE538"/>
      <c r="AF538"/>
    </row>
    <row r="539" spans="11:32" ht="14.1" customHeight="1" x14ac:dyDescent="0.2">
      <c r="K539" s="153"/>
      <c r="L539" s="153"/>
      <c r="M539"/>
      <c r="N539"/>
      <c r="O539"/>
      <c r="P539"/>
      <c r="Q539"/>
      <c r="R539"/>
      <c r="S539"/>
      <c r="T539"/>
      <c r="U539"/>
      <c r="V539"/>
      <c r="W539"/>
      <c r="X539"/>
      <c r="Y539"/>
      <c r="Z539"/>
      <c r="AA539"/>
      <c r="AB539"/>
      <c r="AC539"/>
      <c r="AD539"/>
      <c r="AE539"/>
      <c r="AF539"/>
    </row>
    <row r="540" spans="11:32" ht="14.1" customHeight="1" x14ac:dyDescent="0.2">
      <c r="K540" s="153"/>
      <c r="L540" s="153"/>
      <c r="M540"/>
      <c r="N540"/>
      <c r="O540"/>
      <c r="P540"/>
      <c r="Q540"/>
      <c r="R540"/>
      <c r="S540"/>
      <c r="T540"/>
      <c r="U540"/>
      <c r="V540"/>
      <c r="W540"/>
      <c r="X540"/>
      <c r="Y540"/>
      <c r="Z540"/>
      <c r="AA540"/>
      <c r="AB540"/>
      <c r="AC540"/>
      <c r="AD540"/>
      <c r="AE540"/>
      <c r="AF540"/>
    </row>
    <row r="541" spans="11:32" ht="14.1" customHeight="1" x14ac:dyDescent="0.2">
      <c r="K541" s="153"/>
      <c r="L541" s="153"/>
      <c r="M541"/>
      <c r="N541"/>
      <c r="O541"/>
      <c r="P541"/>
      <c r="Q541"/>
      <c r="R541"/>
      <c r="S541"/>
      <c r="T541"/>
      <c r="U541"/>
      <c r="V541"/>
      <c r="W541"/>
      <c r="X541"/>
      <c r="Y541"/>
      <c r="Z541"/>
      <c r="AA541"/>
      <c r="AB541"/>
      <c r="AC541"/>
      <c r="AD541"/>
      <c r="AE541"/>
      <c r="AF541"/>
    </row>
    <row r="542" spans="11:32" ht="14.1" customHeight="1" x14ac:dyDescent="0.2">
      <c r="K542" s="153"/>
      <c r="L542" s="153"/>
      <c r="M542"/>
      <c r="N542"/>
      <c r="O542"/>
      <c r="P542"/>
      <c r="Q542"/>
      <c r="R542"/>
      <c r="S542"/>
      <c r="T542"/>
      <c r="U542"/>
      <c r="V542"/>
      <c r="W542"/>
      <c r="X542"/>
      <c r="Y542"/>
      <c r="Z542"/>
      <c r="AA542"/>
      <c r="AB542"/>
      <c r="AC542"/>
      <c r="AD542"/>
      <c r="AE542"/>
      <c r="AF542"/>
    </row>
    <row r="543" spans="11:32" ht="14.1" customHeight="1" x14ac:dyDescent="0.2">
      <c r="K543" s="153"/>
      <c r="L543" s="153"/>
      <c r="M543"/>
      <c r="N543"/>
      <c r="O543"/>
      <c r="P543"/>
      <c r="Q543"/>
      <c r="R543"/>
      <c r="S543"/>
      <c r="T543"/>
      <c r="U543"/>
      <c r="V543"/>
      <c r="W543"/>
      <c r="X543"/>
      <c r="Y543"/>
      <c r="Z543"/>
      <c r="AA543"/>
      <c r="AB543"/>
      <c r="AC543"/>
      <c r="AD543"/>
      <c r="AE543"/>
      <c r="AF543"/>
    </row>
    <row r="544" spans="11:32" ht="14.1" customHeight="1" x14ac:dyDescent="0.2">
      <c r="K544" s="153"/>
      <c r="L544" s="153"/>
      <c r="M544"/>
      <c r="N544"/>
      <c r="O544"/>
      <c r="P544"/>
      <c r="Q544"/>
      <c r="R544"/>
      <c r="S544"/>
      <c r="T544"/>
      <c r="U544"/>
      <c r="V544"/>
      <c r="W544"/>
      <c r="X544"/>
      <c r="Y544"/>
      <c r="Z544"/>
      <c r="AA544"/>
      <c r="AB544"/>
      <c r="AC544"/>
      <c r="AD544"/>
      <c r="AE544"/>
      <c r="AF544"/>
    </row>
    <row r="545" spans="11:32" ht="14.1" customHeight="1" x14ac:dyDescent="0.2">
      <c r="K545" s="153"/>
      <c r="L545" s="153"/>
      <c r="M545"/>
      <c r="N545"/>
      <c r="O545"/>
      <c r="P545"/>
      <c r="Q545"/>
      <c r="R545"/>
      <c r="S545"/>
      <c r="T545"/>
      <c r="U545"/>
      <c r="V545"/>
      <c r="W545"/>
      <c r="X545"/>
      <c r="Y545"/>
      <c r="Z545"/>
      <c r="AA545"/>
      <c r="AB545"/>
      <c r="AC545"/>
      <c r="AD545"/>
      <c r="AE545"/>
      <c r="AF545"/>
    </row>
    <row r="546" spans="11:32" ht="14.1" customHeight="1" x14ac:dyDescent="0.2">
      <c r="K546" s="153"/>
      <c r="L546" s="153"/>
      <c r="M546"/>
      <c r="N546"/>
      <c r="O546"/>
      <c r="P546"/>
      <c r="Q546"/>
      <c r="R546"/>
      <c r="S546"/>
      <c r="T546"/>
      <c r="U546"/>
      <c r="V546"/>
      <c r="W546"/>
      <c r="X546"/>
      <c r="Y546"/>
      <c r="Z546"/>
      <c r="AA546"/>
      <c r="AB546"/>
      <c r="AC546"/>
      <c r="AD546"/>
      <c r="AE546"/>
      <c r="AF546"/>
    </row>
    <row r="547" spans="11:32" ht="14.1" customHeight="1" x14ac:dyDescent="0.2">
      <c r="K547" s="153"/>
      <c r="L547" s="153"/>
      <c r="M547"/>
      <c r="N547"/>
      <c r="O547"/>
      <c r="P547"/>
      <c r="Q547"/>
      <c r="R547"/>
      <c r="S547"/>
      <c r="T547"/>
      <c r="U547"/>
      <c r="V547"/>
      <c r="W547"/>
      <c r="X547"/>
      <c r="Y547"/>
      <c r="Z547"/>
      <c r="AA547"/>
      <c r="AB547"/>
      <c r="AC547"/>
      <c r="AD547"/>
      <c r="AE547"/>
      <c r="AF547"/>
    </row>
    <row r="548" spans="11:32" ht="14.1" customHeight="1" x14ac:dyDescent="0.2">
      <c r="K548" s="153"/>
      <c r="L548" s="153"/>
      <c r="M548"/>
      <c r="N548"/>
      <c r="O548"/>
      <c r="P548"/>
      <c r="Q548"/>
      <c r="R548"/>
      <c r="S548"/>
      <c r="T548"/>
      <c r="U548"/>
      <c r="V548"/>
      <c r="W548"/>
      <c r="X548"/>
      <c r="Y548"/>
      <c r="Z548"/>
      <c r="AA548"/>
      <c r="AB548"/>
      <c r="AC548"/>
      <c r="AD548"/>
      <c r="AE548"/>
      <c r="AF548"/>
    </row>
    <row r="549" spans="11:32" ht="14.1" customHeight="1" x14ac:dyDescent="0.2">
      <c r="K549" s="153"/>
      <c r="L549" s="153"/>
      <c r="M549"/>
      <c r="N549"/>
      <c r="O549"/>
      <c r="P549"/>
      <c r="Q549"/>
      <c r="R549"/>
      <c r="S549"/>
      <c r="T549"/>
      <c r="U549"/>
      <c r="V549"/>
      <c r="W549"/>
      <c r="X549"/>
      <c r="Y549"/>
      <c r="Z549"/>
      <c r="AA549"/>
      <c r="AB549"/>
      <c r="AC549"/>
      <c r="AD549"/>
      <c r="AE549"/>
      <c r="AF549"/>
    </row>
    <row r="550" spans="11:32" ht="14.1" customHeight="1" x14ac:dyDescent="0.2">
      <c r="K550" s="153"/>
      <c r="L550" s="153"/>
      <c r="M550"/>
      <c r="N550"/>
      <c r="O550"/>
      <c r="P550"/>
      <c r="Q550"/>
      <c r="R550"/>
      <c r="S550"/>
      <c r="T550"/>
      <c r="U550"/>
      <c r="V550"/>
      <c r="W550"/>
      <c r="X550"/>
      <c r="Y550"/>
      <c r="Z550"/>
      <c r="AA550"/>
      <c r="AB550"/>
      <c r="AC550"/>
      <c r="AD550"/>
      <c r="AE550"/>
      <c r="AF550"/>
    </row>
    <row r="551" spans="11:32" ht="14.1" customHeight="1" x14ac:dyDescent="0.2">
      <c r="K551" s="153"/>
      <c r="L551" s="153"/>
      <c r="M551"/>
      <c r="N551"/>
      <c r="O551"/>
      <c r="P551"/>
      <c r="Q551"/>
      <c r="R551"/>
      <c r="S551"/>
      <c r="T551"/>
      <c r="U551"/>
      <c r="V551"/>
      <c r="W551"/>
      <c r="X551"/>
      <c r="Y551"/>
      <c r="Z551"/>
      <c r="AA551"/>
      <c r="AB551"/>
      <c r="AC551"/>
      <c r="AD551"/>
      <c r="AE551"/>
      <c r="AF551"/>
    </row>
    <row r="552" spans="11:32" ht="14.1" customHeight="1" x14ac:dyDescent="0.2">
      <c r="K552" s="153"/>
      <c r="L552" s="153"/>
      <c r="M552"/>
      <c r="N552"/>
      <c r="O552"/>
      <c r="P552"/>
      <c r="Q552"/>
      <c r="R552"/>
      <c r="S552"/>
      <c r="T552"/>
      <c r="U552"/>
      <c r="V552"/>
      <c r="W552"/>
      <c r="X552"/>
      <c r="Y552"/>
      <c r="Z552"/>
      <c r="AA552"/>
      <c r="AB552"/>
      <c r="AC552"/>
      <c r="AD552"/>
      <c r="AE552"/>
      <c r="AF552"/>
    </row>
    <row r="553" spans="11:32" ht="14.1" customHeight="1" x14ac:dyDescent="0.2">
      <c r="K553" s="153"/>
      <c r="L553" s="153"/>
      <c r="M553"/>
      <c r="N553"/>
      <c r="O553"/>
      <c r="P553"/>
      <c r="Q553"/>
      <c r="R553"/>
      <c r="S553"/>
      <c r="T553"/>
      <c r="U553"/>
      <c r="V553"/>
      <c r="W553"/>
      <c r="X553"/>
      <c r="Y553"/>
      <c r="Z553"/>
      <c r="AA553"/>
      <c r="AB553"/>
      <c r="AC553"/>
      <c r="AD553"/>
      <c r="AE553"/>
      <c r="AF553"/>
    </row>
    <row r="554" spans="11:32" ht="14.1" customHeight="1" x14ac:dyDescent="0.2">
      <c r="K554" s="153"/>
      <c r="L554" s="153"/>
      <c r="M554"/>
      <c r="N554"/>
      <c r="O554"/>
      <c r="P554"/>
      <c r="Q554"/>
      <c r="R554"/>
      <c r="S554"/>
      <c r="T554"/>
      <c r="U554"/>
      <c r="V554"/>
      <c r="W554"/>
      <c r="X554"/>
      <c r="Y554"/>
      <c r="Z554"/>
      <c r="AA554"/>
      <c r="AB554"/>
      <c r="AC554"/>
      <c r="AD554"/>
      <c r="AE554"/>
      <c r="AF554"/>
    </row>
    <row r="555" spans="11:32" ht="14.1" customHeight="1" x14ac:dyDescent="0.2">
      <c r="K555" s="153"/>
      <c r="L555" s="153"/>
      <c r="M555"/>
      <c r="N555"/>
      <c r="O555"/>
      <c r="P555"/>
      <c r="Q555"/>
      <c r="R555"/>
      <c r="S555"/>
      <c r="T555"/>
      <c r="U555"/>
      <c r="V555"/>
      <c r="W555"/>
      <c r="X555"/>
      <c r="Y555"/>
      <c r="Z555"/>
      <c r="AA555"/>
      <c r="AB555"/>
      <c r="AC555"/>
      <c r="AD555"/>
      <c r="AE555"/>
      <c r="AF555"/>
    </row>
    <row r="556" spans="11:32" ht="14.1" customHeight="1" x14ac:dyDescent="0.2">
      <c r="K556" s="153"/>
      <c r="L556" s="153"/>
      <c r="M556"/>
      <c r="N556"/>
      <c r="O556"/>
      <c r="P556"/>
      <c r="Q556"/>
      <c r="R556"/>
      <c r="S556"/>
      <c r="T556"/>
      <c r="U556"/>
      <c r="V556"/>
      <c r="W556"/>
      <c r="X556"/>
      <c r="Y556"/>
      <c r="Z556"/>
      <c r="AA556"/>
      <c r="AB556"/>
      <c r="AC556"/>
      <c r="AD556"/>
      <c r="AE556"/>
      <c r="AF556"/>
    </row>
    <row r="557" spans="11:32" ht="14.1" customHeight="1" x14ac:dyDescent="0.2">
      <c r="K557" s="153"/>
      <c r="L557" s="153"/>
      <c r="M557"/>
      <c r="N557"/>
      <c r="O557"/>
      <c r="P557"/>
      <c r="Q557"/>
      <c r="R557"/>
      <c r="S557"/>
      <c r="T557"/>
      <c r="U557"/>
      <c r="V557"/>
      <c r="W557"/>
      <c r="X557"/>
      <c r="Y557"/>
      <c r="Z557"/>
      <c r="AA557"/>
      <c r="AB557"/>
      <c r="AC557"/>
      <c r="AD557"/>
      <c r="AE557"/>
      <c r="AF557"/>
    </row>
    <row r="558" spans="11:32" ht="14.1" customHeight="1" x14ac:dyDescent="0.2">
      <c r="K558" s="153"/>
      <c r="L558" s="153"/>
      <c r="M558"/>
      <c r="N558"/>
      <c r="O558"/>
      <c r="P558"/>
      <c r="Q558"/>
      <c r="R558"/>
      <c r="S558"/>
      <c r="T558"/>
      <c r="U558"/>
      <c r="V558"/>
      <c r="W558"/>
      <c r="X558"/>
      <c r="Y558"/>
      <c r="Z558"/>
      <c r="AA558"/>
      <c r="AB558"/>
      <c r="AC558"/>
      <c r="AD558"/>
      <c r="AE558"/>
      <c r="AF558"/>
    </row>
    <row r="559" spans="11:32" ht="14.1" customHeight="1" x14ac:dyDescent="0.2">
      <c r="K559" s="153"/>
      <c r="L559" s="153"/>
      <c r="M559"/>
      <c r="N559"/>
      <c r="O559"/>
      <c r="P559"/>
      <c r="Q559"/>
      <c r="R559"/>
      <c r="S559"/>
      <c r="T559"/>
      <c r="U559"/>
      <c r="V559"/>
      <c r="W559"/>
      <c r="X559"/>
      <c r="Y559"/>
      <c r="Z559"/>
      <c r="AA559"/>
      <c r="AB559"/>
      <c r="AC559"/>
      <c r="AD559"/>
      <c r="AE559"/>
      <c r="AF559"/>
    </row>
    <row r="560" spans="11:32" ht="14.1" customHeight="1" x14ac:dyDescent="0.2">
      <c r="K560" s="153"/>
      <c r="L560" s="153"/>
      <c r="M560"/>
      <c r="N560"/>
      <c r="O560"/>
      <c r="P560"/>
      <c r="Q560"/>
      <c r="R560"/>
      <c r="S560"/>
      <c r="T560"/>
      <c r="U560"/>
      <c r="V560"/>
      <c r="W560"/>
      <c r="X560"/>
      <c r="Y560"/>
      <c r="Z560"/>
      <c r="AA560"/>
      <c r="AB560"/>
      <c r="AC560"/>
      <c r="AD560"/>
      <c r="AE560"/>
      <c r="AF560"/>
    </row>
    <row r="561" spans="11:32" ht="14.1" customHeight="1" x14ac:dyDescent="0.2">
      <c r="K561" s="153"/>
      <c r="L561" s="153"/>
      <c r="M561"/>
      <c r="N561"/>
      <c r="O561"/>
      <c r="P561"/>
      <c r="Q561"/>
      <c r="R561"/>
      <c r="S561"/>
      <c r="T561"/>
      <c r="U561"/>
      <c r="V561"/>
      <c r="W561"/>
      <c r="X561"/>
      <c r="Y561"/>
      <c r="Z561"/>
      <c r="AA561"/>
      <c r="AB561"/>
      <c r="AC561"/>
      <c r="AD561"/>
      <c r="AE561"/>
      <c r="AF561"/>
    </row>
    <row r="562" spans="11:32" ht="14.1" customHeight="1" x14ac:dyDescent="0.2">
      <c r="K562" s="153"/>
      <c r="L562" s="153"/>
      <c r="M562"/>
      <c r="N562"/>
      <c r="O562"/>
      <c r="P562"/>
      <c r="Q562"/>
      <c r="R562"/>
      <c r="S562"/>
      <c r="T562"/>
      <c r="U562"/>
      <c r="V562"/>
      <c r="W562"/>
      <c r="X562"/>
      <c r="Y562"/>
      <c r="Z562"/>
      <c r="AA562"/>
      <c r="AB562"/>
      <c r="AC562"/>
      <c r="AD562"/>
      <c r="AE562"/>
      <c r="AF562"/>
    </row>
    <row r="563" spans="11:32" ht="14.1" customHeight="1" x14ac:dyDescent="0.2">
      <c r="K563" s="153"/>
      <c r="L563" s="153"/>
      <c r="M563"/>
      <c r="N563"/>
      <c r="O563"/>
      <c r="P563"/>
      <c r="Q563"/>
      <c r="R563"/>
      <c r="S563"/>
      <c r="T563"/>
      <c r="U563"/>
      <c r="V563"/>
      <c r="W563"/>
      <c r="X563"/>
      <c r="Y563"/>
      <c r="Z563"/>
      <c r="AA563"/>
      <c r="AB563"/>
      <c r="AC563"/>
      <c r="AD563"/>
      <c r="AE563"/>
      <c r="AF563"/>
    </row>
    <row r="564" spans="11:32" ht="14.1" customHeight="1" x14ac:dyDescent="0.2">
      <c r="K564" s="153"/>
      <c r="L564" s="153"/>
      <c r="M564"/>
      <c r="N564"/>
      <c r="O564"/>
      <c r="P564"/>
      <c r="Q564"/>
      <c r="R564"/>
      <c r="S564"/>
      <c r="T564"/>
      <c r="U564"/>
      <c r="V564"/>
      <c r="W564"/>
      <c r="X564"/>
      <c r="Y564"/>
      <c r="Z564"/>
      <c r="AA564"/>
      <c r="AB564"/>
      <c r="AC564"/>
      <c r="AD564"/>
      <c r="AE564"/>
      <c r="AF564"/>
    </row>
    <row r="565" spans="11:32" ht="14.1" customHeight="1" x14ac:dyDescent="0.2">
      <c r="K565" s="153"/>
      <c r="L565" s="153"/>
      <c r="M565"/>
      <c r="N565"/>
      <c r="O565"/>
      <c r="P565"/>
      <c r="Q565"/>
      <c r="R565"/>
      <c r="S565"/>
      <c r="T565"/>
      <c r="U565"/>
      <c r="V565"/>
      <c r="W565"/>
      <c r="X565"/>
      <c r="Y565"/>
      <c r="Z565"/>
      <c r="AA565"/>
      <c r="AB565"/>
      <c r="AC565"/>
      <c r="AD565"/>
      <c r="AE565"/>
      <c r="AF565"/>
    </row>
    <row r="566" spans="11:32" ht="14.1" customHeight="1" x14ac:dyDescent="0.2">
      <c r="K566" s="153"/>
      <c r="L566" s="153"/>
      <c r="M566"/>
      <c r="N566"/>
      <c r="O566"/>
      <c r="P566"/>
      <c r="Q566"/>
      <c r="R566"/>
      <c r="S566"/>
      <c r="T566"/>
      <c r="U566"/>
      <c r="V566"/>
      <c r="W566"/>
      <c r="X566"/>
      <c r="Y566"/>
      <c r="Z566"/>
      <c r="AA566"/>
      <c r="AB566"/>
      <c r="AC566"/>
      <c r="AD566"/>
      <c r="AE566"/>
      <c r="AF566"/>
    </row>
    <row r="567" spans="11:32" ht="14.1" customHeight="1" x14ac:dyDescent="0.2">
      <c r="K567" s="153"/>
      <c r="L567" s="153"/>
      <c r="M567"/>
      <c r="N567"/>
      <c r="O567"/>
      <c r="P567"/>
      <c r="Q567"/>
      <c r="R567"/>
      <c r="S567"/>
      <c r="T567"/>
      <c r="U567"/>
      <c r="V567"/>
      <c r="W567"/>
      <c r="X567"/>
      <c r="Y567"/>
      <c r="Z567"/>
      <c r="AA567"/>
      <c r="AB567"/>
      <c r="AC567"/>
      <c r="AD567"/>
      <c r="AE567"/>
      <c r="AF567"/>
    </row>
    <row r="568" spans="11:32" ht="14.1" customHeight="1" x14ac:dyDescent="0.2">
      <c r="K568" s="153"/>
      <c r="L568" s="153"/>
      <c r="M568"/>
      <c r="N568"/>
      <c r="O568"/>
      <c r="P568"/>
      <c r="Q568"/>
      <c r="R568"/>
      <c r="S568"/>
      <c r="T568"/>
      <c r="U568"/>
      <c r="V568"/>
      <c r="W568"/>
      <c r="X568"/>
      <c r="Y568"/>
      <c r="Z568"/>
      <c r="AA568"/>
      <c r="AB568"/>
      <c r="AC568"/>
      <c r="AD568"/>
      <c r="AE568"/>
      <c r="AF568"/>
    </row>
    <row r="569" spans="11:32" ht="14.1" customHeight="1" x14ac:dyDescent="0.2">
      <c r="K569" s="153"/>
      <c r="L569" s="153"/>
      <c r="M569"/>
      <c r="N569"/>
      <c r="O569"/>
      <c r="P569"/>
      <c r="Q569"/>
      <c r="R569"/>
      <c r="S569"/>
      <c r="T569"/>
      <c r="U569"/>
      <c r="V569"/>
      <c r="W569"/>
      <c r="X569"/>
      <c r="Y569"/>
      <c r="Z569"/>
      <c r="AA569"/>
      <c r="AB569"/>
      <c r="AC569"/>
      <c r="AD569"/>
      <c r="AE569"/>
      <c r="AF569"/>
    </row>
    <row r="570" spans="11:32" ht="14.1" customHeight="1" x14ac:dyDescent="0.2">
      <c r="K570" s="153"/>
      <c r="L570" s="153"/>
      <c r="M570"/>
      <c r="N570"/>
      <c r="O570"/>
      <c r="P570"/>
      <c r="Q570"/>
      <c r="R570"/>
      <c r="S570"/>
      <c r="T570"/>
      <c r="U570"/>
      <c r="V570"/>
      <c r="W570"/>
      <c r="X570"/>
      <c r="Y570"/>
      <c r="Z570"/>
      <c r="AA570"/>
      <c r="AB570"/>
      <c r="AC570"/>
      <c r="AD570"/>
      <c r="AE570"/>
      <c r="AF570"/>
    </row>
    <row r="571" spans="11:32" ht="14.1" customHeight="1" x14ac:dyDescent="0.2">
      <c r="K571" s="153"/>
      <c r="L571" s="153"/>
      <c r="M571"/>
      <c r="N571"/>
      <c r="O571"/>
      <c r="P571"/>
      <c r="Q571"/>
      <c r="R571"/>
      <c r="S571"/>
      <c r="T571"/>
      <c r="U571"/>
      <c r="V571"/>
      <c r="W571"/>
      <c r="X571"/>
      <c r="Y571"/>
      <c r="Z571"/>
      <c r="AA571"/>
      <c r="AB571"/>
      <c r="AC571"/>
      <c r="AD571"/>
      <c r="AE571"/>
      <c r="AF571"/>
    </row>
    <row r="572" spans="11:32" ht="14.1" customHeight="1" x14ac:dyDescent="0.2">
      <c r="K572" s="153"/>
      <c r="L572" s="153"/>
      <c r="M572"/>
      <c r="N572"/>
      <c r="O572"/>
      <c r="P572"/>
      <c r="Q572"/>
      <c r="R572"/>
      <c r="S572"/>
      <c r="T572"/>
      <c r="U572"/>
      <c r="V572"/>
      <c r="W572"/>
      <c r="X572"/>
      <c r="Y572"/>
      <c r="Z572"/>
      <c r="AA572"/>
      <c r="AB572"/>
      <c r="AC572"/>
      <c r="AD572"/>
      <c r="AE572"/>
      <c r="AF572"/>
    </row>
    <row r="573" spans="11:32" ht="14.1" customHeight="1" x14ac:dyDescent="0.2">
      <c r="K573" s="153"/>
      <c r="L573" s="153"/>
      <c r="M573"/>
      <c r="N573"/>
      <c r="O573"/>
      <c r="P573"/>
      <c r="Q573"/>
      <c r="R573"/>
      <c r="S573"/>
      <c r="T573"/>
      <c r="U573"/>
      <c r="V573"/>
      <c r="W573"/>
      <c r="X573"/>
      <c r="Y573"/>
      <c r="Z573"/>
      <c r="AA573"/>
      <c r="AB573"/>
      <c r="AC573"/>
      <c r="AD573"/>
      <c r="AE573"/>
      <c r="AF573"/>
    </row>
    <row r="574" spans="11:32" ht="14.1" customHeight="1" x14ac:dyDescent="0.2">
      <c r="K574" s="153"/>
      <c r="L574" s="153"/>
      <c r="M574"/>
      <c r="N574"/>
      <c r="O574"/>
      <c r="P574"/>
      <c r="Q574"/>
      <c r="R574"/>
      <c r="S574"/>
      <c r="T574"/>
      <c r="U574"/>
      <c r="V574"/>
      <c r="W574"/>
      <c r="X574"/>
      <c r="Y574"/>
      <c r="Z574"/>
      <c r="AA574"/>
      <c r="AB574"/>
      <c r="AC574"/>
      <c r="AD574"/>
      <c r="AE574"/>
      <c r="AF574"/>
    </row>
    <row r="575" spans="11:32" ht="14.1" customHeight="1" x14ac:dyDescent="0.2">
      <c r="K575" s="153"/>
      <c r="L575" s="153"/>
      <c r="M575"/>
      <c r="N575"/>
      <c r="O575"/>
      <c r="P575"/>
      <c r="Q575"/>
      <c r="R575"/>
      <c r="S575"/>
      <c r="T575"/>
      <c r="U575"/>
      <c r="V575"/>
      <c r="W575"/>
      <c r="X575"/>
      <c r="Y575"/>
      <c r="Z575"/>
      <c r="AA575"/>
      <c r="AB575"/>
      <c r="AC575"/>
      <c r="AD575"/>
      <c r="AE575"/>
      <c r="AF575"/>
    </row>
    <row r="576" spans="11:32" ht="14.1" customHeight="1" x14ac:dyDescent="0.2">
      <c r="K576" s="153"/>
      <c r="L576" s="153"/>
      <c r="M576"/>
      <c r="N576"/>
      <c r="O576"/>
      <c r="P576"/>
      <c r="Q576"/>
      <c r="R576"/>
      <c r="S576"/>
      <c r="T576"/>
      <c r="U576"/>
      <c r="V576"/>
      <c r="W576"/>
      <c r="X576"/>
      <c r="Y576"/>
      <c r="Z576"/>
      <c r="AA576"/>
      <c r="AB576"/>
      <c r="AC576"/>
      <c r="AD576"/>
      <c r="AE576"/>
      <c r="AF576"/>
    </row>
    <row r="577" spans="11:32" ht="14.1" customHeight="1" x14ac:dyDescent="0.2">
      <c r="K577" s="153"/>
      <c r="L577" s="153"/>
      <c r="M577"/>
      <c r="N577"/>
      <c r="O577"/>
      <c r="P577"/>
      <c r="Q577"/>
      <c r="R577"/>
      <c r="S577"/>
      <c r="T577"/>
      <c r="U577"/>
      <c r="V577"/>
      <c r="W577"/>
      <c r="X577"/>
      <c r="Y577"/>
      <c r="Z577"/>
      <c r="AA577"/>
      <c r="AB577"/>
      <c r="AC577"/>
      <c r="AD577"/>
      <c r="AE577"/>
      <c r="AF577"/>
    </row>
    <row r="578" spans="11:32" ht="14.1" customHeight="1" x14ac:dyDescent="0.2">
      <c r="K578" s="153"/>
      <c r="L578" s="153"/>
      <c r="M578"/>
      <c r="N578"/>
      <c r="O578"/>
      <c r="P578"/>
      <c r="Q578"/>
      <c r="R578"/>
      <c r="S578"/>
      <c r="T578"/>
      <c r="U578"/>
      <c r="V578"/>
      <c r="W578"/>
      <c r="X578"/>
      <c r="Y578"/>
      <c r="Z578"/>
      <c r="AA578"/>
      <c r="AB578"/>
      <c r="AC578"/>
      <c r="AD578"/>
      <c r="AE578"/>
      <c r="AF578"/>
    </row>
    <row r="579" spans="11:32" ht="14.1" customHeight="1" x14ac:dyDescent="0.2">
      <c r="K579" s="153"/>
      <c r="L579" s="153"/>
      <c r="M579"/>
      <c r="N579"/>
      <c r="O579"/>
      <c r="P579"/>
      <c r="Q579"/>
      <c r="R579"/>
      <c r="S579"/>
      <c r="T579"/>
      <c r="U579"/>
      <c r="V579"/>
      <c r="W579"/>
      <c r="X579"/>
      <c r="Y579"/>
      <c r="Z579"/>
      <c r="AA579"/>
      <c r="AB579"/>
      <c r="AC579"/>
      <c r="AD579"/>
      <c r="AE579"/>
      <c r="AF579"/>
    </row>
    <row r="580" spans="11:32" ht="14.1" customHeight="1" x14ac:dyDescent="0.2">
      <c r="K580" s="153"/>
      <c r="L580" s="153"/>
      <c r="M580"/>
      <c r="N580"/>
      <c r="O580"/>
      <c r="P580"/>
      <c r="Q580"/>
      <c r="R580"/>
      <c r="S580"/>
      <c r="T580"/>
      <c r="U580"/>
      <c r="V580"/>
      <c r="W580"/>
      <c r="X580"/>
      <c r="Y580"/>
      <c r="Z580"/>
      <c r="AA580"/>
      <c r="AB580"/>
      <c r="AC580"/>
      <c r="AD580"/>
      <c r="AE580"/>
      <c r="AF580"/>
    </row>
    <row r="581" spans="11:32" ht="14.1" customHeight="1" x14ac:dyDescent="0.2">
      <c r="K581" s="153"/>
      <c r="L581" s="153"/>
      <c r="M581"/>
      <c r="N581"/>
      <c r="O581"/>
      <c r="P581"/>
      <c r="Q581"/>
      <c r="R581"/>
      <c r="S581"/>
      <c r="T581"/>
      <c r="U581"/>
      <c r="V581"/>
      <c r="W581"/>
      <c r="X581"/>
      <c r="Y581"/>
      <c r="Z581"/>
      <c r="AA581"/>
      <c r="AB581"/>
      <c r="AC581"/>
      <c r="AD581"/>
      <c r="AE581"/>
      <c r="AF581"/>
    </row>
    <row r="582" spans="11:32" ht="14.1" customHeight="1" x14ac:dyDescent="0.2">
      <c r="K582" s="153"/>
      <c r="L582" s="153"/>
      <c r="M582"/>
      <c r="N582"/>
      <c r="O582"/>
      <c r="P582"/>
      <c r="Q582"/>
      <c r="R582"/>
      <c r="S582"/>
      <c r="T582"/>
      <c r="U582"/>
      <c r="V582"/>
      <c r="W582"/>
      <c r="X582"/>
      <c r="Y582"/>
      <c r="Z582"/>
      <c r="AA582"/>
      <c r="AB582"/>
      <c r="AC582"/>
      <c r="AD582"/>
      <c r="AE582"/>
      <c r="AF582"/>
    </row>
    <row r="583" spans="11:32" ht="14.1" customHeight="1" x14ac:dyDescent="0.2">
      <c r="K583" s="153"/>
      <c r="L583" s="153"/>
      <c r="M583"/>
      <c r="N583"/>
      <c r="O583"/>
      <c r="P583"/>
      <c r="Q583"/>
      <c r="R583"/>
      <c r="S583"/>
      <c r="T583"/>
      <c r="U583"/>
      <c r="V583"/>
      <c r="W583"/>
      <c r="X583"/>
      <c r="Y583"/>
      <c r="Z583"/>
      <c r="AA583"/>
      <c r="AB583"/>
      <c r="AC583"/>
      <c r="AD583"/>
      <c r="AE583"/>
      <c r="AF583"/>
    </row>
    <row r="584" spans="11:32" ht="14.1" customHeight="1" x14ac:dyDescent="0.2">
      <c r="K584" s="153"/>
      <c r="L584" s="153"/>
      <c r="M584"/>
      <c r="N584"/>
      <c r="O584"/>
      <c r="P584"/>
      <c r="Q584"/>
      <c r="R584"/>
      <c r="S584"/>
      <c r="T584"/>
      <c r="U584"/>
      <c r="V584"/>
      <c r="W584"/>
      <c r="X584"/>
      <c r="Y584"/>
      <c r="Z584"/>
      <c r="AA584"/>
      <c r="AB584"/>
      <c r="AC584"/>
      <c r="AD584"/>
      <c r="AE584"/>
      <c r="AF584"/>
    </row>
    <row r="585" spans="11:32" ht="14.1" customHeight="1" x14ac:dyDescent="0.2">
      <c r="K585" s="153"/>
      <c r="L585" s="153"/>
      <c r="M585"/>
      <c r="N585"/>
      <c r="O585"/>
      <c r="P585"/>
      <c r="Q585"/>
      <c r="R585"/>
      <c r="S585"/>
      <c r="T585"/>
      <c r="U585"/>
      <c r="V585"/>
      <c r="W585"/>
      <c r="X585"/>
      <c r="Y585"/>
      <c r="Z585"/>
      <c r="AA585"/>
      <c r="AB585"/>
      <c r="AC585"/>
      <c r="AD585"/>
      <c r="AE585"/>
      <c r="AF585"/>
    </row>
    <row r="586" spans="11:32" ht="14.1" customHeight="1" x14ac:dyDescent="0.2">
      <c r="K586" s="153"/>
      <c r="L586" s="153"/>
      <c r="M586"/>
      <c r="N586"/>
      <c r="O586"/>
      <c r="P586"/>
      <c r="Q586"/>
      <c r="R586"/>
      <c r="S586"/>
      <c r="T586"/>
      <c r="U586"/>
      <c r="V586"/>
      <c r="W586"/>
      <c r="X586"/>
      <c r="Y586"/>
      <c r="Z586"/>
      <c r="AA586"/>
      <c r="AB586"/>
      <c r="AC586"/>
      <c r="AD586"/>
      <c r="AE586"/>
      <c r="AF586"/>
    </row>
    <row r="587" spans="11:32" ht="14.1" customHeight="1" x14ac:dyDescent="0.2">
      <c r="K587" s="153"/>
      <c r="L587" s="153"/>
      <c r="M587"/>
      <c r="N587"/>
      <c r="O587"/>
      <c r="P587"/>
      <c r="Q587"/>
      <c r="R587"/>
      <c r="S587"/>
      <c r="T587"/>
      <c r="U587"/>
      <c r="V587"/>
      <c r="W587"/>
      <c r="X587"/>
      <c r="Y587"/>
      <c r="Z587"/>
      <c r="AA587"/>
      <c r="AB587"/>
      <c r="AC587"/>
      <c r="AD587"/>
      <c r="AE587"/>
      <c r="AF587"/>
    </row>
    <row r="588" spans="11:32" ht="14.1" customHeight="1" x14ac:dyDescent="0.2">
      <c r="K588" s="153"/>
      <c r="L588" s="153"/>
      <c r="M588"/>
      <c r="N588"/>
      <c r="O588"/>
      <c r="P588"/>
      <c r="Q588"/>
      <c r="R588"/>
      <c r="S588"/>
      <c r="T588"/>
      <c r="U588"/>
      <c r="V588"/>
      <c r="W588"/>
      <c r="X588"/>
      <c r="Y588"/>
      <c r="Z588"/>
      <c r="AA588"/>
      <c r="AB588"/>
      <c r="AC588"/>
      <c r="AD588"/>
      <c r="AE588"/>
      <c r="AF588"/>
    </row>
    <row r="589" spans="11:32" ht="14.1" customHeight="1" x14ac:dyDescent="0.2">
      <c r="K589" s="153"/>
      <c r="L589" s="153"/>
      <c r="M589"/>
      <c r="N589"/>
      <c r="O589"/>
      <c r="P589"/>
      <c r="Q589"/>
      <c r="R589"/>
      <c r="S589"/>
      <c r="T589"/>
      <c r="U589"/>
      <c r="V589"/>
      <c r="W589"/>
      <c r="X589"/>
      <c r="Y589"/>
      <c r="Z589"/>
      <c r="AA589"/>
      <c r="AB589"/>
      <c r="AC589"/>
      <c r="AD589"/>
      <c r="AE589"/>
      <c r="AF589"/>
    </row>
    <row r="590" spans="11:32" ht="14.1" customHeight="1" x14ac:dyDescent="0.2">
      <c r="K590" s="153"/>
      <c r="L590" s="153"/>
      <c r="M590"/>
      <c r="N590"/>
      <c r="O590"/>
      <c r="P590"/>
      <c r="Q590"/>
      <c r="R590"/>
      <c r="S590"/>
      <c r="T590"/>
      <c r="U590"/>
      <c r="V590"/>
      <c r="W590"/>
      <c r="X590"/>
      <c r="Y590"/>
      <c r="Z590"/>
      <c r="AA590"/>
      <c r="AB590"/>
      <c r="AC590"/>
      <c r="AD590"/>
      <c r="AE590"/>
      <c r="AF590"/>
    </row>
    <row r="591" spans="11:32" ht="14.1" customHeight="1" x14ac:dyDescent="0.2">
      <c r="K591" s="153"/>
      <c r="L591" s="153"/>
      <c r="M591"/>
      <c r="N591"/>
      <c r="O591"/>
      <c r="P591"/>
      <c r="Q591"/>
      <c r="R591"/>
      <c r="S591"/>
      <c r="T591"/>
      <c r="U591"/>
      <c r="V591"/>
      <c r="W591"/>
      <c r="X591"/>
      <c r="Y591"/>
      <c r="Z591"/>
      <c r="AA591"/>
      <c r="AB591"/>
      <c r="AC591"/>
      <c r="AD591"/>
      <c r="AE591"/>
      <c r="AF591"/>
    </row>
    <row r="592" spans="11:32" ht="14.1" customHeight="1" x14ac:dyDescent="0.2">
      <c r="K592" s="153"/>
      <c r="L592" s="153"/>
      <c r="M592"/>
      <c r="N592"/>
      <c r="O592"/>
      <c r="P592"/>
      <c r="Q592"/>
      <c r="R592"/>
      <c r="S592"/>
      <c r="T592"/>
      <c r="U592"/>
      <c r="V592"/>
      <c r="W592"/>
      <c r="X592"/>
      <c r="Y592"/>
      <c r="Z592"/>
      <c r="AA592"/>
      <c r="AB592"/>
      <c r="AC592"/>
      <c r="AD592"/>
      <c r="AE592"/>
      <c r="AF592"/>
    </row>
    <row r="593" spans="11:32" ht="14.1" customHeight="1" x14ac:dyDescent="0.2">
      <c r="K593" s="153"/>
      <c r="L593" s="153"/>
      <c r="M593"/>
      <c r="N593"/>
      <c r="O593"/>
      <c r="P593"/>
      <c r="Q593"/>
      <c r="R593"/>
      <c r="S593"/>
      <c r="T593"/>
      <c r="U593"/>
      <c r="V593"/>
      <c r="W593"/>
      <c r="X593"/>
      <c r="Y593"/>
      <c r="Z593"/>
      <c r="AA593"/>
      <c r="AB593"/>
      <c r="AC593"/>
      <c r="AD593"/>
      <c r="AE593"/>
      <c r="AF593"/>
    </row>
    <row r="594" spans="11:32" ht="14.1" customHeight="1" x14ac:dyDescent="0.2">
      <c r="K594" s="153"/>
      <c r="L594" s="153"/>
      <c r="M594"/>
      <c r="N594"/>
      <c r="O594"/>
      <c r="P594"/>
      <c r="Q594"/>
      <c r="R594"/>
      <c r="S594"/>
      <c r="T594"/>
      <c r="U594"/>
      <c r="V594"/>
      <c r="W594"/>
      <c r="X594"/>
      <c r="Y594"/>
      <c r="Z594"/>
      <c r="AA594"/>
      <c r="AB594"/>
      <c r="AC594"/>
      <c r="AD594"/>
      <c r="AE594"/>
      <c r="AF594"/>
    </row>
    <row r="595" spans="11:32" ht="14.1" customHeight="1" x14ac:dyDescent="0.2">
      <c r="K595" s="153"/>
      <c r="L595" s="153"/>
      <c r="M595"/>
      <c r="N595"/>
      <c r="O595"/>
      <c r="P595"/>
      <c r="Q595"/>
      <c r="R595"/>
      <c r="S595"/>
      <c r="T595"/>
      <c r="U595"/>
      <c r="V595"/>
      <c r="W595"/>
      <c r="X595"/>
      <c r="Y595"/>
      <c r="Z595"/>
      <c r="AA595"/>
      <c r="AB595"/>
      <c r="AC595"/>
      <c r="AD595"/>
      <c r="AE595"/>
      <c r="AF595"/>
    </row>
    <row r="596" spans="11:32" ht="14.1" customHeight="1" x14ac:dyDescent="0.2">
      <c r="K596" s="153"/>
      <c r="L596" s="153"/>
      <c r="M596"/>
      <c r="N596"/>
      <c r="O596"/>
      <c r="P596"/>
      <c r="Q596"/>
      <c r="R596"/>
      <c r="S596"/>
      <c r="T596"/>
      <c r="U596"/>
      <c r="V596"/>
      <c r="W596"/>
      <c r="X596"/>
      <c r="Y596"/>
      <c r="Z596"/>
      <c r="AA596"/>
      <c r="AB596"/>
      <c r="AC596"/>
      <c r="AD596"/>
      <c r="AE596"/>
      <c r="AF596"/>
    </row>
    <row r="597" spans="11:32" ht="14.1" customHeight="1" x14ac:dyDescent="0.2">
      <c r="K597" s="153"/>
      <c r="L597" s="153"/>
      <c r="M597"/>
      <c r="N597"/>
      <c r="O597"/>
      <c r="P597"/>
      <c r="Q597"/>
      <c r="R597"/>
      <c r="S597"/>
      <c r="T597"/>
      <c r="U597"/>
      <c r="V597"/>
      <c r="W597"/>
      <c r="X597"/>
      <c r="Y597"/>
      <c r="Z597"/>
      <c r="AA597"/>
      <c r="AB597"/>
      <c r="AC597"/>
      <c r="AD597"/>
      <c r="AE597"/>
      <c r="AF597"/>
    </row>
    <row r="598" spans="11:32" ht="14.1" customHeight="1" x14ac:dyDescent="0.2">
      <c r="K598" s="153"/>
      <c r="L598" s="153"/>
      <c r="M598"/>
      <c r="N598"/>
      <c r="O598"/>
      <c r="P598"/>
      <c r="Q598"/>
      <c r="R598"/>
      <c r="S598"/>
      <c r="T598"/>
      <c r="U598"/>
      <c r="V598"/>
      <c r="W598"/>
      <c r="X598"/>
      <c r="Y598"/>
      <c r="Z598"/>
      <c r="AA598"/>
      <c r="AB598"/>
      <c r="AC598"/>
      <c r="AD598"/>
      <c r="AE598"/>
      <c r="AF598"/>
    </row>
    <row r="599" spans="11:32" ht="14.1" customHeight="1" x14ac:dyDescent="0.2">
      <c r="K599" s="153"/>
      <c r="L599" s="153"/>
      <c r="M599"/>
      <c r="N599"/>
      <c r="O599"/>
      <c r="P599"/>
      <c r="Q599"/>
      <c r="R599"/>
      <c r="S599"/>
      <c r="T599"/>
      <c r="U599"/>
      <c r="V599"/>
      <c r="W599"/>
      <c r="X599"/>
      <c r="Y599"/>
      <c r="Z599"/>
      <c r="AA599"/>
      <c r="AB599"/>
      <c r="AC599"/>
      <c r="AD599"/>
      <c r="AE599"/>
      <c r="AF599"/>
    </row>
    <row r="600" spans="11:32" ht="14.1" customHeight="1" x14ac:dyDescent="0.2">
      <c r="K600" s="153"/>
      <c r="L600" s="153"/>
      <c r="M600"/>
      <c r="N600"/>
      <c r="O600"/>
      <c r="P600"/>
      <c r="Q600"/>
      <c r="R600"/>
      <c r="S600"/>
      <c r="T600"/>
      <c r="U600"/>
      <c r="V600"/>
      <c r="W600"/>
      <c r="X600"/>
      <c r="Y600"/>
      <c r="Z600"/>
      <c r="AA600"/>
      <c r="AB600"/>
      <c r="AC600"/>
      <c r="AD600"/>
      <c r="AE600"/>
      <c r="AF600"/>
    </row>
    <row r="601" spans="11:32" ht="14.1" customHeight="1" x14ac:dyDescent="0.2">
      <c r="K601" s="153"/>
      <c r="L601" s="153"/>
      <c r="M601"/>
      <c r="N601"/>
      <c r="O601"/>
      <c r="P601"/>
      <c r="Q601"/>
      <c r="R601"/>
      <c r="S601"/>
      <c r="T601"/>
      <c r="U601"/>
      <c r="V601"/>
      <c r="W601"/>
      <c r="X601"/>
      <c r="Y601"/>
      <c r="Z601"/>
      <c r="AA601"/>
      <c r="AB601"/>
      <c r="AC601"/>
      <c r="AD601"/>
      <c r="AE601"/>
      <c r="AF601"/>
    </row>
    <row r="602" spans="11:32" ht="14.1" customHeight="1" x14ac:dyDescent="0.2">
      <c r="K602" s="153"/>
      <c r="L602" s="153"/>
      <c r="M602"/>
      <c r="N602"/>
      <c r="O602"/>
      <c r="P602"/>
      <c r="Q602"/>
      <c r="R602"/>
      <c r="S602"/>
      <c r="T602"/>
      <c r="U602"/>
      <c r="V602"/>
      <c r="W602"/>
      <c r="X602"/>
      <c r="Y602"/>
      <c r="Z602"/>
      <c r="AA602"/>
      <c r="AB602"/>
      <c r="AC602"/>
      <c r="AD602"/>
      <c r="AE602"/>
      <c r="AF602"/>
    </row>
    <row r="603" spans="11:32" ht="14.1" customHeight="1" x14ac:dyDescent="0.2">
      <c r="K603" s="153"/>
      <c r="L603" s="153"/>
      <c r="M603"/>
      <c r="N603"/>
      <c r="O603"/>
      <c r="P603"/>
      <c r="Q603"/>
      <c r="R603"/>
      <c r="S603"/>
      <c r="T603"/>
      <c r="U603"/>
      <c r="V603"/>
      <c r="W603"/>
      <c r="X603"/>
      <c r="Y603"/>
      <c r="Z603"/>
      <c r="AA603"/>
      <c r="AB603"/>
      <c r="AC603"/>
      <c r="AD603"/>
      <c r="AE603"/>
      <c r="AF603"/>
    </row>
    <row r="604" spans="11:32" ht="14.1" customHeight="1" x14ac:dyDescent="0.2">
      <c r="K604" s="153"/>
      <c r="L604" s="153"/>
      <c r="M604"/>
      <c r="N604"/>
      <c r="O604"/>
      <c r="P604"/>
      <c r="Q604"/>
      <c r="R604"/>
      <c r="S604"/>
      <c r="T604"/>
      <c r="U604"/>
      <c r="V604"/>
      <c r="W604"/>
      <c r="X604"/>
      <c r="Y604"/>
      <c r="Z604"/>
      <c r="AA604"/>
      <c r="AB604"/>
      <c r="AC604"/>
      <c r="AD604"/>
      <c r="AE604"/>
      <c r="AF604"/>
    </row>
    <row r="605" spans="11:32" ht="14.1" customHeight="1" x14ac:dyDescent="0.2">
      <c r="K605" s="153"/>
      <c r="L605" s="153"/>
      <c r="M605"/>
      <c r="N605"/>
      <c r="O605"/>
      <c r="P605"/>
      <c r="Q605"/>
      <c r="R605"/>
      <c r="S605"/>
      <c r="T605"/>
      <c r="U605"/>
      <c r="V605"/>
      <c r="W605"/>
      <c r="X605"/>
      <c r="Y605"/>
      <c r="Z605"/>
      <c r="AA605"/>
      <c r="AB605"/>
      <c r="AC605"/>
      <c r="AD605"/>
      <c r="AE605"/>
      <c r="AF605"/>
    </row>
    <row r="606" spans="11:32" ht="14.1" customHeight="1" x14ac:dyDescent="0.2">
      <c r="K606" s="153"/>
      <c r="L606" s="153"/>
      <c r="M606"/>
      <c r="N606"/>
      <c r="O606"/>
      <c r="P606"/>
      <c r="Q606"/>
      <c r="R606"/>
      <c r="S606"/>
      <c r="T606"/>
      <c r="U606"/>
      <c r="V606"/>
      <c r="W606"/>
      <c r="X606"/>
      <c r="Y606"/>
      <c r="Z606"/>
      <c r="AA606"/>
      <c r="AB606"/>
      <c r="AC606"/>
      <c r="AD606"/>
      <c r="AE606"/>
      <c r="AF606"/>
    </row>
    <row r="607" spans="11:32" ht="14.1" customHeight="1" x14ac:dyDescent="0.2">
      <c r="K607" s="153"/>
      <c r="L607" s="153"/>
      <c r="M607"/>
      <c r="N607"/>
      <c r="O607"/>
      <c r="P607"/>
      <c r="Q607"/>
      <c r="R607"/>
      <c r="S607"/>
      <c r="T607"/>
      <c r="U607"/>
      <c r="V607"/>
      <c r="W607"/>
      <c r="X607"/>
      <c r="Y607"/>
      <c r="Z607"/>
      <c r="AA607"/>
      <c r="AB607"/>
      <c r="AC607"/>
      <c r="AD607"/>
      <c r="AE607"/>
      <c r="AF607"/>
    </row>
    <row r="608" spans="11:32" ht="14.1" customHeight="1" x14ac:dyDescent="0.2">
      <c r="K608" s="153"/>
      <c r="L608" s="153"/>
      <c r="M608"/>
      <c r="N608"/>
      <c r="O608"/>
      <c r="P608"/>
      <c r="Q608"/>
      <c r="R608"/>
      <c r="S608"/>
      <c r="T608"/>
      <c r="U608"/>
      <c r="V608"/>
      <c r="W608"/>
      <c r="X608"/>
      <c r="Y608"/>
      <c r="Z608"/>
      <c r="AA608"/>
      <c r="AB608"/>
      <c r="AC608"/>
      <c r="AD608"/>
      <c r="AE608"/>
      <c r="AF608"/>
    </row>
    <row r="609" spans="11:32" ht="14.1" customHeight="1" x14ac:dyDescent="0.2">
      <c r="K609" s="153"/>
      <c r="L609" s="153"/>
      <c r="M609"/>
      <c r="N609"/>
      <c r="O609"/>
      <c r="P609"/>
      <c r="Q609"/>
      <c r="R609"/>
      <c r="S609"/>
      <c r="T609"/>
      <c r="U609"/>
      <c r="V609"/>
      <c r="W609"/>
      <c r="X609"/>
      <c r="Y609"/>
      <c r="Z609"/>
      <c r="AA609"/>
      <c r="AB609"/>
      <c r="AC609"/>
      <c r="AD609"/>
      <c r="AE609"/>
      <c r="AF609"/>
    </row>
    <row r="610" spans="11:32" ht="14.1" customHeight="1" x14ac:dyDescent="0.2">
      <c r="K610" s="153"/>
      <c r="L610" s="153"/>
      <c r="M610"/>
      <c r="N610"/>
      <c r="O610"/>
      <c r="P610"/>
      <c r="Q610"/>
      <c r="R610"/>
      <c r="S610"/>
      <c r="T610"/>
      <c r="U610"/>
      <c r="V610"/>
      <c r="W610"/>
      <c r="X610"/>
      <c r="Y610"/>
      <c r="Z610"/>
      <c r="AA610"/>
      <c r="AB610"/>
      <c r="AC610"/>
      <c r="AD610"/>
      <c r="AE610"/>
      <c r="AF610"/>
    </row>
    <row r="611" spans="11:32" ht="14.1" customHeight="1" x14ac:dyDescent="0.2">
      <c r="K611" s="153"/>
      <c r="L611" s="153"/>
      <c r="M611"/>
      <c r="N611"/>
      <c r="O611"/>
      <c r="P611"/>
      <c r="Q611"/>
      <c r="R611"/>
      <c r="S611"/>
      <c r="T611"/>
      <c r="U611"/>
      <c r="V611"/>
      <c r="W611"/>
      <c r="X611"/>
      <c r="Y611"/>
      <c r="Z611"/>
      <c r="AA611"/>
      <c r="AB611"/>
      <c r="AC611"/>
      <c r="AD611"/>
      <c r="AE611"/>
      <c r="AF611"/>
    </row>
    <row r="612" spans="11:32" ht="14.1" customHeight="1" x14ac:dyDescent="0.2">
      <c r="K612" s="153"/>
      <c r="L612" s="153"/>
      <c r="M612"/>
      <c r="N612"/>
      <c r="O612"/>
      <c r="P612"/>
      <c r="Q612"/>
      <c r="R612"/>
      <c r="S612"/>
      <c r="T612"/>
      <c r="U612"/>
      <c r="V612"/>
      <c r="W612"/>
      <c r="X612"/>
      <c r="Y612"/>
      <c r="Z612"/>
      <c r="AA612"/>
      <c r="AB612"/>
      <c r="AC612"/>
      <c r="AD612"/>
      <c r="AE612"/>
      <c r="AF612"/>
    </row>
    <row r="613" spans="11:32" ht="14.1" customHeight="1" x14ac:dyDescent="0.2">
      <c r="K613" s="153"/>
      <c r="L613" s="153"/>
      <c r="M613"/>
      <c r="N613"/>
      <c r="O613"/>
      <c r="P613"/>
      <c r="Q613"/>
      <c r="R613"/>
      <c r="S613"/>
      <c r="T613"/>
      <c r="U613"/>
      <c r="V613"/>
      <c r="W613"/>
      <c r="X613"/>
      <c r="Y613"/>
      <c r="Z613"/>
      <c r="AA613"/>
      <c r="AB613"/>
      <c r="AC613"/>
      <c r="AD613"/>
      <c r="AE613"/>
      <c r="AF613"/>
    </row>
    <row r="614" spans="11:32" ht="14.1" customHeight="1" x14ac:dyDescent="0.2">
      <c r="K614" s="153"/>
      <c r="L614" s="153"/>
      <c r="M614"/>
      <c r="N614"/>
      <c r="O614"/>
      <c r="P614"/>
      <c r="Q614"/>
      <c r="R614"/>
      <c r="S614"/>
      <c r="T614"/>
      <c r="U614"/>
      <c r="V614"/>
      <c r="W614"/>
      <c r="X614"/>
      <c r="Y614"/>
      <c r="Z614"/>
      <c r="AA614"/>
      <c r="AB614"/>
      <c r="AC614"/>
      <c r="AD614"/>
      <c r="AE614"/>
      <c r="AF614"/>
    </row>
    <row r="615" spans="11:32" ht="14.1" customHeight="1" x14ac:dyDescent="0.2">
      <c r="K615" s="153"/>
      <c r="L615" s="153"/>
      <c r="M615"/>
      <c r="N615"/>
      <c r="O615"/>
      <c r="P615"/>
      <c r="Q615"/>
      <c r="R615"/>
      <c r="S615"/>
      <c r="T615"/>
      <c r="U615"/>
      <c r="V615"/>
      <c r="W615"/>
      <c r="X615"/>
      <c r="Y615"/>
      <c r="Z615"/>
      <c r="AA615"/>
      <c r="AB615"/>
      <c r="AC615"/>
      <c r="AD615"/>
      <c r="AE615"/>
      <c r="AF615"/>
    </row>
    <row r="616" spans="11:32" ht="14.1" customHeight="1" x14ac:dyDescent="0.2">
      <c r="K616" s="153"/>
      <c r="L616" s="153"/>
      <c r="M616"/>
      <c r="N616"/>
      <c r="O616"/>
      <c r="P616"/>
      <c r="Q616"/>
      <c r="R616"/>
      <c r="S616"/>
      <c r="T616"/>
      <c r="U616"/>
      <c r="V616"/>
      <c r="W616"/>
      <c r="X616"/>
      <c r="Y616"/>
      <c r="Z616"/>
      <c r="AA616"/>
      <c r="AB616"/>
      <c r="AC616"/>
      <c r="AD616"/>
      <c r="AE616"/>
      <c r="AF616"/>
    </row>
    <row r="617" spans="11:32" ht="14.1" customHeight="1" x14ac:dyDescent="0.2">
      <c r="K617" s="153"/>
      <c r="L617" s="153"/>
      <c r="M617"/>
      <c r="N617"/>
      <c r="O617"/>
      <c r="P617"/>
      <c r="Q617"/>
      <c r="R617"/>
      <c r="S617"/>
      <c r="T617"/>
      <c r="U617"/>
      <c r="V617"/>
      <c r="W617"/>
      <c r="X617"/>
      <c r="Y617"/>
      <c r="Z617"/>
      <c r="AA617"/>
      <c r="AB617"/>
      <c r="AC617"/>
      <c r="AD617"/>
      <c r="AE617"/>
      <c r="AF617"/>
    </row>
    <row r="618" spans="11:32" ht="14.1" customHeight="1" x14ac:dyDescent="0.2">
      <c r="K618" s="153"/>
      <c r="L618" s="153"/>
      <c r="M618"/>
      <c r="N618"/>
      <c r="O618"/>
      <c r="P618"/>
      <c r="Q618"/>
      <c r="R618"/>
      <c r="S618"/>
      <c r="T618"/>
      <c r="U618"/>
      <c r="V618"/>
      <c r="W618"/>
      <c r="X618"/>
      <c r="Y618"/>
      <c r="Z618"/>
      <c r="AA618"/>
      <c r="AB618"/>
      <c r="AC618"/>
      <c r="AD618"/>
      <c r="AE618"/>
      <c r="AF618"/>
    </row>
    <row r="619" spans="11:32" ht="14.1" customHeight="1" x14ac:dyDescent="0.2">
      <c r="K619" s="153"/>
      <c r="L619" s="153"/>
      <c r="M619"/>
      <c r="N619"/>
      <c r="O619"/>
      <c r="P619"/>
      <c r="Q619"/>
      <c r="R619"/>
      <c r="S619"/>
      <c r="T619"/>
      <c r="U619"/>
      <c r="V619"/>
      <c r="W619"/>
      <c r="X619"/>
      <c r="Y619"/>
      <c r="Z619"/>
      <c r="AA619"/>
      <c r="AB619"/>
      <c r="AC619"/>
      <c r="AD619"/>
      <c r="AE619"/>
      <c r="AF619"/>
    </row>
    <row r="620" spans="11:32" ht="14.1" customHeight="1" x14ac:dyDescent="0.2">
      <c r="K620" s="153"/>
      <c r="L620" s="153"/>
      <c r="M620"/>
      <c r="N620"/>
      <c r="O620"/>
      <c r="P620"/>
      <c r="Q620"/>
      <c r="R620"/>
      <c r="S620"/>
      <c r="T620"/>
      <c r="U620"/>
      <c r="V620"/>
      <c r="W620"/>
      <c r="X620"/>
      <c r="Y620"/>
      <c r="Z620"/>
      <c r="AA620"/>
      <c r="AB620"/>
      <c r="AC620"/>
      <c r="AD620"/>
      <c r="AE620"/>
      <c r="AF620"/>
    </row>
    <row r="621" spans="11:32" ht="14.1" customHeight="1" x14ac:dyDescent="0.2">
      <c r="K621" s="153"/>
      <c r="L621" s="153"/>
      <c r="M621"/>
      <c r="N621"/>
      <c r="O621"/>
      <c r="P621"/>
      <c r="Q621"/>
      <c r="R621"/>
      <c r="S621"/>
      <c r="T621"/>
      <c r="U621"/>
      <c r="V621"/>
      <c r="W621"/>
      <c r="X621"/>
      <c r="Y621"/>
      <c r="Z621"/>
      <c r="AA621"/>
      <c r="AB621"/>
      <c r="AC621"/>
      <c r="AD621"/>
      <c r="AE621"/>
      <c r="AF621"/>
    </row>
    <row r="622" spans="11:32" ht="14.1" customHeight="1" x14ac:dyDescent="0.2">
      <c r="K622" s="153"/>
      <c r="L622" s="153"/>
      <c r="M622"/>
      <c r="N622"/>
      <c r="O622"/>
      <c r="P622"/>
      <c r="Q622"/>
      <c r="R622"/>
      <c r="S622"/>
      <c r="T622"/>
      <c r="U622"/>
      <c r="V622"/>
      <c r="W622"/>
      <c r="X622"/>
      <c r="Y622"/>
      <c r="Z622"/>
      <c r="AA622"/>
      <c r="AB622"/>
      <c r="AC622"/>
      <c r="AD622"/>
      <c r="AE622"/>
      <c r="AF622"/>
    </row>
    <row r="623" spans="11:32" ht="14.1" customHeight="1" x14ac:dyDescent="0.2">
      <c r="K623" s="153"/>
      <c r="L623" s="153"/>
      <c r="M623"/>
      <c r="N623"/>
      <c r="O623"/>
      <c r="P623"/>
      <c r="Q623"/>
      <c r="R623"/>
      <c r="S623"/>
      <c r="T623"/>
      <c r="U623"/>
      <c r="V623"/>
      <c r="W623"/>
      <c r="X623"/>
      <c r="Y623"/>
      <c r="Z623"/>
      <c r="AA623"/>
      <c r="AB623"/>
      <c r="AC623"/>
      <c r="AD623"/>
      <c r="AE623"/>
      <c r="AF623"/>
    </row>
    <row r="624" spans="11:32" ht="14.1" customHeight="1" x14ac:dyDescent="0.2">
      <c r="K624" s="153"/>
      <c r="L624" s="153"/>
      <c r="M624"/>
      <c r="N624"/>
      <c r="O624"/>
      <c r="P624"/>
      <c r="Q624"/>
      <c r="R624"/>
      <c r="S624"/>
      <c r="T624"/>
      <c r="U624"/>
      <c r="V624"/>
      <c r="W624"/>
      <c r="X624"/>
      <c r="Y624"/>
      <c r="Z624"/>
      <c r="AA624"/>
      <c r="AB624"/>
      <c r="AC624"/>
      <c r="AD624"/>
      <c r="AE624"/>
      <c r="AF624"/>
    </row>
    <row r="625" spans="11:32" ht="14.1" customHeight="1" x14ac:dyDescent="0.2">
      <c r="K625" s="153"/>
      <c r="L625" s="153"/>
      <c r="M625"/>
      <c r="N625"/>
      <c r="O625"/>
      <c r="P625"/>
      <c r="Q625"/>
      <c r="R625"/>
      <c r="S625"/>
      <c r="T625"/>
      <c r="U625"/>
      <c r="V625"/>
      <c r="W625"/>
      <c r="X625"/>
      <c r="Y625"/>
      <c r="Z625"/>
      <c r="AA625"/>
      <c r="AB625"/>
      <c r="AC625"/>
      <c r="AD625"/>
      <c r="AE625"/>
      <c r="AF625"/>
    </row>
    <row r="626" spans="11:32" ht="14.1" customHeight="1" x14ac:dyDescent="0.2">
      <c r="K626" s="153"/>
      <c r="L626" s="153"/>
      <c r="M626"/>
      <c r="N626"/>
      <c r="O626"/>
      <c r="P626"/>
      <c r="Q626"/>
      <c r="R626"/>
      <c r="S626"/>
      <c r="T626"/>
      <c r="U626"/>
      <c r="V626"/>
      <c r="W626"/>
      <c r="X626"/>
      <c r="Y626"/>
      <c r="Z626"/>
      <c r="AA626"/>
      <c r="AB626"/>
      <c r="AC626"/>
      <c r="AD626"/>
      <c r="AE626"/>
      <c r="AF626"/>
    </row>
    <row r="627" spans="11:32" ht="14.1" customHeight="1" x14ac:dyDescent="0.2">
      <c r="K627" s="153"/>
      <c r="L627" s="153"/>
      <c r="M627"/>
      <c r="N627"/>
      <c r="O627"/>
      <c r="P627"/>
      <c r="Q627"/>
      <c r="R627"/>
      <c r="S627"/>
      <c r="T627"/>
      <c r="U627"/>
      <c r="V627"/>
      <c r="W627"/>
      <c r="X627"/>
      <c r="Y627"/>
      <c r="Z627"/>
      <c r="AA627"/>
      <c r="AB627"/>
      <c r="AC627"/>
      <c r="AD627"/>
      <c r="AE627"/>
      <c r="AF627"/>
    </row>
    <row r="628" spans="11:32" ht="14.1" customHeight="1" x14ac:dyDescent="0.2">
      <c r="K628" s="153"/>
      <c r="L628" s="153"/>
      <c r="M628"/>
      <c r="N628"/>
      <c r="O628"/>
      <c r="P628"/>
      <c r="Q628"/>
      <c r="R628"/>
      <c r="S628"/>
      <c r="T628"/>
      <c r="U628"/>
      <c r="V628"/>
      <c r="W628"/>
      <c r="X628"/>
      <c r="Y628"/>
      <c r="Z628"/>
      <c r="AA628"/>
      <c r="AB628"/>
      <c r="AC628"/>
      <c r="AD628"/>
      <c r="AE628"/>
      <c r="AF628"/>
    </row>
    <row r="629" spans="11:32" ht="14.1" customHeight="1" x14ac:dyDescent="0.2">
      <c r="K629" s="153"/>
      <c r="L629" s="153"/>
      <c r="M629"/>
      <c r="N629"/>
      <c r="O629"/>
      <c r="P629"/>
      <c r="Q629"/>
      <c r="R629"/>
      <c r="S629"/>
      <c r="T629"/>
      <c r="U629"/>
      <c r="V629"/>
      <c r="W629"/>
      <c r="X629"/>
      <c r="Y629"/>
      <c r="Z629"/>
      <c r="AA629"/>
      <c r="AB629"/>
      <c r="AC629"/>
      <c r="AD629"/>
      <c r="AE629"/>
      <c r="AF629"/>
    </row>
    <row r="630" spans="11:32" ht="14.1" customHeight="1" x14ac:dyDescent="0.2">
      <c r="K630" s="153"/>
      <c r="L630" s="153"/>
      <c r="M630"/>
      <c r="N630"/>
      <c r="O630"/>
      <c r="P630"/>
      <c r="Q630"/>
      <c r="R630"/>
      <c r="S630"/>
      <c r="T630"/>
      <c r="U630"/>
      <c r="V630"/>
      <c r="W630"/>
      <c r="X630"/>
      <c r="Y630"/>
      <c r="Z630"/>
      <c r="AA630"/>
      <c r="AB630"/>
      <c r="AC630"/>
      <c r="AD630"/>
      <c r="AE630"/>
      <c r="AF630"/>
    </row>
    <row r="631" spans="11:32" ht="14.1" customHeight="1" x14ac:dyDescent="0.2">
      <c r="K631" s="153"/>
      <c r="L631" s="153"/>
      <c r="M631"/>
      <c r="N631"/>
      <c r="O631"/>
      <c r="P631"/>
      <c r="Q631"/>
      <c r="R631"/>
      <c r="S631"/>
      <c r="T631"/>
      <c r="U631"/>
      <c r="V631"/>
      <c r="W631"/>
      <c r="X631"/>
      <c r="Y631"/>
      <c r="Z631"/>
      <c r="AA631"/>
      <c r="AB631"/>
      <c r="AC631"/>
      <c r="AD631"/>
      <c r="AE631"/>
      <c r="AF631"/>
    </row>
    <row r="632" spans="11:32" ht="14.1" customHeight="1" x14ac:dyDescent="0.2">
      <c r="K632" s="153"/>
      <c r="L632" s="153"/>
      <c r="M632"/>
      <c r="N632"/>
      <c r="O632"/>
      <c r="P632"/>
      <c r="Q632"/>
      <c r="R632"/>
      <c r="S632"/>
      <c r="T632"/>
      <c r="U632"/>
      <c r="V632"/>
      <c r="W632"/>
      <c r="X632"/>
      <c r="Y632"/>
      <c r="Z632"/>
      <c r="AA632"/>
      <c r="AB632"/>
      <c r="AC632"/>
      <c r="AD632"/>
      <c r="AE632"/>
      <c r="AF632"/>
    </row>
    <row r="633" spans="11:32" ht="14.1" customHeight="1" x14ac:dyDescent="0.2">
      <c r="K633" s="153"/>
      <c r="L633" s="153"/>
      <c r="M633"/>
      <c r="N633"/>
      <c r="O633"/>
      <c r="P633"/>
      <c r="Q633"/>
      <c r="R633"/>
      <c r="S633"/>
      <c r="T633"/>
      <c r="U633"/>
      <c r="V633"/>
      <c r="W633"/>
      <c r="X633"/>
      <c r="Y633"/>
      <c r="Z633"/>
      <c r="AA633"/>
      <c r="AB633"/>
      <c r="AC633"/>
      <c r="AD633"/>
      <c r="AE633"/>
      <c r="AF633"/>
    </row>
    <row r="634" spans="11:32" ht="14.1" customHeight="1" x14ac:dyDescent="0.2">
      <c r="K634" s="153"/>
      <c r="L634" s="153"/>
      <c r="M634"/>
      <c r="N634"/>
      <c r="O634"/>
      <c r="P634"/>
      <c r="Q634"/>
      <c r="R634"/>
      <c r="S634"/>
      <c r="T634"/>
      <c r="U634"/>
      <c r="V634"/>
      <c r="W634"/>
      <c r="X634"/>
      <c r="Y634"/>
      <c r="Z634"/>
      <c r="AA634"/>
      <c r="AB634"/>
      <c r="AC634"/>
      <c r="AD634"/>
      <c r="AE634"/>
      <c r="AF634"/>
    </row>
    <row r="635" spans="11:32" ht="14.1" customHeight="1" x14ac:dyDescent="0.2">
      <c r="K635" s="153"/>
      <c r="L635" s="153"/>
      <c r="M635"/>
      <c r="N635"/>
      <c r="O635"/>
      <c r="P635"/>
      <c r="Q635"/>
      <c r="R635"/>
      <c r="S635"/>
      <c r="T635"/>
      <c r="U635"/>
      <c r="V635"/>
      <c r="W635"/>
      <c r="X635"/>
      <c r="Y635"/>
      <c r="Z635"/>
      <c r="AA635"/>
      <c r="AB635"/>
      <c r="AC635"/>
      <c r="AD635"/>
      <c r="AE635"/>
      <c r="AF635"/>
    </row>
    <row r="636" spans="11:32" ht="14.1" customHeight="1" x14ac:dyDescent="0.2">
      <c r="K636" s="153"/>
      <c r="L636" s="153"/>
      <c r="M636"/>
      <c r="N636"/>
      <c r="O636"/>
      <c r="P636"/>
      <c r="Q636"/>
      <c r="R636"/>
      <c r="S636"/>
      <c r="T636"/>
      <c r="U636"/>
      <c r="V636"/>
      <c r="W636"/>
      <c r="X636"/>
      <c r="Y636"/>
      <c r="Z636"/>
      <c r="AA636"/>
      <c r="AB636"/>
      <c r="AC636"/>
      <c r="AD636"/>
      <c r="AE636"/>
      <c r="AF636"/>
    </row>
    <row r="637" spans="11:32" ht="14.1" customHeight="1" x14ac:dyDescent="0.2">
      <c r="K637" s="153"/>
      <c r="L637" s="153"/>
      <c r="M637"/>
      <c r="N637"/>
      <c r="O637"/>
      <c r="P637"/>
      <c r="Q637"/>
      <c r="R637"/>
      <c r="S637"/>
      <c r="T637"/>
      <c r="U637"/>
      <c r="V637"/>
      <c r="W637"/>
      <c r="X637"/>
      <c r="Y637"/>
      <c r="Z637"/>
      <c r="AA637"/>
      <c r="AB637"/>
      <c r="AC637"/>
      <c r="AD637"/>
      <c r="AE637"/>
      <c r="AF637"/>
    </row>
    <row r="638" spans="11:32" ht="14.1" customHeight="1" x14ac:dyDescent="0.2">
      <c r="K638" s="153"/>
      <c r="L638" s="153"/>
      <c r="M638"/>
      <c r="N638"/>
      <c r="O638"/>
      <c r="P638"/>
      <c r="Q638"/>
      <c r="R638"/>
      <c r="S638"/>
      <c r="T638"/>
      <c r="U638"/>
      <c r="V638"/>
      <c r="W638"/>
      <c r="X638"/>
      <c r="Y638"/>
      <c r="Z638"/>
      <c r="AA638"/>
      <c r="AB638"/>
      <c r="AC638"/>
      <c r="AD638"/>
      <c r="AE638"/>
      <c r="AF638"/>
    </row>
    <row r="639" spans="11:32" ht="14.1" customHeight="1" x14ac:dyDescent="0.2">
      <c r="K639" s="153"/>
      <c r="L639" s="153"/>
      <c r="M639"/>
      <c r="N639"/>
      <c r="O639"/>
      <c r="P639"/>
      <c r="Q639"/>
      <c r="R639"/>
      <c r="S639"/>
      <c r="T639"/>
      <c r="U639"/>
      <c r="V639"/>
      <c r="W639"/>
      <c r="X639"/>
      <c r="Y639"/>
      <c r="Z639"/>
      <c r="AA639"/>
      <c r="AB639"/>
      <c r="AC639"/>
      <c r="AD639"/>
      <c r="AE639"/>
      <c r="AF639"/>
    </row>
    <row r="640" spans="11:32" ht="14.1" customHeight="1" x14ac:dyDescent="0.2">
      <c r="K640" s="153"/>
      <c r="L640" s="153"/>
      <c r="M640"/>
      <c r="N640"/>
      <c r="O640"/>
      <c r="P640"/>
      <c r="Q640"/>
      <c r="R640"/>
      <c r="S640"/>
      <c r="T640"/>
      <c r="U640"/>
      <c r="V640"/>
      <c r="W640"/>
      <c r="X640"/>
      <c r="Y640"/>
      <c r="Z640"/>
      <c r="AA640"/>
      <c r="AB640"/>
      <c r="AC640"/>
      <c r="AD640"/>
      <c r="AE640"/>
      <c r="AF640"/>
    </row>
    <row r="641" spans="11:32" ht="14.1" customHeight="1" x14ac:dyDescent="0.2">
      <c r="K641" s="153"/>
      <c r="L641" s="153"/>
      <c r="M641"/>
      <c r="N641"/>
      <c r="O641"/>
      <c r="P641"/>
      <c r="Q641"/>
      <c r="R641"/>
      <c r="S641"/>
      <c r="T641"/>
      <c r="U641"/>
      <c r="V641"/>
      <c r="W641"/>
      <c r="X641"/>
      <c r="Y641"/>
      <c r="Z641"/>
      <c r="AA641"/>
      <c r="AB641"/>
      <c r="AC641"/>
      <c r="AD641"/>
      <c r="AE641"/>
      <c r="AF641"/>
    </row>
    <row r="642" spans="11:32" ht="14.1" customHeight="1" x14ac:dyDescent="0.2">
      <c r="K642" s="153"/>
      <c r="L642" s="153"/>
      <c r="M642"/>
      <c r="N642"/>
      <c r="O642"/>
      <c r="P642"/>
      <c r="Q642"/>
      <c r="R642"/>
      <c r="S642"/>
      <c r="T642"/>
      <c r="U642"/>
      <c r="V642"/>
      <c r="W642"/>
      <c r="X642"/>
      <c r="Y642"/>
      <c r="Z642"/>
      <c r="AA642"/>
      <c r="AB642"/>
      <c r="AC642"/>
      <c r="AD642"/>
      <c r="AE642"/>
      <c r="AF642"/>
    </row>
    <row r="643" spans="11:32" ht="14.1" customHeight="1" x14ac:dyDescent="0.2">
      <c r="K643" s="153"/>
      <c r="L643" s="153"/>
      <c r="M643"/>
      <c r="N643"/>
      <c r="O643"/>
      <c r="P643"/>
      <c r="Q643"/>
      <c r="R643"/>
      <c r="S643"/>
      <c r="T643"/>
      <c r="U643"/>
      <c r="V643"/>
      <c r="W643"/>
      <c r="X643"/>
      <c r="Y643"/>
      <c r="Z643"/>
      <c r="AA643"/>
      <c r="AB643"/>
      <c r="AC643"/>
      <c r="AD643"/>
      <c r="AE643"/>
      <c r="AF643"/>
    </row>
    <row r="644" spans="11:32" ht="14.1" customHeight="1" x14ac:dyDescent="0.2">
      <c r="K644" s="153"/>
      <c r="L644" s="153"/>
      <c r="M644"/>
      <c r="N644"/>
      <c r="O644"/>
      <c r="P644"/>
      <c r="Q644"/>
      <c r="R644"/>
      <c r="S644"/>
      <c r="T644"/>
      <c r="U644"/>
      <c r="V644"/>
      <c r="W644"/>
      <c r="X644"/>
      <c r="Y644"/>
      <c r="Z644"/>
      <c r="AA644"/>
      <c r="AB644"/>
      <c r="AC644"/>
      <c r="AD644"/>
      <c r="AE644"/>
      <c r="AF644"/>
    </row>
    <row r="645" spans="11:32" ht="14.1" customHeight="1" x14ac:dyDescent="0.2">
      <c r="K645" s="153"/>
      <c r="L645" s="153"/>
      <c r="M645"/>
      <c r="N645"/>
      <c r="O645"/>
      <c r="P645"/>
      <c r="Q645"/>
      <c r="R645"/>
      <c r="S645"/>
      <c r="T645"/>
      <c r="U645"/>
      <c r="V645"/>
      <c r="W645"/>
      <c r="X645"/>
      <c r="Y645"/>
      <c r="Z645"/>
      <c r="AA645"/>
      <c r="AB645"/>
      <c r="AC645"/>
      <c r="AD645"/>
      <c r="AE645"/>
      <c r="AF645"/>
    </row>
    <row r="646" spans="11:32" ht="14.1" customHeight="1" x14ac:dyDescent="0.2">
      <c r="K646" s="153"/>
      <c r="L646" s="153"/>
      <c r="M646"/>
      <c r="N646"/>
      <c r="O646"/>
      <c r="P646"/>
      <c r="Q646"/>
      <c r="R646"/>
      <c r="S646"/>
      <c r="T646"/>
      <c r="U646"/>
      <c r="V646"/>
      <c r="W646"/>
      <c r="X646"/>
      <c r="Y646"/>
      <c r="Z646"/>
      <c r="AA646"/>
      <c r="AB646"/>
      <c r="AC646"/>
      <c r="AD646"/>
      <c r="AE646"/>
      <c r="AF646"/>
    </row>
    <row r="647" spans="11:32" ht="14.1" customHeight="1" x14ac:dyDescent="0.2">
      <c r="K647" s="153"/>
      <c r="L647" s="153"/>
      <c r="M647"/>
      <c r="N647"/>
      <c r="O647"/>
      <c r="P647"/>
      <c r="Q647"/>
      <c r="R647"/>
      <c r="S647"/>
      <c r="T647"/>
      <c r="U647"/>
      <c r="V647"/>
      <c r="W647"/>
      <c r="X647"/>
      <c r="Y647"/>
      <c r="Z647"/>
      <c r="AA647"/>
      <c r="AB647"/>
      <c r="AC647"/>
      <c r="AD647"/>
      <c r="AE647"/>
      <c r="AF647"/>
    </row>
    <row r="648" spans="11:32" ht="14.1" customHeight="1" x14ac:dyDescent="0.2">
      <c r="K648" s="153"/>
      <c r="L648" s="153"/>
      <c r="M648"/>
      <c r="N648"/>
      <c r="O648"/>
      <c r="P648"/>
      <c r="Q648"/>
      <c r="R648"/>
      <c r="S648"/>
      <c r="T648"/>
      <c r="U648"/>
      <c r="V648"/>
      <c r="W648"/>
      <c r="X648"/>
      <c r="Y648"/>
      <c r="Z648"/>
      <c r="AA648"/>
      <c r="AB648"/>
      <c r="AC648"/>
      <c r="AD648"/>
      <c r="AE648"/>
      <c r="AF648"/>
    </row>
    <row r="649" spans="11:32" ht="14.1" customHeight="1" x14ac:dyDescent="0.2">
      <c r="K649" s="153"/>
      <c r="L649" s="153"/>
      <c r="M649"/>
      <c r="N649"/>
      <c r="O649"/>
      <c r="P649"/>
      <c r="Q649"/>
      <c r="R649"/>
      <c r="S649"/>
      <c r="T649"/>
      <c r="U649"/>
      <c r="V649"/>
      <c r="W649"/>
      <c r="X649"/>
      <c r="Y649"/>
      <c r="Z649"/>
      <c r="AA649"/>
      <c r="AB649"/>
      <c r="AC649"/>
      <c r="AD649"/>
      <c r="AE649"/>
      <c r="AF649"/>
    </row>
    <row r="650" spans="11:32" ht="14.1" customHeight="1" x14ac:dyDescent="0.2">
      <c r="K650" s="153"/>
      <c r="L650" s="153"/>
      <c r="M650"/>
      <c r="N650"/>
      <c r="O650"/>
      <c r="P650"/>
      <c r="Q650"/>
      <c r="R650"/>
      <c r="S650"/>
      <c r="T650"/>
      <c r="U650"/>
      <c r="V650"/>
      <c r="W650"/>
      <c r="X650"/>
      <c r="Y650"/>
      <c r="Z650"/>
      <c r="AA650"/>
      <c r="AB650"/>
      <c r="AC650"/>
      <c r="AD650"/>
      <c r="AE650"/>
      <c r="AF650"/>
    </row>
    <row r="651" spans="11:32" ht="14.1" customHeight="1" x14ac:dyDescent="0.2">
      <c r="K651" s="153"/>
      <c r="L651" s="153"/>
      <c r="M651"/>
      <c r="N651"/>
      <c r="O651"/>
      <c r="P651"/>
      <c r="Q651"/>
      <c r="R651"/>
      <c r="S651"/>
      <c r="T651"/>
      <c r="U651"/>
      <c r="V651"/>
      <c r="W651"/>
      <c r="X651"/>
      <c r="Y651"/>
      <c r="Z651"/>
      <c r="AA651"/>
      <c r="AB651"/>
      <c r="AC651"/>
      <c r="AD651"/>
      <c r="AE651"/>
      <c r="AF651"/>
    </row>
    <row r="652" spans="11:32" ht="14.1" customHeight="1" x14ac:dyDescent="0.2">
      <c r="K652" s="153"/>
      <c r="L652" s="153"/>
      <c r="M652"/>
      <c r="N652"/>
      <c r="O652"/>
      <c r="P652"/>
      <c r="Q652"/>
      <c r="R652"/>
      <c r="S652"/>
      <c r="T652"/>
      <c r="U652"/>
      <c r="V652"/>
      <c r="W652"/>
      <c r="X652"/>
      <c r="Y652"/>
      <c r="Z652"/>
      <c r="AA652"/>
      <c r="AB652"/>
      <c r="AC652"/>
      <c r="AD652"/>
      <c r="AE652"/>
      <c r="AF652"/>
    </row>
    <row r="653" spans="11:32" ht="14.1" customHeight="1" x14ac:dyDescent="0.2">
      <c r="K653" s="153"/>
      <c r="L653" s="153"/>
      <c r="M653"/>
      <c r="N653"/>
      <c r="O653"/>
      <c r="P653"/>
      <c r="Q653"/>
      <c r="R653"/>
      <c r="S653"/>
      <c r="T653"/>
      <c r="U653"/>
      <c r="V653"/>
      <c r="W653"/>
      <c r="X653"/>
      <c r="Y653"/>
      <c r="Z653"/>
      <c r="AA653"/>
      <c r="AB653"/>
      <c r="AC653"/>
      <c r="AD653"/>
      <c r="AE653"/>
      <c r="AF653"/>
    </row>
    <row r="654" spans="11:32" ht="14.1" customHeight="1" x14ac:dyDescent="0.2">
      <c r="K654" s="153"/>
      <c r="L654" s="153"/>
      <c r="M654"/>
      <c r="N654"/>
      <c r="O654"/>
      <c r="P654"/>
      <c r="Q654"/>
      <c r="R654"/>
      <c r="S654"/>
      <c r="T654"/>
      <c r="U654"/>
      <c r="V654"/>
      <c r="W654"/>
      <c r="X654"/>
      <c r="Y654"/>
      <c r="Z654"/>
      <c r="AA654"/>
      <c r="AB654"/>
      <c r="AC654"/>
      <c r="AD654"/>
      <c r="AE654"/>
      <c r="AF654"/>
    </row>
    <row r="655" spans="11:32" ht="14.1" customHeight="1" x14ac:dyDescent="0.2">
      <c r="K655" s="153"/>
      <c r="L655" s="153"/>
      <c r="M655"/>
      <c r="N655"/>
      <c r="O655"/>
      <c r="P655"/>
      <c r="Q655"/>
      <c r="R655"/>
      <c r="S655"/>
      <c r="T655"/>
      <c r="U655"/>
      <c r="V655"/>
      <c r="W655"/>
      <c r="X655"/>
      <c r="Y655"/>
      <c r="Z655"/>
      <c r="AA655"/>
      <c r="AB655"/>
      <c r="AC655"/>
      <c r="AD655"/>
      <c r="AE655"/>
      <c r="AF655"/>
    </row>
    <row r="656" spans="11:32" ht="14.1" customHeight="1" x14ac:dyDescent="0.2">
      <c r="K656" s="153"/>
      <c r="L656" s="153"/>
      <c r="M656"/>
      <c r="N656"/>
      <c r="O656"/>
      <c r="P656"/>
      <c r="Q656"/>
      <c r="R656"/>
      <c r="S656"/>
      <c r="T656"/>
      <c r="U656"/>
      <c r="V656"/>
      <c r="W656"/>
      <c r="X656"/>
      <c r="Y656"/>
      <c r="Z656"/>
      <c r="AA656"/>
      <c r="AB656"/>
      <c r="AC656"/>
      <c r="AD656"/>
      <c r="AE656"/>
      <c r="AF656"/>
    </row>
    <row r="657" spans="11:32" ht="14.1" customHeight="1" x14ac:dyDescent="0.2">
      <c r="K657" s="153"/>
      <c r="L657" s="153"/>
      <c r="M657"/>
      <c r="N657"/>
      <c r="O657"/>
      <c r="P657"/>
      <c r="Q657"/>
      <c r="R657"/>
      <c r="S657"/>
      <c r="T657"/>
      <c r="U657"/>
      <c r="V657"/>
      <c r="W657"/>
      <c r="X657"/>
      <c r="Y657"/>
      <c r="Z657"/>
      <c r="AA657"/>
      <c r="AB657"/>
      <c r="AC657"/>
      <c r="AD657"/>
      <c r="AE657"/>
      <c r="AF657"/>
    </row>
    <row r="658" spans="11:32" ht="14.1" customHeight="1" x14ac:dyDescent="0.2">
      <c r="K658" s="153"/>
      <c r="L658" s="153"/>
      <c r="M658"/>
      <c r="N658"/>
      <c r="O658"/>
      <c r="P658"/>
      <c r="Q658"/>
      <c r="R658"/>
      <c r="S658"/>
      <c r="T658"/>
      <c r="U658"/>
      <c r="V658"/>
      <c r="W658"/>
      <c r="X658"/>
      <c r="Y658"/>
      <c r="Z658"/>
      <c r="AA658"/>
      <c r="AB658"/>
      <c r="AC658"/>
      <c r="AD658"/>
      <c r="AE658"/>
      <c r="AF658"/>
    </row>
    <row r="659" spans="11:32" ht="14.1" customHeight="1" x14ac:dyDescent="0.2">
      <c r="K659" s="153"/>
      <c r="L659" s="153"/>
      <c r="M659"/>
      <c r="N659"/>
      <c r="O659"/>
      <c r="P659"/>
      <c r="Q659"/>
      <c r="R659"/>
      <c r="S659"/>
      <c r="T659"/>
      <c r="U659"/>
      <c r="V659"/>
      <c r="W659"/>
      <c r="X659"/>
      <c r="Y659"/>
      <c r="Z659"/>
      <c r="AA659"/>
      <c r="AB659"/>
      <c r="AC659"/>
      <c r="AD659"/>
      <c r="AE659"/>
      <c r="AF659"/>
    </row>
    <row r="660" spans="11:32" ht="14.1" customHeight="1" x14ac:dyDescent="0.2">
      <c r="K660" s="153"/>
      <c r="L660" s="153"/>
      <c r="M660"/>
      <c r="N660"/>
      <c r="O660"/>
      <c r="P660"/>
      <c r="Q660"/>
      <c r="R660"/>
      <c r="S660"/>
      <c r="T660"/>
      <c r="U660"/>
      <c r="V660"/>
      <c r="W660"/>
      <c r="X660"/>
      <c r="Y660"/>
      <c r="Z660"/>
      <c r="AA660"/>
      <c r="AB660"/>
      <c r="AC660"/>
      <c r="AD660"/>
      <c r="AE660"/>
      <c r="AF660"/>
    </row>
    <row r="661" spans="11:32" ht="14.1" customHeight="1" x14ac:dyDescent="0.2">
      <c r="K661" s="153"/>
      <c r="L661" s="153"/>
      <c r="M661"/>
      <c r="N661"/>
      <c r="O661"/>
      <c r="P661"/>
      <c r="Q661"/>
      <c r="R661"/>
      <c r="S661"/>
      <c r="T661"/>
      <c r="U661"/>
      <c r="V661"/>
      <c r="W661"/>
      <c r="X661"/>
      <c r="Y661"/>
      <c r="Z661"/>
      <c r="AA661"/>
      <c r="AB661"/>
      <c r="AC661"/>
      <c r="AD661"/>
      <c r="AE661"/>
      <c r="AF661"/>
    </row>
    <row r="662" spans="11:32" ht="14.1" customHeight="1" x14ac:dyDescent="0.2">
      <c r="K662" s="153"/>
      <c r="L662" s="153"/>
      <c r="M662"/>
      <c r="N662"/>
      <c r="O662"/>
      <c r="P662"/>
      <c r="Q662"/>
      <c r="R662"/>
      <c r="S662"/>
      <c r="T662"/>
      <c r="U662"/>
      <c r="V662"/>
      <c r="W662"/>
      <c r="X662"/>
      <c r="Y662"/>
      <c r="Z662"/>
      <c r="AA662"/>
      <c r="AB662"/>
      <c r="AC662"/>
      <c r="AD662"/>
      <c r="AE662"/>
      <c r="AF662"/>
    </row>
    <row r="663" spans="11:32" ht="14.1" customHeight="1" x14ac:dyDescent="0.2">
      <c r="K663" s="153"/>
      <c r="L663" s="153"/>
      <c r="M663"/>
      <c r="N663"/>
      <c r="O663"/>
      <c r="P663"/>
      <c r="Q663"/>
      <c r="R663"/>
      <c r="S663"/>
      <c r="T663"/>
      <c r="U663"/>
      <c r="V663"/>
      <c r="W663"/>
      <c r="X663"/>
      <c r="Y663"/>
      <c r="Z663"/>
      <c r="AA663"/>
      <c r="AB663"/>
      <c r="AC663"/>
      <c r="AD663"/>
      <c r="AE663"/>
      <c r="AF663"/>
    </row>
    <row r="664" spans="11:32" ht="14.1" customHeight="1" x14ac:dyDescent="0.2">
      <c r="K664" s="153"/>
      <c r="L664" s="153"/>
      <c r="M664"/>
      <c r="N664"/>
      <c r="O664"/>
      <c r="P664"/>
      <c r="Q664"/>
      <c r="R664"/>
      <c r="S664"/>
      <c r="T664"/>
      <c r="U664"/>
      <c r="V664"/>
      <c r="W664"/>
      <c r="X664"/>
      <c r="Y664"/>
      <c r="Z664"/>
      <c r="AA664"/>
      <c r="AB664"/>
      <c r="AC664"/>
      <c r="AD664"/>
      <c r="AE664"/>
      <c r="AF664"/>
    </row>
    <row r="665" spans="11:32" ht="14.1" customHeight="1" x14ac:dyDescent="0.2">
      <c r="K665" s="153"/>
      <c r="L665" s="153"/>
      <c r="M665"/>
      <c r="N665"/>
      <c r="O665"/>
      <c r="P665"/>
      <c r="Q665"/>
      <c r="R665"/>
      <c r="S665"/>
      <c r="T665"/>
      <c r="U665"/>
      <c r="V665"/>
      <c r="W665"/>
      <c r="X665"/>
      <c r="Y665"/>
      <c r="Z665"/>
      <c r="AA665"/>
      <c r="AB665"/>
      <c r="AC665"/>
      <c r="AD665"/>
      <c r="AE665"/>
      <c r="AF665"/>
    </row>
    <row r="666" spans="11:32" ht="14.1" customHeight="1" x14ac:dyDescent="0.2">
      <c r="K666" s="153"/>
      <c r="L666" s="153"/>
      <c r="M666"/>
      <c r="N666"/>
      <c r="O666"/>
      <c r="P666"/>
      <c r="Q666"/>
      <c r="R666"/>
      <c r="S666"/>
      <c r="T666"/>
      <c r="U666"/>
      <c r="V666"/>
      <c r="W666"/>
      <c r="X666"/>
      <c r="Y666"/>
      <c r="Z666"/>
      <c r="AA666"/>
      <c r="AB666"/>
      <c r="AC666"/>
      <c r="AD666"/>
      <c r="AE666"/>
      <c r="AF666"/>
    </row>
    <row r="667" spans="11:32" ht="14.1" customHeight="1" x14ac:dyDescent="0.2">
      <c r="K667" s="153"/>
      <c r="L667" s="153"/>
      <c r="M667"/>
      <c r="N667"/>
      <c r="O667"/>
      <c r="P667"/>
      <c r="Q667"/>
      <c r="R667"/>
      <c r="S667"/>
      <c r="T667"/>
      <c r="U667"/>
      <c r="V667"/>
      <c r="W667"/>
      <c r="X667"/>
      <c r="Y667"/>
      <c r="Z667"/>
      <c r="AA667"/>
      <c r="AB667"/>
      <c r="AC667"/>
      <c r="AD667"/>
      <c r="AE667"/>
      <c r="AF667"/>
    </row>
    <row r="668" spans="11:32" ht="14.1" customHeight="1" x14ac:dyDescent="0.2">
      <c r="K668" s="153"/>
      <c r="L668" s="153"/>
      <c r="M668"/>
      <c r="N668"/>
      <c r="O668"/>
      <c r="P668"/>
      <c r="Q668"/>
      <c r="R668"/>
      <c r="S668"/>
      <c r="T668"/>
      <c r="U668"/>
      <c r="V668"/>
      <c r="W668"/>
      <c r="X668"/>
      <c r="Y668"/>
      <c r="Z668"/>
      <c r="AA668"/>
      <c r="AB668"/>
      <c r="AC668"/>
      <c r="AD668"/>
      <c r="AE668"/>
      <c r="AF668"/>
    </row>
    <row r="669" spans="11:32" ht="14.1" customHeight="1" x14ac:dyDescent="0.2">
      <c r="K669" s="153"/>
      <c r="L669" s="153"/>
      <c r="M669"/>
      <c r="N669"/>
      <c r="O669"/>
      <c r="P669"/>
      <c r="Q669"/>
      <c r="R669"/>
      <c r="S669"/>
      <c r="T669"/>
      <c r="U669"/>
      <c r="V669"/>
      <c r="W669"/>
      <c r="X669"/>
      <c r="Y669"/>
      <c r="Z669"/>
      <c r="AA669"/>
      <c r="AB669"/>
      <c r="AC669"/>
      <c r="AD669"/>
      <c r="AE669"/>
      <c r="AF669"/>
    </row>
    <row r="670" spans="11:32" ht="14.1" customHeight="1" x14ac:dyDescent="0.2">
      <c r="K670" s="153"/>
      <c r="L670" s="153"/>
      <c r="M670"/>
      <c r="N670"/>
      <c r="O670"/>
      <c r="P670"/>
      <c r="Q670"/>
      <c r="R670"/>
      <c r="S670"/>
      <c r="T670"/>
      <c r="U670"/>
      <c r="V670"/>
      <c r="W670"/>
      <c r="X670"/>
      <c r="Y670"/>
      <c r="Z670"/>
      <c r="AA670"/>
      <c r="AB670"/>
      <c r="AC670"/>
      <c r="AD670"/>
      <c r="AE670"/>
      <c r="AF670"/>
    </row>
    <row r="671" spans="11:32" ht="14.1" customHeight="1" x14ac:dyDescent="0.2">
      <c r="K671" s="153"/>
      <c r="L671" s="153"/>
      <c r="M671"/>
      <c r="N671"/>
      <c r="O671"/>
      <c r="P671"/>
      <c r="Q671"/>
      <c r="R671"/>
      <c r="S671"/>
      <c r="T671"/>
      <c r="U671"/>
      <c r="V671"/>
      <c r="W671"/>
      <c r="X671"/>
      <c r="Y671"/>
      <c r="Z671"/>
      <c r="AA671"/>
      <c r="AB671"/>
      <c r="AC671"/>
      <c r="AD671"/>
      <c r="AE671"/>
      <c r="AF671"/>
    </row>
    <row r="672" spans="11:32" ht="14.1" customHeight="1" x14ac:dyDescent="0.2">
      <c r="K672" s="153"/>
      <c r="L672" s="153"/>
      <c r="M672"/>
      <c r="N672"/>
      <c r="O672"/>
      <c r="P672"/>
      <c r="Q672"/>
      <c r="R672"/>
      <c r="S672"/>
      <c r="T672"/>
      <c r="U672"/>
      <c r="V672"/>
      <c r="W672"/>
      <c r="X672"/>
      <c r="Y672"/>
      <c r="Z672"/>
      <c r="AA672"/>
      <c r="AB672"/>
      <c r="AC672"/>
      <c r="AD672"/>
      <c r="AE672"/>
      <c r="AF672"/>
    </row>
    <row r="673" spans="11:32" ht="14.1" customHeight="1" x14ac:dyDescent="0.2">
      <c r="K673" s="153"/>
      <c r="L673" s="153"/>
      <c r="M673"/>
      <c r="N673"/>
      <c r="O673"/>
      <c r="P673"/>
      <c r="Q673"/>
      <c r="R673"/>
      <c r="S673"/>
      <c r="T673"/>
      <c r="U673"/>
      <c r="V673"/>
      <c r="W673"/>
      <c r="X673"/>
      <c r="Y673"/>
      <c r="Z673"/>
      <c r="AA673"/>
      <c r="AB673"/>
      <c r="AC673"/>
      <c r="AD673"/>
      <c r="AE673"/>
      <c r="AF673"/>
    </row>
    <row r="674" spans="11:32" ht="14.1" customHeight="1" x14ac:dyDescent="0.2">
      <c r="K674" s="153"/>
      <c r="L674" s="153"/>
      <c r="M674"/>
      <c r="N674"/>
      <c r="O674"/>
      <c r="P674"/>
      <c r="Q674"/>
      <c r="R674"/>
      <c r="S674"/>
      <c r="T674"/>
      <c r="U674"/>
      <c r="V674"/>
      <c r="W674"/>
      <c r="X674"/>
      <c r="Y674"/>
      <c r="Z674"/>
      <c r="AA674"/>
      <c r="AB674"/>
      <c r="AC674"/>
      <c r="AD674"/>
      <c r="AE674"/>
      <c r="AF674"/>
    </row>
    <row r="675" spans="11:32" ht="14.1" customHeight="1" x14ac:dyDescent="0.2">
      <c r="K675" s="153"/>
      <c r="L675" s="153"/>
      <c r="M675"/>
      <c r="N675"/>
      <c r="O675"/>
      <c r="P675"/>
      <c r="Q675"/>
      <c r="R675"/>
      <c r="S675"/>
      <c r="T675"/>
      <c r="U675"/>
      <c r="V675"/>
      <c r="W675"/>
      <c r="X675"/>
      <c r="Y675"/>
      <c r="Z675"/>
      <c r="AA675"/>
      <c r="AB675"/>
      <c r="AC675"/>
      <c r="AD675"/>
      <c r="AE675"/>
      <c r="AF675"/>
    </row>
    <row r="676" spans="11:32" ht="14.1" customHeight="1" x14ac:dyDescent="0.2">
      <c r="K676" s="153"/>
      <c r="L676" s="153"/>
      <c r="M676"/>
      <c r="N676"/>
      <c r="O676"/>
      <c r="P676"/>
      <c r="Q676"/>
      <c r="R676"/>
      <c r="S676"/>
      <c r="T676"/>
      <c r="U676"/>
      <c r="V676"/>
      <c r="W676"/>
      <c r="X676"/>
      <c r="Y676"/>
      <c r="Z676"/>
      <c r="AA676"/>
      <c r="AB676"/>
      <c r="AC676"/>
      <c r="AD676"/>
      <c r="AE676"/>
      <c r="AF676"/>
    </row>
    <row r="677" spans="11:32" ht="14.1" customHeight="1" x14ac:dyDescent="0.2">
      <c r="K677" s="153"/>
      <c r="L677" s="153"/>
      <c r="M677"/>
      <c r="N677"/>
      <c r="O677"/>
      <c r="P677"/>
      <c r="Q677"/>
      <c r="R677"/>
      <c r="S677"/>
      <c r="T677"/>
      <c r="U677"/>
      <c r="V677"/>
      <c r="W677"/>
      <c r="X677"/>
      <c r="Y677"/>
      <c r="Z677"/>
      <c r="AA677"/>
      <c r="AB677"/>
      <c r="AC677"/>
      <c r="AD677"/>
      <c r="AE677"/>
      <c r="AF677"/>
    </row>
    <row r="678" spans="11:32" ht="14.1" customHeight="1" x14ac:dyDescent="0.2">
      <c r="K678" s="153"/>
      <c r="L678" s="153"/>
      <c r="M678"/>
      <c r="N678"/>
      <c r="O678"/>
      <c r="P678"/>
      <c r="Q678"/>
      <c r="R678"/>
      <c r="S678"/>
      <c r="T678"/>
      <c r="U678"/>
      <c r="V678"/>
      <c r="W678"/>
      <c r="X678"/>
      <c r="Y678"/>
      <c r="Z678"/>
      <c r="AA678"/>
      <c r="AB678"/>
      <c r="AC678"/>
      <c r="AD678"/>
      <c r="AE678"/>
      <c r="AF678"/>
    </row>
    <row r="679" spans="11:32" ht="14.1" customHeight="1" x14ac:dyDescent="0.2">
      <c r="K679" s="153"/>
      <c r="L679" s="153"/>
      <c r="M679"/>
      <c r="N679"/>
      <c r="O679"/>
      <c r="P679"/>
      <c r="Q679"/>
      <c r="R679"/>
      <c r="S679"/>
      <c r="T679"/>
      <c r="U679"/>
      <c r="V679"/>
      <c r="W679"/>
      <c r="X679"/>
      <c r="Y679"/>
      <c r="Z679"/>
      <c r="AA679"/>
      <c r="AB679"/>
      <c r="AC679"/>
      <c r="AD679"/>
      <c r="AE679"/>
      <c r="AF679"/>
    </row>
    <row r="680" spans="11:32" ht="14.1" customHeight="1" x14ac:dyDescent="0.2">
      <c r="K680" s="153"/>
      <c r="L680" s="153"/>
      <c r="M680"/>
      <c r="N680"/>
      <c r="O680"/>
      <c r="P680"/>
      <c r="Q680"/>
      <c r="R680"/>
      <c r="S680"/>
      <c r="T680"/>
      <c r="U680"/>
      <c r="V680"/>
      <c r="W680"/>
      <c r="X680"/>
      <c r="Y680"/>
      <c r="Z680"/>
      <c r="AA680"/>
      <c r="AB680"/>
      <c r="AC680"/>
      <c r="AD680"/>
      <c r="AE680"/>
      <c r="AF680"/>
    </row>
    <row r="681" spans="11:32" ht="14.1" customHeight="1" x14ac:dyDescent="0.2">
      <c r="K681" s="153"/>
      <c r="L681" s="153"/>
      <c r="M681"/>
      <c r="N681"/>
      <c r="O681"/>
      <c r="P681"/>
      <c r="Q681"/>
      <c r="R681"/>
      <c r="S681"/>
      <c r="T681"/>
      <c r="U681"/>
      <c r="V681"/>
      <c r="W681"/>
      <c r="X681"/>
      <c r="Y681"/>
      <c r="Z681"/>
      <c r="AA681"/>
      <c r="AB681"/>
      <c r="AC681"/>
      <c r="AD681"/>
      <c r="AE681"/>
      <c r="AF681"/>
    </row>
    <row r="682" spans="11:32" ht="14.1" customHeight="1" x14ac:dyDescent="0.2">
      <c r="K682" s="153"/>
      <c r="L682" s="153"/>
      <c r="M682"/>
      <c r="N682"/>
      <c r="O682"/>
      <c r="P682"/>
      <c r="Q682"/>
      <c r="R682"/>
      <c r="S682"/>
      <c r="T682"/>
      <c r="U682"/>
      <c r="V682"/>
      <c r="W682"/>
      <c r="X682"/>
      <c r="Y682"/>
      <c r="Z682"/>
      <c r="AA682"/>
      <c r="AB682"/>
      <c r="AC682"/>
      <c r="AD682"/>
      <c r="AE682"/>
      <c r="AF682"/>
    </row>
    <row r="683" spans="11:32" ht="14.1" customHeight="1" x14ac:dyDescent="0.2">
      <c r="K683" s="153"/>
      <c r="L683" s="153"/>
      <c r="M683"/>
      <c r="N683"/>
      <c r="O683"/>
      <c r="P683"/>
      <c r="Q683"/>
      <c r="R683"/>
      <c r="S683"/>
      <c r="T683"/>
      <c r="U683"/>
      <c r="V683"/>
      <c r="W683"/>
      <c r="X683"/>
      <c r="Y683"/>
      <c r="Z683"/>
      <c r="AA683"/>
      <c r="AB683"/>
      <c r="AC683"/>
      <c r="AD683"/>
      <c r="AE683"/>
      <c r="AF683"/>
    </row>
    <row r="684" spans="11:32" ht="14.1" customHeight="1" x14ac:dyDescent="0.2">
      <c r="K684" s="153"/>
      <c r="L684" s="153"/>
      <c r="M684"/>
      <c r="N684"/>
      <c r="O684"/>
      <c r="P684"/>
      <c r="Q684"/>
      <c r="R684"/>
      <c r="S684"/>
      <c r="T684"/>
      <c r="U684"/>
      <c r="V684"/>
      <c r="W684"/>
      <c r="X684"/>
      <c r="Y684"/>
      <c r="Z684"/>
      <c r="AA684"/>
      <c r="AB684"/>
      <c r="AC684"/>
      <c r="AD684"/>
      <c r="AE684"/>
      <c r="AF684"/>
    </row>
    <row r="685" spans="11:32" ht="14.1" customHeight="1" x14ac:dyDescent="0.2">
      <c r="K685" s="153"/>
      <c r="L685" s="153"/>
      <c r="M685"/>
      <c r="N685"/>
      <c r="O685"/>
      <c r="P685"/>
      <c r="Q685"/>
      <c r="R685"/>
      <c r="S685"/>
      <c r="T685"/>
      <c r="U685"/>
      <c r="V685"/>
      <c r="W685"/>
      <c r="X685"/>
      <c r="Y685"/>
      <c r="Z685"/>
      <c r="AA685"/>
      <c r="AB685"/>
      <c r="AC685"/>
      <c r="AD685"/>
      <c r="AE685"/>
      <c r="AF685"/>
    </row>
    <row r="686" spans="11:32" ht="14.1" customHeight="1" x14ac:dyDescent="0.2">
      <c r="K686" s="153"/>
      <c r="L686" s="153"/>
      <c r="M686"/>
      <c r="N686"/>
      <c r="O686"/>
      <c r="P686"/>
      <c r="Q686"/>
      <c r="R686"/>
      <c r="S686"/>
      <c r="T686"/>
      <c r="U686"/>
      <c r="V686"/>
      <c r="W686"/>
      <c r="X686"/>
      <c r="Y686"/>
      <c r="Z686"/>
      <c r="AA686"/>
      <c r="AB686"/>
      <c r="AC686"/>
      <c r="AD686"/>
      <c r="AE686"/>
      <c r="AF686"/>
    </row>
    <row r="687" spans="11:32" ht="14.1" customHeight="1" x14ac:dyDescent="0.2">
      <c r="K687" s="153"/>
      <c r="L687" s="153"/>
      <c r="M687"/>
      <c r="N687"/>
      <c r="O687"/>
      <c r="P687"/>
      <c r="Q687"/>
      <c r="R687"/>
      <c r="S687"/>
      <c r="T687"/>
      <c r="U687"/>
      <c r="V687"/>
      <c r="W687"/>
      <c r="X687"/>
      <c r="Y687"/>
      <c r="Z687"/>
      <c r="AA687"/>
      <c r="AB687"/>
      <c r="AC687"/>
      <c r="AD687"/>
      <c r="AE687"/>
      <c r="AF687"/>
    </row>
    <row r="688" spans="11:32" ht="14.1" customHeight="1" x14ac:dyDescent="0.2">
      <c r="K688" s="153"/>
      <c r="L688" s="153"/>
      <c r="M688"/>
      <c r="N688"/>
      <c r="O688"/>
      <c r="P688"/>
      <c r="Q688"/>
      <c r="R688"/>
      <c r="S688"/>
      <c r="T688"/>
      <c r="U688"/>
      <c r="V688"/>
      <c r="W688"/>
      <c r="X688"/>
      <c r="Y688"/>
      <c r="Z688"/>
      <c r="AA688"/>
      <c r="AB688"/>
      <c r="AC688"/>
      <c r="AD688"/>
      <c r="AE688"/>
      <c r="AF688"/>
    </row>
    <row r="689" spans="11:32" ht="14.1" customHeight="1" x14ac:dyDescent="0.2">
      <c r="K689" s="153"/>
      <c r="L689" s="153"/>
      <c r="M689"/>
      <c r="N689"/>
      <c r="O689"/>
      <c r="P689"/>
      <c r="Q689"/>
      <c r="R689"/>
      <c r="S689"/>
      <c r="T689"/>
      <c r="U689"/>
      <c r="V689"/>
      <c r="W689"/>
      <c r="X689"/>
      <c r="Y689"/>
      <c r="Z689"/>
      <c r="AA689"/>
      <c r="AB689"/>
      <c r="AC689"/>
      <c r="AD689"/>
      <c r="AE689"/>
      <c r="AF689"/>
    </row>
    <row r="690" spans="11:32" ht="14.1" customHeight="1" x14ac:dyDescent="0.2">
      <c r="K690" s="153"/>
      <c r="L690" s="153"/>
      <c r="M690"/>
      <c r="N690"/>
      <c r="O690"/>
      <c r="P690"/>
      <c r="Q690"/>
      <c r="R690"/>
      <c r="S690"/>
      <c r="T690"/>
      <c r="U690"/>
      <c r="V690"/>
      <c r="W690"/>
      <c r="X690"/>
      <c r="Y690"/>
      <c r="Z690"/>
      <c r="AA690"/>
      <c r="AB690"/>
      <c r="AC690"/>
      <c r="AD690"/>
      <c r="AE690"/>
      <c r="AF690"/>
    </row>
    <row r="691" spans="11:32" ht="14.1" customHeight="1" x14ac:dyDescent="0.2">
      <c r="K691" s="153"/>
      <c r="L691" s="153"/>
      <c r="M691"/>
      <c r="N691"/>
      <c r="O691"/>
      <c r="P691"/>
      <c r="Q691"/>
      <c r="R691"/>
      <c r="S691"/>
      <c r="T691"/>
      <c r="U691"/>
      <c r="V691"/>
      <c r="W691"/>
      <c r="X691"/>
      <c r="Y691"/>
      <c r="Z691"/>
      <c r="AA691"/>
      <c r="AB691"/>
      <c r="AC691"/>
      <c r="AD691"/>
      <c r="AE691"/>
      <c r="AF691"/>
    </row>
    <row r="692" spans="11:32" ht="14.1" customHeight="1" x14ac:dyDescent="0.2">
      <c r="K692" s="153"/>
      <c r="L692" s="153"/>
      <c r="M692"/>
      <c r="N692"/>
      <c r="O692"/>
      <c r="P692"/>
      <c r="Q692"/>
      <c r="R692"/>
      <c r="S692"/>
      <c r="T692"/>
      <c r="U692"/>
      <c r="V692"/>
      <c r="W692"/>
      <c r="X692"/>
      <c r="Y692"/>
      <c r="Z692"/>
      <c r="AA692"/>
      <c r="AB692"/>
      <c r="AC692"/>
      <c r="AD692"/>
      <c r="AE692"/>
      <c r="AF692"/>
    </row>
    <row r="693" spans="11:32" ht="14.1" customHeight="1" x14ac:dyDescent="0.2">
      <c r="K693" s="153"/>
      <c r="L693" s="153"/>
      <c r="M693"/>
      <c r="N693"/>
      <c r="O693"/>
      <c r="P693"/>
      <c r="Q693"/>
      <c r="R693"/>
      <c r="S693"/>
      <c r="T693"/>
      <c r="U693"/>
      <c r="V693"/>
      <c r="W693"/>
      <c r="X693"/>
      <c r="Y693"/>
      <c r="Z693"/>
      <c r="AA693"/>
      <c r="AB693"/>
      <c r="AC693"/>
      <c r="AD693"/>
      <c r="AE693"/>
      <c r="AF693"/>
    </row>
    <row r="694" spans="11:32" ht="14.1" customHeight="1" x14ac:dyDescent="0.2">
      <c r="K694" s="153"/>
      <c r="L694" s="153"/>
      <c r="M694"/>
      <c r="N694"/>
      <c r="O694"/>
      <c r="P694"/>
      <c r="Q694"/>
      <c r="R694"/>
      <c r="S694"/>
      <c r="T694"/>
      <c r="U694"/>
      <c r="V694"/>
      <c r="W694"/>
      <c r="X694"/>
      <c r="Y694"/>
      <c r="Z694"/>
      <c r="AA694"/>
      <c r="AB694"/>
      <c r="AC694"/>
      <c r="AD694"/>
      <c r="AE694"/>
      <c r="AF694"/>
    </row>
    <row r="695" spans="11:32" ht="14.1" customHeight="1" x14ac:dyDescent="0.2">
      <c r="K695" s="153"/>
      <c r="L695" s="153"/>
      <c r="M695"/>
      <c r="N695"/>
      <c r="O695"/>
      <c r="P695"/>
      <c r="Q695"/>
      <c r="R695"/>
      <c r="S695"/>
      <c r="T695"/>
      <c r="U695"/>
      <c r="V695"/>
      <c r="W695"/>
      <c r="X695"/>
      <c r="Y695"/>
      <c r="Z695"/>
      <c r="AA695"/>
      <c r="AB695"/>
      <c r="AC695"/>
      <c r="AD695"/>
      <c r="AE695"/>
      <c r="AF695"/>
    </row>
    <row r="696" spans="11:32" ht="14.1" customHeight="1" x14ac:dyDescent="0.2">
      <c r="K696" s="153"/>
      <c r="L696" s="153"/>
      <c r="M696"/>
      <c r="N696"/>
      <c r="O696"/>
      <c r="P696"/>
      <c r="Q696"/>
      <c r="R696"/>
      <c r="S696"/>
      <c r="T696"/>
      <c r="U696"/>
      <c r="V696"/>
      <c r="W696"/>
      <c r="X696"/>
      <c r="Y696"/>
      <c r="Z696"/>
      <c r="AA696"/>
      <c r="AB696"/>
      <c r="AC696"/>
      <c r="AD696"/>
      <c r="AE696"/>
      <c r="AF696"/>
    </row>
    <row r="697" spans="11:32" ht="14.1" customHeight="1" x14ac:dyDescent="0.2">
      <c r="K697" s="153"/>
      <c r="L697" s="153"/>
      <c r="M697"/>
      <c r="N697"/>
      <c r="O697"/>
      <c r="P697"/>
      <c r="Q697"/>
      <c r="R697"/>
      <c r="S697"/>
      <c r="T697"/>
      <c r="U697"/>
      <c r="V697"/>
      <c r="W697"/>
      <c r="X697"/>
      <c r="Y697"/>
      <c r="Z697"/>
      <c r="AA697"/>
      <c r="AB697"/>
      <c r="AC697"/>
      <c r="AD697"/>
      <c r="AE697"/>
      <c r="AF697"/>
    </row>
    <row r="698" spans="11:32" ht="14.1" customHeight="1" x14ac:dyDescent="0.2">
      <c r="K698" s="153"/>
      <c r="L698" s="153"/>
      <c r="M698"/>
      <c r="N698"/>
      <c r="O698"/>
      <c r="P698"/>
      <c r="Q698"/>
      <c r="R698"/>
      <c r="S698"/>
      <c r="T698"/>
      <c r="U698"/>
      <c r="V698"/>
      <c r="W698"/>
      <c r="X698"/>
      <c r="Y698"/>
      <c r="Z698"/>
      <c r="AA698"/>
      <c r="AB698"/>
      <c r="AC698"/>
      <c r="AD698"/>
      <c r="AE698"/>
      <c r="AF698"/>
    </row>
    <row r="699" spans="11:32" ht="14.1" customHeight="1" x14ac:dyDescent="0.2">
      <c r="K699" s="153"/>
      <c r="L699" s="153"/>
      <c r="M699"/>
      <c r="N699"/>
      <c r="O699"/>
      <c r="P699"/>
      <c r="Q699"/>
      <c r="R699"/>
      <c r="S699"/>
      <c r="T699"/>
      <c r="U699"/>
      <c r="V699"/>
      <c r="W699"/>
      <c r="X699"/>
      <c r="Y699"/>
      <c r="Z699"/>
      <c r="AA699"/>
      <c r="AB699"/>
      <c r="AC699"/>
      <c r="AD699"/>
      <c r="AE699"/>
      <c r="AF699"/>
    </row>
    <row r="700" spans="11:32" ht="14.1" customHeight="1" x14ac:dyDescent="0.2">
      <c r="K700" s="153"/>
      <c r="L700" s="153"/>
      <c r="M700"/>
      <c r="N700"/>
      <c r="O700"/>
      <c r="P700"/>
      <c r="Q700"/>
      <c r="R700"/>
      <c r="S700"/>
      <c r="T700"/>
      <c r="U700"/>
      <c r="V700"/>
      <c r="W700"/>
      <c r="X700"/>
      <c r="Y700"/>
      <c r="Z700"/>
      <c r="AA700"/>
      <c r="AB700"/>
      <c r="AC700"/>
      <c r="AD700"/>
      <c r="AE700"/>
      <c r="AF700"/>
    </row>
    <row r="701" spans="11:32" ht="14.1" customHeight="1" x14ac:dyDescent="0.2">
      <c r="K701" s="153"/>
      <c r="L701" s="153"/>
      <c r="M701"/>
      <c r="N701"/>
      <c r="O701"/>
      <c r="P701"/>
      <c r="Q701"/>
      <c r="R701"/>
      <c r="S701"/>
      <c r="T701"/>
      <c r="U701"/>
      <c r="V701"/>
      <c r="W701"/>
      <c r="X701"/>
      <c r="Y701"/>
      <c r="Z701"/>
      <c r="AA701"/>
      <c r="AB701"/>
      <c r="AC701"/>
      <c r="AD701"/>
      <c r="AE701"/>
      <c r="AF701"/>
    </row>
    <row r="702" spans="11:32" ht="14.1" customHeight="1" x14ac:dyDescent="0.2">
      <c r="K702" s="153"/>
      <c r="L702" s="153"/>
      <c r="M702"/>
      <c r="N702"/>
      <c r="O702"/>
      <c r="P702"/>
      <c r="Q702"/>
      <c r="R702"/>
      <c r="S702"/>
      <c r="T702"/>
      <c r="U702"/>
      <c r="V702"/>
      <c r="W702"/>
      <c r="X702"/>
      <c r="Y702"/>
      <c r="Z702"/>
      <c r="AA702"/>
      <c r="AB702"/>
      <c r="AC702"/>
      <c r="AD702"/>
      <c r="AE702"/>
      <c r="AF702"/>
    </row>
    <row r="703" spans="11:32" ht="14.1" customHeight="1" x14ac:dyDescent="0.2">
      <c r="K703" s="153"/>
      <c r="L703" s="153"/>
      <c r="M703"/>
      <c r="N703"/>
      <c r="O703"/>
      <c r="P703"/>
      <c r="Q703"/>
      <c r="R703"/>
      <c r="S703"/>
      <c r="T703"/>
      <c r="U703"/>
      <c r="V703"/>
      <c r="W703"/>
      <c r="X703"/>
      <c r="Y703"/>
      <c r="Z703"/>
      <c r="AA703"/>
      <c r="AB703"/>
      <c r="AC703"/>
      <c r="AD703"/>
      <c r="AE703"/>
      <c r="AF703"/>
    </row>
    <row r="704" spans="11:32" ht="14.1" customHeight="1" x14ac:dyDescent="0.2">
      <c r="K704" s="153"/>
      <c r="L704" s="153"/>
      <c r="M704"/>
      <c r="N704"/>
      <c r="O704"/>
      <c r="P704"/>
      <c r="Q704"/>
      <c r="R704"/>
      <c r="S704"/>
      <c r="T704"/>
      <c r="U704"/>
      <c r="V704"/>
      <c r="W704"/>
      <c r="X704"/>
      <c r="Y704"/>
      <c r="Z704"/>
      <c r="AA704"/>
      <c r="AB704"/>
      <c r="AC704"/>
      <c r="AD704"/>
      <c r="AE704"/>
      <c r="AF704"/>
    </row>
    <row r="705" spans="11:32" ht="14.1" customHeight="1" x14ac:dyDescent="0.2">
      <c r="K705" s="153"/>
      <c r="L705" s="153"/>
      <c r="M705"/>
      <c r="N705"/>
      <c r="O705"/>
      <c r="P705"/>
      <c r="Q705"/>
      <c r="R705"/>
      <c r="S705"/>
      <c r="T705"/>
      <c r="U705"/>
      <c r="V705"/>
      <c r="W705"/>
      <c r="X705"/>
      <c r="Y705"/>
      <c r="Z705"/>
      <c r="AA705"/>
      <c r="AB705"/>
      <c r="AC705"/>
      <c r="AD705"/>
      <c r="AE705"/>
      <c r="AF705"/>
    </row>
    <row r="706" spans="11:32" ht="14.1" customHeight="1" x14ac:dyDescent="0.2">
      <c r="K706" s="153"/>
      <c r="L706" s="153"/>
      <c r="M706"/>
      <c r="N706"/>
      <c r="O706"/>
      <c r="P706"/>
      <c r="Q706"/>
      <c r="R706"/>
      <c r="S706"/>
      <c r="T706"/>
      <c r="U706"/>
      <c r="V706"/>
      <c r="W706"/>
      <c r="X706"/>
      <c r="Y706"/>
      <c r="Z706"/>
      <c r="AA706"/>
      <c r="AB706"/>
      <c r="AC706"/>
      <c r="AD706"/>
      <c r="AE706"/>
      <c r="AF706"/>
    </row>
    <row r="707" spans="11:32" ht="14.1" customHeight="1" x14ac:dyDescent="0.2">
      <c r="K707" s="153"/>
      <c r="L707" s="153"/>
      <c r="M707"/>
      <c r="N707"/>
      <c r="O707"/>
      <c r="P707"/>
      <c r="Q707"/>
      <c r="R707"/>
      <c r="S707"/>
      <c r="T707"/>
      <c r="U707"/>
      <c r="V707"/>
      <c r="W707"/>
      <c r="X707"/>
      <c r="Y707"/>
      <c r="Z707"/>
      <c r="AA707"/>
      <c r="AB707"/>
      <c r="AC707"/>
      <c r="AD707"/>
      <c r="AE707"/>
      <c r="AF707"/>
    </row>
    <row r="708" spans="11:32" ht="14.1" customHeight="1" x14ac:dyDescent="0.2">
      <c r="K708" s="153"/>
      <c r="L708" s="153"/>
      <c r="M708"/>
      <c r="N708"/>
      <c r="O708"/>
      <c r="P708"/>
      <c r="Q708"/>
      <c r="R708"/>
      <c r="S708"/>
      <c r="T708"/>
      <c r="U708"/>
      <c r="V708"/>
      <c r="W708"/>
      <c r="X708"/>
      <c r="Y708"/>
      <c r="Z708"/>
      <c r="AA708"/>
      <c r="AB708"/>
      <c r="AC708"/>
      <c r="AD708"/>
      <c r="AE708"/>
      <c r="AF708"/>
    </row>
    <row r="709" spans="11:32" ht="14.1" customHeight="1" x14ac:dyDescent="0.2">
      <c r="K709" s="153"/>
      <c r="L709" s="153"/>
      <c r="M709"/>
      <c r="N709"/>
      <c r="O709"/>
      <c r="P709"/>
      <c r="Q709"/>
      <c r="R709"/>
      <c r="S709"/>
      <c r="T709"/>
      <c r="U709"/>
      <c r="V709"/>
      <c r="W709"/>
      <c r="X709"/>
      <c r="Y709"/>
      <c r="Z709"/>
      <c r="AA709"/>
      <c r="AB709"/>
      <c r="AC709"/>
      <c r="AD709"/>
      <c r="AE709"/>
      <c r="AF709"/>
    </row>
    <row r="710" spans="11:32" ht="14.1" customHeight="1" x14ac:dyDescent="0.2">
      <c r="K710" s="153"/>
      <c r="L710" s="153"/>
      <c r="M710"/>
      <c r="N710"/>
      <c r="O710"/>
      <c r="P710"/>
      <c r="Q710"/>
      <c r="R710"/>
      <c r="S710"/>
      <c r="T710"/>
      <c r="U710"/>
      <c r="V710"/>
      <c r="W710"/>
      <c r="X710"/>
      <c r="Y710"/>
      <c r="Z710"/>
      <c r="AA710"/>
      <c r="AB710"/>
      <c r="AC710"/>
      <c r="AD710"/>
      <c r="AE710"/>
      <c r="AF710"/>
    </row>
    <row r="711" spans="11:32" ht="14.1" customHeight="1" x14ac:dyDescent="0.2">
      <c r="K711" s="153"/>
      <c r="L711" s="153"/>
      <c r="M711"/>
      <c r="N711"/>
      <c r="O711"/>
      <c r="P711"/>
      <c r="Q711"/>
      <c r="R711"/>
      <c r="S711"/>
      <c r="T711"/>
      <c r="U711"/>
      <c r="V711"/>
      <c r="W711"/>
      <c r="X711"/>
      <c r="Y711"/>
      <c r="Z711"/>
      <c r="AA711"/>
      <c r="AB711"/>
      <c r="AC711"/>
      <c r="AD711"/>
      <c r="AE711"/>
      <c r="AF711"/>
    </row>
    <row r="712" spans="11:32" ht="14.1" customHeight="1" x14ac:dyDescent="0.2">
      <c r="K712" s="153"/>
      <c r="L712" s="153"/>
      <c r="M712"/>
      <c r="N712"/>
      <c r="O712"/>
      <c r="P712"/>
      <c r="Q712"/>
      <c r="R712"/>
      <c r="S712"/>
      <c r="T712"/>
      <c r="U712"/>
      <c r="V712"/>
      <c r="W712"/>
      <c r="X712"/>
      <c r="Y712"/>
      <c r="Z712"/>
      <c r="AA712"/>
      <c r="AB712"/>
      <c r="AC712"/>
      <c r="AD712"/>
      <c r="AE712"/>
      <c r="AF712"/>
    </row>
    <row r="713" spans="11:32" ht="14.1" customHeight="1" x14ac:dyDescent="0.2">
      <c r="K713" s="153"/>
      <c r="L713" s="153"/>
      <c r="M713"/>
      <c r="N713"/>
      <c r="O713"/>
      <c r="P713"/>
      <c r="Q713"/>
      <c r="R713"/>
      <c r="S713"/>
      <c r="T713"/>
      <c r="U713"/>
      <c r="V713"/>
      <c r="W713"/>
      <c r="X713"/>
      <c r="Y713"/>
      <c r="Z713"/>
      <c r="AA713"/>
      <c r="AB713"/>
      <c r="AC713"/>
      <c r="AD713"/>
      <c r="AE713"/>
      <c r="AF713"/>
    </row>
    <row r="714" spans="11:32" ht="14.1" customHeight="1" x14ac:dyDescent="0.2">
      <c r="K714" s="153"/>
      <c r="L714" s="153"/>
      <c r="M714"/>
      <c r="N714"/>
      <c r="O714"/>
      <c r="P714"/>
      <c r="Q714"/>
      <c r="R714"/>
      <c r="S714"/>
      <c r="T714"/>
      <c r="U714"/>
      <c r="V714"/>
      <c r="W714"/>
      <c r="X714"/>
      <c r="Y714"/>
      <c r="Z714"/>
      <c r="AA714"/>
      <c r="AB714"/>
      <c r="AC714"/>
      <c r="AD714"/>
      <c r="AE714"/>
      <c r="AF714"/>
    </row>
    <row r="715" spans="11:32" ht="14.1" customHeight="1" x14ac:dyDescent="0.2">
      <c r="K715" s="153"/>
      <c r="L715" s="153"/>
      <c r="M715"/>
      <c r="N715"/>
      <c r="O715"/>
      <c r="P715"/>
      <c r="Q715"/>
      <c r="R715"/>
      <c r="S715"/>
      <c r="T715"/>
      <c r="U715"/>
      <c r="V715"/>
      <c r="W715"/>
      <c r="X715"/>
      <c r="Y715"/>
      <c r="Z715"/>
      <c r="AA715"/>
      <c r="AB715"/>
      <c r="AC715"/>
      <c r="AD715"/>
      <c r="AE715"/>
      <c r="AF715"/>
    </row>
    <row r="716" spans="11:32" ht="14.1" customHeight="1" x14ac:dyDescent="0.2">
      <c r="K716" s="153"/>
      <c r="L716" s="153"/>
      <c r="M716"/>
      <c r="N716"/>
      <c r="O716"/>
      <c r="P716"/>
      <c r="Q716"/>
      <c r="R716"/>
      <c r="S716"/>
      <c r="T716"/>
      <c r="U716"/>
      <c r="V716"/>
      <c r="W716"/>
      <c r="X716"/>
      <c r="Y716"/>
      <c r="Z716"/>
      <c r="AA716"/>
      <c r="AB716"/>
      <c r="AC716"/>
      <c r="AD716"/>
      <c r="AE716"/>
      <c r="AF716"/>
    </row>
    <row r="717" spans="11:32" ht="14.1" customHeight="1" x14ac:dyDescent="0.2">
      <c r="K717" s="153"/>
      <c r="L717" s="153"/>
      <c r="M717"/>
      <c r="N717"/>
      <c r="O717"/>
      <c r="P717"/>
      <c r="Q717"/>
      <c r="R717"/>
      <c r="S717"/>
      <c r="T717"/>
      <c r="U717"/>
      <c r="V717"/>
      <c r="W717"/>
      <c r="X717"/>
      <c r="Y717"/>
      <c r="Z717"/>
      <c r="AA717"/>
      <c r="AB717"/>
      <c r="AC717"/>
      <c r="AD717"/>
      <c r="AE717"/>
      <c r="AF717"/>
    </row>
    <row r="718" spans="11:32" ht="14.1" customHeight="1" x14ac:dyDescent="0.2">
      <c r="K718" s="153"/>
      <c r="L718" s="153"/>
      <c r="M718"/>
      <c r="N718"/>
      <c r="O718"/>
      <c r="P718"/>
      <c r="Q718"/>
      <c r="R718"/>
      <c r="S718"/>
      <c r="T718"/>
      <c r="U718"/>
      <c r="V718"/>
      <c r="W718"/>
      <c r="X718"/>
      <c r="Y718"/>
      <c r="Z718"/>
      <c r="AA718"/>
      <c r="AB718"/>
      <c r="AC718"/>
      <c r="AD718"/>
      <c r="AE718"/>
      <c r="AF718"/>
    </row>
    <row r="719" spans="11:32" ht="14.1" customHeight="1" x14ac:dyDescent="0.2">
      <c r="K719" s="153"/>
      <c r="L719" s="153"/>
      <c r="M719"/>
      <c r="N719"/>
      <c r="O719"/>
      <c r="P719"/>
      <c r="Q719"/>
      <c r="R719"/>
      <c r="S719"/>
      <c r="T719"/>
      <c r="U719"/>
      <c r="V719"/>
      <c r="W719"/>
      <c r="X719"/>
      <c r="Y719"/>
      <c r="Z719"/>
      <c r="AA719"/>
      <c r="AB719"/>
      <c r="AC719"/>
      <c r="AD719"/>
      <c r="AE719"/>
      <c r="AF719"/>
    </row>
    <row r="720" spans="11:32" ht="14.1" customHeight="1" x14ac:dyDescent="0.2">
      <c r="K720" s="153"/>
      <c r="L720" s="153"/>
      <c r="M720"/>
      <c r="N720"/>
      <c r="O720"/>
      <c r="P720"/>
      <c r="Q720"/>
      <c r="R720"/>
      <c r="S720"/>
      <c r="T720"/>
      <c r="U720"/>
      <c r="V720"/>
      <c r="W720"/>
      <c r="X720"/>
      <c r="Y720"/>
      <c r="Z720"/>
      <c r="AA720"/>
      <c r="AB720"/>
      <c r="AC720"/>
      <c r="AD720"/>
      <c r="AE720"/>
      <c r="AF720"/>
    </row>
    <row r="721" spans="11:32" ht="14.1" customHeight="1" x14ac:dyDescent="0.2">
      <c r="K721" s="153"/>
      <c r="L721" s="153"/>
      <c r="M721"/>
      <c r="N721"/>
      <c r="O721"/>
      <c r="P721"/>
      <c r="Q721"/>
      <c r="R721"/>
      <c r="S721"/>
      <c r="T721"/>
      <c r="U721"/>
      <c r="V721"/>
      <c r="W721"/>
      <c r="X721"/>
      <c r="Y721"/>
      <c r="Z721"/>
      <c r="AA721"/>
      <c r="AB721"/>
      <c r="AC721"/>
      <c r="AD721"/>
      <c r="AE721"/>
      <c r="AF721"/>
    </row>
    <row r="722" spans="11:32" ht="14.1" customHeight="1" x14ac:dyDescent="0.2">
      <c r="K722" s="153"/>
      <c r="L722" s="153"/>
      <c r="M722"/>
      <c r="N722"/>
      <c r="O722"/>
      <c r="P722"/>
      <c r="Q722"/>
      <c r="R722"/>
      <c r="S722"/>
      <c r="T722"/>
      <c r="U722"/>
      <c r="V722"/>
      <c r="W722"/>
      <c r="X722"/>
      <c r="Y722"/>
      <c r="Z722"/>
      <c r="AA722"/>
      <c r="AB722"/>
      <c r="AC722"/>
      <c r="AD722"/>
      <c r="AE722"/>
      <c r="AF722"/>
    </row>
    <row r="723" spans="11:32" ht="14.1" customHeight="1" x14ac:dyDescent="0.2">
      <c r="K723" s="153"/>
      <c r="L723" s="153"/>
      <c r="M723"/>
      <c r="N723"/>
      <c r="O723"/>
      <c r="P723"/>
      <c r="Q723"/>
      <c r="R723"/>
      <c r="S723"/>
      <c r="T723"/>
      <c r="U723"/>
      <c r="V723"/>
      <c r="W723"/>
      <c r="X723"/>
      <c r="Y723"/>
      <c r="Z723"/>
      <c r="AA723"/>
      <c r="AB723"/>
      <c r="AC723"/>
      <c r="AD723"/>
      <c r="AE723"/>
      <c r="AF723"/>
    </row>
    <row r="724" spans="11:32" ht="14.1" customHeight="1" x14ac:dyDescent="0.2">
      <c r="K724" s="153"/>
      <c r="L724" s="153"/>
      <c r="M724"/>
      <c r="N724"/>
      <c r="O724"/>
      <c r="P724"/>
      <c r="Q724"/>
      <c r="R724"/>
      <c r="S724"/>
      <c r="T724"/>
      <c r="U724"/>
      <c r="V724"/>
      <c r="W724"/>
      <c r="X724"/>
      <c r="Y724"/>
      <c r="Z724"/>
      <c r="AA724"/>
      <c r="AB724"/>
      <c r="AC724"/>
      <c r="AD724"/>
      <c r="AE724"/>
      <c r="AF724"/>
    </row>
    <row r="725" spans="11:32" ht="14.1" customHeight="1" x14ac:dyDescent="0.2">
      <c r="K725" s="153"/>
      <c r="L725" s="153"/>
      <c r="M725"/>
      <c r="N725"/>
      <c r="O725"/>
      <c r="P725"/>
      <c r="Q725"/>
      <c r="R725"/>
      <c r="S725"/>
      <c r="T725"/>
      <c r="U725"/>
      <c r="V725"/>
      <c r="W725"/>
      <c r="X725"/>
      <c r="Y725"/>
      <c r="Z725"/>
      <c r="AA725"/>
      <c r="AB725"/>
      <c r="AC725"/>
      <c r="AD725"/>
      <c r="AE725"/>
      <c r="AF725"/>
    </row>
    <row r="726" spans="11:32" ht="14.1" customHeight="1" x14ac:dyDescent="0.2">
      <c r="K726" s="153"/>
      <c r="L726" s="153"/>
      <c r="M726"/>
      <c r="N726"/>
      <c r="O726"/>
      <c r="P726"/>
      <c r="Q726"/>
      <c r="R726"/>
      <c r="S726"/>
      <c r="T726"/>
      <c r="U726"/>
      <c r="V726"/>
      <c r="W726"/>
      <c r="X726"/>
      <c r="Y726"/>
      <c r="Z726"/>
      <c r="AA726"/>
      <c r="AB726"/>
      <c r="AC726"/>
      <c r="AD726"/>
      <c r="AE726"/>
      <c r="AF726"/>
    </row>
    <row r="727" spans="11:32" ht="14.1" customHeight="1" x14ac:dyDescent="0.2">
      <c r="K727" s="153"/>
      <c r="L727" s="153"/>
      <c r="M727"/>
      <c r="N727"/>
      <c r="O727"/>
      <c r="P727"/>
      <c r="Q727"/>
      <c r="R727"/>
      <c r="S727"/>
      <c r="T727"/>
      <c r="U727"/>
      <c r="V727"/>
      <c r="W727"/>
      <c r="X727"/>
      <c r="Y727"/>
      <c r="Z727"/>
      <c r="AA727"/>
      <c r="AB727"/>
      <c r="AC727"/>
      <c r="AD727"/>
      <c r="AE727"/>
      <c r="AF727"/>
    </row>
    <row r="728" spans="11:32" ht="14.1" customHeight="1" x14ac:dyDescent="0.2">
      <c r="K728" s="153"/>
      <c r="L728" s="153"/>
      <c r="M728"/>
      <c r="N728"/>
      <c r="O728"/>
      <c r="P728"/>
      <c r="Q728"/>
      <c r="R728"/>
      <c r="S728"/>
      <c r="T728"/>
      <c r="U728"/>
      <c r="V728"/>
      <c r="W728"/>
      <c r="X728"/>
      <c r="Y728"/>
      <c r="Z728"/>
      <c r="AA728"/>
      <c r="AB728"/>
      <c r="AC728"/>
      <c r="AD728"/>
      <c r="AE728"/>
      <c r="AF728"/>
    </row>
    <row r="729" spans="11:32" ht="14.1" customHeight="1" x14ac:dyDescent="0.2">
      <c r="K729" s="153"/>
      <c r="L729" s="153"/>
      <c r="M729"/>
      <c r="N729"/>
      <c r="O729"/>
      <c r="P729"/>
      <c r="Q729"/>
      <c r="R729"/>
      <c r="S729"/>
      <c r="T729"/>
      <c r="U729"/>
      <c r="V729"/>
      <c r="W729"/>
      <c r="X729"/>
      <c r="Y729"/>
      <c r="Z729"/>
      <c r="AA729"/>
      <c r="AB729"/>
      <c r="AC729"/>
      <c r="AD729"/>
      <c r="AE729"/>
      <c r="AF729"/>
    </row>
    <row r="730" spans="11:32" ht="14.1" customHeight="1" x14ac:dyDescent="0.2">
      <c r="K730" s="153"/>
      <c r="L730" s="153"/>
      <c r="M730"/>
      <c r="N730"/>
      <c r="O730"/>
      <c r="P730"/>
      <c r="Q730"/>
      <c r="R730"/>
      <c r="S730"/>
      <c r="T730"/>
      <c r="U730"/>
      <c r="V730"/>
      <c r="W730"/>
      <c r="X730"/>
      <c r="Y730"/>
      <c r="Z730"/>
      <c r="AA730"/>
      <c r="AB730"/>
      <c r="AC730"/>
      <c r="AD730"/>
      <c r="AE730"/>
      <c r="AF730"/>
    </row>
    <row r="731" spans="11:32" ht="14.1" customHeight="1" x14ac:dyDescent="0.2">
      <c r="K731" s="153"/>
      <c r="L731" s="153"/>
      <c r="M731"/>
      <c r="N731"/>
      <c r="O731"/>
      <c r="P731"/>
      <c r="Q731"/>
      <c r="R731"/>
      <c r="S731"/>
      <c r="T731"/>
      <c r="U731"/>
      <c r="V731"/>
      <c r="W731"/>
      <c r="X731"/>
      <c r="Y731"/>
      <c r="Z731"/>
      <c r="AA731"/>
      <c r="AB731"/>
      <c r="AC731"/>
      <c r="AD731"/>
      <c r="AE731"/>
      <c r="AF731"/>
    </row>
    <row r="732" spans="11:32" ht="14.1" customHeight="1" x14ac:dyDescent="0.2">
      <c r="K732" s="153"/>
      <c r="L732" s="153"/>
      <c r="M732"/>
      <c r="N732"/>
      <c r="O732"/>
      <c r="P732"/>
      <c r="Q732"/>
      <c r="R732"/>
      <c r="S732"/>
      <c r="T732"/>
      <c r="U732"/>
      <c r="V732"/>
      <c r="W732"/>
      <c r="X732"/>
      <c r="Y732"/>
      <c r="Z732"/>
      <c r="AA732"/>
      <c r="AB732"/>
      <c r="AC732"/>
      <c r="AD732"/>
      <c r="AE732"/>
      <c r="AF732"/>
    </row>
    <row r="733" spans="11:32" ht="14.1" customHeight="1" x14ac:dyDescent="0.2">
      <c r="K733" s="153"/>
      <c r="L733" s="153"/>
      <c r="M733"/>
      <c r="N733"/>
      <c r="O733"/>
      <c r="P733"/>
      <c r="Q733"/>
      <c r="R733"/>
      <c r="S733"/>
      <c r="T733"/>
      <c r="U733"/>
      <c r="V733"/>
      <c r="W733"/>
      <c r="X733"/>
      <c r="Y733"/>
      <c r="Z733"/>
      <c r="AA733"/>
      <c r="AB733"/>
      <c r="AC733"/>
      <c r="AD733"/>
      <c r="AE733"/>
      <c r="AF733"/>
    </row>
    <row r="734" spans="11:32" ht="14.1" customHeight="1" x14ac:dyDescent="0.2">
      <c r="K734" s="153"/>
      <c r="L734" s="153"/>
      <c r="M734"/>
      <c r="N734"/>
      <c r="O734"/>
      <c r="P734"/>
      <c r="Q734"/>
      <c r="R734"/>
      <c r="S734"/>
      <c r="T734"/>
      <c r="U734"/>
      <c r="V734"/>
      <c r="W734"/>
      <c r="X734"/>
      <c r="Y734"/>
      <c r="Z734"/>
      <c r="AA734"/>
      <c r="AB734"/>
      <c r="AC734"/>
      <c r="AD734"/>
      <c r="AE734"/>
      <c r="AF734"/>
    </row>
    <row r="735" spans="11:32" ht="14.1" customHeight="1" x14ac:dyDescent="0.2">
      <c r="K735" s="153"/>
      <c r="L735" s="153"/>
      <c r="M735"/>
      <c r="N735"/>
      <c r="O735"/>
      <c r="P735"/>
      <c r="Q735"/>
      <c r="R735"/>
      <c r="S735"/>
      <c r="T735"/>
      <c r="U735"/>
      <c r="V735"/>
      <c r="W735"/>
      <c r="X735"/>
      <c r="Y735"/>
      <c r="Z735"/>
      <c r="AA735"/>
      <c r="AB735"/>
      <c r="AC735"/>
      <c r="AD735"/>
      <c r="AE735"/>
      <c r="AF735"/>
    </row>
    <row r="736" spans="11:32" ht="14.1" customHeight="1" x14ac:dyDescent="0.2">
      <c r="K736" s="153"/>
      <c r="L736" s="153"/>
      <c r="M736"/>
      <c r="N736"/>
      <c r="O736"/>
      <c r="P736"/>
      <c r="Q736"/>
      <c r="R736"/>
      <c r="S736"/>
      <c r="T736"/>
      <c r="U736"/>
      <c r="V736"/>
      <c r="W736"/>
      <c r="X736"/>
      <c r="Y736"/>
      <c r="Z736"/>
      <c r="AA736"/>
      <c r="AB736"/>
      <c r="AC736"/>
      <c r="AD736"/>
      <c r="AE736"/>
      <c r="AF736"/>
    </row>
    <row r="737" spans="11:32" ht="14.1" customHeight="1" x14ac:dyDescent="0.2">
      <c r="K737" s="153"/>
      <c r="L737" s="153"/>
      <c r="M737"/>
      <c r="N737"/>
      <c r="O737"/>
      <c r="P737"/>
      <c r="Q737"/>
      <c r="R737"/>
      <c r="S737"/>
      <c r="T737"/>
      <c r="U737"/>
      <c r="V737"/>
      <c r="W737"/>
      <c r="X737"/>
      <c r="Y737"/>
      <c r="Z737"/>
      <c r="AA737"/>
      <c r="AB737"/>
      <c r="AC737"/>
      <c r="AD737"/>
      <c r="AE737"/>
      <c r="AF737"/>
    </row>
    <row r="738" spans="11:32" ht="14.1" customHeight="1" x14ac:dyDescent="0.2">
      <c r="K738" s="153"/>
      <c r="L738" s="153"/>
      <c r="M738"/>
      <c r="N738"/>
      <c r="O738"/>
      <c r="P738"/>
      <c r="Q738"/>
      <c r="R738"/>
      <c r="S738"/>
      <c r="T738"/>
      <c r="U738"/>
      <c r="V738"/>
      <c r="W738"/>
      <c r="X738"/>
      <c r="Y738"/>
      <c r="Z738"/>
      <c r="AA738"/>
      <c r="AB738"/>
      <c r="AC738"/>
      <c r="AD738"/>
      <c r="AE738"/>
      <c r="AF738"/>
    </row>
    <row r="739" spans="11:32" ht="14.1" customHeight="1" x14ac:dyDescent="0.2">
      <c r="K739" s="153"/>
      <c r="L739" s="153"/>
      <c r="M739"/>
      <c r="N739"/>
      <c r="O739"/>
      <c r="P739"/>
      <c r="Q739"/>
      <c r="R739"/>
      <c r="S739"/>
      <c r="T739"/>
      <c r="U739"/>
      <c r="V739"/>
      <c r="W739"/>
      <c r="X739"/>
      <c r="Y739"/>
      <c r="Z739"/>
      <c r="AA739"/>
      <c r="AB739"/>
      <c r="AC739"/>
      <c r="AD739"/>
      <c r="AE739"/>
      <c r="AF739"/>
    </row>
    <row r="740" spans="11:32" ht="14.1" customHeight="1" x14ac:dyDescent="0.2">
      <c r="K740" s="153"/>
      <c r="L740" s="153"/>
      <c r="M740"/>
      <c r="N740"/>
      <c r="O740"/>
      <c r="P740"/>
      <c r="Q740"/>
      <c r="R740"/>
      <c r="S740"/>
      <c r="T740"/>
      <c r="U740"/>
      <c r="V740"/>
      <c r="W740"/>
      <c r="X740"/>
      <c r="Y740"/>
      <c r="Z740"/>
      <c r="AA740"/>
      <c r="AB740"/>
      <c r="AC740"/>
      <c r="AD740"/>
      <c r="AE740"/>
      <c r="AF740"/>
    </row>
    <row r="741" spans="11:32" ht="14.1" customHeight="1" x14ac:dyDescent="0.2">
      <c r="K741" s="153"/>
      <c r="L741" s="153"/>
      <c r="M741"/>
      <c r="N741"/>
      <c r="O741"/>
      <c r="P741"/>
      <c r="Q741"/>
      <c r="R741"/>
      <c r="S741"/>
      <c r="T741"/>
      <c r="U741"/>
      <c r="V741"/>
      <c r="W741"/>
      <c r="X741"/>
      <c r="Y741"/>
      <c r="Z741"/>
      <c r="AA741"/>
      <c r="AB741"/>
      <c r="AC741"/>
      <c r="AD741"/>
      <c r="AE741"/>
      <c r="AF741"/>
    </row>
    <row r="742" spans="11:32" ht="14.1" customHeight="1" x14ac:dyDescent="0.2">
      <c r="K742" s="153"/>
      <c r="L742" s="153"/>
      <c r="M742"/>
      <c r="N742"/>
      <c r="O742"/>
      <c r="P742"/>
      <c r="Q742"/>
      <c r="R742"/>
      <c r="S742"/>
      <c r="T742"/>
      <c r="U742"/>
      <c r="V742"/>
      <c r="W742"/>
      <c r="X742"/>
      <c r="Y742"/>
      <c r="Z742"/>
      <c r="AA742"/>
      <c r="AB742"/>
      <c r="AC742"/>
      <c r="AD742"/>
      <c r="AE742"/>
      <c r="AF742"/>
    </row>
    <row r="743" spans="11:32" ht="14.1" customHeight="1" x14ac:dyDescent="0.2">
      <c r="K743" s="153"/>
      <c r="L743" s="153"/>
      <c r="M743"/>
      <c r="N743"/>
      <c r="O743"/>
      <c r="P743"/>
      <c r="Q743"/>
      <c r="R743"/>
      <c r="S743"/>
      <c r="T743"/>
      <c r="U743"/>
      <c r="V743"/>
      <c r="W743"/>
      <c r="X743"/>
      <c r="Y743"/>
      <c r="Z743"/>
      <c r="AA743"/>
      <c r="AB743"/>
      <c r="AC743"/>
      <c r="AD743"/>
      <c r="AE743"/>
      <c r="AF743"/>
    </row>
    <row r="744" spans="11:32" ht="14.1" customHeight="1" x14ac:dyDescent="0.2">
      <c r="K744" s="153"/>
      <c r="L744" s="153"/>
      <c r="M744"/>
      <c r="N744"/>
      <c r="O744"/>
      <c r="P744"/>
      <c r="Q744"/>
      <c r="R744"/>
      <c r="S744"/>
      <c r="T744"/>
      <c r="U744"/>
      <c r="V744"/>
      <c r="W744"/>
      <c r="X744"/>
      <c r="Y744"/>
      <c r="Z744"/>
      <c r="AA744"/>
      <c r="AB744"/>
      <c r="AC744"/>
      <c r="AD744"/>
      <c r="AE744"/>
      <c r="AF744"/>
    </row>
    <row r="745" spans="11:32" ht="14.1" customHeight="1" x14ac:dyDescent="0.2">
      <c r="K745" s="153"/>
      <c r="L745" s="153"/>
      <c r="M745"/>
      <c r="N745"/>
      <c r="O745"/>
      <c r="P745"/>
      <c r="Q745"/>
      <c r="R745"/>
      <c r="S745"/>
      <c r="T745"/>
      <c r="U745"/>
      <c r="V745"/>
      <c r="W745"/>
      <c r="X745"/>
      <c r="Y745"/>
      <c r="Z745"/>
      <c r="AA745"/>
      <c r="AB745"/>
      <c r="AC745"/>
      <c r="AD745"/>
      <c r="AE745"/>
      <c r="AF745"/>
    </row>
    <row r="746" spans="11:32" ht="14.1" customHeight="1" x14ac:dyDescent="0.2">
      <c r="K746" s="153"/>
      <c r="L746" s="153"/>
      <c r="M746"/>
      <c r="N746"/>
      <c r="O746"/>
      <c r="P746"/>
      <c r="Q746"/>
      <c r="R746"/>
      <c r="S746"/>
      <c r="T746"/>
      <c r="U746"/>
      <c r="V746"/>
      <c r="W746"/>
      <c r="X746"/>
      <c r="Y746"/>
      <c r="Z746"/>
      <c r="AA746"/>
      <c r="AB746"/>
      <c r="AC746"/>
      <c r="AD746"/>
      <c r="AE746"/>
      <c r="AF746"/>
    </row>
    <row r="747" spans="11:32" ht="14.1" customHeight="1" x14ac:dyDescent="0.2">
      <c r="K747" s="153"/>
      <c r="L747" s="153"/>
      <c r="M747"/>
      <c r="N747"/>
      <c r="O747"/>
      <c r="P747"/>
      <c r="Q747"/>
      <c r="R747"/>
      <c r="S747"/>
      <c r="T747"/>
      <c r="U747"/>
      <c r="V747"/>
      <c r="W747"/>
      <c r="X747"/>
      <c r="Y747"/>
      <c r="Z747"/>
      <c r="AA747"/>
      <c r="AB747"/>
      <c r="AC747"/>
      <c r="AD747"/>
      <c r="AE747"/>
      <c r="AF747"/>
    </row>
    <row r="748" spans="11:32" ht="14.1" customHeight="1" x14ac:dyDescent="0.2">
      <c r="K748" s="153"/>
      <c r="L748" s="153"/>
      <c r="M748"/>
      <c r="N748"/>
      <c r="O748"/>
      <c r="P748"/>
      <c r="Q748"/>
      <c r="R748"/>
      <c r="S748"/>
      <c r="T748"/>
      <c r="U748"/>
      <c r="V748"/>
      <c r="W748"/>
      <c r="X748"/>
      <c r="Y748"/>
      <c r="Z748"/>
      <c r="AA748"/>
      <c r="AB748"/>
      <c r="AC748"/>
      <c r="AD748"/>
      <c r="AE748"/>
      <c r="AF748"/>
    </row>
    <row r="749" spans="11:32" ht="14.1" customHeight="1" x14ac:dyDescent="0.2">
      <c r="K749" s="153"/>
      <c r="L749" s="153"/>
      <c r="M749"/>
      <c r="N749"/>
      <c r="O749"/>
      <c r="P749"/>
      <c r="Q749"/>
      <c r="R749"/>
      <c r="S749"/>
      <c r="T749"/>
      <c r="U749"/>
      <c r="V749"/>
      <c r="W749"/>
      <c r="X749"/>
      <c r="Y749"/>
      <c r="Z749"/>
      <c r="AA749"/>
      <c r="AB749"/>
      <c r="AC749"/>
      <c r="AD749"/>
      <c r="AE749"/>
      <c r="AF749"/>
    </row>
    <row r="750" spans="11:32" ht="14.1" customHeight="1" x14ac:dyDescent="0.2">
      <c r="K750" s="153"/>
      <c r="L750" s="153"/>
      <c r="M750"/>
      <c r="N750"/>
      <c r="O750"/>
      <c r="P750"/>
      <c r="Q750"/>
      <c r="R750"/>
      <c r="S750"/>
      <c r="T750"/>
      <c r="U750"/>
      <c r="V750"/>
      <c r="W750"/>
      <c r="X750"/>
      <c r="Y750"/>
      <c r="Z750"/>
      <c r="AA750"/>
      <c r="AB750"/>
      <c r="AC750"/>
      <c r="AD750"/>
      <c r="AE750"/>
      <c r="AF750"/>
    </row>
    <row r="751" spans="11:32" ht="14.1" customHeight="1" x14ac:dyDescent="0.2">
      <c r="K751" s="153"/>
      <c r="L751" s="153"/>
      <c r="M751"/>
      <c r="N751"/>
      <c r="O751"/>
      <c r="P751"/>
      <c r="Q751"/>
      <c r="R751"/>
      <c r="S751"/>
      <c r="T751"/>
      <c r="U751"/>
      <c r="V751"/>
      <c r="W751"/>
      <c r="X751"/>
      <c r="Y751"/>
      <c r="Z751"/>
      <c r="AA751"/>
      <c r="AB751"/>
      <c r="AC751"/>
      <c r="AD751"/>
      <c r="AE751"/>
      <c r="AF751"/>
    </row>
    <row r="752" spans="11:32" ht="14.1" customHeight="1" x14ac:dyDescent="0.2">
      <c r="K752" s="153"/>
      <c r="L752" s="153"/>
      <c r="M752"/>
      <c r="N752"/>
      <c r="O752"/>
      <c r="P752"/>
      <c r="Q752"/>
      <c r="R752"/>
      <c r="S752"/>
      <c r="T752"/>
      <c r="U752"/>
      <c r="V752"/>
      <c r="W752"/>
      <c r="X752"/>
      <c r="Y752"/>
      <c r="Z752"/>
      <c r="AA752"/>
      <c r="AB752"/>
      <c r="AC752"/>
      <c r="AD752"/>
      <c r="AE752"/>
      <c r="AF752"/>
    </row>
    <row r="753" spans="11:32" ht="14.1" customHeight="1" x14ac:dyDescent="0.2">
      <c r="K753" s="153"/>
      <c r="L753" s="153"/>
      <c r="M753"/>
      <c r="N753"/>
      <c r="O753"/>
      <c r="P753"/>
      <c r="Q753"/>
      <c r="R753"/>
      <c r="S753"/>
      <c r="T753"/>
      <c r="U753"/>
      <c r="V753"/>
      <c r="W753"/>
      <c r="X753"/>
      <c r="Y753"/>
      <c r="Z753"/>
      <c r="AA753"/>
      <c r="AB753"/>
      <c r="AC753"/>
      <c r="AD753"/>
      <c r="AE753"/>
      <c r="AF753"/>
    </row>
    <row r="754" spans="11:32" ht="14.1" customHeight="1" x14ac:dyDescent="0.2">
      <c r="K754" s="153"/>
      <c r="L754" s="153"/>
      <c r="M754"/>
      <c r="N754"/>
      <c r="O754"/>
      <c r="P754"/>
      <c r="Q754"/>
      <c r="R754"/>
      <c r="S754"/>
      <c r="T754"/>
      <c r="U754"/>
      <c r="V754"/>
      <c r="W754"/>
      <c r="X754"/>
      <c r="Y754"/>
      <c r="Z754"/>
      <c r="AA754"/>
      <c r="AB754"/>
      <c r="AC754"/>
      <c r="AD754"/>
      <c r="AE754"/>
      <c r="AF754"/>
    </row>
    <row r="755" spans="11:32" ht="14.1" customHeight="1" x14ac:dyDescent="0.2">
      <c r="K755" s="153"/>
      <c r="L755" s="153"/>
      <c r="M755"/>
      <c r="N755"/>
      <c r="O755"/>
      <c r="P755"/>
      <c r="Q755"/>
      <c r="R755"/>
      <c r="S755"/>
      <c r="T755"/>
      <c r="U755"/>
      <c r="V755"/>
      <c r="W755"/>
      <c r="X755"/>
      <c r="Y755"/>
      <c r="Z755"/>
      <c r="AA755"/>
      <c r="AB755"/>
      <c r="AC755"/>
      <c r="AD755"/>
      <c r="AE755"/>
      <c r="AF755"/>
    </row>
    <row r="756" spans="11:32" ht="14.1" customHeight="1" x14ac:dyDescent="0.2">
      <c r="K756" s="153"/>
      <c r="L756" s="153"/>
      <c r="M756"/>
      <c r="N756"/>
      <c r="O756"/>
      <c r="P756"/>
      <c r="Q756"/>
      <c r="R756"/>
      <c r="S756"/>
      <c r="T756"/>
      <c r="U756"/>
      <c r="V756"/>
      <c r="W756"/>
      <c r="X756"/>
      <c r="Y756"/>
      <c r="Z756"/>
      <c r="AA756"/>
      <c r="AB756"/>
      <c r="AC756"/>
      <c r="AD756"/>
      <c r="AE756"/>
      <c r="AF756"/>
    </row>
    <row r="757" spans="11:32" ht="14.1" customHeight="1" x14ac:dyDescent="0.2">
      <c r="K757" s="153"/>
      <c r="L757" s="153"/>
      <c r="M757"/>
      <c r="N757"/>
      <c r="O757"/>
      <c r="P757"/>
      <c r="Q757"/>
      <c r="R757"/>
      <c r="S757"/>
      <c r="T757"/>
      <c r="U757"/>
      <c r="V757"/>
      <c r="W757"/>
      <c r="X757"/>
      <c r="Y757"/>
      <c r="Z757"/>
      <c r="AA757"/>
      <c r="AB757"/>
      <c r="AC757"/>
      <c r="AD757"/>
      <c r="AE757"/>
      <c r="AF757"/>
    </row>
    <row r="758" spans="11:32" ht="14.1" customHeight="1" x14ac:dyDescent="0.2">
      <c r="K758" s="153"/>
      <c r="L758" s="153"/>
      <c r="M758"/>
      <c r="N758"/>
      <c r="O758"/>
      <c r="P758"/>
      <c r="Q758"/>
      <c r="R758"/>
      <c r="S758"/>
      <c r="T758"/>
      <c r="U758"/>
      <c r="V758"/>
      <c r="W758"/>
      <c r="X758"/>
      <c r="Y758"/>
      <c r="Z758"/>
      <c r="AA758"/>
      <c r="AB758"/>
      <c r="AC758"/>
      <c r="AD758"/>
      <c r="AE758"/>
      <c r="AF758"/>
    </row>
    <row r="759" spans="11:32" ht="14.1" customHeight="1" x14ac:dyDescent="0.2">
      <c r="K759" s="153"/>
      <c r="L759" s="153"/>
      <c r="M759"/>
      <c r="N759"/>
      <c r="O759"/>
      <c r="P759"/>
      <c r="Q759"/>
      <c r="R759"/>
      <c r="S759"/>
      <c r="T759"/>
      <c r="U759"/>
      <c r="V759"/>
      <c r="W759"/>
      <c r="X759"/>
      <c r="Y759"/>
      <c r="Z759"/>
      <c r="AA759"/>
      <c r="AB759"/>
      <c r="AC759"/>
      <c r="AD759"/>
      <c r="AE759"/>
      <c r="AF759"/>
    </row>
    <row r="760" spans="11:32" ht="14.1" customHeight="1" x14ac:dyDescent="0.2">
      <c r="K760" s="153"/>
      <c r="L760" s="153"/>
      <c r="M760"/>
      <c r="N760"/>
      <c r="O760"/>
      <c r="P760"/>
      <c r="Q760"/>
      <c r="R760"/>
      <c r="S760"/>
      <c r="T760"/>
      <c r="U760"/>
      <c r="V760"/>
      <c r="W760"/>
      <c r="X760"/>
      <c r="Y760"/>
      <c r="Z760"/>
      <c r="AA760"/>
      <c r="AB760"/>
      <c r="AC760"/>
      <c r="AD760"/>
      <c r="AE760"/>
      <c r="AF760"/>
    </row>
    <row r="761" spans="11:32" ht="14.1" customHeight="1" x14ac:dyDescent="0.2">
      <c r="K761" s="153"/>
      <c r="L761" s="153"/>
      <c r="M761"/>
      <c r="N761"/>
      <c r="O761"/>
      <c r="P761"/>
      <c r="Q761"/>
      <c r="R761"/>
      <c r="S761"/>
      <c r="T761"/>
      <c r="U761"/>
      <c r="V761"/>
      <c r="W761"/>
      <c r="X761"/>
      <c r="Y761"/>
      <c r="Z761"/>
      <c r="AA761"/>
      <c r="AB761"/>
      <c r="AC761"/>
      <c r="AD761"/>
      <c r="AE761"/>
      <c r="AF761"/>
    </row>
    <row r="762" spans="11:32" ht="14.1" customHeight="1" x14ac:dyDescent="0.2">
      <c r="K762" s="153"/>
      <c r="L762" s="153"/>
      <c r="M762"/>
      <c r="N762"/>
      <c r="O762"/>
      <c r="P762"/>
      <c r="Q762"/>
      <c r="R762"/>
      <c r="S762"/>
      <c r="T762"/>
      <c r="U762"/>
      <c r="V762"/>
      <c r="W762"/>
      <c r="X762"/>
      <c r="Y762"/>
      <c r="Z762"/>
      <c r="AA762"/>
      <c r="AB762"/>
      <c r="AC762"/>
      <c r="AD762"/>
      <c r="AE762"/>
      <c r="AF762"/>
    </row>
    <row r="763" spans="11:32" ht="14.1" customHeight="1" x14ac:dyDescent="0.2">
      <c r="K763" s="153"/>
      <c r="L763" s="153"/>
      <c r="M763"/>
      <c r="N763"/>
      <c r="O763"/>
      <c r="P763"/>
      <c r="Q763"/>
      <c r="R763"/>
      <c r="S763"/>
      <c r="T763"/>
      <c r="U763"/>
      <c r="V763"/>
      <c r="W763"/>
      <c r="X763"/>
      <c r="Y763"/>
      <c r="Z763"/>
      <c r="AA763"/>
      <c r="AB763"/>
      <c r="AC763"/>
      <c r="AD763"/>
      <c r="AE763"/>
      <c r="AF763"/>
    </row>
    <row r="764" spans="11:32" ht="14.1" customHeight="1" x14ac:dyDescent="0.2">
      <c r="K764" s="153"/>
      <c r="L764" s="153"/>
      <c r="M764"/>
      <c r="N764"/>
      <c r="O764"/>
      <c r="P764"/>
      <c r="Q764"/>
      <c r="R764"/>
      <c r="S764"/>
      <c r="T764"/>
      <c r="U764"/>
      <c r="V764"/>
      <c r="W764"/>
      <c r="X764"/>
      <c r="Y764"/>
      <c r="Z764"/>
      <c r="AA764"/>
      <c r="AB764"/>
      <c r="AC764"/>
      <c r="AD764"/>
      <c r="AE764"/>
      <c r="AF764"/>
    </row>
    <row r="765" spans="11:32" ht="14.1" customHeight="1" x14ac:dyDescent="0.2">
      <c r="K765" s="153"/>
      <c r="L765" s="153"/>
      <c r="M765"/>
      <c r="N765"/>
      <c r="O765"/>
      <c r="P765"/>
      <c r="Q765"/>
      <c r="R765"/>
      <c r="S765"/>
      <c r="T765"/>
      <c r="U765"/>
      <c r="V765"/>
      <c r="W765"/>
      <c r="X765"/>
      <c r="Y765"/>
      <c r="Z765"/>
      <c r="AA765"/>
      <c r="AB765"/>
      <c r="AC765"/>
      <c r="AD765"/>
      <c r="AE765"/>
      <c r="AF765"/>
    </row>
    <row r="766" spans="11:32" ht="14.1" customHeight="1" x14ac:dyDescent="0.2">
      <c r="K766" s="153"/>
      <c r="L766" s="153"/>
      <c r="M766"/>
      <c r="N766"/>
      <c r="O766"/>
      <c r="P766"/>
      <c r="Q766"/>
      <c r="R766"/>
      <c r="S766"/>
      <c r="T766"/>
      <c r="U766"/>
      <c r="V766"/>
      <c r="W766"/>
      <c r="X766"/>
      <c r="Y766"/>
      <c r="Z766"/>
      <c r="AA766"/>
      <c r="AB766"/>
      <c r="AC766"/>
      <c r="AD766"/>
      <c r="AE766"/>
      <c r="AF766"/>
    </row>
    <row r="767" spans="11:32" ht="14.1" customHeight="1" x14ac:dyDescent="0.2">
      <c r="K767" s="153"/>
      <c r="L767" s="153"/>
      <c r="M767"/>
      <c r="N767"/>
      <c r="O767"/>
      <c r="P767"/>
      <c r="Q767"/>
      <c r="R767"/>
      <c r="S767"/>
      <c r="T767"/>
      <c r="U767"/>
      <c r="V767"/>
      <c r="W767"/>
      <c r="X767"/>
      <c r="Y767"/>
      <c r="Z767"/>
      <c r="AA767"/>
      <c r="AB767"/>
      <c r="AC767"/>
      <c r="AD767"/>
      <c r="AE767"/>
      <c r="AF767"/>
    </row>
    <row r="768" spans="11:32" ht="14.1" customHeight="1" x14ac:dyDescent="0.2">
      <c r="K768" s="153"/>
      <c r="L768" s="153"/>
      <c r="M768"/>
      <c r="N768"/>
      <c r="O768"/>
      <c r="P768"/>
      <c r="Q768"/>
      <c r="R768"/>
      <c r="S768"/>
      <c r="T768"/>
      <c r="U768"/>
      <c r="V768"/>
      <c r="W768"/>
      <c r="X768"/>
      <c r="Y768"/>
      <c r="Z768"/>
      <c r="AA768"/>
      <c r="AB768"/>
      <c r="AC768"/>
      <c r="AD768"/>
      <c r="AE768"/>
      <c r="AF768"/>
    </row>
    <row r="769" spans="11:32" ht="14.1" customHeight="1" x14ac:dyDescent="0.2">
      <c r="K769" s="153"/>
      <c r="L769" s="153"/>
      <c r="M769"/>
      <c r="N769"/>
      <c r="O769"/>
      <c r="P769"/>
      <c r="Q769"/>
      <c r="R769"/>
      <c r="S769"/>
      <c r="T769"/>
      <c r="U769"/>
      <c r="V769"/>
      <c r="W769"/>
      <c r="X769"/>
      <c r="Y769"/>
      <c r="Z769"/>
      <c r="AA769"/>
      <c r="AB769"/>
      <c r="AC769"/>
      <c r="AD769"/>
      <c r="AE769"/>
      <c r="AF769"/>
    </row>
    <row r="770" spans="11:32" ht="14.1" customHeight="1" x14ac:dyDescent="0.2">
      <c r="K770" s="153"/>
      <c r="L770" s="153"/>
      <c r="M770"/>
      <c r="N770"/>
      <c r="O770"/>
      <c r="P770"/>
      <c r="Q770"/>
      <c r="R770"/>
      <c r="S770"/>
      <c r="T770"/>
      <c r="U770"/>
      <c r="V770"/>
      <c r="W770"/>
      <c r="X770"/>
      <c r="Y770"/>
      <c r="Z770"/>
      <c r="AA770"/>
      <c r="AB770"/>
      <c r="AC770"/>
      <c r="AD770"/>
      <c r="AE770"/>
      <c r="AF770"/>
    </row>
    <row r="771" spans="11:32" ht="14.1" customHeight="1" x14ac:dyDescent="0.2">
      <c r="K771" s="153"/>
      <c r="L771" s="153"/>
      <c r="M771"/>
      <c r="N771"/>
      <c r="O771"/>
      <c r="P771"/>
      <c r="Q771"/>
      <c r="R771"/>
      <c r="S771"/>
      <c r="T771"/>
      <c r="U771"/>
      <c r="V771"/>
      <c r="W771"/>
      <c r="X771"/>
      <c r="Y771"/>
      <c r="Z771"/>
      <c r="AA771"/>
      <c r="AB771"/>
      <c r="AC771"/>
      <c r="AD771"/>
      <c r="AE771"/>
      <c r="AF771"/>
    </row>
    <row r="772" spans="11:32" ht="14.1" customHeight="1" x14ac:dyDescent="0.2">
      <c r="K772" s="153"/>
      <c r="L772" s="153"/>
      <c r="M772"/>
      <c r="N772"/>
      <c r="O772"/>
      <c r="P772"/>
      <c r="Q772"/>
      <c r="R772"/>
      <c r="S772"/>
      <c r="T772"/>
      <c r="U772"/>
      <c r="V772"/>
      <c r="W772"/>
      <c r="X772"/>
      <c r="Y772"/>
      <c r="Z772"/>
      <c r="AA772"/>
      <c r="AB772"/>
      <c r="AC772"/>
      <c r="AD772"/>
      <c r="AE772"/>
      <c r="AF772"/>
    </row>
    <row r="773" spans="11:32" ht="14.1" customHeight="1" x14ac:dyDescent="0.2">
      <c r="K773" s="153"/>
      <c r="L773" s="153"/>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65" priority="39">
      <formula>$B11="SUBETAPA"</formula>
    </cfRule>
  </conditionalFormatting>
  <conditionalFormatting sqref="A102:B113">
    <cfRule type="expression" dxfId="20264" priority="54">
      <formula>$B102="SUBETAPA"</formula>
    </cfRule>
  </conditionalFormatting>
  <conditionalFormatting sqref="A98:C101">
    <cfRule type="expression" dxfId="20263" priority="118">
      <formula>$B98="ETAPA"</formula>
    </cfRule>
  </conditionalFormatting>
  <conditionalFormatting sqref="A102:C105">
    <cfRule type="expression" dxfId="20262" priority="52">
      <formula>$B102="ETAPA"</formula>
    </cfRule>
  </conditionalFormatting>
  <conditionalFormatting sqref="A77:D79">
    <cfRule type="expression" dxfId="20261" priority="160">
      <formula>$B77="ETAPA"</formula>
    </cfRule>
  </conditionalFormatting>
  <conditionalFormatting sqref="A85:D85">
    <cfRule type="expression" dxfId="20260" priority="38">
      <formula>$B85="ETAPA"</formula>
    </cfRule>
  </conditionalFormatting>
  <conditionalFormatting sqref="A139:D147">
    <cfRule type="expression" dxfId="20259" priority="108">
      <formula>$B139="ETAPA"</formula>
    </cfRule>
  </conditionalFormatting>
  <conditionalFormatting sqref="A144:D147">
    <cfRule type="expression" dxfId="20258" priority="16">
      <formula>$B144="CÉLULA CONSTRUTIVA"</formula>
    </cfRule>
  </conditionalFormatting>
  <conditionalFormatting sqref="A150:D150 G59:G79 I87:J97 F108:F109 F110:G113">
    <cfRule type="expression" dxfId="20257" priority="94">
      <formula>$B59="CÉLULA CONSTRUTIVA"</formula>
    </cfRule>
  </conditionalFormatting>
  <conditionalFormatting sqref="A83:E84">
    <cfRule type="expression" dxfId="20256" priority="146">
      <formula>$B83="SUBETAPA"</formula>
    </cfRule>
  </conditionalFormatting>
  <conditionalFormatting sqref="A85:E85">
    <cfRule type="expression" dxfId="20255" priority="32">
      <formula>$B85="CÉLULA CONSTRUTIVA"</formula>
    </cfRule>
  </conditionalFormatting>
  <conditionalFormatting sqref="A150:E150">
    <cfRule type="expression" dxfId="20254" priority="57">
      <formula>$B150="SUBETAPA"</formula>
    </cfRule>
  </conditionalFormatting>
  <conditionalFormatting sqref="A59:F77">
    <cfRule type="expression" dxfId="20253" priority="191">
      <formula>$B59="SUBETAPA"</formula>
    </cfRule>
    <cfRule type="expression" dxfId="20252" priority="192">
      <formula>$B59="CÉLULA CONSTRUTIVA"</formula>
    </cfRule>
  </conditionalFormatting>
  <conditionalFormatting sqref="A58:G58">
    <cfRule type="expression" dxfId="20251" priority="166">
      <formula>$B58="SUBETAPA"</formula>
    </cfRule>
    <cfRule type="expression" dxfId="20250" priority="167">
      <formula>$B58="CÉLULA CONSTRUTIVA"</formula>
    </cfRule>
    <cfRule type="expression" dxfId="20249" priority="170">
      <formula>$B58="ETAPA"</formula>
    </cfRule>
  </conditionalFormatting>
  <conditionalFormatting sqref="A83:G84">
    <cfRule type="expression" dxfId="20248" priority="78">
      <formula>$B83="CÉLULA CONSTRUTIVA"</formula>
    </cfRule>
  </conditionalFormatting>
  <conditionalFormatting sqref="A87:G98">
    <cfRule type="expression" dxfId="20247" priority="106">
      <formula>$B87="CÉLULA CONSTRUTIVA"</formula>
    </cfRule>
  </conditionalFormatting>
  <conditionalFormatting sqref="A102:G102">
    <cfRule type="expression" dxfId="20246" priority="51">
      <formula>$B102="CÉLULA CONSTRUTIVA"</formula>
    </cfRule>
  </conditionalFormatting>
  <conditionalFormatting sqref="A114:G114">
    <cfRule type="expression" dxfId="20245" priority="122">
      <formula>$B114="CÉLULA CONSTRUTIVA"</formula>
    </cfRule>
    <cfRule type="expression" dxfId="20244" priority="123">
      <formula>$B114="ETAPA"</formula>
    </cfRule>
  </conditionalFormatting>
  <conditionalFormatting sqref="A148:G148">
    <cfRule type="expression" dxfId="20243" priority="92">
      <formula>$B148="CÉLULA CONSTRUTIVA"</formula>
    </cfRule>
    <cfRule type="expression" dxfId="20242" priority="93">
      <formula>$B148="ETAPA"</formula>
    </cfRule>
  </conditionalFormatting>
  <conditionalFormatting sqref="A8:H56">
    <cfRule type="expression" dxfId="20241" priority="133">
      <formula>$B8="SUBETAPA"</formula>
    </cfRule>
  </conditionalFormatting>
  <conditionalFormatting sqref="A11:H19">
    <cfRule type="expression" dxfId="20240" priority="48">
      <formula>$B11="CÉLULA CONSTRUTIVA"</formula>
    </cfRule>
    <cfRule type="expression" dxfId="20239" priority="49">
      <formula>$B11="ETAPA"</formula>
    </cfRule>
  </conditionalFormatting>
  <conditionalFormatting sqref="A114:H114">
    <cfRule type="expression" dxfId="20238" priority="124">
      <formula>$B114="SUBETAPA"</formula>
    </cfRule>
  </conditionalFormatting>
  <conditionalFormatting sqref="A133:H133">
    <cfRule type="expression" dxfId="20237" priority="120">
      <formula>$B133="CÉLULA CONSTRUTIVA"</formula>
    </cfRule>
  </conditionalFormatting>
  <conditionalFormatting sqref="A8:J10">
    <cfRule type="expression" dxfId="20236" priority="215">
      <formula>$B8="ETAPA"</formula>
    </cfRule>
  </conditionalFormatting>
  <conditionalFormatting sqref="A57:J57">
    <cfRule type="expression" dxfId="20235" priority="188">
      <formula>$B57="SUBETAPA"</formula>
    </cfRule>
    <cfRule type="expression" dxfId="20234" priority="189">
      <formula>$B57="CÉLULA CONSTRUTIVA"</formula>
    </cfRule>
    <cfRule type="expression" dxfId="20233" priority="190">
      <formula>$B57="ETAPA"</formula>
    </cfRule>
  </conditionalFormatting>
  <conditionalFormatting sqref="A80:J82">
    <cfRule type="expression" dxfId="20232" priority="148">
      <formula>$B80="SUBETAPA"</formula>
    </cfRule>
    <cfRule type="expression" dxfId="20231" priority="149">
      <formula>$B80="CÉLULA CONSTRUTIVA"</formula>
    </cfRule>
    <cfRule type="expression" dxfId="20230" priority="150">
      <formula>$B80="ETAPA"</formula>
    </cfRule>
  </conditionalFormatting>
  <conditionalFormatting sqref="A115:J132">
    <cfRule type="expression" dxfId="20229" priority="112">
      <formula>$B115="ETAPA"</formula>
    </cfRule>
  </conditionalFormatting>
  <conditionalFormatting sqref="A133:J133">
    <cfRule type="expression" dxfId="20228" priority="119">
      <formula>$B133="SUBETAPA"</formula>
    </cfRule>
  </conditionalFormatting>
  <conditionalFormatting sqref="A133:J138">
    <cfRule type="expression" dxfId="20227" priority="132">
      <formula>$B133="ETAPA"</formula>
    </cfRule>
  </conditionalFormatting>
  <conditionalFormatting sqref="A148:J149">
    <cfRule type="expression" dxfId="20226" priority="81">
      <formula>$B148="SUBETAPA"</formula>
    </cfRule>
  </conditionalFormatting>
  <conditionalFormatting sqref="A149:J149">
    <cfRule type="expression" dxfId="20225" priority="103">
      <formula>$B149="CÉLULA CONSTRUTIVA"</formula>
    </cfRule>
    <cfRule type="expression" dxfId="20224" priority="104">
      <formula>$B149="ETAPA"</formula>
    </cfRule>
  </conditionalFormatting>
  <conditionalFormatting sqref="C106:C108">
    <cfRule type="expression" dxfId="20223" priority="129">
      <formula>$B106="ETAPA"</formula>
    </cfRule>
  </conditionalFormatting>
  <conditionalFormatting sqref="C85:E85">
    <cfRule type="expression" dxfId="20222" priority="23">
      <formula>$B85="SUBETAPA"</formula>
    </cfRule>
  </conditionalFormatting>
  <conditionalFormatting sqref="C99:E101">
    <cfRule type="expression" dxfId="20221" priority="8">
      <formula>$B99="SUBETAPA"</formula>
    </cfRule>
  </conditionalFormatting>
  <conditionalFormatting sqref="C103:E105">
    <cfRule type="expression" dxfId="20220" priority="5">
      <formula>$B103="SUBETAPA"</formula>
    </cfRule>
  </conditionalFormatting>
  <conditionalFormatting sqref="C98:G98">
    <cfRule type="expression" dxfId="20219" priority="105">
      <formula>$B98="SUBETAPA"</formula>
    </cfRule>
  </conditionalFormatting>
  <conditionalFormatting sqref="C102:G102">
    <cfRule type="expression" dxfId="20218" priority="50">
      <formula>$B102="SUBETAPA"</formula>
    </cfRule>
  </conditionalFormatting>
  <conditionalFormatting sqref="D85">
    <cfRule type="expression" dxfId="20217" priority="31">
      <formula>$B85="ETAPA"</formula>
    </cfRule>
  </conditionalFormatting>
  <conditionalFormatting sqref="D108:E108">
    <cfRule type="expression" dxfId="20216" priority="128">
      <formula>$B108="ETAPA"</formula>
    </cfRule>
  </conditionalFormatting>
  <conditionalFormatting sqref="D99:F101">
    <cfRule type="expression" dxfId="20215" priority="10">
      <formula>$B99="ETAPA"</formula>
    </cfRule>
  </conditionalFormatting>
  <conditionalFormatting sqref="D103:F105">
    <cfRule type="expression" dxfId="20214" priority="7">
      <formula>$B103="ETAPA"</formula>
    </cfRule>
  </conditionalFormatting>
  <conditionalFormatting sqref="D106:F107">
    <cfRule type="expression" dxfId="20213" priority="127">
      <formula>$B106="ETAPA"</formula>
    </cfRule>
  </conditionalFormatting>
  <conditionalFormatting sqref="D102:G102">
    <cfRule type="expression" dxfId="20212" priority="53">
      <formula>$B102="ETAPA"</formula>
    </cfRule>
  </conditionalFormatting>
  <conditionalFormatting sqref="E83">
    <cfRule type="expression" dxfId="20211" priority="139">
      <formula>$B83="ETAPA"</formula>
    </cfRule>
  </conditionalFormatting>
  <conditionalFormatting sqref="E99:E101">
    <cfRule type="expression" dxfId="20210" priority="9">
      <formula>$B99="CÉLULA CONSTRUTIVA"</formula>
    </cfRule>
  </conditionalFormatting>
  <conditionalFormatting sqref="E103:F105">
    <cfRule type="expression" dxfId="20209" priority="6">
      <formula>$B103="CÉLULA CONSTRUTIVA"</formula>
    </cfRule>
  </conditionalFormatting>
  <conditionalFormatting sqref="E139:G147">
    <cfRule type="expression" dxfId="20208" priority="2">
      <formula>$B139="ETAPA"</formula>
    </cfRule>
    <cfRule type="expression" dxfId="20207" priority="4">
      <formula>$B139="CÉLULA CONSTRUTIVA"</formula>
    </cfRule>
  </conditionalFormatting>
  <conditionalFormatting sqref="E150:G150">
    <cfRule type="expression" dxfId="20206" priority="55">
      <formula>$B150="CÉLULA CONSTRUTIVA"</formula>
    </cfRule>
    <cfRule type="expression" dxfId="20205" priority="56">
      <formula>$B150="ETAPA"</formula>
    </cfRule>
  </conditionalFormatting>
  <conditionalFormatting sqref="E139:J147">
    <cfRule type="expression" dxfId="20204" priority="3">
      <formula>$B139="SUBETAPA"</formula>
    </cfRule>
  </conditionalFormatting>
  <conditionalFormatting sqref="F83:F84 F103:F105">
    <cfRule type="expression" dxfId="20203" priority="76">
      <formula>$B83="ETAPA"</formula>
    </cfRule>
    <cfRule type="expression" dxfId="20202" priority="77">
      <formula>$B83="SUBETAPA"</formula>
    </cfRule>
  </conditionalFormatting>
  <conditionalFormatting sqref="F83:F85">
    <cfRule type="expression" dxfId="20201" priority="26">
      <formula>$B83="CÉLULA CONSTRUTIVA"</formula>
    </cfRule>
    <cfRule type="expression" dxfId="20200" priority="27">
      <formula>$B83="ETAPA"</formula>
    </cfRule>
  </conditionalFormatting>
  <conditionalFormatting sqref="F85">
    <cfRule type="expression" dxfId="20199" priority="24">
      <formula>$B85="CÉLULA CONSTRUTIVA"</formula>
    </cfRule>
    <cfRule type="expression" dxfId="20198" priority="25">
      <formula>$B85="ETAPA"</formula>
    </cfRule>
    <cfRule type="expression" dxfId="20197" priority="28">
      <formula>$B85="SUBETAPA"</formula>
    </cfRule>
  </conditionalFormatting>
  <conditionalFormatting sqref="F99:F101">
    <cfRule type="expression" dxfId="20196" priority="67">
      <formula>$B99="CÉLULA CONSTRUTIVA"</formula>
    </cfRule>
    <cfRule type="expression" dxfId="20195" priority="68">
      <formula>$B99="ETAPA"</formula>
    </cfRule>
    <cfRule type="expression" dxfId="20194" priority="69">
      <formula>$B99="SUBETAPA"</formula>
    </cfRule>
  </conditionalFormatting>
  <conditionalFormatting sqref="F103:F105 F83:F84">
    <cfRule type="expression" dxfId="20193" priority="75">
      <formula>$B83="CÉLULA CONSTRUTIVA"</formula>
    </cfRule>
  </conditionalFormatting>
  <conditionalFormatting sqref="F103:F105">
    <cfRule type="expression" dxfId="20192" priority="70">
      <formula>$B103="CÉLULA CONSTRUTIVA"</formula>
    </cfRule>
    <cfRule type="expression" dxfId="20191" priority="71">
      <formula>$B103="ETAPA"</formula>
    </cfRule>
  </conditionalFormatting>
  <conditionalFormatting sqref="F83:G84">
    <cfRule type="expression" dxfId="20190" priority="79">
      <formula>$B83="ETAPA"</formula>
    </cfRule>
  </conditionalFormatting>
  <conditionalFormatting sqref="F85:G85">
    <cfRule type="expression" dxfId="20189" priority="30">
      <formula>$B85="ETAPA"</formula>
    </cfRule>
  </conditionalFormatting>
  <conditionalFormatting sqref="F139:G147">
    <cfRule type="expression" dxfId="20188" priority="1">
      <formula>$B139="CÉLULA CONSTRUTIVA"</formula>
    </cfRule>
  </conditionalFormatting>
  <conditionalFormatting sqref="F150:G150">
    <cfRule type="expression" dxfId="20187" priority="58">
      <formula>$B150="CÉLULA CONSTRUTIVA"</formula>
    </cfRule>
    <cfRule type="expression" dxfId="20186" priority="59">
      <formula>$B150="ETAPA"</formula>
    </cfRule>
  </conditionalFormatting>
  <conditionalFormatting sqref="F85:H85">
    <cfRule type="expression" dxfId="20185" priority="29">
      <formula>$B85="CÉLULA CONSTRUTIVA"</formula>
    </cfRule>
  </conditionalFormatting>
  <conditionalFormatting sqref="F150:H150">
    <cfRule type="expression" dxfId="20184" priority="60">
      <formula>$B150="SUBETAPA"</formula>
    </cfRule>
    <cfRule type="expression" dxfId="20183" priority="61">
      <formula>$B150="CÉLULA CONSTRUTIVA"</formula>
    </cfRule>
    <cfRule type="expression" dxfId="20182" priority="62">
      <formula>$B150="ETAPA"</formula>
    </cfRule>
  </conditionalFormatting>
  <conditionalFormatting sqref="G11:G19">
    <cfRule type="expression" dxfId="20181" priority="63">
      <formula>$B11="CÉLULA CONSTRUTIVA"</formula>
    </cfRule>
    <cfRule type="expression" dxfId="20180" priority="64">
      <formula>$B11="ETAPA"</formula>
    </cfRule>
    <cfRule type="expression" dxfId="20179" priority="65">
      <formula>$B11="CÉLULA CONSTRUTIVA"</formula>
    </cfRule>
    <cfRule type="expression" dxfId="20178" priority="66">
      <formula>$B11="ETAPA"</formula>
    </cfRule>
  </conditionalFormatting>
  <conditionalFormatting sqref="G42:G45">
    <cfRule type="expression" dxfId="20177" priority="89">
      <formula>$B42="CÉLULA CONSTRUTIVA"</formula>
    </cfRule>
    <cfRule type="expression" dxfId="20176" priority="90">
      <formula>$B42="ETAPA"</formula>
    </cfRule>
  </conditionalFormatting>
  <conditionalFormatting sqref="G47:G56">
    <cfRule type="expression" dxfId="20175" priority="46">
      <formula>$B47="CÉLULA CONSTRUTIVA"</formula>
    </cfRule>
    <cfRule type="expression" dxfId="20174" priority="47">
      <formula>$B47="ETAPA"</formula>
    </cfRule>
  </conditionalFormatting>
  <conditionalFormatting sqref="G59:G79 I87:J97 F108:F109 F110:G113 A150:D150">
    <cfRule type="expression" dxfId="20173" priority="95">
      <formula>$B59="ETAPA"</formula>
    </cfRule>
  </conditionalFormatting>
  <conditionalFormatting sqref="G59:G79 J95:J97 C106:F109 C110:G113 A20:H56 G83:G85 F99:G101 A103:D105 A106:B113 A78:F79 A86:J86 H87:H114 A99:D101 G103:G109 A115:J132 A134:J138 A139:D143 A151:J181 A8:J10">
    <cfRule type="expression" dxfId="20172" priority="107">
      <formula>$B8="CÉLULA CONSTRUTIVA"</formula>
    </cfRule>
  </conditionalFormatting>
  <conditionalFormatting sqref="G83:G85">
    <cfRule type="expression" dxfId="20171" priority="187">
      <formula>$B83="ETAPA"</formula>
    </cfRule>
  </conditionalFormatting>
  <conditionalFormatting sqref="G103:G109 G83:G85 F108:F109 F110:G113">
    <cfRule type="expression" dxfId="20170" priority="184">
      <formula>$B83="ETAPA"</formula>
    </cfRule>
  </conditionalFormatting>
  <conditionalFormatting sqref="G103:G109">
    <cfRule type="expression" dxfId="20169" priority="182">
      <formula>$B103="ETAPA"</formula>
    </cfRule>
    <cfRule type="expression" dxfId="20168" priority="183">
      <formula>$B103="CÉLULA CONSTRUTIVA"</formula>
    </cfRule>
  </conditionalFormatting>
  <conditionalFormatting sqref="G187">
    <cfRule type="expression" dxfId="20167" priority="203">
      <formula>$B184="SUBETAPA"</formula>
    </cfRule>
    <cfRule type="expression" dxfId="20166" priority="204">
      <formula>$B184="CÉLULA CONSTRUTIVA"</formula>
    </cfRule>
    <cfRule type="expression" dxfId="20165" priority="205">
      <formula>$B184="ETAPA"</formula>
    </cfRule>
  </conditionalFormatting>
  <conditionalFormatting sqref="G83:H84">
    <cfRule type="expression" dxfId="20164" priority="185">
      <formula>$B83="SUBETAPA"</formula>
    </cfRule>
    <cfRule type="expression" dxfId="20163" priority="186">
      <formula>$B83="CÉLULA CONSTRUTIVA"</formula>
    </cfRule>
  </conditionalFormatting>
  <conditionalFormatting sqref="G183:H187">
    <cfRule type="expression" dxfId="20162" priority="200">
      <formula>$B183="SUBETAPA"</formula>
    </cfRule>
    <cfRule type="expression" dxfId="20161" priority="201">
      <formula>$B183="CÉLULA CONSTRUTIVA"</formula>
    </cfRule>
    <cfRule type="expression" dxfId="20160" priority="202">
      <formula>$B183="ETAPA"</formula>
    </cfRule>
  </conditionalFormatting>
  <conditionalFormatting sqref="H77:H79">
    <cfRule type="expression" dxfId="20159" priority="159">
      <formula>$B77="ETAPA"</formula>
    </cfRule>
  </conditionalFormatting>
  <conditionalFormatting sqref="H84:H85">
    <cfRule type="expression" dxfId="20158" priority="40">
      <formula>$B84="ETAPA"</formula>
    </cfRule>
  </conditionalFormatting>
  <conditionalFormatting sqref="H58:J79">
    <cfRule type="expression" dxfId="20157" priority="147">
      <formula>$B58="CÉLULA CONSTRUTIVA"</formula>
    </cfRule>
  </conditionalFormatting>
  <conditionalFormatting sqref="H85:J85">
    <cfRule type="expression" dxfId="20156" priority="20">
      <formula>$B85="SUBETAPA"</formula>
    </cfRule>
  </conditionalFormatting>
  <conditionalFormatting sqref="H139:J148">
    <cfRule type="expression" dxfId="20155" priority="82">
      <formula>$B139="CÉLULA CONSTRUTIVA"</formula>
    </cfRule>
    <cfRule type="expression" dxfId="20154" priority="83">
      <formula>$B139="ETAPA"</formula>
    </cfRule>
  </conditionalFormatting>
  <conditionalFormatting sqref="I11:I56">
    <cfRule type="expression" dxfId="20153" priority="156">
      <formula>$B11="ETAPA"</formula>
    </cfRule>
    <cfRule type="expression" dxfId="20152" priority="157">
      <formula>$B11="SUBETAPA"</formula>
    </cfRule>
    <cfRule type="expression" dxfId="20151" priority="158">
      <formula>$B11="CÉLULA CONSTRUTIVA"</formula>
    </cfRule>
  </conditionalFormatting>
  <conditionalFormatting sqref="I150">
    <cfRule type="expression" dxfId="20150" priority="17">
      <formula>$B150="SUBETAPA"</formula>
    </cfRule>
  </conditionalFormatting>
  <conditionalFormatting sqref="I8:J10">
    <cfRule type="expression" dxfId="20149" priority="232">
      <formula>$B8="SUBETAPA"</formula>
    </cfRule>
  </conditionalFormatting>
  <conditionalFormatting sqref="I77:J79">
    <cfRule type="expression" dxfId="20148" priority="80">
      <formula>$B77="ETAPA"</formula>
    </cfRule>
  </conditionalFormatting>
  <conditionalFormatting sqref="I83:J84">
    <cfRule type="expression" dxfId="20147" priority="73">
      <formula>$B83="CÉLULA CONSTRUTIVA"</formula>
    </cfRule>
    <cfRule type="expression" dxfId="20146" priority="74">
      <formula>$B83="ETAPA"</formula>
    </cfRule>
  </conditionalFormatting>
  <conditionalFormatting sqref="I85:J85">
    <cfRule type="expression" dxfId="20145" priority="21">
      <formula>$B85="CÉLULA CONSTRUTIVA"</formula>
    </cfRule>
    <cfRule type="expression" dxfId="20144" priority="22">
      <formula>$B85="ETAPA"</formula>
    </cfRule>
  </conditionalFormatting>
  <conditionalFormatting sqref="I87:J114">
    <cfRule type="expression" dxfId="20143" priority="109">
      <formula>$B87="SUBETAPA"</formula>
    </cfRule>
  </conditionalFormatting>
  <conditionalFormatting sqref="I98:J114">
    <cfRule type="expression" dxfId="20142" priority="110">
      <formula>$B98="CÉLULA CONSTRUTIVA"</formula>
    </cfRule>
    <cfRule type="expression" dxfId="20141" priority="121">
      <formula>$B98="ETAPA"</formula>
    </cfRule>
  </conditionalFormatting>
  <conditionalFormatting sqref="I133:J133">
    <cfRule type="expression" dxfId="20140" priority="111">
      <formula>$B133="CÉLULA CONSTRUTIVA"</formula>
    </cfRule>
  </conditionalFormatting>
  <conditionalFormatting sqref="I150:J150">
    <cfRule type="expression" dxfId="20139" priority="18">
      <formula>$B150="CÉLULA CONSTRUTIVA"</formula>
    </cfRule>
    <cfRule type="expression" dxfId="20138"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37" priority="226">
      <formula>$B11="ETAPA"</formula>
    </cfRule>
  </conditionalFormatting>
  <conditionalFormatting sqref="J11:J56">
    <cfRule type="expression" dxfId="20136" priority="214">
      <formula>$B11="CÉLULA CONSTRUTIVA"</formula>
    </cfRule>
  </conditionalFormatting>
  <conditionalFormatting sqref="J41">
    <cfRule type="expression" dxfId="20135" priority="199">
      <formula>$B41="ETAPA"</formula>
    </cfRule>
  </conditionalFormatting>
  <conditionalFormatting sqref="J46">
    <cfRule type="expression" dxfId="20134" priority="198">
      <formula>$B46="ETAPA"</formula>
    </cfRule>
  </conditionalFormatting>
  <conditionalFormatting sqref="J150">
    <cfRule type="expression" dxfId="20133"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1221</v>
      </c>
      <c r="I4" s="2" t="s">
        <v>3304</v>
      </c>
      <c r="J4" s="2"/>
      <c r="K4" s="3"/>
      <c r="L4" s="3"/>
      <c r="M4" s="3"/>
      <c r="N4" s="40"/>
      <c r="O4" s="39" t="s">
        <v>1222</v>
      </c>
      <c r="P4" s="41" t="s">
        <v>1223</v>
      </c>
    </row>
    <row r="5" spans="1:16" ht="15" customHeight="1" x14ac:dyDescent="0.2">
      <c r="A5" s="2"/>
      <c r="B5" s="2"/>
      <c r="C5" s="2"/>
      <c r="D5" s="2"/>
      <c r="E5" s="2"/>
      <c r="F5" s="2"/>
      <c r="G5" s="42"/>
      <c r="H5" s="43" t="s">
        <v>1224</v>
      </c>
      <c r="I5" s="2" t="s">
        <v>3303</v>
      </c>
      <c r="J5" s="2"/>
      <c r="K5" s="2"/>
      <c r="L5" s="2"/>
      <c r="M5" s="2"/>
      <c r="N5" s="44"/>
      <c r="O5" s="45" t="s">
        <v>1245</v>
      </c>
      <c r="P5" s="46"/>
    </row>
    <row r="6" spans="1:16" ht="18" customHeight="1" x14ac:dyDescent="0.2">
      <c r="A6" s="47" t="s">
        <v>1225</v>
      </c>
      <c r="B6" s="47" t="s">
        <v>1226</v>
      </c>
      <c r="C6" s="47" t="s">
        <v>65</v>
      </c>
      <c r="D6" s="47" t="s">
        <v>1227</v>
      </c>
      <c r="E6" s="47" t="s">
        <v>67</v>
      </c>
      <c r="F6" s="2"/>
      <c r="G6" s="598" t="s">
        <v>9</v>
      </c>
      <c r="H6" s="599"/>
      <c r="I6" s="599"/>
      <c r="J6" s="599"/>
      <c r="K6" s="599"/>
      <c r="L6" s="599"/>
      <c r="M6" s="599"/>
      <c r="N6" s="599"/>
      <c r="O6" s="599"/>
      <c r="P6" s="600"/>
    </row>
    <row r="7" spans="1:16" ht="24" customHeight="1" x14ac:dyDescent="0.2">
      <c r="A7" s="48">
        <v>0</v>
      </c>
      <c r="B7" s="48">
        <v>0</v>
      </c>
      <c r="C7" s="48">
        <v>0</v>
      </c>
      <c r="D7" s="49">
        <v>0</v>
      </c>
      <c r="E7" s="49">
        <v>0</v>
      </c>
      <c r="G7" s="50" t="s">
        <v>2098</v>
      </c>
      <c r="H7" s="51" t="s">
        <v>1229</v>
      </c>
      <c r="I7" s="52" t="s">
        <v>1230</v>
      </c>
      <c r="J7" s="53" t="s">
        <v>59</v>
      </c>
      <c r="K7" s="54" t="s">
        <v>1219</v>
      </c>
      <c r="L7" s="55" t="s">
        <v>1231</v>
      </c>
      <c r="M7" s="55" t="s">
        <v>1232</v>
      </c>
      <c r="N7" s="55" t="s">
        <v>1233</v>
      </c>
      <c r="O7" s="56" t="s">
        <v>1234</v>
      </c>
      <c r="P7" s="57" t="s">
        <v>1235</v>
      </c>
    </row>
    <row r="8" spans="1:16" ht="13.5" customHeight="1" x14ac:dyDescent="0.2">
      <c r="A8" s="233">
        <v>0</v>
      </c>
      <c r="B8" s="233">
        <v>1</v>
      </c>
      <c r="C8" s="233">
        <v>0</v>
      </c>
      <c r="D8" s="234">
        <v>0</v>
      </c>
      <c r="E8" s="234">
        <v>0</v>
      </c>
      <c r="F8" s="237"/>
      <c r="G8" s="436"/>
      <c r="H8" s="437" t="s">
        <v>1236</v>
      </c>
      <c r="I8" s="438" t="s">
        <v>3305</v>
      </c>
      <c r="J8" s="439" t="s">
        <v>40</v>
      </c>
      <c r="K8" s="440"/>
      <c r="L8" s="441"/>
      <c r="M8" s="441"/>
      <c r="N8" s="442"/>
      <c r="O8" s="433"/>
      <c r="P8" s="428"/>
    </row>
    <row r="9" spans="1:16" ht="13.5" customHeight="1" outlineLevel="1" x14ac:dyDescent="0.2">
      <c r="A9" s="233">
        <v>0</v>
      </c>
      <c r="B9" s="233">
        <v>1</v>
      </c>
      <c r="C9" s="233">
        <v>1</v>
      </c>
      <c r="D9" s="234">
        <v>0</v>
      </c>
      <c r="E9" s="234">
        <v>0</v>
      </c>
      <c r="G9" s="443"/>
      <c r="H9" s="444" t="s">
        <v>38</v>
      </c>
      <c r="I9" s="445" t="s">
        <v>3306</v>
      </c>
      <c r="J9" s="446" t="s">
        <v>2174</v>
      </c>
      <c r="K9" s="447"/>
      <c r="L9" s="448"/>
      <c r="M9" s="448"/>
      <c r="N9" s="449">
        <v>26235.3138666667</v>
      </c>
      <c r="O9" s="432">
        <v>1.56631825383226</v>
      </c>
      <c r="P9" s="429"/>
    </row>
    <row r="10" spans="1:16" ht="13.5" customHeight="1" outlineLevel="2" x14ac:dyDescent="0.2">
      <c r="A10" s="233">
        <v>0</v>
      </c>
      <c r="B10" s="233">
        <v>1</v>
      </c>
      <c r="C10" s="233">
        <v>1</v>
      </c>
      <c r="D10" s="234">
        <v>1</v>
      </c>
      <c r="E10" s="234">
        <v>0</v>
      </c>
      <c r="G10" s="450"/>
      <c r="H10" s="451" t="s">
        <v>1237</v>
      </c>
      <c r="I10" s="452" t="s">
        <v>3307</v>
      </c>
      <c r="J10" s="453" t="s">
        <v>2185</v>
      </c>
      <c r="K10" s="454"/>
      <c r="L10" s="455"/>
      <c r="M10" s="455"/>
      <c r="N10" s="456">
        <v>26235.3138666667</v>
      </c>
      <c r="O10" s="457">
        <v>1.56631825383226</v>
      </c>
      <c r="P10" s="430"/>
    </row>
    <row r="11" spans="1:16" ht="13.5" customHeight="1" outlineLevel="3" x14ac:dyDescent="0.2">
      <c r="A11" s="233">
        <v>0</v>
      </c>
      <c r="B11" s="233">
        <v>1</v>
      </c>
      <c r="C11" s="233">
        <v>1</v>
      </c>
      <c r="D11" s="234">
        <v>1</v>
      </c>
      <c r="E11" s="234">
        <v>1</v>
      </c>
      <c r="G11" s="458" t="s">
        <v>40</v>
      </c>
      <c r="H11" s="459" t="s">
        <v>1238</v>
      </c>
      <c r="I11" s="460" t="s">
        <v>3308</v>
      </c>
      <c r="J11" s="461" t="s">
        <v>109</v>
      </c>
      <c r="K11" s="462" t="s">
        <v>641</v>
      </c>
      <c r="L11" s="463"/>
      <c r="M11" s="463"/>
      <c r="N11" s="464">
        <v>26235.3138666667</v>
      </c>
      <c r="O11" s="465"/>
      <c r="P11" s="431" t="s">
        <v>6711</v>
      </c>
    </row>
    <row r="12" spans="1:16" ht="13.5" customHeight="1" outlineLevel="1" x14ac:dyDescent="0.2">
      <c r="A12" s="233">
        <v>0</v>
      </c>
      <c r="B12" s="233">
        <v>1</v>
      </c>
      <c r="C12" s="233">
        <v>2</v>
      </c>
      <c r="D12" s="234">
        <v>0</v>
      </c>
      <c r="E12" s="234">
        <v>1</v>
      </c>
      <c r="G12" s="443"/>
      <c r="H12" s="444" t="s">
        <v>38</v>
      </c>
      <c r="I12" s="445" t="s">
        <v>3309</v>
      </c>
      <c r="J12" s="466" t="s">
        <v>2003</v>
      </c>
      <c r="K12" s="467"/>
      <c r="L12" s="448"/>
      <c r="M12" s="448"/>
      <c r="N12" s="449"/>
      <c r="O12" s="432"/>
      <c r="P12" s="429"/>
    </row>
    <row r="13" spans="1:16" ht="13.5" customHeight="1" outlineLevel="2" x14ac:dyDescent="0.2">
      <c r="A13" s="233">
        <v>0</v>
      </c>
      <c r="B13" s="233">
        <v>1</v>
      </c>
      <c r="C13" s="233">
        <v>2</v>
      </c>
      <c r="D13" s="234">
        <v>1</v>
      </c>
      <c r="E13" s="234">
        <v>0</v>
      </c>
      <c r="G13" s="450"/>
      <c r="H13" s="451" t="s">
        <v>1237</v>
      </c>
      <c r="I13" s="452" t="s">
        <v>3310</v>
      </c>
      <c r="J13" s="468" t="s">
        <v>2866</v>
      </c>
      <c r="K13" s="469"/>
      <c r="L13" s="455"/>
      <c r="M13" s="455"/>
      <c r="N13" s="456"/>
      <c r="O13" s="457"/>
      <c r="P13" s="430"/>
    </row>
    <row r="14" spans="1:16" ht="13.5" customHeight="1" outlineLevel="3" x14ac:dyDescent="0.2">
      <c r="A14" s="233">
        <v>0</v>
      </c>
      <c r="B14" s="233">
        <v>1</v>
      </c>
      <c r="C14" s="233">
        <v>2</v>
      </c>
      <c r="D14" s="234">
        <v>1</v>
      </c>
      <c r="E14" s="234">
        <v>1</v>
      </c>
      <c r="G14" s="458" t="s">
        <v>40</v>
      </c>
      <c r="H14" s="459" t="s">
        <v>1238</v>
      </c>
      <c r="I14" s="460" t="s">
        <v>3311</v>
      </c>
      <c r="J14" s="470" t="s">
        <v>2004</v>
      </c>
      <c r="K14" s="471" t="s">
        <v>641</v>
      </c>
      <c r="L14" s="463"/>
      <c r="M14" s="463"/>
      <c r="N14" s="464"/>
      <c r="O14" s="471"/>
      <c r="P14" s="431" t="s">
        <v>6711</v>
      </c>
    </row>
    <row r="15" spans="1:16" ht="13.5" customHeight="1" outlineLevel="3" x14ac:dyDescent="0.2">
      <c r="A15" s="233">
        <v>0</v>
      </c>
      <c r="B15" s="233">
        <v>1</v>
      </c>
      <c r="C15" s="233">
        <v>2</v>
      </c>
      <c r="D15" s="234">
        <v>1</v>
      </c>
      <c r="E15" s="234">
        <v>2</v>
      </c>
      <c r="G15" s="458" t="s">
        <v>40</v>
      </c>
      <c r="H15" s="459" t="s">
        <v>1238</v>
      </c>
      <c r="I15" s="460" t="s">
        <v>3312</v>
      </c>
      <c r="J15" s="470" t="s">
        <v>1972</v>
      </c>
      <c r="K15" s="471"/>
      <c r="L15" s="463"/>
      <c r="M15" s="463"/>
      <c r="N15" s="464"/>
      <c r="O15" s="471"/>
      <c r="P15" s="431" t="s">
        <v>6711</v>
      </c>
    </row>
    <row r="16" spans="1:16" ht="13.5" customHeight="1" outlineLevel="2" x14ac:dyDescent="0.2">
      <c r="A16" s="233">
        <v>0</v>
      </c>
      <c r="B16" s="233">
        <v>1</v>
      </c>
      <c r="C16" s="233">
        <v>2</v>
      </c>
      <c r="D16" s="234">
        <v>2</v>
      </c>
      <c r="E16" s="234">
        <v>0</v>
      </c>
      <c r="G16" s="450"/>
      <c r="H16" s="451" t="s">
        <v>1237</v>
      </c>
      <c r="I16" s="452" t="s">
        <v>3313</v>
      </c>
      <c r="J16" s="468" t="s">
        <v>2867</v>
      </c>
      <c r="K16" s="469"/>
      <c r="L16" s="472"/>
      <c r="M16" s="472"/>
      <c r="N16" s="456"/>
      <c r="O16" s="457"/>
      <c r="P16" s="430"/>
    </row>
    <row r="17" spans="1:16" ht="13.5" customHeight="1" outlineLevel="3" x14ac:dyDescent="0.2">
      <c r="A17" s="233">
        <v>0</v>
      </c>
      <c r="B17" s="233">
        <v>1</v>
      </c>
      <c r="C17" s="233">
        <v>2</v>
      </c>
      <c r="D17" s="234">
        <v>2</v>
      </c>
      <c r="E17" s="234">
        <v>1</v>
      </c>
      <c r="G17" s="458" t="s">
        <v>40</v>
      </c>
      <c r="H17" s="459" t="s">
        <v>1238</v>
      </c>
      <c r="I17" s="460" t="s">
        <v>3314</v>
      </c>
      <c r="J17" s="470" t="s">
        <v>2867</v>
      </c>
      <c r="K17" s="471" t="s">
        <v>1129</v>
      </c>
      <c r="L17" s="471"/>
      <c r="M17" s="471"/>
      <c r="N17" s="464"/>
      <c r="O17" s="471"/>
      <c r="P17" s="431" t="s">
        <v>6711</v>
      </c>
    </row>
    <row r="18" spans="1:16" ht="13.5" customHeight="1" outlineLevel="1" x14ac:dyDescent="0.2">
      <c r="A18" s="233">
        <v>0</v>
      </c>
      <c r="B18" s="233">
        <v>1</v>
      </c>
      <c r="C18" s="233">
        <v>3</v>
      </c>
      <c r="D18" s="234">
        <v>0</v>
      </c>
      <c r="E18" s="234">
        <v>1</v>
      </c>
      <c r="G18" s="473"/>
      <c r="H18" s="444" t="s">
        <v>38</v>
      </c>
      <c r="I18" s="445" t="s">
        <v>3315</v>
      </c>
      <c r="J18" s="446" t="s">
        <v>2175</v>
      </c>
      <c r="K18" s="447"/>
      <c r="L18" s="448"/>
      <c r="M18" s="448"/>
      <c r="N18" s="449">
        <v>271126.18986759399</v>
      </c>
      <c r="O18" s="432">
        <v>16.186957108264998</v>
      </c>
      <c r="P18" s="429"/>
    </row>
    <row r="19" spans="1:16" ht="13.5" customHeight="1" outlineLevel="2" x14ac:dyDescent="0.2">
      <c r="A19" s="233">
        <v>0</v>
      </c>
      <c r="B19" s="233">
        <v>1</v>
      </c>
      <c r="C19" s="233">
        <v>3</v>
      </c>
      <c r="D19" s="234">
        <v>1</v>
      </c>
      <c r="E19" s="234">
        <v>0</v>
      </c>
      <c r="G19" s="474"/>
      <c r="H19" s="451" t="s">
        <v>1237</v>
      </c>
      <c r="I19" s="452" t="s">
        <v>3316</v>
      </c>
      <c r="J19" s="453" t="s">
        <v>2802</v>
      </c>
      <c r="K19" s="454"/>
      <c r="L19" s="455"/>
      <c r="M19" s="455"/>
      <c r="N19" s="456">
        <v>271126.18986759399</v>
      </c>
      <c r="O19" s="457">
        <v>16.186957108264998</v>
      </c>
      <c r="P19" s="430"/>
    </row>
    <row r="20" spans="1:16" ht="13.5" customHeight="1" outlineLevel="3" x14ac:dyDescent="0.2">
      <c r="A20" s="233">
        <v>0</v>
      </c>
      <c r="B20" s="233">
        <v>1</v>
      </c>
      <c r="C20" s="233">
        <v>3</v>
      </c>
      <c r="D20" s="234">
        <v>1</v>
      </c>
      <c r="E20" s="234">
        <v>1</v>
      </c>
      <c r="G20" s="458" t="s">
        <v>40</v>
      </c>
      <c r="H20" s="459" t="s">
        <v>1238</v>
      </c>
      <c r="I20" s="460" t="s">
        <v>3317</v>
      </c>
      <c r="J20" s="461" t="s">
        <v>6710</v>
      </c>
      <c r="K20" s="462" t="s">
        <v>1129</v>
      </c>
      <c r="L20" s="463"/>
      <c r="M20" s="463"/>
      <c r="N20" s="464">
        <v>233000</v>
      </c>
      <c r="O20" s="471"/>
      <c r="P20" s="431" t="s">
        <v>6711</v>
      </c>
    </row>
    <row r="21" spans="1:16" ht="13.5" customHeight="1" outlineLevel="1" x14ac:dyDescent="0.2">
      <c r="A21" s="233">
        <v>0</v>
      </c>
      <c r="B21" s="233">
        <v>1</v>
      </c>
      <c r="C21" s="233">
        <v>4</v>
      </c>
      <c r="D21" s="234">
        <v>0</v>
      </c>
      <c r="E21" s="234">
        <v>2</v>
      </c>
      <c r="G21" s="443"/>
      <c r="H21" s="444" t="s">
        <v>38</v>
      </c>
      <c r="I21" s="445" t="s">
        <v>3318</v>
      </c>
      <c r="J21" s="446" t="s">
        <v>2804</v>
      </c>
      <c r="K21" s="447"/>
      <c r="L21" s="448"/>
      <c r="M21" s="448"/>
      <c r="N21" s="449">
        <v>80000</v>
      </c>
      <c r="O21" s="432">
        <v>4.77621350151973</v>
      </c>
      <c r="P21" s="432"/>
    </row>
    <row r="22" spans="1:16" ht="13.5" customHeight="1" outlineLevel="2" x14ac:dyDescent="0.2">
      <c r="A22" s="233">
        <v>0</v>
      </c>
      <c r="B22" s="233">
        <v>1</v>
      </c>
      <c r="C22" s="233">
        <v>4</v>
      </c>
      <c r="D22" s="234">
        <v>1</v>
      </c>
      <c r="E22" s="234">
        <v>0</v>
      </c>
      <c r="G22" s="474"/>
      <c r="H22" s="451" t="s">
        <v>1237</v>
      </c>
      <c r="I22" s="452" t="s">
        <v>3319</v>
      </c>
      <c r="J22" s="453" t="s">
        <v>2186</v>
      </c>
      <c r="K22" s="454"/>
      <c r="L22" s="455"/>
      <c r="M22" s="455"/>
      <c r="N22" s="456">
        <v>80000</v>
      </c>
      <c r="O22" s="457">
        <v>4.77621350151973</v>
      </c>
      <c r="P22" s="430"/>
    </row>
    <row r="23" spans="1:16" ht="13.5" customHeight="1" outlineLevel="3" x14ac:dyDescent="0.2">
      <c r="A23" s="233">
        <v>0</v>
      </c>
      <c r="B23" s="233">
        <v>1</v>
      </c>
      <c r="C23" s="233">
        <v>4</v>
      </c>
      <c r="D23" s="234">
        <v>1</v>
      </c>
      <c r="E23" s="234">
        <v>1</v>
      </c>
      <c r="G23" s="458" t="s">
        <v>40</v>
      </c>
      <c r="H23" s="459" t="s">
        <v>1238</v>
      </c>
      <c r="I23" s="460" t="s">
        <v>3320</v>
      </c>
      <c r="J23" s="461" t="s">
        <v>143</v>
      </c>
      <c r="K23" s="462" t="s">
        <v>1129</v>
      </c>
      <c r="L23" s="463"/>
      <c r="M23" s="463"/>
      <c r="N23" s="464">
        <v>80000</v>
      </c>
      <c r="O23" s="471"/>
      <c r="P23" s="431" t="s">
        <v>6711</v>
      </c>
    </row>
    <row r="24" spans="1:16" ht="13.5" customHeight="1" collapsed="1" x14ac:dyDescent="0.2">
      <c r="A24" s="233">
        <v>0</v>
      </c>
      <c r="B24" s="233">
        <v>2</v>
      </c>
      <c r="C24" s="233">
        <v>0</v>
      </c>
      <c r="D24" s="234">
        <v>1</v>
      </c>
      <c r="E24" s="234">
        <v>1</v>
      </c>
      <c r="F24" s="237"/>
      <c r="G24" s="436"/>
      <c r="H24" s="437" t="s">
        <v>1236</v>
      </c>
      <c r="I24" s="438" t="s">
        <v>3321</v>
      </c>
      <c r="J24" s="439" t="s">
        <v>1618</v>
      </c>
      <c r="K24" s="440"/>
      <c r="L24" s="441"/>
      <c r="M24" s="441"/>
      <c r="N24" s="442">
        <v>772006.62631222699</v>
      </c>
      <c r="O24" s="433">
        <v>46.090855898189503</v>
      </c>
      <c r="P24" s="433"/>
    </row>
    <row r="25" spans="1:16" ht="13.5" hidden="1" customHeight="1" outlineLevel="1" x14ac:dyDescent="0.2">
      <c r="A25" s="233">
        <v>0</v>
      </c>
      <c r="B25" s="233">
        <v>2</v>
      </c>
      <c r="C25" s="233">
        <v>1</v>
      </c>
      <c r="D25" s="234">
        <v>0</v>
      </c>
      <c r="E25" s="234">
        <v>1</v>
      </c>
      <c r="G25" s="443"/>
      <c r="H25" s="444" t="s">
        <v>38</v>
      </c>
      <c r="I25" s="445" t="s">
        <v>3322</v>
      </c>
      <c r="J25" s="446" t="s">
        <v>2176</v>
      </c>
      <c r="K25" s="447"/>
      <c r="L25" s="448"/>
      <c r="M25" s="448"/>
      <c r="N25" s="449">
        <v>18739.388998006099</v>
      </c>
      <c r="O25" s="432">
        <v>1.1187915342813399</v>
      </c>
      <c r="P25" s="429"/>
    </row>
    <row r="26" spans="1:16" ht="13.5" hidden="1" customHeight="1" outlineLevel="2" x14ac:dyDescent="0.2">
      <c r="A26" s="233">
        <v>0</v>
      </c>
      <c r="B26" s="233">
        <v>2</v>
      </c>
      <c r="C26" s="233">
        <v>1</v>
      </c>
      <c r="D26" s="234">
        <v>1</v>
      </c>
      <c r="E26" s="234">
        <v>0</v>
      </c>
      <c r="G26" s="450"/>
      <c r="H26" s="451" t="s">
        <v>1237</v>
      </c>
      <c r="I26" s="452" t="s">
        <v>3323</v>
      </c>
      <c r="J26" s="453" t="s">
        <v>15</v>
      </c>
      <c r="K26" s="454"/>
      <c r="L26" s="455"/>
      <c r="M26" s="455"/>
      <c r="N26" s="456">
        <v>6673.94364470857</v>
      </c>
      <c r="O26" s="457">
        <v>0.39845224680298602</v>
      </c>
      <c r="P26" s="430"/>
    </row>
    <row r="27" spans="1:16" ht="13.5" hidden="1" customHeight="1" outlineLevel="3" x14ac:dyDescent="0.2">
      <c r="A27" s="233">
        <v>0</v>
      </c>
      <c r="B27" s="233">
        <v>2</v>
      </c>
      <c r="C27" s="233">
        <v>1</v>
      </c>
      <c r="D27" s="234">
        <v>1</v>
      </c>
      <c r="E27" s="234">
        <v>1</v>
      </c>
      <c r="G27" s="458" t="s">
        <v>1618</v>
      </c>
      <c r="H27" s="459" t="s">
        <v>1238</v>
      </c>
      <c r="I27" s="460" t="s">
        <v>3324</v>
      </c>
      <c r="J27" s="461" t="s">
        <v>230</v>
      </c>
      <c r="K27" s="462" t="s">
        <v>641</v>
      </c>
      <c r="L27" s="463">
        <v>111.31359999999998</v>
      </c>
      <c r="M27" s="463">
        <v>59.956228571428568</v>
      </c>
      <c r="N27" s="464">
        <v>6673.94364470857</v>
      </c>
      <c r="O27" s="465"/>
      <c r="P27" s="431" t="s">
        <v>6711</v>
      </c>
    </row>
    <row r="28" spans="1:16" ht="13.5" hidden="1" customHeight="1" outlineLevel="2" x14ac:dyDescent="0.2">
      <c r="A28" s="233">
        <v>0</v>
      </c>
      <c r="B28" s="233">
        <v>2</v>
      </c>
      <c r="C28" s="233">
        <v>1</v>
      </c>
      <c r="D28" s="234">
        <v>2</v>
      </c>
      <c r="E28" s="234">
        <v>0</v>
      </c>
      <c r="G28" s="450"/>
      <c r="H28" s="451" t="s">
        <v>1237</v>
      </c>
      <c r="I28" s="452" t="s">
        <v>3325</v>
      </c>
      <c r="J28" s="453" t="s">
        <v>12</v>
      </c>
      <c r="K28" s="454"/>
      <c r="L28" s="455"/>
      <c r="M28" s="455"/>
      <c r="N28" s="456">
        <v>4318.73060538557</v>
      </c>
      <c r="O28" s="457">
        <v>0.25783974283586297</v>
      </c>
      <c r="P28" s="430"/>
    </row>
    <row r="29" spans="1:16" ht="13.5" hidden="1" customHeight="1" outlineLevel="3" x14ac:dyDescent="0.2">
      <c r="A29" s="233">
        <v>0</v>
      </c>
      <c r="B29" s="233">
        <v>2</v>
      </c>
      <c r="C29" s="233">
        <v>1</v>
      </c>
      <c r="D29" s="234">
        <v>2</v>
      </c>
      <c r="E29" s="234">
        <v>1</v>
      </c>
      <c r="G29" s="458" t="s">
        <v>1618</v>
      </c>
      <c r="H29" s="459" t="s">
        <v>1238</v>
      </c>
      <c r="I29" s="460" t="s">
        <v>3326</v>
      </c>
      <c r="J29" s="461" t="s">
        <v>262</v>
      </c>
      <c r="K29" s="462" t="s">
        <v>533</v>
      </c>
      <c r="L29" s="463">
        <v>670.31999999999982</v>
      </c>
      <c r="M29" s="463">
        <v>6.0795673937956973</v>
      </c>
      <c r="N29" s="464">
        <v>4075.2556154091299</v>
      </c>
      <c r="O29" s="465"/>
      <c r="P29" s="431" t="s">
        <v>6711</v>
      </c>
    </row>
    <row r="30" spans="1:16" ht="13.15" hidden="1" customHeight="1" outlineLevel="3" x14ac:dyDescent="0.2">
      <c r="A30" s="233">
        <v>0</v>
      </c>
      <c r="B30" s="233">
        <v>2</v>
      </c>
      <c r="C30" s="233">
        <v>1</v>
      </c>
      <c r="D30" s="234">
        <v>2</v>
      </c>
      <c r="E30" s="234">
        <v>2</v>
      </c>
      <c r="G30" s="458" t="s">
        <v>1618</v>
      </c>
      <c r="H30" s="459" t="s">
        <v>1238</v>
      </c>
      <c r="I30" s="460" t="s">
        <v>3327</v>
      </c>
      <c r="J30" s="461" t="s">
        <v>265</v>
      </c>
      <c r="K30" s="462" t="s">
        <v>533</v>
      </c>
      <c r="L30" s="463">
        <v>41.601600000000005</v>
      </c>
      <c r="M30" s="463">
        <v>5.8525390844687308</v>
      </c>
      <c r="N30" s="464">
        <v>243.47498997643399</v>
      </c>
      <c r="O30" s="465"/>
      <c r="P30" s="431" t="s">
        <v>6711</v>
      </c>
    </row>
    <row r="31" spans="1:16" ht="13.5" hidden="1" customHeight="1" outlineLevel="2" x14ac:dyDescent="0.2">
      <c r="A31" s="233">
        <v>0</v>
      </c>
      <c r="B31" s="233">
        <v>2</v>
      </c>
      <c r="C31" s="233">
        <v>1</v>
      </c>
      <c r="D31" s="234">
        <v>3</v>
      </c>
      <c r="E31" s="234">
        <v>0</v>
      </c>
      <c r="G31" s="450"/>
      <c r="H31" s="451" t="s">
        <v>1237</v>
      </c>
      <c r="I31" s="452" t="s">
        <v>3328</v>
      </c>
      <c r="J31" s="453" t="s">
        <v>13</v>
      </c>
      <c r="K31" s="454"/>
      <c r="L31" s="455"/>
      <c r="M31" s="455"/>
      <c r="N31" s="456">
        <v>7746.7147479120003</v>
      </c>
      <c r="O31" s="457">
        <v>0.46249954464249099</v>
      </c>
      <c r="P31" s="430"/>
    </row>
    <row r="32" spans="1:16" ht="13.5" hidden="1" customHeight="1" outlineLevel="3" x14ac:dyDescent="0.2">
      <c r="A32" s="233">
        <v>0</v>
      </c>
      <c r="B32" s="233">
        <v>2</v>
      </c>
      <c r="C32" s="233">
        <v>1</v>
      </c>
      <c r="D32" s="234">
        <v>3</v>
      </c>
      <c r="E32" s="234">
        <v>1</v>
      </c>
      <c r="G32" s="458" t="s">
        <v>1618</v>
      </c>
      <c r="H32" s="459" t="s">
        <v>1238</v>
      </c>
      <c r="I32" s="460" t="s">
        <v>3329</v>
      </c>
      <c r="J32" s="461" t="s">
        <v>253</v>
      </c>
      <c r="K32" s="462" t="s">
        <v>1246</v>
      </c>
      <c r="L32" s="463">
        <v>11.390452</v>
      </c>
      <c r="M32" s="463">
        <v>680.10600000000011</v>
      </c>
      <c r="N32" s="464">
        <v>7746.7147479120003</v>
      </c>
      <c r="O32" s="465"/>
      <c r="P32" s="431" t="s">
        <v>6711</v>
      </c>
    </row>
    <row r="33" spans="1:16" ht="13.5" hidden="1" customHeight="1" outlineLevel="1" x14ac:dyDescent="0.2">
      <c r="A33" s="233">
        <v>0</v>
      </c>
      <c r="B33" s="233">
        <v>2</v>
      </c>
      <c r="C33" s="233">
        <v>2</v>
      </c>
      <c r="D33" s="234">
        <v>0</v>
      </c>
      <c r="E33" s="234">
        <v>1</v>
      </c>
      <c r="G33" s="443"/>
      <c r="H33" s="444" t="s">
        <v>38</v>
      </c>
      <c r="I33" s="445" t="s">
        <v>3330</v>
      </c>
      <c r="J33" s="446" t="s">
        <v>2177</v>
      </c>
      <c r="K33" s="447"/>
      <c r="L33" s="448"/>
      <c r="M33" s="448"/>
      <c r="N33" s="449">
        <v>331865.22625000001</v>
      </c>
      <c r="O33" s="432">
        <v>19.813239678751899</v>
      </c>
      <c r="P33" s="429"/>
    </row>
    <row r="34" spans="1:16" ht="13.5" hidden="1" customHeight="1" outlineLevel="2" x14ac:dyDescent="0.2">
      <c r="A34" s="233">
        <v>0</v>
      </c>
      <c r="B34" s="233">
        <v>2</v>
      </c>
      <c r="C34" s="233">
        <v>2</v>
      </c>
      <c r="D34" s="234">
        <v>1</v>
      </c>
      <c r="E34" s="234">
        <v>0</v>
      </c>
      <c r="G34" s="450"/>
      <c r="H34" s="451" t="s">
        <v>1237</v>
      </c>
      <c r="I34" s="452" t="s">
        <v>3331</v>
      </c>
      <c r="J34" s="453" t="s">
        <v>12</v>
      </c>
      <c r="K34" s="454"/>
      <c r="L34" s="455"/>
      <c r="M34" s="455"/>
      <c r="N34" s="456">
        <v>155967.96625</v>
      </c>
      <c r="O34" s="457">
        <v>9.3117038275977997</v>
      </c>
      <c r="P34" s="430"/>
    </row>
    <row r="35" spans="1:16" ht="13.5" hidden="1" customHeight="1" outlineLevel="3" x14ac:dyDescent="0.2">
      <c r="A35" s="233">
        <v>0</v>
      </c>
      <c r="B35" s="233">
        <v>2</v>
      </c>
      <c r="C35" s="233">
        <v>2</v>
      </c>
      <c r="D35" s="234">
        <v>1</v>
      </c>
      <c r="E35" s="234">
        <v>1</v>
      </c>
      <c r="G35" s="458" t="s">
        <v>1618</v>
      </c>
      <c r="H35" s="459" t="s">
        <v>1238</v>
      </c>
      <c r="I35" s="460" t="s">
        <v>3332</v>
      </c>
      <c r="J35" s="461" t="s">
        <v>2805</v>
      </c>
      <c r="K35" s="462" t="s">
        <v>533</v>
      </c>
      <c r="L35" s="463">
        <v>2282</v>
      </c>
      <c r="M35" s="463">
        <v>8.9641450000000003</v>
      </c>
      <c r="N35" s="464">
        <v>20456.178889999999</v>
      </c>
      <c r="O35" s="465"/>
      <c r="P35" s="431" t="s">
        <v>6711</v>
      </c>
    </row>
    <row r="36" spans="1:16" ht="12.75" hidden="1" outlineLevel="3" x14ac:dyDescent="0.2">
      <c r="A36" s="233">
        <v>0</v>
      </c>
      <c r="B36" s="233">
        <v>2</v>
      </c>
      <c r="C36" s="233">
        <v>2</v>
      </c>
      <c r="D36" s="234">
        <v>1</v>
      </c>
      <c r="E36" s="234">
        <v>2</v>
      </c>
      <c r="G36" s="458" t="s">
        <v>1618</v>
      </c>
      <c r="H36" s="459" t="s">
        <v>1238</v>
      </c>
      <c r="I36" s="460" t="s">
        <v>3333</v>
      </c>
      <c r="J36" s="461" t="s">
        <v>2806</v>
      </c>
      <c r="K36" s="462" t="s">
        <v>533</v>
      </c>
      <c r="L36" s="463">
        <v>77</v>
      </c>
      <c r="M36" s="463">
        <v>8.9641450000000003</v>
      </c>
      <c r="N36" s="464">
        <v>690.23916499999996</v>
      </c>
      <c r="O36" s="465"/>
      <c r="P36" s="431" t="s">
        <v>6711</v>
      </c>
    </row>
    <row r="37" spans="1:16" ht="13.5" hidden="1" customHeight="1" outlineLevel="3" x14ac:dyDescent="0.2">
      <c r="A37" s="233">
        <v>0</v>
      </c>
      <c r="B37" s="233">
        <v>2</v>
      </c>
      <c r="C37" s="233">
        <v>2</v>
      </c>
      <c r="D37" s="234">
        <v>1</v>
      </c>
      <c r="E37" s="234">
        <v>3</v>
      </c>
      <c r="G37" s="458" t="s">
        <v>1618</v>
      </c>
      <c r="H37" s="459" t="s">
        <v>1238</v>
      </c>
      <c r="I37" s="460" t="s">
        <v>3334</v>
      </c>
      <c r="J37" s="461" t="s">
        <v>2807</v>
      </c>
      <c r="K37" s="462" t="s">
        <v>533</v>
      </c>
      <c r="L37" s="463">
        <v>3884</v>
      </c>
      <c r="M37" s="463">
        <v>8.4841449999999998</v>
      </c>
      <c r="N37" s="464">
        <v>32952.419179999997</v>
      </c>
      <c r="O37" s="465"/>
      <c r="P37" s="431" t="s">
        <v>6711</v>
      </c>
    </row>
    <row r="38" spans="1:16" ht="13.5" hidden="1" customHeight="1" outlineLevel="3" x14ac:dyDescent="0.2">
      <c r="A38" s="233">
        <v>0</v>
      </c>
      <c r="B38" s="233">
        <v>2</v>
      </c>
      <c r="C38" s="233">
        <v>2</v>
      </c>
      <c r="D38" s="234">
        <v>1</v>
      </c>
      <c r="E38" s="234">
        <v>4</v>
      </c>
      <c r="G38" s="458" t="s">
        <v>1618</v>
      </c>
      <c r="H38" s="459" t="s">
        <v>1238</v>
      </c>
      <c r="I38" s="460" t="s">
        <v>3335</v>
      </c>
      <c r="J38" s="461" t="s">
        <v>2808</v>
      </c>
      <c r="K38" s="462" t="s">
        <v>533</v>
      </c>
      <c r="L38" s="463">
        <v>12007</v>
      </c>
      <c r="M38" s="463">
        <v>8.4841449999999998</v>
      </c>
      <c r="N38" s="464">
        <v>101869.129015</v>
      </c>
      <c r="O38" s="465"/>
      <c r="P38" s="431" t="s">
        <v>6711</v>
      </c>
    </row>
    <row r="39" spans="1:16" ht="13.5" hidden="1" customHeight="1" outlineLevel="2" x14ac:dyDescent="0.2">
      <c r="A39" s="233">
        <v>0</v>
      </c>
      <c r="B39" s="233">
        <v>2</v>
      </c>
      <c r="C39" s="233">
        <v>2</v>
      </c>
      <c r="D39" s="234">
        <v>2</v>
      </c>
      <c r="E39" s="234">
        <v>0</v>
      </c>
      <c r="G39" s="450"/>
      <c r="H39" s="451" t="s">
        <v>1237</v>
      </c>
      <c r="I39" s="452" t="s">
        <v>3336</v>
      </c>
      <c r="J39" s="453" t="s">
        <v>13</v>
      </c>
      <c r="K39" s="454"/>
      <c r="L39" s="455"/>
      <c r="M39" s="455"/>
      <c r="N39" s="456">
        <v>175897.26</v>
      </c>
      <c r="O39" s="457">
        <v>10.501535851154101</v>
      </c>
      <c r="P39" s="430"/>
    </row>
    <row r="40" spans="1:16" ht="13.5" hidden="1" customHeight="1" outlineLevel="3" x14ac:dyDescent="0.2">
      <c r="A40" s="233">
        <v>0</v>
      </c>
      <c r="B40" s="233">
        <v>2</v>
      </c>
      <c r="C40" s="233">
        <v>2</v>
      </c>
      <c r="D40" s="234">
        <v>2</v>
      </c>
      <c r="E40" s="234">
        <v>1</v>
      </c>
      <c r="G40" s="458" t="s">
        <v>1618</v>
      </c>
      <c r="H40" s="459" t="s">
        <v>1238</v>
      </c>
      <c r="I40" s="460" t="s">
        <v>3337</v>
      </c>
      <c r="J40" s="461" t="s">
        <v>2809</v>
      </c>
      <c r="K40" s="462" t="s">
        <v>1246</v>
      </c>
      <c r="L40" s="463">
        <v>210</v>
      </c>
      <c r="M40" s="463">
        <v>837.60600000000011</v>
      </c>
      <c r="N40" s="464">
        <v>175897.26</v>
      </c>
      <c r="O40" s="465"/>
      <c r="P40" s="431" t="s">
        <v>6711</v>
      </c>
    </row>
    <row r="41" spans="1:16" ht="13.5" hidden="1" customHeight="1" outlineLevel="1" x14ac:dyDescent="0.2">
      <c r="A41" s="233">
        <v>0</v>
      </c>
      <c r="B41" s="233">
        <v>2</v>
      </c>
      <c r="C41" s="233">
        <v>3</v>
      </c>
      <c r="D41" s="234">
        <v>0</v>
      </c>
      <c r="E41" s="234">
        <v>1</v>
      </c>
      <c r="G41" s="443"/>
      <c r="H41" s="444" t="s">
        <v>38</v>
      </c>
      <c r="I41" s="445" t="s">
        <v>3338</v>
      </c>
      <c r="J41" s="446" t="s">
        <v>2187</v>
      </c>
      <c r="K41" s="447"/>
      <c r="L41" s="448"/>
      <c r="M41" s="448"/>
      <c r="N41" s="449">
        <v>37645.991064220798</v>
      </c>
      <c r="O41" s="432">
        <v>2.24756613498778</v>
      </c>
      <c r="P41" s="429"/>
    </row>
    <row r="42" spans="1:16" ht="13.5" hidden="1" customHeight="1" outlineLevel="2" x14ac:dyDescent="0.2">
      <c r="A42" s="233">
        <v>0</v>
      </c>
      <c r="B42" s="233">
        <v>2</v>
      </c>
      <c r="C42" s="233">
        <v>3</v>
      </c>
      <c r="D42" s="234">
        <v>1</v>
      </c>
      <c r="E42" s="234">
        <v>0</v>
      </c>
      <c r="G42" s="450"/>
      <c r="H42" s="451" t="s">
        <v>1237</v>
      </c>
      <c r="I42" s="452" t="s">
        <v>3339</v>
      </c>
      <c r="J42" s="453" t="s">
        <v>15</v>
      </c>
      <c r="K42" s="454"/>
      <c r="L42" s="455"/>
      <c r="M42" s="455"/>
      <c r="N42" s="456">
        <v>2482.1878628571399</v>
      </c>
      <c r="O42" s="457">
        <v>0.14819323979858401</v>
      </c>
      <c r="P42" s="430"/>
    </row>
    <row r="43" spans="1:16" ht="13.5" hidden="1" customHeight="1" outlineLevel="3" x14ac:dyDescent="0.2">
      <c r="A43" s="233">
        <v>0</v>
      </c>
      <c r="B43" s="233">
        <v>2</v>
      </c>
      <c r="C43" s="233">
        <v>3</v>
      </c>
      <c r="D43" s="234">
        <v>1</v>
      </c>
      <c r="E43" s="234">
        <v>1</v>
      </c>
      <c r="G43" s="458" t="s">
        <v>1618</v>
      </c>
      <c r="H43" s="459" t="s">
        <v>1238</v>
      </c>
      <c r="I43" s="460" t="s">
        <v>3340</v>
      </c>
      <c r="J43" s="461" t="s">
        <v>230</v>
      </c>
      <c r="K43" s="462" t="s">
        <v>641</v>
      </c>
      <c r="L43" s="463">
        <v>41.400000000000006</v>
      </c>
      <c r="M43" s="463">
        <v>59.956228571428568</v>
      </c>
      <c r="N43" s="464">
        <v>2482.1878628571399</v>
      </c>
      <c r="O43" s="465"/>
      <c r="P43" s="431" t="s">
        <v>6711</v>
      </c>
    </row>
    <row r="44" spans="1:16" ht="13.5" hidden="1" customHeight="1" outlineLevel="2" x14ac:dyDescent="0.2">
      <c r="A44" s="233">
        <v>0</v>
      </c>
      <c r="B44" s="233">
        <v>2</v>
      </c>
      <c r="C44" s="233">
        <v>3</v>
      </c>
      <c r="D44" s="234">
        <v>2</v>
      </c>
      <c r="E44" s="234">
        <v>0</v>
      </c>
      <c r="G44" s="450"/>
      <c r="H44" s="451" t="s">
        <v>1237</v>
      </c>
      <c r="I44" s="452" t="s">
        <v>3341</v>
      </c>
      <c r="J44" s="453" t="s">
        <v>12</v>
      </c>
      <c r="K44" s="454"/>
      <c r="L44" s="455"/>
      <c r="M44" s="455"/>
      <c r="N44" s="456">
        <v>23057.9164013636</v>
      </c>
      <c r="O44" s="457">
        <v>1.3766191454138299</v>
      </c>
      <c r="P44" s="430"/>
    </row>
    <row r="45" spans="1:16" ht="13.5" hidden="1" customHeight="1" outlineLevel="3" x14ac:dyDescent="0.2">
      <c r="A45" s="233">
        <v>0</v>
      </c>
      <c r="B45" s="233">
        <v>2</v>
      </c>
      <c r="C45" s="233">
        <v>3</v>
      </c>
      <c r="D45" s="234">
        <v>2</v>
      </c>
      <c r="E45" s="234">
        <v>1</v>
      </c>
      <c r="G45" s="458" t="s">
        <v>1618</v>
      </c>
      <c r="H45" s="459" t="s">
        <v>1238</v>
      </c>
      <c r="I45" s="460" t="s">
        <v>3342</v>
      </c>
      <c r="J45" s="461" t="s">
        <v>2806</v>
      </c>
      <c r="K45" s="462" t="s">
        <v>1105</v>
      </c>
      <c r="L45" s="463">
        <v>913.36363636363626</v>
      </c>
      <c r="M45" s="463">
        <v>8.9641450000000003</v>
      </c>
      <c r="N45" s="464">
        <v>8187.5240740909103</v>
      </c>
      <c r="O45" s="465"/>
      <c r="P45" s="431" t="s">
        <v>6711</v>
      </c>
    </row>
    <row r="46" spans="1:16" ht="13.5" hidden="1" customHeight="1" outlineLevel="3" x14ac:dyDescent="0.2">
      <c r="A46" s="233">
        <v>0</v>
      </c>
      <c r="B46" s="233">
        <v>2</v>
      </c>
      <c r="C46" s="233">
        <v>3</v>
      </c>
      <c r="D46" s="234">
        <v>2</v>
      </c>
      <c r="E46" s="234">
        <v>2</v>
      </c>
      <c r="G46" s="458" t="s">
        <v>1618</v>
      </c>
      <c r="H46" s="459" t="s">
        <v>1238</v>
      </c>
      <c r="I46" s="460" t="s">
        <v>3343</v>
      </c>
      <c r="J46" s="461" t="s">
        <v>2807</v>
      </c>
      <c r="K46" s="462" t="s">
        <v>1105</v>
      </c>
      <c r="L46" s="463">
        <v>45.36363636363636</v>
      </c>
      <c r="M46" s="463">
        <v>8.4841449999999998</v>
      </c>
      <c r="N46" s="464">
        <v>384.87166863636401</v>
      </c>
      <c r="O46" s="465"/>
      <c r="P46" s="431" t="s">
        <v>6711</v>
      </c>
    </row>
    <row r="47" spans="1:16" ht="13.5" hidden="1" customHeight="1" outlineLevel="3" x14ac:dyDescent="0.2">
      <c r="A47" s="233">
        <v>0</v>
      </c>
      <c r="B47" s="233">
        <v>2</v>
      </c>
      <c r="C47" s="233">
        <v>3</v>
      </c>
      <c r="D47" s="234">
        <v>2</v>
      </c>
      <c r="E47" s="234">
        <v>3</v>
      </c>
      <c r="G47" s="458" t="s">
        <v>1618</v>
      </c>
      <c r="H47" s="459" t="s">
        <v>1238</v>
      </c>
      <c r="I47" s="460" t="s">
        <v>3344</v>
      </c>
      <c r="J47" s="461" t="s">
        <v>2965</v>
      </c>
      <c r="K47" s="462" t="s">
        <v>1105</v>
      </c>
      <c r="L47" s="463">
        <v>1277.2727272727273</v>
      </c>
      <c r="M47" s="463">
        <v>8.4841449999999998</v>
      </c>
      <c r="N47" s="464">
        <v>10836.5670227273</v>
      </c>
      <c r="O47" s="465"/>
      <c r="P47" s="431" t="s">
        <v>6711</v>
      </c>
    </row>
    <row r="48" spans="1:16" ht="13.5" hidden="1" customHeight="1" outlineLevel="3" x14ac:dyDescent="0.2">
      <c r="A48" s="233">
        <v>0</v>
      </c>
      <c r="B48" s="233">
        <v>2</v>
      </c>
      <c r="C48" s="233">
        <v>3</v>
      </c>
      <c r="D48" s="234">
        <v>2</v>
      </c>
      <c r="E48" s="234">
        <v>4</v>
      </c>
      <c r="G48" s="458" t="s">
        <v>1618</v>
      </c>
      <c r="H48" s="459" t="s">
        <v>1238</v>
      </c>
      <c r="I48" s="460" t="s">
        <v>3345</v>
      </c>
      <c r="J48" s="461" t="s">
        <v>2967</v>
      </c>
      <c r="K48" s="462" t="s">
        <v>1105</v>
      </c>
      <c r="L48" s="463">
        <v>430.09090909090907</v>
      </c>
      <c r="M48" s="463">
        <v>8.4841449999999998</v>
      </c>
      <c r="N48" s="464">
        <v>3648.9536359090898</v>
      </c>
      <c r="O48" s="465"/>
      <c r="P48" s="431" t="s">
        <v>6711</v>
      </c>
    </row>
    <row r="49" spans="1:16" ht="13.5" hidden="1" customHeight="1" outlineLevel="2" x14ac:dyDescent="0.2">
      <c r="A49" s="233">
        <v>0</v>
      </c>
      <c r="B49" s="233">
        <v>2</v>
      </c>
      <c r="C49" s="233">
        <v>3</v>
      </c>
      <c r="D49" s="234">
        <v>3</v>
      </c>
      <c r="E49" s="234">
        <v>0</v>
      </c>
      <c r="G49" s="450"/>
      <c r="H49" s="451" t="s">
        <v>1237</v>
      </c>
      <c r="I49" s="452" t="s">
        <v>3346</v>
      </c>
      <c r="J49" s="453" t="s">
        <v>13</v>
      </c>
      <c r="K49" s="454"/>
      <c r="L49" s="455"/>
      <c r="M49" s="455"/>
      <c r="N49" s="456">
        <v>12105.8868</v>
      </c>
      <c r="O49" s="457"/>
      <c r="P49" s="430"/>
    </row>
    <row r="50" spans="1:16" ht="13.5" hidden="1" customHeight="1" outlineLevel="3" x14ac:dyDescent="0.2">
      <c r="A50" s="233">
        <v>0</v>
      </c>
      <c r="B50" s="233">
        <v>2</v>
      </c>
      <c r="C50" s="233">
        <v>3</v>
      </c>
      <c r="D50" s="234">
        <v>3</v>
      </c>
      <c r="E50" s="234">
        <v>1</v>
      </c>
      <c r="G50" s="458" t="s">
        <v>1618</v>
      </c>
      <c r="H50" s="459" t="s">
        <v>1238</v>
      </c>
      <c r="I50" s="460" t="s">
        <v>3347</v>
      </c>
      <c r="J50" s="461" t="s">
        <v>253</v>
      </c>
      <c r="K50" s="462" t="s">
        <v>1246</v>
      </c>
      <c r="L50" s="463">
        <v>17.8</v>
      </c>
      <c r="M50" s="463">
        <v>680.10600000000011</v>
      </c>
      <c r="N50" s="464">
        <v>12105.8868</v>
      </c>
      <c r="O50" s="465"/>
      <c r="P50" s="431" t="s">
        <v>6711</v>
      </c>
    </row>
    <row r="51" spans="1:16" ht="13.5" hidden="1" customHeight="1" outlineLevel="1" x14ac:dyDescent="0.2">
      <c r="A51" s="233">
        <v>0</v>
      </c>
      <c r="B51" s="233">
        <v>2</v>
      </c>
      <c r="C51" s="233">
        <v>4</v>
      </c>
      <c r="D51" s="234">
        <v>0</v>
      </c>
      <c r="E51" s="234">
        <v>1</v>
      </c>
      <c r="G51" s="443"/>
      <c r="H51" s="444" t="s">
        <v>38</v>
      </c>
      <c r="I51" s="445" t="s">
        <v>3348</v>
      </c>
      <c r="J51" s="446" t="s">
        <v>2188</v>
      </c>
      <c r="K51" s="447"/>
      <c r="L51" s="448"/>
      <c r="M51" s="448"/>
      <c r="N51" s="449">
        <v>243756</v>
      </c>
      <c r="O51" s="432">
        <v>14.5528837284555</v>
      </c>
      <c r="P51" s="429"/>
    </row>
    <row r="52" spans="1:16" ht="13.5" hidden="1" customHeight="1" outlineLevel="2" x14ac:dyDescent="0.2">
      <c r="A52" s="233">
        <v>0</v>
      </c>
      <c r="B52" s="233">
        <v>2</v>
      </c>
      <c r="C52" s="233">
        <v>4</v>
      </c>
      <c r="D52" s="234">
        <v>1</v>
      </c>
      <c r="E52" s="234">
        <v>0</v>
      </c>
      <c r="G52" s="450"/>
      <c r="H52" s="451" t="s">
        <v>1237</v>
      </c>
      <c r="I52" s="452" t="s">
        <v>3349</v>
      </c>
      <c r="J52" s="453" t="s">
        <v>2178</v>
      </c>
      <c r="K52" s="454"/>
      <c r="L52" s="455"/>
      <c r="M52" s="455"/>
      <c r="N52" s="456">
        <v>243756</v>
      </c>
      <c r="O52" s="457">
        <v>14.5528837284555</v>
      </c>
      <c r="P52" s="430"/>
    </row>
    <row r="53" spans="1:16" ht="13.5" hidden="1" customHeight="1" outlineLevel="3" x14ac:dyDescent="0.2">
      <c r="A53" s="233">
        <v>0</v>
      </c>
      <c r="B53" s="233">
        <v>2</v>
      </c>
      <c r="C53" s="233">
        <v>4</v>
      </c>
      <c r="D53" s="234">
        <v>1</v>
      </c>
      <c r="E53" s="234">
        <v>1</v>
      </c>
      <c r="G53" s="458" t="s">
        <v>1618</v>
      </c>
      <c r="H53" s="459" t="s">
        <v>1238</v>
      </c>
      <c r="I53" s="460" t="s">
        <v>3350</v>
      </c>
      <c r="J53" s="461" t="s">
        <v>2810</v>
      </c>
      <c r="K53" s="462" t="s">
        <v>641</v>
      </c>
      <c r="L53" s="463">
        <v>492.8</v>
      </c>
      <c r="M53" s="463">
        <v>470.28409090909088</v>
      </c>
      <c r="N53" s="464">
        <v>231756</v>
      </c>
      <c r="O53" s="465" t="s">
        <v>2811</v>
      </c>
      <c r="P53" s="431" t="s">
        <v>6711</v>
      </c>
    </row>
    <row r="54" spans="1:16" ht="13.5" hidden="1" customHeight="1" outlineLevel="3" x14ac:dyDescent="0.2">
      <c r="A54" s="233">
        <v>0</v>
      </c>
      <c r="B54" s="233">
        <v>2</v>
      </c>
      <c r="C54" s="233">
        <v>4</v>
      </c>
      <c r="D54" s="234">
        <v>1</v>
      </c>
      <c r="E54" s="234">
        <v>2</v>
      </c>
      <c r="G54" s="458" t="s">
        <v>1618</v>
      </c>
      <c r="H54" s="459" t="s">
        <v>1238</v>
      </c>
      <c r="I54" s="460" t="s">
        <v>3351</v>
      </c>
      <c r="J54" s="461" t="s">
        <v>2812</v>
      </c>
      <c r="K54" s="462" t="s">
        <v>1129</v>
      </c>
      <c r="L54" s="463">
        <v>1</v>
      </c>
      <c r="M54" s="463">
        <v>12000</v>
      </c>
      <c r="N54" s="464">
        <v>12000</v>
      </c>
      <c r="O54" s="465"/>
      <c r="P54" s="431" t="s">
        <v>6711</v>
      </c>
    </row>
    <row r="55" spans="1:16" ht="13.5" hidden="1" customHeight="1" outlineLevel="1" x14ac:dyDescent="0.2">
      <c r="A55" s="233">
        <v>0</v>
      </c>
      <c r="B55" s="233">
        <v>2</v>
      </c>
      <c r="C55" s="233">
        <v>5</v>
      </c>
      <c r="D55" s="234">
        <v>0</v>
      </c>
      <c r="E55" s="234">
        <v>2</v>
      </c>
      <c r="G55" s="443"/>
      <c r="H55" s="444" t="s">
        <v>38</v>
      </c>
      <c r="I55" s="445" t="s">
        <v>3352</v>
      </c>
      <c r="J55" s="446" t="s">
        <v>2189</v>
      </c>
      <c r="K55" s="447"/>
      <c r="L55" s="448"/>
      <c r="M55" s="448"/>
      <c r="N55" s="449">
        <v>140000.01999999999</v>
      </c>
      <c r="O55" s="432">
        <v>8.3583748217128999</v>
      </c>
      <c r="P55" s="429"/>
    </row>
    <row r="56" spans="1:16" ht="13.5" hidden="1" customHeight="1" outlineLevel="2" x14ac:dyDescent="0.2">
      <c r="A56" s="233">
        <v>0</v>
      </c>
      <c r="B56" s="233">
        <v>2</v>
      </c>
      <c r="C56" s="233">
        <v>5</v>
      </c>
      <c r="D56" s="234">
        <v>1</v>
      </c>
      <c r="E56" s="234">
        <v>0</v>
      </c>
      <c r="G56" s="450"/>
      <c r="H56" s="451" t="s">
        <v>1237</v>
      </c>
      <c r="I56" s="452" t="s">
        <v>3353</v>
      </c>
      <c r="J56" s="453" t="s">
        <v>1247</v>
      </c>
      <c r="K56" s="454"/>
      <c r="L56" s="455"/>
      <c r="M56" s="455"/>
      <c r="N56" s="456">
        <v>140000.01999999999</v>
      </c>
      <c r="O56" s="457">
        <v>8.3583748217128999</v>
      </c>
      <c r="P56" s="430"/>
    </row>
    <row r="57" spans="1:16" ht="13.5" hidden="1" customHeight="1" outlineLevel="3" x14ac:dyDescent="0.2">
      <c r="A57" s="233">
        <v>0</v>
      </c>
      <c r="B57" s="233">
        <v>2</v>
      </c>
      <c r="C57" s="233">
        <v>5</v>
      </c>
      <c r="D57" s="234">
        <v>1</v>
      </c>
      <c r="E57" s="234">
        <v>1</v>
      </c>
      <c r="G57" s="458" t="s">
        <v>1618</v>
      </c>
      <c r="H57" s="459" t="s">
        <v>1238</v>
      </c>
      <c r="I57" s="460" t="s">
        <v>3354</v>
      </c>
      <c r="J57" s="461" t="s">
        <v>2813</v>
      </c>
      <c r="K57" s="462" t="s">
        <v>641</v>
      </c>
      <c r="L57" s="463">
        <v>525</v>
      </c>
      <c r="M57" s="463">
        <v>266.66670476190473</v>
      </c>
      <c r="N57" s="464">
        <v>140000.01999999999</v>
      </c>
      <c r="O57" s="465" t="s">
        <v>2814</v>
      </c>
      <c r="P57" s="431" t="s">
        <v>6711</v>
      </c>
    </row>
    <row r="58" spans="1:16" ht="13.5" customHeight="1" collapsed="1" x14ac:dyDescent="0.2">
      <c r="A58" s="233">
        <v>0</v>
      </c>
      <c r="B58" s="233">
        <v>3</v>
      </c>
      <c r="C58" s="233">
        <v>0</v>
      </c>
      <c r="D58" s="234">
        <v>1</v>
      </c>
      <c r="E58" s="234">
        <v>1</v>
      </c>
      <c r="F58" s="237"/>
      <c r="G58" s="436"/>
      <c r="H58" s="437" t="s">
        <v>1236</v>
      </c>
      <c r="I58" s="438" t="s">
        <v>3355</v>
      </c>
      <c r="J58" s="439" t="s">
        <v>2</v>
      </c>
      <c r="K58" s="440"/>
      <c r="L58" s="441"/>
      <c r="M58" s="441"/>
      <c r="N58" s="442">
        <v>4572490.0275754603</v>
      </c>
      <c r="O58" s="433">
        <v>272.98985756587803</v>
      </c>
      <c r="P58" s="433"/>
    </row>
    <row r="59" spans="1:16" ht="13.5" hidden="1" customHeight="1" outlineLevel="1" x14ac:dyDescent="0.2">
      <c r="A59" s="233">
        <v>0</v>
      </c>
      <c r="B59" s="233">
        <v>3</v>
      </c>
      <c r="C59" s="233">
        <v>1</v>
      </c>
      <c r="D59" s="234">
        <v>0</v>
      </c>
      <c r="E59" s="234">
        <v>1</v>
      </c>
      <c r="G59" s="443"/>
      <c r="H59" s="444" t="s">
        <v>38</v>
      </c>
      <c r="I59" s="445" t="s">
        <v>3356</v>
      </c>
      <c r="J59" s="446" t="s">
        <v>2815</v>
      </c>
      <c r="K59" s="447"/>
      <c r="L59" s="448"/>
      <c r="M59" s="448"/>
      <c r="N59" s="449">
        <v>3041540.5196917998</v>
      </c>
      <c r="O59" s="432">
        <v>181.58808619464099</v>
      </c>
      <c r="P59" s="429"/>
    </row>
    <row r="60" spans="1:16" ht="13.5" hidden="1" customHeight="1" outlineLevel="2" x14ac:dyDescent="0.2">
      <c r="A60" s="233">
        <v>0</v>
      </c>
      <c r="B60" s="233">
        <v>3</v>
      </c>
      <c r="C60" s="233">
        <v>1</v>
      </c>
      <c r="D60" s="234">
        <v>1</v>
      </c>
      <c r="E60" s="234">
        <v>0</v>
      </c>
      <c r="G60" s="450"/>
      <c r="H60" s="451" t="s">
        <v>1237</v>
      </c>
      <c r="I60" s="452" t="s">
        <v>3357</v>
      </c>
      <c r="J60" s="453" t="s">
        <v>11</v>
      </c>
      <c r="K60" s="454"/>
      <c r="L60" s="455"/>
      <c r="M60" s="455"/>
      <c r="N60" s="456">
        <v>950000</v>
      </c>
      <c r="O60" s="457">
        <v>56.717535330546802</v>
      </c>
      <c r="P60" s="430"/>
    </row>
    <row r="61" spans="1:16" ht="13.5" hidden="1" customHeight="1" outlineLevel="3" x14ac:dyDescent="0.2">
      <c r="A61" s="233">
        <v>0</v>
      </c>
      <c r="B61" s="233">
        <v>3</v>
      </c>
      <c r="C61" s="233">
        <v>1</v>
      </c>
      <c r="D61" s="234">
        <v>1</v>
      </c>
      <c r="E61" s="234">
        <v>1</v>
      </c>
      <c r="G61" s="458" t="s">
        <v>2</v>
      </c>
      <c r="H61" s="459" t="s">
        <v>1238</v>
      </c>
      <c r="I61" s="460" t="s">
        <v>3358</v>
      </c>
      <c r="J61" s="461" t="s">
        <v>182</v>
      </c>
      <c r="K61" s="462" t="s">
        <v>787</v>
      </c>
      <c r="L61" s="463">
        <v>6732</v>
      </c>
      <c r="M61" s="463">
        <v>137.48633176818674</v>
      </c>
      <c r="N61" s="464">
        <v>925557.98546343297</v>
      </c>
      <c r="O61" s="471" t="s">
        <v>2970</v>
      </c>
      <c r="P61" s="431" t="s">
        <v>6711</v>
      </c>
    </row>
    <row r="62" spans="1:16" ht="13.5" hidden="1" customHeight="1" outlineLevel="3" x14ac:dyDescent="0.2">
      <c r="A62" s="233">
        <v>0</v>
      </c>
      <c r="B62" s="233">
        <v>3</v>
      </c>
      <c r="C62" s="233">
        <v>1</v>
      </c>
      <c r="D62" s="234">
        <v>1</v>
      </c>
      <c r="E62" s="234">
        <v>2</v>
      </c>
      <c r="G62" s="458" t="s">
        <v>2</v>
      </c>
      <c r="H62" s="459" t="s">
        <v>1238</v>
      </c>
      <c r="I62" s="460" t="s">
        <v>3359</v>
      </c>
      <c r="J62" s="461" t="s">
        <v>1686</v>
      </c>
      <c r="K62" s="462" t="s">
        <v>1129</v>
      </c>
      <c r="L62" s="463">
        <v>1</v>
      </c>
      <c r="M62" s="463">
        <v>24442.014536566567</v>
      </c>
      <c r="N62" s="464">
        <v>24442.014536566599</v>
      </c>
      <c r="O62" s="471" t="s">
        <v>2970</v>
      </c>
      <c r="P62" s="431" t="s">
        <v>6711</v>
      </c>
    </row>
    <row r="63" spans="1:16" ht="13.5" hidden="1" customHeight="1" outlineLevel="2" x14ac:dyDescent="0.2">
      <c r="A63" s="233">
        <v>0</v>
      </c>
      <c r="B63" s="233">
        <v>3</v>
      </c>
      <c r="C63" s="233">
        <v>1</v>
      </c>
      <c r="D63" s="234">
        <v>2</v>
      </c>
      <c r="E63" s="234">
        <v>0</v>
      </c>
      <c r="G63" s="450"/>
      <c r="H63" s="451" t="s">
        <v>1237</v>
      </c>
      <c r="I63" s="452" t="s">
        <v>3360</v>
      </c>
      <c r="J63" s="453" t="s">
        <v>12</v>
      </c>
      <c r="K63" s="454"/>
      <c r="L63" s="455"/>
      <c r="M63" s="455"/>
      <c r="N63" s="456">
        <v>298834.77862499998</v>
      </c>
      <c r="O63" s="457">
        <v>17.8412338049048</v>
      </c>
      <c r="P63" s="430"/>
    </row>
    <row r="64" spans="1:16" ht="13.5" hidden="1" customHeight="1" outlineLevel="3" x14ac:dyDescent="0.2">
      <c r="A64" s="233">
        <v>0</v>
      </c>
      <c r="B64" s="233">
        <v>3</v>
      </c>
      <c r="C64" s="233">
        <v>1</v>
      </c>
      <c r="D64" s="234">
        <v>2</v>
      </c>
      <c r="E64" s="234">
        <v>1</v>
      </c>
      <c r="G64" s="458" t="s">
        <v>2</v>
      </c>
      <c r="H64" s="459" t="s">
        <v>1238</v>
      </c>
      <c r="I64" s="460" t="s">
        <v>3361</v>
      </c>
      <c r="J64" s="461" t="s">
        <v>2971</v>
      </c>
      <c r="K64" s="462" t="s">
        <v>533</v>
      </c>
      <c r="L64" s="463">
        <v>3495</v>
      </c>
      <c r="M64" s="463">
        <v>8.9641450000000003</v>
      </c>
      <c r="N64" s="464">
        <v>31329.686774999998</v>
      </c>
      <c r="O64" s="465"/>
      <c r="P64" s="431" t="s">
        <v>6711</v>
      </c>
    </row>
    <row r="65" spans="1:16" ht="13.5" hidden="1" customHeight="1" outlineLevel="3" x14ac:dyDescent="0.2">
      <c r="A65" s="233">
        <v>0</v>
      </c>
      <c r="B65" s="233">
        <v>3</v>
      </c>
      <c r="C65" s="233">
        <v>1</v>
      </c>
      <c r="D65" s="234">
        <v>2</v>
      </c>
      <c r="E65" s="234">
        <v>2</v>
      </c>
      <c r="G65" s="458" t="s">
        <v>2</v>
      </c>
      <c r="H65" s="459" t="s">
        <v>1238</v>
      </c>
      <c r="I65" s="460" t="s">
        <v>3362</v>
      </c>
      <c r="J65" s="461" t="s">
        <v>2972</v>
      </c>
      <c r="K65" s="462" t="s">
        <v>533</v>
      </c>
      <c r="L65" s="463">
        <v>31530</v>
      </c>
      <c r="M65" s="463">
        <v>8.4841449999999998</v>
      </c>
      <c r="N65" s="464">
        <v>267505.09185000003</v>
      </c>
      <c r="O65" s="465"/>
      <c r="P65" s="431" t="s">
        <v>6711</v>
      </c>
    </row>
    <row r="66" spans="1:16" ht="13.5" hidden="1" customHeight="1" outlineLevel="2" x14ac:dyDescent="0.2">
      <c r="A66" s="233">
        <v>0</v>
      </c>
      <c r="B66" s="233">
        <v>3</v>
      </c>
      <c r="C66" s="233">
        <v>1</v>
      </c>
      <c r="D66" s="234">
        <v>3</v>
      </c>
      <c r="E66" s="234">
        <v>0</v>
      </c>
      <c r="G66" s="450"/>
      <c r="H66" s="451" t="s">
        <v>1237</v>
      </c>
      <c r="I66" s="452" t="s">
        <v>3363</v>
      </c>
      <c r="J66" s="453" t="s">
        <v>13</v>
      </c>
      <c r="K66" s="454"/>
      <c r="L66" s="455"/>
      <c r="M66" s="455"/>
      <c r="N66" s="456">
        <v>1792705.7410668</v>
      </c>
      <c r="O66" s="457">
        <v>107.02931705919001</v>
      </c>
      <c r="P66" s="430"/>
    </row>
    <row r="67" spans="1:16" ht="13.5" hidden="1" customHeight="1" outlineLevel="3" x14ac:dyDescent="0.2">
      <c r="A67" s="233">
        <v>0</v>
      </c>
      <c r="B67" s="233">
        <v>3</v>
      </c>
      <c r="C67" s="233">
        <v>1</v>
      </c>
      <c r="D67" s="234">
        <v>3</v>
      </c>
      <c r="E67" s="234">
        <v>1</v>
      </c>
      <c r="G67" s="458" t="s">
        <v>2</v>
      </c>
      <c r="H67" s="459" t="s">
        <v>1238</v>
      </c>
      <c r="I67" s="460" t="s">
        <v>3364</v>
      </c>
      <c r="J67" s="461" t="s">
        <v>2816</v>
      </c>
      <c r="K67" s="462" t="s">
        <v>1246</v>
      </c>
      <c r="L67" s="463">
        <v>1903.4281569569839</v>
      </c>
      <c r="M67" s="463">
        <v>941.83</v>
      </c>
      <c r="N67" s="464">
        <v>1792705.7410668</v>
      </c>
      <c r="O67" s="465"/>
      <c r="P67" s="431" t="s">
        <v>6711</v>
      </c>
    </row>
    <row r="68" spans="1:16" ht="13.5" hidden="1" customHeight="1" outlineLevel="2" collapsed="1" x14ac:dyDescent="0.2">
      <c r="A68" s="233">
        <v>0</v>
      </c>
      <c r="B68" s="233">
        <v>3</v>
      </c>
      <c r="C68" s="233">
        <v>1</v>
      </c>
      <c r="D68" s="234">
        <v>4</v>
      </c>
      <c r="E68" s="234">
        <v>0</v>
      </c>
      <c r="G68" s="450"/>
      <c r="H68" s="451" t="s">
        <v>1237</v>
      </c>
      <c r="I68" s="452" t="s">
        <v>3365</v>
      </c>
      <c r="J68" s="453" t="s">
        <v>1247</v>
      </c>
      <c r="K68" s="454"/>
      <c r="L68" s="455"/>
      <c r="M68" s="455"/>
      <c r="N68" s="456">
        <v>0</v>
      </c>
      <c r="O68" s="457">
        <v>0</v>
      </c>
      <c r="P68" s="430"/>
    </row>
    <row r="69" spans="1:16" ht="13.5" hidden="1" customHeight="1" outlineLevel="1" x14ac:dyDescent="0.2">
      <c r="A69" s="233">
        <v>0</v>
      </c>
      <c r="B69" s="233">
        <v>3</v>
      </c>
      <c r="C69" s="233">
        <v>2</v>
      </c>
      <c r="D69" s="234">
        <v>0</v>
      </c>
      <c r="E69" s="234">
        <v>0</v>
      </c>
      <c r="G69" s="443"/>
      <c r="H69" s="444" t="s">
        <v>38</v>
      </c>
      <c r="I69" s="445" t="s">
        <v>3366</v>
      </c>
      <c r="J69" s="446" t="s">
        <v>2190</v>
      </c>
      <c r="K69" s="447"/>
      <c r="L69" s="448"/>
      <c r="M69" s="448"/>
      <c r="N69" s="449">
        <v>1056067.4444474</v>
      </c>
      <c r="O69" s="432">
        <v>63.050044833564002</v>
      </c>
      <c r="P69" s="429"/>
    </row>
    <row r="70" spans="1:16" ht="13.5" hidden="1" customHeight="1" outlineLevel="2" x14ac:dyDescent="0.2">
      <c r="A70" s="233">
        <v>0</v>
      </c>
      <c r="B70" s="233">
        <v>3</v>
      </c>
      <c r="C70" s="233">
        <v>2</v>
      </c>
      <c r="D70" s="234">
        <v>1</v>
      </c>
      <c r="E70" s="234">
        <v>0</v>
      </c>
      <c r="G70" s="450"/>
      <c r="H70" s="451" t="s">
        <v>1237</v>
      </c>
      <c r="I70" s="452" t="s">
        <v>3367</v>
      </c>
      <c r="J70" s="453" t="s">
        <v>15</v>
      </c>
      <c r="K70" s="454"/>
      <c r="L70" s="455"/>
      <c r="M70" s="455"/>
      <c r="N70" s="456">
        <v>15723.5209428571</v>
      </c>
      <c r="O70" s="457">
        <v>0.93873616273378202</v>
      </c>
      <c r="P70" s="430"/>
    </row>
    <row r="71" spans="1:16" ht="13.5" hidden="1" customHeight="1" outlineLevel="3" x14ac:dyDescent="0.2">
      <c r="A71" s="233">
        <v>0</v>
      </c>
      <c r="B71" s="233">
        <v>3</v>
      </c>
      <c r="C71" s="233">
        <v>2</v>
      </c>
      <c r="D71" s="234">
        <v>1</v>
      </c>
      <c r="E71" s="234">
        <v>1</v>
      </c>
      <c r="G71" s="458" t="s">
        <v>2</v>
      </c>
      <c r="H71" s="459" t="s">
        <v>1238</v>
      </c>
      <c r="I71" s="460" t="s">
        <v>3368</v>
      </c>
      <c r="J71" s="461" t="s">
        <v>230</v>
      </c>
      <c r="K71" s="462" t="s">
        <v>641</v>
      </c>
      <c r="L71" s="463">
        <v>262.25</v>
      </c>
      <c r="M71" s="463">
        <v>59.956228571428568</v>
      </c>
      <c r="N71" s="464">
        <v>15723.5209428571</v>
      </c>
      <c r="O71" s="465" t="s">
        <v>2817</v>
      </c>
      <c r="P71" s="431" t="s">
        <v>6711</v>
      </c>
    </row>
    <row r="72" spans="1:16" ht="13.5" hidden="1" customHeight="1" outlineLevel="2" x14ac:dyDescent="0.2">
      <c r="A72" s="233">
        <v>0</v>
      </c>
      <c r="B72" s="233">
        <v>3</v>
      </c>
      <c r="C72" s="233">
        <v>2</v>
      </c>
      <c r="D72" s="234">
        <v>2</v>
      </c>
      <c r="E72" s="234">
        <v>0</v>
      </c>
      <c r="G72" s="450"/>
      <c r="H72" s="451" t="s">
        <v>1237</v>
      </c>
      <c r="I72" s="452" t="s">
        <v>3369</v>
      </c>
      <c r="J72" s="453" t="s">
        <v>12</v>
      </c>
      <c r="K72" s="454"/>
      <c r="L72" s="455"/>
      <c r="M72" s="455"/>
      <c r="N72" s="456">
        <v>592494.12250454503</v>
      </c>
      <c r="O72" s="457">
        <v>35.373480343466198</v>
      </c>
      <c r="P72" s="430"/>
    </row>
    <row r="73" spans="1:16" ht="13.5" hidden="1" customHeight="1" outlineLevel="3" x14ac:dyDescent="0.2">
      <c r="A73" s="233">
        <v>0</v>
      </c>
      <c r="B73" s="233">
        <v>3</v>
      </c>
      <c r="C73" s="233">
        <v>2</v>
      </c>
      <c r="D73" s="234">
        <v>2</v>
      </c>
      <c r="E73" s="234">
        <v>1</v>
      </c>
      <c r="G73" s="458" t="s">
        <v>2</v>
      </c>
      <c r="H73" s="459" t="s">
        <v>1238</v>
      </c>
      <c r="I73" s="460" t="s">
        <v>3370</v>
      </c>
      <c r="J73" s="461" t="s">
        <v>2973</v>
      </c>
      <c r="K73" s="462" t="s">
        <v>1105</v>
      </c>
      <c r="L73" s="463">
        <v>528.18181818181813</v>
      </c>
      <c r="M73" s="463">
        <v>8.4841449999999998</v>
      </c>
      <c r="N73" s="464">
        <v>4481.1711318181797</v>
      </c>
      <c r="O73" s="465"/>
      <c r="P73" s="431" t="s">
        <v>6711</v>
      </c>
    </row>
    <row r="74" spans="1:16" ht="13.5" hidden="1" customHeight="1" outlineLevel="3" x14ac:dyDescent="0.2">
      <c r="A74" s="233">
        <v>0</v>
      </c>
      <c r="B74" s="233">
        <v>3</v>
      </c>
      <c r="C74" s="233">
        <v>2</v>
      </c>
      <c r="D74" s="234">
        <v>2</v>
      </c>
      <c r="E74" s="234">
        <v>2</v>
      </c>
      <c r="G74" s="458" t="s">
        <v>2</v>
      </c>
      <c r="H74" s="459" t="s">
        <v>1238</v>
      </c>
      <c r="I74" s="460" t="s">
        <v>3371</v>
      </c>
      <c r="J74" s="461" t="s">
        <v>2974</v>
      </c>
      <c r="K74" s="462" t="s">
        <v>1105</v>
      </c>
      <c r="L74" s="463">
        <v>7331.8181818181811</v>
      </c>
      <c r="M74" s="463">
        <v>8.4841449999999998</v>
      </c>
      <c r="N74" s="464">
        <v>62204.208568181799</v>
      </c>
      <c r="O74" s="465"/>
      <c r="P74" s="431" t="s">
        <v>6711</v>
      </c>
    </row>
    <row r="75" spans="1:16" ht="13.5" hidden="1" customHeight="1" outlineLevel="3" x14ac:dyDescent="0.2">
      <c r="A75" s="233">
        <v>0</v>
      </c>
      <c r="B75" s="233">
        <v>3</v>
      </c>
      <c r="C75" s="233">
        <v>2</v>
      </c>
      <c r="D75" s="234">
        <v>2</v>
      </c>
      <c r="E75" s="234">
        <v>3</v>
      </c>
      <c r="G75" s="458" t="s">
        <v>2</v>
      </c>
      <c r="H75" s="459" t="s">
        <v>1238</v>
      </c>
      <c r="I75" s="460" t="s">
        <v>3372</v>
      </c>
      <c r="J75" s="461" t="s">
        <v>2975</v>
      </c>
      <c r="K75" s="462" t="s">
        <v>1105</v>
      </c>
      <c r="L75" s="463">
        <v>1318.181818181818</v>
      </c>
      <c r="M75" s="463">
        <v>8.4841449999999998</v>
      </c>
      <c r="N75" s="464">
        <v>11183.6456818182</v>
      </c>
      <c r="O75" s="465"/>
      <c r="P75" s="431" t="s">
        <v>6711</v>
      </c>
    </row>
    <row r="76" spans="1:16" ht="13.5" hidden="1" customHeight="1" outlineLevel="3" x14ac:dyDescent="0.2">
      <c r="A76" s="233">
        <v>0</v>
      </c>
      <c r="B76" s="233">
        <v>3</v>
      </c>
      <c r="C76" s="233">
        <v>2</v>
      </c>
      <c r="D76" s="234">
        <v>2</v>
      </c>
      <c r="E76" s="234">
        <v>4</v>
      </c>
      <c r="G76" s="458" t="s">
        <v>2</v>
      </c>
      <c r="H76" s="459" t="s">
        <v>1238</v>
      </c>
      <c r="I76" s="460" t="s">
        <v>3373</v>
      </c>
      <c r="J76" s="461" t="s">
        <v>2976</v>
      </c>
      <c r="K76" s="462" t="s">
        <v>1105</v>
      </c>
      <c r="L76" s="463">
        <v>60657.272727272721</v>
      </c>
      <c r="M76" s="463">
        <v>8.4841449999999998</v>
      </c>
      <c r="N76" s="464">
        <v>514625.09712272702</v>
      </c>
      <c r="O76" s="465"/>
      <c r="P76" s="431" t="s">
        <v>6711</v>
      </c>
    </row>
    <row r="77" spans="1:16" ht="13.5" hidden="1" customHeight="1" outlineLevel="2" x14ac:dyDescent="0.2">
      <c r="A77" s="233">
        <v>0</v>
      </c>
      <c r="B77" s="233">
        <v>3</v>
      </c>
      <c r="C77" s="233">
        <v>2</v>
      </c>
      <c r="D77" s="234">
        <v>3</v>
      </c>
      <c r="E77" s="234">
        <v>0</v>
      </c>
      <c r="G77" s="450"/>
      <c r="H77" s="451" t="s">
        <v>1237</v>
      </c>
      <c r="I77" s="452" t="s">
        <v>3374</v>
      </c>
      <c r="J77" s="453" t="s">
        <v>13</v>
      </c>
      <c r="K77" s="454"/>
      <c r="L77" s="455"/>
      <c r="M77" s="455"/>
      <c r="N77" s="456">
        <v>447849.80099999998</v>
      </c>
      <c r="O77" s="457">
        <v>26.737828327364099</v>
      </c>
      <c r="P77" s="430"/>
    </row>
    <row r="78" spans="1:16" ht="13.5" hidden="1" customHeight="1" outlineLevel="3" x14ac:dyDescent="0.2">
      <c r="A78" s="233">
        <v>0</v>
      </c>
      <c r="B78" s="233">
        <v>3</v>
      </c>
      <c r="C78" s="233">
        <v>2</v>
      </c>
      <c r="D78" s="234">
        <v>3</v>
      </c>
      <c r="E78" s="234">
        <v>1</v>
      </c>
      <c r="G78" s="458" t="s">
        <v>2</v>
      </c>
      <c r="H78" s="459" t="s">
        <v>1238</v>
      </c>
      <c r="I78" s="460" t="s">
        <v>3375</v>
      </c>
      <c r="J78" s="461" t="s">
        <v>253</v>
      </c>
      <c r="K78" s="462" t="s">
        <v>1246</v>
      </c>
      <c r="L78" s="463">
        <v>658.5</v>
      </c>
      <c r="M78" s="463">
        <v>680.10600000000011</v>
      </c>
      <c r="N78" s="464">
        <v>447849.80099999998</v>
      </c>
      <c r="O78" s="465" t="s">
        <v>2818</v>
      </c>
      <c r="P78" s="431" t="s">
        <v>6711</v>
      </c>
    </row>
    <row r="79" spans="1:16" ht="13.5" hidden="1" customHeight="1" outlineLevel="2" collapsed="1" x14ac:dyDescent="0.2">
      <c r="A79" s="233">
        <v>0</v>
      </c>
      <c r="B79" s="233">
        <v>3</v>
      </c>
      <c r="C79" s="233">
        <v>2</v>
      </c>
      <c r="D79" s="234">
        <v>4</v>
      </c>
      <c r="E79" s="234">
        <v>0</v>
      </c>
      <c r="G79" s="450"/>
      <c r="H79" s="451" t="s">
        <v>1237</v>
      </c>
      <c r="I79" s="452" t="s">
        <v>3376</v>
      </c>
      <c r="J79" s="453" t="s">
        <v>1247</v>
      </c>
      <c r="K79" s="454"/>
      <c r="L79" s="455"/>
      <c r="M79" s="455"/>
      <c r="N79" s="456">
        <v>0</v>
      </c>
      <c r="O79" s="457">
        <v>0</v>
      </c>
      <c r="P79" s="430"/>
    </row>
    <row r="80" spans="1:16" ht="13.5" hidden="1" customHeight="1" outlineLevel="1" x14ac:dyDescent="0.2">
      <c r="A80" s="233">
        <v>0</v>
      </c>
      <c r="B80" s="233">
        <v>3</v>
      </c>
      <c r="C80" s="233">
        <v>3</v>
      </c>
      <c r="D80" s="234">
        <v>0</v>
      </c>
      <c r="E80" s="234">
        <v>0</v>
      </c>
      <c r="G80" s="443"/>
      <c r="H80" s="444" t="s">
        <v>38</v>
      </c>
      <c r="I80" s="445" t="s">
        <v>3377</v>
      </c>
      <c r="J80" s="446" t="s">
        <v>2191</v>
      </c>
      <c r="K80" s="447"/>
      <c r="L80" s="448"/>
      <c r="M80" s="448"/>
      <c r="N80" s="449">
        <v>474882.06343626202</v>
      </c>
      <c r="O80" s="432">
        <v>28.3517265376728</v>
      </c>
      <c r="P80" s="429"/>
    </row>
    <row r="81" spans="1:16" ht="13.5" hidden="1" customHeight="1" outlineLevel="2" x14ac:dyDescent="0.2">
      <c r="A81" s="233">
        <v>0</v>
      </c>
      <c r="B81" s="233">
        <v>3</v>
      </c>
      <c r="C81" s="233">
        <v>3</v>
      </c>
      <c r="D81" s="234">
        <v>1</v>
      </c>
      <c r="E81" s="234">
        <v>0</v>
      </c>
      <c r="G81" s="450"/>
      <c r="H81" s="451" t="s">
        <v>1237</v>
      </c>
      <c r="I81" s="452" t="s">
        <v>3378</v>
      </c>
      <c r="J81" s="453" t="s">
        <v>15</v>
      </c>
      <c r="K81" s="454"/>
      <c r="L81" s="455"/>
      <c r="M81" s="455"/>
      <c r="N81" s="456">
        <v>9996.6219021714296</v>
      </c>
      <c r="O81" s="457">
        <v>0.59682500623423795</v>
      </c>
      <c r="P81" s="430"/>
    </row>
    <row r="82" spans="1:16" ht="13.5" hidden="1" customHeight="1" outlineLevel="3" x14ac:dyDescent="0.2">
      <c r="A82" s="233">
        <v>0</v>
      </c>
      <c r="B82" s="233">
        <v>3</v>
      </c>
      <c r="C82" s="233">
        <v>3</v>
      </c>
      <c r="D82" s="234">
        <v>1</v>
      </c>
      <c r="E82" s="234">
        <v>1</v>
      </c>
      <c r="G82" s="458" t="s">
        <v>2</v>
      </c>
      <c r="H82" s="459" t="s">
        <v>1238</v>
      </c>
      <c r="I82" s="460" t="s">
        <v>3379</v>
      </c>
      <c r="J82" s="461" t="s">
        <v>230</v>
      </c>
      <c r="K82" s="462" t="s">
        <v>641</v>
      </c>
      <c r="L82" s="463">
        <v>166.732</v>
      </c>
      <c r="M82" s="463">
        <v>59.956228571428568</v>
      </c>
      <c r="N82" s="464">
        <v>9996.6219021714296</v>
      </c>
      <c r="O82" s="465" t="s">
        <v>1248</v>
      </c>
      <c r="P82" s="431" t="s">
        <v>6711</v>
      </c>
    </row>
    <row r="83" spans="1:16" ht="13.5" hidden="1" customHeight="1" outlineLevel="2" x14ac:dyDescent="0.2">
      <c r="A83" s="233">
        <v>0</v>
      </c>
      <c r="B83" s="233">
        <v>3</v>
      </c>
      <c r="C83" s="233">
        <v>3</v>
      </c>
      <c r="D83" s="234">
        <v>2</v>
      </c>
      <c r="E83" s="234">
        <v>0</v>
      </c>
      <c r="G83" s="450"/>
      <c r="H83" s="451" t="s">
        <v>1237</v>
      </c>
      <c r="I83" s="452" t="s">
        <v>3380</v>
      </c>
      <c r="J83" s="453" t="s">
        <v>12</v>
      </c>
      <c r="K83" s="454"/>
      <c r="L83" s="455"/>
      <c r="M83" s="455"/>
      <c r="N83" s="456">
        <v>430167.92772983102</v>
      </c>
      <c r="O83" s="457">
        <v>25.682173304299798</v>
      </c>
      <c r="P83" s="430"/>
    </row>
    <row r="84" spans="1:16" ht="13.5" hidden="1" customHeight="1" outlineLevel="3" x14ac:dyDescent="0.2">
      <c r="A84" s="233">
        <v>0</v>
      </c>
      <c r="B84" s="233">
        <v>3</v>
      </c>
      <c r="C84" s="233">
        <v>3</v>
      </c>
      <c r="D84" s="234">
        <v>2</v>
      </c>
      <c r="E84" s="234">
        <v>1</v>
      </c>
      <c r="G84" s="458" t="s">
        <v>2</v>
      </c>
      <c r="H84" s="459" t="s">
        <v>1238</v>
      </c>
      <c r="I84" s="460" t="s">
        <v>3381</v>
      </c>
      <c r="J84" s="461" t="s">
        <v>2979</v>
      </c>
      <c r="K84" s="462" t="s">
        <v>1105</v>
      </c>
      <c r="L84" s="463">
        <v>52</v>
      </c>
      <c r="M84" s="463">
        <v>8.9641450000000003</v>
      </c>
      <c r="N84" s="464">
        <v>466.13553999999999</v>
      </c>
      <c r="O84" s="465" t="s">
        <v>2819</v>
      </c>
      <c r="P84" s="431" t="s">
        <v>6711</v>
      </c>
    </row>
    <row r="85" spans="1:16" ht="13.5" hidden="1" customHeight="1" outlineLevel="3" x14ac:dyDescent="0.2">
      <c r="A85" s="233">
        <v>0</v>
      </c>
      <c r="B85" s="233">
        <v>3</v>
      </c>
      <c r="C85" s="233">
        <v>3</v>
      </c>
      <c r="D85" s="234">
        <v>2</v>
      </c>
      <c r="E85" s="234">
        <v>2</v>
      </c>
      <c r="G85" s="458" t="s">
        <v>2</v>
      </c>
      <c r="H85" s="459" t="s">
        <v>1238</v>
      </c>
      <c r="I85" s="460" t="s">
        <v>3382</v>
      </c>
      <c r="J85" s="461" t="s">
        <v>2980</v>
      </c>
      <c r="K85" s="462" t="s">
        <v>1105</v>
      </c>
      <c r="L85" s="463">
        <v>130.27272727272728</v>
      </c>
      <c r="M85" s="463">
        <v>8.9641450000000003</v>
      </c>
      <c r="N85" s="464">
        <v>1167.78361681818</v>
      </c>
      <c r="O85" s="465" t="s">
        <v>2819</v>
      </c>
      <c r="P85" s="431" t="s">
        <v>6711</v>
      </c>
    </row>
    <row r="86" spans="1:16" ht="13.5" hidden="1" customHeight="1" outlineLevel="3" x14ac:dyDescent="0.2">
      <c r="A86" s="233">
        <v>0</v>
      </c>
      <c r="B86" s="233">
        <v>3</v>
      </c>
      <c r="C86" s="233">
        <v>3</v>
      </c>
      <c r="D86" s="234">
        <v>2</v>
      </c>
      <c r="E86" s="234">
        <v>3</v>
      </c>
      <c r="G86" s="458" t="s">
        <v>2</v>
      </c>
      <c r="H86" s="459" t="s">
        <v>1238</v>
      </c>
      <c r="I86" s="460" t="s">
        <v>3383</v>
      </c>
      <c r="J86" s="461" t="s">
        <v>2981</v>
      </c>
      <c r="K86" s="462" t="s">
        <v>1105</v>
      </c>
      <c r="L86" s="463">
        <v>982.63636363636363</v>
      </c>
      <c r="M86" s="463">
        <v>8.9641450000000003</v>
      </c>
      <c r="N86" s="464">
        <v>8808.4948459090901</v>
      </c>
      <c r="O86" s="465" t="s">
        <v>2819</v>
      </c>
      <c r="P86" s="431" t="s">
        <v>6711</v>
      </c>
    </row>
    <row r="87" spans="1:16" ht="13.5" hidden="1" customHeight="1" outlineLevel="3" x14ac:dyDescent="0.2">
      <c r="A87" s="233">
        <v>0</v>
      </c>
      <c r="B87" s="233">
        <v>3</v>
      </c>
      <c r="C87" s="233">
        <v>3</v>
      </c>
      <c r="D87" s="234">
        <v>2</v>
      </c>
      <c r="E87" s="234">
        <v>4</v>
      </c>
      <c r="G87" s="458" t="s">
        <v>2</v>
      </c>
      <c r="H87" s="459" t="s">
        <v>1238</v>
      </c>
      <c r="I87" s="460" t="s">
        <v>3384</v>
      </c>
      <c r="J87" s="461" t="s">
        <v>2982</v>
      </c>
      <c r="K87" s="462" t="s">
        <v>1105</v>
      </c>
      <c r="L87" s="463">
        <v>7011.636363636364</v>
      </c>
      <c r="M87" s="463">
        <v>8.9641450000000003</v>
      </c>
      <c r="N87" s="464">
        <v>62853.325050909101</v>
      </c>
      <c r="O87" s="465" t="s">
        <v>2819</v>
      </c>
      <c r="P87" s="431" t="s">
        <v>6711</v>
      </c>
    </row>
    <row r="88" spans="1:16" ht="13.5" hidden="1" customHeight="1" outlineLevel="3" x14ac:dyDescent="0.2">
      <c r="A88" s="233">
        <v>0</v>
      </c>
      <c r="B88" s="233">
        <v>3</v>
      </c>
      <c r="C88" s="233">
        <v>3</v>
      </c>
      <c r="D88" s="234">
        <v>2</v>
      </c>
      <c r="E88" s="234">
        <v>5</v>
      </c>
      <c r="G88" s="458" t="s">
        <v>2</v>
      </c>
      <c r="H88" s="459" t="s">
        <v>1238</v>
      </c>
      <c r="I88" s="460" t="s">
        <v>3385</v>
      </c>
      <c r="J88" s="461" t="s">
        <v>2973</v>
      </c>
      <c r="K88" s="462" t="s">
        <v>1105</v>
      </c>
      <c r="L88" s="463">
        <v>6007.818181818182</v>
      </c>
      <c r="M88" s="463">
        <v>8.4841449999999998</v>
      </c>
      <c r="N88" s="464">
        <v>50971.200588181797</v>
      </c>
      <c r="O88" s="465" t="s">
        <v>2819</v>
      </c>
      <c r="P88" s="431" t="s">
        <v>6711</v>
      </c>
    </row>
    <row r="89" spans="1:16" ht="13.5" hidden="1" customHeight="1" outlineLevel="3" x14ac:dyDescent="0.2">
      <c r="A89" s="233">
        <v>0</v>
      </c>
      <c r="B89" s="233">
        <v>3</v>
      </c>
      <c r="C89" s="233">
        <v>3</v>
      </c>
      <c r="D89" s="234">
        <v>2</v>
      </c>
      <c r="E89" s="234">
        <v>6</v>
      </c>
      <c r="G89" s="458" t="s">
        <v>2</v>
      </c>
      <c r="H89" s="459" t="s">
        <v>1238</v>
      </c>
      <c r="I89" s="460" t="s">
        <v>3386</v>
      </c>
      <c r="J89" s="461" t="s">
        <v>2974</v>
      </c>
      <c r="K89" s="462" t="s">
        <v>1105</v>
      </c>
      <c r="L89" s="463">
        <v>1269.7272727272725</v>
      </c>
      <c r="M89" s="463">
        <v>8.4841449999999998</v>
      </c>
      <c r="N89" s="464">
        <v>10772.550292272699</v>
      </c>
      <c r="O89" s="465" t="s">
        <v>2819</v>
      </c>
      <c r="P89" s="431" t="s">
        <v>6711</v>
      </c>
    </row>
    <row r="90" spans="1:16" ht="13.5" hidden="1" customHeight="1" outlineLevel="3" x14ac:dyDescent="0.2">
      <c r="A90" s="233">
        <v>0</v>
      </c>
      <c r="B90" s="233">
        <v>3</v>
      </c>
      <c r="C90" s="233">
        <v>3</v>
      </c>
      <c r="D90" s="234">
        <v>2</v>
      </c>
      <c r="E90" s="234">
        <v>7</v>
      </c>
      <c r="G90" s="458" t="s">
        <v>2</v>
      </c>
      <c r="H90" s="459" t="s">
        <v>1238</v>
      </c>
      <c r="I90" s="460" t="s">
        <v>3387</v>
      </c>
      <c r="J90" s="461" t="s">
        <v>2975</v>
      </c>
      <c r="K90" s="462" t="s">
        <v>1105</v>
      </c>
      <c r="L90" s="463">
        <v>902</v>
      </c>
      <c r="M90" s="463">
        <v>8.4841449999999998</v>
      </c>
      <c r="N90" s="464">
        <v>7652.6987900000004</v>
      </c>
      <c r="O90" s="465" t="s">
        <v>2819</v>
      </c>
      <c r="P90" s="431" t="s">
        <v>6711</v>
      </c>
    </row>
    <row r="91" spans="1:16" ht="13.5" hidden="1" customHeight="1" outlineLevel="3" x14ac:dyDescent="0.2">
      <c r="A91" s="233">
        <v>0</v>
      </c>
      <c r="B91" s="233">
        <v>3</v>
      </c>
      <c r="C91" s="233">
        <v>3</v>
      </c>
      <c r="D91" s="234">
        <v>2</v>
      </c>
      <c r="E91" s="234">
        <v>8</v>
      </c>
      <c r="G91" s="458" t="s">
        <v>2</v>
      </c>
      <c r="H91" s="459" t="s">
        <v>1238</v>
      </c>
      <c r="I91" s="460" t="s">
        <v>3388</v>
      </c>
      <c r="J91" s="461" t="s">
        <v>2976</v>
      </c>
      <c r="K91" s="462" t="s">
        <v>1105</v>
      </c>
      <c r="L91" s="463">
        <v>4680</v>
      </c>
      <c r="M91" s="463">
        <v>8.4841449999999998</v>
      </c>
      <c r="N91" s="464">
        <v>39705.798600000002</v>
      </c>
      <c r="O91" s="465" t="s">
        <v>2819</v>
      </c>
      <c r="P91" s="431" t="s">
        <v>6711</v>
      </c>
    </row>
    <row r="92" spans="1:16" ht="13.5" hidden="1" customHeight="1" outlineLevel="3" x14ac:dyDescent="0.2">
      <c r="A92" s="233">
        <v>0</v>
      </c>
      <c r="B92" s="233">
        <v>3</v>
      </c>
      <c r="C92" s="233">
        <v>3</v>
      </c>
      <c r="D92" s="234">
        <v>2</v>
      </c>
      <c r="E92" s="234">
        <v>9</v>
      </c>
      <c r="G92" s="458" t="s">
        <v>2</v>
      </c>
      <c r="H92" s="459" t="s">
        <v>1238</v>
      </c>
      <c r="I92" s="460" t="s">
        <v>3389</v>
      </c>
      <c r="J92" s="461" t="s">
        <v>2983</v>
      </c>
      <c r="K92" s="462" t="s">
        <v>1105</v>
      </c>
      <c r="L92" s="463">
        <v>27316</v>
      </c>
      <c r="M92" s="463">
        <v>9.0705059454436991</v>
      </c>
      <c r="N92" s="464">
        <v>247769.94040574</v>
      </c>
      <c r="O92" s="465" t="s">
        <v>2819</v>
      </c>
      <c r="P92" s="431" t="s">
        <v>6711</v>
      </c>
    </row>
    <row r="93" spans="1:16" ht="13.5" hidden="1" customHeight="1" outlineLevel="2" x14ac:dyDescent="0.2">
      <c r="A93" s="233">
        <v>0</v>
      </c>
      <c r="B93" s="233">
        <v>3</v>
      </c>
      <c r="C93" s="233">
        <v>3</v>
      </c>
      <c r="D93" s="234">
        <v>3</v>
      </c>
      <c r="E93" s="234">
        <v>0</v>
      </c>
      <c r="G93" s="450"/>
      <c r="H93" s="451" t="s">
        <v>1237</v>
      </c>
      <c r="I93" s="452" t="s">
        <v>3390</v>
      </c>
      <c r="J93" s="453" t="s">
        <v>13</v>
      </c>
      <c r="K93" s="454"/>
      <c r="L93" s="455"/>
      <c r="M93" s="455"/>
      <c r="N93" s="456">
        <v>34717.513804260001</v>
      </c>
      <c r="O93" s="457">
        <v>2.0727282271387999</v>
      </c>
      <c r="P93" s="430"/>
    </row>
    <row r="94" spans="1:16" ht="13.5" hidden="1" customHeight="1" outlineLevel="3" x14ac:dyDescent="0.2">
      <c r="A94" s="233">
        <v>0</v>
      </c>
      <c r="B94" s="233">
        <v>3</v>
      </c>
      <c r="C94" s="233">
        <v>3</v>
      </c>
      <c r="D94" s="234">
        <v>3</v>
      </c>
      <c r="E94" s="234">
        <v>1</v>
      </c>
      <c r="G94" s="458" t="s">
        <v>2</v>
      </c>
      <c r="H94" s="459" t="s">
        <v>1238</v>
      </c>
      <c r="I94" s="460" t="s">
        <v>3391</v>
      </c>
      <c r="J94" s="461" t="s">
        <v>253</v>
      </c>
      <c r="K94" s="462" t="s">
        <v>1246</v>
      </c>
      <c r="L94" s="463">
        <v>51.047209999999993</v>
      </c>
      <c r="M94" s="463">
        <v>680.10600000000011</v>
      </c>
      <c r="N94" s="464">
        <v>34717.513804260001</v>
      </c>
      <c r="O94" s="465" t="s">
        <v>2820</v>
      </c>
      <c r="P94" s="431" t="s">
        <v>6711</v>
      </c>
    </row>
    <row r="95" spans="1:16" ht="13.5" hidden="1" customHeight="1" outlineLevel="2" x14ac:dyDescent="0.2">
      <c r="A95" s="233">
        <v>0</v>
      </c>
      <c r="B95" s="233">
        <v>3</v>
      </c>
      <c r="C95" s="233">
        <v>3</v>
      </c>
      <c r="D95" s="234">
        <v>4</v>
      </c>
      <c r="E95" s="234">
        <v>0</v>
      </c>
      <c r="G95" s="450"/>
      <c r="H95" s="451" t="s">
        <v>1237</v>
      </c>
      <c r="I95" s="452" t="s">
        <v>3392</v>
      </c>
      <c r="J95" s="453" t="s">
        <v>1247</v>
      </c>
      <c r="K95" s="454"/>
      <c r="L95" s="455"/>
      <c r="M95" s="455"/>
      <c r="N95" s="456">
        <v>0</v>
      </c>
      <c r="O95" s="457">
        <v>0</v>
      </c>
      <c r="P95" s="430"/>
    </row>
    <row r="96" spans="1:16" ht="13.5" customHeight="1" collapsed="1" x14ac:dyDescent="0.2">
      <c r="A96" s="233">
        <v>0</v>
      </c>
      <c r="B96" s="233">
        <v>4</v>
      </c>
      <c r="C96" s="233">
        <v>0</v>
      </c>
      <c r="D96" s="234">
        <v>4</v>
      </c>
      <c r="E96" s="234">
        <v>0</v>
      </c>
      <c r="F96" s="237"/>
      <c r="G96" s="436"/>
      <c r="H96" s="437" t="s">
        <v>1236</v>
      </c>
      <c r="I96" s="438" t="s">
        <v>3393</v>
      </c>
      <c r="J96" s="439" t="s">
        <v>41</v>
      </c>
      <c r="K96" s="440"/>
      <c r="L96" s="441"/>
      <c r="M96" s="441"/>
      <c r="N96" s="442">
        <v>20793270.798319701</v>
      </c>
      <c r="O96" s="433">
        <v>1241.41375909613</v>
      </c>
      <c r="P96" s="428"/>
    </row>
    <row r="97" spans="1:16" ht="13.5" hidden="1" customHeight="1" outlineLevel="1" x14ac:dyDescent="0.2">
      <c r="A97" s="233">
        <v>0</v>
      </c>
      <c r="B97" s="233">
        <v>4</v>
      </c>
      <c r="C97" s="233">
        <v>1</v>
      </c>
      <c r="D97" s="234">
        <v>0</v>
      </c>
      <c r="E97" s="234">
        <v>0</v>
      </c>
      <c r="G97" s="443"/>
      <c r="H97" s="444" t="s">
        <v>38</v>
      </c>
      <c r="I97" s="445" t="s">
        <v>3394</v>
      </c>
      <c r="J97" s="446" t="s">
        <v>2821</v>
      </c>
      <c r="K97" s="447"/>
      <c r="L97" s="448"/>
      <c r="M97" s="448"/>
      <c r="N97" s="449">
        <v>19428.044562999999</v>
      </c>
      <c r="O97" s="432">
        <v>1.1599061093741001</v>
      </c>
      <c r="P97" s="429"/>
    </row>
    <row r="98" spans="1:16" ht="13.5" hidden="1" customHeight="1" outlineLevel="2" x14ac:dyDescent="0.2">
      <c r="A98" s="233">
        <v>0</v>
      </c>
      <c r="B98" s="233">
        <v>4</v>
      </c>
      <c r="C98" s="233">
        <v>1</v>
      </c>
      <c r="D98" s="234">
        <v>1</v>
      </c>
      <c r="E98" s="234">
        <v>0</v>
      </c>
      <c r="G98" s="450"/>
      <c r="H98" s="451" t="s">
        <v>1237</v>
      </c>
      <c r="I98" s="452" t="s">
        <v>3395</v>
      </c>
      <c r="J98" s="453" t="s">
        <v>2179</v>
      </c>
      <c r="K98" s="454"/>
      <c r="L98" s="455"/>
      <c r="M98" s="455"/>
      <c r="N98" s="456">
        <v>19428.044562999999</v>
      </c>
      <c r="O98" s="457">
        <v>1.1599061093741001</v>
      </c>
      <c r="P98" s="430"/>
    </row>
    <row r="99" spans="1:16" ht="13.5" hidden="1" customHeight="1" outlineLevel="3" x14ac:dyDescent="0.2">
      <c r="A99" s="233">
        <v>0</v>
      </c>
      <c r="B99" s="233">
        <v>4</v>
      </c>
      <c r="C99" s="233">
        <v>1</v>
      </c>
      <c r="D99" s="234">
        <v>1</v>
      </c>
      <c r="E99" s="234">
        <v>1</v>
      </c>
      <c r="G99" s="458" t="s">
        <v>41</v>
      </c>
      <c r="H99" s="459" t="s">
        <v>1238</v>
      </c>
      <c r="I99" s="460" t="s">
        <v>3396</v>
      </c>
      <c r="J99" s="461" t="s">
        <v>2822</v>
      </c>
      <c r="K99" s="462" t="s">
        <v>1246</v>
      </c>
      <c r="L99" s="463">
        <v>39.229000000000006</v>
      </c>
      <c r="M99" s="463">
        <v>495.24700000000001</v>
      </c>
      <c r="N99" s="464">
        <v>19428.044562999999</v>
      </c>
      <c r="O99" s="465" t="s">
        <v>2823</v>
      </c>
      <c r="P99" s="431" t="s">
        <v>6711</v>
      </c>
    </row>
    <row r="100" spans="1:16" ht="13.5" hidden="1" customHeight="1" outlineLevel="1" x14ac:dyDescent="0.2">
      <c r="A100" s="233">
        <v>0</v>
      </c>
      <c r="B100" s="233">
        <v>4</v>
      </c>
      <c r="C100" s="233">
        <v>2</v>
      </c>
      <c r="D100" s="234">
        <v>0</v>
      </c>
      <c r="E100" s="234">
        <v>1</v>
      </c>
      <c r="G100" s="443"/>
      <c r="H100" s="444" t="s">
        <v>38</v>
      </c>
      <c r="I100" s="445" t="s">
        <v>3397</v>
      </c>
      <c r="J100" s="446" t="s">
        <v>1670</v>
      </c>
      <c r="K100" s="447"/>
      <c r="L100" s="448"/>
      <c r="M100" s="448"/>
      <c r="N100" s="449">
        <v>1435614.9877436601</v>
      </c>
      <c r="O100" s="432">
        <v>85.710046093066794</v>
      </c>
      <c r="P100" s="429"/>
    </row>
    <row r="101" spans="1:16" ht="13.5" hidden="1" customHeight="1" outlineLevel="2" x14ac:dyDescent="0.2">
      <c r="A101" s="233">
        <v>0</v>
      </c>
      <c r="B101" s="233">
        <v>4</v>
      </c>
      <c r="C101" s="233">
        <v>2</v>
      </c>
      <c r="D101" s="234">
        <v>1</v>
      </c>
      <c r="E101" s="234">
        <v>0</v>
      </c>
      <c r="G101" s="450"/>
      <c r="H101" s="451" t="s">
        <v>1237</v>
      </c>
      <c r="I101" s="452" t="s">
        <v>3398</v>
      </c>
      <c r="J101" s="453" t="s">
        <v>2180</v>
      </c>
      <c r="K101" s="454"/>
      <c r="L101" s="455"/>
      <c r="M101" s="455"/>
      <c r="N101" s="456">
        <v>529090.66747543099</v>
      </c>
      <c r="O101" s="457">
        <v>31.588124869053001</v>
      </c>
      <c r="P101" s="430"/>
    </row>
    <row r="102" spans="1:16" ht="13.5" hidden="1" customHeight="1" outlineLevel="3" x14ac:dyDescent="0.2">
      <c r="A102" s="233">
        <v>0</v>
      </c>
      <c r="B102" s="233">
        <v>4</v>
      </c>
      <c r="C102" s="233">
        <v>2</v>
      </c>
      <c r="D102" s="234">
        <v>1</v>
      </c>
      <c r="E102" s="234">
        <v>1</v>
      </c>
      <c r="G102" s="458" t="s">
        <v>41</v>
      </c>
      <c r="H102" s="459" t="s">
        <v>1238</v>
      </c>
      <c r="I102" s="460" t="s">
        <v>3399</v>
      </c>
      <c r="J102" s="461" t="s">
        <v>1287</v>
      </c>
      <c r="K102" s="462" t="s">
        <v>641</v>
      </c>
      <c r="L102" s="463">
        <v>4874.3226000000004</v>
      </c>
      <c r="M102" s="463">
        <v>108.03522595041321</v>
      </c>
      <c r="N102" s="464">
        <v>526598.54344620602</v>
      </c>
      <c r="O102" s="465" t="s">
        <v>2824</v>
      </c>
      <c r="P102" s="431" t="s">
        <v>6711</v>
      </c>
    </row>
    <row r="103" spans="1:16" ht="13.5" hidden="1" customHeight="1" outlineLevel="3" x14ac:dyDescent="0.2">
      <c r="A103" s="233">
        <v>0</v>
      </c>
      <c r="B103" s="233">
        <v>4</v>
      </c>
      <c r="C103" s="233">
        <v>2</v>
      </c>
      <c r="D103" s="234">
        <v>1</v>
      </c>
      <c r="E103" s="234">
        <v>2</v>
      </c>
      <c r="G103" s="458" t="s">
        <v>41</v>
      </c>
      <c r="H103" s="459" t="s">
        <v>1238</v>
      </c>
      <c r="I103" s="460" t="s">
        <v>3400</v>
      </c>
      <c r="J103" s="461" t="s">
        <v>1288</v>
      </c>
      <c r="K103" s="462" t="s">
        <v>641</v>
      </c>
      <c r="L103" s="463">
        <v>626.57920000000001</v>
      </c>
      <c r="M103" s="463">
        <v>3.9773487999999997</v>
      </c>
      <c r="N103" s="464">
        <v>2492.1240292249599</v>
      </c>
      <c r="O103" s="465"/>
      <c r="P103" s="431" t="s">
        <v>6711</v>
      </c>
    </row>
    <row r="104" spans="1:16" ht="13.5" hidden="1" customHeight="1" outlineLevel="2" x14ac:dyDescent="0.2">
      <c r="A104" s="233">
        <v>0</v>
      </c>
      <c r="B104" s="233">
        <v>4</v>
      </c>
      <c r="C104" s="233">
        <v>2</v>
      </c>
      <c r="D104" s="234">
        <v>2</v>
      </c>
      <c r="E104" s="234">
        <v>0</v>
      </c>
      <c r="G104" s="450"/>
      <c r="H104" s="451" t="s">
        <v>1237</v>
      </c>
      <c r="I104" s="452" t="s">
        <v>3401</v>
      </c>
      <c r="J104" s="453" t="s">
        <v>2825</v>
      </c>
      <c r="K104" s="454"/>
      <c r="L104" s="455"/>
      <c r="M104" s="455"/>
      <c r="N104" s="456">
        <v>5458.0131426409598</v>
      </c>
      <c r="O104" s="457">
        <v>0.32585795079192398</v>
      </c>
      <c r="P104" s="430"/>
    </row>
    <row r="105" spans="1:16" ht="13.5" hidden="1" customHeight="1" outlineLevel="3" x14ac:dyDescent="0.2">
      <c r="A105" s="233">
        <v>0</v>
      </c>
      <c r="B105" s="233">
        <v>4</v>
      </c>
      <c r="C105" s="233">
        <v>2</v>
      </c>
      <c r="D105" s="234">
        <v>2</v>
      </c>
      <c r="E105" s="234">
        <v>1</v>
      </c>
      <c r="G105" s="458" t="s">
        <v>41</v>
      </c>
      <c r="H105" s="459" t="s">
        <v>1238</v>
      </c>
      <c r="I105" s="460" t="s">
        <v>3402</v>
      </c>
      <c r="J105" s="461" t="s">
        <v>1288</v>
      </c>
      <c r="K105" s="462" t="s">
        <v>641</v>
      </c>
      <c r="L105" s="463">
        <v>1372.2742000000001</v>
      </c>
      <c r="M105" s="463">
        <v>3.9773487999999997</v>
      </c>
      <c r="N105" s="464">
        <v>5458.0131426409598</v>
      </c>
      <c r="O105" s="465"/>
      <c r="P105" s="431" t="s">
        <v>6711</v>
      </c>
    </row>
    <row r="106" spans="1:16" ht="13.5" hidden="1" customHeight="1" outlineLevel="2" x14ac:dyDescent="0.2">
      <c r="A106" s="233">
        <v>0</v>
      </c>
      <c r="B106" s="233">
        <v>4</v>
      </c>
      <c r="C106" s="233">
        <v>2</v>
      </c>
      <c r="D106" s="234">
        <v>3</v>
      </c>
      <c r="E106" s="234">
        <v>0</v>
      </c>
      <c r="G106" s="450"/>
      <c r="H106" s="451" t="s">
        <v>1237</v>
      </c>
      <c r="I106" s="452" t="s">
        <v>3403</v>
      </c>
      <c r="J106" s="453" t="s">
        <v>2192</v>
      </c>
      <c r="K106" s="454"/>
      <c r="L106" s="455"/>
      <c r="M106" s="455"/>
      <c r="N106" s="456">
        <v>6043.1893350083201</v>
      </c>
      <c r="O106" s="457">
        <v>0.36079453117633498</v>
      </c>
      <c r="P106" s="430"/>
    </row>
    <row r="107" spans="1:16" ht="13.5" hidden="1" customHeight="1" outlineLevel="3" x14ac:dyDescent="0.2">
      <c r="A107" s="233">
        <v>0</v>
      </c>
      <c r="B107" s="233">
        <v>4</v>
      </c>
      <c r="C107" s="233">
        <v>2</v>
      </c>
      <c r="D107" s="234">
        <v>3</v>
      </c>
      <c r="E107" s="234">
        <v>1</v>
      </c>
      <c r="G107" s="458" t="s">
        <v>41</v>
      </c>
      <c r="H107" s="459" t="s">
        <v>1238</v>
      </c>
      <c r="I107" s="460" t="s">
        <v>3404</v>
      </c>
      <c r="J107" s="461" t="s">
        <v>1288</v>
      </c>
      <c r="K107" s="462" t="s">
        <v>641</v>
      </c>
      <c r="L107" s="463">
        <v>1519.4014000000002</v>
      </c>
      <c r="M107" s="463">
        <v>3.9773487999999997</v>
      </c>
      <c r="N107" s="464">
        <v>6043.1893350083201</v>
      </c>
      <c r="O107" s="465"/>
      <c r="P107" s="431" t="s">
        <v>6711</v>
      </c>
    </row>
    <row r="108" spans="1:16" ht="13.5" hidden="1" customHeight="1" outlineLevel="2" x14ac:dyDescent="0.2">
      <c r="A108" s="233">
        <v>0</v>
      </c>
      <c r="B108" s="233">
        <v>4</v>
      </c>
      <c r="C108" s="233">
        <v>2</v>
      </c>
      <c r="D108" s="234">
        <v>4</v>
      </c>
      <c r="E108" s="234">
        <v>0</v>
      </c>
      <c r="G108" s="450"/>
      <c r="H108" s="451" t="s">
        <v>1237</v>
      </c>
      <c r="I108" s="452" t="s">
        <v>3405</v>
      </c>
      <c r="J108" s="453" t="s">
        <v>2193</v>
      </c>
      <c r="K108" s="454"/>
      <c r="L108" s="455"/>
      <c r="M108" s="455"/>
      <c r="N108" s="456">
        <v>6025.3906991283202</v>
      </c>
      <c r="O108" s="457">
        <v>0.359731905113851</v>
      </c>
      <c r="P108" s="430"/>
    </row>
    <row r="109" spans="1:16" ht="13.5" hidden="1" customHeight="1" outlineLevel="3" x14ac:dyDescent="0.2">
      <c r="A109" s="233">
        <v>0</v>
      </c>
      <c r="B109" s="233">
        <v>4</v>
      </c>
      <c r="C109" s="233">
        <v>2</v>
      </c>
      <c r="D109" s="234">
        <v>4</v>
      </c>
      <c r="E109" s="234">
        <v>1</v>
      </c>
      <c r="G109" s="458" t="s">
        <v>41</v>
      </c>
      <c r="H109" s="459" t="s">
        <v>1238</v>
      </c>
      <c r="I109" s="460" t="s">
        <v>3406</v>
      </c>
      <c r="J109" s="461" t="s">
        <v>1288</v>
      </c>
      <c r="K109" s="462" t="s">
        <v>641</v>
      </c>
      <c r="L109" s="463">
        <v>1514.9263999999998</v>
      </c>
      <c r="M109" s="463">
        <v>3.9773487999999997</v>
      </c>
      <c r="N109" s="464">
        <v>6025.3906991283202</v>
      </c>
      <c r="O109" s="465"/>
      <c r="P109" s="431" t="s">
        <v>6711</v>
      </c>
    </row>
    <row r="110" spans="1:16" ht="13.5" hidden="1" customHeight="1" outlineLevel="2" x14ac:dyDescent="0.2">
      <c r="A110" s="233">
        <v>0</v>
      </c>
      <c r="B110" s="233">
        <v>4</v>
      </c>
      <c r="C110" s="233">
        <v>2</v>
      </c>
      <c r="D110" s="234">
        <v>5</v>
      </c>
      <c r="E110" s="234">
        <v>0</v>
      </c>
      <c r="G110" s="450"/>
      <c r="H110" s="451" t="s">
        <v>1237</v>
      </c>
      <c r="I110" s="452" t="s">
        <v>3407</v>
      </c>
      <c r="J110" s="453" t="s">
        <v>2826</v>
      </c>
      <c r="K110" s="454"/>
      <c r="L110" s="455"/>
      <c r="M110" s="455"/>
      <c r="N110" s="456">
        <v>6027.7771084083197</v>
      </c>
      <c r="O110" s="457">
        <v>0.35987438011664202</v>
      </c>
      <c r="P110" s="430"/>
    </row>
    <row r="111" spans="1:16" ht="13.5" hidden="1" customHeight="1" outlineLevel="3" x14ac:dyDescent="0.2">
      <c r="A111" s="233">
        <v>0</v>
      </c>
      <c r="B111" s="233">
        <v>4</v>
      </c>
      <c r="C111" s="233">
        <v>2</v>
      </c>
      <c r="D111" s="234">
        <v>5</v>
      </c>
      <c r="E111" s="234">
        <v>1</v>
      </c>
      <c r="G111" s="458" t="s">
        <v>41</v>
      </c>
      <c r="H111" s="459" t="s">
        <v>1238</v>
      </c>
      <c r="I111" s="460" t="s">
        <v>3408</v>
      </c>
      <c r="J111" s="461" t="s">
        <v>1288</v>
      </c>
      <c r="K111" s="462" t="s">
        <v>641</v>
      </c>
      <c r="L111" s="463">
        <v>1515.5263999999997</v>
      </c>
      <c r="M111" s="463">
        <v>3.9773487999999997</v>
      </c>
      <c r="N111" s="464">
        <v>6027.7771084083197</v>
      </c>
      <c r="O111" s="465"/>
      <c r="P111" s="431" t="s">
        <v>6711</v>
      </c>
    </row>
    <row r="112" spans="1:16" ht="13.5" hidden="1" customHeight="1" outlineLevel="2" x14ac:dyDescent="0.2">
      <c r="A112" s="233">
        <v>0</v>
      </c>
      <c r="B112" s="233">
        <v>4</v>
      </c>
      <c r="C112" s="233">
        <v>2</v>
      </c>
      <c r="D112" s="234">
        <v>6</v>
      </c>
      <c r="E112" s="234">
        <v>0</v>
      </c>
      <c r="G112" s="450"/>
      <c r="H112" s="451" t="s">
        <v>1237</v>
      </c>
      <c r="I112" s="452" t="s">
        <v>3409</v>
      </c>
      <c r="J112" s="453" t="s">
        <v>2827</v>
      </c>
      <c r="K112" s="454"/>
      <c r="L112" s="455"/>
      <c r="M112" s="455"/>
      <c r="N112" s="456">
        <v>6126.0176237683199</v>
      </c>
      <c r="O112" s="457">
        <v>0.36573960106487602</v>
      </c>
      <c r="P112" s="430"/>
    </row>
    <row r="113" spans="1:16" ht="13.5" hidden="1" customHeight="1" outlineLevel="3" x14ac:dyDescent="0.2">
      <c r="A113" s="233">
        <v>0</v>
      </c>
      <c r="B113" s="233">
        <v>4</v>
      </c>
      <c r="C113" s="233">
        <v>2</v>
      </c>
      <c r="D113" s="234">
        <v>6</v>
      </c>
      <c r="E113" s="234">
        <v>1</v>
      </c>
      <c r="G113" s="458" t="s">
        <v>41</v>
      </c>
      <c r="H113" s="459" t="s">
        <v>1238</v>
      </c>
      <c r="I113" s="460" t="s">
        <v>3410</v>
      </c>
      <c r="J113" s="461" t="s">
        <v>1288</v>
      </c>
      <c r="K113" s="462" t="s">
        <v>641</v>
      </c>
      <c r="L113" s="463">
        <v>1540.2264</v>
      </c>
      <c r="M113" s="463">
        <v>3.9773487999999997</v>
      </c>
      <c r="N113" s="464">
        <v>6126.0176237683199</v>
      </c>
      <c r="O113" s="465"/>
      <c r="P113" s="431" t="s">
        <v>6711</v>
      </c>
    </row>
    <row r="114" spans="1:16" ht="13.5" hidden="1" customHeight="1" outlineLevel="2" x14ac:dyDescent="0.2">
      <c r="A114" s="233">
        <v>0</v>
      </c>
      <c r="B114" s="233">
        <v>4</v>
      </c>
      <c r="C114" s="233">
        <v>2</v>
      </c>
      <c r="D114" s="234">
        <v>7</v>
      </c>
      <c r="E114" s="234">
        <v>0</v>
      </c>
      <c r="G114" s="450"/>
      <c r="H114" s="451" t="s">
        <v>1237</v>
      </c>
      <c r="I114" s="452" t="s">
        <v>3411</v>
      </c>
      <c r="J114" s="453" t="s">
        <v>2194</v>
      </c>
      <c r="K114" s="454"/>
      <c r="L114" s="455"/>
      <c r="M114" s="455"/>
      <c r="N114" s="456">
        <v>7083.7632148083203</v>
      </c>
      <c r="O114" s="457">
        <v>0.42291956885170401</v>
      </c>
      <c r="P114" s="430"/>
    </row>
    <row r="115" spans="1:16" ht="13.5" hidden="1" customHeight="1" outlineLevel="3" x14ac:dyDescent="0.2">
      <c r="A115" s="233">
        <v>0</v>
      </c>
      <c r="B115" s="233">
        <v>4</v>
      </c>
      <c r="C115" s="233">
        <v>2</v>
      </c>
      <c r="D115" s="234">
        <v>7</v>
      </c>
      <c r="E115" s="234">
        <v>1</v>
      </c>
      <c r="G115" s="458" t="s">
        <v>41</v>
      </c>
      <c r="H115" s="459" t="s">
        <v>1238</v>
      </c>
      <c r="I115" s="460" t="s">
        <v>3412</v>
      </c>
      <c r="J115" s="461" t="s">
        <v>1288</v>
      </c>
      <c r="K115" s="462" t="s">
        <v>641</v>
      </c>
      <c r="L115" s="463">
        <v>1781.0264000000002</v>
      </c>
      <c r="M115" s="463">
        <v>3.9773487999999997</v>
      </c>
      <c r="N115" s="464">
        <v>7083.7632148083203</v>
      </c>
      <c r="O115" s="465"/>
      <c r="P115" s="431" t="s">
        <v>6711</v>
      </c>
    </row>
    <row r="116" spans="1:16" ht="13.5" hidden="1" customHeight="1" outlineLevel="2" x14ac:dyDescent="0.2">
      <c r="A116" s="233">
        <v>0</v>
      </c>
      <c r="B116" s="233">
        <v>4</v>
      </c>
      <c r="C116" s="233">
        <v>2</v>
      </c>
      <c r="D116" s="234">
        <v>8</v>
      </c>
      <c r="E116" s="234">
        <v>0</v>
      </c>
      <c r="G116" s="450"/>
      <c r="H116" s="451" t="s">
        <v>1237</v>
      </c>
      <c r="I116" s="452" t="s">
        <v>3413</v>
      </c>
      <c r="J116" s="453" t="s">
        <v>2828</v>
      </c>
      <c r="K116" s="454"/>
      <c r="L116" s="455"/>
      <c r="M116" s="455"/>
      <c r="N116" s="456">
        <v>2257.64818088832</v>
      </c>
      <c r="O116" s="457">
        <v>0.134787621540503</v>
      </c>
      <c r="P116" s="430"/>
    </row>
    <row r="117" spans="1:16" ht="13.5" hidden="1" customHeight="1" outlineLevel="3" x14ac:dyDescent="0.2">
      <c r="A117" s="233">
        <v>0</v>
      </c>
      <c r="B117" s="233">
        <v>4</v>
      </c>
      <c r="C117" s="233">
        <v>2</v>
      </c>
      <c r="D117" s="234">
        <v>8</v>
      </c>
      <c r="E117" s="234">
        <v>1</v>
      </c>
      <c r="G117" s="458" t="s">
        <v>41</v>
      </c>
      <c r="H117" s="459" t="s">
        <v>1238</v>
      </c>
      <c r="I117" s="460" t="s">
        <v>3414</v>
      </c>
      <c r="J117" s="461" t="s">
        <v>1288</v>
      </c>
      <c r="K117" s="462" t="s">
        <v>641</v>
      </c>
      <c r="L117" s="463">
        <v>567.62639999999999</v>
      </c>
      <c r="M117" s="463">
        <v>3.9773487999999997</v>
      </c>
      <c r="N117" s="464">
        <v>2257.64818088832</v>
      </c>
      <c r="O117" s="465"/>
      <c r="P117" s="431" t="s">
        <v>6711</v>
      </c>
    </row>
    <row r="118" spans="1:16" ht="13.5" hidden="1" customHeight="1" outlineLevel="2" x14ac:dyDescent="0.2">
      <c r="A118" s="233">
        <v>0</v>
      </c>
      <c r="B118" s="233">
        <v>4</v>
      </c>
      <c r="C118" s="233">
        <v>2</v>
      </c>
      <c r="D118" s="234">
        <v>9</v>
      </c>
      <c r="E118" s="234">
        <v>0</v>
      </c>
      <c r="G118" s="450"/>
      <c r="H118" s="451" t="s">
        <v>1237</v>
      </c>
      <c r="I118" s="452" t="s">
        <v>3415</v>
      </c>
      <c r="J118" s="453" t="s">
        <v>2195</v>
      </c>
      <c r="K118" s="454"/>
      <c r="L118" s="455"/>
      <c r="M118" s="455"/>
      <c r="N118" s="456">
        <v>5314.6384685683197</v>
      </c>
      <c r="O118" s="457">
        <v>0.31729810011590198</v>
      </c>
      <c r="P118" s="430"/>
    </row>
    <row r="119" spans="1:16" ht="13.5" hidden="1" customHeight="1" outlineLevel="3" x14ac:dyDescent="0.2">
      <c r="A119" s="233">
        <v>0</v>
      </c>
      <c r="B119" s="233">
        <v>4</v>
      </c>
      <c r="C119" s="233">
        <v>2</v>
      </c>
      <c r="D119" s="234">
        <v>9</v>
      </c>
      <c r="E119" s="234">
        <v>1</v>
      </c>
      <c r="G119" s="458" t="s">
        <v>41</v>
      </c>
      <c r="H119" s="459" t="s">
        <v>1238</v>
      </c>
      <c r="I119" s="460" t="s">
        <v>3416</v>
      </c>
      <c r="J119" s="461" t="s">
        <v>1288</v>
      </c>
      <c r="K119" s="462" t="s">
        <v>641</v>
      </c>
      <c r="L119" s="463">
        <v>1336.2264</v>
      </c>
      <c r="M119" s="463">
        <v>3.9773487999999997</v>
      </c>
      <c r="N119" s="464">
        <v>5314.6384685683197</v>
      </c>
      <c r="O119" s="465"/>
      <c r="P119" s="431" t="s">
        <v>6711</v>
      </c>
    </row>
    <row r="120" spans="1:16" ht="13.5" hidden="1" customHeight="1" outlineLevel="2" x14ac:dyDescent="0.2">
      <c r="A120" s="233">
        <v>0</v>
      </c>
      <c r="B120" s="233">
        <v>4</v>
      </c>
      <c r="C120" s="233">
        <v>2</v>
      </c>
      <c r="D120" s="234">
        <v>10</v>
      </c>
      <c r="E120" s="234">
        <v>0</v>
      </c>
      <c r="G120" s="450"/>
      <c r="H120" s="451" t="s">
        <v>1237</v>
      </c>
      <c r="I120" s="452" t="s">
        <v>3417</v>
      </c>
      <c r="J120" s="453" t="s">
        <v>2196</v>
      </c>
      <c r="K120" s="454"/>
      <c r="L120" s="455"/>
      <c r="M120" s="455"/>
      <c r="N120" s="456">
        <v>3960.5102961203202</v>
      </c>
      <c r="O120" s="457">
        <v>0.23645303436547199</v>
      </c>
      <c r="P120" s="430"/>
    </row>
    <row r="121" spans="1:16" ht="13.5" hidden="1" customHeight="1" outlineLevel="3" x14ac:dyDescent="0.2">
      <c r="A121" s="233">
        <v>0</v>
      </c>
      <c r="B121" s="233">
        <v>4</v>
      </c>
      <c r="C121" s="233">
        <v>2</v>
      </c>
      <c r="D121" s="234">
        <v>10</v>
      </c>
      <c r="E121" s="234">
        <v>1</v>
      </c>
      <c r="G121" s="458" t="s">
        <v>41</v>
      </c>
      <c r="H121" s="459" t="s">
        <v>1238</v>
      </c>
      <c r="I121" s="460" t="s">
        <v>3418</v>
      </c>
      <c r="J121" s="461" t="s">
        <v>1288</v>
      </c>
      <c r="K121" s="462" t="s">
        <v>641</v>
      </c>
      <c r="L121" s="463">
        <v>995.76639999999998</v>
      </c>
      <c r="M121" s="463">
        <v>3.9773487999999997</v>
      </c>
      <c r="N121" s="464">
        <v>3960.5102961203202</v>
      </c>
      <c r="O121" s="465"/>
      <c r="P121" s="431" t="s">
        <v>6711</v>
      </c>
    </row>
    <row r="122" spans="1:16" ht="13.5" hidden="1" customHeight="1" outlineLevel="2" x14ac:dyDescent="0.2">
      <c r="A122" s="233">
        <v>0</v>
      </c>
      <c r="B122" s="233">
        <v>4</v>
      </c>
      <c r="C122" s="233">
        <v>2</v>
      </c>
      <c r="D122" s="234">
        <v>11</v>
      </c>
      <c r="E122" s="234">
        <v>0</v>
      </c>
      <c r="G122" s="450"/>
      <c r="H122" s="451" t="s">
        <v>1237</v>
      </c>
      <c r="I122" s="452" t="s">
        <v>3419</v>
      </c>
      <c r="J122" s="453" t="s">
        <v>2197</v>
      </c>
      <c r="K122" s="454"/>
      <c r="L122" s="455"/>
      <c r="M122" s="455"/>
      <c r="N122" s="456">
        <v>220303.086282773</v>
      </c>
      <c r="O122" s="457">
        <v>13.1526821891281</v>
      </c>
      <c r="P122" s="430"/>
    </row>
    <row r="123" spans="1:16" ht="13.5" hidden="1" customHeight="1" outlineLevel="3" x14ac:dyDescent="0.2">
      <c r="A123" s="233">
        <v>0</v>
      </c>
      <c r="B123" s="233">
        <v>4</v>
      </c>
      <c r="C123" s="233">
        <v>2</v>
      </c>
      <c r="D123" s="234">
        <v>11</v>
      </c>
      <c r="E123" s="234">
        <v>1</v>
      </c>
      <c r="G123" s="458" t="s">
        <v>41</v>
      </c>
      <c r="H123" s="459" t="s">
        <v>1238</v>
      </c>
      <c r="I123" s="460" t="s">
        <v>3420</v>
      </c>
      <c r="J123" s="461" t="s">
        <v>1287</v>
      </c>
      <c r="K123" s="462" t="s">
        <v>641</v>
      </c>
      <c r="L123" s="463">
        <v>1777.4315999999999</v>
      </c>
      <c r="M123" s="463">
        <v>108.03522595041321</v>
      </c>
      <c r="N123" s="464">
        <v>192025.22451740401</v>
      </c>
      <c r="O123" s="465" t="s">
        <v>2829</v>
      </c>
      <c r="P123" s="431" t="s">
        <v>6711</v>
      </c>
    </row>
    <row r="124" spans="1:16" ht="13.5" hidden="1" customHeight="1" outlineLevel="3" x14ac:dyDescent="0.2">
      <c r="A124" s="233">
        <v>0</v>
      </c>
      <c r="B124" s="233">
        <v>4</v>
      </c>
      <c r="C124" s="233">
        <v>2</v>
      </c>
      <c r="D124" s="234">
        <v>11</v>
      </c>
      <c r="E124" s="234">
        <v>2</v>
      </c>
      <c r="G124" s="458" t="s">
        <v>41</v>
      </c>
      <c r="H124" s="459" t="s">
        <v>1238</v>
      </c>
      <c r="I124" s="460" t="s">
        <v>3421</v>
      </c>
      <c r="J124" s="461" t="s">
        <v>1288</v>
      </c>
      <c r="K124" s="462" t="s">
        <v>641</v>
      </c>
      <c r="L124" s="463">
        <v>7109.7264000000005</v>
      </c>
      <c r="M124" s="463">
        <v>3.9773487999999997</v>
      </c>
      <c r="N124" s="464">
        <v>28277.8617653683</v>
      </c>
      <c r="O124" s="465"/>
      <c r="P124" s="431" t="s">
        <v>6711</v>
      </c>
    </row>
    <row r="125" spans="1:16" ht="13.5" hidden="1" customHeight="1" outlineLevel="2" x14ac:dyDescent="0.2">
      <c r="A125" s="233">
        <v>0</v>
      </c>
      <c r="B125" s="233">
        <v>4</v>
      </c>
      <c r="C125" s="233">
        <v>2</v>
      </c>
      <c r="D125" s="234">
        <v>12</v>
      </c>
      <c r="E125" s="234">
        <v>0</v>
      </c>
      <c r="G125" s="450"/>
      <c r="H125" s="451" t="s">
        <v>1237</v>
      </c>
      <c r="I125" s="452" t="s">
        <v>3422</v>
      </c>
      <c r="J125" s="453" t="s">
        <v>2198</v>
      </c>
      <c r="K125" s="454"/>
      <c r="L125" s="455"/>
      <c r="M125" s="455"/>
      <c r="N125" s="456">
        <v>367376.964117422</v>
      </c>
      <c r="O125" s="457">
        <v>21.933385202061999</v>
      </c>
      <c r="P125" s="430"/>
    </row>
    <row r="126" spans="1:16" ht="13.5" hidden="1" customHeight="1" outlineLevel="3" x14ac:dyDescent="0.2">
      <c r="A126" s="233">
        <v>0</v>
      </c>
      <c r="B126" s="233">
        <v>4</v>
      </c>
      <c r="C126" s="233">
        <v>2</v>
      </c>
      <c r="D126" s="234">
        <v>12</v>
      </c>
      <c r="E126" s="234">
        <v>1</v>
      </c>
      <c r="G126" s="458" t="s">
        <v>41</v>
      </c>
      <c r="H126" s="459" t="s">
        <v>1238</v>
      </c>
      <c r="I126" s="460" t="s">
        <v>3423</v>
      </c>
      <c r="J126" s="461" t="s">
        <v>1287</v>
      </c>
      <c r="K126" s="462" t="s">
        <v>641</v>
      </c>
      <c r="L126" s="463">
        <v>2677.6268181818182</v>
      </c>
      <c r="M126" s="463">
        <v>108.03522595041321</v>
      </c>
      <c r="N126" s="464">
        <v>289278.018313159</v>
      </c>
      <c r="O126" s="465" t="s">
        <v>2824</v>
      </c>
      <c r="P126" s="431" t="s">
        <v>6711</v>
      </c>
    </row>
    <row r="127" spans="1:16" ht="13.5" hidden="1" customHeight="1" outlineLevel="3" x14ac:dyDescent="0.2">
      <c r="A127" s="233">
        <v>0</v>
      </c>
      <c r="B127" s="233">
        <v>4</v>
      </c>
      <c r="C127" s="233">
        <v>2</v>
      </c>
      <c r="D127" s="234">
        <v>12</v>
      </c>
      <c r="E127" s="234">
        <v>2</v>
      </c>
      <c r="G127" s="458" t="s">
        <v>41</v>
      </c>
      <c r="H127" s="459" t="s">
        <v>1238</v>
      </c>
      <c r="I127" s="460" t="s">
        <v>3424</v>
      </c>
      <c r="J127" s="461" t="s">
        <v>1288</v>
      </c>
      <c r="K127" s="462" t="s">
        <v>641</v>
      </c>
      <c r="L127" s="463">
        <v>19635.930800000013</v>
      </c>
      <c r="M127" s="463">
        <v>3.9773487999999997</v>
      </c>
      <c r="N127" s="464">
        <v>78098.945804263101</v>
      </c>
      <c r="O127" s="465"/>
      <c r="P127" s="431" t="s">
        <v>6711</v>
      </c>
    </row>
    <row r="128" spans="1:16" ht="13.5" hidden="1" customHeight="1" outlineLevel="2" x14ac:dyDescent="0.2">
      <c r="A128" s="233">
        <v>0</v>
      </c>
      <c r="B128" s="233">
        <v>4</v>
      </c>
      <c r="C128" s="233">
        <v>2</v>
      </c>
      <c r="D128" s="234">
        <v>13</v>
      </c>
      <c r="E128" s="234">
        <v>0</v>
      </c>
      <c r="G128" s="450"/>
      <c r="H128" s="451" t="s">
        <v>1237</v>
      </c>
      <c r="I128" s="452" t="s">
        <v>3425</v>
      </c>
      <c r="J128" s="453" t="s">
        <v>2830</v>
      </c>
      <c r="K128" s="454"/>
      <c r="L128" s="455"/>
      <c r="M128" s="455"/>
      <c r="N128" s="456">
        <v>102875.305782753</v>
      </c>
      <c r="O128" s="457">
        <v>6.1419303056569401</v>
      </c>
      <c r="P128" s="430"/>
    </row>
    <row r="129" spans="1:16" ht="13.5" hidden="1" customHeight="1" outlineLevel="3" x14ac:dyDescent="0.2">
      <c r="A129" s="233">
        <v>0</v>
      </c>
      <c r="B129" s="233">
        <v>4</v>
      </c>
      <c r="C129" s="233">
        <v>2</v>
      </c>
      <c r="D129" s="234">
        <v>13</v>
      </c>
      <c r="E129" s="234">
        <v>1</v>
      </c>
      <c r="G129" s="458" t="s">
        <v>41</v>
      </c>
      <c r="H129" s="459" t="s">
        <v>1238</v>
      </c>
      <c r="I129" s="460" t="s">
        <v>3426</v>
      </c>
      <c r="J129" s="461" t="s">
        <v>1287</v>
      </c>
      <c r="K129" s="462" t="s">
        <v>641</v>
      </c>
      <c r="L129" s="463">
        <v>918.42639999999994</v>
      </c>
      <c r="M129" s="463">
        <v>108.03522595041321</v>
      </c>
      <c r="N129" s="464">
        <v>99222.403642824604</v>
      </c>
      <c r="O129" s="465" t="s">
        <v>2831</v>
      </c>
      <c r="P129" s="431" t="s">
        <v>6711</v>
      </c>
    </row>
    <row r="130" spans="1:16" ht="13.5" hidden="1" customHeight="1" outlineLevel="3" x14ac:dyDescent="0.2">
      <c r="A130" s="233">
        <v>0</v>
      </c>
      <c r="B130" s="233">
        <v>4</v>
      </c>
      <c r="C130" s="233">
        <v>2</v>
      </c>
      <c r="D130" s="234">
        <v>13</v>
      </c>
      <c r="E130" s="234">
        <v>2</v>
      </c>
      <c r="G130" s="458" t="s">
        <v>41</v>
      </c>
      <c r="H130" s="459" t="s">
        <v>1238</v>
      </c>
      <c r="I130" s="460" t="s">
        <v>3427</v>
      </c>
      <c r="J130" s="461" t="s">
        <v>1288</v>
      </c>
      <c r="K130" s="462" t="s">
        <v>641</v>
      </c>
      <c r="L130" s="463">
        <v>918.42639999999994</v>
      </c>
      <c r="M130" s="463">
        <v>3.9773487999999997</v>
      </c>
      <c r="N130" s="464">
        <v>3652.9021399283201</v>
      </c>
      <c r="O130" s="465"/>
      <c r="P130" s="431" t="s">
        <v>6711</v>
      </c>
    </row>
    <row r="131" spans="1:16" ht="13.5" hidden="1" customHeight="1" outlineLevel="2" x14ac:dyDescent="0.2">
      <c r="A131" s="233">
        <v>0</v>
      </c>
      <c r="B131" s="233">
        <v>4</v>
      </c>
      <c r="C131" s="233">
        <v>2</v>
      </c>
      <c r="D131" s="234">
        <v>14</v>
      </c>
      <c r="E131" s="234">
        <v>0</v>
      </c>
      <c r="G131" s="450"/>
      <c r="H131" s="451" t="s">
        <v>1237</v>
      </c>
      <c r="I131" s="452" t="s">
        <v>3428</v>
      </c>
      <c r="J131" s="453" t="s">
        <v>2832</v>
      </c>
      <c r="K131" s="454"/>
      <c r="L131" s="455"/>
      <c r="M131" s="455"/>
      <c r="N131" s="456">
        <v>3290.6054377363198</v>
      </c>
      <c r="O131" s="457">
        <v>0.196457926498631</v>
      </c>
      <c r="P131" s="430"/>
    </row>
    <row r="132" spans="1:16" ht="13.5" hidden="1" customHeight="1" outlineLevel="3" x14ac:dyDescent="0.2">
      <c r="A132" s="233">
        <v>0</v>
      </c>
      <c r="B132" s="233">
        <v>4</v>
      </c>
      <c r="C132" s="233">
        <v>2</v>
      </c>
      <c r="D132" s="234">
        <v>14</v>
      </c>
      <c r="E132" s="234">
        <v>1</v>
      </c>
      <c r="G132" s="458" t="s">
        <v>41</v>
      </c>
      <c r="H132" s="459" t="s">
        <v>1238</v>
      </c>
      <c r="I132" s="460" t="s">
        <v>3429</v>
      </c>
      <c r="J132" s="461" t="s">
        <v>1288</v>
      </c>
      <c r="K132" s="462" t="s">
        <v>641</v>
      </c>
      <c r="L132" s="463">
        <v>827.33640000000003</v>
      </c>
      <c r="M132" s="463">
        <v>3.9773487999999997</v>
      </c>
      <c r="N132" s="464">
        <v>3290.6054377363198</v>
      </c>
      <c r="O132" s="465"/>
      <c r="P132" s="431" t="s">
        <v>6711</v>
      </c>
    </row>
    <row r="133" spans="1:16" ht="13.5" hidden="1" customHeight="1" outlineLevel="2" x14ac:dyDescent="0.2">
      <c r="A133" s="233">
        <v>0</v>
      </c>
      <c r="B133" s="233">
        <v>4</v>
      </c>
      <c r="C133" s="233">
        <v>2</v>
      </c>
      <c r="D133" s="234">
        <v>15</v>
      </c>
      <c r="E133" s="234">
        <v>0</v>
      </c>
      <c r="G133" s="450"/>
      <c r="H133" s="451" t="s">
        <v>1237</v>
      </c>
      <c r="I133" s="452" t="s">
        <v>3430</v>
      </c>
      <c r="J133" s="453" t="s">
        <v>2199</v>
      </c>
      <c r="K133" s="454"/>
      <c r="L133" s="455"/>
      <c r="M133" s="455"/>
      <c r="N133" s="456">
        <v>105163.722684904</v>
      </c>
      <c r="O133" s="457">
        <v>6.2785549019714297</v>
      </c>
      <c r="P133" s="430"/>
    </row>
    <row r="134" spans="1:16" ht="13.5" hidden="1" customHeight="1" outlineLevel="3" x14ac:dyDescent="0.2">
      <c r="A134" s="233">
        <v>0</v>
      </c>
      <c r="B134" s="233">
        <v>4</v>
      </c>
      <c r="C134" s="233">
        <v>2</v>
      </c>
      <c r="D134" s="234">
        <v>15</v>
      </c>
      <c r="E134" s="234">
        <v>1</v>
      </c>
      <c r="G134" s="458" t="s">
        <v>41</v>
      </c>
      <c r="H134" s="459" t="s">
        <v>1238</v>
      </c>
      <c r="I134" s="460" t="s">
        <v>3431</v>
      </c>
      <c r="J134" s="461" t="s">
        <v>1287</v>
      </c>
      <c r="K134" s="462" t="s">
        <v>641</v>
      </c>
      <c r="L134" s="463">
        <v>938.85639999999989</v>
      </c>
      <c r="M134" s="463">
        <v>108.03522595041321</v>
      </c>
      <c r="N134" s="464">
        <v>101429.563308992</v>
      </c>
      <c r="O134" s="465" t="s">
        <v>2833</v>
      </c>
      <c r="P134" s="431" t="s">
        <v>6711</v>
      </c>
    </row>
    <row r="135" spans="1:16" ht="13.5" hidden="1" customHeight="1" outlineLevel="3" x14ac:dyDescent="0.2">
      <c r="A135" s="233">
        <v>0</v>
      </c>
      <c r="B135" s="233">
        <v>4</v>
      </c>
      <c r="C135" s="233">
        <v>2</v>
      </c>
      <c r="D135" s="234">
        <v>15</v>
      </c>
      <c r="E135" s="234">
        <v>2</v>
      </c>
      <c r="G135" s="458" t="s">
        <v>41</v>
      </c>
      <c r="H135" s="459" t="s">
        <v>1238</v>
      </c>
      <c r="I135" s="460" t="s">
        <v>3432</v>
      </c>
      <c r="J135" s="461" t="s">
        <v>1288</v>
      </c>
      <c r="K135" s="462" t="s">
        <v>641</v>
      </c>
      <c r="L135" s="463">
        <v>938.85639999999989</v>
      </c>
      <c r="M135" s="463">
        <v>3.9773487999999997</v>
      </c>
      <c r="N135" s="464">
        <v>3734.1593759123198</v>
      </c>
      <c r="O135" s="465"/>
      <c r="P135" s="431" t="s">
        <v>6711</v>
      </c>
    </row>
    <row r="136" spans="1:16" ht="13.5" hidden="1" customHeight="1" outlineLevel="2" x14ac:dyDescent="0.2">
      <c r="A136" s="233">
        <v>0</v>
      </c>
      <c r="B136" s="233">
        <v>4</v>
      </c>
      <c r="C136" s="233">
        <v>2</v>
      </c>
      <c r="D136" s="234">
        <v>16</v>
      </c>
      <c r="E136" s="234">
        <v>0</v>
      </c>
      <c r="G136" s="450"/>
      <c r="H136" s="451" t="s">
        <v>1237</v>
      </c>
      <c r="I136" s="452" t="s">
        <v>3433</v>
      </c>
      <c r="J136" s="453" t="s">
        <v>2200</v>
      </c>
      <c r="K136" s="454"/>
      <c r="L136" s="455"/>
      <c r="M136" s="455"/>
      <c r="N136" s="456">
        <v>59217.687893301001</v>
      </c>
      <c r="O136" s="457">
        <v>3.5354540055595698</v>
      </c>
      <c r="P136" s="430"/>
    </row>
    <row r="137" spans="1:16" ht="13.5" hidden="1" customHeight="1" outlineLevel="3" x14ac:dyDescent="0.2">
      <c r="A137" s="233">
        <v>0</v>
      </c>
      <c r="B137" s="233">
        <v>4</v>
      </c>
      <c r="C137" s="233">
        <v>2</v>
      </c>
      <c r="D137" s="234">
        <v>16</v>
      </c>
      <c r="E137" s="234">
        <v>1</v>
      </c>
      <c r="G137" s="458" t="s">
        <v>41</v>
      </c>
      <c r="H137" s="459" t="s">
        <v>1238</v>
      </c>
      <c r="I137" s="460" t="s">
        <v>3434</v>
      </c>
      <c r="J137" s="461" t="s">
        <v>1287</v>
      </c>
      <c r="K137" s="462" t="s">
        <v>641</v>
      </c>
      <c r="L137" s="463">
        <v>528.67000000000007</v>
      </c>
      <c r="M137" s="463">
        <v>108.03522595041321</v>
      </c>
      <c r="N137" s="464">
        <v>57114.982903204997</v>
      </c>
      <c r="O137" s="465" t="s">
        <v>2833</v>
      </c>
      <c r="P137" s="431" t="s">
        <v>6711</v>
      </c>
    </row>
    <row r="138" spans="1:16" ht="13.5" hidden="1" customHeight="1" outlineLevel="3" x14ac:dyDescent="0.2">
      <c r="A138" s="233">
        <v>0</v>
      </c>
      <c r="B138" s="233">
        <v>4</v>
      </c>
      <c r="C138" s="233">
        <v>2</v>
      </c>
      <c r="D138" s="234">
        <v>16</v>
      </c>
      <c r="E138" s="234">
        <v>2</v>
      </c>
      <c r="G138" s="458" t="s">
        <v>41</v>
      </c>
      <c r="H138" s="459" t="s">
        <v>1238</v>
      </c>
      <c r="I138" s="460" t="s">
        <v>3435</v>
      </c>
      <c r="J138" s="461" t="s">
        <v>1288</v>
      </c>
      <c r="K138" s="462" t="s">
        <v>641</v>
      </c>
      <c r="L138" s="463">
        <v>528.67000000000007</v>
      </c>
      <c r="M138" s="463">
        <v>3.9773487999999997</v>
      </c>
      <c r="N138" s="464">
        <v>2102.7049900960001</v>
      </c>
      <c r="O138" s="465"/>
      <c r="P138" s="431" t="s">
        <v>6711</v>
      </c>
    </row>
    <row r="139" spans="1:16" ht="13.5" hidden="1" customHeight="1" outlineLevel="1" x14ac:dyDescent="0.2">
      <c r="A139" s="233">
        <v>0</v>
      </c>
      <c r="B139" s="233">
        <v>4</v>
      </c>
      <c r="C139" s="233">
        <v>3</v>
      </c>
      <c r="D139" s="234">
        <v>0</v>
      </c>
      <c r="E139" s="234">
        <v>2</v>
      </c>
      <c r="G139" s="443"/>
      <c r="H139" s="444" t="s">
        <v>38</v>
      </c>
      <c r="I139" s="445" t="s">
        <v>3436</v>
      </c>
      <c r="J139" s="446" t="s">
        <v>1671</v>
      </c>
      <c r="K139" s="447"/>
      <c r="L139" s="448"/>
      <c r="M139" s="448"/>
      <c r="N139" s="449">
        <v>7497705.1095954003</v>
      </c>
      <c r="O139" s="432">
        <v>447.63300468578802</v>
      </c>
      <c r="P139" s="429"/>
    </row>
    <row r="140" spans="1:16" ht="13.5" hidden="1" customHeight="1" outlineLevel="2" x14ac:dyDescent="0.2">
      <c r="A140" s="233">
        <v>0</v>
      </c>
      <c r="B140" s="233">
        <v>4</v>
      </c>
      <c r="C140" s="233">
        <v>3</v>
      </c>
      <c r="D140" s="234">
        <v>1</v>
      </c>
      <c r="E140" s="234">
        <v>0</v>
      </c>
      <c r="G140" s="450"/>
      <c r="H140" s="451" t="s">
        <v>1237</v>
      </c>
      <c r="I140" s="452" t="s">
        <v>3437</v>
      </c>
      <c r="J140" s="453" t="s">
        <v>2181</v>
      </c>
      <c r="K140" s="454"/>
      <c r="L140" s="455"/>
      <c r="M140" s="455"/>
      <c r="N140" s="456">
        <v>197948.80245818201</v>
      </c>
      <c r="O140" s="457">
        <v>11.818071786380401</v>
      </c>
      <c r="P140" s="430"/>
    </row>
    <row r="141" spans="1:16" ht="13.5" hidden="1" customHeight="1" outlineLevel="3" x14ac:dyDescent="0.2">
      <c r="A141" s="233">
        <v>0</v>
      </c>
      <c r="B141" s="233">
        <v>4</v>
      </c>
      <c r="C141" s="233">
        <v>3</v>
      </c>
      <c r="D141" s="234">
        <v>1</v>
      </c>
      <c r="E141" s="234">
        <v>1</v>
      </c>
      <c r="G141" s="458" t="s">
        <v>41</v>
      </c>
      <c r="H141" s="459" t="s">
        <v>1238</v>
      </c>
      <c r="I141" s="460" t="s">
        <v>3438</v>
      </c>
      <c r="J141" s="461" t="s">
        <v>2986</v>
      </c>
      <c r="K141" s="462" t="s">
        <v>1105</v>
      </c>
      <c r="L141" s="463">
        <v>5080.181818181818</v>
      </c>
      <c r="M141" s="463">
        <v>8.9649650000000012</v>
      </c>
      <c r="N141" s="464">
        <v>45543.652193636401</v>
      </c>
      <c r="O141" s="465" t="s">
        <v>1290</v>
      </c>
      <c r="P141" s="431" t="s">
        <v>6711</v>
      </c>
    </row>
    <row r="142" spans="1:16" ht="13.5" hidden="1" customHeight="1" outlineLevel="3" x14ac:dyDescent="0.2">
      <c r="A142" s="233">
        <v>0</v>
      </c>
      <c r="B142" s="233">
        <v>4</v>
      </c>
      <c r="C142" s="233">
        <v>3</v>
      </c>
      <c r="D142" s="234">
        <v>1</v>
      </c>
      <c r="E142" s="234">
        <v>2</v>
      </c>
      <c r="G142" s="458" t="s">
        <v>41</v>
      </c>
      <c r="H142" s="459" t="s">
        <v>1238</v>
      </c>
      <c r="I142" s="460" t="s">
        <v>3439</v>
      </c>
      <c r="J142" s="461" t="s">
        <v>2987</v>
      </c>
      <c r="K142" s="462" t="s">
        <v>1105</v>
      </c>
      <c r="L142" s="463">
        <v>2357.272727272727</v>
      </c>
      <c r="M142" s="463">
        <v>8.9649650000000012</v>
      </c>
      <c r="N142" s="464">
        <v>21132.867495454499</v>
      </c>
      <c r="O142" s="465" t="s">
        <v>1290</v>
      </c>
      <c r="P142" s="431" t="s">
        <v>6711</v>
      </c>
    </row>
    <row r="143" spans="1:16" ht="13.5" hidden="1" customHeight="1" outlineLevel="3" x14ac:dyDescent="0.2">
      <c r="A143" s="233">
        <v>0</v>
      </c>
      <c r="B143" s="233">
        <v>4</v>
      </c>
      <c r="C143" s="233">
        <v>3</v>
      </c>
      <c r="D143" s="234">
        <v>1</v>
      </c>
      <c r="E143" s="234">
        <v>3</v>
      </c>
      <c r="G143" s="458" t="s">
        <v>41</v>
      </c>
      <c r="H143" s="459" t="s">
        <v>1238</v>
      </c>
      <c r="I143" s="460" t="s">
        <v>3440</v>
      </c>
      <c r="J143" s="461" t="s">
        <v>2988</v>
      </c>
      <c r="K143" s="462" t="s">
        <v>1105</v>
      </c>
      <c r="L143" s="463">
        <v>2151.4545454545455</v>
      </c>
      <c r="M143" s="463">
        <v>8.9649650000000012</v>
      </c>
      <c r="N143" s="464">
        <v>19287.714699090899</v>
      </c>
      <c r="O143" s="465" t="s">
        <v>1290</v>
      </c>
      <c r="P143" s="431" t="s">
        <v>6711</v>
      </c>
    </row>
    <row r="144" spans="1:16" ht="13.5" hidden="1" customHeight="1" outlineLevel="3" x14ac:dyDescent="0.2">
      <c r="A144" s="233">
        <v>0</v>
      </c>
      <c r="B144" s="233">
        <v>4</v>
      </c>
      <c r="C144" s="233">
        <v>3</v>
      </c>
      <c r="D144" s="234">
        <v>1</v>
      </c>
      <c r="E144" s="234">
        <v>4</v>
      </c>
      <c r="G144" s="458" t="s">
        <v>41</v>
      </c>
      <c r="H144" s="459" t="s">
        <v>1238</v>
      </c>
      <c r="I144" s="460" t="s">
        <v>3441</v>
      </c>
      <c r="J144" s="461" t="s">
        <v>2989</v>
      </c>
      <c r="K144" s="462" t="s">
        <v>1105</v>
      </c>
      <c r="L144" s="463">
        <v>1370</v>
      </c>
      <c r="M144" s="463">
        <v>8.4849650000000008</v>
      </c>
      <c r="N144" s="464">
        <v>11624.402050000001</v>
      </c>
      <c r="O144" s="465" t="s">
        <v>1290</v>
      </c>
      <c r="P144" s="431" t="s">
        <v>6711</v>
      </c>
    </row>
    <row r="145" spans="1:16" ht="13.5" hidden="1" customHeight="1" outlineLevel="3" x14ac:dyDescent="0.2">
      <c r="A145" s="233">
        <v>0</v>
      </c>
      <c r="B145" s="233">
        <v>4</v>
      </c>
      <c r="C145" s="233">
        <v>3</v>
      </c>
      <c r="D145" s="234">
        <v>1</v>
      </c>
      <c r="E145" s="234">
        <v>5</v>
      </c>
      <c r="G145" s="458" t="s">
        <v>41</v>
      </c>
      <c r="H145" s="459" t="s">
        <v>1238</v>
      </c>
      <c r="I145" s="460" t="s">
        <v>3442</v>
      </c>
      <c r="J145" s="461" t="s">
        <v>2990</v>
      </c>
      <c r="K145" s="462" t="s">
        <v>1105</v>
      </c>
      <c r="L145" s="463">
        <v>1274</v>
      </c>
      <c r="M145" s="463">
        <v>8.4849650000000008</v>
      </c>
      <c r="N145" s="464">
        <v>10809.84541</v>
      </c>
      <c r="O145" s="465" t="s">
        <v>1290</v>
      </c>
      <c r="P145" s="431" t="s">
        <v>6711</v>
      </c>
    </row>
    <row r="146" spans="1:16" ht="13.5" hidden="1" customHeight="1" outlineLevel="3" x14ac:dyDescent="0.2">
      <c r="A146" s="233">
        <v>0</v>
      </c>
      <c r="B146" s="233">
        <v>4</v>
      </c>
      <c r="C146" s="233">
        <v>3</v>
      </c>
      <c r="D146" s="234">
        <v>1</v>
      </c>
      <c r="E146" s="234">
        <v>6</v>
      </c>
      <c r="G146" s="458" t="s">
        <v>41</v>
      </c>
      <c r="H146" s="459" t="s">
        <v>1238</v>
      </c>
      <c r="I146" s="460" t="s">
        <v>3443</v>
      </c>
      <c r="J146" s="461" t="s">
        <v>2991</v>
      </c>
      <c r="K146" s="462" t="s">
        <v>1105</v>
      </c>
      <c r="L146" s="463">
        <v>3719</v>
      </c>
      <c r="M146" s="463">
        <v>8.4849650000000008</v>
      </c>
      <c r="N146" s="464">
        <v>31555.584835000001</v>
      </c>
      <c r="O146" s="465" t="s">
        <v>1290</v>
      </c>
      <c r="P146" s="431" t="s">
        <v>6711</v>
      </c>
    </row>
    <row r="147" spans="1:16" ht="13.5" hidden="1" customHeight="1" outlineLevel="3" x14ac:dyDescent="0.2">
      <c r="A147" s="233">
        <v>0</v>
      </c>
      <c r="B147" s="233">
        <v>4</v>
      </c>
      <c r="C147" s="233">
        <v>3</v>
      </c>
      <c r="D147" s="234">
        <v>1</v>
      </c>
      <c r="E147" s="234">
        <v>7</v>
      </c>
      <c r="G147" s="458" t="s">
        <v>41</v>
      </c>
      <c r="H147" s="459" t="s">
        <v>1238</v>
      </c>
      <c r="I147" s="460" t="s">
        <v>3444</v>
      </c>
      <c r="J147" s="461" t="s">
        <v>2992</v>
      </c>
      <c r="K147" s="462" t="s">
        <v>1105</v>
      </c>
      <c r="L147" s="463">
        <v>6835</v>
      </c>
      <c r="M147" s="463">
        <v>8.4849650000000008</v>
      </c>
      <c r="N147" s="464">
        <v>57994.735775000001</v>
      </c>
      <c r="O147" s="465" t="s">
        <v>1290</v>
      </c>
      <c r="P147" s="431" t="s">
        <v>6711</v>
      </c>
    </row>
    <row r="148" spans="1:16" ht="13.5" hidden="1" customHeight="1" outlineLevel="2" x14ac:dyDescent="0.2">
      <c r="A148" s="233">
        <v>0</v>
      </c>
      <c r="B148" s="233">
        <v>4</v>
      </c>
      <c r="C148" s="233">
        <v>3</v>
      </c>
      <c r="D148" s="234">
        <v>2</v>
      </c>
      <c r="E148" s="234">
        <v>0</v>
      </c>
      <c r="G148" s="450"/>
      <c r="H148" s="451" t="s">
        <v>1237</v>
      </c>
      <c r="I148" s="452" t="s">
        <v>3445</v>
      </c>
      <c r="J148" s="453" t="s">
        <v>2834</v>
      </c>
      <c r="K148" s="454"/>
      <c r="L148" s="455"/>
      <c r="M148" s="455"/>
      <c r="N148" s="456">
        <v>541257.66377151594</v>
      </c>
      <c r="O148" s="457">
        <v>32.314527018831797</v>
      </c>
      <c r="P148" s="430"/>
    </row>
    <row r="149" spans="1:16" ht="13.5" hidden="1" customHeight="1" outlineLevel="3" x14ac:dyDescent="0.2">
      <c r="A149" s="233">
        <v>0</v>
      </c>
      <c r="B149" s="233">
        <v>4</v>
      </c>
      <c r="C149" s="233">
        <v>3</v>
      </c>
      <c r="D149" s="234">
        <v>2</v>
      </c>
      <c r="E149" s="234">
        <v>1</v>
      </c>
      <c r="G149" s="458" t="s">
        <v>41</v>
      </c>
      <c r="H149" s="459" t="s">
        <v>1238</v>
      </c>
      <c r="I149" s="460" t="s">
        <v>3446</v>
      </c>
      <c r="J149" s="461" t="s">
        <v>2985</v>
      </c>
      <c r="K149" s="462" t="s">
        <v>1105</v>
      </c>
      <c r="L149" s="463">
        <v>5</v>
      </c>
      <c r="M149" s="463">
        <v>8.9649650000000012</v>
      </c>
      <c r="N149" s="464">
        <v>44.824824999999997</v>
      </c>
      <c r="O149" s="465" t="s">
        <v>1290</v>
      </c>
      <c r="P149" s="431" t="s">
        <v>6711</v>
      </c>
    </row>
    <row r="150" spans="1:16" ht="13.5" hidden="1" customHeight="1" outlineLevel="3" x14ac:dyDescent="0.2">
      <c r="A150" s="233">
        <v>0</v>
      </c>
      <c r="B150" s="233">
        <v>4</v>
      </c>
      <c r="C150" s="233">
        <v>3</v>
      </c>
      <c r="D150" s="234">
        <v>2</v>
      </c>
      <c r="E150" s="234">
        <v>2</v>
      </c>
      <c r="G150" s="458" t="s">
        <v>41</v>
      </c>
      <c r="H150" s="459" t="s">
        <v>1238</v>
      </c>
      <c r="I150" s="460" t="s">
        <v>3447</v>
      </c>
      <c r="J150" s="461" t="s">
        <v>2986</v>
      </c>
      <c r="K150" s="462" t="s">
        <v>1105</v>
      </c>
      <c r="L150" s="463">
        <v>1050.4545454545453</v>
      </c>
      <c r="M150" s="463">
        <v>8.9649650000000012</v>
      </c>
      <c r="N150" s="464">
        <v>9417.2882340909091</v>
      </c>
      <c r="O150" s="465" t="s">
        <v>1290</v>
      </c>
      <c r="P150" s="431" t="s">
        <v>6711</v>
      </c>
    </row>
    <row r="151" spans="1:16" ht="13.5" hidden="1" customHeight="1" outlineLevel="3" x14ac:dyDescent="0.2">
      <c r="A151" s="233">
        <v>0</v>
      </c>
      <c r="B151" s="233">
        <v>4</v>
      </c>
      <c r="C151" s="233">
        <v>3</v>
      </c>
      <c r="D151" s="234">
        <v>2</v>
      </c>
      <c r="E151" s="234">
        <v>3</v>
      </c>
      <c r="G151" s="458" t="s">
        <v>41</v>
      </c>
      <c r="H151" s="459" t="s">
        <v>1238</v>
      </c>
      <c r="I151" s="460" t="s">
        <v>3448</v>
      </c>
      <c r="J151" s="461" t="s">
        <v>2987</v>
      </c>
      <c r="K151" s="462" t="s">
        <v>1105</v>
      </c>
      <c r="L151" s="463">
        <v>5136.272727272727</v>
      </c>
      <c r="M151" s="463">
        <v>8.9649650000000012</v>
      </c>
      <c r="N151" s="464">
        <v>46046.505230454502</v>
      </c>
      <c r="O151" s="465" t="s">
        <v>1290</v>
      </c>
      <c r="P151" s="431" t="s">
        <v>6711</v>
      </c>
    </row>
    <row r="152" spans="1:16" ht="13.5" hidden="1" customHeight="1" outlineLevel="3" x14ac:dyDescent="0.2">
      <c r="A152" s="233">
        <v>0</v>
      </c>
      <c r="B152" s="233">
        <v>4</v>
      </c>
      <c r="C152" s="233">
        <v>3</v>
      </c>
      <c r="D152" s="234">
        <v>2</v>
      </c>
      <c r="E152" s="234">
        <v>4</v>
      </c>
      <c r="G152" s="458" t="s">
        <v>41</v>
      </c>
      <c r="H152" s="459" t="s">
        <v>1238</v>
      </c>
      <c r="I152" s="460" t="s">
        <v>3449</v>
      </c>
      <c r="J152" s="461" t="s">
        <v>2988</v>
      </c>
      <c r="K152" s="462" t="s">
        <v>1105</v>
      </c>
      <c r="L152" s="463">
        <v>8109.454545454545</v>
      </c>
      <c r="M152" s="463">
        <v>8.9649650000000012</v>
      </c>
      <c r="N152" s="464">
        <v>72700.976169090907</v>
      </c>
      <c r="O152" s="465" t="s">
        <v>1290</v>
      </c>
      <c r="P152" s="431" t="s">
        <v>6711</v>
      </c>
    </row>
    <row r="153" spans="1:16" ht="13.5" hidden="1" customHeight="1" outlineLevel="3" x14ac:dyDescent="0.2">
      <c r="A153" s="233">
        <v>0</v>
      </c>
      <c r="B153" s="233">
        <v>4</v>
      </c>
      <c r="C153" s="233">
        <v>3</v>
      </c>
      <c r="D153" s="234">
        <v>2</v>
      </c>
      <c r="E153" s="234">
        <v>5</v>
      </c>
      <c r="G153" s="458" t="s">
        <v>41</v>
      </c>
      <c r="H153" s="459" t="s">
        <v>1238</v>
      </c>
      <c r="I153" s="460" t="s">
        <v>3450</v>
      </c>
      <c r="J153" s="461" t="s">
        <v>2989</v>
      </c>
      <c r="K153" s="462" t="s">
        <v>1105</v>
      </c>
      <c r="L153" s="463">
        <v>9698.0909090909099</v>
      </c>
      <c r="M153" s="463">
        <v>8.4849650000000008</v>
      </c>
      <c r="N153" s="464">
        <v>82287.961930454607</v>
      </c>
      <c r="O153" s="465" t="s">
        <v>1290</v>
      </c>
      <c r="P153" s="431" t="s">
        <v>6711</v>
      </c>
    </row>
    <row r="154" spans="1:16" ht="13.5" hidden="1" customHeight="1" outlineLevel="3" x14ac:dyDescent="0.2">
      <c r="A154" s="233">
        <v>0</v>
      </c>
      <c r="B154" s="233">
        <v>4</v>
      </c>
      <c r="C154" s="233">
        <v>3</v>
      </c>
      <c r="D154" s="234">
        <v>2</v>
      </c>
      <c r="E154" s="234">
        <v>6</v>
      </c>
      <c r="G154" s="458" t="s">
        <v>41</v>
      </c>
      <c r="H154" s="459" t="s">
        <v>1238</v>
      </c>
      <c r="I154" s="460" t="s">
        <v>3451</v>
      </c>
      <c r="J154" s="461" t="s">
        <v>2990</v>
      </c>
      <c r="K154" s="462" t="s">
        <v>1105</v>
      </c>
      <c r="L154" s="463">
        <v>2976.181818181818</v>
      </c>
      <c r="M154" s="463">
        <v>8.4849650000000008</v>
      </c>
      <c r="N154" s="464">
        <v>25252.798560909101</v>
      </c>
      <c r="O154" s="465" t="s">
        <v>1290</v>
      </c>
      <c r="P154" s="431" t="s">
        <v>6711</v>
      </c>
    </row>
    <row r="155" spans="1:16" ht="13.5" hidden="1" customHeight="1" outlineLevel="3" x14ac:dyDescent="0.2">
      <c r="A155" s="233">
        <v>0</v>
      </c>
      <c r="B155" s="233">
        <v>4</v>
      </c>
      <c r="C155" s="233">
        <v>3</v>
      </c>
      <c r="D155" s="234">
        <v>2</v>
      </c>
      <c r="E155" s="234">
        <v>7</v>
      </c>
      <c r="G155" s="458" t="s">
        <v>41</v>
      </c>
      <c r="H155" s="459" t="s">
        <v>1238</v>
      </c>
      <c r="I155" s="460" t="s">
        <v>3452</v>
      </c>
      <c r="J155" s="461" t="s">
        <v>2991</v>
      </c>
      <c r="K155" s="462" t="s">
        <v>1105</v>
      </c>
      <c r="L155" s="463">
        <v>2261</v>
      </c>
      <c r="M155" s="463">
        <v>8.4849650000000008</v>
      </c>
      <c r="N155" s="464">
        <v>19184.505864999999</v>
      </c>
      <c r="O155" s="465" t="s">
        <v>1290</v>
      </c>
      <c r="P155" s="431" t="s">
        <v>6711</v>
      </c>
    </row>
    <row r="156" spans="1:16" ht="13.5" hidden="1" customHeight="1" outlineLevel="3" x14ac:dyDescent="0.2">
      <c r="A156" s="233">
        <v>0</v>
      </c>
      <c r="B156" s="233">
        <v>4</v>
      </c>
      <c r="C156" s="233">
        <v>3</v>
      </c>
      <c r="D156" s="234">
        <v>2</v>
      </c>
      <c r="E156" s="234">
        <v>8</v>
      </c>
      <c r="G156" s="458" t="s">
        <v>41</v>
      </c>
      <c r="H156" s="459" t="s">
        <v>1238</v>
      </c>
      <c r="I156" s="460" t="s">
        <v>3453</v>
      </c>
      <c r="J156" s="461" t="s">
        <v>2992</v>
      </c>
      <c r="K156" s="462" t="s">
        <v>1105</v>
      </c>
      <c r="L156" s="463">
        <v>9744</v>
      </c>
      <c r="M156" s="463">
        <v>8.4849650000000008</v>
      </c>
      <c r="N156" s="464">
        <v>82677.498959999997</v>
      </c>
      <c r="O156" s="465" t="s">
        <v>1290</v>
      </c>
      <c r="P156" s="431" t="s">
        <v>6711</v>
      </c>
    </row>
    <row r="157" spans="1:16" ht="13.5" hidden="1" customHeight="1" outlineLevel="3" x14ac:dyDescent="0.2">
      <c r="A157" s="233">
        <v>0</v>
      </c>
      <c r="B157" s="233">
        <v>4</v>
      </c>
      <c r="C157" s="233">
        <v>3</v>
      </c>
      <c r="D157" s="234">
        <v>2</v>
      </c>
      <c r="E157" s="234">
        <v>9</v>
      </c>
      <c r="G157" s="458" t="s">
        <v>41</v>
      </c>
      <c r="H157" s="459" t="s">
        <v>1238</v>
      </c>
      <c r="I157" s="460" t="s">
        <v>3454</v>
      </c>
      <c r="J157" s="461" t="s">
        <v>2993</v>
      </c>
      <c r="K157" s="462" t="s">
        <v>1105</v>
      </c>
      <c r="L157" s="463">
        <v>20469</v>
      </c>
      <c r="M157" s="463">
        <v>9.9489620399880714</v>
      </c>
      <c r="N157" s="464">
        <v>203645.30399651601</v>
      </c>
      <c r="O157" s="465" t="s">
        <v>1290</v>
      </c>
      <c r="P157" s="431" t="s">
        <v>6711</v>
      </c>
    </row>
    <row r="158" spans="1:16" ht="13.5" hidden="1" customHeight="1" outlineLevel="2" x14ac:dyDescent="0.2">
      <c r="A158" s="233">
        <v>0</v>
      </c>
      <c r="B158" s="233">
        <v>4</v>
      </c>
      <c r="C158" s="233">
        <v>3</v>
      </c>
      <c r="D158" s="234">
        <v>3</v>
      </c>
      <c r="E158" s="234">
        <v>0</v>
      </c>
      <c r="G158" s="450"/>
      <c r="H158" s="451" t="s">
        <v>1237</v>
      </c>
      <c r="I158" s="452" t="s">
        <v>3455</v>
      </c>
      <c r="J158" s="453" t="s">
        <v>2201</v>
      </c>
      <c r="K158" s="454"/>
      <c r="L158" s="455"/>
      <c r="M158" s="455"/>
      <c r="N158" s="456">
        <v>441888.15905238403</v>
      </c>
      <c r="O158" s="457">
        <v>26.3819023928462</v>
      </c>
      <c r="P158" s="430"/>
    </row>
    <row r="159" spans="1:16" ht="13.5" hidden="1" customHeight="1" outlineLevel="3" x14ac:dyDescent="0.2">
      <c r="A159" s="233">
        <v>0</v>
      </c>
      <c r="B159" s="233">
        <v>4</v>
      </c>
      <c r="C159" s="233">
        <v>3</v>
      </c>
      <c r="D159" s="234">
        <v>3</v>
      </c>
      <c r="E159" s="234">
        <v>1</v>
      </c>
      <c r="G159" s="458" t="s">
        <v>41</v>
      </c>
      <c r="H159" s="459" t="s">
        <v>1238</v>
      </c>
      <c r="I159" s="460" t="s">
        <v>3456</v>
      </c>
      <c r="J159" s="461" t="s">
        <v>2985</v>
      </c>
      <c r="K159" s="462" t="s">
        <v>1105</v>
      </c>
      <c r="L159" s="463">
        <v>1</v>
      </c>
      <c r="M159" s="463">
        <v>8.9649650000000012</v>
      </c>
      <c r="N159" s="464">
        <v>8.9649649999999994</v>
      </c>
      <c r="O159" s="465" t="s">
        <v>1290</v>
      </c>
      <c r="P159" s="431" t="s">
        <v>6711</v>
      </c>
    </row>
    <row r="160" spans="1:16" ht="13.5" hidden="1" customHeight="1" outlineLevel="3" x14ac:dyDescent="0.2">
      <c r="A160" s="233">
        <v>0</v>
      </c>
      <c r="B160" s="233">
        <v>4</v>
      </c>
      <c r="C160" s="233">
        <v>3</v>
      </c>
      <c r="D160" s="234">
        <v>3</v>
      </c>
      <c r="E160" s="234">
        <v>2</v>
      </c>
      <c r="G160" s="458" t="s">
        <v>41</v>
      </c>
      <c r="H160" s="459" t="s">
        <v>1238</v>
      </c>
      <c r="I160" s="460" t="s">
        <v>3457</v>
      </c>
      <c r="J160" s="461" t="s">
        <v>2986</v>
      </c>
      <c r="K160" s="462" t="s">
        <v>1105</v>
      </c>
      <c r="L160" s="463">
        <v>1571.1818181818182</v>
      </c>
      <c r="M160" s="463">
        <v>8.9649650000000012</v>
      </c>
      <c r="N160" s="464">
        <v>14085.5900086364</v>
      </c>
      <c r="O160" s="465" t="s">
        <v>1290</v>
      </c>
      <c r="P160" s="431" t="s">
        <v>6711</v>
      </c>
    </row>
    <row r="161" spans="1:16" ht="13.5" hidden="1" customHeight="1" outlineLevel="3" x14ac:dyDescent="0.2">
      <c r="A161" s="233">
        <v>0</v>
      </c>
      <c r="B161" s="233">
        <v>4</v>
      </c>
      <c r="C161" s="233">
        <v>3</v>
      </c>
      <c r="D161" s="234">
        <v>3</v>
      </c>
      <c r="E161" s="234">
        <v>3</v>
      </c>
      <c r="G161" s="458" t="s">
        <v>41</v>
      </c>
      <c r="H161" s="459" t="s">
        <v>1238</v>
      </c>
      <c r="I161" s="460" t="s">
        <v>3458</v>
      </c>
      <c r="J161" s="461" t="s">
        <v>2987</v>
      </c>
      <c r="K161" s="462" t="s">
        <v>1105</v>
      </c>
      <c r="L161" s="463">
        <v>8053.363636363636</v>
      </c>
      <c r="M161" s="463">
        <v>8.9649650000000012</v>
      </c>
      <c r="N161" s="464">
        <v>72198.123132272696</v>
      </c>
      <c r="O161" s="465" t="s">
        <v>1290</v>
      </c>
      <c r="P161" s="431" t="s">
        <v>6711</v>
      </c>
    </row>
    <row r="162" spans="1:16" ht="13.5" hidden="1" customHeight="1" outlineLevel="3" x14ac:dyDescent="0.2">
      <c r="A162" s="233">
        <v>0</v>
      </c>
      <c r="B162" s="233">
        <v>4</v>
      </c>
      <c r="C162" s="233">
        <v>3</v>
      </c>
      <c r="D162" s="234">
        <v>3</v>
      </c>
      <c r="E162" s="234">
        <v>4</v>
      </c>
      <c r="G162" s="458" t="s">
        <v>41</v>
      </c>
      <c r="H162" s="459" t="s">
        <v>1238</v>
      </c>
      <c r="I162" s="460" t="s">
        <v>3459</v>
      </c>
      <c r="J162" s="461" t="s">
        <v>2988</v>
      </c>
      <c r="K162" s="462" t="s">
        <v>1105</v>
      </c>
      <c r="L162" s="463">
        <v>6913.727272727273</v>
      </c>
      <c r="M162" s="463">
        <v>8.9649650000000012</v>
      </c>
      <c r="N162" s="464">
        <v>61981.323019545503</v>
      </c>
      <c r="O162" s="465" t="s">
        <v>1290</v>
      </c>
      <c r="P162" s="431" t="s">
        <v>6711</v>
      </c>
    </row>
    <row r="163" spans="1:16" ht="13.5" hidden="1" customHeight="1" outlineLevel="3" x14ac:dyDescent="0.2">
      <c r="A163" s="233">
        <v>0</v>
      </c>
      <c r="B163" s="233">
        <v>4</v>
      </c>
      <c r="C163" s="233">
        <v>3</v>
      </c>
      <c r="D163" s="234">
        <v>3</v>
      </c>
      <c r="E163" s="234">
        <v>5</v>
      </c>
      <c r="G163" s="458" t="s">
        <v>41</v>
      </c>
      <c r="H163" s="459" t="s">
        <v>1238</v>
      </c>
      <c r="I163" s="460" t="s">
        <v>3460</v>
      </c>
      <c r="J163" s="461" t="s">
        <v>2989</v>
      </c>
      <c r="K163" s="462" t="s">
        <v>1105</v>
      </c>
      <c r="L163" s="463">
        <v>5969.545454545455</v>
      </c>
      <c r="M163" s="463">
        <v>8.4849650000000008</v>
      </c>
      <c r="N163" s="464">
        <v>50651.384247727299</v>
      </c>
      <c r="O163" s="465" t="s">
        <v>1290</v>
      </c>
      <c r="P163" s="431" t="s">
        <v>6711</v>
      </c>
    </row>
    <row r="164" spans="1:16" ht="13.5" hidden="1" customHeight="1" outlineLevel="3" x14ac:dyDescent="0.2">
      <c r="A164" s="233">
        <v>0</v>
      </c>
      <c r="B164" s="233">
        <v>4</v>
      </c>
      <c r="C164" s="233">
        <v>3</v>
      </c>
      <c r="D164" s="234">
        <v>3</v>
      </c>
      <c r="E164" s="234">
        <v>6</v>
      </c>
      <c r="G164" s="458" t="s">
        <v>41</v>
      </c>
      <c r="H164" s="459" t="s">
        <v>1238</v>
      </c>
      <c r="I164" s="460" t="s">
        <v>3461</v>
      </c>
      <c r="J164" s="461" t="s">
        <v>2990</v>
      </c>
      <c r="K164" s="462" t="s">
        <v>1105</v>
      </c>
      <c r="L164" s="463">
        <v>4418.272727272727</v>
      </c>
      <c r="M164" s="463">
        <v>8.4849650000000008</v>
      </c>
      <c r="N164" s="464">
        <v>37488.889451363597</v>
      </c>
      <c r="O164" s="465" t="s">
        <v>1290</v>
      </c>
      <c r="P164" s="431" t="s">
        <v>6711</v>
      </c>
    </row>
    <row r="165" spans="1:16" ht="13.5" hidden="1" customHeight="1" outlineLevel="3" x14ac:dyDescent="0.2">
      <c r="A165" s="233">
        <v>0</v>
      </c>
      <c r="B165" s="233">
        <v>4</v>
      </c>
      <c r="C165" s="233">
        <v>3</v>
      </c>
      <c r="D165" s="234">
        <v>3</v>
      </c>
      <c r="E165" s="234">
        <v>7</v>
      </c>
      <c r="G165" s="458" t="s">
        <v>41</v>
      </c>
      <c r="H165" s="459" t="s">
        <v>1238</v>
      </c>
      <c r="I165" s="460" t="s">
        <v>3462</v>
      </c>
      <c r="J165" s="461" t="s">
        <v>2991</v>
      </c>
      <c r="K165" s="462" t="s">
        <v>1105</v>
      </c>
      <c r="L165" s="463">
        <v>1396</v>
      </c>
      <c r="M165" s="463">
        <v>8.4849650000000008</v>
      </c>
      <c r="N165" s="464">
        <v>11845.011140000001</v>
      </c>
      <c r="O165" s="465" t="s">
        <v>1290</v>
      </c>
      <c r="P165" s="431" t="s">
        <v>6711</v>
      </c>
    </row>
    <row r="166" spans="1:16" ht="13.5" hidden="1" customHeight="1" outlineLevel="3" x14ac:dyDescent="0.2">
      <c r="A166" s="233">
        <v>0</v>
      </c>
      <c r="B166" s="233">
        <v>4</v>
      </c>
      <c r="C166" s="233">
        <v>3</v>
      </c>
      <c r="D166" s="234">
        <v>3</v>
      </c>
      <c r="E166" s="234">
        <v>8</v>
      </c>
      <c r="G166" s="458" t="s">
        <v>41</v>
      </c>
      <c r="H166" s="459" t="s">
        <v>1238</v>
      </c>
      <c r="I166" s="460" t="s">
        <v>3463</v>
      </c>
      <c r="J166" s="461" t="s">
        <v>2992</v>
      </c>
      <c r="K166" s="462" t="s">
        <v>1105</v>
      </c>
      <c r="L166" s="463">
        <v>6903</v>
      </c>
      <c r="M166" s="463">
        <v>8.4849650000000008</v>
      </c>
      <c r="N166" s="464">
        <v>58571.713394999999</v>
      </c>
      <c r="O166" s="465" t="s">
        <v>1290</v>
      </c>
      <c r="P166" s="431" t="s">
        <v>6711</v>
      </c>
    </row>
    <row r="167" spans="1:16" ht="13.5" hidden="1" customHeight="1" outlineLevel="3" x14ac:dyDescent="0.2">
      <c r="A167" s="233">
        <v>0</v>
      </c>
      <c r="B167" s="233">
        <v>4</v>
      </c>
      <c r="C167" s="233">
        <v>3</v>
      </c>
      <c r="D167" s="234">
        <v>3</v>
      </c>
      <c r="E167" s="234">
        <v>9</v>
      </c>
      <c r="G167" s="458" t="s">
        <v>41</v>
      </c>
      <c r="H167" s="459" t="s">
        <v>1238</v>
      </c>
      <c r="I167" s="460" t="s">
        <v>3464</v>
      </c>
      <c r="J167" s="461" t="s">
        <v>2993</v>
      </c>
      <c r="K167" s="462" t="s">
        <v>1105</v>
      </c>
      <c r="L167" s="463">
        <v>13575</v>
      </c>
      <c r="M167" s="463">
        <v>9.9489620399880714</v>
      </c>
      <c r="N167" s="464">
        <v>135057.159692838</v>
      </c>
      <c r="O167" s="465" t="s">
        <v>1290</v>
      </c>
      <c r="P167" s="431" t="s">
        <v>6711</v>
      </c>
    </row>
    <row r="168" spans="1:16" ht="13.5" hidden="1" customHeight="1" outlineLevel="2" x14ac:dyDescent="0.2">
      <c r="A168" s="233">
        <v>0</v>
      </c>
      <c r="B168" s="233">
        <v>4</v>
      </c>
      <c r="C168" s="233">
        <v>3</v>
      </c>
      <c r="D168" s="234">
        <v>4</v>
      </c>
      <c r="E168" s="234">
        <v>0</v>
      </c>
      <c r="G168" s="450"/>
      <c r="H168" s="451" t="s">
        <v>1237</v>
      </c>
      <c r="I168" s="452" t="s">
        <v>3465</v>
      </c>
      <c r="J168" s="453" t="s">
        <v>2202</v>
      </c>
      <c r="K168" s="454"/>
      <c r="L168" s="455"/>
      <c r="M168" s="455"/>
      <c r="N168" s="456">
        <v>315085.527446319</v>
      </c>
      <c r="O168" s="457">
        <v>18.8114468790322</v>
      </c>
      <c r="P168" s="430"/>
    </row>
    <row r="169" spans="1:16" ht="13.5" hidden="1" customHeight="1" outlineLevel="3" x14ac:dyDescent="0.2">
      <c r="A169" s="233">
        <v>0</v>
      </c>
      <c r="B169" s="233">
        <v>4</v>
      </c>
      <c r="C169" s="233">
        <v>3</v>
      </c>
      <c r="D169" s="234">
        <v>4</v>
      </c>
      <c r="E169" s="234">
        <v>1</v>
      </c>
      <c r="G169" s="458" t="s">
        <v>41</v>
      </c>
      <c r="H169" s="459" t="s">
        <v>1238</v>
      </c>
      <c r="I169" s="460" t="s">
        <v>3466</v>
      </c>
      <c r="J169" s="461" t="s">
        <v>2985</v>
      </c>
      <c r="K169" s="462" t="s">
        <v>1105</v>
      </c>
      <c r="L169" s="463">
        <v>206.46531827016534</v>
      </c>
      <c r="M169" s="463">
        <v>8.9649650000000012</v>
      </c>
      <c r="N169" s="464">
        <v>1850.9543520058901</v>
      </c>
      <c r="O169" s="465" t="s">
        <v>1290</v>
      </c>
      <c r="P169" s="431" t="s">
        <v>6711</v>
      </c>
    </row>
    <row r="170" spans="1:16" ht="13.5" hidden="1" customHeight="1" outlineLevel="3" x14ac:dyDescent="0.2">
      <c r="A170" s="233">
        <v>0</v>
      </c>
      <c r="B170" s="233">
        <v>4</v>
      </c>
      <c r="C170" s="233">
        <v>3</v>
      </c>
      <c r="D170" s="234">
        <v>4</v>
      </c>
      <c r="E170" s="234">
        <v>2</v>
      </c>
      <c r="G170" s="458" t="s">
        <v>41</v>
      </c>
      <c r="H170" s="459" t="s">
        <v>1238</v>
      </c>
      <c r="I170" s="460" t="s">
        <v>3467</v>
      </c>
      <c r="J170" s="461" t="s">
        <v>2986</v>
      </c>
      <c r="K170" s="462" t="s">
        <v>1105</v>
      </c>
      <c r="L170" s="463">
        <v>2315.6793610301261</v>
      </c>
      <c r="M170" s="463">
        <v>8.9649650000000012</v>
      </c>
      <c r="N170" s="464">
        <v>20759.9844228574</v>
      </c>
      <c r="O170" s="465" t="s">
        <v>1290</v>
      </c>
      <c r="P170" s="431" t="s">
        <v>6711</v>
      </c>
    </row>
    <row r="171" spans="1:16" ht="13.5" hidden="1" customHeight="1" outlineLevel="3" x14ac:dyDescent="0.2">
      <c r="A171" s="233">
        <v>0</v>
      </c>
      <c r="B171" s="233">
        <v>4</v>
      </c>
      <c r="C171" s="233">
        <v>3</v>
      </c>
      <c r="D171" s="234">
        <v>4</v>
      </c>
      <c r="E171" s="234">
        <v>3</v>
      </c>
      <c r="G171" s="458" t="s">
        <v>41</v>
      </c>
      <c r="H171" s="459" t="s">
        <v>1238</v>
      </c>
      <c r="I171" s="460" t="s">
        <v>3468</v>
      </c>
      <c r="J171" s="461" t="s">
        <v>2987</v>
      </c>
      <c r="K171" s="462" t="s">
        <v>1105</v>
      </c>
      <c r="L171" s="463">
        <v>2559.2787293488818</v>
      </c>
      <c r="M171" s="463">
        <v>8.9649650000000012</v>
      </c>
      <c r="N171" s="464">
        <v>22943.844233857199</v>
      </c>
      <c r="O171" s="465" t="s">
        <v>1290</v>
      </c>
      <c r="P171" s="431" t="s">
        <v>6711</v>
      </c>
    </row>
    <row r="172" spans="1:16" ht="13.5" hidden="1" customHeight="1" outlineLevel="3" x14ac:dyDescent="0.2">
      <c r="A172" s="233">
        <v>0</v>
      </c>
      <c r="B172" s="233">
        <v>4</v>
      </c>
      <c r="C172" s="233">
        <v>3</v>
      </c>
      <c r="D172" s="234">
        <v>4</v>
      </c>
      <c r="E172" s="234">
        <v>4</v>
      </c>
      <c r="G172" s="458" t="s">
        <v>41</v>
      </c>
      <c r="H172" s="459" t="s">
        <v>1238</v>
      </c>
      <c r="I172" s="460" t="s">
        <v>3469</v>
      </c>
      <c r="J172" s="461" t="s">
        <v>2988</v>
      </c>
      <c r="K172" s="462" t="s">
        <v>1105</v>
      </c>
      <c r="L172" s="463">
        <v>2909.824161807579</v>
      </c>
      <c r="M172" s="463">
        <v>8.9649650000000012</v>
      </c>
      <c r="N172" s="464">
        <v>26086.471766759299</v>
      </c>
      <c r="O172" s="465" t="s">
        <v>1290</v>
      </c>
      <c r="P172" s="431" t="s">
        <v>6711</v>
      </c>
    </row>
    <row r="173" spans="1:16" ht="13.5" hidden="1" customHeight="1" outlineLevel="3" x14ac:dyDescent="0.2">
      <c r="A173" s="233">
        <v>0</v>
      </c>
      <c r="B173" s="233">
        <v>4</v>
      </c>
      <c r="C173" s="233">
        <v>3</v>
      </c>
      <c r="D173" s="234">
        <v>4</v>
      </c>
      <c r="E173" s="234">
        <v>5</v>
      </c>
      <c r="G173" s="458" t="s">
        <v>41</v>
      </c>
      <c r="H173" s="459" t="s">
        <v>1238</v>
      </c>
      <c r="I173" s="460" t="s">
        <v>3470</v>
      </c>
      <c r="J173" s="461" t="s">
        <v>2989</v>
      </c>
      <c r="K173" s="462" t="s">
        <v>1105</v>
      </c>
      <c r="L173" s="463">
        <v>3293.0475583090379</v>
      </c>
      <c r="M173" s="463">
        <v>8.4849650000000008</v>
      </c>
      <c r="N173" s="464">
        <v>27941.393275587601</v>
      </c>
      <c r="O173" s="465" t="s">
        <v>1290</v>
      </c>
      <c r="P173" s="431" t="s">
        <v>6711</v>
      </c>
    </row>
    <row r="174" spans="1:16" ht="13.5" hidden="1" customHeight="1" outlineLevel="3" x14ac:dyDescent="0.2">
      <c r="A174" s="233">
        <v>0</v>
      </c>
      <c r="B174" s="233">
        <v>4</v>
      </c>
      <c r="C174" s="233">
        <v>3</v>
      </c>
      <c r="D174" s="234">
        <v>4</v>
      </c>
      <c r="E174" s="234">
        <v>6</v>
      </c>
      <c r="G174" s="458" t="s">
        <v>41</v>
      </c>
      <c r="H174" s="459" t="s">
        <v>1238</v>
      </c>
      <c r="I174" s="460" t="s">
        <v>3471</v>
      </c>
      <c r="J174" s="461" t="s">
        <v>2990</v>
      </c>
      <c r="K174" s="462" t="s">
        <v>1105</v>
      </c>
      <c r="L174" s="463">
        <v>1103.6239674441204</v>
      </c>
      <c r="M174" s="463">
        <v>8.4849650000000008</v>
      </c>
      <c r="N174" s="464">
        <v>9364.2107369245005</v>
      </c>
      <c r="O174" s="465" t="s">
        <v>1290</v>
      </c>
      <c r="P174" s="431" t="s">
        <v>6711</v>
      </c>
    </row>
    <row r="175" spans="1:16" ht="13.5" hidden="1" customHeight="1" outlineLevel="3" x14ac:dyDescent="0.2">
      <c r="A175" s="233">
        <v>0</v>
      </c>
      <c r="B175" s="233">
        <v>4</v>
      </c>
      <c r="C175" s="233">
        <v>3</v>
      </c>
      <c r="D175" s="234">
        <v>4</v>
      </c>
      <c r="E175" s="234">
        <v>7</v>
      </c>
      <c r="G175" s="458" t="s">
        <v>41</v>
      </c>
      <c r="H175" s="459" t="s">
        <v>1238</v>
      </c>
      <c r="I175" s="460" t="s">
        <v>3472</v>
      </c>
      <c r="J175" s="461" t="s">
        <v>2991</v>
      </c>
      <c r="K175" s="462" t="s">
        <v>1105</v>
      </c>
      <c r="L175" s="463">
        <v>4219.9134475218652</v>
      </c>
      <c r="M175" s="463">
        <v>8.4849650000000008</v>
      </c>
      <c r="N175" s="464">
        <v>35805.817905252399</v>
      </c>
      <c r="O175" s="465" t="s">
        <v>1290</v>
      </c>
      <c r="P175" s="431" t="s">
        <v>6711</v>
      </c>
    </row>
    <row r="176" spans="1:16" ht="13.5" hidden="1" customHeight="1" outlineLevel="3" x14ac:dyDescent="0.2">
      <c r="A176" s="233">
        <v>0</v>
      </c>
      <c r="B176" s="233">
        <v>4</v>
      </c>
      <c r="C176" s="233">
        <v>3</v>
      </c>
      <c r="D176" s="234">
        <v>4</v>
      </c>
      <c r="E176" s="234">
        <v>8</v>
      </c>
      <c r="G176" s="458" t="s">
        <v>41</v>
      </c>
      <c r="H176" s="459" t="s">
        <v>1238</v>
      </c>
      <c r="I176" s="460" t="s">
        <v>3473</v>
      </c>
      <c r="J176" s="461" t="s">
        <v>2992</v>
      </c>
      <c r="K176" s="462" t="s">
        <v>1105</v>
      </c>
      <c r="L176" s="463">
        <v>20074.66745626822</v>
      </c>
      <c r="M176" s="463">
        <v>8.4849650000000008</v>
      </c>
      <c r="N176" s="464">
        <v>170332.85075307501</v>
      </c>
      <c r="O176" s="465" t="s">
        <v>1290</v>
      </c>
      <c r="P176" s="431" t="s">
        <v>6711</v>
      </c>
    </row>
    <row r="177" spans="1:16" ht="13.5" hidden="1" customHeight="1" outlineLevel="2" x14ac:dyDescent="0.2">
      <c r="A177" s="233">
        <v>0</v>
      </c>
      <c r="B177" s="233">
        <v>4</v>
      </c>
      <c r="C177" s="233">
        <v>3</v>
      </c>
      <c r="D177" s="234">
        <v>5</v>
      </c>
      <c r="E177" s="234">
        <v>0</v>
      </c>
      <c r="G177" s="450"/>
      <c r="H177" s="451" t="s">
        <v>1237</v>
      </c>
      <c r="I177" s="452" t="s">
        <v>3474</v>
      </c>
      <c r="J177" s="453" t="s">
        <v>2835</v>
      </c>
      <c r="K177" s="454"/>
      <c r="L177" s="455"/>
      <c r="M177" s="455"/>
      <c r="N177" s="456">
        <v>315085.527446319</v>
      </c>
      <c r="O177" s="457">
        <v>18.8114468790322</v>
      </c>
      <c r="P177" s="430"/>
    </row>
    <row r="178" spans="1:16" ht="13.5" hidden="1" customHeight="1" outlineLevel="3" x14ac:dyDescent="0.2">
      <c r="A178" s="233">
        <v>0</v>
      </c>
      <c r="B178" s="233">
        <v>4</v>
      </c>
      <c r="C178" s="233">
        <v>3</v>
      </c>
      <c r="D178" s="234">
        <v>5</v>
      </c>
      <c r="E178" s="234">
        <v>1</v>
      </c>
      <c r="G178" s="458" t="s">
        <v>41</v>
      </c>
      <c r="H178" s="459" t="s">
        <v>1238</v>
      </c>
      <c r="I178" s="460" t="s">
        <v>3475</v>
      </c>
      <c r="J178" s="461" t="s">
        <v>2985</v>
      </c>
      <c r="K178" s="462" t="s">
        <v>1105</v>
      </c>
      <c r="L178" s="463">
        <v>206.46531827016534</v>
      </c>
      <c r="M178" s="463">
        <v>8.9649650000000012</v>
      </c>
      <c r="N178" s="464">
        <v>1850.9543520058901</v>
      </c>
      <c r="O178" s="465" t="s">
        <v>1290</v>
      </c>
      <c r="P178" s="431" t="s">
        <v>6711</v>
      </c>
    </row>
    <row r="179" spans="1:16" ht="13.5" hidden="1" customHeight="1" outlineLevel="3" x14ac:dyDescent="0.2">
      <c r="A179" s="233">
        <v>0</v>
      </c>
      <c r="B179" s="233">
        <v>4</v>
      </c>
      <c r="C179" s="233">
        <v>3</v>
      </c>
      <c r="D179" s="234">
        <v>5</v>
      </c>
      <c r="E179" s="234">
        <v>2</v>
      </c>
      <c r="G179" s="458" t="s">
        <v>41</v>
      </c>
      <c r="H179" s="459" t="s">
        <v>1238</v>
      </c>
      <c r="I179" s="460" t="s">
        <v>3476</v>
      </c>
      <c r="J179" s="461" t="s">
        <v>2986</v>
      </c>
      <c r="K179" s="462" t="s">
        <v>1105</v>
      </c>
      <c r="L179" s="463">
        <v>2315.6793610301261</v>
      </c>
      <c r="M179" s="463">
        <v>8.9649650000000012</v>
      </c>
      <c r="N179" s="464">
        <v>20759.9844228574</v>
      </c>
      <c r="O179" s="465" t="s">
        <v>1290</v>
      </c>
      <c r="P179" s="431" t="s">
        <v>6711</v>
      </c>
    </row>
    <row r="180" spans="1:16" ht="13.5" hidden="1" customHeight="1" outlineLevel="3" x14ac:dyDescent="0.2">
      <c r="A180" s="233">
        <v>0</v>
      </c>
      <c r="B180" s="233">
        <v>4</v>
      </c>
      <c r="C180" s="233">
        <v>3</v>
      </c>
      <c r="D180" s="234">
        <v>5</v>
      </c>
      <c r="E180" s="234">
        <v>3</v>
      </c>
      <c r="G180" s="458" t="s">
        <v>41</v>
      </c>
      <c r="H180" s="459" t="s">
        <v>1238</v>
      </c>
      <c r="I180" s="460" t="s">
        <v>3477</v>
      </c>
      <c r="J180" s="461" t="s">
        <v>2987</v>
      </c>
      <c r="K180" s="462" t="s">
        <v>1105</v>
      </c>
      <c r="L180" s="463">
        <v>2559.2787293488818</v>
      </c>
      <c r="M180" s="463">
        <v>8.9649650000000012</v>
      </c>
      <c r="N180" s="464">
        <v>22943.844233857199</v>
      </c>
      <c r="O180" s="465" t="s">
        <v>1290</v>
      </c>
      <c r="P180" s="431" t="s">
        <v>6711</v>
      </c>
    </row>
    <row r="181" spans="1:16" ht="13.5" hidden="1" customHeight="1" outlineLevel="3" x14ac:dyDescent="0.2">
      <c r="A181" s="233">
        <v>0</v>
      </c>
      <c r="B181" s="233">
        <v>4</v>
      </c>
      <c r="C181" s="233">
        <v>3</v>
      </c>
      <c r="D181" s="234">
        <v>5</v>
      </c>
      <c r="E181" s="234">
        <v>4</v>
      </c>
      <c r="G181" s="458" t="s">
        <v>41</v>
      </c>
      <c r="H181" s="459" t="s">
        <v>1238</v>
      </c>
      <c r="I181" s="460" t="s">
        <v>3478</v>
      </c>
      <c r="J181" s="461" t="s">
        <v>2988</v>
      </c>
      <c r="K181" s="462" t="s">
        <v>1105</v>
      </c>
      <c r="L181" s="463">
        <v>2909.824161807579</v>
      </c>
      <c r="M181" s="463">
        <v>8.9649650000000012</v>
      </c>
      <c r="N181" s="464">
        <v>26086.471766759299</v>
      </c>
      <c r="O181" s="465" t="s">
        <v>1290</v>
      </c>
      <c r="P181" s="431" t="s">
        <v>6711</v>
      </c>
    </row>
    <row r="182" spans="1:16" ht="13.5" hidden="1" customHeight="1" outlineLevel="3" x14ac:dyDescent="0.2">
      <c r="A182" s="233">
        <v>0</v>
      </c>
      <c r="B182" s="233">
        <v>4</v>
      </c>
      <c r="C182" s="233">
        <v>3</v>
      </c>
      <c r="D182" s="234">
        <v>5</v>
      </c>
      <c r="E182" s="234">
        <v>5</v>
      </c>
      <c r="G182" s="458" t="s">
        <v>41</v>
      </c>
      <c r="H182" s="459" t="s">
        <v>1238</v>
      </c>
      <c r="I182" s="460" t="s">
        <v>3479</v>
      </c>
      <c r="J182" s="461" t="s">
        <v>2989</v>
      </c>
      <c r="K182" s="462" t="s">
        <v>1105</v>
      </c>
      <c r="L182" s="463">
        <v>3293.0475583090379</v>
      </c>
      <c r="M182" s="463">
        <v>8.4849650000000008</v>
      </c>
      <c r="N182" s="464">
        <v>27941.393275587601</v>
      </c>
      <c r="O182" s="465" t="s">
        <v>1290</v>
      </c>
      <c r="P182" s="431" t="s">
        <v>6711</v>
      </c>
    </row>
    <row r="183" spans="1:16" ht="13.5" hidden="1" customHeight="1" outlineLevel="3" x14ac:dyDescent="0.2">
      <c r="A183" s="233">
        <v>0</v>
      </c>
      <c r="B183" s="233">
        <v>4</v>
      </c>
      <c r="C183" s="233">
        <v>3</v>
      </c>
      <c r="D183" s="234">
        <v>5</v>
      </c>
      <c r="E183" s="234">
        <v>6</v>
      </c>
      <c r="G183" s="458" t="s">
        <v>41</v>
      </c>
      <c r="H183" s="459" t="s">
        <v>1238</v>
      </c>
      <c r="I183" s="460" t="s">
        <v>3480</v>
      </c>
      <c r="J183" s="461" t="s">
        <v>2990</v>
      </c>
      <c r="K183" s="462" t="s">
        <v>1105</v>
      </c>
      <c r="L183" s="463">
        <v>1103.6239674441204</v>
      </c>
      <c r="M183" s="463">
        <v>8.4849650000000008</v>
      </c>
      <c r="N183" s="464">
        <v>9364.2107369245005</v>
      </c>
      <c r="O183" s="465" t="s">
        <v>1290</v>
      </c>
      <c r="P183" s="431" t="s">
        <v>6711</v>
      </c>
    </row>
    <row r="184" spans="1:16" ht="13.5" hidden="1" customHeight="1" outlineLevel="3" x14ac:dyDescent="0.2">
      <c r="A184" s="233">
        <v>0</v>
      </c>
      <c r="B184" s="233">
        <v>4</v>
      </c>
      <c r="C184" s="233">
        <v>3</v>
      </c>
      <c r="D184" s="234">
        <v>5</v>
      </c>
      <c r="E184" s="234">
        <v>7</v>
      </c>
      <c r="G184" s="458" t="s">
        <v>41</v>
      </c>
      <c r="H184" s="459" t="s">
        <v>1238</v>
      </c>
      <c r="I184" s="460" t="s">
        <v>3481</v>
      </c>
      <c r="J184" s="461" t="s">
        <v>2991</v>
      </c>
      <c r="K184" s="462" t="s">
        <v>1105</v>
      </c>
      <c r="L184" s="463">
        <v>4219.9134475218652</v>
      </c>
      <c r="M184" s="463">
        <v>8.4849650000000008</v>
      </c>
      <c r="N184" s="464">
        <v>35805.817905252399</v>
      </c>
      <c r="O184" s="465" t="s">
        <v>1290</v>
      </c>
      <c r="P184" s="431" t="s">
        <v>6711</v>
      </c>
    </row>
    <row r="185" spans="1:16" ht="13.5" hidden="1" customHeight="1" outlineLevel="3" x14ac:dyDescent="0.2">
      <c r="A185" s="233">
        <v>0</v>
      </c>
      <c r="B185" s="233">
        <v>4</v>
      </c>
      <c r="C185" s="233">
        <v>3</v>
      </c>
      <c r="D185" s="234">
        <v>5</v>
      </c>
      <c r="E185" s="234">
        <v>8</v>
      </c>
      <c r="G185" s="458" t="s">
        <v>41</v>
      </c>
      <c r="H185" s="459" t="s">
        <v>1238</v>
      </c>
      <c r="I185" s="460" t="s">
        <v>3482</v>
      </c>
      <c r="J185" s="461" t="s">
        <v>2992</v>
      </c>
      <c r="K185" s="462" t="s">
        <v>1105</v>
      </c>
      <c r="L185" s="463">
        <v>20074.66745626822</v>
      </c>
      <c r="M185" s="463">
        <v>8.4849650000000008</v>
      </c>
      <c r="N185" s="464">
        <v>170332.85075307501</v>
      </c>
      <c r="O185" s="465" t="s">
        <v>1290</v>
      </c>
      <c r="P185" s="431" t="s">
        <v>6711</v>
      </c>
    </row>
    <row r="186" spans="1:16" ht="13.5" hidden="1" customHeight="1" outlineLevel="2" x14ac:dyDescent="0.2">
      <c r="A186" s="233">
        <v>0</v>
      </c>
      <c r="B186" s="233">
        <v>4</v>
      </c>
      <c r="C186" s="233">
        <v>3</v>
      </c>
      <c r="D186" s="234">
        <v>6</v>
      </c>
      <c r="E186" s="234">
        <v>0</v>
      </c>
      <c r="G186" s="450"/>
      <c r="H186" s="451" t="s">
        <v>1237</v>
      </c>
      <c r="I186" s="452" t="s">
        <v>3483</v>
      </c>
      <c r="J186" s="453" t="s">
        <v>2836</v>
      </c>
      <c r="K186" s="454"/>
      <c r="L186" s="455"/>
      <c r="M186" s="455"/>
      <c r="N186" s="456">
        <v>377458.41799498501</v>
      </c>
      <c r="O186" s="457">
        <v>22.535274903624099</v>
      </c>
      <c r="P186" s="430"/>
    </row>
    <row r="187" spans="1:16" ht="13.5" hidden="1" customHeight="1" outlineLevel="3" x14ac:dyDescent="0.2">
      <c r="A187" s="233">
        <v>0</v>
      </c>
      <c r="B187" s="233">
        <v>4</v>
      </c>
      <c r="C187" s="233">
        <v>3</v>
      </c>
      <c r="D187" s="234">
        <v>6</v>
      </c>
      <c r="E187" s="234">
        <v>1</v>
      </c>
      <c r="G187" s="458" t="s">
        <v>41</v>
      </c>
      <c r="H187" s="459" t="s">
        <v>1238</v>
      </c>
      <c r="I187" s="460" t="s">
        <v>3484</v>
      </c>
      <c r="J187" s="461" t="s">
        <v>2985</v>
      </c>
      <c r="K187" s="462" t="s">
        <v>1105</v>
      </c>
      <c r="L187" s="463">
        <v>247.33624878522858</v>
      </c>
      <c r="M187" s="463">
        <v>8.9649650000000012</v>
      </c>
      <c r="N187" s="464">
        <v>2217.3608135908698</v>
      </c>
      <c r="O187" s="465" t="s">
        <v>1290</v>
      </c>
      <c r="P187" s="431" t="s">
        <v>6711</v>
      </c>
    </row>
    <row r="188" spans="1:16" ht="13.5" hidden="1" customHeight="1" outlineLevel="3" x14ac:dyDescent="0.2">
      <c r="A188" s="233">
        <v>0</v>
      </c>
      <c r="B188" s="233">
        <v>4</v>
      </c>
      <c r="C188" s="233">
        <v>3</v>
      </c>
      <c r="D188" s="234">
        <v>6</v>
      </c>
      <c r="E188" s="234">
        <v>2</v>
      </c>
      <c r="G188" s="458" t="s">
        <v>41</v>
      </c>
      <c r="H188" s="459" t="s">
        <v>1238</v>
      </c>
      <c r="I188" s="460" t="s">
        <v>3485</v>
      </c>
      <c r="J188" s="461" t="s">
        <v>2986</v>
      </c>
      <c r="K188" s="462" t="s">
        <v>1105</v>
      </c>
      <c r="L188" s="463">
        <v>2774.080660835763</v>
      </c>
      <c r="M188" s="463">
        <v>8.9649650000000012</v>
      </c>
      <c r="N188" s="464">
        <v>24869.5360315695</v>
      </c>
      <c r="O188" s="465" t="s">
        <v>1290</v>
      </c>
      <c r="P188" s="431" t="s">
        <v>6711</v>
      </c>
    </row>
    <row r="189" spans="1:16" ht="13.5" hidden="1" customHeight="1" outlineLevel="3" x14ac:dyDescent="0.2">
      <c r="A189" s="233">
        <v>0</v>
      </c>
      <c r="B189" s="233">
        <v>4</v>
      </c>
      <c r="C189" s="233">
        <v>3</v>
      </c>
      <c r="D189" s="234">
        <v>6</v>
      </c>
      <c r="E189" s="234">
        <v>3</v>
      </c>
      <c r="G189" s="458" t="s">
        <v>41</v>
      </c>
      <c r="H189" s="459" t="s">
        <v>1238</v>
      </c>
      <c r="I189" s="460" t="s">
        <v>3486</v>
      </c>
      <c r="J189" s="461" t="s">
        <v>2987</v>
      </c>
      <c r="K189" s="462" t="s">
        <v>1105</v>
      </c>
      <c r="L189" s="463">
        <v>3065.9018464528672</v>
      </c>
      <c r="M189" s="463">
        <v>8.9649650000000012</v>
      </c>
      <c r="N189" s="464">
        <v>27485.702746885301</v>
      </c>
      <c r="O189" s="465" t="s">
        <v>1290</v>
      </c>
      <c r="P189" s="431" t="s">
        <v>6711</v>
      </c>
    </row>
    <row r="190" spans="1:16" ht="13.5" hidden="1" customHeight="1" outlineLevel="3" x14ac:dyDescent="0.2">
      <c r="A190" s="233">
        <v>0</v>
      </c>
      <c r="B190" s="233">
        <v>4</v>
      </c>
      <c r="C190" s="233">
        <v>3</v>
      </c>
      <c r="D190" s="234">
        <v>6</v>
      </c>
      <c r="E190" s="234">
        <v>4</v>
      </c>
      <c r="G190" s="458" t="s">
        <v>41</v>
      </c>
      <c r="H190" s="459" t="s">
        <v>1238</v>
      </c>
      <c r="I190" s="460" t="s">
        <v>3487</v>
      </c>
      <c r="J190" s="461" t="s">
        <v>2988</v>
      </c>
      <c r="K190" s="462" t="s">
        <v>1105</v>
      </c>
      <c r="L190" s="463">
        <v>3485.8396501457719</v>
      </c>
      <c r="M190" s="463">
        <v>8.9649650000000012</v>
      </c>
      <c r="N190" s="464">
        <v>31250.4304591691</v>
      </c>
      <c r="O190" s="465" t="s">
        <v>1290</v>
      </c>
      <c r="P190" s="431" t="s">
        <v>6711</v>
      </c>
    </row>
    <row r="191" spans="1:16" ht="13.5" hidden="1" customHeight="1" outlineLevel="3" x14ac:dyDescent="0.2">
      <c r="A191" s="233">
        <v>0</v>
      </c>
      <c r="B191" s="233">
        <v>4</v>
      </c>
      <c r="C191" s="233">
        <v>3</v>
      </c>
      <c r="D191" s="234">
        <v>6</v>
      </c>
      <c r="E191" s="234">
        <v>5</v>
      </c>
      <c r="G191" s="458" t="s">
        <v>41</v>
      </c>
      <c r="H191" s="459" t="s">
        <v>1238</v>
      </c>
      <c r="I191" s="460" t="s">
        <v>3488</v>
      </c>
      <c r="J191" s="461" t="s">
        <v>2989</v>
      </c>
      <c r="K191" s="462" t="s">
        <v>1105</v>
      </c>
      <c r="L191" s="463">
        <v>3944.9241982507297</v>
      </c>
      <c r="M191" s="463">
        <v>8.4849650000000008</v>
      </c>
      <c r="N191" s="464">
        <v>33472.543749810502</v>
      </c>
      <c r="O191" s="465" t="s">
        <v>1290</v>
      </c>
      <c r="P191" s="431" t="s">
        <v>6711</v>
      </c>
    </row>
    <row r="192" spans="1:16" ht="13.5" hidden="1" customHeight="1" outlineLevel="3" x14ac:dyDescent="0.2">
      <c r="A192" s="233">
        <v>0</v>
      </c>
      <c r="B192" s="233">
        <v>4</v>
      </c>
      <c r="C192" s="233">
        <v>3</v>
      </c>
      <c r="D192" s="234">
        <v>6</v>
      </c>
      <c r="E192" s="234">
        <v>6</v>
      </c>
      <c r="G192" s="458" t="s">
        <v>41</v>
      </c>
      <c r="H192" s="459" t="s">
        <v>1238</v>
      </c>
      <c r="I192" s="460" t="s">
        <v>3489</v>
      </c>
      <c r="J192" s="461" t="s">
        <v>2990</v>
      </c>
      <c r="K192" s="462" t="s">
        <v>1105</v>
      </c>
      <c r="L192" s="463">
        <v>1322.0923226433433</v>
      </c>
      <c r="M192" s="463">
        <v>8.4849650000000008</v>
      </c>
      <c r="N192" s="464">
        <v>11217.907084397501</v>
      </c>
      <c r="O192" s="465" t="s">
        <v>1290</v>
      </c>
      <c r="P192" s="431" t="s">
        <v>6711</v>
      </c>
    </row>
    <row r="193" spans="1:16" ht="13.5" hidden="1" customHeight="1" outlineLevel="3" x14ac:dyDescent="0.2">
      <c r="A193" s="233">
        <v>0</v>
      </c>
      <c r="B193" s="233">
        <v>4</v>
      </c>
      <c r="C193" s="233">
        <v>3</v>
      </c>
      <c r="D193" s="234">
        <v>6</v>
      </c>
      <c r="E193" s="234">
        <v>7</v>
      </c>
      <c r="G193" s="458" t="s">
        <v>41</v>
      </c>
      <c r="H193" s="459" t="s">
        <v>1238</v>
      </c>
      <c r="I193" s="460" t="s">
        <v>3490</v>
      </c>
      <c r="J193" s="461" t="s">
        <v>2991</v>
      </c>
      <c r="K193" s="462" t="s">
        <v>1105</v>
      </c>
      <c r="L193" s="463">
        <v>5055.2682215743434</v>
      </c>
      <c r="M193" s="463">
        <v>8.4849650000000008</v>
      </c>
      <c r="N193" s="464">
        <v>42893.773925670597</v>
      </c>
      <c r="O193" s="465" t="s">
        <v>1290</v>
      </c>
      <c r="P193" s="431" t="s">
        <v>6711</v>
      </c>
    </row>
    <row r="194" spans="1:16" ht="13.5" hidden="1" customHeight="1" outlineLevel="3" x14ac:dyDescent="0.2">
      <c r="A194" s="233">
        <v>0</v>
      </c>
      <c r="B194" s="233">
        <v>4</v>
      </c>
      <c r="C194" s="233">
        <v>3</v>
      </c>
      <c r="D194" s="234">
        <v>6</v>
      </c>
      <c r="E194" s="234">
        <v>8</v>
      </c>
      <c r="G194" s="458" t="s">
        <v>41</v>
      </c>
      <c r="H194" s="459" t="s">
        <v>1238</v>
      </c>
      <c r="I194" s="460" t="s">
        <v>3491</v>
      </c>
      <c r="J194" s="461" t="s">
        <v>2992</v>
      </c>
      <c r="K194" s="462" t="s">
        <v>1105</v>
      </c>
      <c r="L194" s="463">
        <v>24048.556851311954</v>
      </c>
      <c r="M194" s="463">
        <v>8.4849650000000008</v>
      </c>
      <c r="N194" s="464">
        <v>204051.163183892</v>
      </c>
      <c r="O194" s="465" t="s">
        <v>1290</v>
      </c>
      <c r="P194" s="431" t="s">
        <v>6711</v>
      </c>
    </row>
    <row r="195" spans="1:16" ht="13.5" hidden="1" customHeight="1" outlineLevel="2" x14ac:dyDescent="0.2">
      <c r="A195" s="233">
        <v>0</v>
      </c>
      <c r="B195" s="233">
        <v>4</v>
      </c>
      <c r="C195" s="233">
        <v>3</v>
      </c>
      <c r="D195" s="234">
        <v>7</v>
      </c>
      <c r="E195" s="234">
        <v>0</v>
      </c>
      <c r="G195" s="450"/>
      <c r="H195" s="451" t="s">
        <v>1237</v>
      </c>
      <c r="I195" s="452" t="s">
        <v>3492</v>
      </c>
      <c r="J195" s="453" t="s">
        <v>2203</v>
      </c>
      <c r="K195" s="454"/>
      <c r="L195" s="455"/>
      <c r="M195" s="455"/>
      <c r="N195" s="456">
        <v>377458.41799498501</v>
      </c>
      <c r="O195" s="457">
        <v>22.535274903624099</v>
      </c>
      <c r="P195" s="430"/>
    </row>
    <row r="196" spans="1:16" ht="13.5" hidden="1" customHeight="1" outlineLevel="3" x14ac:dyDescent="0.2">
      <c r="A196" s="233">
        <v>0</v>
      </c>
      <c r="B196" s="233">
        <v>4</v>
      </c>
      <c r="C196" s="233">
        <v>3</v>
      </c>
      <c r="D196" s="234">
        <v>7</v>
      </c>
      <c r="E196" s="234">
        <v>1</v>
      </c>
      <c r="G196" s="458" t="s">
        <v>41</v>
      </c>
      <c r="H196" s="459" t="s">
        <v>1238</v>
      </c>
      <c r="I196" s="460" t="s">
        <v>3493</v>
      </c>
      <c r="J196" s="461" t="s">
        <v>2985</v>
      </c>
      <c r="K196" s="462" t="s">
        <v>1105</v>
      </c>
      <c r="L196" s="463">
        <v>247.33624878522858</v>
      </c>
      <c r="M196" s="463">
        <v>8.9649650000000012</v>
      </c>
      <c r="N196" s="464">
        <v>2217.3608135908698</v>
      </c>
      <c r="O196" s="465" t="s">
        <v>1290</v>
      </c>
      <c r="P196" s="431" t="s">
        <v>6711</v>
      </c>
    </row>
    <row r="197" spans="1:16" ht="13.5" hidden="1" customHeight="1" outlineLevel="3" x14ac:dyDescent="0.2">
      <c r="A197" s="233">
        <v>0</v>
      </c>
      <c r="B197" s="233">
        <v>4</v>
      </c>
      <c r="C197" s="233">
        <v>3</v>
      </c>
      <c r="D197" s="234">
        <v>7</v>
      </c>
      <c r="E197" s="234">
        <v>2</v>
      </c>
      <c r="G197" s="458" t="s">
        <v>41</v>
      </c>
      <c r="H197" s="459" t="s">
        <v>1238</v>
      </c>
      <c r="I197" s="460" t="s">
        <v>3494</v>
      </c>
      <c r="J197" s="461" t="s">
        <v>2986</v>
      </c>
      <c r="K197" s="462" t="s">
        <v>1105</v>
      </c>
      <c r="L197" s="463">
        <v>2774.080660835763</v>
      </c>
      <c r="M197" s="463">
        <v>8.9649650000000012</v>
      </c>
      <c r="N197" s="464">
        <v>24869.5360315695</v>
      </c>
      <c r="O197" s="465" t="s">
        <v>1290</v>
      </c>
      <c r="P197" s="431" t="s">
        <v>6711</v>
      </c>
    </row>
    <row r="198" spans="1:16" ht="13.5" hidden="1" customHeight="1" outlineLevel="3" x14ac:dyDescent="0.2">
      <c r="A198" s="233">
        <v>0</v>
      </c>
      <c r="B198" s="233">
        <v>4</v>
      </c>
      <c r="C198" s="233">
        <v>3</v>
      </c>
      <c r="D198" s="234">
        <v>7</v>
      </c>
      <c r="E198" s="234">
        <v>3</v>
      </c>
      <c r="G198" s="458" t="s">
        <v>41</v>
      </c>
      <c r="H198" s="459" t="s">
        <v>1238</v>
      </c>
      <c r="I198" s="460" t="s">
        <v>3495</v>
      </c>
      <c r="J198" s="461" t="s">
        <v>2987</v>
      </c>
      <c r="K198" s="462" t="s">
        <v>1105</v>
      </c>
      <c r="L198" s="463">
        <v>3065.9018464528672</v>
      </c>
      <c r="M198" s="463">
        <v>8.9649650000000012</v>
      </c>
      <c r="N198" s="464">
        <v>27485.702746885301</v>
      </c>
      <c r="O198" s="465" t="s">
        <v>1290</v>
      </c>
      <c r="P198" s="431" t="s">
        <v>6711</v>
      </c>
    </row>
    <row r="199" spans="1:16" ht="13.5" hidden="1" customHeight="1" outlineLevel="3" x14ac:dyDescent="0.2">
      <c r="A199" s="233">
        <v>0</v>
      </c>
      <c r="B199" s="233">
        <v>4</v>
      </c>
      <c r="C199" s="233">
        <v>3</v>
      </c>
      <c r="D199" s="234">
        <v>7</v>
      </c>
      <c r="E199" s="234">
        <v>4</v>
      </c>
      <c r="G199" s="458" t="s">
        <v>41</v>
      </c>
      <c r="H199" s="459" t="s">
        <v>1238</v>
      </c>
      <c r="I199" s="460" t="s">
        <v>3496</v>
      </c>
      <c r="J199" s="461" t="s">
        <v>2988</v>
      </c>
      <c r="K199" s="462" t="s">
        <v>1105</v>
      </c>
      <c r="L199" s="463">
        <v>3485.8396501457719</v>
      </c>
      <c r="M199" s="463">
        <v>8.9649650000000012</v>
      </c>
      <c r="N199" s="464">
        <v>31250.4304591691</v>
      </c>
      <c r="O199" s="465" t="s">
        <v>1290</v>
      </c>
      <c r="P199" s="431" t="s">
        <v>6711</v>
      </c>
    </row>
    <row r="200" spans="1:16" ht="13.5" hidden="1" customHeight="1" outlineLevel="3" x14ac:dyDescent="0.2">
      <c r="A200" s="233">
        <v>0</v>
      </c>
      <c r="B200" s="233">
        <v>4</v>
      </c>
      <c r="C200" s="233">
        <v>3</v>
      </c>
      <c r="D200" s="234">
        <v>7</v>
      </c>
      <c r="E200" s="234">
        <v>5</v>
      </c>
      <c r="G200" s="458" t="s">
        <v>41</v>
      </c>
      <c r="H200" s="459" t="s">
        <v>1238</v>
      </c>
      <c r="I200" s="460" t="s">
        <v>3497</v>
      </c>
      <c r="J200" s="461" t="s">
        <v>2989</v>
      </c>
      <c r="K200" s="462" t="s">
        <v>1105</v>
      </c>
      <c r="L200" s="463">
        <v>3944.9241982507297</v>
      </c>
      <c r="M200" s="463">
        <v>8.4849650000000008</v>
      </c>
      <c r="N200" s="464">
        <v>33472.543749810502</v>
      </c>
      <c r="O200" s="465" t="s">
        <v>1290</v>
      </c>
      <c r="P200" s="431" t="s">
        <v>6711</v>
      </c>
    </row>
    <row r="201" spans="1:16" ht="13.5" hidden="1" customHeight="1" outlineLevel="3" x14ac:dyDescent="0.2">
      <c r="A201" s="233">
        <v>0</v>
      </c>
      <c r="B201" s="233">
        <v>4</v>
      </c>
      <c r="C201" s="233">
        <v>3</v>
      </c>
      <c r="D201" s="234">
        <v>7</v>
      </c>
      <c r="E201" s="234">
        <v>6</v>
      </c>
      <c r="G201" s="458" t="s">
        <v>41</v>
      </c>
      <c r="H201" s="459" t="s">
        <v>1238</v>
      </c>
      <c r="I201" s="460" t="s">
        <v>3498</v>
      </c>
      <c r="J201" s="461" t="s">
        <v>2990</v>
      </c>
      <c r="K201" s="462" t="s">
        <v>1105</v>
      </c>
      <c r="L201" s="463">
        <v>1322.0923226433433</v>
      </c>
      <c r="M201" s="463">
        <v>8.4849650000000008</v>
      </c>
      <c r="N201" s="464">
        <v>11217.907084397501</v>
      </c>
      <c r="O201" s="465" t="s">
        <v>1290</v>
      </c>
      <c r="P201" s="431" t="s">
        <v>6711</v>
      </c>
    </row>
    <row r="202" spans="1:16" ht="13.5" hidden="1" customHeight="1" outlineLevel="3" x14ac:dyDescent="0.2">
      <c r="A202" s="233">
        <v>0</v>
      </c>
      <c r="B202" s="233">
        <v>4</v>
      </c>
      <c r="C202" s="233">
        <v>3</v>
      </c>
      <c r="D202" s="234">
        <v>7</v>
      </c>
      <c r="E202" s="234">
        <v>7</v>
      </c>
      <c r="G202" s="458" t="s">
        <v>41</v>
      </c>
      <c r="H202" s="459" t="s">
        <v>1238</v>
      </c>
      <c r="I202" s="460" t="s">
        <v>3499</v>
      </c>
      <c r="J202" s="461" t="s">
        <v>2991</v>
      </c>
      <c r="K202" s="462" t="s">
        <v>1105</v>
      </c>
      <c r="L202" s="463">
        <v>5055.2682215743434</v>
      </c>
      <c r="M202" s="463">
        <v>8.4849650000000008</v>
      </c>
      <c r="N202" s="464">
        <v>42893.773925670597</v>
      </c>
      <c r="O202" s="465" t="s">
        <v>1290</v>
      </c>
      <c r="P202" s="431" t="s">
        <v>6711</v>
      </c>
    </row>
    <row r="203" spans="1:16" ht="13.5" hidden="1" customHeight="1" outlineLevel="3" x14ac:dyDescent="0.2">
      <c r="A203" s="233">
        <v>0</v>
      </c>
      <c r="B203" s="233">
        <v>4</v>
      </c>
      <c r="C203" s="233">
        <v>3</v>
      </c>
      <c r="D203" s="234">
        <v>7</v>
      </c>
      <c r="E203" s="234">
        <v>8</v>
      </c>
      <c r="G203" s="458" t="s">
        <v>41</v>
      </c>
      <c r="H203" s="459" t="s">
        <v>1238</v>
      </c>
      <c r="I203" s="460" t="s">
        <v>3500</v>
      </c>
      <c r="J203" s="461" t="s">
        <v>2992</v>
      </c>
      <c r="K203" s="462" t="s">
        <v>1105</v>
      </c>
      <c r="L203" s="463">
        <v>24048.556851311954</v>
      </c>
      <c r="M203" s="463">
        <v>8.4849650000000008</v>
      </c>
      <c r="N203" s="464">
        <v>204051.163183892</v>
      </c>
      <c r="O203" s="465" t="s">
        <v>1290</v>
      </c>
      <c r="P203" s="431" t="s">
        <v>6711</v>
      </c>
    </row>
    <row r="204" spans="1:16" ht="13.5" hidden="1" customHeight="1" outlineLevel="2" x14ac:dyDescent="0.2">
      <c r="A204" s="233">
        <v>0</v>
      </c>
      <c r="B204" s="233">
        <v>4</v>
      </c>
      <c r="C204" s="233">
        <v>3</v>
      </c>
      <c r="D204" s="234">
        <v>8</v>
      </c>
      <c r="E204" s="234">
        <v>0</v>
      </c>
      <c r="G204" s="450"/>
      <c r="H204" s="451" t="s">
        <v>1237</v>
      </c>
      <c r="I204" s="452" t="s">
        <v>3501</v>
      </c>
      <c r="J204" s="453" t="s">
        <v>2837</v>
      </c>
      <c r="K204" s="454"/>
      <c r="L204" s="455"/>
      <c r="M204" s="455"/>
      <c r="N204" s="456">
        <v>217499.84824458501</v>
      </c>
      <c r="O204" s="457">
        <v>12.9853213970535</v>
      </c>
      <c r="P204" s="430"/>
    </row>
    <row r="205" spans="1:16" ht="13.5" hidden="1" customHeight="1" outlineLevel="3" x14ac:dyDescent="0.2">
      <c r="A205" s="233">
        <v>0</v>
      </c>
      <c r="B205" s="233">
        <v>4</v>
      </c>
      <c r="C205" s="233">
        <v>3</v>
      </c>
      <c r="D205" s="234">
        <v>8</v>
      </c>
      <c r="E205" s="234">
        <v>1</v>
      </c>
      <c r="G205" s="458" t="s">
        <v>41</v>
      </c>
      <c r="H205" s="459" t="s">
        <v>1238</v>
      </c>
      <c r="I205" s="460" t="s">
        <v>3502</v>
      </c>
      <c r="J205" s="461" t="s">
        <v>2985</v>
      </c>
      <c r="K205" s="462" t="s">
        <v>1105</v>
      </c>
      <c r="L205" s="463">
        <v>142.52059037900884</v>
      </c>
      <c r="M205" s="463">
        <v>8.9649650000000012</v>
      </c>
      <c r="N205" s="464">
        <v>1277.6921045271499</v>
      </c>
      <c r="O205" s="465" t="s">
        <v>1290</v>
      </c>
      <c r="P205" s="431" t="s">
        <v>6711</v>
      </c>
    </row>
    <row r="206" spans="1:16" ht="13.5" hidden="1" customHeight="1" outlineLevel="3" x14ac:dyDescent="0.2">
      <c r="A206" s="233">
        <v>0</v>
      </c>
      <c r="B206" s="233">
        <v>4</v>
      </c>
      <c r="C206" s="233">
        <v>3</v>
      </c>
      <c r="D206" s="234">
        <v>8</v>
      </c>
      <c r="E206" s="234">
        <v>2</v>
      </c>
      <c r="G206" s="458" t="s">
        <v>41</v>
      </c>
      <c r="H206" s="459" t="s">
        <v>1238</v>
      </c>
      <c r="I206" s="460" t="s">
        <v>3503</v>
      </c>
      <c r="J206" s="461" t="s">
        <v>2986</v>
      </c>
      <c r="K206" s="462" t="s">
        <v>1105</v>
      </c>
      <c r="L206" s="463">
        <v>1598.486333819242</v>
      </c>
      <c r="M206" s="463">
        <v>8.9649650000000012</v>
      </c>
      <c r="N206" s="464">
        <v>14330.374035667801</v>
      </c>
      <c r="O206" s="465" t="s">
        <v>1290</v>
      </c>
      <c r="P206" s="431" t="s">
        <v>6711</v>
      </c>
    </row>
    <row r="207" spans="1:16" ht="13.5" hidden="1" customHeight="1" outlineLevel="3" x14ac:dyDescent="0.2">
      <c r="A207" s="233">
        <v>0</v>
      </c>
      <c r="B207" s="233">
        <v>4</v>
      </c>
      <c r="C207" s="233">
        <v>3</v>
      </c>
      <c r="D207" s="234">
        <v>8</v>
      </c>
      <c r="E207" s="234">
        <v>3</v>
      </c>
      <c r="G207" s="458" t="s">
        <v>41</v>
      </c>
      <c r="H207" s="459" t="s">
        <v>1238</v>
      </c>
      <c r="I207" s="460" t="s">
        <v>3504</v>
      </c>
      <c r="J207" s="461" t="s">
        <v>2987</v>
      </c>
      <c r="K207" s="462" t="s">
        <v>1105</v>
      </c>
      <c r="L207" s="463">
        <v>1766.6401239067059</v>
      </c>
      <c r="M207" s="463">
        <v>8.9649650000000012</v>
      </c>
      <c r="N207" s="464">
        <v>15837.8668784193</v>
      </c>
      <c r="O207" s="465" t="s">
        <v>1290</v>
      </c>
      <c r="P207" s="431" t="s">
        <v>6711</v>
      </c>
    </row>
    <row r="208" spans="1:16" ht="13.5" hidden="1" customHeight="1" outlineLevel="3" x14ac:dyDescent="0.2">
      <c r="A208" s="233">
        <v>0</v>
      </c>
      <c r="B208" s="233">
        <v>4</v>
      </c>
      <c r="C208" s="233">
        <v>3</v>
      </c>
      <c r="D208" s="234">
        <v>8</v>
      </c>
      <c r="E208" s="234">
        <v>4</v>
      </c>
      <c r="G208" s="458" t="s">
        <v>41</v>
      </c>
      <c r="H208" s="459" t="s">
        <v>1238</v>
      </c>
      <c r="I208" s="460" t="s">
        <v>3505</v>
      </c>
      <c r="J208" s="461" t="s">
        <v>2988</v>
      </c>
      <c r="K208" s="462" t="s">
        <v>1105</v>
      </c>
      <c r="L208" s="463">
        <v>2008.6175291545187</v>
      </c>
      <c r="M208" s="463">
        <v>8.9649650000000012</v>
      </c>
      <c r="N208" s="464">
        <v>18007.1858472567</v>
      </c>
      <c r="O208" s="465" t="s">
        <v>1290</v>
      </c>
      <c r="P208" s="431" t="s">
        <v>6711</v>
      </c>
    </row>
    <row r="209" spans="1:16" ht="13.5" hidden="1" customHeight="1" outlineLevel="3" x14ac:dyDescent="0.2">
      <c r="A209" s="233">
        <v>0</v>
      </c>
      <c r="B209" s="233">
        <v>4</v>
      </c>
      <c r="C209" s="233">
        <v>3</v>
      </c>
      <c r="D209" s="234">
        <v>8</v>
      </c>
      <c r="E209" s="234">
        <v>5</v>
      </c>
      <c r="G209" s="458" t="s">
        <v>41</v>
      </c>
      <c r="H209" s="459" t="s">
        <v>1238</v>
      </c>
      <c r="I209" s="460" t="s">
        <v>3506</v>
      </c>
      <c r="J209" s="461" t="s">
        <v>2989</v>
      </c>
      <c r="K209" s="462" t="s">
        <v>1105</v>
      </c>
      <c r="L209" s="463">
        <v>2273.1521501457728</v>
      </c>
      <c r="M209" s="463">
        <v>8.4849650000000008</v>
      </c>
      <c r="N209" s="464">
        <v>19287.616433661598</v>
      </c>
      <c r="O209" s="465" t="s">
        <v>1290</v>
      </c>
      <c r="P209" s="431" t="s">
        <v>6711</v>
      </c>
    </row>
    <row r="210" spans="1:16" ht="13.5" hidden="1" customHeight="1" outlineLevel="3" x14ac:dyDescent="0.2">
      <c r="A210" s="233">
        <v>0</v>
      </c>
      <c r="B210" s="233">
        <v>4</v>
      </c>
      <c r="C210" s="233">
        <v>3</v>
      </c>
      <c r="D210" s="234">
        <v>8</v>
      </c>
      <c r="E210" s="234">
        <v>6</v>
      </c>
      <c r="G210" s="458" t="s">
        <v>41</v>
      </c>
      <c r="H210" s="459" t="s">
        <v>1238</v>
      </c>
      <c r="I210" s="460" t="s">
        <v>3507</v>
      </c>
      <c r="J210" s="461" t="s">
        <v>2990</v>
      </c>
      <c r="K210" s="462" t="s">
        <v>1105</v>
      </c>
      <c r="L210" s="463">
        <v>761.8186953352772</v>
      </c>
      <c r="M210" s="463">
        <v>8.4849650000000008</v>
      </c>
      <c r="N210" s="464">
        <v>6464.0049662654901</v>
      </c>
      <c r="O210" s="465" t="s">
        <v>1290</v>
      </c>
      <c r="P210" s="431" t="s">
        <v>6711</v>
      </c>
    </row>
    <row r="211" spans="1:16" ht="13.5" hidden="1" customHeight="1" outlineLevel="3" x14ac:dyDescent="0.2">
      <c r="A211" s="233">
        <v>0</v>
      </c>
      <c r="B211" s="233">
        <v>4</v>
      </c>
      <c r="C211" s="233">
        <v>3</v>
      </c>
      <c r="D211" s="234">
        <v>8</v>
      </c>
      <c r="E211" s="234">
        <v>7</v>
      </c>
      <c r="G211" s="458" t="s">
        <v>41</v>
      </c>
      <c r="H211" s="459" t="s">
        <v>1238</v>
      </c>
      <c r="I211" s="460" t="s">
        <v>3508</v>
      </c>
      <c r="J211" s="461" t="s">
        <v>2991</v>
      </c>
      <c r="K211" s="462" t="s">
        <v>1105</v>
      </c>
      <c r="L211" s="463">
        <v>2912.9568148688049</v>
      </c>
      <c r="M211" s="463">
        <v>8.4849650000000008</v>
      </c>
      <c r="N211" s="464">
        <v>24716.336620673301</v>
      </c>
      <c r="O211" s="465" t="s">
        <v>1290</v>
      </c>
      <c r="P211" s="431" t="s">
        <v>6711</v>
      </c>
    </row>
    <row r="212" spans="1:16" ht="13.5" hidden="1" customHeight="1" outlineLevel="3" x14ac:dyDescent="0.2">
      <c r="A212" s="233">
        <v>0</v>
      </c>
      <c r="B212" s="233">
        <v>4</v>
      </c>
      <c r="C212" s="233">
        <v>3</v>
      </c>
      <c r="D212" s="234">
        <v>8</v>
      </c>
      <c r="E212" s="234">
        <v>8</v>
      </c>
      <c r="G212" s="458" t="s">
        <v>41</v>
      </c>
      <c r="H212" s="459" t="s">
        <v>1238</v>
      </c>
      <c r="I212" s="460" t="s">
        <v>3509</v>
      </c>
      <c r="J212" s="461" t="s">
        <v>2992</v>
      </c>
      <c r="K212" s="462" t="s">
        <v>1105</v>
      </c>
      <c r="L212" s="463">
        <v>13857.307762390672</v>
      </c>
      <c r="M212" s="463">
        <v>8.4849650000000008</v>
      </c>
      <c r="N212" s="464">
        <v>117578.77135811299</v>
      </c>
      <c r="O212" s="465" t="s">
        <v>1290</v>
      </c>
      <c r="P212" s="431" t="s">
        <v>6711</v>
      </c>
    </row>
    <row r="213" spans="1:16" ht="13.5" hidden="1" customHeight="1" outlineLevel="2" x14ac:dyDescent="0.2">
      <c r="A213" s="233">
        <v>0</v>
      </c>
      <c r="B213" s="233">
        <v>4</v>
      </c>
      <c r="C213" s="233">
        <v>3</v>
      </c>
      <c r="D213" s="234">
        <v>9</v>
      </c>
      <c r="E213" s="234">
        <v>0</v>
      </c>
      <c r="G213" s="450"/>
      <c r="H213" s="451" t="s">
        <v>1237</v>
      </c>
      <c r="I213" s="452" t="s">
        <v>3510</v>
      </c>
      <c r="J213" s="453" t="s">
        <v>2204</v>
      </c>
      <c r="K213" s="454"/>
      <c r="L213" s="455"/>
      <c r="M213" s="455"/>
      <c r="N213" s="456">
        <v>217499.84824458501</v>
      </c>
      <c r="O213" s="457">
        <v>12.9853213970535</v>
      </c>
      <c r="P213" s="430"/>
    </row>
    <row r="214" spans="1:16" ht="13.5" hidden="1" customHeight="1" outlineLevel="3" x14ac:dyDescent="0.2">
      <c r="A214" s="233">
        <v>0</v>
      </c>
      <c r="B214" s="233">
        <v>4</v>
      </c>
      <c r="C214" s="233">
        <v>3</v>
      </c>
      <c r="D214" s="234">
        <v>9</v>
      </c>
      <c r="E214" s="234">
        <v>1</v>
      </c>
      <c r="G214" s="458" t="s">
        <v>41</v>
      </c>
      <c r="H214" s="459" t="s">
        <v>1238</v>
      </c>
      <c r="I214" s="460" t="s">
        <v>3511</v>
      </c>
      <c r="J214" s="461" t="s">
        <v>2985</v>
      </c>
      <c r="K214" s="462" t="s">
        <v>1105</v>
      </c>
      <c r="L214" s="463">
        <v>142.52059037900884</v>
      </c>
      <c r="M214" s="463">
        <v>8.9649650000000012</v>
      </c>
      <c r="N214" s="464">
        <v>1277.6921045271499</v>
      </c>
      <c r="O214" s="465" t="s">
        <v>1290</v>
      </c>
      <c r="P214" s="431" t="s">
        <v>6711</v>
      </c>
    </row>
    <row r="215" spans="1:16" ht="13.5" hidden="1" customHeight="1" outlineLevel="3" x14ac:dyDescent="0.2">
      <c r="A215" s="233">
        <v>0</v>
      </c>
      <c r="B215" s="233">
        <v>4</v>
      </c>
      <c r="C215" s="233">
        <v>3</v>
      </c>
      <c r="D215" s="234">
        <v>9</v>
      </c>
      <c r="E215" s="234">
        <v>2</v>
      </c>
      <c r="G215" s="458" t="s">
        <v>41</v>
      </c>
      <c r="H215" s="459" t="s">
        <v>1238</v>
      </c>
      <c r="I215" s="460" t="s">
        <v>3512</v>
      </c>
      <c r="J215" s="461" t="s">
        <v>2986</v>
      </c>
      <c r="K215" s="462" t="s">
        <v>1105</v>
      </c>
      <c r="L215" s="463">
        <v>1598.486333819242</v>
      </c>
      <c r="M215" s="463">
        <v>8.9649650000000012</v>
      </c>
      <c r="N215" s="464">
        <v>14330.374035667801</v>
      </c>
      <c r="O215" s="465" t="s">
        <v>1290</v>
      </c>
      <c r="P215" s="431" t="s">
        <v>6711</v>
      </c>
    </row>
    <row r="216" spans="1:16" ht="13.5" hidden="1" customHeight="1" outlineLevel="3" x14ac:dyDescent="0.2">
      <c r="A216" s="233">
        <v>0</v>
      </c>
      <c r="B216" s="233">
        <v>4</v>
      </c>
      <c r="C216" s="233">
        <v>3</v>
      </c>
      <c r="D216" s="234">
        <v>9</v>
      </c>
      <c r="E216" s="234">
        <v>3</v>
      </c>
      <c r="G216" s="458" t="s">
        <v>41</v>
      </c>
      <c r="H216" s="459" t="s">
        <v>1238</v>
      </c>
      <c r="I216" s="460" t="s">
        <v>3513</v>
      </c>
      <c r="J216" s="461" t="s">
        <v>2987</v>
      </c>
      <c r="K216" s="462" t="s">
        <v>1105</v>
      </c>
      <c r="L216" s="463">
        <v>1766.6401239067059</v>
      </c>
      <c r="M216" s="463">
        <v>8.9649650000000012</v>
      </c>
      <c r="N216" s="464">
        <v>15837.8668784193</v>
      </c>
      <c r="O216" s="465" t="s">
        <v>1290</v>
      </c>
      <c r="P216" s="431" t="s">
        <v>6711</v>
      </c>
    </row>
    <row r="217" spans="1:16" ht="13.5" hidden="1" customHeight="1" outlineLevel="3" x14ac:dyDescent="0.2">
      <c r="A217" s="233">
        <v>0</v>
      </c>
      <c r="B217" s="233">
        <v>4</v>
      </c>
      <c r="C217" s="233">
        <v>3</v>
      </c>
      <c r="D217" s="234">
        <v>9</v>
      </c>
      <c r="E217" s="234">
        <v>4</v>
      </c>
      <c r="G217" s="458" t="s">
        <v>41</v>
      </c>
      <c r="H217" s="459" t="s">
        <v>1238</v>
      </c>
      <c r="I217" s="460" t="s">
        <v>3514</v>
      </c>
      <c r="J217" s="461" t="s">
        <v>2988</v>
      </c>
      <c r="K217" s="462" t="s">
        <v>1105</v>
      </c>
      <c r="L217" s="463">
        <v>2008.6175291545187</v>
      </c>
      <c r="M217" s="463">
        <v>8.9649650000000012</v>
      </c>
      <c r="N217" s="464">
        <v>18007.1858472567</v>
      </c>
      <c r="O217" s="465" t="s">
        <v>1290</v>
      </c>
      <c r="P217" s="431" t="s">
        <v>6711</v>
      </c>
    </row>
    <row r="218" spans="1:16" ht="13.5" hidden="1" customHeight="1" outlineLevel="3" x14ac:dyDescent="0.2">
      <c r="A218" s="233">
        <v>0</v>
      </c>
      <c r="B218" s="233">
        <v>4</v>
      </c>
      <c r="C218" s="233">
        <v>3</v>
      </c>
      <c r="D218" s="234">
        <v>9</v>
      </c>
      <c r="E218" s="234">
        <v>5</v>
      </c>
      <c r="G218" s="458" t="s">
        <v>41</v>
      </c>
      <c r="H218" s="459" t="s">
        <v>1238</v>
      </c>
      <c r="I218" s="460" t="s">
        <v>3515</v>
      </c>
      <c r="J218" s="461" t="s">
        <v>2989</v>
      </c>
      <c r="K218" s="462" t="s">
        <v>1105</v>
      </c>
      <c r="L218" s="463">
        <v>2273.1521501457728</v>
      </c>
      <c r="M218" s="463">
        <v>8.4849650000000008</v>
      </c>
      <c r="N218" s="464">
        <v>19287.616433661598</v>
      </c>
      <c r="O218" s="465" t="s">
        <v>1290</v>
      </c>
      <c r="P218" s="431" t="s">
        <v>6711</v>
      </c>
    </row>
    <row r="219" spans="1:16" ht="13.5" hidden="1" customHeight="1" outlineLevel="3" x14ac:dyDescent="0.2">
      <c r="A219" s="233">
        <v>0</v>
      </c>
      <c r="B219" s="233">
        <v>4</v>
      </c>
      <c r="C219" s="233">
        <v>3</v>
      </c>
      <c r="D219" s="234">
        <v>9</v>
      </c>
      <c r="E219" s="234">
        <v>6</v>
      </c>
      <c r="G219" s="458" t="s">
        <v>41</v>
      </c>
      <c r="H219" s="459" t="s">
        <v>1238</v>
      </c>
      <c r="I219" s="460" t="s">
        <v>3516</v>
      </c>
      <c r="J219" s="461" t="s">
        <v>2990</v>
      </c>
      <c r="K219" s="462" t="s">
        <v>1105</v>
      </c>
      <c r="L219" s="463">
        <v>761.8186953352772</v>
      </c>
      <c r="M219" s="463">
        <v>8.4849650000000008</v>
      </c>
      <c r="N219" s="464">
        <v>6464.0049662654901</v>
      </c>
      <c r="O219" s="465" t="s">
        <v>1290</v>
      </c>
      <c r="P219" s="431" t="s">
        <v>6711</v>
      </c>
    </row>
    <row r="220" spans="1:16" ht="13.5" hidden="1" customHeight="1" outlineLevel="3" x14ac:dyDescent="0.2">
      <c r="A220" s="233">
        <v>0</v>
      </c>
      <c r="B220" s="233">
        <v>4</v>
      </c>
      <c r="C220" s="233">
        <v>3</v>
      </c>
      <c r="D220" s="234">
        <v>9</v>
      </c>
      <c r="E220" s="234">
        <v>7</v>
      </c>
      <c r="G220" s="458" t="s">
        <v>41</v>
      </c>
      <c r="H220" s="459" t="s">
        <v>1238</v>
      </c>
      <c r="I220" s="460" t="s">
        <v>3517</v>
      </c>
      <c r="J220" s="461" t="s">
        <v>2991</v>
      </c>
      <c r="K220" s="462" t="s">
        <v>1105</v>
      </c>
      <c r="L220" s="463">
        <v>2912.9568148688049</v>
      </c>
      <c r="M220" s="463">
        <v>8.4849650000000008</v>
      </c>
      <c r="N220" s="464">
        <v>24716.336620673301</v>
      </c>
      <c r="O220" s="465" t="s">
        <v>1290</v>
      </c>
      <c r="P220" s="431" t="s">
        <v>6711</v>
      </c>
    </row>
    <row r="221" spans="1:16" ht="13.5" hidden="1" customHeight="1" outlineLevel="3" x14ac:dyDescent="0.2">
      <c r="A221" s="233">
        <v>0</v>
      </c>
      <c r="B221" s="233">
        <v>4</v>
      </c>
      <c r="C221" s="233">
        <v>3</v>
      </c>
      <c r="D221" s="234">
        <v>9</v>
      </c>
      <c r="E221" s="234">
        <v>8</v>
      </c>
      <c r="G221" s="458" t="s">
        <v>41</v>
      </c>
      <c r="H221" s="459" t="s">
        <v>1238</v>
      </c>
      <c r="I221" s="460" t="s">
        <v>3518</v>
      </c>
      <c r="J221" s="461" t="s">
        <v>2992</v>
      </c>
      <c r="K221" s="462" t="s">
        <v>1105</v>
      </c>
      <c r="L221" s="463">
        <v>13857.307762390672</v>
      </c>
      <c r="M221" s="463">
        <v>8.4849650000000008</v>
      </c>
      <c r="N221" s="464">
        <v>117578.77135811299</v>
      </c>
      <c r="O221" s="465" t="s">
        <v>1290</v>
      </c>
      <c r="P221" s="431" t="s">
        <v>6711</v>
      </c>
    </row>
    <row r="222" spans="1:16" ht="13.5" hidden="1" customHeight="1" outlineLevel="2" x14ac:dyDescent="0.2">
      <c r="A222" s="233">
        <v>0</v>
      </c>
      <c r="B222" s="233">
        <v>4</v>
      </c>
      <c r="C222" s="233">
        <v>3</v>
      </c>
      <c r="D222" s="234">
        <v>10</v>
      </c>
      <c r="E222" s="234">
        <v>0</v>
      </c>
      <c r="G222" s="450"/>
      <c r="H222" s="451" t="s">
        <v>1237</v>
      </c>
      <c r="I222" s="452" t="s">
        <v>3519</v>
      </c>
      <c r="J222" s="453" t="s">
        <v>2205</v>
      </c>
      <c r="K222" s="454"/>
      <c r="L222" s="455"/>
      <c r="M222" s="455"/>
      <c r="N222" s="456">
        <v>231024.06723086501</v>
      </c>
      <c r="O222" s="457">
        <v>13.7927533635507</v>
      </c>
      <c r="P222" s="430"/>
    </row>
    <row r="223" spans="1:16" ht="13.5" hidden="1" customHeight="1" outlineLevel="3" x14ac:dyDescent="0.2">
      <c r="A223" s="233">
        <v>0</v>
      </c>
      <c r="B223" s="233">
        <v>4</v>
      </c>
      <c r="C223" s="233">
        <v>3</v>
      </c>
      <c r="D223" s="234">
        <v>10</v>
      </c>
      <c r="E223" s="234">
        <v>1</v>
      </c>
      <c r="G223" s="458" t="s">
        <v>41</v>
      </c>
      <c r="H223" s="459" t="s">
        <v>1238</v>
      </c>
      <c r="I223" s="460" t="s">
        <v>3520</v>
      </c>
      <c r="J223" s="461" t="s">
        <v>2985</v>
      </c>
      <c r="K223" s="462" t="s">
        <v>1105</v>
      </c>
      <c r="L223" s="463">
        <v>151.38257207644975</v>
      </c>
      <c r="M223" s="463">
        <v>8.9649650000000012</v>
      </c>
      <c r="N223" s="464">
        <v>1357.1394602753501</v>
      </c>
      <c r="O223" s="465" t="s">
        <v>1290</v>
      </c>
      <c r="P223" s="431" t="s">
        <v>6711</v>
      </c>
    </row>
    <row r="224" spans="1:16" ht="13.5" hidden="1" customHeight="1" outlineLevel="3" x14ac:dyDescent="0.2">
      <c r="A224" s="233">
        <v>0</v>
      </c>
      <c r="B224" s="233">
        <v>4</v>
      </c>
      <c r="C224" s="233">
        <v>3</v>
      </c>
      <c r="D224" s="234">
        <v>10</v>
      </c>
      <c r="E224" s="234">
        <v>2</v>
      </c>
      <c r="G224" s="458" t="s">
        <v>41</v>
      </c>
      <c r="H224" s="459" t="s">
        <v>1238</v>
      </c>
      <c r="I224" s="460" t="s">
        <v>3521</v>
      </c>
      <c r="J224" s="461" t="s">
        <v>2986</v>
      </c>
      <c r="K224" s="462" t="s">
        <v>1105</v>
      </c>
      <c r="L224" s="463">
        <v>1697.8807904114026</v>
      </c>
      <c r="M224" s="463">
        <v>8.9649650000000012</v>
      </c>
      <c r="N224" s="464">
        <v>15221.4418602106</v>
      </c>
      <c r="O224" s="465" t="s">
        <v>1290</v>
      </c>
      <c r="P224" s="431" t="s">
        <v>6711</v>
      </c>
    </row>
    <row r="225" spans="1:16" ht="13.5" hidden="1" customHeight="1" outlineLevel="3" x14ac:dyDescent="0.2">
      <c r="A225" s="233">
        <v>0</v>
      </c>
      <c r="B225" s="233">
        <v>4</v>
      </c>
      <c r="C225" s="233">
        <v>3</v>
      </c>
      <c r="D225" s="234">
        <v>10</v>
      </c>
      <c r="E225" s="234">
        <v>3</v>
      </c>
      <c r="G225" s="458" t="s">
        <v>41</v>
      </c>
      <c r="H225" s="459" t="s">
        <v>1238</v>
      </c>
      <c r="I225" s="460" t="s">
        <v>3522</v>
      </c>
      <c r="J225" s="461" t="s">
        <v>2987</v>
      </c>
      <c r="K225" s="462" t="s">
        <v>1105</v>
      </c>
      <c r="L225" s="463">
        <v>1876.4904437965665</v>
      </c>
      <c r="M225" s="463">
        <v>8.9649650000000012</v>
      </c>
      <c r="N225" s="464">
        <v>16822.671151470699</v>
      </c>
      <c r="O225" s="465" t="s">
        <v>1290</v>
      </c>
      <c r="P225" s="431" t="s">
        <v>6711</v>
      </c>
    </row>
    <row r="226" spans="1:16" ht="13.5" hidden="1" customHeight="1" outlineLevel="3" x14ac:dyDescent="0.2">
      <c r="A226" s="233">
        <v>0</v>
      </c>
      <c r="B226" s="233">
        <v>4</v>
      </c>
      <c r="C226" s="233">
        <v>3</v>
      </c>
      <c r="D226" s="234">
        <v>10</v>
      </c>
      <c r="E226" s="234">
        <v>4</v>
      </c>
      <c r="G226" s="458" t="s">
        <v>41</v>
      </c>
      <c r="H226" s="459" t="s">
        <v>1238</v>
      </c>
      <c r="I226" s="460" t="s">
        <v>3523</v>
      </c>
      <c r="J226" s="461" t="s">
        <v>2988</v>
      </c>
      <c r="K226" s="462" t="s">
        <v>1105</v>
      </c>
      <c r="L226" s="463">
        <v>2133.5140913508258</v>
      </c>
      <c r="M226" s="463">
        <v>8.9649650000000012</v>
      </c>
      <c r="N226" s="464">
        <v>19126.879155966999</v>
      </c>
      <c r="O226" s="465" t="s">
        <v>1290</v>
      </c>
      <c r="P226" s="431" t="s">
        <v>6711</v>
      </c>
    </row>
    <row r="227" spans="1:16" ht="13.5" hidden="1" customHeight="1" outlineLevel="3" x14ac:dyDescent="0.2">
      <c r="A227" s="233">
        <v>0</v>
      </c>
      <c r="B227" s="233">
        <v>4</v>
      </c>
      <c r="C227" s="233">
        <v>3</v>
      </c>
      <c r="D227" s="234">
        <v>10</v>
      </c>
      <c r="E227" s="234">
        <v>5</v>
      </c>
      <c r="G227" s="458" t="s">
        <v>41</v>
      </c>
      <c r="H227" s="459" t="s">
        <v>1238</v>
      </c>
      <c r="I227" s="460" t="s">
        <v>3524</v>
      </c>
      <c r="J227" s="461" t="s">
        <v>2989</v>
      </c>
      <c r="K227" s="462" t="s">
        <v>1105</v>
      </c>
      <c r="L227" s="463">
        <v>2414.4975704567541</v>
      </c>
      <c r="M227" s="463">
        <v>8.4849650000000008</v>
      </c>
      <c r="N227" s="464">
        <v>20486.927377910601</v>
      </c>
      <c r="O227" s="465" t="s">
        <v>1290</v>
      </c>
      <c r="P227" s="431" t="s">
        <v>6711</v>
      </c>
    </row>
    <row r="228" spans="1:16" ht="13.5" hidden="1" customHeight="1" outlineLevel="3" x14ac:dyDescent="0.2">
      <c r="A228" s="233">
        <v>0</v>
      </c>
      <c r="B228" s="233">
        <v>4</v>
      </c>
      <c r="C228" s="233">
        <v>3</v>
      </c>
      <c r="D228" s="234">
        <v>10</v>
      </c>
      <c r="E228" s="234">
        <v>6</v>
      </c>
      <c r="G228" s="458" t="s">
        <v>41</v>
      </c>
      <c r="H228" s="459" t="s">
        <v>1238</v>
      </c>
      <c r="I228" s="460" t="s">
        <v>3525</v>
      </c>
      <c r="J228" s="461" t="s">
        <v>2990</v>
      </c>
      <c r="K228" s="462" t="s">
        <v>1105</v>
      </c>
      <c r="L228" s="463">
        <v>809.18885649497906</v>
      </c>
      <c r="M228" s="463">
        <v>8.4849650000000008</v>
      </c>
      <c r="N228" s="464">
        <v>6865.9391257499201</v>
      </c>
      <c r="O228" s="465" t="s">
        <v>1290</v>
      </c>
      <c r="P228" s="431" t="s">
        <v>6711</v>
      </c>
    </row>
    <row r="229" spans="1:16" ht="13.5" hidden="1" customHeight="1" outlineLevel="3" x14ac:dyDescent="0.2">
      <c r="A229" s="233">
        <v>0</v>
      </c>
      <c r="B229" s="233">
        <v>4</v>
      </c>
      <c r="C229" s="233">
        <v>3</v>
      </c>
      <c r="D229" s="234">
        <v>10</v>
      </c>
      <c r="E229" s="234">
        <v>7</v>
      </c>
      <c r="G229" s="458" t="s">
        <v>41</v>
      </c>
      <c r="H229" s="459" t="s">
        <v>1238</v>
      </c>
      <c r="I229" s="460" t="s">
        <v>3526</v>
      </c>
      <c r="J229" s="461" t="s">
        <v>2991</v>
      </c>
      <c r="K229" s="462" t="s">
        <v>1105</v>
      </c>
      <c r="L229" s="463">
        <v>3094.0855199222547</v>
      </c>
      <c r="M229" s="463">
        <v>8.4849650000000008</v>
      </c>
      <c r="N229" s="464">
        <v>26253.207343547099</v>
      </c>
      <c r="O229" s="465" t="s">
        <v>1290</v>
      </c>
      <c r="P229" s="431" t="s">
        <v>6711</v>
      </c>
    </row>
    <row r="230" spans="1:16" ht="13.5" hidden="1" customHeight="1" outlineLevel="3" x14ac:dyDescent="0.2">
      <c r="A230" s="233">
        <v>0</v>
      </c>
      <c r="B230" s="233">
        <v>4</v>
      </c>
      <c r="C230" s="233">
        <v>3</v>
      </c>
      <c r="D230" s="234">
        <v>10</v>
      </c>
      <c r="E230" s="234">
        <v>8</v>
      </c>
      <c r="G230" s="458" t="s">
        <v>41</v>
      </c>
      <c r="H230" s="459" t="s">
        <v>1238</v>
      </c>
      <c r="I230" s="460" t="s">
        <v>3527</v>
      </c>
      <c r="J230" s="461" t="s">
        <v>2992</v>
      </c>
      <c r="K230" s="462" t="s">
        <v>1105</v>
      </c>
      <c r="L230" s="463">
        <v>14718.960155490769</v>
      </c>
      <c r="M230" s="463">
        <v>8.4849650000000008</v>
      </c>
      <c r="N230" s="464">
        <v>124889.861755734</v>
      </c>
      <c r="O230" s="465" t="s">
        <v>1290</v>
      </c>
      <c r="P230" s="431" t="s">
        <v>6711</v>
      </c>
    </row>
    <row r="231" spans="1:16" ht="13.5" hidden="1" customHeight="1" outlineLevel="2" x14ac:dyDescent="0.2">
      <c r="A231" s="233">
        <v>0</v>
      </c>
      <c r="B231" s="233">
        <v>4</v>
      </c>
      <c r="C231" s="233">
        <v>3</v>
      </c>
      <c r="D231" s="234">
        <v>11</v>
      </c>
      <c r="E231" s="234">
        <v>0</v>
      </c>
      <c r="G231" s="450"/>
      <c r="H231" s="451" t="s">
        <v>1237</v>
      </c>
      <c r="I231" s="452" t="s">
        <v>3528</v>
      </c>
      <c r="J231" s="453" t="s">
        <v>2206</v>
      </c>
      <c r="K231" s="454"/>
      <c r="L231" s="455"/>
      <c r="M231" s="455"/>
      <c r="N231" s="456">
        <v>1409224.4773236699</v>
      </c>
      <c r="O231" s="457">
        <v>84.134462190817402</v>
      </c>
      <c r="P231" s="430"/>
    </row>
    <row r="232" spans="1:16" ht="13.5" hidden="1" customHeight="1" outlineLevel="3" x14ac:dyDescent="0.2">
      <c r="A232" s="233">
        <v>0</v>
      </c>
      <c r="B232" s="233">
        <v>4</v>
      </c>
      <c r="C232" s="233">
        <v>3</v>
      </c>
      <c r="D232" s="234">
        <v>11</v>
      </c>
      <c r="E232" s="234">
        <v>1</v>
      </c>
      <c r="G232" s="458" t="s">
        <v>41</v>
      </c>
      <c r="H232" s="459" t="s">
        <v>1238</v>
      </c>
      <c r="I232" s="460" t="s">
        <v>3529</v>
      </c>
      <c r="J232" s="461" t="s">
        <v>2985</v>
      </c>
      <c r="K232" s="462" t="s">
        <v>1105</v>
      </c>
      <c r="L232" s="463">
        <v>923.41905571752568</v>
      </c>
      <c r="M232" s="463">
        <v>8.9649650000000012</v>
      </c>
      <c r="N232" s="464">
        <v>8278.4195148406707</v>
      </c>
      <c r="O232" s="465" t="s">
        <v>1290</v>
      </c>
      <c r="P232" s="431" t="s">
        <v>6711</v>
      </c>
    </row>
    <row r="233" spans="1:16" ht="13.5" hidden="1" customHeight="1" outlineLevel="3" x14ac:dyDescent="0.2">
      <c r="A233" s="233">
        <v>0</v>
      </c>
      <c r="B233" s="233">
        <v>4</v>
      </c>
      <c r="C233" s="233">
        <v>3</v>
      </c>
      <c r="D233" s="234">
        <v>11</v>
      </c>
      <c r="E233" s="234">
        <v>2</v>
      </c>
      <c r="G233" s="458" t="s">
        <v>41</v>
      </c>
      <c r="H233" s="459" t="s">
        <v>1238</v>
      </c>
      <c r="I233" s="460" t="s">
        <v>3530</v>
      </c>
      <c r="J233" s="461" t="s">
        <v>2986</v>
      </c>
      <c r="K233" s="462" t="s">
        <v>1105</v>
      </c>
      <c r="L233" s="463">
        <v>10356.908689666339</v>
      </c>
      <c r="M233" s="463">
        <v>8.9649650000000012</v>
      </c>
      <c r="N233" s="464">
        <v>92849.323911054598</v>
      </c>
      <c r="O233" s="465" t="s">
        <v>1290</v>
      </c>
      <c r="P233" s="431" t="s">
        <v>6711</v>
      </c>
    </row>
    <row r="234" spans="1:16" ht="13.5" hidden="1" customHeight="1" outlineLevel="3" x14ac:dyDescent="0.2">
      <c r="A234" s="233">
        <v>0</v>
      </c>
      <c r="B234" s="233">
        <v>4</v>
      </c>
      <c r="C234" s="233">
        <v>3</v>
      </c>
      <c r="D234" s="234">
        <v>11</v>
      </c>
      <c r="E234" s="234">
        <v>3</v>
      </c>
      <c r="G234" s="458" t="s">
        <v>41</v>
      </c>
      <c r="H234" s="459" t="s">
        <v>1238</v>
      </c>
      <c r="I234" s="460" t="s">
        <v>3531</v>
      </c>
      <c r="J234" s="461" t="s">
        <v>2987</v>
      </c>
      <c r="K234" s="462" t="s">
        <v>1105</v>
      </c>
      <c r="L234" s="463">
        <v>11446.41030936184</v>
      </c>
      <c r="M234" s="463">
        <v>8.9649650000000012</v>
      </c>
      <c r="N234" s="464">
        <v>102616.667799068</v>
      </c>
      <c r="O234" s="465" t="s">
        <v>1290</v>
      </c>
      <c r="P234" s="431" t="s">
        <v>6711</v>
      </c>
    </row>
    <row r="235" spans="1:16" ht="13.5" hidden="1" customHeight="1" outlineLevel="3" x14ac:dyDescent="0.2">
      <c r="A235" s="233">
        <v>0</v>
      </c>
      <c r="B235" s="233">
        <v>4</v>
      </c>
      <c r="C235" s="233">
        <v>3</v>
      </c>
      <c r="D235" s="234">
        <v>11</v>
      </c>
      <c r="E235" s="234">
        <v>4</v>
      </c>
      <c r="G235" s="458" t="s">
        <v>41</v>
      </c>
      <c r="H235" s="459" t="s">
        <v>1238</v>
      </c>
      <c r="I235" s="460" t="s">
        <v>3532</v>
      </c>
      <c r="J235" s="461" t="s">
        <v>2988</v>
      </c>
      <c r="K235" s="462" t="s">
        <v>1105</v>
      </c>
      <c r="L235" s="463">
        <v>13014.229713313896</v>
      </c>
      <c r="M235" s="463">
        <v>8.9649650000000012</v>
      </c>
      <c r="N235" s="464">
        <v>116672.11388181899</v>
      </c>
      <c r="O235" s="465" t="s">
        <v>1290</v>
      </c>
      <c r="P235" s="431" t="s">
        <v>6711</v>
      </c>
    </row>
    <row r="236" spans="1:16" ht="13.5" hidden="1" customHeight="1" outlineLevel="3" x14ac:dyDescent="0.2">
      <c r="A236" s="233">
        <v>0</v>
      </c>
      <c r="B236" s="233">
        <v>4</v>
      </c>
      <c r="C236" s="233">
        <v>3</v>
      </c>
      <c r="D236" s="234">
        <v>11</v>
      </c>
      <c r="E236" s="234">
        <v>5</v>
      </c>
      <c r="G236" s="458" t="s">
        <v>41</v>
      </c>
      <c r="H236" s="459" t="s">
        <v>1238</v>
      </c>
      <c r="I236" s="460" t="s">
        <v>3533</v>
      </c>
      <c r="J236" s="461" t="s">
        <v>2989</v>
      </c>
      <c r="K236" s="462" t="s">
        <v>1105</v>
      </c>
      <c r="L236" s="463">
        <v>14728.201773566565</v>
      </c>
      <c r="M236" s="463">
        <v>8.4849650000000008</v>
      </c>
      <c r="N236" s="464">
        <v>124968.27656165</v>
      </c>
      <c r="O236" s="465" t="s">
        <v>1290</v>
      </c>
      <c r="P236" s="431" t="s">
        <v>6711</v>
      </c>
    </row>
    <row r="237" spans="1:16" ht="13.5" hidden="1" customHeight="1" outlineLevel="3" x14ac:dyDescent="0.2">
      <c r="A237" s="233">
        <v>0</v>
      </c>
      <c r="B237" s="233">
        <v>4</v>
      </c>
      <c r="C237" s="233">
        <v>3</v>
      </c>
      <c r="D237" s="234">
        <v>11</v>
      </c>
      <c r="E237" s="234">
        <v>6</v>
      </c>
      <c r="G237" s="458" t="s">
        <v>41</v>
      </c>
      <c r="H237" s="459" t="s">
        <v>1238</v>
      </c>
      <c r="I237" s="460" t="s">
        <v>3534</v>
      </c>
      <c r="J237" s="461" t="s">
        <v>2990</v>
      </c>
      <c r="K237" s="462" t="s">
        <v>1105</v>
      </c>
      <c r="L237" s="463">
        <v>4935.9738014253335</v>
      </c>
      <c r="M237" s="463">
        <v>8.4849650000000008</v>
      </c>
      <c r="N237" s="464">
        <v>41881.564946010898</v>
      </c>
      <c r="O237" s="465" t="s">
        <v>1290</v>
      </c>
      <c r="P237" s="431" t="s">
        <v>6711</v>
      </c>
    </row>
    <row r="238" spans="1:16" ht="13.5" hidden="1" customHeight="1" outlineLevel="3" x14ac:dyDescent="0.2">
      <c r="A238" s="233">
        <v>0</v>
      </c>
      <c r="B238" s="233">
        <v>4</v>
      </c>
      <c r="C238" s="233">
        <v>3</v>
      </c>
      <c r="D238" s="234">
        <v>11</v>
      </c>
      <c r="E238" s="234">
        <v>7</v>
      </c>
      <c r="G238" s="458" t="s">
        <v>41</v>
      </c>
      <c r="H238" s="459" t="s">
        <v>1238</v>
      </c>
      <c r="I238" s="460" t="s">
        <v>3535</v>
      </c>
      <c r="J238" s="461" t="s">
        <v>2991</v>
      </c>
      <c r="K238" s="462" t="s">
        <v>1105</v>
      </c>
      <c r="L238" s="463">
        <v>18873.622570456751</v>
      </c>
      <c r="M238" s="463">
        <v>8.4849650000000008</v>
      </c>
      <c r="N238" s="464">
        <v>160142.02693353599</v>
      </c>
      <c r="O238" s="465" t="s">
        <v>1290</v>
      </c>
      <c r="P238" s="431" t="s">
        <v>6711</v>
      </c>
    </row>
    <row r="239" spans="1:16" ht="13.5" hidden="1" customHeight="1" outlineLevel="3" x14ac:dyDescent="0.2">
      <c r="A239" s="233">
        <v>0</v>
      </c>
      <c r="B239" s="233">
        <v>4</v>
      </c>
      <c r="C239" s="233">
        <v>3</v>
      </c>
      <c r="D239" s="234">
        <v>11</v>
      </c>
      <c r="E239" s="234">
        <v>8</v>
      </c>
      <c r="G239" s="458" t="s">
        <v>41</v>
      </c>
      <c r="H239" s="459" t="s">
        <v>1238</v>
      </c>
      <c r="I239" s="460" t="s">
        <v>3536</v>
      </c>
      <c r="J239" s="461" t="s">
        <v>2992</v>
      </c>
      <c r="K239" s="462" t="s">
        <v>1105</v>
      </c>
      <c r="L239" s="463">
        <v>89784.234086491706</v>
      </c>
      <c r="M239" s="463">
        <v>8.4849650000000008</v>
      </c>
      <c r="N239" s="464">
        <v>761816.08377568901</v>
      </c>
      <c r="O239" s="465" t="s">
        <v>1290</v>
      </c>
      <c r="P239" s="431" t="s">
        <v>6711</v>
      </c>
    </row>
    <row r="240" spans="1:16" ht="13.5" hidden="1" customHeight="1" outlineLevel="2" x14ac:dyDescent="0.2">
      <c r="A240" s="233">
        <v>0</v>
      </c>
      <c r="B240" s="233">
        <v>4</v>
      </c>
      <c r="C240" s="233">
        <v>3</v>
      </c>
      <c r="D240" s="234">
        <v>12</v>
      </c>
      <c r="E240" s="234">
        <v>0</v>
      </c>
      <c r="G240" s="450"/>
      <c r="H240" s="451" t="s">
        <v>1237</v>
      </c>
      <c r="I240" s="452" t="s">
        <v>3537</v>
      </c>
      <c r="J240" s="453" t="s">
        <v>2207</v>
      </c>
      <c r="K240" s="454"/>
      <c r="L240" s="455"/>
      <c r="M240" s="455"/>
      <c r="N240" s="456">
        <v>2546701.9136381601</v>
      </c>
      <c r="O240" s="457">
        <v>152.04490080330899</v>
      </c>
      <c r="P240" s="430"/>
    </row>
    <row r="241" spans="1:16" ht="13.5" hidden="1" customHeight="1" outlineLevel="3" x14ac:dyDescent="0.2">
      <c r="A241" s="233">
        <v>0</v>
      </c>
      <c r="B241" s="233">
        <v>4</v>
      </c>
      <c r="C241" s="233">
        <v>3</v>
      </c>
      <c r="D241" s="234">
        <v>12</v>
      </c>
      <c r="E241" s="234">
        <v>1</v>
      </c>
      <c r="G241" s="458" t="s">
        <v>41</v>
      </c>
      <c r="H241" s="459" t="s">
        <v>1238</v>
      </c>
      <c r="I241" s="460" t="s">
        <v>3538</v>
      </c>
      <c r="J241" s="461" t="s">
        <v>2985</v>
      </c>
      <c r="K241" s="462" t="s">
        <v>1105</v>
      </c>
      <c r="L241" s="463">
        <v>1668.7710965338531</v>
      </c>
      <c r="M241" s="463">
        <v>8.9649650000000012</v>
      </c>
      <c r="N241" s="464">
        <v>14960.4744734376</v>
      </c>
      <c r="O241" s="465" t="s">
        <v>1290</v>
      </c>
      <c r="P241" s="431" t="s">
        <v>6711</v>
      </c>
    </row>
    <row r="242" spans="1:16" ht="13.5" hidden="1" customHeight="1" outlineLevel="3" x14ac:dyDescent="0.2">
      <c r="A242" s="233">
        <v>0</v>
      </c>
      <c r="B242" s="233">
        <v>4</v>
      </c>
      <c r="C242" s="233">
        <v>3</v>
      </c>
      <c r="D242" s="234">
        <v>12</v>
      </c>
      <c r="E242" s="234">
        <v>2</v>
      </c>
      <c r="G242" s="458" t="s">
        <v>41</v>
      </c>
      <c r="H242" s="459" t="s">
        <v>1238</v>
      </c>
      <c r="I242" s="460" t="s">
        <v>3539</v>
      </c>
      <c r="J242" s="461" t="s">
        <v>2986</v>
      </c>
      <c r="K242" s="462" t="s">
        <v>1105</v>
      </c>
      <c r="L242" s="463">
        <v>18716.648485584705</v>
      </c>
      <c r="M242" s="463">
        <v>8.9649650000000012</v>
      </c>
      <c r="N242" s="464">
        <v>167794.09859057001</v>
      </c>
      <c r="O242" s="465" t="s">
        <v>1290</v>
      </c>
      <c r="P242" s="431" t="s">
        <v>6711</v>
      </c>
    </row>
    <row r="243" spans="1:16" ht="13.5" hidden="1" customHeight="1" outlineLevel="3" x14ac:dyDescent="0.2">
      <c r="A243" s="233">
        <v>0</v>
      </c>
      <c r="B243" s="233">
        <v>4</v>
      </c>
      <c r="C243" s="233">
        <v>3</v>
      </c>
      <c r="D243" s="234">
        <v>12</v>
      </c>
      <c r="E243" s="234">
        <v>3</v>
      </c>
      <c r="G243" s="458" t="s">
        <v>41</v>
      </c>
      <c r="H243" s="459" t="s">
        <v>1238</v>
      </c>
      <c r="I243" s="460" t="s">
        <v>3540</v>
      </c>
      <c r="J243" s="461" t="s">
        <v>2987</v>
      </c>
      <c r="K243" s="462" t="s">
        <v>1105</v>
      </c>
      <c r="L243" s="463">
        <v>20685.558268545497</v>
      </c>
      <c r="M243" s="463">
        <v>8.9649650000000012</v>
      </c>
      <c r="N243" s="464">
        <v>185445.30588297101</v>
      </c>
      <c r="O243" s="465" t="s">
        <v>1290</v>
      </c>
      <c r="P243" s="431" t="s">
        <v>6711</v>
      </c>
    </row>
    <row r="244" spans="1:16" ht="13.5" hidden="1" customHeight="1" outlineLevel="3" x14ac:dyDescent="0.2">
      <c r="A244" s="233">
        <v>0</v>
      </c>
      <c r="B244" s="233">
        <v>4</v>
      </c>
      <c r="C244" s="233">
        <v>3</v>
      </c>
      <c r="D244" s="234">
        <v>12</v>
      </c>
      <c r="E244" s="234">
        <v>4</v>
      </c>
      <c r="G244" s="458" t="s">
        <v>41</v>
      </c>
      <c r="H244" s="459" t="s">
        <v>1238</v>
      </c>
      <c r="I244" s="460" t="s">
        <v>3541</v>
      </c>
      <c r="J244" s="461" t="s">
        <v>2988</v>
      </c>
      <c r="K244" s="462" t="s">
        <v>1105</v>
      </c>
      <c r="L244" s="463">
        <v>23518.867468415934</v>
      </c>
      <c r="M244" s="463">
        <v>8.9649650000000012</v>
      </c>
      <c r="N244" s="464">
        <v>210845.82369398701</v>
      </c>
      <c r="O244" s="465" t="s">
        <v>1290</v>
      </c>
      <c r="P244" s="431" t="s">
        <v>6711</v>
      </c>
    </row>
    <row r="245" spans="1:16" ht="13.5" hidden="1" customHeight="1" outlineLevel="3" x14ac:dyDescent="0.2">
      <c r="A245" s="233">
        <v>0</v>
      </c>
      <c r="B245" s="233">
        <v>4</v>
      </c>
      <c r="C245" s="233">
        <v>3</v>
      </c>
      <c r="D245" s="234">
        <v>12</v>
      </c>
      <c r="E245" s="234">
        <v>5</v>
      </c>
      <c r="G245" s="458" t="s">
        <v>41</v>
      </c>
      <c r="H245" s="459" t="s">
        <v>1238</v>
      </c>
      <c r="I245" s="460" t="s">
        <v>3542</v>
      </c>
      <c r="J245" s="461" t="s">
        <v>2989</v>
      </c>
      <c r="K245" s="462" t="s">
        <v>1105</v>
      </c>
      <c r="L245" s="463">
        <v>26616.298712342083</v>
      </c>
      <c r="M245" s="463">
        <v>8.4849650000000008</v>
      </c>
      <c r="N245" s="464">
        <v>225838.363003768</v>
      </c>
      <c r="O245" s="465" t="s">
        <v>1290</v>
      </c>
      <c r="P245" s="431" t="s">
        <v>6711</v>
      </c>
    </row>
    <row r="246" spans="1:16" ht="13.5" hidden="1" customHeight="1" outlineLevel="3" x14ac:dyDescent="0.2">
      <c r="A246" s="233">
        <v>0</v>
      </c>
      <c r="B246" s="233">
        <v>4</v>
      </c>
      <c r="C246" s="233">
        <v>3</v>
      </c>
      <c r="D246" s="234">
        <v>12</v>
      </c>
      <c r="E246" s="234">
        <v>6</v>
      </c>
      <c r="G246" s="458" t="s">
        <v>41</v>
      </c>
      <c r="H246" s="459" t="s">
        <v>1238</v>
      </c>
      <c r="I246" s="460" t="s">
        <v>3543</v>
      </c>
      <c r="J246" s="461" t="s">
        <v>2990</v>
      </c>
      <c r="K246" s="462" t="s">
        <v>1105</v>
      </c>
      <c r="L246" s="463">
        <v>8920.1217606090067</v>
      </c>
      <c r="M246" s="463">
        <v>8.4849650000000008</v>
      </c>
      <c r="N246" s="464">
        <v>75686.920934505804</v>
      </c>
      <c r="O246" s="465" t="s">
        <v>1290</v>
      </c>
      <c r="P246" s="431" t="s">
        <v>6711</v>
      </c>
    </row>
    <row r="247" spans="1:16" ht="13.5" hidden="1" customHeight="1" outlineLevel="3" x14ac:dyDescent="0.2">
      <c r="A247" s="233">
        <v>0</v>
      </c>
      <c r="B247" s="233">
        <v>4</v>
      </c>
      <c r="C247" s="233">
        <v>3</v>
      </c>
      <c r="D247" s="234">
        <v>12</v>
      </c>
      <c r="E247" s="234">
        <v>7</v>
      </c>
      <c r="G247" s="458" t="s">
        <v>41</v>
      </c>
      <c r="H247" s="459" t="s">
        <v>1238</v>
      </c>
      <c r="I247" s="460" t="s">
        <v>3544</v>
      </c>
      <c r="J247" s="461" t="s">
        <v>2991</v>
      </c>
      <c r="K247" s="462" t="s">
        <v>1105</v>
      </c>
      <c r="L247" s="463">
        <v>34107.760325558782</v>
      </c>
      <c r="M247" s="463">
        <v>8.4849650000000008</v>
      </c>
      <c r="N247" s="464">
        <v>289403.15259075502</v>
      </c>
      <c r="O247" s="465" t="s">
        <v>1290</v>
      </c>
      <c r="P247" s="431" t="s">
        <v>6711</v>
      </c>
    </row>
    <row r="248" spans="1:16" ht="13.5" hidden="1" customHeight="1" outlineLevel="3" x14ac:dyDescent="0.2">
      <c r="A248" s="233">
        <v>0</v>
      </c>
      <c r="B248" s="233">
        <v>4</v>
      </c>
      <c r="C248" s="233">
        <v>3</v>
      </c>
      <c r="D248" s="234">
        <v>12</v>
      </c>
      <c r="E248" s="234">
        <v>8</v>
      </c>
      <c r="G248" s="458" t="s">
        <v>41</v>
      </c>
      <c r="H248" s="459" t="s">
        <v>1238</v>
      </c>
      <c r="I248" s="460" t="s">
        <v>3545</v>
      </c>
      <c r="J248" s="461" t="s">
        <v>2992</v>
      </c>
      <c r="K248" s="462" t="s">
        <v>1105</v>
      </c>
      <c r="L248" s="463">
        <v>162254.97388241006</v>
      </c>
      <c r="M248" s="463">
        <v>8.4849650000000008</v>
      </c>
      <c r="N248" s="464">
        <v>1376727.77446816</v>
      </c>
      <c r="O248" s="465" t="s">
        <v>1290</v>
      </c>
      <c r="P248" s="431" t="s">
        <v>6711</v>
      </c>
    </row>
    <row r="249" spans="1:16" ht="13.5" hidden="1" customHeight="1" outlineLevel="2" x14ac:dyDescent="0.2">
      <c r="A249" s="233">
        <v>0</v>
      </c>
      <c r="B249" s="233">
        <v>4</v>
      </c>
      <c r="C249" s="233">
        <v>3</v>
      </c>
      <c r="D249" s="234">
        <v>13</v>
      </c>
      <c r="E249" s="234">
        <v>0</v>
      </c>
      <c r="G249" s="450"/>
      <c r="H249" s="451" t="s">
        <v>1237</v>
      </c>
      <c r="I249" s="452" t="s">
        <v>3546</v>
      </c>
      <c r="J249" s="453" t="s">
        <v>2838</v>
      </c>
      <c r="K249" s="454"/>
      <c r="L249" s="455"/>
      <c r="M249" s="455"/>
      <c r="N249" s="456">
        <v>80629.941965204096</v>
      </c>
      <c r="O249" s="457">
        <v>4.8138227180120001</v>
      </c>
      <c r="P249" s="430"/>
    </row>
    <row r="250" spans="1:16" ht="13.5" hidden="1" customHeight="1" outlineLevel="3" x14ac:dyDescent="0.2">
      <c r="A250" s="233">
        <v>0</v>
      </c>
      <c r="B250" s="233">
        <v>4</v>
      </c>
      <c r="C250" s="233">
        <v>3</v>
      </c>
      <c r="D250" s="234">
        <v>13</v>
      </c>
      <c r="E250" s="234">
        <v>1</v>
      </c>
      <c r="G250" s="458" t="s">
        <v>41</v>
      </c>
      <c r="H250" s="459" t="s">
        <v>1238</v>
      </c>
      <c r="I250" s="460" t="s">
        <v>3547</v>
      </c>
      <c r="J250" s="461" t="s">
        <v>2985</v>
      </c>
      <c r="K250" s="462" t="s">
        <v>1105</v>
      </c>
      <c r="L250" s="463">
        <v>52.834183673469418</v>
      </c>
      <c r="M250" s="463">
        <v>8.9649650000000012</v>
      </c>
      <c r="N250" s="464">
        <v>473.65660743622499</v>
      </c>
      <c r="O250" s="465" t="s">
        <v>1290</v>
      </c>
      <c r="P250" s="431" t="s">
        <v>6711</v>
      </c>
    </row>
    <row r="251" spans="1:16" ht="13.5" hidden="1" customHeight="1" outlineLevel="3" x14ac:dyDescent="0.2">
      <c r="A251" s="233">
        <v>0</v>
      </c>
      <c r="B251" s="233">
        <v>4</v>
      </c>
      <c r="C251" s="233">
        <v>3</v>
      </c>
      <c r="D251" s="234">
        <v>13</v>
      </c>
      <c r="E251" s="234">
        <v>2</v>
      </c>
      <c r="G251" s="458" t="s">
        <v>41</v>
      </c>
      <c r="H251" s="459" t="s">
        <v>1238</v>
      </c>
      <c r="I251" s="460" t="s">
        <v>3548</v>
      </c>
      <c r="J251" s="461" t="s">
        <v>2986</v>
      </c>
      <c r="K251" s="462" t="s">
        <v>1105</v>
      </c>
      <c r="L251" s="463">
        <v>592.5790816326529</v>
      </c>
      <c r="M251" s="463">
        <v>8.9649650000000012</v>
      </c>
      <c r="N251" s="464">
        <v>5312.4507265688799</v>
      </c>
      <c r="O251" s="465" t="s">
        <v>1290</v>
      </c>
      <c r="P251" s="431" t="s">
        <v>6711</v>
      </c>
    </row>
    <row r="252" spans="1:16" ht="13.5" hidden="1" customHeight="1" outlineLevel="3" x14ac:dyDescent="0.2">
      <c r="A252" s="233">
        <v>0</v>
      </c>
      <c r="B252" s="233">
        <v>4</v>
      </c>
      <c r="C252" s="233">
        <v>3</v>
      </c>
      <c r="D252" s="234">
        <v>13</v>
      </c>
      <c r="E252" s="234">
        <v>3</v>
      </c>
      <c r="G252" s="458" t="s">
        <v>41</v>
      </c>
      <c r="H252" s="459" t="s">
        <v>1238</v>
      </c>
      <c r="I252" s="460" t="s">
        <v>3549</v>
      </c>
      <c r="J252" s="461" t="s">
        <v>2987</v>
      </c>
      <c r="K252" s="462" t="s">
        <v>1105</v>
      </c>
      <c r="L252" s="463">
        <v>654.91581632653049</v>
      </c>
      <c r="M252" s="463">
        <v>8.9649650000000012</v>
      </c>
      <c r="N252" s="464">
        <v>5871.2973713137799</v>
      </c>
      <c r="O252" s="465" t="s">
        <v>1290</v>
      </c>
      <c r="P252" s="431" t="s">
        <v>6711</v>
      </c>
    </row>
    <row r="253" spans="1:16" ht="13.5" hidden="1" customHeight="1" outlineLevel="3" x14ac:dyDescent="0.2">
      <c r="A253" s="233">
        <v>0</v>
      </c>
      <c r="B253" s="233">
        <v>4</v>
      </c>
      <c r="C253" s="233">
        <v>3</v>
      </c>
      <c r="D253" s="234">
        <v>13</v>
      </c>
      <c r="E253" s="234">
        <v>4</v>
      </c>
      <c r="G253" s="458" t="s">
        <v>41</v>
      </c>
      <c r="H253" s="459" t="s">
        <v>1238</v>
      </c>
      <c r="I253" s="460" t="s">
        <v>3550</v>
      </c>
      <c r="J253" s="461" t="s">
        <v>2988</v>
      </c>
      <c r="K253" s="462" t="s">
        <v>1105</v>
      </c>
      <c r="L253" s="463">
        <v>744.61989795918328</v>
      </c>
      <c r="M253" s="463">
        <v>8.9649650000000012</v>
      </c>
      <c r="N253" s="464">
        <v>6675.4913235076501</v>
      </c>
      <c r="O253" s="465" t="s">
        <v>1290</v>
      </c>
      <c r="P253" s="431" t="s">
        <v>6711</v>
      </c>
    </row>
    <row r="254" spans="1:16" ht="13.5" hidden="1" customHeight="1" outlineLevel="3" x14ac:dyDescent="0.2">
      <c r="A254" s="233">
        <v>0</v>
      </c>
      <c r="B254" s="233">
        <v>4</v>
      </c>
      <c r="C254" s="233">
        <v>3</v>
      </c>
      <c r="D254" s="234">
        <v>13</v>
      </c>
      <c r="E254" s="234">
        <v>5</v>
      </c>
      <c r="G254" s="458" t="s">
        <v>41</v>
      </c>
      <c r="H254" s="459" t="s">
        <v>1238</v>
      </c>
      <c r="I254" s="460" t="s">
        <v>3551</v>
      </c>
      <c r="J254" s="461" t="s">
        <v>2989</v>
      </c>
      <c r="K254" s="462" t="s">
        <v>1105</v>
      </c>
      <c r="L254" s="463">
        <v>842.68622448979579</v>
      </c>
      <c r="M254" s="463">
        <v>8.4849650000000008</v>
      </c>
      <c r="N254" s="464">
        <v>7150.1631207780601</v>
      </c>
      <c r="O254" s="465" t="s">
        <v>1290</v>
      </c>
      <c r="P254" s="431" t="s">
        <v>6711</v>
      </c>
    </row>
    <row r="255" spans="1:16" ht="13.5" hidden="1" customHeight="1" outlineLevel="3" x14ac:dyDescent="0.2">
      <c r="A255" s="233">
        <v>0</v>
      </c>
      <c r="B255" s="233">
        <v>4</v>
      </c>
      <c r="C255" s="233">
        <v>3</v>
      </c>
      <c r="D255" s="234">
        <v>13</v>
      </c>
      <c r="E255" s="234">
        <v>6</v>
      </c>
      <c r="G255" s="458" t="s">
        <v>41</v>
      </c>
      <c r="H255" s="459" t="s">
        <v>1238</v>
      </c>
      <c r="I255" s="460" t="s">
        <v>3552</v>
      </c>
      <c r="J255" s="461" t="s">
        <v>2990</v>
      </c>
      <c r="K255" s="462" t="s">
        <v>1105</v>
      </c>
      <c r="L255" s="463">
        <v>282.4158163265306</v>
      </c>
      <c r="M255" s="463">
        <v>8.4849650000000008</v>
      </c>
      <c r="N255" s="464">
        <v>2396.2883169770398</v>
      </c>
      <c r="O255" s="465" t="s">
        <v>1290</v>
      </c>
      <c r="P255" s="431" t="s">
        <v>6711</v>
      </c>
    </row>
    <row r="256" spans="1:16" ht="13.5" hidden="1" customHeight="1" outlineLevel="3" x14ac:dyDescent="0.2">
      <c r="A256" s="233">
        <v>0</v>
      </c>
      <c r="B256" s="233">
        <v>4</v>
      </c>
      <c r="C256" s="233">
        <v>3</v>
      </c>
      <c r="D256" s="234">
        <v>13</v>
      </c>
      <c r="E256" s="234">
        <v>7</v>
      </c>
      <c r="G256" s="458" t="s">
        <v>41</v>
      </c>
      <c r="H256" s="459" t="s">
        <v>1238</v>
      </c>
      <c r="I256" s="460" t="s">
        <v>3553</v>
      </c>
      <c r="J256" s="461" t="s">
        <v>2991</v>
      </c>
      <c r="K256" s="462" t="s">
        <v>1105</v>
      </c>
      <c r="L256" s="463">
        <v>1079.8698979591834</v>
      </c>
      <c r="M256" s="463">
        <v>8.4849650000000008</v>
      </c>
      <c r="N256" s="464">
        <v>9162.6582887372406</v>
      </c>
      <c r="O256" s="465" t="s">
        <v>1290</v>
      </c>
      <c r="P256" s="431" t="s">
        <v>6711</v>
      </c>
    </row>
    <row r="257" spans="1:16" ht="13.5" hidden="1" customHeight="1" outlineLevel="3" x14ac:dyDescent="0.2">
      <c r="A257" s="233">
        <v>0</v>
      </c>
      <c r="B257" s="233">
        <v>4</v>
      </c>
      <c r="C257" s="233">
        <v>3</v>
      </c>
      <c r="D257" s="234">
        <v>13</v>
      </c>
      <c r="E257" s="234">
        <v>8</v>
      </c>
      <c r="G257" s="458" t="s">
        <v>41</v>
      </c>
      <c r="H257" s="459" t="s">
        <v>1238</v>
      </c>
      <c r="I257" s="460" t="s">
        <v>3554</v>
      </c>
      <c r="J257" s="461" t="s">
        <v>2992</v>
      </c>
      <c r="K257" s="462" t="s">
        <v>1105</v>
      </c>
      <c r="L257" s="463">
        <v>5137.0790816326526</v>
      </c>
      <c r="M257" s="463">
        <v>8.4849650000000008</v>
      </c>
      <c r="N257" s="464">
        <v>43587.9362098852</v>
      </c>
      <c r="O257" s="465" t="s">
        <v>1290</v>
      </c>
      <c r="P257" s="431" t="s">
        <v>6711</v>
      </c>
    </row>
    <row r="258" spans="1:16" ht="13.5" hidden="1" customHeight="1" outlineLevel="2" x14ac:dyDescent="0.2">
      <c r="A258" s="233">
        <v>0</v>
      </c>
      <c r="B258" s="233">
        <v>4</v>
      </c>
      <c r="C258" s="233">
        <v>3</v>
      </c>
      <c r="D258" s="234">
        <v>14</v>
      </c>
      <c r="E258" s="234">
        <v>0</v>
      </c>
      <c r="G258" s="450"/>
      <c r="H258" s="451" t="s">
        <v>1237</v>
      </c>
      <c r="I258" s="452" t="s">
        <v>3555</v>
      </c>
      <c r="J258" s="453" t="s">
        <v>2839</v>
      </c>
      <c r="K258" s="454"/>
      <c r="L258" s="455"/>
      <c r="M258" s="455"/>
      <c r="N258" s="456">
        <v>69386.243868639503</v>
      </c>
      <c r="O258" s="457">
        <v>4.1425439348142099</v>
      </c>
      <c r="P258" s="430"/>
    </row>
    <row r="259" spans="1:16" ht="13.5" hidden="1" customHeight="1" outlineLevel="3" x14ac:dyDescent="0.2">
      <c r="A259" s="233">
        <v>0</v>
      </c>
      <c r="B259" s="233">
        <v>4</v>
      </c>
      <c r="C259" s="233">
        <v>3</v>
      </c>
      <c r="D259" s="234">
        <v>14</v>
      </c>
      <c r="E259" s="234">
        <v>1</v>
      </c>
      <c r="G259" s="458" t="s">
        <v>41</v>
      </c>
      <c r="H259" s="459" t="s">
        <v>1238</v>
      </c>
      <c r="I259" s="460" t="s">
        <v>3556</v>
      </c>
      <c r="J259" s="461" t="s">
        <v>2985</v>
      </c>
      <c r="K259" s="462" t="s">
        <v>1105</v>
      </c>
      <c r="L259" s="463">
        <v>45.466553287981888</v>
      </c>
      <c r="M259" s="463">
        <v>8.9649650000000012</v>
      </c>
      <c r="N259" s="464">
        <v>407.60605889739298</v>
      </c>
      <c r="O259" s="465" t="s">
        <v>1290</v>
      </c>
      <c r="P259" s="431" t="s">
        <v>6711</v>
      </c>
    </row>
    <row r="260" spans="1:16" ht="13.5" hidden="1" customHeight="1" outlineLevel="3" x14ac:dyDescent="0.2">
      <c r="A260" s="233">
        <v>0</v>
      </c>
      <c r="B260" s="233">
        <v>4</v>
      </c>
      <c r="C260" s="233">
        <v>3</v>
      </c>
      <c r="D260" s="234">
        <v>14</v>
      </c>
      <c r="E260" s="234">
        <v>2</v>
      </c>
      <c r="G260" s="458" t="s">
        <v>41</v>
      </c>
      <c r="H260" s="459" t="s">
        <v>1238</v>
      </c>
      <c r="I260" s="460" t="s">
        <v>3557</v>
      </c>
      <c r="J260" s="461" t="s">
        <v>2986</v>
      </c>
      <c r="K260" s="462" t="s">
        <v>1105</v>
      </c>
      <c r="L260" s="463">
        <v>509.94501133786838</v>
      </c>
      <c r="M260" s="463">
        <v>8.9649650000000012</v>
      </c>
      <c r="N260" s="464">
        <v>4571.6391785685901</v>
      </c>
      <c r="O260" s="465" t="s">
        <v>1290</v>
      </c>
      <c r="P260" s="431" t="s">
        <v>6711</v>
      </c>
    </row>
    <row r="261" spans="1:16" ht="13.5" hidden="1" customHeight="1" outlineLevel="3" x14ac:dyDescent="0.2">
      <c r="A261" s="233">
        <v>0</v>
      </c>
      <c r="B261" s="233">
        <v>4</v>
      </c>
      <c r="C261" s="233">
        <v>3</v>
      </c>
      <c r="D261" s="234">
        <v>14</v>
      </c>
      <c r="E261" s="234">
        <v>3</v>
      </c>
      <c r="G261" s="458" t="s">
        <v>41</v>
      </c>
      <c r="H261" s="459" t="s">
        <v>1238</v>
      </c>
      <c r="I261" s="460" t="s">
        <v>3558</v>
      </c>
      <c r="J261" s="461" t="s">
        <v>2987</v>
      </c>
      <c r="K261" s="462" t="s">
        <v>1105</v>
      </c>
      <c r="L261" s="463">
        <v>563.58900226757362</v>
      </c>
      <c r="M261" s="463">
        <v>8.9649650000000012</v>
      </c>
      <c r="N261" s="464">
        <v>5052.5556797137197</v>
      </c>
      <c r="O261" s="465" t="s">
        <v>1290</v>
      </c>
      <c r="P261" s="431" t="s">
        <v>6711</v>
      </c>
    </row>
    <row r="262" spans="1:16" ht="13.5" hidden="1" customHeight="1" outlineLevel="3" x14ac:dyDescent="0.2">
      <c r="A262" s="233">
        <v>0</v>
      </c>
      <c r="B262" s="233">
        <v>4</v>
      </c>
      <c r="C262" s="233">
        <v>3</v>
      </c>
      <c r="D262" s="234">
        <v>14</v>
      </c>
      <c r="E262" s="234">
        <v>4</v>
      </c>
      <c r="G262" s="458" t="s">
        <v>41</v>
      </c>
      <c r="H262" s="459" t="s">
        <v>1238</v>
      </c>
      <c r="I262" s="460" t="s">
        <v>3559</v>
      </c>
      <c r="J262" s="461" t="s">
        <v>2988</v>
      </c>
      <c r="K262" s="462" t="s">
        <v>1105</v>
      </c>
      <c r="L262" s="463">
        <v>640.78401360544194</v>
      </c>
      <c r="M262" s="463">
        <v>8.9649650000000012</v>
      </c>
      <c r="N262" s="464">
        <v>5744.6062545323102</v>
      </c>
      <c r="O262" s="465" t="s">
        <v>1290</v>
      </c>
      <c r="P262" s="431" t="s">
        <v>6711</v>
      </c>
    </row>
    <row r="263" spans="1:16" ht="13.5" hidden="1" customHeight="1" outlineLevel="3" x14ac:dyDescent="0.2">
      <c r="A263" s="233">
        <v>0</v>
      </c>
      <c r="B263" s="233">
        <v>4</v>
      </c>
      <c r="C263" s="233">
        <v>3</v>
      </c>
      <c r="D263" s="234">
        <v>14</v>
      </c>
      <c r="E263" s="234">
        <v>5</v>
      </c>
      <c r="G263" s="458" t="s">
        <v>41</v>
      </c>
      <c r="H263" s="459" t="s">
        <v>1238</v>
      </c>
      <c r="I263" s="460" t="s">
        <v>3560</v>
      </c>
      <c r="J263" s="461" t="s">
        <v>2989</v>
      </c>
      <c r="K263" s="462" t="s">
        <v>1105</v>
      </c>
      <c r="L263" s="463">
        <v>725.175170068027</v>
      </c>
      <c r="M263" s="463">
        <v>8.4849650000000008</v>
      </c>
      <c r="N263" s="464">
        <v>6153.0859368962601</v>
      </c>
      <c r="O263" s="465" t="s">
        <v>1290</v>
      </c>
      <c r="P263" s="431" t="s">
        <v>6711</v>
      </c>
    </row>
    <row r="264" spans="1:16" ht="13.5" hidden="1" customHeight="1" outlineLevel="3" x14ac:dyDescent="0.2">
      <c r="A264" s="233">
        <v>0</v>
      </c>
      <c r="B264" s="233">
        <v>4</v>
      </c>
      <c r="C264" s="233">
        <v>3</v>
      </c>
      <c r="D264" s="234">
        <v>14</v>
      </c>
      <c r="E264" s="234">
        <v>6</v>
      </c>
      <c r="G264" s="458" t="s">
        <v>41</v>
      </c>
      <c r="H264" s="459" t="s">
        <v>1238</v>
      </c>
      <c r="I264" s="460" t="s">
        <v>3561</v>
      </c>
      <c r="J264" s="461" t="s">
        <v>2990</v>
      </c>
      <c r="K264" s="462" t="s">
        <v>1105</v>
      </c>
      <c r="L264" s="463">
        <v>243.0334467120181</v>
      </c>
      <c r="M264" s="463">
        <v>8.4849650000000008</v>
      </c>
      <c r="N264" s="464">
        <v>2062.13028918084</v>
      </c>
      <c r="O264" s="465" t="s">
        <v>1290</v>
      </c>
      <c r="P264" s="431" t="s">
        <v>6711</v>
      </c>
    </row>
    <row r="265" spans="1:16" ht="13.5" hidden="1" customHeight="1" outlineLevel="3" x14ac:dyDescent="0.2">
      <c r="A265" s="233">
        <v>0</v>
      </c>
      <c r="B265" s="233">
        <v>4</v>
      </c>
      <c r="C265" s="233">
        <v>3</v>
      </c>
      <c r="D265" s="234">
        <v>14</v>
      </c>
      <c r="E265" s="234">
        <v>7</v>
      </c>
      <c r="G265" s="458" t="s">
        <v>41</v>
      </c>
      <c r="H265" s="459" t="s">
        <v>1238</v>
      </c>
      <c r="I265" s="460" t="s">
        <v>3562</v>
      </c>
      <c r="J265" s="461" t="s">
        <v>2991</v>
      </c>
      <c r="K265" s="462" t="s">
        <v>1105</v>
      </c>
      <c r="L265" s="463">
        <v>929.28401360544194</v>
      </c>
      <c r="M265" s="463">
        <v>8.4849650000000008</v>
      </c>
      <c r="N265" s="464">
        <v>7884.9423305016999</v>
      </c>
      <c r="O265" s="465" t="s">
        <v>1290</v>
      </c>
      <c r="P265" s="431" t="s">
        <v>6711</v>
      </c>
    </row>
    <row r="266" spans="1:16" ht="13.5" hidden="1" customHeight="1" outlineLevel="3" x14ac:dyDescent="0.2">
      <c r="A266" s="233">
        <v>0</v>
      </c>
      <c r="B266" s="233">
        <v>4</v>
      </c>
      <c r="C266" s="233">
        <v>3</v>
      </c>
      <c r="D266" s="234">
        <v>14</v>
      </c>
      <c r="E266" s="234">
        <v>8</v>
      </c>
      <c r="G266" s="458" t="s">
        <v>41</v>
      </c>
      <c r="H266" s="459" t="s">
        <v>1238</v>
      </c>
      <c r="I266" s="460" t="s">
        <v>3563</v>
      </c>
      <c r="J266" s="461" t="s">
        <v>2992</v>
      </c>
      <c r="K266" s="462" t="s">
        <v>1105</v>
      </c>
      <c r="L266" s="463">
        <v>4420.7227891156463</v>
      </c>
      <c r="M266" s="463">
        <v>8.4849650000000008</v>
      </c>
      <c r="N266" s="464">
        <v>37509.678140348602</v>
      </c>
      <c r="O266" s="465" t="s">
        <v>1290</v>
      </c>
      <c r="P266" s="431" t="s">
        <v>6711</v>
      </c>
    </row>
    <row r="267" spans="1:16" ht="13.5" hidden="1" customHeight="1" outlineLevel="2" x14ac:dyDescent="0.2">
      <c r="A267" s="233">
        <v>0</v>
      </c>
      <c r="B267" s="233">
        <v>4</v>
      </c>
      <c r="C267" s="233">
        <v>3</v>
      </c>
      <c r="D267" s="234">
        <v>15</v>
      </c>
      <c r="E267" s="234">
        <v>0</v>
      </c>
      <c r="G267" s="450"/>
      <c r="H267" s="451" t="s">
        <v>1237</v>
      </c>
      <c r="I267" s="452" t="s">
        <v>3564</v>
      </c>
      <c r="J267" s="453" t="s">
        <v>2208</v>
      </c>
      <c r="K267" s="454"/>
      <c r="L267" s="455"/>
      <c r="M267" s="455"/>
      <c r="N267" s="456">
        <v>90253.364795000001</v>
      </c>
      <c r="O267" s="457">
        <v>5.38836674364331</v>
      </c>
      <c r="P267" s="430"/>
    </row>
    <row r="268" spans="1:16" ht="13.5" hidden="1" customHeight="1" outlineLevel="3" x14ac:dyDescent="0.2">
      <c r="A268" s="233">
        <v>0</v>
      </c>
      <c r="B268" s="233">
        <v>4</v>
      </c>
      <c r="C268" s="233">
        <v>3</v>
      </c>
      <c r="D268" s="234">
        <v>15</v>
      </c>
      <c r="E268" s="234">
        <v>1</v>
      </c>
      <c r="G268" s="458" t="s">
        <v>41</v>
      </c>
      <c r="H268" s="459" t="s">
        <v>1238</v>
      </c>
      <c r="I268" s="460" t="s">
        <v>3565</v>
      </c>
      <c r="J268" s="461" t="s">
        <v>2985</v>
      </c>
      <c r="K268" s="462" t="s">
        <v>1105</v>
      </c>
      <c r="L268" s="463">
        <v>1699.3620000000001</v>
      </c>
      <c r="M268" s="463">
        <v>8.9649650000000012</v>
      </c>
      <c r="N268" s="464">
        <v>15234.72085233</v>
      </c>
      <c r="O268" s="465" t="s">
        <v>1290</v>
      </c>
      <c r="P268" s="431" t="s">
        <v>6711</v>
      </c>
    </row>
    <row r="269" spans="1:16" ht="13.5" hidden="1" customHeight="1" outlineLevel="3" x14ac:dyDescent="0.2">
      <c r="A269" s="233">
        <v>0</v>
      </c>
      <c r="B269" s="233">
        <v>4</v>
      </c>
      <c r="C269" s="233">
        <v>3</v>
      </c>
      <c r="D269" s="234">
        <v>15</v>
      </c>
      <c r="E269" s="234">
        <v>2</v>
      </c>
      <c r="G269" s="458" t="s">
        <v>41</v>
      </c>
      <c r="H269" s="459" t="s">
        <v>1238</v>
      </c>
      <c r="I269" s="460" t="s">
        <v>3566</v>
      </c>
      <c r="J269" s="461" t="s">
        <v>2986</v>
      </c>
      <c r="K269" s="462" t="s">
        <v>1105</v>
      </c>
      <c r="L269" s="463">
        <v>862</v>
      </c>
      <c r="M269" s="463">
        <v>8.9649650000000012</v>
      </c>
      <c r="N269" s="464">
        <v>7727.7998299999999</v>
      </c>
      <c r="O269" s="465" t="s">
        <v>1290</v>
      </c>
      <c r="P269" s="431" t="s">
        <v>6711</v>
      </c>
    </row>
    <row r="270" spans="1:16" ht="13.5" hidden="1" customHeight="1" outlineLevel="3" x14ac:dyDescent="0.2">
      <c r="A270" s="233">
        <v>0</v>
      </c>
      <c r="B270" s="233">
        <v>4</v>
      </c>
      <c r="C270" s="233">
        <v>3</v>
      </c>
      <c r="D270" s="234">
        <v>15</v>
      </c>
      <c r="E270" s="234">
        <v>3</v>
      </c>
      <c r="G270" s="458" t="s">
        <v>41</v>
      </c>
      <c r="H270" s="459" t="s">
        <v>1238</v>
      </c>
      <c r="I270" s="460" t="s">
        <v>3567</v>
      </c>
      <c r="J270" s="461" t="s">
        <v>2987</v>
      </c>
      <c r="K270" s="462" t="s">
        <v>1105</v>
      </c>
      <c r="L270" s="463">
        <v>14</v>
      </c>
      <c r="M270" s="463">
        <v>8.9649650000000012</v>
      </c>
      <c r="N270" s="464">
        <v>125.50951000000001</v>
      </c>
      <c r="O270" s="465" t="s">
        <v>1290</v>
      </c>
      <c r="P270" s="431" t="s">
        <v>6711</v>
      </c>
    </row>
    <row r="271" spans="1:16" ht="13.5" hidden="1" customHeight="1" outlineLevel="3" x14ac:dyDescent="0.2">
      <c r="A271" s="233">
        <v>0</v>
      </c>
      <c r="B271" s="233">
        <v>4</v>
      </c>
      <c r="C271" s="233">
        <v>3</v>
      </c>
      <c r="D271" s="234">
        <v>15</v>
      </c>
      <c r="E271" s="234">
        <v>4</v>
      </c>
      <c r="G271" s="458" t="s">
        <v>41</v>
      </c>
      <c r="H271" s="459" t="s">
        <v>1238</v>
      </c>
      <c r="I271" s="460" t="s">
        <v>3568</v>
      </c>
      <c r="J271" s="461" t="s">
        <v>2988</v>
      </c>
      <c r="K271" s="462" t="s">
        <v>1105</v>
      </c>
      <c r="L271" s="463">
        <v>1629.25</v>
      </c>
      <c r="M271" s="463">
        <v>8.9649650000000012</v>
      </c>
      <c r="N271" s="464">
        <v>14606.16922625</v>
      </c>
      <c r="O271" s="465" t="s">
        <v>1290</v>
      </c>
      <c r="P271" s="431" t="s">
        <v>6711</v>
      </c>
    </row>
    <row r="272" spans="1:16" ht="13.5" hidden="1" customHeight="1" outlineLevel="3" x14ac:dyDescent="0.2">
      <c r="A272" s="233">
        <v>0</v>
      </c>
      <c r="B272" s="233">
        <v>4</v>
      </c>
      <c r="C272" s="233">
        <v>3</v>
      </c>
      <c r="D272" s="234">
        <v>15</v>
      </c>
      <c r="E272" s="234">
        <v>5</v>
      </c>
      <c r="G272" s="458" t="s">
        <v>41</v>
      </c>
      <c r="H272" s="459" t="s">
        <v>1238</v>
      </c>
      <c r="I272" s="460" t="s">
        <v>3569</v>
      </c>
      <c r="J272" s="461" t="s">
        <v>2989</v>
      </c>
      <c r="K272" s="462" t="s">
        <v>1105</v>
      </c>
      <c r="L272" s="463">
        <v>5502.3879999999999</v>
      </c>
      <c r="M272" s="463">
        <v>8.4849650000000008</v>
      </c>
      <c r="N272" s="464">
        <v>46687.569596419999</v>
      </c>
      <c r="O272" s="465" t="s">
        <v>1290</v>
      </c>
      <c r="P272" s="431" t="s">
        <v>6711</v>
      </c>
    </row>
    <row r="273" spans="1:16" ht="13.5" hidden="1" customHeight="1" outlineLevel="3" x14ac:dyDescent="0.2">
      <c r="A273" s="233">
        <v>0</v>
      </c>
      <c r="B273" s="233">
        <v>4</v>
      </c>
      <c r="C273" s="233">
        <v>3</v>
      </c>
      <c r="D273" s="234">
        <v>15</v>
      </c>
      <c r="E273" s="234">
        <v>6</v>
      </c>
      <c r="G273" s="458" t="s">
        <v>41</v>
      </c>
      <c r="H273" s="459" t="s">
        <v>1238</v>
      </c>
      <c r="I273" s="460" t="s">
        <v>3570</v>
      </c>
      <c r="J273" s="461" t="s">
        <v>2990</v>
      </c>
      <c r="K273" s="462" t="s">
        <v>1105</v>
      </c>
      <c r="L273" s="463">
        <v>692</v>
      </c>
      <c r="M273" s="463">
        <v>8.4849650000000008</v>
      </c>
      <c r="N273" s="464">
        <v>5871.5957799999996</v>
      </c>
      <c r="O273" s="465" t="s">
        <v>1290</v>
      </c>
      <c r="P273" s="431" t="s">
        <v>6711</v>
      </c>
    </row>
    <row r="274" spans="1:16" ht="13.5" hidden="1" customHeight="1" outlineLevel="2" x14ac:dyDescent="0.2">
      <c r="A274" s="233">
        <v>0</v>
      </c>
      <c r="B274" s="233">
        <v>4</v>
      </c>
      <c r="C274" s="233">
        <v>3</v>
      </c>
      <c r="D274" s="234">
        <v>16</v>
      </c>
      <c r="E274" s="234">
        <v>0</v>
      </c>
      <c r="G274" s="450"/>
      <c r="H274" s="451" t="s">
        <v>1237</v>
      </c>
      <c r="I274" s="452" t="s">
        <v>3571</v>
      </c>
      <c r="J274" s="453" t="s">
        <v>2209</v>
      </c>
      <c r="K274" s="454"/>
      <c r="L274" s="455"/>
      <c r="M274" s="455"/>
      <c r="N274" s="456">
        <v>69302.888120000003</v>
      </c>
      <c r="O274" s="457">
        <v>4.13756737416319</v>
      </c>
      <c r="P274" s="430"/>
    </row>
    <row r="275" spans="1:16" ht="13.5" hidden="1" customHeight="1" outlineLevel="3" x14ac:dyDescent="0.2">
      <c r="A275" s="233">
        <v>0</v>
      </c>
      <c r="B275" s="233">
        <v>4</v>
      </c>
      <c r="C275" s="233">
        <v>3</v>
      </c>
      <c r="D275" s="234">
        <v>16</v>
      </c>
      <c r="E275" s="234">
        <v>1</v>
      </c>
      <c r="G275" s="458" t="s">
        <v>41</v>
      </c>
      <c r="H275" s="459" t="s">
        <v>1238</v>
      </c>
      <c r="I275" s="460" t="s">
        <v>3572</v>
      </c>
      <c r="J275" s="461" t="s">
        <v>2985</v>
      </c>
      <c r="K275" s="462" t="s">
        <v>1105</v>
      </c>
      <c r="L275" s="463">
        <v>1514</v>
      </c>
      <c r="M275" s="463">
        <v>8.9649650000000012</v>
      </c>
      <c r="N275" s="464">
        <v>13572.95701</v>
      </c>
      <c r="O275" s="465" t="s">
        <v>1290</v>
      </c>
      <c r="P275" s="431" t="s">
        <v>6711</v>
      </c>
    </row>
    <row r="276" spans="1:16" ht="13.5" hidden="1" customHeight="1" outlineLevel="3" x14ac:dyDescent="0.2">
      <c r="A276" s="233">
        <v>0</v>
      </c>
      <c r="B276" s="233">
        <v>4</v>
      </c>
      <c r="C276" s="233">
        <v>3</v>
      </c>
      <c r="D276" s="234">
        <v>16</v>
      </c>
      <c r="E276" s="234">
        <v>2</v>
      </c>
      <c r="G276" s="458" t="s">
        <v>41</v>
      </c>
      <c r="H276" s="459" t="s">
        <v>1238</v>
      </c>
      <c r="I276" s="460" t="s">
        <v>3573</v>
      </c>
      <c r="J276" s="461" t="s">
        <v>2986</v>
      </c>
      <c r="K276" s="462" t="s">
        <v>1105</v>
      </c>
      <c r="L276" s="463">
        <v>120</v>
      </c>
      <c r="M276" s="463">
        <v>8.9649650000000012</v>
      </c>
      <c r="N276" s="464">
        <v>1075.7958000000001</v>
      </c>
      <c r="O276" s="465" t="s">
        <v>1290</v>
      </c>
      <c r="P276" s="431" t="s">
        <v>6711</v>
      </c>
    </row>
    <row r="277" spans="1:16" ht="13.5" hidden="1" customHeight="1" outlineLevel="3" x14ac:dyDescent="0.2">
      <c r="A277" s="233">
        <v>0</v>
      </c>
      <c r="B277" s="233">
        <v>4</v>
      </c>
      <c r="C277" s="233">
        <v>3</v>
      </c>
      <c r="D277" s="234">
        <v>16</v>
      </c>
      <c r="E277" s="234">
        <v>3</v>
      </c>
      <c r="G277" s="458" t="s">
        <v>41</v>
      </c>
      <c r="H277" s="459" t="s">
        <v>1238</v>
      </c>
      <c r="I277" s="460" t="s">
        <v>3574</v>
      </c>
      <c r="J277" s="461" t="s">
        <v>2988</v>
      </c>
      <c r="K277" s="462" t="s">
        <v>1105</v>
      </c>
      <c r="L277" s="463">
        <v>5432</v>
      </c>
      <c r="M277" s="463">
        <v>8.9649650000000012</v>
      </c>
      <c r="N277" s="464">
        <v>48697.689879999998</v>
      </c>
      <c r="O277" s="465" t="s">
        <v>1290</v>
      </c>
      <c r="P277" s="431" t="s">
        <v>6711</v>
      </c>
    </row>
    <row r="278" spans="1:16" ht="13.5" hidden="1" customHeight="1" outlineLevel="3" x14ac:dyDescent="0.2">
      <c r="A278" s="233">
        <v>0</v>
      </c>
      <c r="B278" s="233">
        <v>4</v>
      </c>
      <c r="C278" s="233">
        <v>3</v>
      </c>
      <c r="D278" s="234">
        <v>16</v>
      </c>
      <c r="E278" s="234">
        <v>4</v>
      </c>
      <c r="G278" s="458" t="s">
        <v>41</v>
      </c>
      <c r="H278" s="459" t="s">
        <v>1238</v>
      </c>
      <c r="I278" s="460" t="s">
        <v>3575</v>
      </c>
      <c r="J278" s="461" t="s">
        <v>2989</v>
      </c>
      <c r="K278" s="462" t="s">
        <v>1105</v>
      </c>
      <c r="L278" s="463">
        <v>372</v>
      </c>
      <c r="M278" s="463">
        <v>8.4849650000000008</v>
      </c>
      <c r="N278" s="464">
        <v>3156.4069800000002</v>
      </c>
      <c r="O278" s="465" t="s">
        <v>1290</v>
      </c>
      <c r="P278" s="431" t="s">
        <v>6711</v>
      </c>
    </row>
    <row r="279" spans="1:16" ht="13.5" hidden="1" customHeight="1" outlineLevel="3" x14ac:dyDescent="0.2">
      <c r="A279" s="233">
        <v>0</v>
      </c>
      <c r="B279" s="233">
        <v>4</v>
      </c>
      <c r="C279" s="233">
        <v>3</v>
      </c>
      <c r="D279" s="234">
        <v>16</v>
      </c>
      <c r="E279" s="234">
        <v>5</v>
      </c>
      <c r="G279" s="458" t="s">
        <v>41</v>
      </c>
      <c r="H279" s="459" t="s">
        <v>1238</v>
      </c>
      <c r="I279" s="460" t="s">
        <v>3576</v>
      </c>
      <c r="J279" s="461" t="s">
        <v>2990</v>
      </c>
      <c r="K279" s="462" t="s">
        <v>1105</v>
      </c>
      <c r="L279" s="463">
        <v>330</v>
      </c>
      <c r="M279" s="463">
        <v>8.4849650000000008</v>
      </c>
      <c r="N279" s="464">
        <v>2800.03845</v>
      </c>
      <c r="O279" s="465" t="s">
        <v>1290</v>
      </c>
      <c r="P279" s="431" t="s">
        <v>6711</v>
      </c>
    </row>
    <row r="280" spans="1:16" ht="13.5" hidden="1" customHeight="1" outlineLevel="1" x14ac:dyDescent="0.2">
      <c r="A280" s="233">
        <v>0</v>
      </c>
      <c r="B280" s="233">
        <v>4</v>
      </c>
      <c r="C280" s="233">
        <v>4</v>
      </c>
      <c r="D280" s="234">
        <v>0</v>
      </c>
      <c r="E280" s="234">
        <v>5</v>
      </c>
      <c r="G280" s="443"/>
      <c r="H280" s="444" t="s">
        <v>38</v>
      </c>
      <c r="I280" s="445" t="s">
        <v>3577</v>
      </c>
      <c r="J280" s="446" t="s">
        <v>1362</v>
      </c>
      <c r="K280" s="447"/>
      <c r="L280" s="448"/>
      <c r="M280" s="448"/>
      <c r="N280" s="449">
        <v>4228107.6534635704</v>
      </c>
      <c r="O280" s="432">
        <v>252.429310754395</v>
      </c>
      <c r="P280" s="429"/>
    </row>
    <row r="281" spans="1:16" ht="13.5" hidden="1" customHeight="1" outlineLevel="2" x14ac:dyDescent="0.2">
      <c r="A281" s="233">
        <v>0</v>
      </c>
      <c r="B281" s="233">
        <v>4</v>
      </c>
      <c r="C281" s="233">
        <v>4</v>
      </c>
      <c r="D281" s="234">
        <v>1</v>
      </c>
      <c r="E281" s="234">
        <v>0</v>
      </c>
      <c r="G281" s="450"/>
      <c r="H281" s="451" t="s">
        <v>1237</v>
      </c>
      <c r="I281" s="452" t="s">
        <v>3578</v>
      </c>
      <c r="J281" s="453" t="s">
        <v>2182</v>
      </c>
      <c r="K281" s="454"/>
      <c r="L281" s="455"/>
      <c r="M281" s="455"/>
      <c r="N281" s="456">
        <v>141892.47440000001</v>
      </c>
      <c r="O281" s="457">
        <v>8.4713593999165404</v>
      </c>
      <c r="P281" s="430"/>
    </row>
    <row r="282" spans="1:16" ht="12.75" hidden="1" customHeight="1" outlineLevel="3" x14ac:dyDescent="0.2">
      <c r="A282" s="233">
        <v>0</v>
      </c>
      <c r="B282" s="233">
        <v>4</v>
      </c>
      <c r="C282" s="233">
        <v>4</v>
      </c>
      <c r="D282" s="234">
        <v>1</v>
      </c>
      <c r="E282" s="234">
        <v>1</v>
      </c>
      <c r="G282" s="458" t="s">
        <v>41</v>
      </c>
      <c r="H282" s="459" t="s">
        <v>1238</v>
      </c>
      <c r="I282" s="460" t="s">
        <v>3579</v>
      </c>
      <c r="J282" s="461" t="s">
        <v>303</v>
      </c>
      <c r="K282" s="462" t="s">
        <v>1246</v>
      </c>
      <c r="L282" s="463">
        <v>208.4</v>
      </c>
      <c r="M282" s="463">
        <v>680.8660000000001</v>
      </c>
      <c r="N282" s="464">
        <v>141892.47440000001</v>
      </c>
      <c r="O282" s="471"/>
      <c r="P282" s="431" t="s">
        <v>6711</v>
      </c>
    </row>
    <row r="283" spans="1:16" ht="13.5" hidden="1" customHeight="1" outlineLevel="2" x14ac:dyDescent="0.2">
      <c r="A283" s="233">
        <v>0</v>
      </c>
      <c r="B283" s="233">
        <v>4</v>
      </c>
      <c r="C283" s="233">
        <v>4</v>
      </c>
      <c r="D283" s="234">
        <v>2</v>
      </c>
      <c r="E283" s="234">
        <v>0</v>
      </c>
      <c r="G283" s="450"/>
      <c r="H283" s="451" t="s">
        <v>1237</v>
      </c>
      <c r="I283" s="452" t="s">
        <v>3580</v>
      </c>
      <c r="J283" s="453" t="s">
        <v>2840</v>
      </c>
      <c r="K283" s="454"/>
      <c r="L283" s="455"/>
      <c r="M283" s="455"/>
      <c r="N283" s="456">
        <v>166812.17000000001</v>
      </c>
      <c r="O283" s="457">
        <v>9.9591317321475596</v>
      </c>
      <c r="P283" s="430"/>
    </row>
    <row r="284" spans="1:16" ht="12.75" hidden="1" customHeight="1" outlineLevel="3" x14ac:dyDescent="0.2">
      <c r="A284" s="233">
        <v>0</v>
      </c>
      <c r="B284" s="233">
        <v>4</v>
      </c>
      <c r="C284" s="233">
        <v>4</v>
      </c>
      <c r="D284" s="234">
        <v>2</v>
      </c>
      <c r="E284" s="234">
        <v>1</v>
      </c>
      <c r="G284" s="458" t="s">
        <v>41</v>
      </c>
      <c r="H284" s="459" t="s">
        <v>1238</v>
      </c>
      <c r="I284" s="460" t="s">
        <v>3581</v>
      </c>
      <c r="J284" s="461" t="s">
        <v>303</v>
      </c>
      <c r="K284" s="462" t="s">
        <v>1246</v>
      </c>
      <c r="L284" s="463">
        <v>245</v>
      </c>
      <c r="M284" s="463">
        <v>680.8660000000001</v>
      </c>
      <c r="N284" s="464">
        <v>166812.17000000001</v>
      </c>
      <c r="O284" s="471"/>
      <c r="P284" s="431" t="s">
        <v>6711</v>
      </c>
    </row>
    <row r="285" spans="1:16" ht="13.5" hidden="1" customHeight="1" outlineLevel="2" x14ac:dyDescent="0.2">
      <c r="A285" s="233">
        <v>0</v>
      </c>
      <c r="B285" s="233">
        <v>4</v>
      </c>
      <c r="C285" s="233">
        <v>4</v>
      </c>
      <c r="D285" s="234">
        <v>3</v>
      </c>
      <c r="E285" s="234">
        <v>0</v>
      </c>
      <c r="G285" s="450"/>
      <c r="H285" s="451" t="s">
        <v>1237</v>
      </c>
      <c r="I285" s="452" t="s">
        <v>3582</v>
      </c>
      <c r="J285" s="453" t="s">
        <v>2210</v>
      </c>
      <c r="K285" s="454"/>
      <c r="L285" s="455"/>
      <c r="M285" s="455"/>
      <c r="N285" s="456">
        <v>191799.9522</v>
      </c>
      <c r="O285" s="457">
        <v>11.450969016106001</v>
      </c>
      <c r="P285" s="430"/>
    </row>
    <row r="286" spans="1:16" ht="12.75" hidden="1" customHeight="1" outlineLevel="3" x14ac:dyDescent="0.2">
      <c r="A286" s="233">
        <v>0</v>
      </c>
      <c r="B286" s="233">
        <v>4</v>
      </c>
      <c r="C286" s="233">
        <v>4</v>
      </c>
      <c r="D286" s="234">
        <v>3</v>
      </c>
      <c r="E286" s="234">
        <v>1</v>
      </c>
      <c r="G286" s="458" t="s">
        <v>41</v>
      </c>
      <c r="H286" s="459" t="s">
        <v>1238</v>
      </c>
      <c r="I286" s="460" t="s">
        <v>3583</v>
      </c>
      <c r="J286" s="461" t="s">
        <v>303</v>
      </c>
      <c r="K286" s="462" t="s">
        <v>1246</v>
      </c>
      <c r="L286" s="463">
        <v>281.70000000000005</v>
      </c>
      <c r="M286" s="463">
        <v>680.8660000000001</v>
      </c>
      <c r="N286" s="464">
        <v>191799.9522</v>
      </c>
      <c r="O286" s="471"/>
      <c r="P286" s="431" t="s">
        <v>6711</v>
      </c>
    </row>
    <row r="287" spans="1:16" ht="13.5" hidden="1" customHeight="1" outlineLevel="2" x14ac:dyDescent="0.2">
      <c r="A287" s="233">
        <v>0</v>
      </c>
      <c r="B287" s="233">
        <v>4</v>
      </c>
      <c r="C287" s="233">
        <v>4</v>
      </c>
      <c r="D287" s="234">
        <v>4</v>
      </c>
      <c r="E287" s="234">
        <v>0</v>
      </c>
      <c r="G287" s="450"/>
      <c r="H287" s="451" t="s">
        <v>1237</v>
      </c>
      <c r="I287" s="452" t="s">
        <v>3584</v>
      </c>
      <c r="J287" s="453" t="s">
        <v>2211</v>
      </c>
      <c r="K287" s="454"/>
      <c r="L287" s="455"/>
      <c r="M287" s="455"/>
      <c r="N287" s="456">
        <v>193297.85740000001</v>
      </c>
      <c r="O287" s="457">
        <v>11.540397954108901</v>
      </c>
      <c r="P287" s="430"/>
    </row>
    <row r="288" spans="1:16" ht="12.75" hidden="1" customHeight="1" outlineLevel="3" x14ac:dyDescent="0.2">
      <c r="A288" s="233">
        <v>0</v>
      </c>
      <c r="B288" s="233">
        <v>4</v>
      </c>
      <c r="C288" s="233">
        <v>4</v>
      </c>
      <c r="D288" s="234">
        <v>4</v>
      </c>
      <c r="E288" s="234">
        <v>1</v>
      </c>
      <c r="G288" s="458" t="s">
        <v>41</v>
      </c>
      <c r="H288" s="459" t="s">
        <v>1238</v>
      </c>
      <c r="I288" s="460" t="s">
        <v>3585</v>
      </c>
      <c r="J288" s="461" t="s">
        <v>303</v>
      </c>
      <c r="K288" s="462" t="s">
        <v>1246</v>
      </c>
      <c r="L288" s="463">
        <v>283.90000000000003</v>
      </c>
      <c r="M288" s="463">
        <v>680.8660000000001</v>
      </c>
      <c r="N288" s="464">
        <v>193297.85740000001</v>
      </c>
      <c r="O288" s="471"/>
      <c r="P288" s="431" t="s">
        <v>6711</v>
      </c>
    </row>
    <row r="289" spans="1:16" ht="13.5" hidden="1" customHeight="1" outlineLevel="2" x14ac:dyDescent="0.2">
      <c r="A289" s="233">
        <v>0</v>
      </c>
      <c r="B289" s="233">
        <v>4</v>
      </c>
      <c r="C289" s="233">
        <v>4</v>
      </c>
      <c r="D289" s="234">
        <v>5</v>
      </c>
      <c r="E289" s="234">
        <v>0</v>
      </c>
      <c r="G289" s="450"/>
      <c r="H289" s="451" t="s">
        <v>1237</v>
      </c>
      <c r="I289" s="452" t="s">
        <v>3586</v>
      </c>
      <c r="J289" s="453" t="s">
        <v>2841</v>
      </c>
      <c r="K289" s="454"/>
      <c r="L289" s="455"/>
      <c r="M289" s="455"/>
      <c r="N289" s="456">
        <v>193428.436604944</v>
      </c>
      <c r="O289" s="457">
        <v>11.5481938811298</v>
      </c>
      <c r="P289" s="430"/>
    </row>
    <row r="290" spans="1:16" ht="12.75" hidden="1" customHeight="1" outlineLevel="3" x14ac:dyDescent="0.2">
      <c r="A290" s="233">
        <v>0</v>
      </c>
      <c r="B290" s="233">
        <v>4</v>
      </c>
      <c r="C290" s="233">
        <v>4</v>
      </c>
      <c r="D290" s="234">
        <v>5</v>
      </c>
      <c r="E290" s="234">
        <v>1</v>
      </c>
      <c r="G290" s="458" t="s">
        <v>41</v>
      </c>
      <c r="H290" s="459" t="s">
        <v>1238</v>
      </c>
      <c r="I290" s="460" t="s">
        <v>3587</v>
      </c>
      <c r="J290" s="461" t="s">
        <v>303</v>
      </c>
      <c r="K290" s="462" t="s">
        <v>1246</v>
      </c>
      <c r="L290" s="463">
        <v>284.09178400000002</v>
      </c>
      <c r="M290" s="463">
        <v>680.8660000000001</v>
      </c>
      <c r="N290" s="464">
        <v>193428.436604944</v>
      </c>
      <c r="O290" s="471"/>
      <c r="P290" s="431" t="s">
        <v>6711</v>
      </c>
    </row>
    <row r="291" spans="1:16" ht="13.5" hidden="1" customHeight="1" outlineLevel="2" x14ac:dyDescent="0.2">
      <c r="A291" s="233">
        <v>0</v>
      </c>
      <c r="B291" s="233">
        <v>4</v>
      </c>
      <c r="C291" s="233">
        <v>4</v>
      </c>
      <c r="D291" s="234">
        <v>6</v>
      </c>
      <c r="E291" s="234">
        <v>0</v>
      </c>
      <c r="G291" s="450"/>
      <c r="H291" s="451" t="s">
        <v>1237</v>
      </c>
      <c r="I291" s="452" t="s">
        <v>3588</v>
      </c>
      <c r="J291" s="453" t="s">
        <v>2842</v>
      </c>
      <c r="K291" s="454"/>
      <c r="L291" s="455"/>
      <c r="M291" s="455"/>
      <c r="N291" s="456">
        <v>195471.034604944</v>
      </c>
      <c r="O291" s="457">
        <v>11.670142432952099</v>
      </c>
      <c r="P291" s="430"/>
    </row>
    <row r="292" spans="1:16" ht="12.75" hidden="1" customHeight="1" outlineLevel="3" x14ac:dyDescent="0.2">
      <c r="A292" s="233">
        <v>0</v>
      </c>
      <c r="B292" s="233">
        <v>4</v>
      </c>
      <c r="C292" s="233">
        <v>4</v>
      </c>
      <c r="D292" s="234">
        <v>6</v>
      </c>
      <c r="E292" s="234">
        <v>1</v>
      </c>
      <c r="G292" s="458" t="s">
        <v>41</v>
      </c>
      <c r="H292" s="459" t="s">
        <v>1238</v>
      </c>
      <c r="I292" s="460" t="s">
        <v>3589</v>
      </c>
      <c r="J292" s="461" t="s">
        <v>303</v>
      </c>
      <c r="K292" s="462" t="s">
        <v>1246</v>
      </c>
      <c r="L292" s="463">
        <v>287.09178400000002</v>
      </c>
      <c r="M292" s="463">
        <v>680.8660000000001</v>
      </c>
      <c r="N292" s="464">
        <v>195471.034604944</v>
      </c>
      <c r="O292" s="471"/>
      <c r="P292" s="431" t="s">
        <v>6711</v>
      </c>
    </row>
    <row r="293" spans="1:16" ht="13.5" hidden="1" customHeight="1" outlineLevel="2" x14ac:dyDescent="0.2">
      <c r="A293" s="233">
        <v>0</v>
      </c>
      <c r="B293" s="233">
        <v>4</v>
      </c>
      <c r="C293" s="233">
        <v>4</v>
      </c>
      <c r="D293" s="234">
        <v>7</v>
      </c>
      <c r="E293" s="234">
        <v>0</v>
      </c>
      <c r="G293" s="450"/>
      <c r="H293" s="451" t="s">
        <v>1237</v>
      </c>
      <c r="I293" s="452" t="s">
        <v>3590</v>
      </c>
      <c r="J293" s="453" t="s">
        <v>2212</v>
      </c>
      <c r="K293" s="454"/>
      <c r="L293" s="455"/>
      <c r="M293" s="455"/>
      <c r="N293" s="456">
        <v>204118.032804944</v>
      </c>
      <c r="O293" s="457">
        <v>12.186391302332799</v>
      </c>
      <c r="P293" s="430"/>
    </row>
    <row r="294" spans="1:16" ht="12.75" hidden="1" customHeight="1" outlineLevel="3" x14ac:dyDescent="0.2">
      <c r="A294" s="233">
        <v>0</v>
      </c>
      <c r="B294" s="233">
        <v>4</v>
      </c>
      <c r="C294" s="233">
        <v>4</v>
      </c>
      <c r="D294" s="234">
        <v>7</v>
      </c>
      <c r="E294" s="234">
        <v>1</v>
      </c>
      <c r="G294" s="458" t="s">
        <v>41</v>
      </c>
      <c r="H294" s="459" t="s">
        <v>1238</v>
      </c>
      <c r="I294" s="460" t="s">
        <v>3591</v>
      </c>
      <c r="J294" s="461" t="s">
        <v>303</v>
      </c>
      <c r="K294" s="462" t="s">
        <v>1246</v>
      </c>
      <c r="L294" s="463">
        <v>299.79178400000006</v>
      </c>
      <c r="M294" s="463">
        <v>680.8660000000001</v>
      </c>
      <c r="N294" s="464">
        <v>204118.032804944</v>
      </c>
      <c r="O294" s="471"/>
      <c r="P294" s="431" t="s">
        <v>6711</v>
      </c>
    </row>
    <row r="295" spans="1:16" ht="13.5" hidden="1" customHeight="1" outlineLevel="2" x14ac:dyDescent="0.2">
      <c r="A295" s="233">
        <v>0</v>
      </c>
      <c r="B295" s="233">
        <v>4</v>
      </c>
      <c r="C295" s="233">
        <v>4</v>
      </c>
      <c r="D295" s="234">
        <v>8</v>
      </c>
      <c r="E295" s="234">
        <v>0</v>
      </c>
      <c r="G295" s="450"/>
      <c r="H295" s="451" t="s">
        <v>1237</v>
      </c>
      <c r="I295" s="452" t="s">
        <v>3592</v>
      </c>
      <c r="J295" s="453" t="s">
        <v>2843</v>
      </c>
      <c r="K295" s="454"/>
      <c r="L295" s="455"/>
      <c r="M295" s="455"/>
      <c r="N295" s="456">
        <v>55280.725204943999</v>
      </c>
      <c r="O295" s="457">
        <v>3.3004068262207</v>
      </c>
      <c r="P295" s="430"/>
    </row>
    <row r="296" spans="1:16" ht="12.75" hidden="1" customHeight="1" outlineLevel="3" x14ac:dyDescent="0.2">
      <c r="A296" s="233">
        <v>0</v>
      </c>
      <c r="B296" s="233">
        <v>4</v>
      </c>
      <c r="C296" s="233">
        <v>4</v>
      </c>
      <c r="D296" s="234">
        <v>8</v>
      </c>
      <c r="E296" s="234">
        <v>1</v>
      </c>
      <c r="G296" s="458" t="s">
        <v>41</v>
      </c>
      <c r="H296" s="459" t="s">
        <v>1238</v>
      </c>
      <c r="I296" s="460" t="s">
        <v>3593</v>
      </c>
      <c r="J296" s="461" t="s">
        <v>303</v>
      </c>
      <c r="K296" s="462" t="s">
        <v>1246</v>
      </c>
      <c r="L296" s="463">
        <v>81.191784000000013</v>
      </c>
      <c r="M296" s="463">
        <v>680.8660000000001</v>
      </c>
      <c r="N296" s="464">
        <v>55280.725204943999</v>
      </c>
      <c r="O296" s="471"/>
      <c r="P296" s="431" t="s">
        <v>6711</v>
      </c>
    </row>
    <row r="297" spans="1:16" ht="13.5" hidden="1" customHeight="1" outlineLevel="2" x14ac:dyDescent="0.2">
      <c r="A297" s="233">
        <v>0</v>
      </c>
      <c r="B297" s="233">
        <v>4</v>
      </c>
      <c r="C297" s="233">
        <v>4</v>
      </c>
      <c r="D297" s="234">
        <v>9</v>
      </c>
      <c r="E297" s="234">
        <v>0</v>
      </c>
      <c r="G297" s="450"/>
      <c r="H297" s="451" t="s">
        <v>1237</v>
      </c>
      <c r="I297" s="452" t="s">
        <v>3594</v>
      </c>
      <c r="J297" s="453" t="s">
        <v>2213</v>
      </c>
      <c r="K297" s="454"/>
      <c r="L297" s="455"/>
      <c r="M297" s="455"/>
      <c r="N297" s="456">
        <v>148763.62700494399</v>
      </c>
      <c r="O297" s="457">
        <v>8.8815855479507402</v>
      </c>
      <c r="P297" s="430"/>
    </row>
    <row r="298" spans="1:16" ht="12.75" hidden="1" customHeight="1" outlineLevel="3" x14ac:dyDescent="0.2">
      <c r="A298" s="233">
        <v>0</v>
      </c>
      <c r="B298" s="233">
        <v>4</v>
      </c>
      <c r="C298" s="233">
        <v>4</v>
      </c>
      <c r="D298" s="234">
        <v>9</v>
      </c>
      <c r="E298" s="234">
        <v>1</v>
      </c>
      <c r="G298" s="458" t="s">
        <v>41</v>
      </c>
      <c r="H298" s="459" t="s">
        <v>1238</v>
      </c>
      <c r="I298" s="460" t="s">
        <v>3595</v>
      </c>
      <c r="J298" s="461" t="s">
        <v>303</v>
      </c>
      <c r="K298" s="462" t="s">
        <v>1246</v>
      </c>
      <c r="L298" s="463">
        <v>218.491784</v>
      </c>
      <c r="M298" s="463">
        <v>680.8660000000001</v>
      </c>
      <c r="N298" s="464">
        <v>148763.62700494399</v>
      </c>
      <c r="O298" s="471"/>
      <c r="P298" s="431" t="s">
        <v>6711</v>
      </c>
    </row>
    <row r="299" spans="1:16" ht="13.5" hidden="1" customHeight="1" outlineLevel="2" x14ac:dyDescent="0.2">
      <c r="A299" s="233">
        <v>0</v>
      </c>
      <c r="B299" s="233">
        <v>4</v>
      </c>
      <c r="C299" s="233">
        <v>4</v>
      </c>
      <c r="D299" s="234">
        <v>10</v>
      </c>
      <c r="E299" s="234">
        <v>0</v>
      </c>
      <c r="G299" s="450"/>
      <c r="H299" s="451" t="s">
        <v>1237</v>
      </c>
      <c r="I299" s="452" t="s">
        <v>3596</v>
      </c>
      <c r="J299" s="453" t="s">
        <v>2214</v>
      </c>
      <c r="K299" s="454"/>
      <c r="L299" s="455"/>
      <c r="M299" s="455"/>
      <c r="N299" s="456">
        <v>95193.090124944007</v>
      </c>
      <c r="O299" s="457">
        <v>5.6832815288267797</v>
      </c>
      <c r="P299" s="430"/>
    </row>
    <row r="300" spans="1:16" ht="12.75" hidden="1" customHeight="1" outlineLevel="3" x14ac:dyDescent="0.2">
      <c r="A300" s="233">
        <v>0</v>
      </c>
      <c r="B300" s="233">
        <v>4</v>
      </c>
      <c r="C300" s="233">
        <v>4</v>
      </c>
      <c r="D300" s="234">
        <v>10</v>
      </c>
      <c r="E300" s="234">
        <v>1</v>
      </c>
      <c r="G300" s="458" t="s">
        <v>41</v>
      </c>
      <c r="H300" s="459" t="s">
        <v>1238</v>
      </c>
      <c r="I300" s="460" t="s">
        <v>3597</v>
      </c>
      <c r="J300" s="461" t="s">
        <v>303</v>
      </c>
      <c r="K300" s="462" t="s">
        <v>1246</v>
      </c>
      <c r="L300" s="463">
        <v>139.81178399999999</v>
      </c>
      <c r="M300" s="463">
        <v>680.8660000000001</v>
      </c>
      <c r="N300" s="464">
        <v>95193.090124944007</v>
      </c>
      <c r="O300" s="471"/>
      <c r="P300" s="431" t="s">
        <v>6711</v>
      </c>
    </row>
    <row r="301" spans="1:16" ht="13.5" hidden="1" customHeight="1" outlineLevel="2" x14ac:dyDescent="0.2">
      <c r="A301" s="233">
        <v>0</v>
      </c>
      <c r="B301" s="233">
        <v>4</v>
      </c>
      <c r="C301" s="233">
        <v>4</v>
      </c>
      <c r="D301" s="234">
        <v>11</v>
      </c>
      <c r="E301" s="234">
        <v>0</v>
      </c>
      <c r="G301" s="450"/>
      <c r="H301" s="451" t="s">
        <v>1237</v>
      </c>
      <c r="I301" s="452" t="s">
        <v>3598</v>
      </c>
      <c r="J301" s="453" t="s">
        <v>2215</v>
      </c>
      <c r="K301" s="454"/>
      <c r="L301" s="455"/>
      <c r="M301" s="455"/>
      <c r="N301" s="456">
        <v>626754.87041608803</v>
      </c>
      <c r="O301" s="457">
        <v>37.418938427807099</v>
      </c>
      <c r="P301" s="430"/>
    </row>
    <row r="302" spans="1:16" ht="12.75" hidden="1" customHeight="1" outlineLevel="3" x14ac:dyDescent="0.2">
      <c r="A302" s="233">
        <v>0</v>
      </c>
      <c r="B302" s="233">
        <v>4</v>
      </c>
      <c r="C302" s="233">
        <v>4</v>
      </c>
      <c r="D302" s="234">
        <v>11</v>
      </c>
      <c r="E302" s="234">
        <v>1</v>
      </c>
      <c r="G302" s="458" t="s">
        <v>41</v>
      </c>
      <c r="H302" s="459" t="s">
        <v>1238</v>
      </c>
      <c r="I302" s="460" t="s">
        <v>3599</v>
      </c>
      <c r="J302" s="461" t="s">
        <v>2844</v>
      </c>
      <c r="K302" s="462" t="s">
        <v>1246</v>
      </c>
      <c r="L302" s="463">
        <v>1010.2317839999999</v>
      </c>
      <c r="M302" s="463">
        <v>620.40700000000004</v>
      </c>
      <c r="N302" s="464">
        <v>626754.87041608803</v>
      </c>
      <c r="O302" s="471"/>
      <c r="P302" s="431" t="s">
        <v>6711</v>
      </c>
    </row>
    <row r="303" spans="1:16" ht="13.5" hidden="1" customHeight="1" outlineLevel="2" x14ac:dyDescent="0.2">
      <c r="A303" s="233">
        <v>0</v>
      </c>
      <c r="B303" s="233">
        <v>4</v>
      </c>
      <c r="C303" s="233">
        <v>4</v>
      </c>
      <c r="D303" s="234">
        <v>12</v>
      </c>
      <c r="E303" s="234">
        <v>0</v>
      </c>
      <c r="G303" s="450"/>
      <c r="H303" s="451" t="s">
        <v>1237</v>
      </c>
      <c r="I303" s="452" t="s">
        <v>3600</v>
      </c>
      <c r="J303" s="453" t="s">
        <v>2216</v>
      </c>
      <c r="K303" s="454"/>
      <c r="L303" s="455"/>
      <c r="M303" s="455"/>
      <c r="N303" s="456">
        <v>1732746.6518939401</v>
      </c>
      <c r="O303" s="457">
        <v>103.449599418612</v>
      </c>
      <c r="P303" s="430"/>
    </row>
    <row r="304" spans="1:16" ht="12.75" hidden="1" customHeight="1" outlineLevel="3" x14ac:dyDescent="0.2">
      <c r="A304" s="233">
        <v>0</v>
      </c>
      <c r="B304" s="233">
        <v>4</v>
      </c>
      <c r="C304" s="233">
        <v>4</v>
      </c>
      <c r="D304" s="234">
        <v>12</v>
      </c>
      <c r="E304" s="234">
        <v>1</v>
      </c>
      <c r="G304" s="458" t="s">
        <v>41</v>
      </c>
      <c r="H304" s="459" t="s">
        <v>1238</v>
      </c>
      <c r="I304" s="460" t="s">
        <v>3601</v>
      </c>
      <c r="J304" s="461" t="s">
        <v>2844</v>
      </c>
      <c r="K304" s="462" t="s">
        <v>1246</v>
      </c>
      <c r="L304" s="463">
        <v>2792.9192480000002</v>
      </c>
      <c r="M304" s="463">
        <v>620.40700000000004</v>
      </c>
      <c r="N304" s="464">
        <v>1732746.6518939401</v>
      </c>
      <c r="O304" s="471"/>
      <c r="P304" s="431" t="s">
        <v>6711</v>
      </c>
    </row>
    <row r="305" spans="1:16" ht="13.5" hidden="1" customHeight="1" outlineLevel="2" x14ac:dyDescent="0.2">
      <c r="A305" s="233">
        <v>0</v>
      </c>
      <c r="B305" s="233">
        <v>4</v>
      </c>
      <c r="C305" s="233">
        <v>4</v>
      </c>
      <c r="D305" s="234">
        <v>13</v>
      </c>
      <c r="E305" s="234">
        <v>0</v>
      </c>
      <c r="G305" s="450"/>
      <c r="H305" s="451" t="s">
        <v>1237</v>
      </c>
      <c r="I305" s="452" t="s">
        <v>3602</v>
      </c>
      <c r="J305" s="453" t="s">
        <v>2845</v>
      </c>
      <c r="K305" s="454"/>
      <c r="L305" s="455"/>
      <c r="M305" s="455"/>
      <c r="N305" s="456">
        <v>77910.599709903996</v>
      </c>
      <c r="O305" s="457">
        <v>4.6514707280742797</v>
      </c>
      <c r="P305" s="430"/>
    </row>
    <row r="306" spans="1:16" ht="12.75" hidden="1" customHeight="1" outlineLevel="3" x14ac:dyDescent="0.2">
      <c r="A306" s="233">
        <v>0</v>
      </c>
      <c r="B306" s="233">
        <v>4</v>
      </c>
      <c r="C306" s="233">
        <v>4</v>
      </c>
      <c r="D306" s="234">
        <v>13</v>
      </c>
      <c r="E306" s="234">
        <v>1</v>
      </c>
      <c r="G306" s="458" t="s">
        <v>41</v>
      </c>
      <c r="H306" s="459" t="s">
        <v>1238</v>
      </c>
      <c r="I306" s="460" t="s">
        <v>3603</v>
      </c>
      <c r="J306" s="461" t="s">
        <v>301</v>
      </c>
      <c r="K306" s="462" t="s">
        <v>1246</v>
      </c>
      <c r="L306" s="463">
        <v>123.411784</v>
      </c>
      <c r="M306" s="463">
        <v>631.30600000000004</v>
      </c>
      <c r="N306" s="464">
        <v>77910.599709903996</v>
      </c>
      <c r="O306" s="471"/>
      <c r="P306" s="431" t="s">
        <v>6711</v>
      </c>
    </row>
    <row r="307" spans="1:16" ht="13.5" hidden="1" customHeight="1" outlineLevel="2" x14ac:dyDescent="0.2">
      <c r="A307" s="233">
        <v>0</v>
      </c>
      <c r="B307" s="233">
        <v>4</v>
      </c>
      <c r="C307" s="233">
        <v>4</v>
      </c>
      <c r="D307" s="234">
        <v>14</v>
      </c>
      <c r="E307" s="234">
        <v>0</v>
      </c>
      <c r="G307" s="450"/>
      <c r="H307" s="451" t="s">
        <v>1237</v>
      </c>
      <c r="I307" s="452" t="s">
        <v>3604</v>
      </c>
      <c r="J307" s="453" t="s">
        <v>2846</v>
      </c>
      <c r="K307" s="454"/>
      <c r="L307" s="455"/>
      <c r="M307" s="455"/>
      <c r="N307" s="456">
        <v>72127.836749904003</v>
      </c>
      <c r="O307" s="457">
        <v>4.3062243465037797</v>
      </c>
      <c r="P307" s="430"/>
    </row>
    <row r="308" spans="1:16" ht="12.75" hidden="1" customHeight="1" outlineLevel="3" x14ac:dyDescent="0.2">
      <c r="A308" s="233">
        <v>0</v>
      </c>
      <c r="B308" s="233">
        <v>4</v>
      </c>
      <c r="C308" s="233">
        <v>4</v>
      </c>
      <c r="D308" s="234">
        <v>14</v>
      </c>
      <c r="E308" s="234">
        <v>1</v>
      </c>
      <c r="G308" s="458" t="s">
        <v>41</v>
      </c>
      <c r="H308" s="459" t="s">
        <v>1238</v>
      </c>
      <c r="I308" s="460" t="s">
        <v>3605</v>
      </c>
      <c r="J308" s="461" t="s">
        <v>301</v>
      </c>
      <c r="K308" s="462" t="s">
        <v>1246</v>
      </c>
      <c r="L308" s="463">
        <v>114.251784</v>
      </c>
      <c r="M308" s="463">
        <v>631.30600000000004</v>
      </c>
      <c r="N308" s="464">
        <v>72127.836749904003</v>
      </c>
      <c r="O308" s="471"/>
      <c r="P308" s="431" t="s">
        <v>6711</v>
      </c>
    </row>
    <row r="309" spans="1:16" ht="13.5" hidden="1" customHeight="1" outlineLevel="2" x14ac:dyDescent="0.2">
      <c r="A309" s="233">
        <v>0</v>
      </c>
      <c r="B309" s="233">
        <v>4</v>
      </c>
      <c r="C309" s="233">
        <v>4</v>
      </c>
      <c r="D309" s="234">
        <v>15</v>
      </c>
      <c r="E309" s="234">
        <v>0</v>
      </c>
      <c r="G309" s="450"/>
      <c r="H309" s="451" t="s">
        <v>1237</v>
      </c>
      <c r="I309" s="452" t="s">
        <v>3606</v>
      </c>
      <c r="J309" s="453" t="s">
        <v>2217</v>
      </c>
      <c r="K309" s="454"/>
      <c r="L309" s="455"/>
      <c r="M309" s="455"/>
      <c r="N309" s="456">
        <v>85340.529944075999</v>
      </c>
      <c r="O309" s="457">
        <v>5.0950573918218103</v>
      </c>
      <c r="P309" s="430"/>
    </row>
    <row r="310" spans="1:16" ht="12.75" hidden="1" customHeight="1" outlineLevel="3" x14ac:dyDescent="0.2">
      <c r="A310" s="233">
        <v>0</v>
      </c>
      <c r="B310" s="233">
        <v>4</v>
      </c>
      <c r="C310" s="233">
        <v>4</v>
      </c>
      <c r="D310" s="234">
        <v>15</v>
      </c>
      <c r="E310" s="234">
        <v>1</v>
      </c>
      <c r="G310" s="458" t="s">
        <v>41</v>
      </c>
      <c r="H310" s="459" t="s">
        <v>1238</v>
      </c>
      <c r="I310" s="460" t="s">
        <v>3607</v>
      </c>
      <c r="J310" s="461" t="s">
        <v>1699</v>
      </c>
      <c r="K310" s="462" t="s">
        <v>1246</v>
      </c>
      <c r="L310" s="463">
        <v>125.921784</v>
      </c>
      <c r="M310" s="463">
        <v>677.72649999999999</v>
      </c>
      <c r="N310" s="464">
        <v>85340.529944075999</v>
      </c>
      <c r="O310" s="471"/>
      <c r="P310" s="431" t="s">
        <v>6711</v>
      </c>
    </row>
    <row r="311" spans="1:16" ht="13.5" hidden="1" customHeight="1" outlineLevel="2" x14ac:dyDescent="0.2">
      <c r="A311" s="233">
        <v>0</v>
      </c>
      <c r="B311" s="233">
        <v>4</v>
      </c>
      <c r="C311" s="233">
        <v>4</v>
      </c>
      <c r="D311" s="234">
        <v>16</v>
      </c>
      <c r="E311" s="234">
        <v>0</v>
      </c>
      <c r="G311" s="450"/>
      <c r="H311" s="451" t="s">
        <v>1237</v>
      </c>
      <c r="I311" s="452" t="s">
        <v>3608</v>
      </c>
      <c r="J311" s="453" t="s">
        <v>2218</v>
      </c>
      <c r="K311" s="454"/>
      <c r="L311" s="455"/>
      <c r="M311" s="455"/>
      <c r="N311" s="456">
        <v>47169.7644</v>
      </c>
      <c r="O311" s="457">
        <v>2.8161608198848098</v>
      </c>
      <c r="P311" s="430"/>
    </row>
    <row r="312" spans="1:16" ht="12.75" hidden="1" customHeight="1" outlineLevel="3" x14ac:dyDescent="0.2">
      <c r="A312" s="233">
        <v>0</v>
      </c>
      <c r="B312" s="233">
        <v>4</v>
      </c>
      <c r="C312" s="233">
        <v>4</v>
      </c>
      <c r="D312" s="234">
        <v>16</v>
      </c>
      <c r="E312" s="234">
        <v>1</v>
      </c>
      <c r="G312" s="458" t="s">
        <v>41</v>
      </c>
      <c r="H312" s="459" t="s">
        <v>1238</v>
      </c>
      <c r="I312" s="460" t="s">
        <v>3609</v>
      </c>
      <c r="J312" s="461" t="s">
        <v>1699</v>
      </c>
      <c r="K312" s="462" t="s">
        <v>1246</v>
      </c>
      <c r="L312" s="463">
        <v>69.599999999999994</v>
      </c>
      <c r="M312" s="463">
        <v>677.72649999999999</v>
      </c>
      <c r="N312" s="464">
        <v>47169.7644</v>
      </c>
      <c r="O312" s="475"/>
      <c r="P312" s="431" t="s">
        <v>6711</v>
      </c>
    </row>
    <row r="313" spans="1:16" ht="13.5" hidden="1" customHeight="1" outlineLevel="1" x14ac:dyDescent="0.2">
      <c r="A313" s="233">
        <v>0</v>
      </c>
      <c r="B313" s="233">
        <v>4</v>
      </c>
      <c r="C313" s="233">
        <v>5</v>
      </c>
      <c r="D313" s="234">
        <v>0</v>
      </c>
      <c r="E313" s="234">
        <v>1</v>
      </c>
      <c r="G313" s="443"/>
      <c r="H313" s="444" t="s">
        <v>38</v>
      </c>
      <c r="I313" s="445" t="s">
        <v>3610</v>
      </c>
      <c r="J313" s="446" t="s">
        <v>2119</v>
      </c>
      <c r="K313" s="447"/>
      <c r="L313" s="448"/>
      <c r="M313" s="448"/>
      <c r="N313" s="449">
        <v>303185.25295403501</v>
      </c>
      <c r="O313" s="432">
        <v>18.100968732759199</v>
      </c>
      <c r="P313" s="429"/>
    </row>
    <row r="314" spans="1:16" ht="12.6" hidden="1" customHeight="1" outlineLevel="2" x14ac:dyDescent="0.2">
      <c r="A314" s="233">
        <v>0</v>
      </c>
      <c r="B314" s="233">
        <v>4</v>
      </c>
      <c r="C314" s="233">
        <v>5</v>
      </c>
      <c r="D314" s="234">
        <v>1</v>
      </c>
      <c r="E314" s="234">
        <v>0</v>
      </c>
      <c r="G314" s="450"/>
      <c r="H314" s="451" t="s">
        <v>1237</v>
      </c>
      <c r="I314" s="452" t="s">
        <v>3611</v>
      </c>
      <c r="J314" s="453" t="s">
        <v>2183</v>
      </c>
      <c r="K314" s="454"/>
      <c r="L314" s="455"/>
      <c r="M314" s="455"/>
      <c r="N314" s="456">
        <v>14412.694544125099</v>
      </c>
      <c r="O314" s="457">
        <v>0.86047632843662802</v>
      </c>
      <c r="P314" s="430"/>
    </row>
    <row r="315" spans="1:16" ht="12.6" hidden="1" customHeight="1" outlineLevel="3" x14ac:dyDescent="0.2">
      <c r="A315" s="233">
        <v>0</v>
      </c>
      <c r="B315" s="233">
        <v>4</v>
      </c>
      <c r="C315" s="233">
        <v>5</v>
      </c>
      <c r="D315" s="234">
        <v>1</v>
      </c>
      <c r="E315" s="234">
        <v>1</v>
      </c>
      <c r="G315" s="458" t="s">
        <v>41</v>
      </c>
      <c r="H315" s="459" t="s">
        <v>1238</v>
      </c>
      <c r="I315" s="460" t="s">
        <v>3612</v>
      </c>
      <c r="J315" s="461" t="s">
        <v>329</v>
      </c>
      <c r="K315" s="462" t="s">
        <v>641</v>
      </c>
      <c r="L315" s="463">
        <v>784.58</v>
      </c>
      <c r="M315" s="463">
        <v>18.36994894609235</v>
      </c>
      <c r="N315" s="464">
        <v>14412.694544125099</v>
      </c>
      <c r="O315" s="471" t="s">
        <v>2994</v>
      </c>
      <c r="P315" s="431" t="s">
        <v>6711</v>
      </c>
    </row>
    <row r="316" spans="1:16" ht="12.6" hidden="1" customHeight="1" outlineLevel="2" x14ac:dyDescent="0.2">
      <c r="A316" s="233">
        <v>0</v>
      </c>
      <c r="B316" s="233">
        <v>4</v>
      </c>
      <c r="C316" s="233">
        <v>5</v>
      </c>
      <c r="D316" s="234">
        <v>2</v>
      </c>
      <c r="E316" s="234">
        <v>0</v>
      </c>
      <c r="G316" s="450"/>
      <c r="H316" s="451" t="s">
        <v>1237</v>
      </c>
      <c r="I316" s="452" t="s">
        <v>3613</v>
      </c>
      <c r="J316" s="453" t="s">
        <v>2847</v>
      </c>
      <c r="K316" s="454"/>
      <c r="L316" s="455"/>
      <c r="M316" s="455"/>
      <c r="N316" s="456">
        <v>14717.0845981619</v>
      </c>
      <c r="O316" s="457">
        <v>0.87864922700936099</v>
      </c>
      <c r="P316" s="430"/>
    </row>
    <row r="317" spans="1:16" ht="12.6" hidden="1" customHeight="1" outlineLevel="3" x14ac:dyDescent="0.2">
      <c r="A317" s="233">
        <v>0</v>
      </c>
      <c r="B317" s="233">
        <v>4</v>
      </c>
      <c r="C317" s="233">
        <v>5</v>
      </c>
      <c r="D317" s="234">
        <v>2</v>
      </c>
      <c r="E317" s="234">
        <v>1</v>
      </c>
      <c r="G317" s="458" t="s">
        <v>41</v>
      </c>
      <c r="H317" s="459" t="s">
        <v>1238</v>
      </c>
      <c r="I317" s="460" t="s">
        <v>3614</v>
      </c>
      <c r="J317" s="461" t="s">
        <v>329</v>
      </c>
      <c r="K317" s="462" t="s">
        <v>641</v>
      </c>
      <c r="L317" s="463">
        <v>801.15</v>
      </c>
      <c r="M317" s="463">
        <v>18.369948946092357</v>
      </c>
      <c r="N317" s="464">
        <v>14717.0845981619</v>
      </c>
      <c r="O317" s="471" t="s">
        <v>2994</v>
      </c>
      <c r="P317" s="431" t="s">
        <v>6711</v>
      </c>
    </row>
    <row r="318" spans="1:16" ht="12.6" hidden="1" customHeight="1" outlineLevel="2" x14ac:dyDescent="0.2">
      <c r="A318" s="233">
        <v>0</v>
      </c>
      <c r="B318" s="233">
        <v>4</v>
      </c>
      <c r="C318" s="233">
        <v>5</v>
      </c>
      <c r="D318" s="234">
        <v>3</v>
      </c>
      <c r="E318" s="234">
        <v>0</v>
      </c>
      <c r="G318" s="450"/>
      <c r="H318" s="451" t="s">
        <v>1237</v>
      </c>
      <c r="I318" s="452" t="s">
        <v>3615</v>
      </c>
      <c r="J318" s="453" t="s">
        <v>2219</v>
      </c>
      <c r="K318" s="454"/>
      <c r="L318" s="455"/>
      <c r="M318" s="455"/>
      <c r="N318" s="456">
        <v>16138.000149142201</v>
      </c>
      <c r="O318" s="457">
        <v>0.96348167749825397</v>
      </c>
      <c r="P318" s="430"/>
    </row>
    <row r="319" spans="1:16" ht="12.6" hidden="1" customHeight="1" outlineLevel="3" x14ac:dyDescent="0.2">
      <c r="A319" s="233">
        <v>0</v>
      </c>
      <c r="B319" s="233">
        <v>4</v>
      </c>
      <c r="C319" s="233">
        <v>5</v>
      </c>
      <c r="D319" s="234">
        <v>3</v>
      </c>
      <c r="E319" s="234">
        <v>1</v>
      </c>
      <c r="G319" s="458" t="s">
        <v>41</v>
      </c>
      <c r="H319" s="459" t="s">
        <v>1238</v>
      </c>
      <c r="I319" s="460" t="s">
        <v>3616</v>
      </c>
      <c r="J319" s="461" t="s">
        <v>329</v>
      </c>
      <c r="K319" s="462" t="s">
        <v>641</v>
      </c>
      <c r="L319" s="463">
        <v>878.5</v>
      </c>
      <c r="M319" s="463">
        <v>18.369948946092403</v>
      </c>
      <c r="N319" s="464">
        <v>16138.000149142201</v>
      </c>
      <c r="O319" s="471" t="s">
        <v>2994</v>
      </c>
      <c r="P319" s="431" t="s">
        <v>6711</v>
      </c>
    </row>
    <row r="320" spans="1:16" ht="12.6" hidden="1" customHeight="1" outlineLevel="2" x14ac:dyDescent="0.2">
      <c r="A320" s="233">
        <v>0</v>
      </c>
      <c r="B320" s="233">
        <v>4</v>
      </c>
      <c r="C320" s="233">
        <v>5</v>
      </c>
      <c r="D320" s="234">
        <v>4</v>
      </c>
      <c r="E320" s="234">
        <v>0</v>
      </c>
      <c r="G320" s="450"/>
      <c r="H320" s="451" t="s">
        <v>1237</v>
      </c>
      <c r="I320" s="452" t="s">
        <v>3617</v>
      </c>
      <c r="J320" s="453" t="s">
        <v>2220</v>
      </c>
      <c r="K320" s="454"/>
      <c r="L320" s="455"/>
      <c r="M320" s="455"/>
      <c r="N320" s="456">
        <v>16138.000149142201</v>
      </c>
      <c r="O320" s="457">
        <v>0.96348167749825397</v>
      </c>
      <c r="P320" s="430"/>
    </row>
    <row r="321" spans="1:16" ht="12.6" hidden="1" customHeight="1" outlineLevel="3" x14ac:dyDescent="0.2">
      <c r="A321" s="233">
        <v>0</v>
      </c>
      <c r="B321" s="233">
        <v>4</v>
      </c>
      <c r="C321" s="233">
        <v>5</v>
      </c>
      <c r="D321" s="234">
        <v>4</v>
      </c>
      <c r="E321" s="234">
        <v>1</v>
      </c>
      <c r="G321" s="458" t="s">
        <v>41</v>
      </c>
      <c r="H321" s="459" t="s">
        <v>1238</v>
      </c>
      <c r="I321" s="460" t="s">
        <v>3618</v>
      </c>
      <c r="J321" s="461" t="s">
        <v>329</v>
      </c>
      <c r="K321" s="462" t="s">
        <v>641</v>
      </c>
      <c r="L321" s="463">
        <v>878.5</v>
      </c>
      <c r="M321" s="463">
        <v>18.369948946092403</v>
      </c>
      <c r="N321" s="464">
        <v>16138.000149142201</v>
      </c>
      <c r="O321" s="471" t="s">
        <v>2994</v>
      </c>
      <c r="P321" s="431" t="s">
        <v>6711</v>
      </c>
    </row>
    <row r="322" spans="1:16" ht="12.6" hidden="1" customHeight="1" outlineLevel="2" x14ac:dyDescent="0.2">
      <c r="A322" s="233">
        <v>0</v>
      </c>
      <c r="B322" s="233">
        <v>4</v>
      </c>
      <c r="C322" s="233">
        <v>5</v>
      </c>
      <c r="D322" s="234">
        <v>5</v>
      </c>
      <c r="E322" s="234">
        <v>0</v>
      </c>
      <c r="G322" s="450"/>
      <c r="H322" s="451" t="s">
        <v>1237</v>
      </c>
      <c r="I322" s="452" t="s">
        <v>3619</v>
      </c>
      <c r="J322" s="453" t="s">
        <v>2848</v>
      </c>
      <c r="K322" s="454"/>
      <c r="L322" s="455"/>
      <c r="M322" s="455"/>
      <c r="N322" s="456">
        <v>16138.000149142201</v>
      </c>
      <c r="O322" s="457">
        <v>0.96348167749825397</v>
      </c>
      <c r="P322" s="430"/>
    </row>
    <row r="323" spans="1:16" ht="12.6" hidden="1" customHeight="1" outlineLevel="3" x14ac:dyDescent="0.2">
      <c r="A323" s="233">
        <v>0</v>
      </c>
      <c r="B323" s="233">
        <v>4</v>
      </c>
      <c r="C323" s="233">
        <v>5</v>
      </c>
      <c r="D323" s="234">
        <v>5</v>
      </c>
      <c r="E323" s="234">
        <v>1</v>
      </c>
      <c r="G323" s="458" t="s">
        <v>41</v>
      </c>
      <c r="H323" s="459" t="s">
        <v>1238</v>
      </c>
      <c r="I323" s="460" t="s">
        <v>3620</v>
      </c>
      <c r="J323" s="461" t="s">
        <v>329</v>
      </c>
      <c r="K323" s="462" t="s">
        <v>641</v>
      </c>
      <c r="L323" s="463">
        <v>878.5</v>
      </c>
      <c r="M323" s="463">
        <v>18.369948946092403</v>
      </c>
      <c r="N323" s="464">
        <v>16138.000149142201</v>
      </c>
      <c r="O323" s="471" t="s">
        <v>2994</v>
      </c>
      <c r="P323" s="431" t="s">
        <v>6711</v>
      </c>
    </row>
    <row r="324" spans="1:16" ht="12.6" hidden="1" customHeight="1" outlineLevel="2" x14ac:dyDescent="0.2">
      <c r="A324" s="233">
        <v>0</v>
      </c>
      <c r="B324" s="233">
        <v>4</v>
      </c>
      <c r="C324" s="233">
        <v>5</v>
      </c>
      <c r="D324" s="234">
        <v>6</v>
      </c>
      <c r="E324" s="234">
        <v>0</v>
      </c>
      <c r="G324" s="450"/>
      <c r="H324" s="451" t="s">
        <v>1237</v>
      </c>
      <c r="I324" s="452" t="s">
        <v>3621</v>
      </c>
      <c r="J324" s="453" t="s">
        <v>2849</v>
      </c>
      <c r="K324" s="454"/>
      <c r="L324" s="455"/>
      <c r="M324" s="455"/>
      <c r="N324" s="456">
        <v>16394.2609369401</v>
      </c>
      <c r="O324" s="457">
        <v>0.97878113043063697</v>
      </c>
      <c r="P324" s="430"/>
    </row>
    <row r="325" spans="1:16" ht="12.6" hidden="1" customHeight="1" outlineLevel="3" x14ac:dyDescent="0.2">
      <c r="A325" s="233">
        <v>0</v>
      </c>
      <c r="B325" s="233">
        <v>4</v>
      </c>
      <c r="C325" s="233">
        <v>5</v>
      </c>
      <c r="D325" s="234">
        <v>6</v>
      </c>
      <c r="E325" s="234">
        <v>1</v>
      </c>
      <c r="G325" s="458" t="s">
        <v>41</v>
      </c>
      <c r="H325" s="459" t="s">
        <v>1238</v>
      </c>
      <c r="I325" s="460" t="s">
        <v>3622</v>
      </c>
      <c r="J325" s="461" t="s">
        <v>329</v>
      </c>
      <c r="K325" s="462" t="s">
        <v>641</v>
      </c>
      <c r="L325" s="463">
        <v>892.45</v>
      </c>
      <c r="M325" s="463">
        <v>18.369948946092361</v>
      </c>
      <c r="N325" s="464">
        <v>16394.2609369401</v>
      </c>
      <c r="O325" s="471" t="s">
        <v>2994</v>
      </c>
      <c r="P325" s="431" t="s">
        <v>6711</v>
      </c>
    </row>
    <row r="326" spans="1:16" ht="12.6" hidden="1" customHeight="1" outlineLevel="2" x14ac:dyDescent="0.2">
      <c r="A326" s="233">
        <v>0</v>
      </c>
      <c r="B326" s="233">
        <v>4</v>
      </c>
      <c r="C326" s="233">
        <v>5</v>
      </c>
      <c r="D326" s="234">
        <v>7</v>
      </c>
      <c r="E326" s="234">
        <v>0</v>
      </c>
      <c r="G326" s="450"/>
      <c r="H326" s="451" t="s">
        <v>1237</v>
      </c>
      <c r="I326" s="452" t="s">
        <v>3623</v>
      </c>
      <c r="J326" s="453" t="s">
        <v>2221</v>
      </c>
      <c r="K326" s="454"/>
      <c r="L326" s="455"/>
      <c r="M326" s="455"/>
      <c r="N326" s="456">
        <v>714.59101400299403</v>
      </c>
      <c r="O326" s="457">
        <v>4.2662990614322202E-2</v>
      </c>
      <c r="P326" s="430"/>
    </row>
    <row r="327" spans="1:16" ht="12.6" hidden="1" customHeight="1" outlineLevel="3" x14ac:dyDescent="0.2">
      <c r="A327" s="233">
        <v>0</v>
      </c>
      <c r="B327" s="233">
        <v>4</v>
      </c>
      <c r="C327" s="233">
        <v>5</v>
      </c>
      <c r="D327" s="234">
        <v>7</v>
      </c>
      <c r="E327" s="234">
        <v>1</v>
      </c>
      <c r="G327" s="458" t="s">
        <v>41</v>
      </c>
      <c r="H327" s="459" t="s">
        <v>1238</v>
      </c>
      <c r="I327" s="460" t="s">
        <v>3624</v>
      </c>
      <c r="J327" s="461" t="s">
        <v>329</v>
      </c>
      <c r="K327" s="462" t="s">
        <v>641</v>
      </c>
      <c r="L327" s="463">
        <v>38.9</v>
      </c>
      <c r="M327" s="463">
        <v>18.369948946092393</v>
      </c>
      <c r="N327" s="464">
        <v>714.59101400299403</v>
      </c>
      <c r="O327" s="471" t="s">
        <v>2994</v>
      </c>
      <c r="P327" s="431" t="s">
        <v>6711</v>
      </c>
    </row>
    <row r="328" spans="1:16" ht="12.6" hidden="1" customHeight="1" outlineLevel="2" x14ac:dyDescent="0.2">
      <c r="A328" s="233">
        <v>0</v>
      </c>
      <c r="B328" s="233">
        <v>4</v>
      </c>
      <c r="C328" s="233">
        <v>5</v>
      </c>
      <c r="D328" s="234">
        <v>8</v>
      </c>
      <c r="E328" s="234">
        <v>0</v>
      </c>
      <c r="G328" s="450"/>
      <c r="H328" s="451" t="s">
        <v>1237</v>
      </c>
      <c r="I328" s="452" t="s">
        <v>3625</v>
      </c>
      <c r="J328" s="453" t="s">
        <v>2850</v>
      </c>
      <c r="K328" s="454"/>
      <c r="L328" s="455"/>
      <c r="M328" s="455"/>
      <c r="N328" s="456">
        <v>6347.36845934331</v>
      </c>
      <c r="O328" s="457">
        <v>0.37895483668294999</v>
      </c>
      <c r="P328" s="430"/>
    </row>
    <row r="329" spans="1:16" ht="12.6" hidden="1" customHeight="1" outlineLevel="3" x14ac:dyDescent="0.2">
      <c r="A329" s="233">
        <v>0</v>
      </c>
      <c r="B329" s="233">
        <v>4</v>
      </c>
      <c r="C329" s="233">
        <v>5</v>
      </c>
      <c r="D329" s="234">
        <v>8</v>
      </c>
      <c r="E329" s="234">
        <v>1</v>
      </c>
      <c r="G329" s="458" t="s">
        <v>41</v>
      </c>
      <c r="H329" s="459" t="s">
        <v>1238</v>
      </c>
      <c r="I329" s="460" t="s">
        <v>3626</v>
      </c>
      <c r="J329" s="461" t="s">
        <v>329</v>
      </c>
      <c r="K329" s="462" t="s">
        <v>641</v>
      </c>
      <c r="L329" s="463">
        <v>345.53</v>
      </c>
      <c r="M329" s="463">
        <v>18.3699489460924</v>
      </c>
      <c r="N329" s="464">
        <v>6347.36845934331</v>
      </c>
      <c r="O329" s="471" t="s">
        <v>2994</v>
      </c>
      <c r="P329" s="431" t="s">
        <v>6711</v>
      </c>
    </row>
    <row r="330" spans="1:16" ht="12.6" hidden="1" customHeight="1" outlineLevel="2" x14ac:dyDescent="0.2">
      <c r="A330" s="233">
        <v>0</v>
      </c>
      <c r="B330" s="233">
        <v>4</v>
      </c>
      <c r="C330" s="233">
        <v>5</v>
      </c>
      <c r="D330" s="234">
        <v>9</v>
      </c>
      <c r="E330" s="234">
        <v>0</v>
      </c>
      <c r="G330" s="450"/>
      <c r="H330" s="451" t="s">
        <v>1237</v>
      </c>
      <c r="I330" s="452" t="s">
        <v>3627</v>
      </c>
      <c r="J330" s="453" t="s">
        <v>2222</v>
      </c>
      <c r="K330" s="454"/>
      <c r="L330" s="455"/>
      <c r="M330" s="455"/>
      <c r="N330" s="456">
        <v>5700</v>
      </c>
      <c r="O330" s="457">
        <v>0.34030521198328101</v>
      </c>
      <c r="P330" s="430"/>
    </row>
    <row r="331" spans="1:16" ht="12.6" hidden="1" customHeight="1" outlineLevel="3" x14ac:dyDescent="0.2">
      <c r="A331" s="233">
        <v>0</v>
      </c>
      <c r="B331" s="233">
        <v>4</v>
      </c>
      <c r="C331" s="233">
        <v>5</v>
      </c>
      <c r="D331" s="234">
        <v>9</v>
      </c>
      <c r="E331" s="234">
        <v>1</v>
      </c>
      <c r="G331" s="458" t="s">
        <v>41</v>
      </c>
      <c r="H331" s="459" t="s">
        <v>1238</v>
      </c>
      <c r="I331" s="460" t="s">
        <v>3628</v>
      </c>
      <c r="J331" s="461" t="s">
        <v>329</v>
      </c>
      <c r="K331" s="462" t="s">
        <v>641</v>
      </c>
      <c r="L331" s="463">
        <v>499.27</v>
      </c>
      <c r="M331" s="463">
        <v>11.416668335770225</v>
      </c>
      <c r="N331" s="464">
        <v>5700</v>
      </c>
      <c r="O331" s="471" t="s">
        <v>2995</v>
      </c>
      <c r="P331" s="431" t="s">
        <v>6711</v>
      </c>
    </row>
    <row r="332" spans="1:16" ht="12.6" hidden="1" customHeight="1" outlineLevel="2" x14ac:dyDescent="0.2">
      <c r="A332" s="233">
        <v>0</v>
      </c>
      <c r="B332" s="233">
        <v>4</v>
      </c>
      <c r="C332" s="233">
        <v>5</v>
      </c>
      <c r="D332" s="234">
        <v>10</v>
      </c>
      <c r="E332" s="234">
        <v>0</v>
      </c>
      <c r="G332" s="450"/>
      <c r="H332" s="451" t="s">
        <v>1237</v>
      </c>
      <c r="I332" s="452" t="s">
        <v>3629</v>
      </c>
      <c r="J332" s="453" t="s">
        <v>2223</v>
      </c>
      <c r="K332" s="454"/>
      <c r="L332" s="455"/>
      <c r="M332" s="455"/>
      <c r="N332" s="456">
        <v>5700</v>
      </c>
      <c r="O332" s="457">
        <v>0.34030521198328101</v>
      </c>
      <c r="P332" s="430"/>
    </row>
    <row r="333" spans="1:16" ht="12.6" hidden="1" customHeight="1" outlineLevel="3" x14ac:dyDescent="0.2">
      <c r="A333" s="233">
        <v>0</v>
      </c>
      <c r="B333" s="233">
        <v>4</v>
      </c>
      <c r="C333" s="233">
        <v>5</v>
      </c>
      <c r="D333" s="234">
        <v>10</v>
      </c>
      <c r="E333" s="234">
        <v>1</v>
      </c>
      <c r="G333" s="458" t="s">
        <v>41</v>
      </c>
      <c r="H333" s="459" t="s">
        <v>1238</v>
      </c>
      <c r="I333" s="460" t="s">
        <v>3630</v>
      </c>
      <c r="J333" s="461" t="s">
        <v>329</v>
      </c>
      <c r="K333" s="462" t="s">
        <v>641</v>
      </c>
      <c r="L333" s="463">
        <v>345.53</v>
      </c>
      <c r="M333" s="463">
        <v>16.496396839637658</v>
      </c>
      <c r="N333" s="464">
        <v>5700</v>
      </c>
      <c r="O333" s="471" t="s">
        <v>2995</v>
      </c>
      <c r="P333" s="431" t="s">
        <v>6711</v>
      </c>
    </row>
    <row r="334" spans="1:16" ht="12.6" hidden="1" customHeight="1" outlineLevel="2" x14ac:dyDescent="0.2">
      <c r="A334" s="233">
        <v>0</v>
      </c>
      <c r="B334" s="233">
        <v>4</v>
      </c>
      <c r="C334" s="233">
        <v>5</v>
      </c>
      <c r="D334" s="234">
        <v>11</v>
      </c>
      <c r="E334" s="234">
        <v>0</v>
      </c>
      <c r="G334" s="450"/>
      <c r="H334" s="451" t="s">
        <v>1237</v>
      </c>
      <c r="I334" s="452" t="s">
        <v>3631</v>
      </c>
      <c r="J334" s="453" t="s">
        <v>2224</v>
      </c>
      <c r="K334" s="454"/>
      <c r="L334" s="455"/>
      <c r="M334" s="455"/>
      <c r="N334" s="456">
        <v>45600</v>
      </c>
      <c r="O334" s="457">
        <v>2.7224416958662498</v>
      </c>
      <c r="P334" s="430"/>
    </row>
    <row r="335" spans="1:16" ht="12.6" hidden="1" customHeight="1" outlineLevel="3" x14ac:dyDescent="0.2">
      <c r="A335" s="233">
        <v>0</v>
      </c>
      <c r="B335" s="233">
        <v>4</v>
      </c>
      <c r="C335" s="233">
        <v>5</v>
      </c>
      <c r="D335" s="234">
        <v>11</v>
      </c>
      <c r="E335" s="234">
        <v>1</v>
      </c>
      <c r="G335" s="458" t="s">
        <v>41</v>
      </c>
      <c r="H335" s="459" t="s">
        <v>1238</v>
      </c>
      <c r="I335" s="460" t="s">
        <v>3632</v>
      </c>
      <c r="J335" s="461" t="s">
        <v>329</v>
      </c>
      <c r="K335" s="462" t="s">
        <v>641</v>
      </c>
      <c r="L335" s="463">
        <v>2427.2800000000002</v>
      </c>
      <c r="M335" s="463">
        <v>18.786460564912165</v>
      </c>
      <c r="N335" s="464">
        <v>45600</v>
      </c>
      <c r="O335" s="471" t="s">
        <v>2995</v>
      </c>
      <c r="P335" s="431" t="s">
        <v>6711</v>
      </c>
    </row>
    <row r="336" spans="1:16" ht="12.6" hidden="1" customHeight="1" outlineLevel="2" x14ac:dyDescent="0.2">
      <c r="A336" s="233">
        <v>0</v>
      </c>
      <c r="B336" s="233">
        <v>4</v>
      </c>
      <c r="C336" s="233">
        <v>5</v>
      </c>
      <c r="D336" s="234">
        <v>12</v>
      </c>
      <c r="E336" s="234">
        <v>0</v>
      </c>
      <c r="G336" s="450"/>
      <c r="H336" s="451" t="s">
        <v>1237</v>
      </c>
      <c r="I336" s="452" t="s">
        <v>3633</v>
      </c>
      <c r="J336" s="453" t="s">
        <v>2225</v>
      </c>
      <c r="K336" s="454"/>
      <c r="L336" s="455"/>
      <c r="M336" s="455"/>
      <c r="N336" s="456">
        <v>125400</v>
      </c>
      <c r="O336" s="457">
        <v>7.4867146636321804</v>
      </c>
      <c r="P336" s="430"/>
    </row>
    <row r="337" spans="1:16" ht="12.6" hidden="1" customHeight="1" outlineLevel="3" x14ac:dyDescent="0.2">
      <c r="A337" s="233">
        <v>0</v>
      </c>
      <c r="B337" s="233">
        <v>4</v>
      </c>
      <c r="C337" s="233">
        <v>5</v>
      </c>
      <c r="D337" s="234">
        <v>12</v>
      </c>
      <c r="E337" s="234">
        <v>1</v>
      </c>
      <c r="G337" s="458" t="s">
        <v>41</v>
      </c>
      <c r="H337" s="459" t="s">
        <v>1238</v>
      </c>
      <c r="I337" s="460" t="s">
        <v>3634</v>
      </c>
      <c r="J337" s="461" t="s">
        <v>329</v>
      </c>
      <c r="K337" s="462" t="s">
        <v>641</v>
      </c>
      <c r="L337" s="463">
        <v>6374.97</v>
      </c>
      <c r="M337" s="463">
        <v>19.67068080320378</v>
      </c>
      <c r="N337" s="464">
        <v>125400</v>
      </c>
      <c r="O337" s="471" t="s">
        <v>2995</v>
      </c>
      <c r="P337" s="431" t="s">
        <v>6711</v>
      </c>
    </row>
    <row r="338" spans="1:16" ht="12.6" hidden="1" customHeight="1" outlineLevel="2" x14ac:dyDescent="0.2">
      <c r="A338" s="233">
        <v>0</v>
      </c>
      <c r="B338" s="233">
        <v>4</v>
      </c>
      <c r="C338" s="233">
        <v>5</v>
      </c>
      <c r="D338" s="234">
        <v>13</v>
      </c>
      <c r="E338" s="234">
        <v>0</v>
      </c>
      <c r="G338" s="450"/>
      <c r="H338" s="451" t="s">
        <v>1237</v>
      </c>
      <c r="I338" s="452" t="s">
        <v>3635</v>
      </c>
      <c r="J338" s="453" t="s">
        <v>2851</v>
      </c>
      <c r="K338" s="454"/>
      <c r="L338" s="455"/>
      <c r="M338" s="455"/>
      <c r="N338" s="456">
        <v>5700</v>
      </c>
      <c r="O338" s="457">
        <v>0.34030521198328101</v>
      </c>
      <c r="P338" s="430"/>
    </row>
    <row r="339" spans="1:16" ht="12.6" hidden="1" customHeight="1" outlineLevel="3" x14ac:dyDescent="0.2">
      <c r="A339" s="233">
        <v>0</v>
      </c>
      <c r="B339" s="233">
        <v>4</v>
      </c>
      <c r="C339" s="233">
        <v>5</v>
      </c>
      <c r="D339" s="234">
        <v>13</v>
      </c>
      <c r="E339" s="234">
        <v>1</v>
      </c>
      <c r="G339" s="458" t="s">
        <v>41</v>
      </c>
      <c r="H339" s="459" t="s">
        <v>1238</v>
      </c>
      <c r="I339" s="460" t="s">
        <v>3636</v>
      </c>
      <c r="J339" s="461" t="s">
        <v>329</v>
      </c>
      <c r="K339" s="462" t="s">
        <v>641</v>
      </c>
      <c r="L339" s="463">
        <v>303.57</v>
      </c>
      <c r="M339" s="463">
        <v>18.776558948512701</v>
      </c>
      <c r="N339" s="464">
        <v>5700</v>
      </c>
      <c r="O339" s="471" t="s">
        <v>2995</v>
      </c>
      <c r="P339" s="431" t="s">
        <v>6711</v>
      </c>
    </row>
    <row r="340" spans="1:16" ht="12.6" hidden="1" customHeight="1" outlineLevel="2" x14ac:dyDescent="0.2">
      <c r="A340" s="233">
        <v>0</v>
      </c>
      <c r="B340" s="233">
        <v>4</v>
      </c>
      <c r="C340" s="233">
        <v>5</v>
      </c>
      <c r="D340" s="234">
        <v>14</v>
      </c>
      <c r="E340" s="234">
        <v>0</v>
      </c>
      <c r="G340" s="450"/>
      <c r="H340" s="451" t="s">
        <v>1237</v>
      </c>
      <c r="I340" s="452" t="s">
        <v>3637</v>
      </c>
      <c r="J340" s="453" t="s">
        <v>2852</v>
      </c>
      <c r="K340" s="454"/>
      <c r="L340" s="455"/>
      <c r="M340" s="455"/>
      <c r="N340" s="456">
        <v>5700</v>
      </c>
      <c r="O340" s="457">
        <v>0.34030521198328101</v>
      </c>
      <c r="P340" s="430"/>
    </row>
    <row r="341" spans="1:16" ht="12.6" hidden="1" customHeight="1" outlineLevel="3" x14ac:dyDescent="0.2">
      <c r="A341" s="233">
        <v>0</v>
      </c>
      <c r="B341" s="233">
        <v>4</v>
      </c>
      <c r="C341" s="233">
        <v>5</v>
      </c>
      <c r="D341" s="234">
        <v>14</v>
      </c>
      <c r="E341" s="234">
        <v>1</v>
      </c>
      <c r="G341" s="458" t="s">
        <v>41</v>
      </c>
      <c r="H341" s="459" t="s">
        <v>1238</v>
      </c>
      <c r="I341" s="460" t="s">
        <v>3638</v>
      </c>
      <c r="J341" s="461" t="s">
        <v>329</v>
      </c>
      <c r="K341" s="462" t="s">
        <v>641</v>
      </c>
      <c r="L341" s="463">
        <v>292.95999999999998</v>
      </c>
      <c r="M341" s="463">
        <v>19.456581103222284</v>
      </c>
      <c r="N341" s="464">
        <v>5700</v>
      </c>
      <c r="O341" s="471" t="s">
        <v>2995</v>
      </c>
      <c r="P341" s="431" t="s">
        <v>6711</v>
      </c>
    </row>
    <row r="342" spans="1:16" ht="12.6" hidden="1" customHeight="1" outlineLevel="2" x14ac:dyDescent="0.2">
      <c r="A342" s="233">
        <v>0</v>
      </c>
      <c r="B342" s="233">
        <v>4</v>
      </c>
      <c r="C342" s="233">
        <v>5</v>
      </c>
      <c r="D342" s="234">
        <v>15</v>
      </c>
      <c r="E342" s="234">
        <v>0</v>
      </c>
      <c r="G342" s="450"/>
      <c r="H342" s="451" t="s">
        <v>1237</v>
      </c>
      <c r="I342" s="452" t="s">
        <v>3639</v>
      </c>
      <c r="J342" s="453" t="s">
        <v>2226</v>
      </c>
      <c r="K342" s="454"/>
      <c r="L342" s="455"/>
      <c r="M342" s="455"/>
      <c r="N342" s="456">
        <v>5700</v>
      </c>
      <c r="O342" s="457">
        <v>0.34030521198328101</v>
      </c>
      <c r="P342" s="430"/>
    </row>
    <row r="343" spans="1:16" ht="12.6" hidden="1" customHeight="1" outlineLevel="3" x14ac:dyDescent="0.2">
      <c r="A343" s="233">
        <v>0</v>
      </c>
      <c r="B343" s="233">
        <v>4</v>
      </c>
      <c r="C343" s="233">
        <v>5</v>
      </c>
      <c r="D343" s="234">
        <v>15</v>
      </c>
      <c r="E343" s="234">
        <v>1</v>
      </c>
      <c r="G343" s="458" t="s">
        <v>41</v>
      </c>
      <c r="H343" s="459" t="s">
        <v>1238</v>
      </c>
      <c r="I343" s="460" t="s">
        <v>3640</v>
      </c>
      <c r="J343" s="461" t="s">
        <v>329</v>
      </c>
      <c r="K343" s="462" t="s">
        <v>641</v>
      </c>
      <c r="L343" s="463">
        <v>426.24</v>
      </c>
      <c r="M343" s="463">
        <v>13.372747747747747</v>
      </c>
      <c r="N343" s="464">
        <v>5700</v>
      </c>
      <c r="O343" s="471" t="s">
        <v>2995</v>
      </c>
      <c r="P343" s="431" t="s">
        <v>6711</v>
      </c>
    </row>
    <row r="344" spans="1:16" ht="12.6" hidden="1" customHeight="1" outlineLevel="2" x14ac:dyDescent="0.2">
      <c r="A344" s="233">
        <v>0</v>
      </c>
      <c r="B344" s="233">
        <v>4</v>
      </c>
      <c r="C344" s="233">
        <v>5</v>
      </c>
      <c r="D344" s="234">
        <v>16</v>
      </c>
      <c r="E344" s="234">
        <v>0</v>
      </c>
      <c r="G344" s="450"/>
      <c r="H344" s="451" t="s">
        <v>1237</v>
      </c>
      <c r="I344" s="452" t="s">
        <v>3641</v>
      </c>
      <c r="J344" s="453" t="s">
        <v>2227</v>
      </c>
      <c r="K344" s="454"/>
      <c r="L344" s="455"/>
      <c r="M344" s="455"/>
      <c r="N344" s="456">
        <v>2685.2529540349101</v>
      </c>
      <c r="O344" s="457">
        <v>0.16031676767571601</v>
      </c>
      <c r="P344" s="430"/>
    </row>
    <row r="345" spans="1:16" ht="12.6" hidden="1" customHeight="1" outlineLevel="3" x14ac:dyDescent="0.2">
      <c r="A345" s="233">
        <v>0</v>
      </c>
      <c r="B345" s="233">
        <v>4</v>
      </c>
      <c r="C345" s="233">
        <v>5</v>
      </c>
      <c r="D345" s="234">
        <v>16</v>
      </c>
      <c r="E345" s="234">
        <v>1</v>
      </c>
      <c r="G345" s="458" t="s">
        <v>41</v>
      </c>
      <c r="H345" s="459" t="s">
        <v>1238</v>
      </c>
      <c r="I345" s="460" t="s">
        <v>3642</v>
      </c>
      <c r="J345" s="461" t="s">
        <v>329</v>
      </c>
      <c r="K345" s="462" t="s">
        <v>641</v>
      </c>
      <c r="L345" s="463">
        <v>73.72</v>
      </c>
      <c r="M345" s="463">
        <v>36.425026506170724</v>
      </c>
      <c r="N345" s="464">
        <v>2685.2529540349101</v>
      </c>
      <c r="O345" s="465"/>
      <c r="P345" s="431" t="s">
        <v>6711</v>
      </c>
    </row>
    <row r="346" spans="1:16" ht="13.5" hidden="1" customHeight="1" outlineLevel="1" x14ac:dyDescent="0.2">
      <c r="A346" s="233">
        <v>0</v>
      </c>
      <c r="B346" s="233">
        <v>4</v>
      </c>
      <c r="C346" s="233">
        <v>6</v>
      </c>
      <c r="D346" s="234">
        <v>0</v>
      </c>
      <c r="E346" s="234">
        <v>1</v>
      </c>
      <c r="G346" s="443"/>
      <c r="H346" s="444" t="s">
        <v>38</v>
      </c>
      <c r="I346" s="445" t="s">
        <v>3643</v>
      </c>
      <c r="J346" s="446" t="s">
        <v>1423</v>
      </c>
      <c r="K346" s="447"/>
      <c r="L346" s="448"/>
      <c r="M346" s="448"/>
      <c r="N346" s="449"/>
      <c r="O346" s="432"/>
      <c r="P346" s="429"/>
    </row>
    <row r="347" spans="1:16" ht="13.5" hidden="1" customHeight="1" outlineLevel="2" x14ac:dyDescent="0.2">
      <c r="A347" s="233">
        <v>0</v>
      </c>
      <c r="B347" s="233">
        <v>4</v>
      </c>
      <c r="C347" s="233">
        <v>6</v>
      </c>
      <c r="D347" s="234">
        <v>1</v>
      </c>
      <c r="E347" s="234">
        <v>0</v>
      </c>
      <c r="G347" s="450"/>
      <c r="H347" s="451" t="s">
        <v>1237</v>
      </c>
      <c r="I347" s="452" t="s">
        <v>3644</v>
      </c>
      <c r="J347" s="453" t="s">
        <v>2184</v>
      </c>
      <c r="K347" s="454"/>
      <c r="L347" s="455"/>
      <c r="M347" s="455"/>
      <c r="N347" s="456"/>
      <c r="O347" s="457"/>
      <c r="P347" s="430"/>
    </row>
    <row r="348" spans="1:16" ht="12.75" hidden="1" customHeight="1" outlineLevel="3" x14ac:dyDescent="0.2">
      <c r="A348" s="233">
        <v>0</v>
      </c>
      <c r="B348" s="233">
        <v>4</v>
      </c>
      <c r="C348" s="233">
        <v>6</v>
      </c>
      <c r="D348" s="234">
        <v>1</v>
      </c>
      <c r="E348" s="234">
        <v>1</v>
      </c>
      <c r="G348" s="458" t="s">
        <v>41</v>
      </c>
      <c r="H348" s="459" t="s">
        <v>1238</v>
      </c>
      <c r="I348" s="460" t="s">
        <v>3645</v>
      </c>
      <c r="J348" s="461" t="s">
        <v>337</v>
      </c>
      <c r="K348" s="462" t="s">
        <v>1129</v>
      </c>
      <c r="L348" s="463">
        <v>1</v>
      </c>
      <c r="M348" s="463" t="e">
        <v>#REF!</v>
      </c>
      <c r="N348" s="464"/>
      <c r="O348" s="471" t="s">
        <v>2997</v>
      </c>
      <c r="P348" s="431" t="s">
        <v>6711</v>
      </c>
    </row>
    <row r="349" spans="1:16" ht="13.5" hidden="1" customHeight="1" outlineLevel="2" x14ac:dyDescent="0.2">
      <c r="A349" s="233">
        <v>0</v>
      </c>
      <c r="B349" s="233">
        <v>4</v>
      </c>
      <c r="C349" s="233">
        <v>6</v>
      </c>
      <c r="D349" s="234">
        <v>2</v>
      </c>
      <c r="E349" s="234">
        <v>0</v>
      </c>
      <c r="G349" s="450"/>
      <c r="H349" s="451" t="s">
        <v>1237</v>
      </c>
      <c r="I349" s="452" t="s">
        <v>3646</v>
      </c>
      <c r="J349" s="453" t="s">
        <v>2228</v>
      </c>
      <c r="K349" s="454"/>
      <c r="L349" s="455"/>
      <c r="M349" s="455"/>
      <c r="N349" s="456"/>
      <c r="O349" s="457"/>
      <c r="P349" s="430"/>
    </row>
    <row r="350" spans="1:16" ht="12.75" hidden="1" customHeight="1" outlineLevel="3" x14ac:dyDescent="0.2">
      <c r="A350" s="233">
        <v>0</v>
      </c>
      <c r="B350" s="233">
        <v>4</v>
      </c>
      <c r="C350" s="233">
        <v>6</v>
      </c>
      <c r="D350" s="234">
        <v>2</v>
      </c>
      <c r="E350" s="234">
        <v>1</v>
      </c>
      <c r="G350" s="458" t="s">
        <v>41</v>
      </c>
      <c r="H350" s="459" t="s">
        <v>1238</v>
      </c>
      <c r="I350" s="460" t="s">
        <v>3647</v>
      </c>
      <c r="J350" s="461" t="s">
        <v>337</v>
      </c>
      <c r="K350" s="462" t="s">
        <v>1129</v>
      </c>
      <c r="L350" s="463">
        <v>1</v>
      </c>
      <c r="M350" s="463" t="e">
        <v>#REF!</v>
      </c>
      <c r="N350" s="464"/>
      <c r="O350" s="471" t="s">
        <v>2998</v>
      </c>
      <c r="P350" s="431" t="s">
        <v>6711</v>
      </c>
    </row>
    <row r="351" spans="1:16" ht="13.5" hidden="1" customHeight="1" outlineLevel="2" x14ac:dyDescent="0.2">
      <c r="A351" s="233">
        <v>0</v>
      </c>
      <c r="B351" s="233">
        <v>4</v>
      </c>
      <c r="C351" s="233">
        <v>6</v>
      </c>
      <c r="D351" s="234">
        <v>3</v>
      </c>
      <c r="E351" s="234">
        <v>0</v>
      </c>
      <c r="G351" s="450"/>
      <c r="H351" s="451" t="s">
        <v>1237</v>
      </c>
      <c r="I351" s="452" t="s">
        <v>3648</v>
      </c>
      <c r="J351" s="453" t="s">
        <v>2229</v>
      </c>
      <c r="K351" s="454"/>
      <c r="L351" s="455"/>
      <c r="M351" s="455"/>
      <c r="N351" s="456"/>
      <c r="O351" s="457"/>
      <c r="P351" s="430"/>
    </row>
    <row r="352" spans="1:16" ht="12.75" hidden="1" customHeight="1" outlineLevel="3" x14ac:dyDescent="0.2">
      <c r="A352" s="233">
        <v>0</v>
      </c>
      <c r="B352" s="233">
        <v>4</v>
      </c>
      <c r="C352" s="233">
        <v>6</v>
      </c>
      <c r="D352" s="234">
        <v>3</v>
      </c>
      <c r="E352" s="234">
        <v>1</v>
      </c>
      <c r="G352" s="458" t="s">
        <v>41</v>
      </c>
      <c r="H352" s="459" t="s">
        <v>1238</v>
      </c>
      <c r="I352" s="460" t="s">
        <v>3649</v>
      </c>
      <c r="J352" s="461" t="s">
        <v>337</v>
      </c>
      <c r="K352" s="462" t="s">
        <v>1129</v>
      </c>
      <c r="L352" s="463">
        <v>1</v>
      </c>
      <c r="M352" s="463" t="e">
        <v>#REF!</v>
      </c>
      <c r="N352" s="464"/>
      <c r="O352" s="475" t="s">
        <v>2999</v>
      </c>
      <c r="P352" s="431" t="s">
        <v>6711</v>
      </c>
    </row>
    <row r="353" spans="1:16" ht="13.5" hidden="1" customHeight="1" outlineLevel="2" x14ac:dyDescent="0.2">
      <c r="A353" s="233">
        <v>0</v>
      </c>
      <c r="B353" s="233">
        <v>4</v>
      </c>
      <c r="C353" s="233">
        <v>6</v>
      </c>
      <c r="D353" s="234">
        <v>4</v>
      </c>
      <c r="E353" s="234">
        <v>0</v>
      </c>
      <c r="G353" s="450"/>
      <c r="H353" s="451" t="s">
        <v>1237</v>
      </c>
      <c r="I353" s="452" t="s">
        <v>3650</v>
      </c>
      <c r="J353" s="453" t="s">
        <v>2853</v>
      </c>
      <c r="K353" s="454"/>
      <c r="L353" s="455"/>
      <c r="M353" s="455"/>
      <c r="N353" s="456"/>
      <c r="O353" s="457"/>
      <c r="P353" s="430"/>
    </row>
    <row r="354" spans="1:16" ht="12.75" hidden="1" customHeight="1" outlineLevel="3" x14ac:dyDescent="0.2">
      <c r="A354" s="233">
        <v>0</v>
      </c>
      <c r="B354" s="233">
        <v>4</v>
      </c>
      <c r="C354" s="233">
        <v>6</v>
      </c>
      <c r="D354" s="234">
        <v>4</v>
      </c>
      <c r="E354" s="234">
        <v>1</v>
      </c>
      <c r="G354" s="458" t="s">
        <v>41</v>
      </c>
      <c r="H354" s="459" t="s">
        <v>1238</v>
      </c>
      <c r="I354" s="460" t="s">
        <v>3651</v>
      </c>
      <c r="J354" s="461" t="s">
        <v>337</v>
      </c>
      <c r="K354" s="462" t="s">
        <v>1129</v>
      </c>
      <c r="L354" s="463">
        <v>1</v>
      </c>
      <c r="M354" s="463" t="e">
        <v>#REF!</v>
      </c>
      <c r="N354" s="464"/>
      <c r="O354" s="475" t="s">
        <v>2999</v>
      </c>
      <c r="P354" s="431" t="s">
        <v>6711</v>
      </c>
    </row>
    <row r="355" spans="1:16" ht="13.5" hidden="1" customHeight="1" outlineLevel="2" x14ac:dyDescent="0.2">
      <c r="A355" s="233">
        <v>0</v>
      </c>
      <c r="B355" s="233">
        <v>4</v>
      </c>
      <c r="C355" s="233">
        <v>6</v>
      </c>
      <c r="D355" s="234">
        <v>5</v>
      </c>
      <c r="E355" s="234">
        <v>0</v>
      </c>
      <c r="G355" s="450"/>
      <c r="H355" s="451" t="s">
        <v>1237</v>
      </c>
      <c r="I355" s="452" t="s">
        <v>3652</v>
      </c>
      <c r="J355" s="453" t="s">
        <v>2230</v>
      </c>
      <c r="K355" s="454"/>
      <c r="L355" s="455"/>
      <c r="M355" s="455"/>
      <c r="N355" s="456"/>
      <c r="O355" s="457"/>
      <c r="P355" s="430"/>
    </row>
    <row r="356" spans="1:16" ht="12.75" hidden="1" customHeight="1" outlineLevel="3" x14ac:dyDescent="0.2">
      <c r="A356" s="233">
        <v>0</v>
      </c>
      <c r="B356" s="233">
        <v>4</v>
      </c>
      <c r="C356" s="233">
        <v>6</v>
      </c>
      <c r="D356" s="234">
        <v>5</v>
      </c>
      <c r="E356" s="234">
        <v>1</v>
      </c>
      <c r="G356" s="458" t="s">
        <v>41</v>
      </c>
      <c r="H356" s="459" t="s">
        <v>1238</v>
      </c>
      <c r="I356" s="460" t="s">
        <v>3653</v>
      </c>
      <c r="J356" s="461" t="s">
        <v>337</v>
      </c>
      <c r="K356" s="462" t="s">
        <v>1129</v>
      </c>
      <c r="L356" s="463">
        <v>1</v>
      </c>
      <c r="M356" s="463" t="e">
        <v>#REF!</v>
      </c>
      <c r="N356" s="464"/>
      <c r="O356" s="475" t="s">
        <v>2999</v>
      </c>
      <c r="P356" s="431" t="s">
        <v>6711</v>
      </c>
    </row>
    <row r="357" spans="1:16" ht="13.5" hidden="1" customHeight="1" outlineLevel="2" x14ac:dyDescent="0.2">
      <c r="A357" s="233">
        <v>0</v>
      </c>
      <c r="B357" s="233">
        <v>4</v>
      </c>
      <c r="C357" s="233">
        <v>6</v>
      </c>
      <c r="D357" s="234">
        <v>6</v>
      </c>
      <c r="E357" s="234">
        <v>0</v>
      </c>
      <c r="G357" s="450"/>
      <c r="H357" s="451" t="s">
        <v>1237</v>
      </c>
      <c r="I357" s="452" t="s">
        <v>3654</v>
      </c>
      <c r="J357" s="453" t="s">
        <v>2854</v>
      </c>
      <c r="K357" s="454"/>
      <c r="L357" s="455"/>
      <c r="M357" s="455"/>
      <c r="N357" s="456"/>
      <c r="O357" s="457"/>
      <c r="P357" s="430"/>
    </row>
    <row r="358" spans="1:16" ht="12.75" hidden="1" customHeight="1" outlineLevel="3" x14ac:dyDescent="0.2">
      <c r="A358" s="233">
        <v>0</v>
      </c>
      <c r="B358" s="233">
        <v>4</v>
      </c>
      <c r="C358" s="233">
        <v>6</v>
      </c>
      <c r="D358" s="234">
        <v>6</v>
      </c>
      <c r="E358" s="234">
        <v>1</v>
      </c>
      <c r="G358" s="458" t="s">
        <v>41</v>
      </c>
      <c r="H358" s="459" t="s">
        <v>1238</v>
      </c>
      <c r="I358" s="460" t="s">
        <v>3655</v>
      </c>
      <c r="J358" s="461" t="s">
        <v>337</v>
      </c>
      <c r="K358" s="462" t="s">
        <v>1129</v>
      </c>
      <c r="L358" s="463">
        <v>1</v>
      </c>
      <c r="M358" s="463" t="e">
        <v>#REF!</v>
      </c>
      <c r="N358" s="464"/>
      <c r="O358" s="475" t="s">
        <v>2999</v>
      </c>
      <c r="P358" s="431" t="s">
        <v>6711</v>
      </c>
    </row>
    <row r="359" spans="1:16" ht="13.5" hidden="1" customHeight="1" outlineLevel="2" x14ac:dyDescent="0.2">
      <c r="A359" s="233">
        <v>0</v>
      </c>
      <c r="B359" s="233">
        <v>4</v>
      </c>
      <c r="C359" s="233">
        <v>6</v>
      </c>
      <c r="D359" s="234">
        <v>7</v>
      </c>
      <c r="E359" s="234">
        <v>0</v>
      </c>
      <c r="G359" s="450"/>
      <c r="H359" s="451" t="s">
        <v>1237</v>
      </c>
      <c r="I359" s="452" t="s">
        <v>3656</v>
      </c>
      <c r="J359" s="453" t="s">
        <v>2231</v>
      </c>
      <c r="K359" s="454"/>
      <c r="L359" s="455"/>
      <c r="M359" s="455"/>
      <c r="N359" s="456"/>
      <c r="O359" s="457"/>
      <c r="P359" s="430"/>
    </row>
    <row r="360" spans="1:16" ht="12.75" hidden="1" customHeight="1" outlineLevel="3" x14ac:dyDescent="0.2">
      <c r="A360" s="233">
        <v>0</v>
      </c>
      <c r="B360" s="233">
        <v>4</v>
      </c>
      <c r="C360" s="233">
        <v>6</v>
      </c>
      <c r="D360" s="234">
        <v>7</v>
      </c>
      <c r="E360" s="234">
        <v>1</v>
      </c>
      <c r="G360" s="458" t="s">
        <v>41</v>
      </c>
      <c r="H360" s="459" t="s">
        <v>1238</v>
      </c>
      <c r="I360" s="460" t="s">
        <v>3657</v>
      </c>
      <c r="J360" s="461" t="s">
        <v>337</v>
      </c>
      <c r="K360" s="462" t="s">
        <v>1129</v>
      </c>
      <c r="L360" s="463">
        <v>1</v>
      </c>
      <c r="M360" s="463" t="e">
        <v>#REF!</v>
      </c>
      <c r="N360" s="464"/>
      <c r="O360" s="475" t="s">
        <v>2999</v>
      </c>
      <c r="P360" s="431" t="s">
        <v>6711</v>
      </c>
    </row>
    <row r="361" spans="1:16" ht="13.5" hidden="1" customHeight="1" outlineLevel="2" x14ac:dyDescent="0.2">
      <c r="A361" s="233">
        <v>0</v>
      </c>
      <c r="B361" s="233">
        <v>4</v>
      </c>
      <c r="C361" s="233">
        <v>6</v>
      </c>
      <c r="D361" s="234">
        <v>8</v>
      </c>
      <c r="E361" s="234">
        <v>0</v>
      </c>
      <c r="G361" s="450"/>
      <c r="H361" s="451" t="s">
        <v>1237</v>
      </c>
      <c r="I361" s="452" t="s">
        <v>3658</v>
      </c>
      <c r="J361" s="453" t="s">
        <v>2231</v>
      </c>
      <c r="K361" s="454"/>
      <c r="L361" s="455"/>
      <c r="M361" s="455"/>
      <c r="N361" s="456"/>
      <c r="O361" s="457"/>
      <c r="P361" s="430"/>
    </row>
    <row r="362" spans="1:16" ht="12.75" hidden="1" customHeight="1" outlineLevel="3" x14ac:dyDescent="0.2">
      <c r="A362" s="233">
        <v>0</v>
      </c>
      <c r="B362" s="233">
        <v>4</v>
      </c>
      <c r="C362" s="233">
        <v>6</v>
      </c>
      <c r="D362" s="234">
        <v>8</v>
      </c>
      <c r="E362" s="234">
        <v>1</v>
      </c>
      <c r="G362" s="458" t="s">
        <v>41</v>
      </c>
      <c r="H362" s="459" t="s">
        <v>1238</v>
      </c>
      <c r="I362" s="460" t="s">
        <v>3659</v>
      </c>
      <c r="J362" s="461" t="s">
        <v>337</v>
      </c>
      <c r="K362" s="462" t="s">
        <v>1129</v>
      </c>
      <c r="L362" s="463">
        <v>1</v>
      </c>
      <c r="M362" s="463" t="e">
        <v>#REF!</v>
      </c>
      <c r="N362" s="464"/>
      <c r="O362" s="475" t="s">
        <v>2999</v>
      </c>
      <c r="P362" s="431" t="s">
        <v>6711</v>
      </c>
    </row>
    <row r="363" spans="1:16" ht="13.5" hidden="1" customHeight="1" outlineLevel="2" x14ac:dyDescent="0.2">
      <c r="A363" s="233">
        <v>0</v>
      </c>
      <c r="B363" s="233">
        <v>4</v>
      </c>
      <c r="C363" s="233">
        <v>6</v>
      </c>
      <c r="D363" s="234">
        <v>9</v>
      </c>
      <c r="E363" s="234">
        <v>0</v>
      </c>
      <c r="G363" s="450"/>
      <c r="H363" s="451" t="s">
        <v>1237</v>
      </c>
      <c r="I363" s="452" t="s">
        <v>3660</v>
      </c>
      <c r="J363" s="453" t="s">
        <v>2232</v>
      </c>
      <c r="K363" s="454"/>
      <c r="L363" s="455"/>
      <c r="M363" s="455"/>
      <c r="N363" s="456"/>
      <c r="O363" s="457"/>
      <c r="P363" s="430"/>
    </row>
    <row r="364" spans="1:16" ht="12.75" hidden="1" customHeight="1" outlineLevel="3" x14ac:dyDescent="0.2">
      <c r="A364" s="233">
        <v>0</v>
      </c>
      <c r="B364" s="233">
        <v>4</v>
      </c>
      <c r="C364" s="233">
        <v>6</v>
      </c>
      <c r="D364" s="234">
        <v>9</v>
      </c>
      <c r="E364" s="234">
        <v>1</v>
      </c>
      <c r="G364" s="458" t="s">
        <v>41</v>
      </c>
      <c r="H364" s="459" t="s">
        <v>1238</v>
      </c>
      <c r="I364" s="460" t="s">
        <v>3661</v>
      </c>
      <c r="J364" s="461" t="s">
        <v>337</v>
      </c>
      <c r="K364" s="462" t="s">
        <v>1129</v>
      </c>
      <c r="L364" s="463">
        <v>1</v>
      </c>
      <c r="M364" s="463" t="e">
        <v>#REF!</v>
      </c>
      <c r="N364" s="464"/>
      <c r="O364" s="475" t="s">
        <v>2999</v>
      </c>
      <c r="P364" s="431" t="s">
        <v>6711</v>
      </c>
    </row>
    <row r="365" spans="1:16" ht="13.5" hidden="1" customHeight="1" outlineLevel="2" x14ac:dyDescent="0.2">
      <c r="A365" s="233">
        <v>0</v>
      </c>
      <c r="B365" s="233">
        <v>4</v>
      </c>
      <c r="C365" s="233">
        <v>6</v>
      </c>
      <c r="D365" s="234">
        <v>10</v>
      </c>
      <c r="E365" s="234">
        <v>0</v>
      </c>
      <c r="G365" s="450"/>
      <c r="H365" s="451" t="s">
        <v>1237</v>
      </c>
      <c r="I365" s="452" t="s">
        <v>3662</v>
      </c>
      <c r="J365" s="453" t="s">
        <v>2233</v>
      </c>
      <c r="K365" s="454"/>
      <c r="L365" s="455"/>
      <c r="M365" s="455"/>
      <c r="N365" s="456"/>
      <c r="O365" s="457"/>
      <c r="P365" s="430"/>
    </row>
    <row r="366" spans="1:16" ht="12.75" hidden="1" customHeight="1" outlineLevel="3" x14ac:dyDescent="0.2">
      <c r="A366" s="233">
        <v>0</v>
      </c>
      <c r="B366" s="233">
        <v>4</v>
      </c>
      <c r="C366" s="233">
        <v>6</v>
      </c>
      <c r="D366" s="234">
        <v>10</v>
      </c>
      <c r="E366" s="234">
        <v>1</v>
      </c>
      <c r="G366" s="458" t="s">
        <v>41</v>
      </c>
      <c r="H366" s="459" t="s">
        <v>1238</v>
      </c>
      <c r="I366" s="460" t="s">
        <v>3663</v>
      </c>
      <c r="J366" s="461" t="s">
        <v>337</v>
      </c>
      <c r="K366" s="462" t="s">
        <v>1129</v>
      </c>
      <c r="L366" s="463">
        <v>1</v>
      </c>
      <c r="M366" s="463" t="e">
        <v>#REF!</v>
      </c>
      <c r="N366" s="464"/>
      <c r="O366" s="475" t="s">
        <v>2999</v>
      </c>
      <c r="P366" s="431" t="s">
        <v>6711</v>
      </c>
    </row>
    <row r="367" spans="1:16" ht="13.5" hidden="1" customHeight="1" outlineLevel="2" x14ac:dyDescent="0.2">
      <c r="A367" s="233">
        <v>0</v>
      </c>
      <c r="B367" s="233">
        <v>4</v>
      </c>
      <c r="C367" s="233">
        <v>6</v>
      </c>
      <c r="D367" s="234">
        <v>11</v>
      </c>
      <c r="E367" s="234">
        <v>0</v>
      </c>
      <c r="G367" s="450"/>
      <c r="H367" s="451" t="s">
        <v>1237</v>
      </c>
      <c r="I367" s="452" t="s">
        <v>3664</v>
      </c>
      <c r="J367" s="453" t="s">
        <v>2234</v>
      </c>
      <c r="K367" s="454"/>
      <c r="L367" s="455"/>
      <c r="M367" s="455"/>
      <c r="N367" s="456"/>
      <c r="O367" s="457"/>
      <c r="P367" s="430"/>
    </row>
    <row r="368" spans="1:16" ht="12.75" hidden="1" customHeight="1" outlineLevel="3" x14ac:dyDescent="0.2">
      <c r="A368" s="233">
        <v>0</v>
      </c>
      <c r="B368" s="233">
        <v>4</v>
      </c>
      <c r="C368" s="233">
        <v>6</v>
      </c>
      <c r="D368" s="234">
        <v>11</v>
      </c>
      <c r="E368" s="234">
        <v>1</v>
      </c>
      <c r="G368" s="458" t="s">
        <v>41</v>
      </c>
      <c r="H368" s="459" t="s">
        <v>1238</v>
      </c>
      <c r="I368" s="460" t="s">
        <v>3665</v>
      </c>
      <c r="J368" s="461" t="s">
        <v>337</v>
      </c>
      <c r="K368" s="462" t="s">
        <v>1129</v>
      </c>
      <c r="L368" s="463">
        <v>1</v>
      </c>
      <c r="M368" s="463" t="e">
        <v>#REF!</v>
      </c>
      <c r="N368" s="464"/>
      <c r="O368" s="475" t="s">
        <v>2999</v>
      </c>
      <c r="P368" s="431" t="s">
        <v>6711</v>
      </c>
    </row>
    <row r="369" spans="1:16" ht="13.5" hidden="1" customHeight="1" outlineLevel="2" x14ac:dyDescent="0.2">
      <c r="A369" s="233">
        <v>0</v>
      </c>
      <c r="B369" s="233">
        <v>4</v>
      </c>
      <c r="C369" s="233">
        <v>6</v>
      </c>
      <c r="D369" s="234">
        <v>12</v>
      </c>
      <c r="E369" s="234">
        <v>0</v>
      </c>
      <c r="G369" s="450"/>
      <c r="H369" s="451" t="s">
        <v>1237</v>
      </c>
      <c r="I369" s="452" t="s">
        <v>3666</v>
      </c>
      <c r="J369" s="453" t="s">
        <v>2235</v>
      </c>
      <c r="K369" s="454"/>
      <c r="L369" s="455"/>
      <c r="M369" s="455"/>
      <c r="N369" s="456"/>
      <c r="O369" s="457"/>
      <c r="P369" s="430"/>
    </row>
    <row r="370" spans="1:16" ht="12.75" hidden="1" customHeight="1" outlineLevel="3" x14ac:dyDescent="0.2">
      <c r="A370" s="233">
        <v>0</v>
      </c>
      <c r="B370" s="233">
        <v>4</v>
      </c>
      <c r="C370" s="233">
        <v>6</v>
      </c>
      <c r="D370" s="234">
        <v>12</v>
      </c>
      <c r="E370" s="234">
        <v>1</v>
      </c>
      <c r="G370" s="458" t="s">
        <v>41</v>
      </c>
      <c r="H370" s="459" t="s">
        <v>1238</v>
      </c>
      <c r="I370" s="460" t="s">
        <v>3667</v>
      </c>
      <c r="J370" s="461" t="s">
        <v>337</v>
      </c>
      <c r="K370" s="462" t="s">
        <v>1129</v>
      </c>
      <c r="L370" s="463">
        <v>1</v>
      </c>
      <c r="M370" s="463" t="e">
        <v>#REF!</v>
      </c>
      <c r="N370" s="464"/>
      <c r="O370" s="475" t="s">
        <v>2999</v>
      </c>
      <c r="P370" s="431" t="s">
        <v>6711</v>
      </c>
    </row>
    <row r="371" spans="1:16" ht="13.5" hidden="1" customHeight="1" outlineLevel="2" x14ac:dyDescent="0.2">
      <c r="A371" s="233">
        <v>0</v>
      </c>
      <c r="B371" s="233">
        <v>4</v>
      </c>
      <c r="C371" s="233">
        <v>6</v>
      </c>
      <c r="D371" s="234">
        <v>13</v>
      </c>
      <c r="E371" s="234">
        <v>0</v>
      </c>
      <c r="G371" s="450"/>
      <c r="H371" s="451" t="s">
        <v>1237</v>
      </c>
      <c r="I371" s="452" t="s">
        <v>3668</v>
      </c>
      <c r="J371" s="453" t="s">
        <v>2855</v>
      </c>
      <c r="K371" s="454"/>
      <c r="L371" s="455"/>
      <c r="M371" s="455"/>
      <c r="N371" s="456"/>
      <c r="O371" s="457"/>
      <c r="P371" s="430"/>
    </row>
    <row r="372" spans="1:16" ht="12.75" hidden="1" customHeight="1" outlineLevel="3" x14ac:dyDescent="0.2">
      <c r="A372" s="233">
        <v>0</v>
      </c>
      <c r="B372" s="233">
        <v>4</v>
      </c>
      <c r="C372" s="233">
        <v>6</v>
      </c>
      <c r="D372" s="234">
        <v>13</v>
      </c>
      <c r="E372" s="234">
        <v>1</v>
      </c>
      <c r="G372" s="458" t="s">
        <v>41</v>
      </c>
      <c r="H372" s="459" t="s">
        <v>1238</v>
      </c>
      <c r="I372" s="460" t="s">
        <v>3669</v>
      </c>
      <c r="J372" s="461" t="s">
        <v>337</v>
      </c>
      <c r="K372" s="462" t="s">
        <v>1129</v>
      </c>
      <c r="L372" s="463">
        <v>1</v>
      </c>
      <c r="M372" s="463" t="e">
        <v>#REF!</v>
      </c>
      <c r="N372" s="464"/>
      <c r="O372" s="475" t="s">
        <v>2999</v>
      </c>
      <c r="P372" s="431" t="s">
        <v>6711</v>
      </c>
    </row>
    <row r="373" spans="1:16" ht="13.5" hidden="1" customHeight="1" outlineLevel="2" x14ac:dyDescent="0.2">
      <c r="A373" s="233">
        <v>0</v>
      </c>
      <c r="B373" s="233">
        <v>4</v>
      </c>
      <c r="C373" s="233">
        <v>6</v>
      </c>
      <c r="D373" s="234">
        <v>14</v>
      </c>
      <c r="E373" s="234">
        <v>0</v>
      </c>
      <c r="G373" s="450"/>
      <c r="H373" s="451" t="s">
        <v>1237</v>
      </c>
      <c r="I373" s="452" t="s">
        <v>3670</v>
      </c>
      <c r="J373" s="453" t="s">
        <v>2856</v>
      </c>
      <c r="K373" s="454"/>
      <c r="L373" s="455"/>
      <c r="M373" s="455"/>
      <c r="N373" s="456"/>
      <c r="O373" s="457"/>
      <c r="P373" s="430"/>
    </row>
    <row r="374" spans="1:16" ht="12.75" hidden="1" customHeight="1" outlineLevel="3" x14ac:dyDescent="0.2">
      <c r="A374" s="233">
        <v>0</v>
      </c>
      <c r="B374" s="233">
        <v>4</v>
      </c>
      <c r="C374" s="233">
        <v>6</v>
      </c>
      <c r="D374" s="234">
        <v>14</v>
      </c>
      <c r="E374" s="234">
        <v>1</v>
      </c>
      <c r="G374" s="458" t="s">
        <v>41</v>
      </c>
      <c r="H374" s="459" t="s">
        <v>1238</v>
      </c>
      <c r="I374" s="460" t="s">
        <v>3671</v>
      </c>
      <c r="J374" s="461" t="s">
        <v>337</v>
      </c>
      <c r="K374" s="462" t="s">
        <v>1129</v>
      </c>
      <c r="L374" s="463">
        <v>1</v>
      </c>
      <c r="M374" s="463" t="e">
        <v>#REF!</v>
      </c>
      <c r="N374" s="464"/>
      <c r="O374" s="475" t="s">
        <v>2999</v>
      </c>
      <c r="P374" s="431" t="s">
        <v>6711</v>
      </c>
    </row>
    <row r="375" spans="1:16" ht="13.5" hidden="1" customHeight="1" outlineLevel="2" x14ac:dyDescent="0.2">
      <c r="A375" s="233">
        <v>0</v>
      </c>
      <c r="B375" s="233">
        <v>4</v>
      </c>
      <c r="C375" s="233">
        <v>6</v>
      </c>
      <c r="D375" s="234">
        <v>15</v>
      </c>
      <c r="E375" s="234">
        <v>0</v>
      </c>
      <c r="G375" s="450"/>
      <c r="H375" s="451" t="s">
        <v>1237</v>
      </c>
      <c r="I375" s="452" t="s">
        <v>3672</v>
      </c>
      <c r="J375" s="453" t="s">
        <v>2236</v>
      </c>
      <c r="K375" s="454"/>
      <c r="L375" s="455"/>
      <c r="M375" s="455"/>
      <c r="N375" s="456"/>
      <c r="O375" s="457"/>
      <c r="P375" s="430"/>
    </row>
    <row r="376" spans="1:16" ht="12.75" hidden="1" customHeight="1" outlineLevel="3" x14ac:dyDescent="0.2">
      <c r="A376" s="233">
        <v>0</v>
      </c>
      <c r="B376" s="233">
        <v>4</v>
      </c>
      <c r="C376" s="233">
        <v>6</v>
      </c>
      <c r="D376" s="234">
        <v>15</v>
      </c>
      <c r="E376" s="234">
        <v>1</v>
      </c>
      <c r="G376" s="458" t="s">
        <v>41</v>
      </c>
      <c r="H376" s="459" t="s">
        <v>1238</v>
      </c>
      <c r="I376" s="460" t="s">
        <v>3673</v>
      </c>
      <c r="J376" s="461" t="s">
        <v>337</v>
      </c>
      <c r="K376" s="462" t="s">
        <v>1129</v>
      </c>
      <c r="L376" s="463">
        <v>1</v>
      </c>
      <c r="M376" s="463" t="e">
        <v>#REF!</v>
      </c>
      <c r="N376" s="464"/>
      <c r="O376" s="475" t="s">
        <v>2999</v>
      </c>
      <c r="P376" s="431" t="s">
        <v>6711</v>
      </c>
    </row>
    <row r="377" spans="1:16" ht="13.5" hidden="1" customHeight="1" outlineLevel="2" x14ac:dyDescent="0.2">
      <c r="A377" s="233">
        <v>0</v>
      </c>
      <c r="B377" s="233">
        <v>4</v>
      </c>
      <c r="C377" s="233">
        <v>6</v>
      </c>
      <c r="D377" s="234">
        <v>16</v>
      </c>
      <c r="E377" s="234">
        <v>0</v>
      </c>
      <c r="G377" s="450"/>
      <c r="H377" s="451" t="s">
        <v>1237</v>
      </c>
      <c r="I377" s="452" t="s">
        <v>3674</v>
      </c>
      <c r="J377" s="453" t="s">
        <v>2237</v>
      </c>
      <c r="K377" s="454"/>
      <c r="L377" s="455"/>
      <c r="M377" s="455"/>
      <c r="N377" s="456"/>
      <c r="O377" s="457"/>
      <c r="P377" s="430"/>
    </row>
    <row r="378" spans="1:16" ht="12.75" hidden="1" customHeight="1" outlineLevel="3" x14ac:dyDescent="0.2">
      <c r="A378" s="233">
        <v>0</v>
      </c>
      <c r="B378" s="233">
        <v>4</v>
      </c>
      <c r="C378" s="233">
        <v>6</v>
      </c>
      <c r="D378" s="234">
        <v>16</v>
      </c>
      <c r="E378" s="234">
        <v>1</v>
      </c>
      <c r="G378" s="458" t="s">
        <v>41</v>
      </c>
      <c r="H378" s="459" t="s">
        <v>1238</v>
      </c>
      <c r="I378" s="460" t="s">
        <v>3675</v>
      </c>
      <c r="J378" s="461" t="s">
        <v>337</v>
      </c>
      <c r="K378" s="462" t="s">
        <v>1129</v>
      </c>
      <c r="L378" s="463">
        <v>1</v>
      </c>
      <c r="M378" s="463" t="e">
        <v>#REF!</v>
      </c>
      <c r="N378" s="464"/>
      <c r="O378" s="475" t="s">
        <v>2999</v>
      </c>
      <c r="P378" s="431" t="s">
        <v>6711</v>
      </c>
    </row>
    <row r="379" spans="1:16" ht="13.5" customHeight="1" collapsed="1" x14ac:dyDescent="0.2">
      <c r="A379" s="233">
        <v>0</v>
      </c>
      <c r="B379" s="233">
        <v>5</v>
      </c>
      <c r="C379" s="233">
        <v>0</v>
      </c>
      <c r="D379" s="234">
        <v>16</v>
      </c>
      <c r="E379" s="234">
        <v>1</v>
      </c>
      <c r="F379" s="237"/>
      <c r="G379" s="436"/>
      <c r="H379" s="476" t="s">
        <v>1236</v>
      </c>
      <c r="I379" s="477" t="s">
        <v>3676</v>
      </c>
      <c r="J379" s="439" t="s">
        <v>339</v>
      </c>
      <c r="K379" s="478"/>
      <c r="L379" s="479"/>
      <c r="M379" s="479"/>
      <c r="N379" s="442"/>
      <c r="O379" s="480"/>
      <c r="P379" s="428"/>
    </row>
    <row r="380" spans="1:16" ht="13.5" hidden="1" customHeight="1" outlineLevel="1" x14ac:dyDescent="0.2">
      <c r="A380" s="233">
        <v>0</v>
      </c>
      <c r="B380" s="233">
        <v>5</v>
      </c>
      <c r="C380" s="233">
        <v>1</v>
      </c>
      <c r="D380" s="234">
        <v>0</v>
      </c>
      <c r="E380" s="234">
        <v>1</v>
      </c>
      <c r="G380" s="443"/>
      <c r="H380" s="481" t="s">
        <v>38</v>
      </c>
      <c r="I380" s="482" t="s">
        <v>3677</v>
      </c>
      <c r="J380" s="483" t="s">
        <v>2289</v>
      </c>
      <c r="K380" s="484"/>
      <c r="L380" s="485"/>
      <c r="M380" s="485"/>
      <c r="N380" s="449"/>
      <c r="O380" s="486"/>
      <c r="P380" s="429"/>
    </row>
    <row r="381" spans="1:16" ht="13.5" hidden="1" customHeight="1" outlineLevel="2" x14ac:dyDescent="0.2">
      <c r="A381" s="233">
        <v>0</v>
      </c>
      <c r="B381" s="233">
        <v>5</v>
      </c>
      <c r="C381" s="233">
        <v>1</v>
      </c>
      <c r="D381" s="234">
        <v>1</v>
      </c>
      <c r="E381" s="234">
        <v>0</v>
      </c>
      <c r="G381" s="450"/>
      <c r="H381" s="487" t="s">
        <v>1237</v>
      </c>
      <c r="I381" s="488" t="s">
        <v>3678</v>
      </c>
      <c r="J381" s="489" t="s">
        <v>2288</v>
      </c>
      <c r="K381" s="490"/>
      <c r="L381" s="491"/>
      <c r="M381" s="491"/>
      <c r="N381" s="456"/>
      <c r="O381" s="492"/>
      <c r="P381" s="430"/>
    </row>
    <row r="382" spans="1:16" ht="13.5" hidden="1" customHeight="1" outlineLevel="3" x14ac:dyDescent="0.2">
      <c r="A382" s="233">
        <v>0</v>
      </c>
      <c r="B382" s="233">
        <v>5</v>
      </c>
      <c r="C382" s="233">
        <v>1</v>
      </c>
      <c r="D382" s="234">
        <v>1</v>
      </c>
      <c r="E382" s="234">
        <v>1</v>
      </c>
      <c r="G382" s="458" t="s">
        <v>42</v>
      </c>
      <c r="H382" s="493" t="s">
        <v>1238</v>
      </c>
      <c r="I382" s="494" t="s">
        <v>3679</v>
      </c>
      <c r="J382" s="495" t="s">
        <v>2285</v>
      </c>
      <c r="K382" s="496" t="s">
        <v>641</v>
      </c>
      <c r="L382" s="497" t="e">
        <v>#REF!</v>
      </c>
      <c r="M382" s="497">
        <v>22.36</v>
      </c>
      <c r="N382" s="464"/>
      <c r="O382" s="498"/>
      <c r="P382" s="431" t="s">
        <v>6711</v>
      </c>
    </row>
    <row r="383" spans="1:16" ht="13.5" hidden="1" customHeight="1" outlineLevel="3" x14ac:dyDescent="0.2">
      <c r="A383" s="233">
        <v>0</v>
      </c>
      <c r="B383" s="233">
        <v>5</v>
      </c>
      <c r="C383" s="233">
        <v>1</v>
      </c>
      <c r="D383" s="234">
        <v>1</v>
      </c>
      <c r="E383" s="234">
        <v>2</v>
      </c>
      <c r="G383" s="458" t="s">
        <v>42</v>
      </c>
      <c r="H383" s="493" t="s">
        <v>1238</v>
      </c>
      <c r="I383" s="494" t="s">
        <v>3680</v>
      </c>
      <c r="J383" s="495" t="s">
        <v>2283</v>
      </c>
      <c r="K383" s="496" t="s">
        <v>641</v>
      </c>
      <c r="L383" s="497" t="e">
        <v>#REF!</v>
      </c>
      <c r="M383" s="497">
        <v>35.099999999999994</v>
      </c>
      <c r="N383" s="464"/>
      <c r="O383" s="498"/>
      <c r="P383" s="431" t="s">
        <v>6711</v>
      </c>
    </row>
    <row r="384" spans="1:16" ht="13.5" hidden="1" customHeight="1" outlineLevel="3" x14ac:dyDescent="0.2">
      <c r="A384" s="233">
        <v>0</v>
      </c>
      <c r="B384" s="233">
        <v>5</v>
      </c>
      <c r="C384" s="233">
        <v>1</v>
      </c>
      <c r="D384" s="234">
        <v>1</v>
      </c>
      <c r="E384" s="234">
        <v>3</v>
      </c>
      <c r="G384" s="458" t="s">
        <v>42</v>
      </c>
      <c r="H384" s="493" t="s">
        <v>1238</v>
      </c>
      <c r="I384" s="494" t="s">
        <v>3681</v>
      </c>
      <c r="J384" s="495" t="s">
        <v>1660</v>
      </c>
      <c r="K384" s="496" t="s">
        <v>641</v>
      </c>
      <c r="L384" s="497" t="e">
        <v>#REF!</v>
      </c>
      <c r="M384" s="497">
        <v>127.5</v>
      </c>
      <c r="N384" s="464"/>
      <c r="O384" s="498"/>
      <c r="P384" s="431" t="s">
        <v>6711</v>
      </c>
    </row>
    <row r="385" spans="1:16" ht="13.5" hidden="1" customHeight="1" outlineLevel="2" x14ac:dyDescent="0.2">
      <c r="A385" s="233">
        <v>0</v>
      </c>
      <c r="B385" s="233">
        <v>5</v>
      </c>
      <c r="C385" s="233">
        <v>1</v>
      </c>
      <c r="D385" s="234">
        <v>2</v>
      </c>
      <c r="E385" s="234">
        <v>0</v>
      </c>
      <c r="G385" s="450"/>
      <c r="H385" s="487" t="s">
        <v>1237</v>
      </c>
      <c r="I385" s="488" t="s">
        <v>3682</v>
      </c>
      <c r="J385" s="499" t="s">
        <v>1295</v>
      </c>
      <c r="K385" s="490"/>
      <c r="L385" s="491"/>
      <c r="M385" s="491"/>
      <c r="N385" s="456"/>
      <c r="O385" s="492"/>
      <c r="P385" s="430"/>
    </row>
    <row r="386" spans="1:16" ht="13.5" hidden="1" customHeight="1" outlineLevel="3" x14ac:dyDescent="0.2">
      <c r="A386" s="233">
        <v>0</v>
      </c>
      <c r="B386" s="233">
        <v>5</v>
      </c>
      <c r="C386" s="233">
        <v>1</v>
      </c>
      <c r="D386" s="234">
        <v>2</v>
      </c>
      <c r="E386" s="234">
        <v>1</v>
      </c>
      <c r="G386" s="458" t="s">
        <v>42</v>
      </c>
      <c r="H386" s="493" t="s">
        <v>1238</v>
      </c>
      <c r="I386" s="494" t="s">
        <v>3683</v>
      </c>
      <c r="J386" s="495" t="s">
        <v>1308</v>
      </c>
      <c r="K386" s="496" t="s">
        <v>641</v>
      </c>
      <c r="L386" s="497" t="e">
        <v>#REF!</v>
      </c>
      <c r="M386" s="497">
        <v>82.960000000000008</v>
      </c>
      <c r="N386" s="464"/>
      <c r="O386" s="498"/>
      <c r="P386" s="431" t="s">
        <v>6711</v>
      </c>
    </row>
    <row r="387" spans="1:16" ht="13.5" hidden="1" customHeight="1" outlineLevel="2" x14ac:dyDescent="0.2">
      <c r="A387" s="233">
        <v>0</v>
      </c>
      <c r="B387" s="233">
        <v>5</v>
      </c>
      <c r="C387" s="233">
        <v>1</v>
      </c>
      <c r="D387" s="234">
        <v>3</v>
      </c>
      <c r="E387" s="234">
        <v>0</v>
      </c>
      <c r="G387" s="450"/>
      <c r="H387" s="487" t="s">
        <v>1237</v>
      </c>
      <c r="I387" s="488" t="s">
        <v>3684</v>
      </c>
      <c r="J387" s="489" t="s">
        <v>1250</v>
      </c>
      <c r="K387" s="490"/>
      <c r="L387" s="491"/>
      <c r="M387" s="491"/>
      <c r="N387" s="456"/>
      <c r="O387" s="492"/>
      <c r="P387" s="430"/>
    </row>
    <row r="388" spans="1:16" ht="13.5" hidden="1" customHeight="1" outlineLevel="3" x14ac:dyDescent="0.2">
      <c r="A388" s="233">
        <v>0</v>
      </c>
      <c r="B388" s="233">
        <v>5</v>
      </c>
      <c r="C388" s="233">
        <v>1</v>
      </c>
      <c r="D388" s="234">
        <v>3</v>
      </c>
      <c r="E388" s="234">
        <v>1</v>
      </c>
      <c r="G388" s="458" t="s">
        <v>42</v>
      </c>
      <c r="H388" s="493" t="s">
        <v>1238</v>
      </c>
      <c r="I388" s="494" t="s">
        <v>3685</v>
      </c>
      <c r="J388" s="495" t="s">
        <v>1251</v>
      </c>
      <c r="K388" s="496" t="s">
        <v>787</v>
      </c>
      <c r="L388" s="497" t="e">
        <v>#REF!</v>
      </c>
      <c r="M388" s="497">
        <v>14.787500000000001</v>
      </c>
      <c r="N388" s="464"/>
      <c r="O388" s="498"/>
      <c r="P388" s="431" t="s">
        <v>6711</v>
      </c>
    </row>
    <row r="389" spans="1:16" ht="13.5" hidden="1" customHeight="1" outlineLevel="3" x14ac:dyDescent="0.2">
      <c r="A389" s="233">
        <v>0</v>
      </c>
      <c r="B389" s="233">
        <v>5</v>
      </c>
      <c r="C389" s="233">
        <v>1</v>
      </c>
      <c r="D389" s="234">
        <v>3</v>
      </c>
      <c r="E389" s="234">
        <v>2</v>
      </c>
      <c r="G389" s="458" t="s">
        <v>42</v>
      </c>
      <c r="H389" s="493" t="s">
        <v>1238</v>
      </c>
      <c r="I389" s="494" t="s">
        <v>3686</v>
      </c>
      <c r="J389" s="495" t="s">
        <v>392</v>
      </c>
      <c r="K389" s="496" t="s">
        <v>533</v>
      </c>
      <c r="L389" s="497" t="e">
        <v>#REF!</v>
      </c>
      <c r="M389" s="497">
        <v>4.1071999999999997</v>
      </c>
      <c r="N389" s="464"/>
      <c r="O389" s="498"/>
      <c r="P389" s="431" t="s">
        <v>6711</v>
      </c>
    </row>
    <row r="390" spans="1:16" ht="13.5" hidden="1" customHeight="1" outlineLevel="3" x14ac:dyDescent="0.2">
      <c r="A390" s="233">
        <v>0</v>
      </c>
      <c r="B390" s="233">
        <v>5</v>
      </c>
      <c r="C390" s="233">
        <v>1</v>
      </c>
      <c r="D390" s="234">
        <v>3</v>
      </c>
      <c r="E390" s="234">
        <v>3</v>
      </c>
      <c r="G390" s="458" t="s">
        <v>42</v>
      </c>
      <c r="H390" s="493" t="s">
        <v>1238</v>
      </c>
      <c r="I390" s="494" t="s">
        <v>3687</v>
      </c>
      <c r="J390" s="495" t="s">
        <v>396</v>
      </c>
      <c r="K390" s="496" t="s">
        <v>787</v>
      </c>
      <c r="L390" s="497" t="e">
        <v>#REF!</v>
      </c>
      <c r="M390" s="497">
        <v>79.403675710539517</v>
      </c>
      <c r="N390" s="464"/>
      <c r="O390" s="498"/>
      <c r="P390" s="431" t="s">
        <v>6711</v>
      </c>
    </row>
    <row r="391" spans="1:16" ht="13.5" hidden="1" customHeight="1" outlineLevel="2" x14ac:dyDescent="0.2">
      <c r="A391" s="233">
        <v>0</v>
      </c>
      <c r="B391" s="233">
        <v>5</v>
      </c>
      <c r="C391" s="233">
        <v>1</v>
      </c>
      <c r="D391" s="234">
        <v>4</v>
      </c>
      <c r="E391" s="234">
        <v>0</v>
      </c>
      <c r="G391" s="450"/>
      <c r="H391" s="487" t="s">
        <v>1237</v>
      </c>
      <c r="I391" s="488" t="s">
        <v>3688</v>
      </c>
      <c r="J391" s="489" t="s">
        <v>1312</v>
      </c>
      <c r="K391" s="490"/>
      <c r="L391" s="491"/>
      <c r="M391" s="491"/>
      <c r="N391" s="456"/>
      <c r="O391" s="492"/>
      <c r="P391" s="430"/>
    </row>
    <row r="392" spans="1:16" ht="13.5" hidden="1" customHeight="1" outlineLevel="3" x14ac:dyDescent="0.2">
      <c r="A392" s="233">
        <v>0</v>
      </c>
      <c r="B392" s="233">
        <v>5</v>
      </c>
      <c r="C392" s="233">
        <v>1</v>
      </c>
      <c r="D392" s="234">
        <v>4</v>
      </c>
      <c r="E392" s="234">
        <v>1</v>
      </c>
      <c r="G392" s="458" t="s">
        <v>42</v>
      </c>
      <c r="H392" s="493" t="s">
        <v>1238</v>
      </c>
      <c r="I392" s="494" t="s">
        <v>3689</v>
      </c>
      <c r="J392" s="461" t="s">
        <v>2874</v>
      </c>
      <c r="K392" s="462" t="s">
        <v>641</v>
      </c>
      <c r="L392" s="463" t="e">
        <v>#REF!</v>
      </c>
      <c r="M392" s="497">
        <v>103.175377</v>
      </c>
      <c r="N392" s="464"/>
      <c r="O392" s="498"/>
      <c r="P392" s="431" t="s">
        <v>6711</v>
      </c>
    </row>
    <row r="393" spans="1:16" ht="13.5" hidden="1" customHeight="1" outlineLevel="3" x14ac:dyDescent="0.2">
      <c r="A393" s="233">
        <v>0</v>
      </c>
      <c r="B393" s="233">
        <v>5</v>
      </c>
      <c r="C393" s="233">
        <v>1</v>
      </c>
      <c r="D393" s="234">
        <v>4</v>
      </c>
      <c r="E393" s="234">
        <v>2</v>
      </c>
      <c r="G393" s="458" t="s">
        <v>42</v>
      </c>
      <c r="H393" s="493" t="s">
        <v>1238</v>
      </c>
      <c r="I393" s="494" t="s">
        <v>3690</v>
      </c>
      <c r="J393" s="461" t="s">
        <v>2875</v>
      </c>
      <c r="K393" s="462" t="s">
        <v>641</v>
      </c>
      <c r="L393" s="463" t="e">
        <v>#REF!</v>
      </c>
      <c r="M393" s="497">
        <v>95.867556999999991</v>
      </c>
      <c r="N393" s="464"/>
      <c r="O393" s="498"/>
      <c r="P393" s="431" t="s">
        <v>6711</v>
      </c>
    </row>
    <row r="394" spans="1:16" ht="13.5" hidden="1" customHeight="1" outlineLevel="3" x14ac:dyDescent="0.2">
      <c r="A394" s="233">
        <v>0</v>
      </c>
      <c r="B394" s="233">
        <v>5</v>
      </c>
      <c r="C394" s="233">
        <v>1</v>
      </c>
      <c r="D394" s="234">
        <v>4</v>
      </c>
      <c r="E394" s="234">
        <v>3</v>
      </c>
      <c r="G394" s="458" t="s">
        <v>42</v>
      </c>
      <c r="H394" s="493" t="s">
        <v>1238</v>
      </c>
      <c r="I394" s="494" t="s">
        <v>3691</v>
      </c>
      <c r="J394" s="461" t="s">
        <v>2879</v>
      </c>
      <c r="K394" s="462" t="s">
        <v>641</v>
      </c>
      <c r="L394" s="463" t="e">
        <v>#REF!</v>
      </c>
      <c r="M394" s="497">
        <v>165.70309900000001</v>
      </c>
      <c r="N394" s="464"/>
      <c r="O394" s="498"/>
      <c r="P394" s="431" t="s">
        <v>6711</v>
      </c>
    </row>
    <row r="395" spans="1:16" ht="13.5" hidden="1" customHeight="1" outlineLevel="2" x14ac:dyDescent="0.2">
      <c r="A395" s="233">
        <v>0</v>
      </c>
      <c r="B395" s="233">
        <v>5</v>
      </c>
      <c r="C395" s="233">
        <v>1</v>
      </c>
      <c r="D395" s="234">
        <v>5</v>
      </c>
      <c r="E395" s="234">
        <v>0</v>
      </c>
      <c r="G395" s="450"/>
      <c r="H395" s="487" t="s">
        <v>1237</v>
      </c>
      <c r="I395" s="488" t="s">
        <v>3692</v>
      </c>
      <c r="J395" s="489" t="s">
        <v>14</v>
      </c>
      <c r="K395" s="490"/>
      <c r="L395" s="491"/>
      <c r="M395" s="491"/>
      <c r="N395" s="456"/>
      <c r="O395" s="492"/>
      <c r="P395" s="430"/>
    </row>
    <row r="396" spans="1:16" ht="13.5" hidden="1" customHeight="1" outlineLevel="3" x14ac:dyDescent="0.2">
      <c r="A396" s="233">
        <v>0</v>
      </c>
      <c r="B396" s="233">
        <v>5</v>
      </c>
      <c r="C396" s="233">
        <v>1</v>
      </c>
      <c r="D396" s="234">
        <v>5</v>
      </c>
      <c r="E396" s="234">
        <v>1</v>
      </c>
      <c r="G396" s="458" t="s">
        <v>42</v>
      </c>
      <c r="H396" s="493" t="s">
        <v>1238</v>
      </c>
      <c r="I396" s="494" t="s">
        <v>3693</v>
      </c>
      <c r="J396" s="495" t="s">
        <v>431</v>
      </c>
      <c r="K396" s="496" t="s">
        <v>641</v>
      </c>
      <c r="L396" s="497" t="e">
        <v>#REF!</v>
      </c>
      <c r="M396" s="497">
        <v>47</v>
      </c>
      <c r="N396" s="464"/>
      <c r="O396" s="498"/>
      <c r="P396" s="431" t="s">
        <v>6711</v>
      </c>
    </row>
    <row r="397" spans="1:16" ht="13.5" hidden="1" customHeight="1" outlineLevel="3" x14ac:dyDescent="0.2">
      <c r="A397" s="233">
        <v>0</v>
      </c>
      <c r="B397" s="233">
        <v>5</v>
      </c>
      <c r="C397" s="233">
        <v>1</v>
      </c>
      <c r="D397" s="234">
        <v>5</v>
      </c>
      <c r="E397" s="234">
        <v>2</v>
      </c>
      <c r="G397" s="458" t="s">
        <v>42</v>
      </c>
      <c r="H397" s="493" t="s">
        <v>1238</v>
      </c>
      <c r="I397" s="494" t="s">
        <v>3694</v>
      </c>
      <c r="J397" s="495" t="s">
        <v>433</v>
      </c>
      <c r="K397" s="496" t="s">
        <v>641</v>
      </c>
      <c r="L397" s="497" t="e">
        <v>#REF!</v>
      </c>
      <c r="M397" s="497">
        <v>47</v>
      </c>
      <c r="N397" s="464"/>
      <c r="O397" s="498"/>
      <c r="P397" s="431" t="s">
        <v>6711</v>
      </c>
    </row>
    <row r="398" spans="1:16" ht="13.5" hidden="1" customHeight="1" outlineLevel="3" x14ac:dyDescent="0.2">
      <c r="A398" s="233">
        <v>0</v>
      </c>
      <c r="B398" s="233">
        <v>5</v>
      </c>
      <c r="C398" s="233">
        <v>1</v>
      </c>
      <c r="D398" s="234">
        <v>5</v>
      </c>
      <c r="E398" s="234">
        <v>3</v>
      </c>
      <c r="G398" s="458" t="s">
        <v>42</v>
      </c>
      <c r="H398" s="493" t="s">
        <v>1238</v>
      </c>
      <c r="I398" s="494" t="s">
        <v>3695</v>
      </c>
      <c r="J398" s="461" t="s">
        <v>2885</v>
      </c>
      <c r="K398" s="496" t="s">
        <v>641</v>
      </c>
      <c r="L398" s="463" t="e">
        <v>#REF!</v>
      </c>
      <c r="M398" s="497" t="e">
        <v>#REF!</v>
      </c>
      <c r="N398" s="464"/>
      <c r="O398" s="465"/>
      <c r="P398" s="431" t="s">
        <v>6711</v>
      </c>
    </row>
    <row r="399" spans="1:16" ht="13.5" hidden="1" customHeight="1" outlineLevel="1" x14ac:dyDescent="0.2">
      <c r="A399" s="233">
        <v>0</v>
      </c>
      <c r="B399" s="233">
        <v>5</v>
      </c>
      <c r="C399" s="233">
        <v>2</v>
      </c>
      <c r="D399" s="234">
        <v>0</v>
      </c>
      <c r="E399" s="234">
        <v>3</v>
      </c>
      <c r="G399" s="443"/>
      <c r="H399" s="481" t="s">
        <v>38</v>
      </c>
      <c r="I399" s="482" t="s">
        <v>3696</v>
      </c>
      <c r="J399" s="483" t="s">
        <v>2304</v>
      </c>
      <c r="K399" s="484"/>
      <c r="L399" s="485"/>
      <c r="M399" s="485"/>
      <c r="N399" s="449"/>
      <c r="O399" s="486"/>
      <c r="P399" s="429"/>
    </row>
    <row r="400" spans="1:16" ht="13.5" hidden="1" customHeight="1" outlineLevel="2" x14ac:dyDescent="0.2">
      <c r="A400" s="233">
        <v>0</v>
      </c>
      <c r="B400" s="233">
        <v>5</v>
      </c>
      <c r="C400" s="233">
        <v>2</v>
      </c>
      <c r="D400" s="234">
        <v>1</v>
      </c>
      <c r="E400" s="234">
        <v>0</v>
      </c>
      <c r="G400" s="450"/>
      <c r="H400" s="487" t="s">
        <v>1237</v>
      </c>
      <c r="I400" s="488" t="s">
        <v>3697</v>
      </c>
      <c r="J400" s="489" t="s">
        <v>2288</v>
      </c>
      <c r="K400" s="490"/>
      <c r="L400" s="491"/>
      <c r="M400" s="491"/>
      <c r="N400" s="456"/>
      <c r="O400" s="492"/>
      <c r="P400" s="430"/>
    </row>
    <row r="401" spans="1:16" ht="13.5" hidden="1" customHeight="1" outlineLevel="3" x14ac:dyDescent="0.2">
      <c r="A401" s="233">
        <v>0</v>
      </c>
      <c r="B401" s="233">
        <v>5</v>
      </c>
      <c r="C401" s="233">
        <v>2</v>
      </c>
      <c r="D401" s="234">
        <v>1</v>
      </c>
      <c r="E401" s="234">
        <v>1</v>
      </c>
      <c r="G401" s="458" t="s">
        <v>42</v>
      </c>
      <c r="H401" s="493" t="s">
        <v>1238</v>
      </c>
      <c r="I401" s="494" t="s">
        <v>3698</v>
      </c>
      <c r="J401" s="495" t="s">
        <v>2283</v>
      </c>
      <c r="K401" s="496" t="s">
        <v>641</v>
      </c>
      <c r="L401" s="497" t="e">
        <v>#REF!</v>
      </c>
      <c r="M401" s="497">
        <v>35.099999999999994</v>
      </c>
      <c r="N401" s="464"/>
      <c r="O401" s="498"/>
      <c r="P401" s="431" t="s">
        <v>6711</v>
      </c>
    </row>
    <row r="402" spans="1:16" ht="13.5" hidden="1" customHeight="1" outlineLevel="2" x14ac:dyDescent="0.2">
      <c r="A402" s="233">
        <v>0</v>
      </c>
      <c r="B402" s="233">
        <v>5</v>
      </c>
      <c r="C402" s="233">
        <v>2</v>
      </c>
      <c r="D402" s="234">
        <v>2</v>
      </c>
      <c r="E402" s="234">
        <v>0</v>
      </c>
      <c r="G402" s="450"/>
      <c r="H402" s="487" t="s">
        <v>1237</v>
      </c>
      <c r="I402" s="488" t="s">
        <v>3699</v>
      </c>
      <c r="J402" s="489" t="s">
        <v>1295</v>
      </c>
      <c r="K402" s="490"/>
      <c r="L402" s="491"/>
      <c r="M402" s="491"/>
      <c r="N402" s="456"/>
      <c r="O402" s="492"/>
      <c r="P402" s="430"/>
    </row>
    <row r="403" spans="1:16" ht="13.5" hidden="1" customHeight="1" outlineLevel="3" x14ac:dyDescent="0.2">
      <c r="A403" s="233">
        <v>0</v>
      </c>
      <c r="B403" s="233">
        <v>5</v>
      </c>
      <c r="C403" s="233">
        <v>2</v>
      </c>
      <c r="D403" s="234">
        <v>2</v>
      </c>
      <c r="E403" s="234">
        <v>1</v>
      </c>
      <c r="G403" s="458" t="s">
        <v>42</v>
      </c>
      <c r="H403" s="493" t="s">
        <v>1238</v>
      </c>
      <c r="I403" s="494" t="s">
        <v>3700</v>
      </c>
      <c r="J403" s="495" t="s">
        <v>1308</v>
      </c>
      <c r="K403" s="496" t="s">
        <v>641</v>
      </c>
      <c r="L403" s="497" t="e">
        <v>#REF!</v>
      </c>
      <c r="M403" s="497">
        <v>82.960000000000008</v>
      </c>
      <c r="N403" s="464"/>
      <c r="O403" s="498"/>
      <c r="P403" s="431" t="s">
        <v>6711</v>
      </c>
    </row>
    <row r="404" spans="1:16" ht="13.5" hidden="1" customHeight="1" outlineLevel="2" x14ac:dyDescent="0.2">
      <c r="A404" s="233">
        <v>0</v>
      </c>
      <c r="B404" s="233">
        <v>5</v>
      </c>
      <c r="C404" s="233">
        <v>2</v>
      </c>
      <c r="D404" s="234">
        <v>3</v>
      </c>
      <c r="E404" s="234">
        <v>0</v>
      </c>
      <c r="G404" s="450"/>
      <c r="H404" s="487" t="s">
        <v>1237</v>
      </c>
      <c r="I404" s="488" t="s">
        <v>3701</v>
      </c>
      <c r="J404" s="489" t="s">
        <v>1250</v>
      </c>
      <c r="K404" s="490"/>
      <c r="L404" s="491"/>
      <c r="M404" s="491"/>
      <c r="N404" s="456"/>
      <c r="O404" s="492"/>
      <c r="P404" s="430"/>
    </row>
    <row r="405" spans="1:16" ht="13.5" hidden="1" customHeight="1" outlineLevel="3" x14ac:dyDescent="0.2">
      <c r="A405" s="233">
        <v>0</v>
      </c>
      <c r="B405" s="233">
        <v>5</v>
      </c>
      <c r="C405" s="233">
        <v>2</v>
      </c>
      <c r="D405" s="234">
        <v>3</v>
      </c>
      <c r="E405" s="234">
        <v>1</v>
      </c>
      <c r="G405" s="458" t="s">
        <v>42</v>
      </c>
      <c r="H405" s="493" t="s">
        <v>1238</v>
      </c>
      <c r="I405" s="494" t="s">
        <v>3702</v>
      </c>
      <c r="J405" s="495" t="s">
        <v>1251</v>
      </c>
      <c r="K405" s="496" t="s">
        <v>787</v>
      </c>
      <c r="L405" s="497" t="e">
        <v>#REF!</v>
      </c>
      <c r="M405" s="497">
        <v>14.787500000000001</v>
      </c>
      <c r="N405" s="464"/>
      <c r="O405" s="498"/>
      <c r="P405" s="431" t="s">
        <v>6711</v>
      </c>
    </row>
    <row r="406" spans="1:16" ht="13.5" hidden="1" customHeight="1" outlineLevel="3" x14ac:dyDescent="0.2">
      <c r="A406" s="233">
        <v>0</v>
      </c>
      <c r="B406" s="233">
        <v>5</v>
      </c>
      <c r="C406" s="233">
        <v>2</v>
      </c>
      <c r="D406" s="234">
        <v>3</v>
      </c>
      <c r="E406" s="234">
        <v>2</v>
      </c>
      <c r="G406" s="458" t="s">
        <v>42</v>
      </c>
      <c r="H406" s="493" t="s">
        <v>1238</v>
      </c>
      <c r="I406" s="494" t="s">
        <v>3703</v>
      </c>
      <c r="J406" s="495" t="s">
        <v>392</v>
      </c>
      <c r="K406" s="496" t="s">
        <v>533</v>
      </c>
      <c r="L406" s="497" t="e">
        <v>#REF!</v>
      </c>
      <c r="M406" s="497">
        <v>4.1071999999999997</v>
      </c>
      <c r="N406" s="464"/>
      <c r="O406" s="498"/>
      <c r="P406" s="431" t="s">
        <v>6711</v>
      </c>
    </row>
    <row r="407" spans="1:16" ht="13.5" hidden="1" customHeight="1" outlineLevel="3" x14ac:dyDescent="0.2">
      <c r="A407" s="233">
        <v>0</v>
      </c>
      <c r="B407" s="233">
        <v>5</v>
      </c>
      <c r="C407" s="233">
        <v>2</v>
      </c>
      <c r="D407" s="234">
        <v>3</v>
      </c>
      <c r="E407" s="234">
        <v>3</v>
      </c>
      <c r="G407" s="458" t="s">
        <v>42</v>
      </c>
      <c r="H407" s="493" t="s">
        <v>1238</v>
      </c>
      <c r="I407" s="494" t="s">
        <v>3704</v>
      </c>
      <c r="J407" s="495" t="s">
        <v>396</v>
      </c>
      <c r="K407" s="496" t="s">
        <v>787</v>
      </c>
      <c r="L407" s="497" t="e">
        <v>#REF!</v>
      </c>
      <c r="M407" s="497">
        <v>79.403675710539517</v>
      </c>
      <c r="N407" s="464"/>
      <c r="O407" s="498"/>
      <c r="P407" s="431" t="s">
        <v>6711</v>
      </c>
    </row>
    <row r="408" spans="1:16" ht="13.5" hidden="1" customHeight="1" outlineLevel="2" x14ac:dyDescent="0.2">
      <c r="A408" s="233">
        <v>0</v>
      </c>
      <c r="B408" s="233">
        <v>5</v>
      </c>
      <c r="C408" s="233">
        <v>2</v>
      </c>
      <c r="D408" s="234">
        <v>4</v>
      </c>
      <c r="E408" s="234">
        <v>0</v>
      </c>
      <c r="G408" s="450"/>
      <c r="H408" s="487" t="s">
        <v>1237</v>
      </c>
      <c r="I408" s="488" t="s">
        <v>3705</v>
      </c>
      <c r="J408" s="489" t="s">
        <v>1312</v>
      </c>
      <c r="K408" s="490"/>
      <c r="L408" s="491"/>
      <c r="M408" s="491"/>
      <c r="N408" s="456"/>
      <c r="O408" s="492"/>
      <c r="P408" s="430"/>
    </row>
    <row r="409" spans="1:16" ht="13.5" hidden="1" customHeight="1" outlineLevel="3" x14ac:dyDescent="0.2">
      <c r="A409" s="233">
        <v>0</v>
      </c>
      <c r="B409" s="233">
        <v>5</v>
      </c>
      <c r="C409" s="233">
        <v>2</v>
      </c>
      <c r="D409" s="234">
        <v>4</v>
      </c>
      <c r="E409" s="234">
        <v>1</v>
      </c>
      <c r="G409" s="458" t="s">
        <v>42</v>
      </c>
      <c r="H409" s="493" t="s">
        <v>1238</v>
      </c>
      <c r="I409" s="494" t="s">
        <v>3706</v>
      </c>
      <c r="J409" s="461" t="s">
        <v>2875</v>
      </c>
      <c r="K409" s="462" t="s">
        <v>641</v>
      </c>
      <c r="L409" s="463" t="e">
        <v>#REF!</v>
      </c>
      <c r="M409" s="497">
        <v>95.867556999999991</v>
      </c>
      <c r="N409" s="464"/>
      <c r="O409" s="498"/>
      <c r="P409" s="431" t="s">
        <v>6711</v>
      </c>
    </row>
    <row r="410" spans="1:16" ht="13.5" hidden="1" customHeight="1" outlineLevel="3" x14ac:dyDescent="0.2">
      <c r="A410" s="233">
        <v>0</v>
      </c>
      <c r="B410" s="233">
        <v>5</v>
      </c>
      <c r="C410" s="233">
        <v>2</v>
      </c>
      <c r="D410" s="234">
        <v>4</v>
      </c>
      <c r="E410" s="234">
        <v>2</v>
      </c>
      <c r="G410" s="458" t="s">
        <v>42</v>
      </c>
      <c r="H410" s="493" t="s">
        <v>1238</v>
      </c>
      <c r="I410" s="494" t="s">
        <v>3707</v>
      </c>
      <c r="J410" s="461" t="s">
        <v>2876</v>
      </c>
      <c r="K410" s="462" t="s">
        <v>641</v>
      </c>
      <c r="L410" s="463" t="e">
        <v>#REF!</v>
      </c>
      <c r="M410" s="497">
        <v>96.523220999999992</v>
      </c>
      <c r="N410" s="464"/>
      <c r="O410" s="498"/>
      <c r="P410" s="431" t="s">
        <v>6711</v>
      </c>
    </row>
    <row r="411" spans="1:16" ht="13.5" hidden="1" customHeight="1" outlineLevel="3" x14ac:dyDescent="0.2">
      <c r="A411" s="233">
        <v>0</v>
      </c>
      <c r="B411" s="233">
        <v>5</v>
      </c>
      <c r="C411" s="233">
        <v>2</v>
      </c>
      <c r="D411" s="234">
        <v>4</v>
      </c>
      <c r="E411" s="234">
        <v>3</v>
      </c>
      <c r="G411" s="458" t="s">
        <v>42</v>
      </c>
      <c r="H411" s="493" t="s">
        <v>1238</v>
      </c>
      <c r="I411" s="494" t="s">
        <v>3708</v>
      </c>
      <c r="J411" s="461" t="s">
        <v>2879</v>
      </c>
      <c r="K411" s="462" t="s">
        <v>641</v>
      </c>
      <c r="L411" s="463" t="e">
        <v>#REF!</v>
      </c>
      <c r="M411" s="497">
        <v>165.70309900000001</v>
      </c>
      <c r="N411" s="464"/>
      <c r="O411" s="498"/>
      <c r="P411" s="431" t="s">
        <v>6711</v>
      </c>
    </row>
    <row r="412" spans="1:16" ht="13.5" hidden="1" customHeight="1" outlineLevel="2" x14ac:dyDescent="0.2">
      <c r="A412" s="233">
        <v>0</v>
      </c>
      <c r="B412" s="233">
        <v>5</v>
      </c>
      <c r="C412" s="233">
        <v>2</v>
      </c>
      <c r="D412" s="234">
        <v>5</v>
      </c>
      <c r="E412" s="234">
        <v>0</v>
      </c>
      <c r="G412" s="450"/>
      <c r="H412" s="487" t="s">
        <v>1237</v>
      </c>
      <c r="I412" s="488" t="s">
        <v>3709</v>
      </c>
      <c r="J412" s="489" t="s">
        <v>14</v>
      </c>
      <c r="K412" s="490"/>
      <c r="L412" s="491"/>
      <c r="M412" s="491"/>
      <c r="N412" s="456"/>
      <c r="O412" s="492"/>
      <c r="P412" s="430"/>
    </row>
    <row r="413" spans="1:16" ht="13.5" hidden="1" customHeight="1" outlineLevel="3" x14ac:dyDescent="0.2">
      <c r="A413" s="233">
        <v>0</v>
      </c>
      <c r="B413" s="233">
        <v>5</v>
      </c>
      <c r="C413" s="233">
        <v>2</v>
      </c>
      <c r="D413" s="234">
        <v>5</v>
      </c>
      <c r="E413" s="234">
        <v>1</v>
      </c>
      <c r="G413" s="458" t="s">
        <v>42</v>
      </c>
      <c r="H413" s="493" t="s">
        <v>1238</v>
      </c>
      <c r="I413" s="494" t="s">
        <v>3710</v>
      </c>
      <c r="J413" s="495" t="s">
        <v>431</v>
      </c>
      <c r="K413" s="496" t="s">
        <v>641</v>
      </c>
      <c r="L413" s="497" t="e">
        <v>#REF!</v>
      </c>
      <c r="M413" s="497">
        <v>47</v>
      </c>
      <c r="N413" s="464"/>
      <c r="O413" s="498"/>
      <c r="P413" s="431" t="s">
        <v>6711</v>
      </c>
    </row>
    <row r="414" spans="1:16" ht="13.5" hidden="1" customHeight="1" outlineLevel="3" x14ac:dyDescent="0.2">
      <c r="A414" s="233">
        <v>0</v>
      </c>
      <c r="B414" s="233">
        <v>5</v>
      </c>
      <c r="C414" s="233">
        <v>2</v>
      </c>
      <c r="D414" s="234">
        <v>5</v>
      </c>
      <c r="E414" s="234">
        <v>2</v>
      </c>
      <c r="G414" s="458" t="s">
        <v>42</v>
      </c>
      <c r="H414" s="493" t="s">
        <v>1238</v>
      </c>
      <c r="I414" s="494" t="s">
        <v>3711</v>
      </c>
      <c r="J414" s="495" t="s">
        <v>433</v>
      </c>
      <c r="K414" s="496" t="s">
        <v>641</v>
      </c>
      <c r="L414" s="497" t="e">
        <v>#REF!</v>
      </c>
      <c r="M414" s="497">
        <v>47</v>
      </c>
      <c r="N414" s="464"/>
      <c r="O414" s="498"/>
      <c r="P414" s="431" t="s">
        <v>6711</v>
      </c>
    </row>
    <row r="415" spans="1:16" ht="13.5" hidden="1" customHeight="1" outlineLevel="3" x14ac:dyDescent="0.2">
      <c r="A415" s="233">
        <v>0</v>
      </c>
      <c r="B415" s="233">
        <v>5</v>
      </c>
      <c r="C415" s="233">
        <v>2</v>
      </c>
      <c r="D415" s="234">
        <v>5</v>
      </c>
      <c r="E415" s="234">
        <v>3</v>
      </c>
      <c r="G415" s="458" t="s">
        <v>42</v>
      </c>
      <c r="H415" s="493" t="s">
        <v>1238</v>
      </c>
      <c r="I415" s="494" t="s">
        <v>3712</v>
      </c>
      <c r="J415" s="461" t="s">
        <v>2885</v>
      </c>
      <c r="K415" s="496" t="s">
        <v>641</v>
      </c>
      <c r="L415" s="463" t="e">
        <v>#REF!</v>
      </c>
      <c r="M415" s="497" t="e">
        <v>#REF!</v>
      </c>
      <c r="N415" s="464"/>
      <c r="O415" s="498"/>
      <c r="P415" s="431" t="s">
        <v>6711</v>
      </c>
    </row>
    <row r="416" spans="1:16" ht="13.5" hidden="1" customHeight="1" outlineLevel="1" x14ac:dyDescent="0.2">
      <c r="A416" s="233">
        <v>0</v>
      </c>
      <c r="B416" s="233">
        <v>5</v>
      </c>
      <c r="C416" s="233">
        <v>3</v>
      </c>
      <c r="D416" s="234">
        <v>0</v>
      </c>
      <c r="E416" s="234">
        <v>3</v>
      </c>
      <c r="G416" s="443"/>
      <c r="H416" s="481" t="s">
        <v>38</v>
      </c>
      <c r="I416" s="482" t="s">
        <v>3713</v>
      </c>
      <c r="J416" s="483" t="s">
        <v>2305</v>
      </c>
      <c r="K416" s="484"/>
      <c r="L416" s="485"/>
      <c r="M416" s="485"/>
      <c r="N416" s="449"/>
      <c r="O416" s="486"/>
      <c r="P416" s="429"/>
    </row>
    <row r="417" spans="1:16" ht="13.5" hidden="1" customHeight="1" outlineLevel="2" x14ac:dyDescent="0.2">
      <c r="A417" s="233">
        <v>0</v>
      </c>
      <c r="B417" s="233">
        <v>5</v>
      </c>
      <c r="C417" s="233">
        <v>3</v>
      </c>
      <c r="D417" s="234">
        <v>1</v>
      </c>
      <c r="E417" s="234">
        <v>0</v>
      </c>
      <c r="G417" s="450"/>
      <c r="H417" s="487" t="s">
        <v>1237</v>
      </c>
      <c r="I417" s="488" t="s">
        <v>3714</v>
      </c>
      <c r="J417" s="489" t="s">
        <v>2288</v>
      </c>
      <c r="K417" s="490"/>
      <c r="L417" s="491"/>
      <c r="M417" s="491"/>
      <c r="N417" s="456"/>
      <c r="O417" s="492"/>
      <c r="P417" s="430"/>
    </row>
    <row r="418" spans="1:16" ht="13.5" hidden="1" customHeight="1" outlineLevel="3" x14ac:dyDescent="0.2">
      <c r="A418" s="233">
        <v>0</v>
      </c>
      <c r="B418" s="233">
        <v>5</v>
      </c>
      <c r="C418" s="233">
        <v>3</v>
      </c>
      <c r="D418" s="234">
        <v>1</v>
      </c>
      <c r="E418" s="234">
        <v>1</v>
      </c>
      <c r="G418" s="458" t="s">
        <v>42</v>
      </c>
      <c r="H418" s="493" t="s">
        <v>1238</v>
      </c>
      <c r="I418" s="494" t="s">
        <v>3715</v>
      </c>
      <c r="J418" s="495" t="s">
        <v>2283</v>
      </c>
      <c r="K418" s="496" t="s">
        <v>641</v>
      </c>
      <c r="L418" s="497" t="e">
        <v>#REF!</v>
      </c>
      <c r="M418" s="497">
        <v>35.099999999999994</v>
      </c>
      <c r="N418" s="464"/>
      <c r="O418" s="498"/>
      <c r="P418" s="431" t="s">
        <v>6711</v>
      </c>
    </row>
    <row r="419" spans="1:16" ht="13.5" hidden="1" customHeight="1" outlineLevel="2" x14ac:dyDescent="0.2">
      <c r="A419" s="233">
        <v>0</v>
      </c>
      <c r="B419" s="233">
        <v>5</v>
      </c>
      <c r="C419" s="233">
        <v>3</v>
      </c>
      <c r="D419" s="234">
        <v>2</v>
      </c>
      <c r="E419" s="234">
        <v>0</v>
      </c>
      <c r="G419" s="450"/>
      <c r="H419" s="487" t="s">
        <v>1237</v>
      </c>
      <c r="I419" s="488" t="s">
        <v>3716</v>
      </c>
      <c r="J419" s="489" t="s">
        <v>1295</v>
      </c>
      <c r="K419" s="490"/>
      <c r="L419" s="491"/>
      <c r="M419" s="491"/>
      <c r="N419" s="456"/>
      <c r="O419" s="492"/>
      <c r="P419" s="430"/>
    </row>
    <row r="420" spans="1:16" ht="13.5" hidden="1" customHeight="1" outlineLevel="3" x14ac:dyDescent="0.2">
      <c r="A420" s="233">
        <v>0</v>
      </c>
      <c r="B420" s="233">
        <v>5</v>
      </c>
      <c r="C420" s="233">
        <v>3</v>
      </c>
      <c r="D420" s="234">
        <v>2</v>
      </c>
      <c r="E420" s="234">
        <v>1</v>
      </c>
      <c r="G420" s="458" t="s">
        <v>42</v>
      </c>
      <c r="H420" s="493" t="s">
        <v>1238</v>
      </c>
      <c r="I420" s="494" t="s">
        <v>3717</v>
      </c>
      <c r="J420" s="495" t="s">
        <v>1308</v>
      </c>
      <c r="K420" s="496" t="s">
        <v>641</v>
      </c>
      <c r="L420" s="497" t="e">
        <v>#REF!</v>
      </c>
      <c r="M420" s="497">
        <v>82.960000000000008</v>
      </c>
      <c r="N420" s="464"/>
      <c r="O420" s="498"/>
      <c r="P420" s="431" t="s">
        <v>6711</v>
      </c>
    </row>
    <row r="421" spans="1:16" ht="13.5" hidden="1" customHeight="1" outlineLevel="2" x14ac:dyDescent="0.2">
      <c r="A421" s="233">
        <v>0</v>
      </c>
      <c r="B421" s="233">
        <v>5</v>
      </c>
      <c r="C421" s="233">
        <v>3</v>
      </c>
      <c r="D421" s="234">
        <v>3</v>
      </c>
      <c r="E421" s="234">
        <v>0</v>
      </c>
      <c r="G421" s="450"/>
      <c r="H421" s="487" t="s">
        <v>1237</v>
      </c>
      <c r="I421" s="488" t="s">
        <v>3718</v>
      </c>
      <c r="J421" s="489" t="s">
        <v>1250</v>
      </c>
      <c r="K421" s="490"/>
      <c r="L421" s="491"/>
      <c r="M421" s="491"/>
      <c r="N421" s="456"/>
      <c r="O421" s="492"/>
      <c r="P421" s="430"/>
    </row>
    <row r="422" spans="1:16" ht="13.5" hidden="1" customHeight="1" outlineLevel="3" x14ac:dyDescent="0.2">
      <c r="A422" s="233">
        <v>0</v>
      </c>
      <c r="B422" s="233">
        <v>5</v>
      </c>
      <c r="C422" s="233">
        <v>3</v>
      </c>
      <c r="D422" s="234">
        <v>3</v>
      </c>
      <c r="E422" s="234">
        <v>1</v>
      </c>
      <c r="G422" s="458" t="s">
        <v>42</v>
      </c>
      <c r="H422" s="493" t="s">
        <v>1238</v>
      </c>
      <c r="I422" s="494" t="s">
        <v>3719</v>
      </c>
      <c r="J422" s="495" t="s">
        <v>1251</v>
      </c>
      <c r="K422" s="496" t="s">
        <v>787</v>
      </c>
      <c r="L422" s="497" t="e">
        <v>#REF!</v>
      </c>
      <c r="M422" s="497">
        <v>14.787500000000001</v>
      </c>
      <c r="N422" s="464"/>
      <c r="O422" s="498"/>
      <c r="P422" s="431" t="s">
        <v>6711</v>
      </c>
    </row>
    <row r="423" spans="1:16" ht="13.5" hidden="1" customHeight="1" outlineLevel="3" x14ac:dyDescent="0.2">
      <c r="A423" s="233">
        <v>0</v>
      </c>
      <c r="B423" s="233">
        <v>5</v>
      </c>
      <c r="C423" s="233">
        <v>3</v>
      </c>
      <c r="D423" s="234">
        <v>3</v>
      </c>
      <c r="E423" s="234">
        <v>2</v>
      </c>
      <c r="G423" s="458" t="s">
        <v>42</v>
      </c>
      <c r="H423" s="493" t="s">
        <v>1238</v>
      </c>
      <c r="I423" s="494" t="s">
        <v>3720</v>
      </c>
      <c r="J423" s="495" t="s">
        <v>392</v>
      </c>
      <c r="K423" s="496" t="s">
        <v>533</v>
      </c>
      <c r="L423" s="497" t="e">
        <v>#REF!</v>
      </c>
      <c r="M423" s="497">
        <v>4.1071999999999997</v>
      </c>
      <c r="N423" s="464"/>
      <c r="O423" s="498"/>
      <c r="P423" s="431" t="s">
        <v>6711</v>
      </c>
    </row>
    <row r="424" spans="1:16" ht="13.5" hidden="1" customHeight="1" outlineLevel="3" x14ac:dyDescent="0.2">
      <c r="A424" s="233">
        <v>0</v>
      </c>
      <c r="B424" s="233">
        <v>5</v>
      </c>
      <c r="C424" s="233">
        <v>3</v>
      </c>
      <c r="D424" s="234">
        <v>3</v>
      </c>
      <c r="E424" s="234">
        <v>3</v>
      </c>
      <c r="G424" s="458" t="s">
        <v>42</v>
      </c>
      <c r="H424" s="493" t="s">
        <v>1238</v>
      </c>
      <c r="I424" s="494" t="s">
        <v>3721</v>
      </c>
      <c r="J424" s="495" t="s">
        <v>396</v>
      </c>
      <c r="K424" s="496" t="s">
        <v>787</v>
      </c>
      <c r="L424" s="497" t="e">
        <v>#REF!</v>
      </c>
      <c r="M424" s="497">
        <v>79.403675710539517</v>
      </c>
      <c r="N424" s="464"/>
      <c r="O424" s="498"/>
      <c r="P424" s="431" t="s">
        <v>6711</v>
      </c>
    </row>
    <row r="425" spans="1:16" ht="13.5" hidden="1" customHeight="1" outlineLevel="2" x14ac:dyDescent="0.2">
      <c r="A425" s="233">
        <v>0</v>
      </c>
      <c r="B425" s="233">
        <v>5</v>
      </c>
      <c r="C425" s="233">
        <v>3</v>
      </c>
      <c r="D425" s="234">
        <v>4</v>
      </c>
      <c r="E425" s="234">
        <v>0</v>
      </c>
      <c r="G425" s="450"/>
      <c r="H425" s="487" t="s">
        <v>1237</v>
      </c>
      <c r="I425" s="488" t="s">
        <v>3722</v>
      </c>
      <c r="J425" s="489" t="s">
        <v>1312</v>
      </c>
      <c r="K425" s="490"/>
      <c r="L425" s="491"/>
      <c r="M425" s="491"/>
      <c r="N425" s="456"/>
      <c r="O425" s="492"/>
      <c r="P425" s="430"/>
    </row>
    <row r="426" spans="1:16" ht="13.5" hidden="1" customHeight="1" outlineLevel="3" x14ac:dyDescent="0.2">
      <c r="A426" s="233">
        <v>0</v>
      </c>
      <c r="B426" s="233">
        <v>5</v>
      </c>
      <c r="C426" s="233">
        <v>3</v>
      </c>
      <c r="D426" s="234">
        <v>4</v>
      </c>
      <c r="E426" s="234">
        <v>1</v>
      </c>
      <c r="G426" s="458" t="s">
        <v>42</v>
      </c>
      <c r="H426" s="493" t="s">
        <v>1238</v>
      </c>
      <c r="I426" s="494" t="s">
        <v>3723</v>
      </c>
      <c r="J426" s="461" t="s">
        <v>2875</v>
      </c>
      <c r="K426" s="496" t="s">
        <v>641</v>
      </c>
      <c r="L426" s="497" t="e">
        <v>#REF!</v>
      </c>
      <c r="M426" s="497">
        <v>95.867556999999991</v>
      </c>
      <c r="N426" s="464"/>
      <c r="O426" s="498"/>
      <c r="P426" s="431" t="s">
        <v>6711</v>
      </c>
    </row>
    <row r="427" spans="1:16" ht="13.5" hidden="1" customHeight="1" outlineLevel="3" x14ac:dyDescent="0.2">
      <c r="A427" s="233">
        <v>0</v>
      </c>
      <c r="B427" s="233">
        <v>5</v>
      </c>
      <c r="C427" s="233">
        <v>3</v>
      </c>
      <c r="D427" s="234">
        <v>4</v>
      </c>
      <c r="E427" s="234">
        <v>2</v>
      </c>
      <c r="G427" s="458" t="s">
        <v>42</v>
      </c>
      <c r="H427" s="493" t="s">
        <v>1238</v>
      </c>
      <c r="I427" s="494" t="s">
        <v>3724</v>
      </c>
      <c r="J427" s="461" t="s">
        <v>2879</v>
      </c>
      <c r="K427" s="496" t="s">
        <v>641</v>
      </c>
      <c r="L427" s="497" t="e">
        <v>#REF!</v>
      </c>
      <c r="M427" s="497">
        <v>165.70309900000001</v>
      </c>
      <c r="N427" s="464"/>
      <c r="O427" s="498"/>
      <c r="P427" s="431" t="s">
        <v>6711</v>
      </c>
    </row>
    <row r="428" spans="1:16" ht="13.5" hidden="1" customHeight="1" outlineLevel="2" x14ac:dyDescent="0.2">
      <c r="A428" s="233">
        <v>0</v>
      </c>
      <c r="B428" s="233">
        <v>5</v>
      </c>
      <c r="C428" s="233">
        <v>3</v>
      </c>
      <c r="D428" s="234">
        <v>5</v>
      </c>
      <c r="E428" s="234">
        <v>0</v>
      </c>
      <c r="G428" s="450"/>
      <c r="H428" s="487" t="s">
        <v>1237</v>
      </c>
      <c r="I428" s="488" t="s">
        <v>3725</v>
      </c>
      <c r="J428" s="489" t="s">
        <v>14</v>
      </c>
      <c r="K428" s="490"/>
      <c r="L428" s="491"/>
      <c r="M428" s="491"/>
      <c r="N428" s="456"/>
      <c r="O428" s="492"/>
      <c r="P428" s="430"/>
    </row>
    <row r="429" spans="1:16" ht="13.5" hidden="1" customHeight="1" outlineLevel="3" x14ac:dyDescent="0.2">
      <c r="A429" s="233">
        <v>0</v>
      </c>
      <c r="B429" s="233">
        <v>5</v>
      </c>
      <c r="C429" s="233">
        <v>3</v>
      </c>
      <c r="D429" s="234">
        <v>5</v>
      </c>
      <c r="E429" s="234">
        <v>1</v>
      </c>
      <c r="G429" s="458" t="s">
        <v>42</v>
      </c>
      <c r="H429" s="493" t="s">
        <v>1238</v>
      </c>
      <c r="I429" s="494" t="s">
        <v>3726</v>
      </c>
      <c r="J429" s="495" t="s">
        <v>431</v>
      </c>
      <c r="K429" s="496" t="s">
        <v>641</v>
      </c>
      <c r="L429" s="497" t="e">
        <v>#REF!</v>
      </c>
      <c r="M429" s="497">
        <v>47</v>
      </c>
      <c r="N429" s="464"/>
      <c r="O429" s="498"/>
      <c r="P429" s="431" t="s">
        <v>6711</v>
      </c>
    </row>
    <row r="430" spans="1:16" ht="13.5" hidden="1" customHeight="1" outlineLevel="3" x14ac:dyDescent="0.2">
      <c r="A430" s="233">
        <v>0</v>
      </c>
      <c r="B430" s="233">
        <v>5</v>
      </c>
      <c r="C430" s="233">
        <v>3</v>
      </c>
      <c r="D430" s="234">
        <v>5</v>
      </c>
      <c r="E430" s="234">
        <v>2</v>
      </c>
      <c r="G430" s="458" t="s">
        <v>42</v>
      </c>
      <c r="H430" s="493" t="s">
        <v>1238</v>
      </c>
      <c r="I430" s="494" t="s">
        <v>3727</v>
      </c>
      <c r="J430" s="495" t="s">
        <v>433</v>
      </c>
      <c r="K430" s="496" t="s">
        <v>641</v>
      </c>
      <c r="L430" s="497" t="e">
        <v>#REF!</v>
      </c>
      <c r="M430" s="497">
        <v>47</v>
      </c>
      <c r="N430" s="464"/>
      <c r="O430" s="498"/>
      <c r="P430" s="431" t="s">
        <v>6711</v>
      </c>
    </row>
    <row r="431" spans="1:16" ht="13.5" hidden="1" customHeight="1" outlineLevel="3" x14ac:dyDescent="0.2">
      <c r="A431" s="233">
        <v>0</v>
      </c>
      <c r="B431" s="233">
        <v>5</v>
      </c>
      <c r="C431" s="233">
        <v>3</v>
      </c>
      <c r="D431" s="234">
        <v>5</v>
      </c>
      <c r="E431" s="234">
        <v>3</v>
      </c>
      <c r="G431" s="458" t="s">
        <v>42</v>
      </c>
      <c r="H431" s="493" t="s">
        <v>1238</v>
      </c>
      <c r="I431" s="494" t="s">
        <v>3728</v>
      </c>
      <c r="J431" s="461" t="s">
        <v>2885</v>
      </c>
      <c r="K431" s="496" t="s">
        <v>641</v>
      </c>
      <c r="L431" s="463" t="e">
        <v>#REF!</v>
      </c>
      <c r="M431" s="497" t="e">
        <v>#REF!</v>
      </c>
      <c r="N431" s="464"/>
      <c r="O431" s="498"/>
      <c r="P431" s="431" t="s">
        <v>6711</v>
      </c>
    </row>
    <row r="432" spans="1:16" ht="13.5" hidden="1" customHeight="1" outlineLevel="1" x14ac:dyDescent="0.2">
      <c r="A432" s="233">
        <v>0</v>
      </c>
      <c r="B432" s="233">
        <v>5</v>
      </c>
      <c r="C432" s="233">
        <v>4</v>
      </c>
      <c r="D432" s="234">
        <v>0</v>
      </c>
      <c r="E432" s="234">
        <v>3</v>
      </c>
      <c r="G432" s="443"/>
      <c r="H432" s="481" t="s">
        <v>38</v>
      </c>
      <c r="I432" s="482" t="s">
        <v>3729</v>
      </c>
      <c r="J432" s="483" t="s">
        <v>2306</v>
      </c>
      <c r="K432" s="484"/>
      <c r="L432" s="485"/>
      <c r="M432" s="485"/>
      <c r="N432" s="449"/>
      <c r="O432" s="486"/>
      <c r="P432" s="429"/>
    </row>
    <row r="433" spans="1:16" ht="13.5" hidden="1" customHeight="1" outlineLevel="2" x14ac:dyDescent="0.2">
      <c r="A433" s="233">
        <v>0</v>
      </c>
      <c r="B433" s="233">
        <v>5</v>
      </c>
      <c r="C433" s="233">
        <v>4</v>
      </c>
      <c r="D433" s="234">
        <v>1</v>
      </c>
      <c r="E433" s="234">
        <v>0</v>
      </c>
      <c r="G433" s="450"/>
      <c r="H433" s="487" t="s">
        <v>1237</v>
      </c>
      <c r="I433" s="488" t="s">
        <v>3730</v>
      </c>
      <c r="J433" s="489" t="s">
        <v>2288</v>
      </c>
      <c r="K433" s="490"/>
      <c r="L433" s="491"/>
      <c r="M433" s="491"/>
      <c r="N433" s="456"/>
      <c r="O433" s="492"/>
      <c r="P433" s="430"/>
    </row>
    <row r="434" spans="1:16" ht="13.5" hidden="1" customHeight="1" outlineLevel="3" x14ac:dyDescent="0.2">
      <c r="A434" s="233">
        <v>0</v>
      </c>
      <c r="B434" s="233">
        <v>5</v>
      </c>
      <c r="C434" s="233">
        <v>4</v>
      </c>
      <c r="D434" s="234">
        <v>1</v>
      </c>
      <c r="E434" s="234">
        <v>1</v>
      </c>
      <c r="G434" s="458" t="s">
        <v>42</v>
      </c>
      <c r="H434" s="493" t="s">
        <v>1238</v>
      </c>
      <c r="I434" s="494" t="s">
        <v>3731</v>
      </c>
      <c r="J434" s="495" t="s">
        <v>2283</v>
      </c>
      <c r="K434" s="496" t="s">
        <v>641</v>
      </c>
      <c r="L434" s="497" t="e">
        <v>#REF!</v>
      </c>
      <c r="M434" s="497">
        <v>35.099999999999994</v>
      </c>
      <c r="N434" s="464"/>
      <c r="O434" s="498"/>
      <c r="P434" s="431" t="s">
        <v>6711</v>
      </c>
    </row>
    <row r="435" spans="1:16" ht="13.5" hidden="1" customHeight="1" outlineLevel="2" x14ac:dyDescent="0.2">
      <c r="A435" s="233">
        <v>0</v>
      </c>
      <c r="B435" s="233">
        <v>5</v>
      </c>
      <c r="C435" s="233">
        <v>4</v>
      </c>
      <c r="D435" s="234">
        <v>2</v>
      </c>
      <c r="E435" s="234">
        <v>0</v>
      </c>
      <c r="G435" s="450"/>
      <c r="H435" s="487" t="s">
        <v>1237</v>
      </c>
      <c r="I435" s="488" t="s">
        <v>3732</v>
      </c>
      <c r="J435" s="489" t="s">
        <v>1295</v>
      </c>
      <c r="K435" s="490"/>
      <c r="L435" s="491"/>
      <c r="M435" s="491"/>
      <c r="N435" s="456"/>
      <c r="O435" s="492"/>
      <c r="P435" s="430"/>
    </row>
    <row r="436" spans="1:16" ht="13.5" hidden="1" customHeight="1" outlineLevel="3" x14ac:dyDescent="0.2">
      <c r="A436" s="233">
        <v>0</v>
      </c>
      <c r="B436" s="233">
        <v>5</v>
      </c>
      <c r="C436" s="233">
        <v>4</v>
      </c>
      <c r="D436" s="234">
        <v>2</v>
      </c>
      <c r="E436" s="234">
        <v>1</v>
      </c>
      <c r="G436" s="458" t="s">
        <v>42</v>
      </c>
      <c r="H436" s="493" t="s">
        <v>1238</v>
      </c>
      <c r="I436" s="494" t="s">
        <v>3733</v>
      </c>
      <c r="J436" s="495" t="s">
        <v>1308</v>
      </c>
      <c r="K436" s="496" t="s">
        <v>641</v>
      </c>
      <c r="L436" s="497" t="e">
        <v>#REF!</v>
      </c>
      <c r="M436" s="497">
        <v>82.960000000000008</v>
      </c>
      <c r="N436" s="464"/>
      <c r="O436" s="498"/>
      <c r="P436" s="431" t="s">
        <v>6711</v>
      </c>
    </row>
    <row r="437" spans="1:16" ht="13.5" hidden="1" customHeight="1" outlineLevel="2" x14ac:dyDescent="0.2">
      <c r="A437" s="233">
        <v>0</v>
      </c>
      <c r="B437" s="233">
        <v>5</v>
      </c>
      <c r="C437" s="233">
        <v>4</v>
      </c>
      <c r="D437" s="234">
        <v>3</v>
      </c>
      <c r="E437" s="234">
        <v>0</v>
      </c>
      <c r="G437" s="450"/>
      <c r="H437" s="487" t="s">
        <v>1237</v>
      </c>
      <c r="I437" s="488" t="s">
        <v>3734</v>
      </c>
      <c r="J437" s="489" t="s">
        <v>1250</v>
      </c>
      <c r="K437" s="490"/>
      <c r="L437" s="491"/>
      <c r="M437" s="491"/>
      <c r="N437" s="456"/>
      <c r="O437" s="492"/>
      <c r="P437" s="430"/>
    </row>
    <row r="438" spans="1:16" ht="13.5" hidden="1" customHeight="1" outlineLevel="3" x14ac:dyDescent="0.2">
      <c r="A438" s="233">
        <v>0</v>
      </c>
      <c r="B438" s="233">
        <v>5</v>
      </c>
      <c r="C438" s="233">
        <v>4</v>
      </c>
      <c r="D438" s="234">
        <v>3</v>
      </c>
      <c r="E438" s="234">
        <v>1</v>
      </c>
      <c r="G438" s="458" t="s">
        <v>42</v>
      </c>
      <c r="H438" s="493" t="s">
        <v>1238</v>
      </c>
      <c r="I438" s="494" t="s">
        <v>3735</v>
      </c>
      <c r="J438" s="495" t="s">
        <v>1251</v>
      </c>
      <c r="K438" s="496" t="s">
        <v>787</v>
      </c>
      <c r="L438" s="497" t="e">
        <v>#REF!</v>
      </c>
      <c r="M438" s="497">
        <v>14.787500000000001</v>
      </c>
      <c r="N438" s="464"/>
      <c r="O438" s="498"/>
      <c r="P438" s="431" t="s">
        <v>6711</v>
      </c>
    </row>
    <row r="439" spans="1:16" ht="13.5" hidden="1" customHeight="1" outlineLevel="3" x14ac:dyDescent="0.2">
      <c r="A439" s="233">
        <v>0</v>
      </c>
      <c r="B439" s="233">
        <v>5</v>
      </c>
      <c r="C439" s="233">
        <v>4</v>
      </c>
      <c r="D439" s="234">
        <v>3</v>
      </c>
      <c r="E439" s="234">
        <v>2</v>
      </c>
      <c r="G439" s="458" t="s">
        <v>42</v>
      </c>
      <c r="H439" s="493" t="s">
        <v>1238</v>
      </c>
      <c r="I439" s="494" t="s">
        <v>3736</v>
      </c>
      <c r="J439" s="495" t="s">
        <v>392</v>
      </c>
      <c r="K439" s="496" t="s">
        <v>533</v>
      </c>
      <c r="L439" s="497" t="e">
        <v>#REF!</v>
      </c>
      <c r="M439" s="497">
        <v>4.1071999999999997</v>
      </c>
      <c r="N439" s="464"/>
      <c r="O439" s="498"/>
      <c r="P439" s="431" t="s">
        <v>6711</v>
      </c>
    </row>
    <row r="440" spans="1:16" ht="13.5" hidden="1" customHeight="1" outlineLevel="3" x14ac:dyDescent="0.2">
      <c r="A440" s="233">
        <v>0</v>
      </c>
      <c r="B440" s="233">
        <v>5</v>
      </c>
      <c r="C440" s="233">
        <v>4</v>
      </c>
      <c r="D440" s="234">
        <v>3</v>
      </c>
      <c r="E440" s="234">
        <v>3</v>
      </c>
      <c r="G440" s="458" t="s">
        <v>42</v>
      </c>
      <c r="H440" s="493" t="s">
        <v>1238</v>
      </c>
      <c r="I440" s="494" t="s">
        <v>3737</v>
      </c>
      <c r="J440" s="495" t="s">
        <v>396</v>
      </c>
      <c r="K440" s="496" t="s">
        <v>787</v>
      </c>
      <c r="L440" s="497" t="e">
        <v>#REF!</v>
      </c>
      <c r="M440" s="497">
        <v>79.403675710539517</v>
      </c>
      <c r="N440" s="464"/>
      <c r="O440" s="498"/>
      <c r="P440" s="431" t="s">
        <v>6711</v>
      </c>
    </row>
    <row r="441" spans="1:16" ht="13.5" hidden="1" customHeight="1" outlineLevel="2" x14ac:dyDescent="0.2">
      <c r="A441" s="233">
        <v>0</v>
      </c>
      <c r="B441" s="233">
        <v>5</v>
      </c>
      <c r="C441" s="233">
        <v>4</v>
      </c>
      <c r="D441" s="234">
        <v>4</v>
      </c>
      <c r="E441" s="234">
        <v>0</v>
      </c>
      <c r="G441" s="450"/>
      <c r="H441" s="487" t="s">
        <v>1237</v>
      </c>
      <c r="I441" s="488" t="s">
        <v>3738</v>
      </c>
      <c r="J441" s="489" t="s">
        <v>1312</v>
      </c>
      <c r="K441" s="490"/>
      <c r="L441" s="491"/>
      <c r="M441" s="491"/>
      <c r="N441" s="456"/>
      <c r="O441" s="492"/>
      <c r="P441" s="430"/>
    </row>
    <row r="442" spans="1:16" ht="13.5" hidden="1" customHeight="1" outlineLevel="3" x14ac:dyDescent="0.2">
      <c r="A442" s="233">
        <v>0</v>
      </c>
      <c r="B442" s="233">
        <v>5</v>
      </c>
      <c r="C442" s="233">
        <v>4</v>
      </c>
      <c r="D442" s="234">
        <v>4</v>
      </c>
      <c r="E442" s="234">
        <v>1</v>
      </c>
      <c r="G442" s="458" t="s">
        <v>42</v>
      </c>
      <c r="H442" s="493" t="s">
        <v>1238</v>
      </c>
      <c r="I442" s="494" t="s">
        <v>3739</v>
      </c>
      <c r="J442" s="461" t="s">
        <v>2875</v>
      </c>
      <c r="K442" s="496" t="s">
        <v>641</v>
      </c>
      <c r="L442" s="497" t="e">
        <v>#REF!</v>
      </c>
      <c r="M442" s="497">
        <v>95.867556999999991</v>
      </c>
      <c r="N442" s="464"/>
      <c r="O442" s="498"/>
      <c r="P442" s="431" t="s">
        <v>6711</v>
      </c>
    </row>
    <row r="443" spans="1:16" ht="13.5" hidden="1" customHeight="1" outlineLevel="3" x14ac:dyDescent="0.2">
      <c r="A443" s="233">
        <v>0</v>
      </c>
      <c r="B443" s="233">
        <v>5</v>
      </c>
      <c r="C443" s="233">
        <v>4</v>
      </c>
      <c r="D443" s="234">
        <v>4</v>
      </c>
      <c r="E443" s="234">
        <v>2</v>
      </c>
      <c r="G443" s="458" t="s">
        <v>42</v>
      </c>
      <c r="H443" s="493" t="s">
        <v>1238</v>
      </c>
      <c r="I443" s="494" t="s">
        <v>3740</v>
      </c>
      <c r="J443" s="461" t="s">
        <v>2879</v>
      </c>
      <c r="K443" s="496" t="s">
        <v>641</v>
      </c>
      <c r="L443" s="497" t="e">
        <v>#REF!</v>
      </c>
      <c r="M443" s="497">
        <v>165.70309900000001</v>
      </c>
      <c r="N443" s="464"/>
      <c r="O443" s="498"/>
      <c r="P443" s="431" t="s">
        <v>6711</v>
      </c>
    </row>
    <row r="444" spans="1:16" ht="13.5" hidden="1" customHeight="1" outlineLevel="2" x14ac:dyDescent="0.2">
      <c r="A444" s="233">
        <v>0</v>
      </c>
      <c r="B444" s="233">
        <v>5</v>
      </c>
      <c r="C444" s="233">
        <v>4</v>
      </c>
      <c r="D444" s="234">
        <v>5</v>
      </c>
      <c r="E444" s="234">
        <v>0</v>
      </c>
      <c r="G444" s="450"/>
      <c r="H444" s="487" t="s">
        <v>1237</v>
      </c>
      <c r="I444" s="488" t="s">
        <v>3741</v>
      </c>
      <c r="J444" s="489" t="s">
        <v>14</v>
      </c>
      <c r="K444" s="490"/>
      <c r="L444" s="491"/>
      <c r="M444" s="491"/>
      <c r="N444" s="456"/>
      <c r="O444" s="492"/>
      <c r="P444" s="430"/>
    </row>
    <row r="445" spans="1:16" ht="13.5" hidden="1" customHeight="1" outlineLevel="3" x14ac:dyDescent="0.2">
      <c r="A445" s="233">
        <v>0</v>
      </c>
      <c r="B445" s="233">
        <v>5</v>
      </c>
      <c r="C445" s="233">
        <v>4</v>
      </c>
      <c r="D445" s="234">
        <v>5</v>
      </c>
      <c r="E445" s="234">
        <v>1</v>
      </c>
      <c r="G445" s="458" t="s">
        <v>42</v>
      </c>
      <c r="H445" s="493" t="s">
        <v>1238</v>
      </c>
      <c r="I445" s="494" t="s">
        <v>3742</v>
      </c>
      <c r="J445" s="495" t="s">
        <v>431</v>
      </c>
      <c r="K445" s="496" t="s">
        <v>641</v>
      </c>
      <c r="L445" s="497" t="e">
        <v>#REF!</v>
      </c>
      <c r="M445" s="497">
        <v>47</v>
      </c>
      <c r="N445" s="464"/>
      <c r="O445" s="498"/>
      <c r="P445" s="431" t="s">
        <v>6711</v>
      </c>
    </row>
    <row r="446" spans="1:16" ht="13.5" hidden="1" customHeight="1" outlineLevel="3" x14ac:dyDescent="0.2">
      <c r="A446" s="233">
        <v>0</v>
      </c>
      <c r="B446" s="233">
        <v>5</v>
      </c>
      <c r="C446" s="233">
        <v>4</v>
      </c>
      <c r="D446" s="234">
        <v>5</v>
      </c>
      <c r="E446" s="234">
        <v>2</v>
      </c>
      <c r="G446" s="458" t="s">
        <v>42</v>
      </c>
      <c r="H446" s="493" t="s">
        <v>1238</v>
      </c>
      <c r="I446" s="494" t="s">
        <v>3743</v>
      </c>
      <c r="J446" s="495" t="s">
        <v>433</v>
      </c>
      <c r="K446" s="496" t="s">
        <v>641</v>
      </c>
      <c r="L446" s="497" t="e">
        <v>#REF!</v>
      </c>
      <c r="M446" s="497">
        <v>47</v>
      </c>
      <c r="N446" s="464"/>
      <c r="O446" s="498"/>
      <c r="P446" s="431" t="s">
        <v>6711</v>
      </c>
    </row>
    <row r="447" spans="1:16" ht="13.5" hidden="1" customHeight="1" outlineLevel="3" x14ac:dyDescent="0.2">
      <c r="A447" s="233">
        <v>0</v>
      </c>
      <c r="B447" s="233">
        <v>5</v>
      </c>
      <c r="C447" s="233">
        <v>4</v>
      </c>
      <c r="D447" s="234">
        <v>5</v>
      </c>
      <c r="E447" s="234">
        <v>3</v>
      </c>
      <c r="G447" s="458" t="s">
        <v>42</v>
      </c>
      <c r="H447" s="493" t="s">
        <v>1238</v>
      </c>
      <c r="I447" s="494" t="s">
        <v>3744</v>
      </c>
      <c r="J447" s="461" t="s">
        <v>2885</v>
      </c>
      <c r="K447" s="496" t="s">
        <v>641</v>
      </c>
      <c r="L447" s="463" t="e">
        <v>#REF!</v>
      </c>
      <c r="M447" s="497" t="e">
        <v>#REF!</v>
      </c>
      <c r="N447" s="464"/>
      <c r="O447" s="498"/>
      <c r="P447" s="431" t="s">
        <v>6711</v>
      </c>
    </row>
    <row r="448" spans="1:16" ht="13.5" hidden="1" customHeight="1" outlineLevel="1" x14ac:dyDescent="0.2">
      <c r="A448" s="233">
        <v>0</v>
      </c>
      <c r="B448" s="233">
        <v>5</v>
      </c>
      <c r="C448" s="233">
        <v>5</v>
      </c>
      <c r="D448" s="234">
        <v>0</v>
      </c>
      <c r="E448" s="234">
        <v>3</v>
      </c>
      <c r="G448" s="443"/>
      <c r="H448" s="481" t="s">
        <v>38</v>
      </c>
      <c r="I448" s="482" t="s">
        <v>3745</v>
      </c>
      <c r="J448" s="483" t="s">
        <v>2307</v>
      </c>
      <c r="K448" s="484"/>
      <c r="L448" s="485"/>
      <c r="M448" s="485"/>
      <c r="N448" s="449"/>
      <c r="O448" s="486"/>
      <c r="P448" s="429"/>
    </row>
    <row r="449" spans="1:16" ht="13.5" hidden="1" customHeight="1" outlineLevel="2" x14ac:dyDescent="0.2">
      <c r="A449" s="233">
        <v>0</v>
      </c>
      <c r="B449" s="233">
        <v>5</v>
      </c>
      <c r="C449" s="233">
        <v>5</v>
      </c>
      <c r="D449" s="234">
        <v>1</v>
      </c>
      <c r="E449" s="234">
        <v>0</v>
      </c>
      <c r="G449" s="450"/>
      <c r="H449" s="487" t="s">
        <v>1237</v>
      </c>
      <c r="I449" s="488" t="s">
        <v>3746</v>
      </c>
      <c r="J449" s="489" t="s">
        <v>2288</v>
      </c>
      <c r="K449" s="490"/>
      <c r="L449" s="491"/>
      <c r="M449" s="491"/>
      <c r="N449" s="456"/>
      <c r="O449" s="492"/>
      <c r="P449" s="430"/>
    </row>
    <row r="450" spans="1:16" ht="13.5" hidden="1" customHeight="1" outlineLevel="3" x14ac:dyDescent="0.2">
      <c r="A450" s="233">
        <v>0</v>
      </c>
      <c r="B450" s="233">
        <v>5</v>
      </c>
      <c r="C450" s="233">
        <v>5</v>
      </c>
      <c r="D450" s="234">
        <v>1</v>
      </c>
      <c r="E450" s="234">
        <v>1</v>
      </c>
      <c r="G450" s="458" t="s">
        <v>42</v>
      </c>
      <c r="H450" s="493" t="s">
        <v>1238</v>
      </c>
      <c r="I450" s="494" t="s">
        <v>3747</v>
      </c>
      <c r="J450" s="495" t="s">
        <v>2283</v>
      </c>
      <c r="K450" s="496" t="s">
        <v>641</v>
      </c>
      <c r="L450" s="497" t="e">
        <v>#REF!</v>
      </c>
      <c r="M450" s="497">
        <v>35.099999999999994</v>
      </c>
      <c r="N450" s="464"/>
      <c r="O450" s="498"/>
      <c r="P450" s="431" t="s">
        <v>6711</v>
      </c>
    </row>
    <row r="451" spans="1:16" ht="13.5" hidden="1" customHeight="1" outlineLevel="2" x14ac:dyDescent="0.2">
      <c r="A451" s="233">
        <v>0</v>
      </c>
      <c r="B451" s="233">
        <v>5</v>
      </c>
      <c r="C451" s="233">
        <v>5</v>
      </c>
      <c r="D451" s="234">
        <v>2</v>
      </c>
      <c r="E451" s="234">
        <v>0</v>
      </c>
      <c r="G451" s="450"/>
      <c r="H451" s="487" t="s">
        <v>1237</v>
      </c>
      <c r="I451" s="488" t="s">
        <v>3748</v>
      </c>
      <c r="J451" s="489" t="s">
        <v>1295</v>
      </c>
      <c r="K451" s="490"/>
      <c r="L451" s="491"/>
      <c r="M451" s="491"/>
      <c r="N451" s="456"/>
      <c r="O451" s="492"/>
      <c r="P451" s="430"/>
    </row>
    <row r="452" spans="1:16" ht="13.5" hidden="1" customHeight="1" outlineLevel="3" x14ac:dyDescent="0.2">
      <c r="A452" s="233">
        <v>0</v>
      </c>
      <c r="B452" s="233">
        <v>5</v>
      </c>
      <c r="C452" s="233">
        <v>5</v>
      </c>
      <c r="D452" s="234">
        <v>2</v>
      </c>
      <c r="E452" s="234">
        <v>1</v>
      </c>
      <c r="G452" s="458" t="s">
        <v>42</v>
      </c>
      <c r="H452" s="493" t="s">
        <v>1238</v>
      </c>
      <c r="I452" s="494" t="s">
        <v>3749</v>
      </c>
      <c r="J452" s="495" t="s">
        <v>1308</v>
      </c>
      <c r="K452" s="496" t="s">
        <v>641</v>
      </c>
      <c r="L452" s="497" t="e">
        <v>#REF!</v>
      </c>
      <c r="M452" s="497">
        <v>82.960000000000008</v>
      </c>
      <c r="N452" s="464"/>
      <c r="O452" s="498"/>
      <c r="P452" s="431" t="s">
        <v>6711</v>
      </c>
    </row>
    <row r="453" spans="1:16" ht="13.5" hidden="1" customHeight="1" outlineLevel="2" x14ac:dyDescent="0.2">
      <c r="A453" s="233">
        <v>0</v>
      </c>
      <c r="B453" s="233">
        <v>5</v>
      </c>
      <c r="C453" s="233">
        <v>5</v>
      </c>
      <c r="D453" s="234">
        <v>3</v>
      </c>
      <c r="E453" s="234">
        <v>0</v>
      </c>
      <c r="G453" s="450"/>
      <c r="H453" s="487" t="s">
        <v>1237</v>
      </c>
      <c r="I453" s="488" t="s">
        <v>3750</v>
      </c>
      <c r="J453" s="489" t="s">
        <v>1250</v>
      </c>
      <c r="K453" s="490"/>
      <c r="L453" s="491"/>
      <c r="M453" s="491"/>
      <c r="N453" s="456"/>
      <c r="O453" s="492"/>
      <c r="P453" s="430"/>
    </row>
    <row r="454" spans="1:16" ht="13.5" hidden="1" customHeight="1" outlineLevel="3" x14ac:dyDescent="0.2">
      <c r="A454" s="233">
        <v>0</v>
      </c>
      <c r="B454" s="233">
        <v>5</v>
      </c>
      <c r="C454" s="233">
        <v>5</v>
      </c>
      <c r="D454" s="234">
        <v>3</v>
      </c>
      <c r="E454" s="234">
        <v>1</v>
      </c>
      <c r="G454" s="458" t="s">
        <v>42</v>
      </c>
      <c r="H454" s="493" t="s">
        <v>1238</v>
      </c>
      <c r="I454" s="494" t="s">
        <v>3751</v>
      </c>
      <c r="J454" s="495" t="s">
        <v>1251</v>
      </c>
      <c r="K454" s="496" t="s">
        <v>787</v>
      </c>
      <c r="L454" s="497" t="e">
        <v>#REF!</v>
      </c>
      <c r="M454" s="497">
        <v>14.787500000000001</v>
      </c>
      <c r="N454" s="464"/>
      <c r="O454" s="498"/>
      <c r="P454" s="431" t="s">
        <v>6711</v>
      </c>
    </row>
    <row r="455" spans="1:16" ht="13.5" hidden="1" customHeight="1" outlineLevel="3" x14ac:dyDescent="0.2">
      <c r="A455" s="233">
        <v>0</v>
      </c>
      <c r="B455" s="233">
        <v>5</v>
      </c>
      <c r="C455" s="233">
        <v>5</v>
      </c>
      <c r="D455" s="234">
        <v>3</v>
      </c>
      <c r="E455" s="234">
        <v>2</v>
      </c>
      <c r="G455" s="458" t="s">
        <v>42</v>
      </c>
      <c r="H455" s="493" t="s">
        <v>1238</v>
      </c>
      <c r="I455" s="494" t="s">
        <v>3752</v>
      </c>
      <c r="J455" s="495" t="s">
        <v>392</v>
      </c>
      <c r="K455" s="496" t="s">
        <v>533</v>
      </c>
      <c r="L455" s="497" t="e">
        <v>#REF!</v>
      </c>
      <c r="M455" s="497">
        <v>4.1071999999999997</v>
      </c>
      <c r="N455" s="464"/>
      <c r="O455" s="498"/>
      <c r="P455" s="431" t="s">
        <v>6711</v>
      </c>
    </row>
    <row r="456" spans="1:16" ht="13.5" hidden="1" customHeight="1" outlineLevel="3" x14ac:dyDescent="0.2">
      <c r="A456" s="233">
        <v>0</v>
      </c>
      <c r="B456" s="233">
        <v>5</v>
      </c>
      <c r="C456" s="233">
        <v>5</v>
      </c>
      <c r="D456" s="234">
        <v>3</v>
      </c>
      <c r="E456" s="234">
        <v>3</v>
      </c>
      <c r="G456" s="458" t="s">
        <v>42</v>
      </c>
      <c r="H456" s="493" t="s">
        <v>1238</v>
      </c>
      <c r="I456" s="494" t="s">
        <v>3753</v>
      </c>
      <c r="J456" s="495" t="s">
        <v>396</v>
      </c>
      <c r="K456" s="496" t="s">
        <v>787</v>
      </c>
      <c r="L456" s="497" t="e">
        <v>#REF!</v>
      </c>
      <c r="M456" s="497">
        <v>79.403675710539517</v>
      </c>
      <c r="N456" s="464"/>
      <c r="O456" s="498"/>
      <c r="P456" s="431" t="s">
        <v>6711</v>
      </c>
    </row>
    <row r="457" spans="1:16" ht="13.5" hidden="1" customHeight="1" outlineLevel="2" x14ac:dyDescent="0.2">
      <c r="A457" s="233">
        <v>0</v>
      </c>
      <c r="B457" s="233">
        <v>5</v>
      </c>
      <c r="C457" s="233">
        <v>5</v>
      </c>
      <c r="D457" s="234">
        <v>4</v>
      </c>
      <c r="E457" s="234">
        <v>0</v>
      </c>
      <c r="G457" s="450"/>
      <c r="H457" s="487" t="s">
        <v>1237</v>
      </c>
      <c r="I457" s="488" t="s">
        <v>3754</v>
      </c>
      <c r="J457" s="489" t="s">
        <v>1312</v>
      </c>
      <c r="K457" s="490"/>
      <c r="L457" s="491"/>
      <c r="M457" s="491"/>
      <c r="N457" s="456"/>
      <c r="O457" s="492"/>
      <c r="P457" s="430"/>
    </row>
    <row r="458" spans="1:16" ht="13.5" hidden="1" customHeight="1" outlineLevel="3" x14ac:dyDescent="0.2">
      <c r="A458" s="233">
        <v>0</v>
      </c>
      <c r="B458" s="233">
        <v>5</v>
      </c>
      <c r="C458" s="233">
        <v>5</v>
      </c>
      <c r="D458" s="234">
        <v>4</v>
      </c>
      <c r="E458" s="234">
        <v>1</v>
      </c>
      <c r="G458" s="458" t="s">
        <v>42</v>
      </c>
      <c r="H458" s="493" t="s">
        <v>1238</v>
      </c>
      <c r="I458" s="494" t="s">
        <v>3755</v>
      </c>
      <c r="J458" s="461" t="s">
        <v>2875</v>
      </c>
      <c r="K458" s="496" t="s">
        <v>641</v>
      </c>
      <c r="L458" s="497" t="e">
        <v>#REF!</v>
      </c>
      <c r="M458" s="497">
        <v>95.867556999999991</v>
      </c>
      <c r="N458" s="464"/>
      <c r="O458" s="498"/>
      <c r="P458" s="431" t="s">
        <v>6711</v>
      </c>
    </row>
    <row r="459" spans="1:16" ht="13.5" hidden="1" customHeight="1" outlineLevel="3" x14ac:dyDescent="0.2">
      <c r="A459" s="233">
        <v>0</v>
      </c>
      <c r="B459" s="233">
        <v>5</v>
      </c>
      <c r="C459" s="233">
        <v>5</v>
      </c>
      <c r="D459" s="234">
        <v>4</v>
      </c>
      <c r="E459" s="234">
        <v>2</v>
      </c>
      <c r="G459" s="458" t="s">
        <v>42</v>
      </c>
      <c r="H459" s="493" t="s">
        <v>1238</v>
      </c>
      <c r="I459" s="494" t="s">
        <v>3756</v>
      </c>
      <c r="J459" s="461" t="s">
        <v>2876</v>
      </c>
      <c r="K459" s="496" t="s">
        <v>641</v>
      </c>
      <c r="L459" s="497" t="e">
        <v>#REF!</v>
      </c>
      <c r="M459" s="497">
        <v>96.523220999999992</v>
      </c>
      <c r="N459" s="464"/>
      <c r="O459" s="498"/>
      <c r="P459" s="431" t="s">
        <v>6711</v>
      </c>
    </row>
    <row r="460" spans="1:16" ht="13.5" hidden="1" customHeight="1" outlineLevel="3" x14ac:dyDescent="0.2">
      <c r="A460" s="233">
        <v>0</v>
      </c>
      <c r="B460" s="233">
        <v>5</v>
      </c>
      <c r="C460" s="233">
        <v>5</v>
      </c>
      <c r="D460" s="234">
        <v>4</v>
      </c>
      <c r="E460" s="234">
        <v>3</v>
      </c>
      <c r="G460" s="458" t="s">
        <v>42</v>
      </c>
      <c r="H460" s="493" t="s">
        <v>1238</v>
      </c>
      <c r="I460" s="494" t="s">
        <v>3757</v>
      </c>
      <c r="J460" s="461" t="s">
        <v>2879</v>
      </c>
      <c r="K460" s="496" t="s">
        <v>641</v>
      </c>
      <c r="L460" s="497" t="e">
        <v>#REF!</v>
      </c>
      <c r="M460" s="497">
        <v>165.70309900000001</v>
      </c>
      <c r="N460" s="464"/>
      <c r="O460" s="498"/>
      <c r="P460" s="431" t="s">
        <v>6711</v>
      </c>
    </row>
    <row r="461" spans="1:16" ht="13.5" hidden="1" customHeight="1" outlineLevel="2" x14ac:dyDescent="0.2">
      <c r="A461" s="233">
        <v>0</v>
      </c>
      <c r="B461" s="233">
        <v>5</v>
      </c>
      <c r="C461" s="233">
        <v>5</v>
      </c>
      <c r="D461" s="234">
        <v>5</v>
      </c>
      <c r="E461" s="234">
        <v>0</v>
      </c>
      <c r="G461" s="450"/>
      <c r="H461" s="487" t="s">
        <v>1237</v>
      </c>
      <c r="I461" s="488" t="s">
        <v>3758</v>
      </c>
      <c r="J461" s="489" t="s">
        <v>14</v>
      </c>
      <c r="K461" s="490"/>
      <c r="L461" s="491"/>
      <c r="M461" s="491"/>
      <c r="N461" s="456"/>
      <c r="O461" s="492"/>
      <c r="P461" s="430"/>
    </row>
    <row r="462" spans="1:16" ht="13.5" hidden="1" customHeight="1" outlineLevel="3" x14ac:dyDescent="0.2">
      <c r="A462" s="233">
        <v>0</v>
      </c>
      <c r="B462" s="233">
        <v>5</v>
      </c>
      <c r="C462" s="233">
        <v>5</v>
      </c>
      <c r="D462" s="234">
        <v>5</v>
      </c>
      <c r="E462" s="234">
        <v>1</v>
      </c>
      <c r="G462" s="458" t="s">
        <v>42</v>
      </c>
      <c r="H462" s="493" t="s">
        <v>1238</v>
      </c>
      <c r="I462" s="494" t="s">
        <v>3759</v>
      </c>
      <c r="J462" s="495" t="s">
        <v>431</v>
      </c>
      <c r="K462" s="496" t="s">
        <v>641</v>
      </c>
      <c r="L462" s="497" t="e">
        <v>#REF!</v>
      </c>
      <c r="M462" s="497">
        <v>47</v>
      </c>
      <c r="N462" s="464"/>
      <c r="O462" s="498"/>
      <c r="P462" s="431" t="s">
        <v>6711</v>
      </c>
    </row>
    <row r="463" spans="1:16" ht="13.5" hidden="1" customHeight="1" outlineLevel="3" x14ac:dyDescent="0.2">
      <c r="A463" s="233">
        <v>0</v>
      </c>
      <c r="B463" s="233">
        <v>5</v>
      </c>
      <c r="C463" s="233">
        <v>5</v>
      </c>
      <c r="D463" s="234">
        <v>5</v>
      </c>
      <c r="E463" s="234">
        <v>2</v>
      </c>
      <c r="G463" s="458" t="s">
        <v>42</v>
      </c>
      <c r="H463" s="493" t="s">
        <v>1238</v>
      </c>
      <c r="I463" s="494" t="s">
        <v>3760</v>
      </c>
      <c r="J463" s="495" t="s">
        <v>433</v>
      </c>
      <c r="K463" s="496" t="s">
        <v>641</v>
      </c>
      <c r="L463" s="497" t="e">
        <v>#REF!</v>
      </c>
      <c r="M463" s="497">
        <v>47</v>
      </c>
      <c r="N463" s="464"/>
      <c r="O463" s="498"/>
      <c r="P463" s="431" t="s">
        <v>6711</v>
      </c>
    </row>
    <row r="464" spans="1:16" ht="13.5" hidden="1" customHeight="1" outlineLevel="3" x14ac:dyDescent="0.2">
      <c r="A464" s="233">
        <v>0</v>
      </c>
      <c r="B464" s="233">
        <v>5</v>
      </c>
      <c r="C464" s="233">
        <v>5</v>
      </c>
      <c r="D464" s="234">
        <v>5</v>
      </c>
      <c r="E464" s="234">
        <v>3</v>
      </c>
      <c r="G464" s="458" t="s">
        <v>42</v>
      </c>
      <c r="H464" s="493" t="s">
        <v>1238</v>
      </c>
      <c r="I464" s="494" t="s">
        <v>3761</v>
      </c>
      <c r="J464" s="461" t="s">
        <v>2885</v>
      </c>
      <c r="K464" s="496" t="s">
        <v>641</v>
      </c>
      <c r="L464" s="463" t="e">
        <v>#REF!</v>
      </c>
      <c r="M464" s="497" t="e">
        <v>#REF!</v>
      </c>
      <c r="N464" s="464"/>
      <c r="O464" s="498"/>
      <c r="P464" s="431" t="s">
        <v>6711</v>
      </c>
    </row>
    <row r="465" spans="1:16" ht="13.5" hidden="1" customHeight="1" outlineLevel="1" x14ac:dyDescent="0.2">
      <c r="A465" s="233">
        <v>0</v>
      </c>
      <c r="B465" s="233">
        <v>5</v>
      </c>
      <c r="C465" s="233">
        <v>6</v>
      </c>
      <c r="D465" s="234">
        <v>0</v>
      </c>
      <c r="E465" s="234">
        <v>3</v>
      </c>
      <c r="G465" s="443"/>
      <c r="H465" s="481" t="s">
        <v>38</v>
      </c>
      <c r="I465" s="482" t="s">
        <v>3762</v>
      </c>
      <c r="J465" s="483" t="s">
        <v>2308</v>
      </c>
      <c r="K465" s="484"/>
      <c r="L465" s="485"/>
      <c r="M465" s="485"/>
      <c r="N465" s="449"/>
      <c r="O465" s="486"/>
      <c r="P465" s="429"/>
    </row>
    <row r="466" spans="1:16" ht="13.5" hidden="1" customHeight="1" outlineLevel="2" x14ac:dyDescent="0.2">
      <c r="A466" s="233">
        <v>0</v>
      </c>
      <c r="B466" s="233">
        <v>5</v>
      </c>
      <c r="C466" s="233">
        <v>6</v>
      </c>
      <c r="D466" s="234">
        <v>1</v>
      </c>
      <c r="E466" s="234">
        <v>0</v>
      </c>
      <c r="G466" s="450"/>
      <c r="H466" s="487" t="s">
        <v>1237</v>
      </c>
      <c r="I466" s="488" t="s">
        <v>3763</v>
      </c>
      <c r="J466" s="489" t="s">
        <v>2288</v>
      </c>
      <c r="K466" s="490"/>
      <c r="L466" s="491"/>
      <c r="M466" s="491"/>
      <c r="N466" s="456"/>
      <c r="O466" s="492"/>
      <c r="P466" s="430"/>
    </row>
    <row r="467" spans="1:16" ht="13.5" hidden="1" customHeight="1" outlineLevel="3" x14ac:dyDescent="0.2">
      <c r="A467" s="233">
        <v>0</v>
      </c>
      <c r="B467" s="233">
        <v>5</v>
      </c>
      <c r="C467" s="233">
        <v>6</v>
      </c>
      <c r="D467" s="234">
        <v>1</v>
      </c>
      <c r="E467" s="234">
        <v>1</v>
      </c>
      <c r="G467" s="458" t="s">
        <v>42</v>
      </c>
      <c r="H467" s="493" t="s">
        <v>1238</v>
      </c>
      <c r="I467" s="494" t="s">
        <v>3764</v>
      </c>
      <c r="J467" s="495" t="s">
        <v>2283</v>
      </c>
      <c r="K467" s="496" t="s">
        <v>641</v>
      </c>
      <c r="L467" s="497" t="e">
        <v>#REF!</v>
      </c>
      <c r="M467" s="497">
        <v>35.099999999999994</v>
      </c>
      <c r="N467" s="464"/>
      <c r="O467" s="498"/>
      <c r="P467" s="431" t="s">
        <v>6711</v>
      </c>
    </row>
    <row r="468" spans="1:16" ht="13.5" hidden="1" customHeight="1" outlineLevel="2" x14ac:dyDescent="0.2">
      <c r="A468" s="233">
        <v>0</v>
      </c>
      <c r="B468" s="233">
        <v>5</v>
      </c>
      <c r="C468" s="233">
        <v>6</v>
      </c>
      <c r="D468" s="234">
        <v>2</v>
      </c>
      <c r="E468" s="234">
        <v>0</v>
      </c>
      <c r="G468" s="450"/>
      <c r="H468" s="487" t="s">
        <v>1237</v>
      </c>
      <c r="I468" s="488" t="s">
        <v>3765</v>
      </c>
      <c r="J468" s="489" t="s">
        <v>1295</v>
      </c>
      <c r="K468" s="490"/>
      <c r="L468" s="491"/>
      <c r="M468" s="491"/>
      <c r="N468" s="456"/>
      <c r="O468" s="492"/>
      <c r="P468" s="430"/>
    </row>
    <row r="469" spans="1:16" ht="13.5" hidden="1" customHeight="1" outlineLevel="3" x14ac:dyDescent="0.2">
      <c r="A469" s="233">
        <v>0</v>
      </c>
      <c r="B469" s="233">
        <v>5</v>
      </c>
      <c r="C469" s="233">
        <v>6</v>
      </c>
      <c r="D469" s="234">
        <v>2</v>
      </c>
      <c r="E469" s="234">
        <v>1</v>
      </c>
      <c r="G469" s="458" t="s">
        <v>42</v>
      </c>
      <c r="H469" s="493" t="s">
        <v>1238</v>
      </c>
      <c r="I469" s="494" t="s">
        <v>3766</v>
      </c>
      <c r="J469" s="495" t="s">
        <v>1308</v>
      </c>
      <c r="K469" s="496" t="s">
        <v>641</v>
      </c>
      <c r="L469" s="497" t="e">
        <v>#REF!</v>
      </c>
      <c r="M469" s="497">
        <v>82.960000000000008</v>
      </c>
      <c r="N469" s="464"/>
      <c r="O469" s="498"/>
      <c r="P469" s="431" t="s">
        <v>6711</v>
      </c>
    </row>
    <row r="470" spans="1:16" ht="13.5" hidden="1" customHeight="1" outlineLevel="2" x14ac:dyDescent="0.2">
      <c r="A470" s="233">
        <v>0</v>
      </c>
      <c r="B470" s="233">
        <v>5</v>
      </c>
      <c r="C470" s="233">
        <v>6</v>
      </c>
      <c r="D470" s="234">
        <v>3</v>
      </c>
      <c r="E470" s="234">
        <v>0</v>
      </c>
      <c r="G470" s="450"/>
      <c r="H470" s="487" t="s">
        <v>1237</v>
      </c>
      <c r="I470" s="488" t="s">
        <v>3767</v>
      </c>
      <c r="J470" s="489" t="s">
        <v>1250</v>
      </c>
      <c r="K470" s="490"/>
      <c r="L470" s="491"/>
      <c r="M470" s="491"/>
      <c r="N470" s="456"/>
      <c r="O470" s="492"/>
      <c r="P470" s="430"/>
    </row>
    <row r="471" spans="1:16" ht="13.5" hidden="1" customHeight="1" outlineLevel="3" x14ac:dyDescent="0.2">
      <c r="A471" s="233">
        <v>0</v>
      </c>
      <c r="B471" s="233">
        <v>5</v>
      </c>
      <c r="C471" s="233">
        <v>6</v>
      </c>
      <c r="D471" s="234">
        <v>3</v>
      </c>
      <c r="E471" s="234">
        <v>1</v>
      </c>
      <c r="G471" s="458" t="s">
        <v>42</v>
      </c>
      <c r="H471" s="493" t="s">
        <v>1238</v>
      </c>
      <c r="I471" s="494" t="s">
        <v>3768</v>
      </c>
      <c r="J471" s="495" t="s">
        <v>1251</v>
      </c>
      <c r="K471" s="496" t="s">
        <v>787</v>
      </c>
      <c r="L471" s="497" t="e">
        <v>#REF!</v>
      </c>
      <c r="M471" s="497">
        <v>14.787500000000001</v>
      </c>
      <c r="N471" s="464"/>
      <c r="O471" s="498"/>
      <c r="P471" s="431" t="s">
        <v>6711</v>
      </c>
    </row>
    <row r="472" spans="1:16" ht="13.5" hidden="1" customHeight="1" outlineLevel="3" x14ac:dyDescent="0.2">
      <c r="A472" s="233">
        <v>0</v>
      </c>
      <c r="B472" s="233">
        <v>5</v>
      </c>
      <c r="C472" s="233">
        <v>6</v>
      </c>
      <c r="D472" s="234">
        <v>3</v>
      </c>
      <c r="E472" s="234">
        <v>2</v>
      </c>
      <c r="G472" s="458" t="s">
        <v>42</v>
      </c>
      <c r="H472" s="493" t="s">
        <v>1238</v>
      </c>
      <c r="I472" s="494" t="s">
        <v>3769</v>
      </c>
      <c r="J472" s="495" t="s">
        <v>392</v>
      </c>
      <c r="K472" s="496" t="s">
        <v>533</v>
      </c>
      <c r="L472" s="497" t="e">
        <v>#REF!</v>
      </c>
      <c r="M472" s="497">
        <v>4.1071999999999997</v>
      </c>
      <c r="N472" s="464"/>
      <c r="O472" s="498"/>
      <c r="P472" s="431" t="s">
        <v>6711</v>
      </c>
    </row>
    <row r="473" spans="1:16" ht="13.5" hidden="1" customHeight="1" outlineLevel="3" x14ac:dyDescent="0.2">
      <c r="A473" s="233">
        <v>0</v>
      </c>
      <c r="B473" s="233">
        <v>5</v>
      </c>
      <c r="C473" s="233">
        <v>6</v>
      </c>
      <c r="D473" s="234">
        <v>3</v>
      </c>
      <c r="E473" s="234">
        <v>3</v>
      </c>
      <c r="G473" s="458" t="s">
        <v>42</v>
      </c>
      <c r="H473" s="493" t="s">
        <v>1238</v>
      </c>
      <c r="I473" s="494" t="s">
        <v>3770</v>
      </c>
      <c r="J473" s="495" t="s">
        <v>396</v>
      </c>
      <c r="K473" s="496" t="s">
        <v>787</v>
      </c>
      <c r="L473" s="497" t="e">
        <v>#REF!</v>
      </c>
      <c r="M473" s="497">
        <v>79.403675710539517</v>
      </c>
      <c r="N473" s="464"/>
      <c r="O473" s="498"/>
      <c r="P473" s="431" t="s">
        <v>6711</v>
      </c>
    </row>
    <row r="474" spans="1:16" ht="13.5" hidden="1" customHeight="1" outlineLevel="2" x14ac:dyDescent="0.2">
      <c r="A474" s="233">
        <v>0</v>
      </c>
      <c r="B474" s="233">
        <v>5</v>
      </c>
      <c r="C474" s="233">
        <v>6</v>
      </c>
      <c r="D474" s="234">
        <v>4</v>
      </c>
      <c r="E474" s="234">
        <v>0</v>
      </c>
      <c r="G474" s="450"/>
      <c r="H474" s="487" t="s">
        <v>1237</v>
      </c>
      <c r="I474" s="488" t="s">
        <v>3771</v>
      </c>
      <c r="J474" s="489" t="s">
        <v>1312</v>
      </c>
      <c r="K474" s="490"/>
      <c r="L474" s="491"/>
      <c r="M474" s="491"/>
      <c r="N474" s="456"/>
      <c r="O474" s="492"/>
      <c r="P474" s="430"/>
    </row>
    <row r="475" spans="1:16" ht="13.5" hidden="1" customHeight="1" outlineLevel="3" x14ac:dyDescent="0.2">
      <c r="A475" s="233">
        <v>0</v>
      </c>
      <c r="B475" s="233">
        <v>5</v>
      </c>
      <c r="C475" s="233">
        <v>6</v>
      </c>
      <c r="D475" s="234">
        <v>4</v>
      </c>
      <c r="E475" s="234">
        <v>1</v>
      </c>
      <c r="G475" s="458" t="s">
        <v>42</v>
      </c>
      <c r="H475" s="493" t="s">
        <v>1238</v>
      </c>
      <c r="I475" s="494" t="s">
        <v>3772</v>
      </c>
      <c r="J475" s="461" t="s">
        <v>2875</v>
      </c>
      <c r="K475" s="496" t="s">
        <v>641</v>
      </c>
      <c r="L475" s="497" t="e">
        <v>#REF!</v>
      </c>
      <c r="M475" s="497">
        <v>95.867556999999991</v>
      </c>
      <c r="N475" s="464"/>
      <c r="O475" s="498"/>
      <c r="P475" s="431" t="s">
        <v>6711</v>
      </c>
    </row>
    <row r="476" spans="1:16" ht="13.5" hidden="1" customHeight="1" outlineLevel="3" x14ac:dyDescent="0.2">
      <c r="A476" s="233">
        <v>0</v>
      </c>
      <c r="B476" s="233">
        <v>5</v>
      </c>
      <c r="C476" s="233">
        <v>6</v>
      </c>
      <c r="D476" s="234">
        <v>4</v>
      </c>
      <c r="E476" s="234">
        <v>2</v>
      </c>
      <c r="G476" s="458" t="s">
        <v>42</v>
      </c>
      <c r="H476" s="493" t="s">
        <v>1238</v>
      </c>
      <c r="I476" s="494" t="s">
        <v>3773</v>
      </c>
      <c r="J476" s="461" t="s">
        <v>2876</v>
      </c>
      <c r="K476" s="496" t="s">
        <v>641</v>
      </c>
      <c r="L476" s="497" t="e">
        <v>#REF!</v>
      </c>
      <c r="M476" s="497">
        <v>96.523220999999992</v>
      </c>
      <c r="N476" s="464"/>
      <c r="O476" s="498"/>
      <c r="P476" s="431" t="s">
        <v>6711</v>
      </c>
    </row>
    <row r="477" spans="1:16" ht="13.5" hidden="1" customHeight="1" outlineLevel="3" x14ac:dyDescent="0.2">
      <c r="A477" s="233">
        <v>0</v>
      </c>
      <c r="B477" s="233">
        <v>5</v>
      </c>
      <c r="C477" s="233">
        <v>6</v>
      </c>
      <c r="D477" s="234">
        <v>4</v>
      </c>
      <c r="E477" s="234">
        <v>3</v>
      </c>
      <c r="G477" s="458" t="s">
        <v>42</v>
      </c>
      <c r="H477" s="493" t="s">
        <v>1238</v>
      </c>
      <c r="I477" s="494" t="s">
        <v>3774</v>
      </c>
      <c r="J477" s="461" t="s">
        <v>2879</v>
      </c>
      <c r="K477" s="496" t="s">
        <v>641</v>
      </c>
      <c r="L477" s="497" t="e">
        <v>#REF!</v>
      </c>
      <c r="M477" s="497">
        <v>165.70309900000001</v>
      </c>
      <c r="N477" s="464"/>
      <c r="O477" s="498"/>
      <c r="P477" s="431" t="s">
        <v>6711</v>
      </c>
    </row>
    <row r="478" spans="1:16" ht="13.5" hidden="1" customHeight="1" outlineLevel="2" x14ac:dyDescent="0.2">
      <c r="A478" s="233">
        <v>0</v>
      </c>
      <c r="B478" s="233">
        <v>5</v>
      </c>
      <c r="C478" s="233">
        <v>6</v>
      </c>
      <c r="D478" s="234">
        <v>5</v>
      </c>
      <c r="E478" s="234">
        <v>0</v>
      </c>
      <c r="G478" s="450"/>
      <c r="H478" s="487" t="s">
        <v>1237</v>
      </c>
      <c r="I478" s="488" t="s">
        <v>3775</v>
      </c>
      <c r="J478" s="489" t="s">
        <v>14</v>
      </c>
      <c r="K478" s="490"/>
      <c r="L478" s="491"/>
      <c r="M478" s="491"/>
      <c r="N478" s="456"/>
      <c r="O478" s="492"/>
      <c r="P478" s="430"/>
    </row>
    <row r="479" spans="1:16" ht="13.5" hidden="1" customHeight="1" outlineLevel="3" x14ac:dyDescent="0.2">
      <c r="A479" s="233">
        <v>0</v>
      </c>
      <c r="B479" s="233">
        <v>5</v>
      </c>
      <c r="C479" s="233">
        <v>6</v>
      </c>
      <c r="D479" s="234">
        <v>5</v>
      </c>
      <c r="E479" s="234">
        <v>1</v>
      </c>
      <c r="G479" s="458" t="s">
        <v>42</v>
      </c>
      <c r="H479" s="493" t="s">
        <v>1238</v>
      </c>
      <c r="I479" s="494" t="s">
        <v>3776</v>
      </c>
      <c r="J479" s="495" t="s">
        <v>431</v>
      </c>
      <c r="K479" s="496" t="s">
        <v>641</v>
      </c>
      <c r="L479" s="497" t="e">
        <v>#REF!</v>
      </c>
      <c r="M479" s="497">
        <v>47</v>
      </c>
      <c r="N479" s="464"/>
      <c r="O479" s="498"/>
      <c r="P479" s="431" t="s">
        <v>6711</v>
      </c>
    </row>
    <row r="480" spans="1:16" ht="13.5" hidden="1" customHeight="1" outlineLevel="3" x14ac:dyDescent="0.2">
      <c r="A480" s="233">
        <v>0</v>
      </c>
      <c r="B480" s="233">
        <v>5</v>
      </c>
      <c r="C480" s="233">
        <v>6</v>
      </c>
      <c r="D480" s="234">
        <v>5</v>
      </c>
      <c r="E480" s="234">
        <v>2</v>
      </c>
      <c r="G480" s="458" t="s">
        <v>42</v>
      </c>
      <c r="H480" s="493" t="s">
        <v>1238</v>
      </c>
      <c r="I480" s="494" t="s">
        <v>3777</v>
      </c>
      <c r="J480" s="495" t="s">
        <v>433</v>
      </c>
      <c r="K480" s="496" t="s">
        <v>641</v>
      </c>
      <c r="L480" s="497" t="e">
        <v>#REF!</v>
      </c>
      <c r="M480" s="497">
        <v>47</v>
      </c>
      <c r="N480" s="464"/>
      <c r="O480" s="498"/>
      <c r="P480" s="431" t="s">
        <v>6711</v>
      </c>
    </row>
    <row r="481" spans="1:16" ht="13.5" hidden="1" customHeight="1" outlineLevel="3" x14ac:dyDescent="0.2">
      <c r="A481" s="233">
        <v>0</v>
      </c>
      <c r="B481" s="233">
        <v>5</v>
      </c>
      <c r="C481" s="233">
        <v>6</v>
      </c>
      <c r="D481" s="234">
        <v>5</v>
      </c>
      <c r="E481" s="234">
        <v>3</v>
      </c>
      <c r="G481" s="458" t="s">
        <v>42</v>
      </c>
      <c r="H481" s="493" t="s">
        <v>1238</v>
      </c>
      <c r="I481" s="494" t="s">
        <v>3778</v>
      </c>
      <c r="J481" s="461" t="s">
        <v>2885</v>
      </c>
      <c r="K481" s="496" t="s">
        <v>641</v>
      </c>
      <c r="L481" s="463" t="e">
        <v>#REF!</v>
      </c>
      <c r="M481" s="497" t="e">
        <v>#REF!</v>
      </c>
      <c r="N481" s="464"/>
      <c r="O481" s="498"/>
      <c r="P481" s="431" t="s">
        <v>6711</v>
      </c>
    </row>
    <row r="482" spans="1:16" ht="13.5" hidden="1" customHeight="1" outlineLevel="1" x14ac:dyDescent="0.2">
      <c r="A482" s="233">
        <v>0</v>
      </c>
      <c r="B482" s="233">
        <v>5</v>
      </c>
      <c r="C482" s="233">
        <v>7</v>
      </c>
      <c r="D482" s="234">
        <v>0</v>
      </c>
      <c r="E482" s="234">
        <v>3</v>
      </c>
      <c r="G482" s="443"/>
      <c r="H482" s="481" t="s">
        <v>38</v>
      </c>
      <c r="I482" s="482" t="s">
        <v>3779</v>
      </c>
      <c r="J482" s="483" t="s">
        <v>2309</v>
      </c>
      <c r="K482" s="484"/>
      <c r="L482" s="485"/>
      <c r="M482" s="485"/>
      <c r="N482" s="449"/>
      <c r="O482" s="486"/>
      <c r="P482" s="429"/>
    </row>
    <row r="483" spans="1:16" ht="13.5" hidden="1" customHeight="1" outlineLevel="2" x14ac:dyDescent="0.2">
      <c r="A483" s="233">
        <v>0</v>
      </c>
      <c r="B483" s="233">
        <v>5</v>
      </c>
      <c r="C483" s="233">
        <v>7</v>
      </c>
      <c r="D483" s="234">
        <v>1</v>
      </c>
      <c r="E483" s="234">
        <v>0</v>
      </c>
      <c r="G483" s="450"/>
      <c r="H483" s="487" t="s">
        <v>1237</v>
      </c>
      <c r="I483" s="488" t="s">
        <v>3780</v>
      </c>
      <c r="J483" s="489" t="s">
        <v>2288</v>
      </c>
      <c r="K483" s="490"/>
      <c r="L483" s="491"/>
      <c r="M483" s="491"/>
      <c r="N483" s="456"/>
      <c r="O483" s="492"/>
      <c r="P483" s="430"/>
    </row>
    <row r="484" spans="1:16" ht="13.5" hidden="1" customHeight="1" outlineLevel="3" x14ac:dyDescent="0.2">
      <c r="A484" s="233">
        <v>0</v>
      </c>
      <c r="B484" s="233">
        <v>5</v>
      </c>
      <c r="C484" s="233">
        <v>7</v>
      </c>
      <c r="D484" s="234">
        <v>1</v>
      </c>
      <c r="E484" s="234">
        <v>1</v>
      </c>
      <c r="G484" s="458" t="s">
        <v>42</v>
      </c>
      <c r="H484" s="493" t="s">
        <v>1238</v>
      </c>
      <c r="I484" s="494" t="s">
        <v>3781</v>
      </c>
      <c r="J484" s="495" t="s">
        <v>2283</v>
      </c>
      <c r="K484" s="496" t="s">
        <v>641</v>
      </c>
      <c r="L484" s="497" t="e">
        <v>#REF!</v>
      </c>
      <c r="M484" s="497">
        <v>35.099999999999994</v>
      </c>
      <c r="N484" s="464"/>
      <c r="O484" s="498"/>
      <c r="P484" s="431" t="s">
        <v>6711</v>
      </c>
    </row>
    <row r="485" spans="1:16" ht="13.5" hidden="1" customHeight="1" outlineLevel="2" x14ac:dyDescent="0.2">
      <c r="A485" s="233">
        <v>0</v>
      </c>
      <c r="B485" s="233">
        <v>5</v>
      </c>
      <c r="C485" s="233">
        <v>7</v>
      </c>
      <c r="D485" s="234">
        <v>2</v>
      </c>
      <c r="E485" s="234">
        <v>0</v>
      </c>
      <c r="G485" s="450"/>
      <c r="H485" s="487" t="s">
        <v>1237</v>
      </c>
      <c r="I485" s="488" t="s">
        <v>3782</v>
      </c>
      <c r="J485" s="489" t="s">
        <v>1295</v>
      </c>
      <c r="K485" s="490"/>
      <c r="L485" s="491"/>
      <c r="M485" s="491"/>
      <c r="N485" s="456"/>
      <c r="O485" s="492"/>
      <c r="P485" s="430"/>
    </row>
    <row r="486" spans="1:16" ht="13.5" hidden="1" customHeight="1" outlineLevel="3" x14ac:dyDescent="0.2">
      <c r="A486" s="233">
        <v>0</v>
      </c>
      <c r="B486" s="233">
        <v>5</v>
      </c>
      <c r="C486" s="233">
        <v>7</v>
      </c>
      <c r="D486" s="234">
        <v>2</v>
      </c>
      <c r="E486" s="234">
        <v>1</v>
      </c>
      <c r="G486" s="458" t="s">
        <v>42</v>
      </c>
      <c r="H486" s="493" t="s">
        <v>1238</v>
      </c>
      <c r="I486" s="494" t="s">
        <v>3783</v>
      </c>
      <c r="J486" s="495" t="s">
        <v>1308</v>
      </c>
      <c r="K486" s="496" t="s">
        <v>641</v>
      </c>
      <c r="L486" s="497" t="e">
        <v>#REF!</v>
      </c>
      <c r="M486" s="497">
        <v>82.960000000000008</v>
      </c>
      <c r="N486" s="464"/>
      <c r="O486" s="498"/>
      <c r="P486" s="431" t="s">
        <v>6711</v>
      </c>
    </row>
    <row r="487" spans="1:16" ht="13.5" hidden="1" customHeight="1" outlineLevel="2" x14ac:dyDescent="0.2">
      <c r="A487" s="233">
        <v>0</v>
      </c>
      <c r="B487" s="233">
        <v>5</v>
      </c>
      <c r="C487" s="233">
        <v>7</v>
      </c>
      <c r="D487" s="234">
        <v>3</v>
      </c>
      <c r="E487" s="234">
        <v>0</v>
      </c>
      <c r="G487" s="450"/>
      <c r="H487" s="487" t="s">
        <v>1237</v>
      </c>
      <c r="I487" s="488" t="s">
        <v>3784</v>
      </c>
      <c r="J487" s="489" t="s">
        <v>1250</v>
      </c>
      <c r="K487" s="490"/>
      <c r="L487" s="491"/>
      <c r="M487" s="491"/>
      <c r="N487" s="456"/>
      <c r="O487" s="492"/>
      <c r="P487" s="430"/>
    </row>
    <row r="488" spans="1:16" ht="13.5" hidden="1" customHeight="1" outlineLevel="3" x14ac:dyDescent="0.2">
      <c r="A488" s="233">
        <v>0</v>
      </c>
      <c r="B488" s="233">
        <v>5</v>
      </c>
      <c r="C488" s="233">
        <v>7</v>
      </c>
      <c r="D488" s="234">
        <v>3</v>
      </c>
      <c r="E488" s="234">
        <v>1</v>
      </c>
      <c r="G488" s="458" t="s">
        <v>42</v>
      </c>
      <c r="H488" s="493" t="s">
        <v>1238</v>
      </c>
      <c r="I488" s="494" t="s">
        <v>3785</v>
      </c>
      <c r="J488" s="495" t="s">
        <v>1251</v>
      </c>
      <c r="K488" s="496" t="s">
        <v>787</v>
      </c>
      <c r="L488" s="497" t="e">
        <v>#REF!</v>
      </c>
      <c r="M488" s="497">
        <v>14.787500000000001</v>
      </c>
      <c r="N488" s="464"/>
      <c r="O488" s="498"/>
      <c r="P488" s="431" t="s">
        <v>6711</v>
      </c>
    </row>
    <row r="489" spans="1:16" ht="13.5" hidden="1" customHeight="1" outlineLevel="3" x14ac:dyDescent="0.2">
      <c r="A489" s="233">
        <v>0</v>
      </c>
      <c r="B489" s="233">
        <v>5</v>
      </c>
      <c r="C489" s="233">
        <v>7</v>
      </c>
      <c r="D489" s="234">
        <v>3</v>
      </c>
      <c r="E489" s="234">
        <v>2</v>
      </c>
      <c r="G489" s="458" t="s">
        <v>42</v>
      </c>
      <c r="H489" s="493" t="s">
        <v>1238</v>
      </c>
      <c r="I489" s="494" t="s">
        <v>3786</v>
      </c>
      <c r="J489" s="495" t="s">
        <v>392</v>
      </c>
      <c r="K489" s="496" t="s">
        <v>533</v>
      </c>
      <c r="L489" s="497" t="e">
        <v>#REF!</v>
      </c>
      <c r="M489" s="497">
        <v>4.1071999999999997</v>
      </c>
      <c r="N489" s="464"/>
      <c r="O489" s="498"/>
      <c r="P489" s="431" t="s">
        <v>6711</v>
      </c>
    </row>
    <row r="490" spans="1:16" ht="13.5" hidden="1" customHeight="1" outlineLevel="3" x14ac:dyDescent="0.2">
      <c r="A490" s="233">
        <v>0</v>
      </c>
      <c r="B490" s="233">
        <v>5</v>
      </c>
      <c r="C490" s="233">
        <v>7</v>
      </c>
      <c r="D490" s="234">
        <v>3</v>
      </c>
      <c r="E490" s="234">
        <v>3</v>
      </c>
      <c r="G490" s="458" t="s">
        <v>42</v>
      </c>
      <c r="H490" s="493" t="s">
        <v>1238</v>
      </c>
      <c r="I490" s="494" t="s">
        <v>3787</v>
      </c>
      <c r="J490" s="495" t="s">
        <v>396</v>
      </c>
      <c r="K490" s="496" t="s">
        <v>787</v>
      </c>
      <c r="L490" s="497" t="e">
        <v>#REF!</v>
      </c>
      <c r="M490" s="497">
        <v>79.403675710539517</v>
      </c>
      <c r="N490" s="464"/>
      <c r="O490" s="498"/>
      <c r="P490" s="431" t="s">
        <v>6711</v>
      </c>
    </row>
    <row r="491" spans="1:16" ht="13.5" hidden="1" customHeight="1" outlineLevel="2" x14ac:dyDescent="0.2">
      <c r="A491" s="233">
        <v>0</v>
      </c>
      <c r="B491" s="233">
        <v>5</v>
      </c>
      <c r="C491" s="233">
        <v>7</v>
      </c>
      <c r="D491" s="234">
        <v>4</v>
      </c>
      <c r="E491" s="234">
        <v>0</v>
      </c>
      <c r="G491" s="450"/>
      <c r="H491" s="487" t="s">
        <v>1237</v>
      </c>
      <c r="I491" s="488" t="s">
        <v>3788</v>
      </c>
      <c r="J491" s="489" t="s">
        <v>1312</v>
      </c>
      <c r="K491" s="490"/>
      <c r="L491" s="491"/>
      <c r="M491" s="491"/>
      <c r="N491" s="456"/>
      <c r="O491" s="492"/>
      <c r="P491" s="430"/>
    </row>
    <row r="492" spans="1:16" ht="13.5" hidden="1" customHeight="1" outlineLevel="3" x14ac:dyDescent="0.2">
      <c r="A492" s="233">
        <v>0</v>
      </c>
      <c r="B492" s="233">
        <v>5</v>
      </c>
      <c r="C492" s="233">
        <v>7</v>
      </c>
      <c r="D492" s="234">
        <v>4</v>
      </c>
      <c r="E492" s="234">
        <v>1</v>
      </c>
      <c r="G492" s="458" t="s">
        <v>42</v>
      </c>
      <c r="H492" s="493" t="s">
        <v>1238</v>
      </c>
      <c r="I492" s="494" t="s">
        <v>3789</v>
      </c>
      <c r="J492" s="461" t="s">
        <v>2875</v>
      </c>
      <c r="K492" s="496" t="s">
        <v>641</v>
      </c>
      <c r="L492" s="497" t="e">
        <v>#REF!</v>
      </c>
      <c r="M492" s="497">
        <v>95.867556999999991</v>
      </c>
      <c r="N492" s="464"/>
      <c r="O492" s="498"/>
      <c r="P492" s="431" t="s">
        <v>6711</v>
      </c>
    </row>
    <row r="493" spans="1:16" ht="13.5" hidden="1" customHeight="1" outlineLevel="3" x14ac:dyDescent="0.2">
      <c r="A493" s="233">
        <v>0</v>
      </c>
      <c r="B493" s="233">
        <v>5</v>
      </c>
      <c r="C493" s="233">
        <v>7</v>
      </c>
      <c r="D493" s="234">
        <v>4</v>
      </c>
      <c r="E493" s="234">
        <v>2</v>
      </c>
      <c r="G493" s="458" t="s">
        <v>42</v>
      </c>
      <c r="H493" s="493" t="s">
        <v>1238</v>
      </c>
      <c r="I493" s="494" t="s">
        <v>3790</v>
      </c>
      <c r="J493" s="461" t="s">
        <v>2876</v>
      </c>
      <c r="K493" s="496" t="s">
        <v>641</v>
      </c>
      <c r="L493" s="497" t="e">
        <v>#REF!</v>
      </c>
      <c r="M493" s="497">
        <v>96.523220999999992</v>
      </c>
      <c r="N493" s="464"/>
      <c r="O493" s="498"/>
      <c r="P493" s="431" t="s">
        <v>6711</v>
      </c>
    </row>
    <row r="494" spans="1:16" ht="13.5" hidden="1" customHeight="1" outlineLevel="3" x14ac:dyDescent="0.2">
      <c r="A494" s="233">
        <v>0</v>
      </c>
      <c r="B494" s="233">
        <v>5</v>
      </c>
      <c r="C494" s="233">
        <v>7</v>
      </c>
      <c r="D494" s="234">
        <v>4</v>
      </c>
      <c r="E494" s="234">
        <v>3</v>
      </c>
      <c r="G494" s="458" t="s">
        <v>42</v>
      </c>
      <c r="H494" s="493" t="s">
        <v>1238</v>
      </c>
      <c r="I494" s="494" t="s">
        <v>3791</v>
      </c>
      <c r="J494" s="461" t="s">
        <v>2879</v>
      </c>
      <c r="K494" s="496" t="s">
        <v>641</v>
      </c>
      <c r="L494" s="497" t="e">
        <v>#REF!</v>
      </c>
      <c r="M494" s="497">
        <v>165.70309900000001</v>
      </c>
      <c r="N494" s="464"/>
      <c r="O494" s="498"/>
      <c r="P494" s="431" t="s">
        <v>6711</v>
      </c>
    </row>
    <row r="495" spans="1:16" ht="13.5" hidden="1" customHeight="1" outlineLevel="2" x14ac:dyDescent="0.2">
      <c r="A495" s="233">
        <v>0</v>
      </c>
      <c r="B495" s="233">
        <v>5</v>
      </c>
      <c r="C495" s="233">
        <v>7</v>
      </c>
      <c r="D495" s="234">
        <v>5</v>
      </c>
      <c r="E495" s="234">
        <v>0</v>
      </c>
      <c r="G495" s="450"/>
      <c r="H495" s="487" t="s">
        <v>1237</v>
      </c>
      <c r="I495" s="488" t="s">
        <v>3792</v>
      </c>
      <c r="J495" s="489" t="s">
        <v>14</v>
      </c>
      <c r="K495" s="490"/>
      <c r="L495" s="491"/>
      <c r="M495" s="491"/>
      <c r="N495" s="456"/>
      <c r="O495" s="492"/>
      <c r="P495" s="430"/>
    </row>
    <row r="496" spans="1:16" ht="13.5" hidden="1" customHeight="1" outlineLevel="3" x14ac:dyDescent="0.2">
      <c r="A496" s="233">
        <v>0</v>
      </c>
      <c r="B496" s="233">
        <v>5</v>
      </c>
      <c r="C496" s="233">
        <v>7</v>
      </c>
      <c r="D496" s="234">
        <v>5</v>
      </c>
      <c r="E496" s="234">
        <v>1</v>
      </c>
      <c r="G496" s="458" t="s">
        <v>42</v>
      </c>
      <c r="H496" s="493" t="s">
        <v>1238</v>
      </c>
      <c r="I496" s="494" t="s">
        <v>3793</v>
      </c>
      <c r="J496" s="495" t="s">
        <v>431</v>
      </c>
      <c r="K496" s="496" t="s">
        <v>641</v>
      </c>
      <c r="L496" s="497" t="e">
        <v>#REF!</v>
      </c>
      <c r="M496" s="497">
        <v>47</v>
      </c>
      <c r="N496" s="464"/>
      <c r="O496" s="498"/>
      <c r="P496" s="431" t="s">
        <v>6711</v>
      </c>
    </row>
    <row r="497" spans="1:16" ht="13.5" hidden="1" customHeight="1" outlineLevel="3" x14ac:dyDescent="0.2">
      <c r="A497" s="233">
        <v>0</v>
      </c>
      <c r="B497" s="233">
        <v>5</v>
      </c>
      <c r="C497" s="233">
        <v>7</v>
      </c>
      <c r="D497" s="234">
        <v>5</v>
      </c>
      <c r="E497" s="234">
        <v>2</v>
      </c>
      <c r="G497" s="458" t="s">
        <v>42</v>
      </c>
      <c r="H497" s="493" t="s">
        <v>1238</v>
      </c>
      <c r="I497" s="494" t="s">
        <v>3794</v>
      </c>
      <c r="J497" s="495" t="s">
        <v>433</v>
      </c>
      <c r="K497" s="496" t="s">
        <v>641</v>
      </c>
      <c r="L497" s="497" t="e">
        <v>#REF!</v>
      </c>
      <c r="M497" s="497">
        <v>47</v>
      </c>
      <c r="N497" s="464"/>
      <c r="O497" s="498"/>
      <c r="P497" s="431" t="s">
        <v>6711</v>
      </c>
    </row>
    <row r="498" spans="1:16" ht="13.5" hidden="1" customHeight="1" outlineLevel="3" x14ac:dyDescent="0.2">
      <c r="A498" s="233">
        <v>0</v>
      </c>
      <c r="B498" s="233">
        <v>5</v>
      </c>
      <c r="C498" s="233">
        <v>7</v>
      </c>
      <c r="D498" s="234">
        <v>5</v>
      </c>
      <c r="E498" s="234">
        <v>3</v>
      </c>
      <c r="G498" s="458" t="s">
        <v>42</v>
      </c>
      <c r="H498" s="493" t="s">
        <v>1238</v>
      </c>
      <c r="I498" s="494" t="s">
        <v>3795</v>
      </c>
      <c r="J498" s="461" t="s">
        <v>2885</v>
      </c>
      <c r="K498" s="496" t="s">
        <v>641</v>
      </c>
      <c r="L498" s="463" t="e">
        <v>#REF!</v>
      </c>
      <c r="M498" s="497" t="e">
        <v>#REF!</v>
      </c>
      <c r="N498" s="464"/>
      <c r="O498" s="498"/>
      <c r="P498" s="431" t="s">
        <v>6711</v>
      </c>
    </row>
    <row r="499" spans="1:16" ht="13.5" hidden="1" customHeight="1" outlineLevel="1" x14ac:dyDescent="0.2">
      <c r="A499" s="233">
        <v>0</v>
      </c>
      <c r="B499" s="233">
        <v>5</v>
      </c>
      <c r="C499" s="233">
        <v>8</v>
      </c>
      <c r="D499" s="234">
        <v>0</v>
      </c>
      <c r="E499" s="234">
        <v>3</v>
      </c>
      <c r="G499" s="443"/>
      <c r="H499" s="481" t="s">
        <v>38</v>
      </c>
      <c r="I499" s="482" t="s">
        <v>3796</v>
      </c>
      <c r="J499" s="483" t="s">
        <v>2310</v>
      </c>
      <c r="K499" s="484"/>
      <c r="L499" s="485"/>
      <c r="M499" s="485"/>
      <c r="N499" s="449"/>
      <c r="O499" s="486"/>
      <c r="P499" s="429"/>
    </row>
    <row r="500" spans="1:16" ht="13.5" hidden="1" customHeight="1" outlineLevel="2" x14ac:dyDescent="0.2">
      <c r="A500" s="233">
        <v>0</v>
      </c>
      <c r="B500" s="233">
        <v>5</v>
      </c>
      <c r="C500" s="233">
        <v>8</v>
      </c>
      <c r="D500" s="234">
        <v>1</v>
      </c>
      <c r="E500" s="234">
        <v>0</v>
      </c>
      <c r="G500" s="450"/>
      <c r="H500" s="487" t="s">
        <v>1237</v>
      </c>
      <c r="I500" s="488" t="s">
        <v>3797</v>
      </c>
      <c r="J500" s="489" t="s">
        <v>2288</v>
      </c>
      <c r="K500" s="490"/>
      <c r="L500" s="491"/>
      <c r="M500" s="491"/>
      <c r="N500" s="456"/>
      <c r="O500" s="492"/>
      <c r="P500" s="430"/>
    </row>
    <row r="501" spans="1:16" ht="13.5" hidden="1" customHeight="1" outlineLevel="3" x14ac:dyDescent="0.2">
      <c r="A501" s="233">
        <v>0</v>
      </c>
      <c r="B501" s="233">
        <v>5</v>
      </c>
      <c r="C501" s="233">
        <v>8</v>
      </c>
      <c r="D501" s="234">
        <v>1</v>
      </c>
      <c r="E501" s="234">
        <v>1</v>
      </c>
      <c r="G501" s="458" t="s">
        <v>42</v>
      </c>
      <c r="H501" s="493" t="s">
        <v>1238</v>
      </c>
      <c r="I501" s="494" t="s">
        <v>3798</v>
      </c>
      <c r="J501" s="495" t="s">
        <v>2283</v>
      </c>
      <c r="K501" s="496" t="s">
        <v>641</v>
      </c>
      <c r="L501" s="497" t="e">
        <v>#REF!</v>
      </c>
      <c r="M501" s="497">
        <v>35.099999999999994</v>
      </c>
      <c r="N501" s="464"/>
      <c r="O501" s="498"/>
      <c r="P501" s="431" t="s">
        <v>6711</v>
      </c>
    </row>
    <row r="502" spans="1:16" ht="13.5" hidden="1" customHeight="1" outlineLevel="2" x14ac:dyDescent="0.2">
      <c r="A502" s="233">
        <v>0</v>
      </c>
      <c r="B502" s="233">
        <v>5</v>
      </c>
      <c r="C502" s="233">
        <v>8</v>
      </c>
      <c r="D502" s="234">
        <v>2</v>
      </c>
      <c r="E502" s="234">
        <v>0</v>
      </c>
      <c r="G502" s="450"/>
      <c r="H502" s="487" t="s">
        <v>1237</v>
      </c>
      <c r="I502" s="488" t="s">
        <v>3799</v>
      </c>
      <c r="J502" s="489" t="s">
        <v>1295</v>
      </c>
      <c r="K502" s="490"/>
      <c r="L502" s="491"/>
      <c r="M502" s="491"/>
      <c r="N502" s="456"/>
      <c r="O502" s="492"/>
      <c r="P502" s="430"/>
    </row>
    <row r="503" spans="1:16" ht="13.5" hidden="1" customHeight="1" outlineLevel="3" x14ac:dyDescent="0.2">
      <c r="A503" s="233">
        <v>0</v>
      </c>
      <c r="B503" s="233">
        <v>5</v>
      </c>
      <c r="C503" s="233">
        <v>8</v>
      </c>
      <c r="D503" s="234">
        <v>2</v>
      </c>
      <c r="E503" s="234">
        <v>1</v>
      </c>
      <c r="G503" s="458" t="s">
        <v>42</v>
      </c>
      <c r="H503" s="493" t="s">
        <v>1238</v>
      </c>
      <c r="I503" s="494" t="s">
        <v>3800</v>
      </c>
      <c r="J503" s="495" t="s">
        <v>1308</v>
      </c>
      <c r="K503" s="496" t="s">
        <v>641</v>
      </c>
      <c r="L503" s="497" t="e">
        <v>#REF!</v>
      </c>
      <c r="M503" s="497">
        <v>82.960000000000008</v>
      </c>
      <c r="N503" s="464"/>
      <c r="O503" s="498"/>
      <c r="P503" s="431" t="s">
        <v>6711</v>
      </c>
    </row>
    <row r="504" spans="1:16" ht="13.5" hidden="1" customHeight="1" outlineLevel="2" x14ac:dyDescent="0.2">
      <c r="A504" s="233">
        <v>0</v>
      </c>
      <c r="B504" s="233">
        <v>5</v>
      </c>
      <c r="C504" s="233">
        <v>8</v>
      </c>
      <c r="D504" s="234">
        <v>3</v>
      </c>
      <c r="E504" s="234">
        <v>0</v>
      </c>
      <c r="G504" s="450"/>
      <c r="H504" s="487" t="s">
        <v>1237</v>
      </c>
      <c r="I504" s="488" t="s">
        <v>3801</v>
      </c>
      <c r="J504" s="489" t="s">
        <v>1250</v>
      </c>
      <c r="K504" s="490"/>
      <c r="L504" s="491"/>
      <c r="M504" s="491"/>
      <c r="N504" s="456"/>
      <c r="O504" s="492"/>
      <c r="P504" s="430"/>
    </row>
    <row r="505" spans="1:16" ht="13.5" hidden="1" customHeight="1" outlineLevel="3" x14ac:dyDescent="0.2">
      <c r="A505" s="233">
        <v>0</v>
      </c>
      <c r="B505" s="233">
        <v>5</v>
      </c>
      <c r="C505" s="233">
        <v>8</v>
      </c>
      <c r="D505" s="234">
        <v>3</v>
      </c>
      <c r="E505" s="234">
        <v>1</v>
      </c>
      <c r="G505" s="458" t="s">
        <v>42</v>
      </c>
      <c r="H505" s="493" t="s">
        <v>1238</v>
      </c>
      <c r="I505" s="494" t="s">
        <v>3802</v>
      </c>
      <c r="J505" s="495" t="s">
        <v>1251</v>
      </c>
      <c r="K505" s="496" t="s">
        <v>787</v>
      </c>
      <c r="L505" s="497" t="e">
        <v>#REF!</v>
      </c>
      <c r="M505" s="497">
        <v>14.787500000000001</v>
      </c>
      <c r="N505" s="464"/>
      <c r="O505" s="498"/>
      <c r="P505" s="431" t="s">
        <v>6711</v>
      </c>
    </row>
    <row r="506" spans="1:16" ht="13.5" hidden="1" customHeight="1" outlineLevel="3" x14ac:dyDescent="0.2">
      <c r="A506" s="233">
        <v>0</v>
      </c>
      <c r="B506" s="233">
        <v>5</v>
      </c>
      <c r="C506" s="233">
        <v>8</v>
      </c>
      <c r="D506" s="234">
        <v>3</v>
      </c>
      <c r="E506" s="234">
        <v>2</v>
      </c>
      <c r="G506" s="458" t="s">
        <v>42</v>
      </c>
      <c r="H506" s="493" t="s">
        <v>1238</v>
      </c>
      <c r="I506" s="494" t="s">
        <v>3803</v>
      </c>
      <c r="J506" s="495" t="s">
        <v>392</v>
      </c>
      <c r="K506" s="496" t="s">
        <v>533</v>
      </c>
      <c r="L506" s="497" t="e">
        <v>#REF!</v>
      </c>
      <c r="M506" s="497">
        <v>4.1071999999999997</v>
      </c>
      <c r="N506" s="464"/>
      <c r="O506" s="498"/>
      <c r="P506" s="431" t="s">
        <v>6711</v>
      </c>
    </row>
    <row r="507" spans="1:16" ht="13.5" hidden="1" customHeight="1" outlineLevel="3" x14ac:dyDescent="0.2">
      <c r="A507" s="233">
        <v>0</v>
      </c>
      <c r="B507" s="233">
        <v>5</v>
      </c>
      <c r="C507" s="233">
        <v>8</v>
      </c>
      <c r="D507" s="234">
        <v>3</v>
      </c>
      <c r="E507" s="234">
        <v>3</v>
      </c>
      <c r="G507" s="458" t="s">
        <v>42</v>
      </c>
      <c r="H507" s="493" t="s">
        <v>1238</v>
      </c>
      <c r="I507" s="494" t="s">
        <v>3804</v>
      </c>
      <c r="J507" s="495" t="s">
        <v>396</v>
      </c>
      <c r="K507" s="496" t="s">
        <v>787</v>
      </c>
      <c r="L507" s="497" t="e">
        <v>#REF!</v>
      </c>
      <c r="M507" s="497">
        <v>79.403675710539517</v>
      </c>
      <c r="N507" s="464"/>
      <c r="O507" s="498"/>
      <c r="P507" s="431" t="s">
        <v>6711</v>
      </c>
    </row>
    <row r="508" spans="1:16" ht="13.5" hidden="1" customHeight="1" outlineLevel="3" x14ac:dyDescent="0.2">
      <c r="A508" s="233">
        <v>0</v>
      </c>
      <c r="B508" s="233">
        <v>5</v>
      </c>
      <c r="C508" s="233">
        <v>8</v>
      </c>
      <c r="D508" s="234">
        <v>3</v>
      </c>
      <c r="E508" s="234">
        <v>4</v>
      </c>
      <c r="G508" s="458" t="s">
        <v>42</v>
      </c>
      <c r="H508" s="493" t="s">
        <v>1238</v>
      </c>
      <c r="I508" s="494" t="s">
        <v>3805</v>
      </c>
      <c r="J508" s="495" t="s">
        <v>439</v>
      </c>
      <c r="K508" s="496" t="s">
        <v>533</v>
      </c>
      <c r="L508" s="497">
        <v>1</v>
      </c>
      <c r="M508" s="497">
        <v>1800</v>
      </c>
      <c r="N508" s="464">
        <v>1800</v>
      </c>
      <c r="O508" s="498"/>
      <c r="P508" s="431" t="s">
        <v>6711</v>
      </c>
    </row>
    <row r="509" spans="1:16" ht="13.5" hidden="1" customHeight="1" outlineLevel="2" x14ac:dyDescent="0.2">
      <c r="A509" s="233">
        <v>0</v>
      </c>
      <c r="B509" s="233">
        <v>5</v>
      </c>
      <c r="C509" s="233">
        <v>8</v>
      </c>
      <c r="D509" s="234">
        <v>4</v>
      </c>
      <c r="E509" s="234">
        <v>0</v>
      </c>
      <c r="G509" s="450"/>
      <c r="H509" s="487" t="s">
        <v>1237</v>
      </c>
      <c r="I509" s="488" t="s">
        <v>3806</v>
      </c>
      <c r="J509" s="489" t="s">
        <v>1312</v>
      </c>
      <c r="K509" s="490"/>
      <c r="L509" s="491"/>
      <c r="M509" s="491"/>
      <c r="N509" s="456"/>
      <c r="O509" s="492"/>
      <c r="P509" s="430"/>
    </row>
    <row r="510" spans="1:16" ht="13.5" hidden="1" customHeight="1" outlineLevel="3" x14ac:dyDescent="0.2">
      <c r="A510" s="233">
        <v>0</v>
      </c>
      <c r="B510" s="233">
        <v>5</v>
      </c>
      <c r="C510" s="233">
        <v>8</v>
      </c>
      <c r="D510" s="234">
        <v>4</v>
      </c>
      <c r="E510" s="234">
        <v>1</v>
      </c>
      <c r="G510" s="458" t="s">
        <v>42</v>
      </c>
      <c r="H510" s="493" t="s">
        <v>1238</v>
      </c>
      <c r="I510" s="494" t="s">
        <v>3807</v>
      </c>
      <c r="J510" s="461" t="s">
        <v>2875</v>
      </c>
      <c r="K510" s="496" t="s">
        <v>641</v>
      </c>
      <c r="L510" s="497" t="e">
        <v>#REF!</v>
      </c>
      <c r="M510" s="497">
        <v>95.867556999999991</v>
      </c>
      <c r="N510" s="464"/>
      <c r="O510" s="498"/>
      <c r="P510" s="431" t="s">
        <v>6711</v>
      </c>
    </row>
    <row r="511" spans="1:16" ht="13.5" hidden="1" customHeight="1" outlineLevel="3" x14ac:dyDescent="0.2">
      <c r="A511" s="233">
        <v>0</v>
      </c>
      <c r="B511" s="233">
        <v>5</v>
      </c>
      <c r="C511" s="233">
        <v>8</v>
      </c>
      <c r="D511" s="234">
        <v>4</v>
      </c>
      <c r="E511" s="234">
        <v>2</v>
      </c>
      <c r="G511" s="458" t="s">
        <v>42</v>
      </c>
      <c r="H511" s="493" t="s">
        <v>1238</v>
      </c>
      <c r="I511" s="494" t="s">
        <v>3808</v>
      </c>
      <c r="J511" s="461" t="s">
        <v>2876</v>
      </c>
      <c r="K511" s="496" t="s">
        <v>641</v>
      </c>
      <c r="L511" s="497" t="e">
        <v>#REF!</v>
      </c>
      <c r="M511" s="497">
        <v>96.523220999999992</v>
      </c>
      <c r="N511" s="464"/>
      <c r="O511" s="498"/>
      <c r="P511" s="431" t="s">
        <v>6711</v>
      </c>
    </row>
    <row r="512" spans="1:16" ht="13.5" hidden="1" customHeight="1" outlineLevel="3" x14ac:dyDescent="0.2">
      <c r="A512" s="233">
        <v>0</v>
      </c>
      <c r="B512" s="233">
        <v>5</v>
      </c>
      <c r="C512" s="233">
        <v>8</v>
      </c>
      <c r="D512" s="234">
        <v>4</v>
      </c>
      <c r="E512" s="234">
        <v>3</v>
      </c>
      <c r="G512" s="458" t="s">
        <v>42</v>
      </c>
      <c r="H512" s="493" t="s">
        <v>1238</v>
      </c>
      <c r="I512" s="494" t="s">
        <v>3809</v>
      </c>
      <c r="J512" s="461" t="s">
        <v>2879</v>
      </c>
      <c r="K512" s="496" t="s">
        <v>641</v>
      </c>
      <c r="L512" s="497" t="e">
        <v>#REF!</v>
      </c>
      <c r="M512" s="497">
        <v>165.70309900000001</v>
      </c>
      <c r="N512" s="464"/>
      <c r="O512" s="498"/>
      <c r="P512" s="431" t="s">
        <v>6711</v>
      </c>
    </row>
    <row r="513" spans="1:16" ht="13.5" hidden="1" customHeight="1" outlineLevel="2" x14ac:dyDescent="0.2">
      <c r="A513" s="233">
        <v>0</v>
      </c>
      <c r="B513" s="233">
        <v>5</v>
      </c>
      <c r="C513" s="233">
        <v>8</v>
      </c>
      <c r="D513" s="234">
        <v>5</v>
      </c>
      <c r="E513" s="234">
        <v>0</v>
      </c>
      <c r="G513" s="450"/>
      <c r="H513" s="487" t="s">
        <v>1237</v>
      </c>
      <c r="I513" s="488" t="s">
        <v>3810</v>
      </c>
      <c r="J513" s="489" t="s">
        <v>14</v>
      </c>
      <c r="K513" s="490"/>
      <c r="L513" s="491"/>
      <c r="M513" s="491"/>
      <c r="N513" s="456"/>
      <c r="O513" s="492"/>
      <c r="P513" s="430"/>
    </row>
    <row r="514" spans="1:16" ht="13.5" hidden="1" customHeight="1" outlineLevel="3" x14ac:dyDescent="0.2">
      <c r="A514" s="233">
        <v>0</v>
      </c>
      <c r="B514" s="233">
        <v>5</v>
      </c>
      <c r="C514" s="233">
        <v>8</v>
      </c>
      <c r="D514" s="234">
        <v>5</v>
      </c>
      <c r="E514" s="234">
        <v>1</v>
      </c>
      <c r="G514" s="458" t="s">
        <v>42</v>
      </c>
      <c r="H514" s="493" t="s">
        <v>1238</v>
      </c>
      <c r="I514" s="494" t="s">
        <v>3811</v>
      </c>
      <c r="J514" s="495" t="s">
        <v>431</v>
      </c>
      <c r="K514" s="496" t="s">
        <v>641</v>
      </c>
      <c r="L514" s="497" t="e">
        <v>#REF!</v>
      </c>
      <c r="M514" s="497">
        <v>47</v>
      </c>
      <c r="N514" s="464"/>
      <c r="O514" s="498"/>
      <c r="P514" s="431" t="s">
        <v>6711</v>
      </c>
    </row>
    <row r="515" spans="1:16" ht="13.5" hidden="1" customHeight="1" outlineLevel="3" x14ac:dyDescent="0.2">
      <c r="A515" s="233">
        <v>0</v>
      </c>
      <c r="B515" s="233">
        <v>5</v>
      </c>
      <c r="C515" s="233">
        <v>8</v>
      </c>
      <c r="D515" s="234">
        <v>5</v>
      </c>
      <c r="E515" s="234">
        <v>2</v>
      </c>
      <c r="G515" s="458" t="s">
        <v>42</v>
      </c>
      <c r="H515" s="493" t="s">
        <v>1238</v>
      </c>
      <c r="I515" s="494" t="s">
        <v>3812</v>
      </c>
      <c r="J515" s="495" t="s">
        <v>433</v>
      </c>
      <c r="K515" s="496" t="s">
        <v>641</v>
      </c>
      <c r="L515" s="497" t="e">
        <v>#REF!</v>
      </c>
      <c r="M515" s="497">
        <v>47</v>
      </c>
      <c r="N515" s="464"/>
      <c r="O515" s="498"/>
      <c r="P515" s="431" t="s">
        <v>6711</v>
      </c>
    </row>
    <row r="516" spans="1:16" ht="13.5" hidden="1" customHeight="1" outlineLevel="3" x14ac:dyDescent="0.2">
      <c r="A516" s="233">
        <v>0</v>
      </c>
      <c r="B516" s="233">
        <v>5</v>
      </c>
      <c r="C516" s="233">
        <v>8</v>
      </c>
      <c r="D516" s="234">
        <v>5</v>
      </c>
      <c r="E516" s="234">
        <v>3</v>
      </c>
      <c r="G516" s="458" t="s">
        <v>42</v>
      </c>
      <c r="H516" s="493" t="s">
        <v>1238</v>
      </c>
      <c r="I516" s="494" t="s">
        <v>3813</v>
      </c>
      <c r="J516" s="461" t="s">
        <v>2885</v>
      </c>
      <c r="K516" s="496" t="s">
        <v>641</v>
      </c>
      <c r="L516" s="463" t="e">
        <v>#REF!</v>
      </c>
      <c r="M516" s="497" t="e">
        <v>#REF!</v>
      </c>
      <c r="N516" s="464"/>
      <c r="O516" s="498"/>
      <c r="P516" s="431" t="s">
        <v>6711</v>
      </c>
    </row>
    <row r="517" spans="1:16" ht="13.5" hidden="1" customHeight="1" outlineLevel="1" x14ac:dyDescent="0.2">
      <c r="A517" s="233">
        <v>0</v>
      </c>
      <c r="B517" s="233">
        <v>5</v>
      </c>
      <c r="C517" s="233">
        <v>9</v>
      </c>
      <c r="D517" s="234">
        <v>0</v>
      </c>
      <c r="E517" s="234">
        <v>3</v>
      </c>
      <c r="G517" s="443"/>
      <c r="H517" s="481" t="s">
        <v>38</v>
      </c>
      <c r="I517" s="482" t="s">
        <v>3814</v>
      </c>
      <c r="J517" s="483" t="s">
        <v>2311</v>
      </c>
      <c r="K517" s="484"/>
      <c r="L517" s="485"/>
      <c r="M517" s="485"/>
      <c r="N517" s="449"/>
      <c r="O517" s="486"/>
      <c r="P517" s="429"/>
    </row>
    <row r="518" spans="1:16" ht="13.5" hidden="1" customHeight="1" outlineLevel="2" x14ac:dyDescent="0.2">
      <c r="A518" s="233">
        <v>0</v>
      </c>
      <c r="B518" s="233">
        <v>5</v>
      </c>
      <c r="C518" s="233">
        <v>9</v>
      </c>
      <c r="D518" s="234">
        <v>1</v>
      </c>
      <c r="E518" s="234">
        <v>0</v>
      </c>
      <c r="G518" s="450"/>
      <c r="H518" s="487" t="s">
        <v>1237</v>
      </c>
      <c r="I518" s="488" t="s">
        <v>3815</v>
      </c>
      <c r="J518" s="489" t="s">
        <v>2288</v>
      </c>
      <c r="K518" s="490"/>
      <c r="L518" s="491"/>
      <c r="M518" s="491"/>
      <c r="N518" s="456"/>
      <c r="O518" s="492"/>
      <c r="P518" s="430"/>
    </row>
    <row r="519" spans="1:16" ht="13.5" hidden="1" customHeight="1" outlineLevel="3" x14ac:dyDescent="0.2">
      <c r="A519" s="233">
        <v>0</v>
      </c>
      <c r="B519" s="233">
        <v>5</v>
      </c>
      <c r="C519" s="233">
        <v>9</v>
      </c>
      <c r="D519" s="234">
        <v>1</v>
      </c>
      <c r="E519" s="234">
        <v>1</v>
      </c>
      <c r="G519" s="458" t="s">
        <v>42</v>
      </c>
      <c r="H519" s="493" t="s">
        <v>1238</v>
      </c>
      <c r="I519" s="494" t="s">
        <v>3816</v>
      </c>
      <c r="J519" s="495" t="s">
        <v>2283</v>
      </c>
      <c r="K519" s="496" t="s">
        <v>641</v>
      </c>
      <c r="L519" s="497" t="e">
        <v>#REF!</v>
      </c>
      <c r="M519" s="497">
        <v>35.099999999999994</v>
      </c>
      <c r="N519" s="464"/>
      <c r="O519" s="498"/>
      <c r="P519" s="431" t="s">
        <v>6711</v>
      </c>
    </row>
    <row r="520" spans="1:16" ht="13.5" hidden="1" customHeight="1" outlineLevel="2" x14ac:dyDescent="0.2">
      <c r="A520" s="233">
        <v>0</v>
      </c>
      <c r="B520" s="233">
        <v>5</v>
      </c>
      <c r="C520" s="233">
        <v>9</v>
      </c>
      <c r="D520" s="234">
        <v>2</v>
      </c>
      <c r="E520" s="234">
        <v>0</v>
      </c>
      <c r="G520" s="450"/>
      <c r="H520" s="487" t="s">
        <v>1237</v>
      </c>
      <c r="I520" s="488" t="s">
        <v>3817</v>
      </c>
      <c r="J520" s="489" t="s">
        <v>1295</v>
      </c>
      <c r="K520" s="490"/>
      <c r="L520" s="491"/>
      <c r="M520" s="491"/>
      <c r="N520" s="456"/>
      <c r="O520" s="492"/>
      <c r="P520" s="430"/>
    </row>
    <row r="521" spans="1:16" ht="13.5" hidden="1" customHeight="1" outlineLevel="3" x14ac:dyDescent="0.2">
      <c r="A521" s="233">
        <v>0</v>
      </c>
      <c r="B521" s="233">
        <v>5</v>
      </c>
      <c r="C521" s="233">
        <v>9</v>
      </c>
      <c r="D521" s="234">
        <v>2</v>
      </c>
      <c r="E521" s="234">
        <v>1</v>
      </c>
      <c r="G521" s="458" t="s">
        <v>42</v>
      </c>
      <c r="H521" s="493" t="s">
        <v>1238</v>
      </c>
      <c r="I521" s="494" t="s">
        <v>3818</v>
      </c>
      <c r="J521" s="495" t="s">
        <v>1308</v>
      </c>
      <c r="K521" s="496" t="s">
        <v>641</v>
      </c>
      <c r="L521" s="497" t="e">
        <v>#REF!</v>
      </c>
      <c r="M521" s="497">
        <v>82.960000000000008</v>
      </c>
      <c r="N521" s="464"/>
      <c r="O521" s="498"/>
      <c r="P521" s="431" t="s">
        <v>6711</v>
      </c>
    </row>
    <row r="522" spans="1:16" ht="13.5" hidden="1" customHeight="1" outlineLevel="2" x14ac:dyDescent="0.2">
      <c r="A522" s="233">
        <v>0</v>
      </c>
      <c r="B522" s="233">
        <v>5</v>
      </c>
      <c r="C522" s="233">
        <v>9</v>
      </c>
      <c r="D522" s="234">
        <v>3</v>
      </c>
      <c r="E522" s="234">
        <v>0</v>
      </c>
      <c r="G522" s="450"/>
      <c r="H522" s="487" t="s">
        <v>1237</v>
      </c>
      <c r="I522" s="488" t="s">
        <v>3819</v>
      </c>
      <c r="J522" s="489" t="s">
        <v>1250</v>
      </c>
      <c r="K522" s="490"/>
      <c r="L522" s="491"/>
      <c r="M522" s="491"/>
      <c r="N522" s="456"/>
      <c r="O522" s="492"/>
      <c r="P522" s="430"/>
    </row>
    <row r="523" spans="1:16" ht="13.5" hidden="1" customHeight="1" outlineLevel="3" x14ac:dyDescent="0.2">
      <c r="A523" s="233">
        <v>0</v>
      </c>
      <c r="B523" s="233">
        <v>5</v>
      </c>
      <c r="C523" s="233">
        <v>9</v>
      </c>
      <c r="D523" s="234">
        <v>3</v>
      </c>
      <c r="E523" s="234">
        <v>1</v>
      </c>
      <c r="G523" s="458" t="s">
        <v>42</v>
      </c>
      <c r="H523" s="493" t="s">
        <v>1238</v>
      </c>
      <c r="I523" s="494" t="s">
        <v>3820</v>
      </c>
      <c r="J523" s="495" t="s">
        <v>1251</v>
      </c>
      <c r="K523" s="496" t="s">
        <v>787</v>
      </c>
      <c r="L523" s="497" t="e">
        <v>#REF!</v>
      </c>
      <c r="M523" s="497">
        <v>14.787500000000001</v>
      </c>
      <c r="N523" s="464"/>
      <c r="O523" s="498"/>
      <c r="P523" s="431" t="s">
        <v>6711</v>
      </c>
    </row>
    <row r="524" spans="1:16" ht="13.5" hidden="1" customHeight="1" outlineLevel="3" x14ac:dyDescent="0.2">
      <c r="A524" s="233">
        <v>0</v>
      </c>
      <c r="B524" s="233">
        <v>5</v>
      </c>
      <c r="C524" s="233">
        <v>9</v>
      </c>
      <c r="D524" s="234">
        <v>3</v>
      </c>
      <c r="E524" s="234">
        <v>2</v>
      </c>
      <c r="G524" s="458" t="s">
        <v>42</v>
      </c>
      <c r="H524" s="493" t="s">
        <v>1238</v>
      </c>
      <c r="I524" s="494" t="s">
        <v>3821</v>
      </c>
      <c r="J524" s="495" t="s">
        <v>392</v>
      </c>
      <c r="K524" s="496" t="s">
        <v>533</v>
      </c>
      <c r="L524" s="497" t="e">
        <v>#REF!</v>
      </c>
      <c r="M524" s="497">
        <v>4.1071999999999997</v>
      </c>
      <c r="N524" s="464"/>
      <c r="O524" s="498"/>
      <c r="P524" s="431" t="s">
        <v>6711</v>
      </c>
    </row>
    <row r="525" spans="1:16" ht="13.5" hidden="1" customHeight="1" outlineLevel="3" x14ac:dyDescent="0.2">
      <c r="A525" s="233">
        <v>0</v>
      </c>
      <c r="B525" s="233">
        <v>5</v>
      </c>
      <c r="C525" s="233">
        <v>9</v>
      </c>
      <c r="D525" s="234">
        <v>3</v>
      </c>
      <c r="E525" s="234">
        <v>3</v>
      </c>
      <c r="G525" s="458" t="s">
        <v>42</v>
      </c>
      <c r="H525" s="493" t="s">
        <v>1238</v>
      </c>
      <c r="I525" s="494" t="s">
        <v>3822</v>
      </c>
      <c r="J525" s="495" t="s">
        <v>396</v>
      </c>
      <c r="K525" s="496" t="s">
        <v>787</v>
      </c>
      <c r="L525" s="497" t="e">
        <v>#REF!</v>
      </c>
      <c r="M525" s="497">
        <v>79.403675710539517</v>
      </c>
      <c r="N525" s="464"/>
      <c r="O525" s="498"/>
      <c r="P525" s="431" t="s">
        <v>6711</v>
      </c>
    </row>
    <row r="526" spans="1:16" ht="13.5" hidden="1" customHeight="1" outlineLevel="3" x14ac:dyDescent="0.2">
      <c r="A526" s="233">
        <v>0</v>
      </c>
      <c r="B526" s="233">
        <v>5</v>
      </c>
      <c r="C526" s="233">
        <v>9</v>
      </c>
      <c r="D526" s="234">
        <v>3</v>
      </c>
      <c r="E526" s="234">
        <v>4</v>
      </c>
      <c r="G526" s="458" t="s">
        <v>42</v>
      </c>
      <c r="H526" s="493" t="s">
        <v>1238</v>
      </c>
      <c r="I526" s="494" t="s">
        <v>3823</v>
      </c>
      <c r="J526" s="495" t="s">
        <v>439</v>
      </c>
      <c r="K526" s="496" t="s">
        <v>533</v>
      </c>
      <c r="L526" s="497">
        <v>2</v>
      </c>
      <c r="M526" s="497">
        <v>1800</v>
      </c>
      <c r="N526" s="464">
        <v>3600</v>
      </c>
      <c r="O526" s="498"/>
      <c r="P526" s="431" t="s">
        <v>6711</v>
      </c>
    </row>
    <row r="527" spans="1:16" ht="13.5" hidden="1" customHeight="1" outlineLevel="2" x14ac:dyDescent="0.2">
      <c r="A527" s="233">
        <v>0</v>
      </c>
      <c r="B527" s="233">
        <v>5</v>
      </c>
      <c r="C527" s="233">
        <v>9</v>
      </c>
      <c r="D527" s="234">
        <v>4</v>
      </c>
      <c r="E527" s="234">
        <v>0</v>
      </c>
      <c r="G527" s="450"/>
      <c r="H527" s="487" t="s">
        <v>1237</v>
      </c>
      <c r="I527" s="488" t="s">
        <v>3824</v>
      </c>
      <c r="J527" s="489" t="s">
        <v>1312</v>
      </c>
      <c r="K527" s="490"/>
      <c r="L527" s="491"/>
      <c r="M527" s="491"/>
      <c r="N527" s="456"/>
      <c r="O527" s="492"/>
      <c r="P527" s="430"/>
    </row>
    <row r="528" spans="1:16" ht="13.5" hidden="1" customHeight="1" outlineLevel="3" x14ac:dyDescent="0.2">
      <c r="A528" s="233">
        <v>0</v>
      </c>
      <c r="B528" s="233">
        <v>5</v>
      </c>
      <c r="C528" s="233">
        <v>9</v>
      </c>
      <c r="D528" s="234">
        <v>4</v>
      </c>
      <c r="E528" s="234">
        <v>1</v>
      </c>
      <c r="G528" s="458" t="s">
        <v>42</v>
      </c>
      <c r="H528" s="493" t="s">
        <v>1238</v>
      </c>
      <c r="I528" s="494" t="s">
        <v>3825</v>
      </c>
      <c r="J528" s="461" t="s">
        <v>2874</v>
      </c>
      <c r="K528" s="496" t="s">
        <v>641</v>
      </c>
      <c r="L528" s="497" t="e">
        <v>#REF!</v>
      </c>
      <c r="M528" s="497">
        <v>103.175377</v>
      </c>
      <c r="N528" s="464"/>
      <c r="O528" s="498"/>
      <c r="P528" s="431" t="s">
        <v>6711</v>
      </c>
    </row>
    <row r="529" spans="1:16" ht="13.5" hidden="1" customHeight="1" outlineLevel="3" x14ac:dyDescent="0.2">
      <c r="A529" s="233">
        <v>0</v>
      </c>
      <c r="B529" s="233">
        <v>5</v>
      </c>
      <c r="C529" s="233">
        <v>9</v>
      </c>
      <c r="D529" s="234">
        <v>4</v>
      </c>
      <c r="E529" s="234">
        <v>2</v>
      </c>
      <c r="G529" s="458" t="s">
        <v>42</v>
      </c>
      <c r="H529" s="493" t="s">
        <v>1238</v>
      </c>
      <c r="I529" s="494" t="s">
        <v>3826</v>
      </c>
      <c r="J529" s="461" t="s">
        <v>2875</v>
      </c>
      <c r="K529" s="496" t="s">
        <v>641</v>
      </c>
      <c r="L529" s="497" t="e">
        <v>#REF!</v>
      </c>
      <c r="M529" s="497">
        <v>95.867556999999991</v>
      </c>
      <c r="N529" s="464"/>
      <c r="O529" s="498"/>
      <c r="P529" s="431" t="s">
        <v>6711</v>
      </c>
    </row>
    <row r="530" spans="1:16" ht="13.5" hidden="1" customHeight="1" outlineLevel="3" x14ac:dyDescent="0.2">
      <c r="A530" s="233">
        <v>0</v>
      </c>
      <c r="B530" s="233">
        <v>5</v>
      </c>
      <c r="C530" s="233">
        <v>9</v>
      </c>
      <c r="D530" s="234">
        <v>4</v>
      </c>
      <c r="E530" s="234">
        <v>3</v>
      </c>
      <c r="G530" s="458" t="s">
        <v>42</v>
      </c>
      <c r="H530" s="493" t="s">
        <v>1238</v>
      </c>
      <c r="I530" s="494" t="s">
        <v>3827</v>
      </c>
      <c r="J530" s="461" t="s">
        <v>2879</v>
      </c>
      <c r="K530" s="496" t="s">
        <v>641</v>
      </c>
      <c r="L530" s="497" t="e">
        <v>#REF!</v>
      </c>
      <c r="M530" s="497">
        <v>165.70309900000001</v>
      </c>
      <c r="N530" s="464"/>
      <c r="O530" s="498"/>
      <c r="P530" s="431" t="s">
        <v>6711</v>
      </c>
    </row>
    <row r="531" spans="1:16" ht="13.5" hidden="1" customHeight="1" outlineLevel="2" x14ac:dyDescent="0.2">
      <c r="A531" s="233">
        <v>0</v>
      </c>
      <c r="B531" s="233">
        <v>5</v>
      </c>
      <c r="C531" s="233">
        <v>9</v>
      </c>
      <c r="D531" s="234">
        <v>5</v>
      </c>
      <c r="E531" s="234">
        <v>0</v>
      </c>
      <c r="G531" s="450"/>
      <c r="H531" s="487" t="s">
        <v>1237</v>
      </c>
      <c r="I531" s="488" t="s">
        <v>3828</v>
      </c>
      <c r="J531" s="489" t="s">
        <v>14</v>
      </c>
      <c r="K531" s="490"/>
      <c r="L531" s="491"/>
      <c r="M531" s="491"/>
      <c r="N531" s="456"/>
      <c r="O531" s="492"/>
      <c r="P531" s="430"/>
    </row>
    <row r="532" spans="1:16" ht="13.5" hidden="1" customHeight="1" outlineLevel="3" x14ac:dyDescent="0.2">
      <c r="A532" s="233">
        <v>0</v>
      </c>
      <c r="B532" s="233">
        <v>5</v>
      </c>
      <c r="C532" s="233">
        <v>9</v>
      </c>
      <c r="D532" s="234">
        <v>5</v>
      </c>
      <c r="E532" s="234">
        <v>1</v>
      </c>
      <c r="G532" s="458" t="s">
        <v>42</v>
      </c>
      <c r="H532" s="493" t="s">
        <v>1238</v>
      </c>
      <c r="I532" s="494" t="s">
        <v>3829</v>
      </c>
      <c r="J532" s="495" t="s">
        <v>431</v>
      </c>
      <c r="K532" s="496" t="s">
        <v>641</v>
      </c>
      <c r="L532" s="497" t="e">
        <v>#REF!</v>
      </c>
      <c r="M532" s="497">
        <v>47</v>
      </c>
      <c r="N532" s="464"/>
      <c r="O532" s="498"/>
      <c r="P532" s="431" t="s">
        <v>6711</v>
      </c>
    </row>
    <row r="533" spans="1:16" ht="13.5" hidden="1" customHeight="1" outlineLevel="3" x14ac:dyDescent="0.2">
      <c r="A533" s="233">
        <v>0</v>
      </c>
      <c r="B533" s="233">
        <v>5</v>
      </c>
      <c r="C533" s="233">
        <v>9</v>
      </c>
      <c r="D533" s="234">
        <v>5</v>
      </c>
      <c r="E533" s="234">
        <v>2</v>
      </c>
      <c r="G533" s="458" t="s">
        <v>42</v>
      </c>
      <c r="H533" s="493" t="s">
        <v>1238</v>
      </c>
      <c r="I533" s="494" t="s">
        <v>3830</v>
      </c>
      <c r="J533" s="495" t="s">
        <v>433</v>
      </c>
      <c r="K533" s="496" t="s">
        <v>641</v>
      </c>
      <c r="L533" s="497" t="e">
        <v>#REF!</v>
      </c>
      <c r="M533" s="497">
        <v>47</v>
      </c>
      <c r="N533" s="464"/>
      <c r="O533" s="498"/>
      <c r="P533" s="431" t="s">
        <v>6711</v>
      </c>
    </row>
    <row r="534" spans="1:16" ht="13.5" hidden="1" customHeight="1" outlineLevel="3" x14ac:dyDescent="0.2">
      <c r="A534" s="233">
        <v>0</v>
      </c>
      <c r="B534" s="233">
        <v>5</v>
      </c>
      <c r="C534" s="233">
        <v>9</v>
      </c>
      <c r="D534" s="234">
        <v>5</v>
      </c>
      <c r="E534" s="234">
        <v>3</v>
      </c>
      <c r="G534" s="458" t="s">
        <v>42</v>
      </c>
      <c r="H534" s="493" t="s">
        <v>1238</v>
      </c>
      <c r="I534" s="494" t="s">
        <v>3831</v>
      </c>
      <c r="J534" s="461" t="s">
        <v>2885</v>
      </c>
      <c r="K534" s="496" t="s">
        <v>641</v>
      </c>
      <c r="L534" s="463" t="e">
        <v>#REF!</v>
      </c>
      <c r="M534" s="497" t="e">
        <v>#REF!</v>
      </c>
      <c r="N534" s="464"/>
      <c r="O534" s="498"/>
      <c r="P534" s="431" t="s">
        <v>6711</v>
      </c>
    </row>
    <row r="535" spans="1:16" ht="13.5" hidden="1" customHeight="1" outlineLevel="1" x14ac:dyDescent="0.2">
      <c r="A535" s="233">
        <v>0</v>
      </c>
      <c r="B535" s="233">
        <v>5</v>
      </c>
      <c r="C535" s="233">
        <v>10</v>
      </c>
      <c r="D535" s="234">
        <v>0</v>
      </c>
      <c r="E535" s="234">
        <v>3</v>
      </c>
      <c r="G535" s="443"/>
      <c r="H535" s="481" t="s">
        <v>38</v>
      </c>
      <c r="I535" s="482" t="s">
        <v>3832</v>
      </c>
      <c r="J535" s="483" t="s">
        <v>2312</v>
      </c>
      <c r="K535" s="484"/>
      <c r="L535" s="485"/>
      <c r="M535" s="485"/>
      <c r="N535" s="449"/>
      <c r="O535" s="486"/>
      <c r="P535" s="429"/>
    </row>
    <row r="536" spans="1:16" ht="13.5" hidden="1" customHeight="1" outlineLevel="2" x14ac:dyDescent="0.2">
      <c r="A536" s="233">
        <v>0</v>
      </c>
      <c r="B536" s="233">
        <v>5</v>
      </c>
      <c r="C536" s="233">
        <v>10</v>
      </c>
      <c r="D536" s="234">
        <v>1</v>
      </c>
      <c r="E536" s="234">
        <v>0</v>
      </c>
      <c r="G536" s="450"/>
      <c r="H536" s="487" t="s">
        <v>1237</v>
      </c>
      <c r="I536" s="488" t="s">
        <v>3833</v>
      </c>
      <c r="J536" s="489" t="s">
        <v>2288</v>
      </c>
      <c r="K536" s="490"/>
      <c r="L536" s="491"/>
      <c r="M536" s="491"/>
      <c r="N536" s="456"/>
      <c r="O536" s="492"/>
      <c r="P536" s="430"/>
    </row>
    <row r="537" spans="1:16" ht="13.5" hidden="1" customHeight="1" outlineLevel="3" x14ac:dyDescent="0.2">
      <c r="A537" s="233">
        <v>0</v>
      </c>
      <c r="B537" s="233">
        <v>5</v>
      </c>
      <c r="C537" s="233">
        <v>10</v>
      </c>
      <c r="D537" s="234">
        <v>1</v>
      </c>
      <c r="E537" s="234">
        <v>1</v>
      </c>
      <c r="G537" s="458" t="s">
        <v>42</v>
      </c>
      <c r="H537" s="493" t="s">
        <v>1238</v>
      </c>
      <c r="I537" s="494" t="s">
        <v>3834</v>
      </c>
      <c r="J537" s="495" t="s">
        <v>2283</v>
      </c>
      <c r="K537" s="496" t="s">
        <v>641</v>
      </c>
      <c r="L537" s="497" t="e">
        <v>#REF!</v>
      </c>
      <c r="M537" s="497">
        <v>35.099999999999994</v>
      </c>
      <c r="N537" s="464"/>
      <c r="O537" s="498"/>
      <c r="P537" s="431" t="s">
        <v>6711</v>
      </c>
    </row>
    <row r="538" spans="1:16" ht="13.5" hidden="1" customHeight="1" outlineLevel="2" x14ac:dyDescent="0.2">
      <c r="A538" s="233">
        <v>0</v>
      </c>
      <c r="B538" s="233">
        <v>5</v>
      </c>
      <c r="C538" s="233">
        <v>10</v>
      </c>
      <c r="D538" s="234">
        <v>2</v>
      </c>
      <c r="E538" s="234">
        <v>0</v>
      </c>
      <c r="G538" s="450"/>
      <c r="H538" s="487" t="s">
        <v>1237</v>
      </c>
      <c r="I538" s="488" t="s">
        <v>3835</v>
      </c>
      <c r="J538" s="489" t="s">
        <v>1295</v>
      </c>
      <c r="K538" s="490"/>
      <c r="L538" s="491"/>
      <c r="M538" s="491"/>
      <c r="N538" s="456"/>
      <c r="O538" s="492"/>
      <c r="P538" s="430"/>
    </row>
    <row r="539" spans="1:16" ht="13.5" hidden="1" customHeight="1" outlineLevel="3" x14ac:dyDescent="0.2">
      <c r="A539" s="233">
        <v>0</v>
      </c>
      <c r="B539" s="233">
        <v>5</v>
      </c>
      <c r="C539" s="233">
        <v>10</v>
      </c>
      <c r="D539" s="234">
        <v>2</v>
      </c>
      <c r="E539" s="234">
        <v>1</v>
      </c>
      <c r="G539" s="458" t="s">
        <v>42</v>
      </c>
      <c r="H539" s="493" t="s">
        <v>1238</v>
      </c>
      <c r="I539" s="494" t="s">
        <v>3836</v>
      </c>
      <c r="J539" s="495" t="s">
        <v>1308</v>
      </c>
      <c r="K539" s="496" t="s">
        <v>641</v>
      </c>
      <c r="L539" s="497" t="e">
        <v>#REF!</v>
      </c>
      <c r="M539" s="497">
        <v>82.960000000000008</v>
      </c>
      <c r="N539" s="464"/>
      <c r="O539" s="498"/>
      <c r="P539" s="431" t="s">
        <v>6711</v>
      </c>
    </row>
    <row r="540" spans="1:16" ht="13.5" hidden="1" customHeight="1" outlineLevel="2" x14ac:dyDescent="0.2">
      <c r="A540" s="233">
        <v>0</v>
      </c>
      <c r="B540" s="233">
        <v>5</v>
      </c>
      <c r="C540" s="233">
        <v>10</v>
      </c>
      <c r="D540" s="234">
        <v>3</v>
      </c>
      <c r="E540" s="234">
        <v>0</v>
      </c>
      <c r="G540" s="450"/>
      <c r="H540" s="487" t="s">
        <v>1237</v>
      </c>
      <c r="I540" s="488" t="s">
        <v>3837</v>
      </c>
      <c r="J540" s="489" t="s">
        <v>1250</v>
      </c>
      <c r="K540" s="490"/>
      <c r="L540" s="491"/>
      <c r="M540" s="491"/>
      <c r="N540" s="456"/>
      <c r="O540" s="492"/>
      <c r="P540" s="430"/>
    </row>
    <row r="541" spans="1:16" ht="13.5" hidden="1" customHeight="1" outlineLevel="3" x14ac:dyDescent="0.2">
      <c r="A541" s="233">
        <v>0</v>
      </c>
      <c r="B541" s="233">
        <v>5</v>
      </c>
      <c r="C541" s="233">
        <v>10</v>
      </c>
      <c r="D541" s="234">
        <v>3</v>
      </c>
      <c r="E541" s="234">
        <v>1</v>
      </c>
      <c r="G541" s="458" t="s">
        <v>42</v>
      </c>
      <c r="H541" s="493" t="s">
        <v>1238</v>
      </c>
      <c r="I541" s="494" t="s">
        <v>3838</v>
      </c>
      <c r="J541" s="495" t="s">
        <v>1251</v>
      </c>
      <c r="K541" s="496" t="s">
        <v>787</v>
      </c>
      <c r="L541" s="497" t="e">
        <v>#REF!</v>
      </c>
      <c r="M541" s="497">
        <v>14.787500000000001</v>
      </c>
      <c r="N541" s="464"/>
      <c r="O541" s="498"/>
      <c r="P541" s="431" t="s">
        <v>6711</v>
      </c>
    </row>
    <row r="542" spans="1:16" ht="13.5" hidden="1" customHeight="1" outlineLevel="3" x14ac:dyDescent="0.2">
      <c r="A542" s="233">
        <v>0</v>
      </c>
      <c r="B542" s="233">
        <v>5</v>
      </c>
      <c r="C542" s="233">
        <v>10</v>
      </c>
      <c r="D542" s="234">
        <v>3</v>
      </c>
      <c r="E542" s="234">
        <v>2</v>
      </c>
      <c r="G542" s="458" t="s">
        <v>42</v>
      </c>
      <c r="H542" s="493" t="s">
        <v>1238</v>
      </c>
      <c r="I542" s="494" t="s">
        <v>3839</v>
      </c>
      <c r="J542" s="495" t="s">
        <v>392</v>
      </c>
      <c r="K542" s="496" t="s">
        <v>533</v>
      </c>
      <c r="L542" s="497" t="e">
        <v>#REF!</v>
      </c>
      <c r="M542" s="497">
        <v>4.1071999999999997</v>
      </c>
      <c r="N542" s="464"/>
      <c r="O542" s="498"/>
      <c r="P542" s="431" t="s">
        <v>6711</v>
      </c>
    </row>
    <row r="543" spans="1:16" ht="13.5" hidden="1" customHeight="1" outlineLevel="3" x14ac:dyDescent="0.2">
      <c r="A543" s="233">
        <v>0</v>
      </c>
      <c r="B543" s="233">
        <v>5</v>
      </c>
      <c r="C543" s="233">
        <v>10</v>
      </c>
      <c r="D543" s="234">
        <v>3</v>
      </c>
      <c r="E543" s="234">
        <v>3</v>
      </c>
      <c r="G543" s="458" t="s">
        <v>42</v>
      </c>
      <c r="H543" s="493" t="s">
        <v>1238</v>
      </c>
      <c r="I543" s="494" t="s">
        <v>3840</v>
      </c>
      <c r="J543" s="495" t="s">
        <v>396</v>
      </c>
      <c r="K543" s="496" t="s">
        <v>787</v>
      </c>
      <c r="L543" s="497" t="e">
        <v>#REF!</v>
      </c>
      <c r="M543" s="497">
        <v>79.403675710539517</v>
      </c>
      <c r="N543" s="464"/>
      <c r="O543" s="498"/>
      <c r="P543" s="431" t="s">
        <v>6711</v>
      </c>
    </row>
    <row r="544" spans="1:16" ht="13.5" hidden="1" customHeight="1" outlineLevel="3" x14ac:dyDescent="0.2">
      <c r="A544" s="233">
        <v>0</v>
      </c>
      <c r="B544" s="233">
        <v>5</v>
      </c>
      <c r="C544" s="233">
        <v>10</v>
      </c>
      <c r="D544" s="234">
        <v>3</v>
      </c>
      <c r="E544" s="234">
        <v>4</v>
      </c>
      <c r="G544" s="458" t="s">
        <v>42</v>
      </c>
      <c r="H544" s="493" t="s">
        <v>1238</v>
      </c>
      <c r="I544" s="494" t="s">
        <v>3841</v>
      </c>
      <c r="J544" s="495" t="s">
        <v>439</v>
      </c>
      <c r="K544" s="496" t="s">
        <v>533</v>
      </c>
      <c r="L544" s="497">
        <v>16</v>
      </c>
      <c r="M544" s="497">
        <v>1800</v>
      </c>
      <c r="N544" s="464">
        <v>28800</v>
      </c>
      <c r="O544" s="498"/>
      <c r="P544" s="431" t="s">
        <v>6711</v>
      </c>
    </row>
    <row r="545" spans="1:16" ht="13.5" hidden="1" customHeight="1" outlineLevel="2" x14ac:dyDescent="0.2">
      <c r="A545" s="233">
        <v>0</v>
      </c>
      <c r="B545" s="233">
        <v>5</v>
      </c>
      <c r="C545" s="233">
        <v>10</v>
      </c>
      <c r="D545" s="234">
        <v>4</v>
      </c>
      <c r="E545" s="234">
        <v>0</v>
      </c>
      <c r="G545" s="450"/>
      <c r="H545" s="487" t="s">
        <v>1237</v>
      </c>
      <c r="I545" s="488" t="s">
        <v>3842</v>
      </c>
      <c r="J545" s="489" t="s">
        <v>1312</v>
      </c>
      <c r="K545" s="490"/>
      <c r="L545" s="491"/>
      <c r="M545" s="491"/>
      <c r="N545" s="456"/>
      <c r="O545" s="492"/>
      <c r="P545" s="430"/>
    </row>
    <row r="546" spans="1:16" ht="13.5" hidden="1" customHeight="1" outlineLevel="3" x14ac:dyDescent="0.2">
      <c r="A546" s="233">
        <v>0</v>
      </c>
      <c r="B546" s="233">
        <v>5</v>
      </c>
      <c r="C546" s="233">
        <v>10</v>
      </c>
      <c r="D546" s="234">
        <v>4</v>
      </c>
      <c r="E546" s="234">
        <v>1</v>
      </c>
      <c r="G546" s="458" t="s">
        <v>42</v>
      </c>
      <c r="H546" s="493" t="s">
        <v>1238</v>
      </c>
      <c r="I546" s="494" t="s">
        <v>3843</v>
      </c>
      <c r="J546" s="461" t="s">
        <v>2874</v>
      </c>
      <c r="K546" s="496" t="s">
        <v>641</v>
      </c>
      <c r="L546" s="497" t="e">
        <v>#REF!</v>
      </c>
      <c r="M546" s="497">
        <v>103.175377</v>
      </c>
      <c r="N546" s="464"/>
      <c r="O546" s="498"/>
      <c r="P546" s="431" t="s">
        <v>6711</v>
      </c>
    </row>
    <row r="547" spans="1:16" ht="13.5" hidden="1" customHeight="1" outlineLevel="3" x14ac:dyDescent="0.2">
      <c r="A547" s="233">
        <v>0</v>
      </c>
      <c r="B547" s="233">
        <v>5</v>
      </c>
      <c r="C547" s="233">
        <v>10</v>
      </c>
      <c r="D547" s="234">
        <v>4</v>
      </c>
      <c r="E547" s="234">
        <v>2</v>
      </c>
      <c r="G547" s="458" t="s">
        <v>42</v>
      </c>
      <c r="H547" s="493" t="s">
        <v>1238</v>
      </c>
      <c r="I547" s="494" t="s">
        <v>3844</v>
      </c>
      <c r="J547" s="461" t="s">
        <v>2875</v>
      </c>
      <c r="K547" s="496" t="s">
        <v>641</v>
      </c>
      <c r="L547" s="497" t="e">
        <v>#REF!</v>
      </c>
      <c r="M547" s="497">
        <v>95.867556999999991</v>
      </c>
      <c r="N547" s="464"/>
      <c r="O547" s="498"/>
      <c r="P547" s="431" t="s">
        <v>6711</v>
      </c>
    </row>
    <row r="548" spans="1:16" ht="13.5" hidden="1" customHeight="1" outlineLevel="3" x14ac:dyDescent="0.2">
      <c r="A548" s="233">
        <v>0</v>
      </c>
      <c r="B548" s="233">
        <v>5</v>
      </c>
      <c r="C548" s="233">
        <v>10</v>
      </c>
      <c r="D548" s="234">
        <v>4</v>
      </c>
      <c r="E548" s="234">
        <v>3</v>
      </c>
      <c r="G548" s="458" t="s">
        <v>42</v>
      </c>
      <c r="H548" s="493" t="s">
        <v>1238</v>
      </c>
      <c r="I548" s="494" t="s">
        <v>3845</v>
      </c>
      <c r="J548" s="461" t="s">
        <v>2879</v>
      </c>
      <c r="K548" s="496" t="s">
        <v>641</v>
      </c>
      <c r="L548" s="497" t="e">
        <v>#REF!</v>
      </c>
      <c r="M548" s="497">
        <v>165.70309900000001</v>
      </c>
      <c r="N548" s="464"/>
      <c r="O548" s="498"/>
      <c r="P548" s="431" t="s">
        <v>6711</v>
      </c>
    </row>
    <row r="549" spans="1:16" ht="13.5" hidden="1" customHeight="1" outlineLevel="2" x14ac:dyDescent="0.2">
      <c r="A549" s="233">
        <v>0</v>
      </c>
      <c r="B549" s="233">
        <v>5</v>
      </c>
      <c r="C549" s="233">
        <v>10</v>
      </c>
      <c r="D549" s="234">
        <v>5</v>
      </c>
      <c r="E549" s="234">
        <v>0</v>
      </c>
      <c r="G549" s="450"/>
      <c r="H549" s="487" t="s">
        <v>1237</v>
      </c>
      <c r="I549" s="488" t="s">
        <v>3846</v>
      </c>
      <c r="J549" s="489" t="s">
        <v>14</v>
      </c>
      <c r="K549" s="490"/>
      <c r="L549" s="491"/>
      <c r="M549" s="491"/>
      <c r="N549" s="456"/>
      <c r="O549" s="492"/>
      <c r="P549" s="430"/>
    </row>
    <row r="550" spans="1:16" ht="13.5" hidden="1" customHeight="1" outlineLevel="3" x14ac:dyDescent="0.2">
      <c r="A550" s="233">
        <v>0</v>
      </c>
      <c r="B550" s="233">
        <v>5</v>
      </c>
      <c r="C550" s="233">
        <v>10</v>
      </c>
      <c r="D550" s="234">
        <v>5</v>
      </c>
      <c r="E550" s="234">
        <v>1</v>
      </c>
      <c r="G550" s="458" t="s">
        <v>42</v>
      </c>
      <c r="H550" s="493" t="s">
        <v>1238</v>
      </c>
      <c r="I550" s="494" t="s">
        <v>3847</v>
      </c>
      <c r="J550" s="495" t="s">
        <v>431</v>
      </c>
      <c r="K550" s="496" t="s">
        <v>641</v>
      </c>
      <c r="L550" s="497" t="e">
        <v>#REF!</v>
      </c>
      <c r="M550" s="497">
        <v>47</v>
      </c>
      <c r="N550" s="464"/>
      <c r="O550" s="498"/>
      <c r="P550" s="431" t="s">
        <v>6711</v>
      </c>
    </row>
    <row r="551" spans="1:16" ht="13.5" hidden="1" customHeight="1" outlineLevel="3" x14ac:dyDescent="0.2">
      <c r="A551" s="233">
        <v>0</v>
      </c>
      <c r="B551" s="233">
        <v>5</v>
      </c>
      <c r="C551" s="233">
        <v>10</v>
      </c>
      <c r="D551" s="234">
        <v>5</v>
      </c>
      <c r="E551" s="234">
        <v>2</v>
      </c>
      <c r="G551" s="458" t="s">
        <v>42</v>
      </c>
      <c r="H551" s="493" t="s">
        <v>1238</v>
      </c>
      <c r="I551" s="494" t="s">
        <v>3848</v>
      </c>
      <c r="J551" s="495" t="s">
        <v>433</v>
      </c>
      <c r="K551" s="496" t="s">
        <v>641</v>
      </c>
      <c r="L551" s="497" t="e">
        <v>#REF!</v>
      </c>
      <c r="M551" s="497">
        <v>47</v>
      </c>
      <c r="N551" s="464"/>
      <c r="O551" s="498"/>
      <c r="P551" s="431" t="s">
        <v>6711</v>
      </c>
    </row>
    <row r="552" spans="1:16" ht="13.5" hidden="1" customHeight="1" outlineLevel="3" x14ac:dyDescent="0.2">
      <c r="A552" s="233">
        <v>0</v>
      </c>
      <c r="B552" s="233">
        <v>5</v>
      </c>
      <c r="C552" s="233">
        <v>10</v>
      </c>
      <c r="D552" s="234">
        <v>5</v>
      </c>
      <c r="E552" s="234">
        <v>3</v>
      </c>
      <c r="G552" s="458" t="s">
        <v>42</v>
      </c>
      <c r="H552" s="493" t="s">
        <v>1238</v>
      </c>
      <c r="I552" s="494" t="s">
        <v>3849</v>
      </c>
      <c r="J552" s="461" t="s">
        <v>2885</v>
      </c>
      <c r="K552" s="496" t="s">
        <v>641</v>
      </c>
      <c r="L552" s="463" t="e">
        <v>#REF!</v>
      </c>
      <c r="M552" s="497" t="e">
        <v>#REF!</v>
      </c>
      <c r="N552" s="464"/>
      <c r="O552" s="498"/>
      <c r="P552" s="431" t="s">
        <v>6711</v>
      </c>
    </row>
    <row r="553" spans="1:16" ht="13.5" hidden="1" customHeight="1" outlineLevel="1" x14ac:dyDescent="0.2">
      <c r="A553" s="233">
        <v>0</v>
      </c>
      <c r="B553" s="233">
        <v>5</v>
      </c>
      <c r="C553" s="233">
        <v>11</v>
      </c>
      <c r="D553" s="234">
        <v>0</v>
      </c>
      <c r="E553" s="234">
        <v>3</v>
      </c>
      <c r="G553" s="443"/>
      <c r="H553" s="481" t="s">
        <v>38</v>
      </c>
      <c r="I553" s="482" t="s">
        <v>3850</v>
      </c>
      <c r="J553" s="483" t="s">
        <v>2313</v>
      </c>
      <c r="K553" s="484"/>
      <c r="L553" s="485"/>
      <c r="M553" s="485"/>
      <c r="N553" s="449"/>
      <c r="O553" s="486"/>
      <c r="P553" s="429"/>
    </row>
    <row r="554" spans="1:16" ht="13.5" hidden="1" customHeight="1" outlineLevel="2" x14ac:dyDescent="0.2">
      <c r="A554" s="233">
        <v>0</v>
      </c>
      <c r="B554" s="233">
        <v>5</v>
      </c>
      <c r="C554" s="233">
        <v>11</v>
      </c>
      <c r="D554" s="234">
        <v>1</v>
      </c>
      <c r="E554" s="234">
        <v>0</v>
      </c>
      <c r="G554" s="450"/>
      <c r="H554" s="487" t="s">
        <v>1237</v>
      </c>
      <c r="I554" s="488" t="s">
        <v>3851</v>
      </c>
      <c r="J554" s="489" t="s">
        <v>2288</v>
      </c>
      <c r="K554" s="490"/>
      <c r="L554" s="491"/>
      <c r="M554" s="491"/>
      <c r="N554" s="456"/>
      <c r="O554" s="492"/>
      <c r="P554" s="430"/>
    </row>
    <row r="555" spans="1:16" ht="13.5" hidden="1" customHeight="1" outlineLevel="3" x14ac:dyDescent="0.2">
      <c r="A555" s="233">
        <v>0</v>
      </c>
      <c r="B555" s="233">
        <v>5</v>
      </c>
      <c r="C555" s="233">
        <v>11</v>
      </c>
      <c r="D555" s="234">
        <v>1</v>
      </c>
      <c r="E555" s="234">
        <v>1</v>
      </c>
      <c r="G555" s="458" t="s">
        <v>42</v>
      </c>
      <c r="H555" s="493" t="s">
        <v>1238</v>
      </c>
      <c r="I555" s="494" t="s">
        <v>3852</v>
      </c>
      <c r="J555" s="495" t="s">
        <v>2283</v>
      </c>
      <c r="K555" s="496" t="s">
        <v>641</v>
      </c>
      <c r="L555" s="497" t="e">
        <v>#REF!</v>
      </c>
      <c r="M555" s="497">
        <v>35.099999999999994</v>
      </c>
      <c r="N555" s="464"/>
      <c r="O555" s="498"/>
      <c r="P555" s="431" t="s">
        <v>6711</v>
      </c>
    </row>
    <row r="556" spans="1:16" ht="13.5" hidden="1" customHeight="1" outlineLevel="2" x14ac:dyDescent="0.2">
      <c r="A556" s="233">
        <v>0</v>
      </c>
      <c r="B556" s="233">
        <v>5</v>
      </c>
      <c r="C556" s="233">
        <v>11</v>
      </c>
      <c r="D556" s="234">
        <v>2</v>
      </c>
      <c r="E556" s="234">
        <v>0</v>
      </c>
      <c r="G556" s="450"/>
      <c r="H556" s="487" t="s">
        <v>1237</v>
      </c>
      <c r="I556" s="488" t="s">
        <v>3853</v>
      </c>
      <c r="J556" s="489" t="s">
        <v>1295</v>
      </c>
      <c r="K556" s="490"/>
      <c r="L556" s="491"/>
      <c r="M556" s="491"/>
      <c r="N556" s="456"/>
      <c r="O556" s="492"/>
      <c r="P556" s="430"/>
    </row>
    <row r="557" spans="1:16" ht="13.5" hidden="1" customHeight="1" outlineLevel="3" x14ac:dyDescent="0.2">
      <c r="A557" s="233">
        <v>0</v>
      </c>
      <c r="B557" s="233">
        <v>5</v>
      </c>
      <c r="C557" s="233">
        <v>11</v>
      </c>
      <c r="D557" s="234">
        <v>2</v>
      </c>
      <c r="E557" s="234">
        <v>1</v>
      </c>
      <c r="G557" s="458" t="s">
        <v>42</v>
      </c>
      <c r="H557" s="493" t="s">
        <v>1238</v>
      </c>
      <c r="I557" s="494" t="s">
        <v>3854</v>
      </c>
      <c r="J557" s="495" t="s">
        <v>1308</v>
      </c>
      <c r="K557" s="496" t="s">
        <v>641</v>
      </c>
      <c r="L557" s="497" t="e">
        <v>#REF!</v>
      </c>
      <c r="M557" s="497">
        <v>82.960000000000008</v>
      </c>
      <c r="N557" s="464"/>
      <c r="O557" s="498"/>
      <c r="P557" s="431" t="s">
        <v>6711</v>
      </c>
    </row>
    <row r="558" spans="1:16" ht="13.5" hidden="1" customHeight="1" outlineLevel="2" x14ac:dyDescent="0.2">
      <c r="A558" s="233">
        <v>0</v>
      </c>
      <c r="B558" s="233">
        <v>5</v>
      </c>
      <c r="C558" s="233">
        <v>11</v>
      </c>
      <c r="D558" s="234">
        <v>3</v>
      </c>
      <c r="E558" s="234">
        <v>0</v>
      </c>
      <c r="G558" s="450"/>
      <c r="H558" s="487" t="s">
        <v>1237</v>
      </c>
      <c r="I558" s="488" t="s">
        <v>3855</v>
      </c>
      <c r="J558" s="489" t="s">
        <v>1250</v>
      </c>
      <c r="K558" s="490"/>
      <c r="L558" s="491"/>
      <c r="M558" s="491"/>
      <c r="N558" s="456"/>
      <c r="O558" s="492"/>
      <c r="P558" s="430"/>
    </row>
    <row r="559" spans="1:16" ht="13.5" hidden="1" customHeight="1" outlineLevel="3" x14ac:dyDescent="0.2">
      <c r="A559" s="233">
        <v>0</v>
      </c>
      <c r="B559" s="233">
        <v>5</v>
      </c>
      <c r="C559" s="233">
        <v>11</v>
      </c>
      <c r="D559" s="234">
        <v>3</v>
      </c>
      <c r="E559" s="234">
        <v>1</v>
      </c>
      <c r="G559" s="458" t="s">
        <v>42</v>
      </c>
      <c r="H559" s="493" t="s">
        <v>1238</v>
      </c>
      <c r="I559" s="494" t="s">
        <v>3856</v>
      </c>
      <c r="J559" s="495" t="s">
        <v>1251</v>
      </c>
      <c r="K559" s="496" t="s">
        <v>787</v>
      </c>
      <c r="L559" s="497" t="e">
        <v>#REF!</v>
      </c>
      <c r="M559" s="497">
        <v>14.787500000000001</v>
      </c>
      <c r="N559" s="464"/>
      <c r="O559" s="498"/>
      <c r="P559" s="431" t="s">
        <v>6711</v>
      </c>
    </row>
    <row r="560" spans="1:16" ht="13.5" hidden="1" customHeight="1" outlineLevel="3" x14ac:dyDescent="0.2">
      <c r="A560" s="233">
        <v>0</v>
      </c>
      <c r="B560" s="233">
        <v>5</v>
      </c>
      <c r="C560" s="233">
        <v>11</v>
      </c>
      <c r="D560" s="234">
        <v>3</v>
      </c>
      <c r="E560" s="234">
        <v>2</v>
      </c>
      <c r="G560" s="458" t="s">
        <v>42</v>
      </c>
      <c r="H560" s="493" t="s">
        <v>1238</v>
      </c>
      <c r="I560" s="494" t="s">
        <v>3857</v>
      </c>
      <c r="J560" s="495" t="s">
        <v>392</v>
      </c>
      <c r="K560" s="496" t="s">
        <v>533</v>
      </c>
      <c r="L560" s="497" t="e">
        <v>#REF!</v>
      </c>
      <c r="M560" s="497">
        <v>4.1071999999999997</v>
      </c>
      <c r="N560" s="464"/>
      <c r="O560" s="498"/>
      <c r="P560" s="431" t="s">
        <v>6711</v>
      </c>
    </row>
    <row r="561" spans="1:16" ht="13.5" hidden="1" customHeight="1" outlineLevel="3" x14ac:dyDescent="0.2">
      <c r="A561" s="233">
        <v>0</v>
      </c>
      <c r="B561" s="233">
        <v>5</v>
      </c>
      <c r="C561" s="233">
        <v>11</v>
      </c>
      <c r="D561" s="234">
        <v>3</v>
      </c>
      <c r="E561" s="234">
        <v>3</v>
      </c>
      <c r="G561" s="458" t="s">
        <v>42</v>
      </c>
      <c r="H561" s="493" t="s">
        <v>1238</v>
      </c>
      <c r="I561" s="494" t="s">
        <v>3858</v>
      </c>
      <c r="J561" s="495" t="s">
        <v>396</v>
      </c>
      <c r="K561" s="496" t="s">
        <v>787</v>
      </c>
      <c r="L561" s="497" t="e">
        <v>#REF!</v>
      </c>
      <c r="M561" s="497">
        <v>79.403675710539517</v>
      </c>
      <c r="N561" s="464"/>
      <c r="O561" s="498"/>
      <c r="P561" s="431" t="s">
        <v>6711</v>
      </c>
    </row>
    <row r="562" spans="1:16" ht="13.5" hidden="1" customHeight="1" outlineLevel="3" x14ac:dyDescent="0.2">
      <c r="A562" s="233">
        <v>0</v>
      </c>
      <c r="B562" s="233">
        <v>5</v>
      </c>
      <c r="C562" s="233">
        <v>11</v>
      </c>
      <c r="D562" s="234">
        <v>3</v>
      </c>
      <c r="E562" s="234">
        <v>4</v>
      </c>
      <c r="G562" s="458" t="s">
        <v>42</v>
      </c>
      <c r="H562" s="493" t="s">
        <v>1238</v>
      </c>
      <c r="I562" s="494" t="s">
        <v>3859</v>
      </c>
      <c r="J562" s="495" t="s">
        <v>439</v>
      </c>
      <c r="K562" s="496" t="s">
        <v>533</v>
      </c>
      <c r="L562" s="497">
        <v>22</v>
      </c>
      <c r="M562" s="497">
        <v>1800</v>
      </c>
      <c r="N562" s="464">
        <v>39600</v>
      </c>
      <c r="O562" s="498"/>
      <c r="P562" s="431" t="s">
        <v>6711</v>
      </c>
    </row>
    <row r="563" spans="1:16" ht="13.5" hidden="1" customHeight="1" outlineLevel="2" x14ac:dyDescent="0.2">
      <c r="A563" s="233">
        <v>0</v>
      </c>
      <c r="B563" s="233">
        <v>5</v>
      </c>
      <c r="C563" s="233">
        <v>11</v>
      </c>
      <c r="D563" s="234">
        <v>4</v>
      </c>
      <c r="E563" s="234">
        <v>0</v>
      </c>
      <c r="G563" s="450"/>
      <c r="H563" s="487" t="s">
        <v>1237</v>
      </c>
      <c r="I563" s="488" t="s">
        <v>3860</v>
      </c>
      <c r="J563" s="489" t="s">
        <v>1312</v>
      </c>
      <c r="K563" s="490"/>
      <c r="L563" s="491"/>
      <c r="M563" s="491"/>
      <c r="N563" s="456"/>
      <c r="O563" s="492"/>
      <c r="P563" s="430"/>
    </row>
    <row r="564" spans="1:16" ht="13.5" hidden="1" customHeight="1" outlineLevel="3" x14ac:dyDescent="0.2">
      <c r="A564" s="233">
        <v>0</v>
      </c>
      <c r="B564" s="233">
        <v>5</v>
      </c>
      <c r="C564" s="233">
        <v>11</v>
      </c>
      <c r="D564" s="234">
        <v>4</v>
      </c>
      <c r="E564" s="234">
        <v>1</v>
      </c>
      <c r="G564" s="458" t="s">
        <v>42</v>
      </c>
      <c r="H564" s="493" t="s">
        <v>1238</v>
      </c>
      <c r="I564" s="494" t="s">
        <v>3861</v>
      </c>
      <c r="J564" s="461" t="s">
        <v>2874</v>
      </c>
      <c r="K564" s="496" t="s">
        <v>641</v>
      </c>
      <c r="L564" s="497" t="e">
        <v>#REF!</v>
      </c>
      <c r="M564" s="497">
        <v>103.175377</v>
      </c>
      <c r="N564" s="464"/>
      <c r="O564" s="498"/>
      <c r="P564" s="431" t="s">
        <v>6711</v>
      </c>
    </row>
    <row r="565" spans="1:16" ht="13.5" hidden="1" customHeight="1" outlineLevel="3" x14ac:dyDescent="0.2">
      <c r="A565" s="233">
        <v>0</v>
      </c>
      <c r="B565" s="233">
        <v>5</v>
      </c>
      <c r="C565" s="233">
        <v>11</v>
      </c>
      <c r="D565" s="234">
        <v>4</v>
      </c>
      <c r="E565" s="234">
        <v>2</v>
      </c>
      <c r="G565" s="458" t="s">
        <v>42</v>
      </c>
      <c r="H565" s="493" t="s">
        <v>1238</v>
      </c>
      <c r="I565" s="494" t="s">
        <v>3862</v>
      </c>
      <c r="J565" s="461" t="s">
        <v>2875</v>
      </c>
      <c r="K565" s="496" t="s">
        <v>641</v>
      </c>
      <c r="L565" s="497" t="e">
        <v>#REF!</v>
      </c>
      <c r="M565" s="497">
        <v>95.867556999999991</v>
      </c>
      <c r="N565" s="464"/>
      <c r="O565" s="498"/>
      <c r="P565" s="431" t="s">
        <v>6711</v>
      </c>
    </row>
    <row r="566" spans="1:16" ht="13.5" hidden="1" customHeight="1" outlineLevel="3" x14ac:dyDescent="0.2">
      <c r="A566" s="233">
        <v>0</v>
      </c>
      <c r="B566" s="233">
        <v>5</v>
      </c>
      <c r="C566" s="233">
        <v>11</v>
      </c>
      <c r="D566" s="234">
        <v>4</v>
      </c>
      <c r="E566" s="234">
        <v>3</v>
      </c>
      <c r="G566" s="458" t="s">
        <v>42</v>
      </c>
      <c r="H566" s="493" t="s">
        <v>1238</v>
      </c>
      <c r="I566" s="494" t="s">
        <v>3863</v>
      </c>
      <c r="J566" s="461" t="s">
        <v>2879</v>
      </c>
      <c r="K566" s="496" t="s">
        <v>641</v>
      </c>
      <c r="L566" s="497" t="e">
        <v>#REF!</v>
      </c>
      <c r="M566" s="497">
        <v>165.70309900000001</v>
      </c>
      <c r="N566" s="464"/>
      <c r="O566" s="498"/>
      <c r="P566" s="431" t="s">
        <v>6711</v>
      </c>
    </row>
    <row r="567" spans="1:16" ht="13.5" hidden="1" customHeight="1" outlineLevel="2" x14ac:dyDescent="0.2">
      <c r="A567" s="233">
        <v>0</v>
      </c>
      <c r="B567" s="233">
        <v>5</v>
      </c>
      <c r="C567" s="233">
        <v>11</v>
      </c>
      <c r="D567" s="234">
        <v>5</v>
      </c>
      <c r="E567" s="234">
        <v>0</v>
      </c>
      <c r="G567" s="450"/>
      <c r="H567" s="487" t="s">
        <v>1237</v>
      </c>
      <c r="I567" s="488" t="s">
        <v>3864</v>
      </c>
      <c r="J567" s="489" t="s">
        <v>14</v>
      </c>
      <c r="K567" s="490"/>
      <c r="L567" s="491"/>
      <c r="M567" s="491"/>
      <c r="N567" s="456"/>
      <c r="O567" s="492"/>
      <c r="P567" s="430"/>
    </row>
    <row r="568" spans="1:16" ht="13.5" hidden="1" customHeight="1" outlineLevel="3" x14ac:dyDescent="0.2">
      <c r="A568" s="233">
        <v>0</v>
      </c>
      <c r="B568" s="233">
        <v>5</v>
      </c>
      <c r="C568" s="233">
        <v>11</v>
      </c>
      <c r="D568" s="234">
        <v>5</v>
      </c>
      <c r="E568" s="234">
        <v>1</v>
      </c>
      <c r="G568" s="458" t="s">
        <v>42</v>
      </c>
      <c r="H568" s="493" t="s">
        <v>1238</v>
      </c>
      <c r="I568" s="494" t="s">
        <v>3865</v>
      </c>
      <c r="J568" s="495" t="s">
        <v>431</v>
      </c>
      <c r="K568" s="496" t="s">
        <v>641</v>
      </c>
      <c r="L568" s="497" t="e">
        <v>#REF!</v>
      </c>
      <c r="M568" s="497">
        <v>47</v>
      </c>
      <c r="N568" s="464"/>
      <c r="O568" s="498"/>
      <c r="P568" s="431" t="s">
        <v>6711</v>
      </c>
    </row>
    <row r="569" spans="1:16" ht="13.5" hidden="1" customHeight="1" outlineLevel="3" x14ac:dyDescent="0.2">
      <c r="A569" s="233">
        <v>0</v>
      </c>
      <c r="B569" s="233">
        <v>5</v>
      </c>
      <c r="C569" s="233">
        <v>11</v>
      </c>
      <c r="D569" s="234">
        <v>5</v>
      </c>
      <c r="E569" s="234">
        <v>2</v>
      </c>
      <c r="G569" s="458" t="s">
        <v>42</v>
      </c>
      <c r="H569" s="493" t="s">
        <v>1238</v>
      </c>
      <c r="I569" s="494" t="s">
        <v>3866</v>
      </c>
      <c r="J569" s="495" t="s">
        <v>433</v>
      </c>
      <c r="K569" s="496" t="s">
        <v>641</v>
      </c>
      <c r="L569" s="497" t="e">
        <v>#REF!</v>
      </c>
      <c r="M569" s="497">
        <v>47</v>
      </c>
      <c r="N569" s="464"/>
      <c r="O569" s="498"/>
      <c r="P569" s="431" t="s">
        <v>6711</v>
      </c>
    </row>
    <row r="570" spans="1:16" ht="13.5" hidden="1" customHeight="1" outlineLevel="3" x14ac:dyDescent="0.2">
      <c r="A570" s="233">
        <v>0</v>
      </c>
      <c r="B570" s="233">
        <v>5</v>
      </c>
      <c r="C570" s="233">
        <v>11</v>
      </c>
      <c r="D570" s="234">
        <v>5</v>
      </c>
      <c r="E570" s="234">
        <v>3</v>
      </c>
      <c r="G570" s="458" t="s">
        <v>42</v>
      </c>
      <c r="H570" s="493" t="s">
        <v>1238</v>
      </c>
      <c r="I570" s="494" t="s">
        <v>3867</v>
      </c>
      <c r="J570" s="461" t="s">
        <v>2885</v>
      </c>
      <c r="K570" s="496" t="s">
        <v>641</v>
      </c>
      <c r="L570" s="463" t="e">
        <v>#REF!</v>
      </c>
      <c r="M570" s="497" t="e">
        <v>#REF!</v>
      </c>
      <c r="N570" s="464"/>
      <c r="O570" s="498"/>
      <c r="P570" s="431" t="s">
        <v>6711</v>
      </c>
    </row>
    <row r="571" spans="1:16" ht="13.5" hidden="1" customHeight="1" outlineLevel="1" x14ac:dyDescent="0.2">
      <c r="A571" s="233">
        <v>0</v>
      </c>
      <c r="B571" s="233">
        <v>5</v>
      </c>
      <c r="C571" s="233">
        <v>12</v>
      </c>
      <c r="D571" s="234">
        <v>0</v>
      </c>
      <c r="E571" s="234">
        <v>3</v>
      </c>
      <c r="G571" s="443"/>
      <c r="H571" s="481" t="s">
        <v>38</v>
      </c>
      <c r="I571" s="482" t="s">
        <v>3868</v>
      </c>
      <c r="J571" s="483" t="s">
        <v>2314</v>
      </c>
      <c r="K571" s="484"/>
      <c r="L571" s="485"/>
      <c r="M571" s="485"/>
      <c r="N571" s="449"/>
      <c r="O571" s="486"/>
      <c r="P571" s="429"/>
    </row>
    <row r="572" spans="1:16" ht="13.5" hidden="1" customHeight="1" outlineLevel="2" x14ac:dyDescent="0.2">
      <c r="A572" s="233">
        <v>0</v>
      </c>
      <c r="B572" s="233">
        <v>5</v>
      </c>
      <c r="C572" s="233">
        <v>12</v>
      </c>
      <c r="D572" s="234">
        <v>1</v>
      </c>
      <c r="E572" s="234">
        <v>0</v>
      </c>
      <c r="G572" s="450"/>
      <c r="H572" s="487" t="s">
        <v>1237</v>
      </c>
      <c r="I572" s="488" t="s">
        <v>3869</v>
      </c>
      <c r="J572" s="489" t="s">
        <v>2288</v>
      </c>
      <c r="K572" s="490"/>
      <c r="L572" s="491"/>
      <c r="M572" s="491"/>
      <c r="N572" s="456"/>
      <c r="O572" s="492"/>
      <c r="P572" s="430"/>
    </row>
    <row r="573" spans="1:16" ht="13.5" hidden="1" customHeight="1" outlineLevel="3" x14ac:dyDescent="0.2">
      <c r="A573" s="233">
        <v>0</v>
      </c>
      <c r="B573" s="233">
        <v>5</v>
      </c>
      <c r="C573" s="233">
        <v>12</v>
      </c>
      <c r="D573" s="234">
        <v>1</v>
      </c>
      <c r="E573" s="234">
        <v>1</v>
      </c>
      <c r="G573" s="458" t="s">
        <v>42</v>
      </c>
      <c r="H573" s="493" t="s">
        <v>1238</v>
      </c>
      <c r="I573" s="494" t="s">
        <v>3870</v>
      </c>
      <c r="J573" s="495" t="s">
        <v>2283</v>
      </c>
      <c r="K573" s="496" t="s">
        <v>641</v>
      </c>
      <c r="L573" s="497" t="e">
        <v>#REF!</v>
      </c>
      <c r="M573" s="497">
        <v>35.099999999999994</v>
      </c>
      <c r="N573" s="464"/>
      <c r="O573" s="498"/>
      <c r="P573" s="431" t="s">
        <v>6711</v>
      </c>
    </row>
    <row r="574" spans="1:16" ht="13.5" hidden="1" customHeight="1" outlineLevel="2" x14ac:dyDescent="0.2">
      <c r="A574" s="233">
        <v>0</v>
      </c>
      <c r="B574" s="233">
        <v>5</v>
      </c>
      <c r="C574" s="233">
        <v>12</v>
      </c>
      <c r="D574" s="234">
        <v>2</v>
      </c>
      <c r="E574" s="234">
        <v>0</v>
      </c>
      <c r="G574" s="450"/>
      <c r="H574" s="487" t="s">
        <v>1237</v>
      </c>
      <c r="I574" s="488" t="s">
        <v>3871</v>
      </c>
      <c r="J574" s="489" t="s">
        <v>1295</v>
      </c>
      <c r="K574" s="490"/>
      <c r="L574" s="491"/>
      <c r="M574" s="491"/>
      <c r="N574" s="456"/>
      <c r="O574" s="492"/>
      <c r="P574" s="430"/>
    </row>
    <row r="575" spans="1:16" ht="13.5" hidden="1" customHeight="1" outlineLevel="3" x14ac:dyDescent="0.2">
      <c r="A575" s="233">
        <v>0</v>
      </c>
      <c r="B575" s="233">
        <v>5</v>
      </c>
      <c r="C575" s="233">
        <v>12</v>
      </c>
      <c r="D575" s="234">
        <v>2</v>
      </c>
      <c r="E575" s="234">
        <v>1</v>
      </c>
      <c r="G575" s="458" t="s">
        <v>42</v>
      </c>
      <c r="H575" s="493" t="s">
        <v>1238</v>
      </c>
      <c r="I575" s="494" t="s">
        <v>3872</v>
      </c>
      <c r="J575" s="495" t="s">
        <v>1308</v>
      </c>
      <c r="K575" s="496" t="s">
        <v>641</v>
      </c>
      <c r="L575" s="497" t="e">
        <v>#REF!</v>
      </c>
      <c r="M575" s="497">
        <v>82.960000000000008</v>
      </c>
      <c r="N575" s="464"/>
      <c r="O575" s="498"/>
      <c r="P575" s="431" t="s">
        <v>6711</v>
      </c>
    </row>
    <row r="576" spans="1:16" ht="13.5" hidden="1" customHeight="1" outlineLevel="2" x14ac:dyDescent="0.2">
      <c r="A576" s="233">
        <v>0</v>
      </c>
      <c r="B576" s="233">
        <v>5</v>
      </c>
      <c r="C576" s="233">
        <v>12</v>
      </c>
      <c r="D576" s="234">
        <v>3</v>
      </c>
      <c r="E576" s="234">
        <v>0</v>
      </c>
      <c r="G576" s="450"/>
      <c r="H576" s="487" t="s">
        <v>1237</v>
      </c>
      <c r="I576" s="488" t="s">
        <v>3873</v>
      </c>
      <c r="J576" s="489" t="s">
        <v>1250</v>
      </c>
      <c r="K576" s="490"/>
      <c r="L576" s="491"/>
      <c r="M576" s="491"/>
      <c r="N576" s="456"/>
      <c r="O576" s="492"/>
      <c r="P576" s="430"/>
    </row>
    <row r="577" spans="1:16" ht="13.5" hidden="1" customHeight="1" outlineLevel="3" x14ac:dyDescent="0.2">
      <c r="A577" s="233">
        <v>0</v>
      </c>
      <c r="B577" s="233">
        <v>5</v>
      </c>
      <c r="C577" s="233">
        <v>12</v>
      </c>
      <c r="D577" s="234">
        <v>3</v>
      </c>
      <c r="E577" s="234">
        <v>1</v>
      </c>
      <c r="G577" s="458" t="s">
        <v>42</v>
      </c>
      <c r="H577" s="493" t="s">
        <v>1238</v>
      </c>
      <c r="I577" s="494" t="s">
        <v>3874</v>
      </c>
      <c r="J577" s="495" t="s">
        <v>1251</v>
      </c>
      <c r="K577" s="496" t="s">
        <v>787</v>
      </c>
      <c r="L577" s="497" t="e">
        <v>#REF!</v>
      </c>
      <c r="M577" s="497">
        <v>14.787500000000001</v>
      </c>
      <c r="N577" s="464"/>
      <c r="O577" s="498"/>
      <c r="P577" s="431" t="s">
        <v>6711</v>
      </c>
    </row>
    <row r="578" spans="1:16" ht="13.5" hidden="1" customHeight="1" outlineLevel="3" x14ac:dyDescent="0.2">
      <c r="A578" s="233">
        <v>0</v>
      </c>
      <c r="B578" s="233">
        <v>5</v>
      </c>
      <c r="C578" s="233">
        <v>12</v>
      </c>
      <c r="D578" s="234">
        <v>3</v>
      </c>
      <c r="E578" s="234">
        <v>2</v>
      </c>
      <c r="G578" s="458" t="s">
        <v>42</v>
      </c>
      <c r="H578" s="493" t="s">
        <v>1238</v>
      </c>
      <c r="I578" s="494" t="s">
        <v>3875</v>
      </c>
      <c r="J578" s="495" t="s">
        <v>392</v>
      </c>
      <c r="K578" s="496" t="s">
        <v>533</v>
      </c>
      <c r="L578" s="497" t="e">
        <v>#REF!</v>
      </c>
      <c r="M578" s="497">
        <v>4.1071999999999997</v>
      </c>
      <c r="N578" s="464"/>
      <c r="O578" s="498"/>
      <c r="P578" s="431" t="s">
        <v>6711</v>
      </c>
    </row>
    <row r="579" spans="1:16" ht="13.5" hidden="1" customHeight="1" outlineLevel="3" x14ac:dyDescent="0.2">
      <c r="A579" s="233">
        <v>0</v>
      </c>
      <c r="B579" s="233">
        <v>5</v>
      </c>
      <c r="C579" s="233">
        <v>12</v>
      </c>
      <c r="D579" s="234">
        <v>3</v>
      </c>
      <c r="E579" s="234">
        <v>3</v>
      </c>
      <c r="G579" s="458" t="s">
        <v>42</v>
      </c>
      <c r="H579" s="493" t="s">
        <v>1238</v>
      </c>
      <c r="I579" s="494" t="s">
        <v>3876</v>
      </c>
      <c r="J579" s="495" t="s">
        <v>396</v>
      </c>
      <c r="K579" s="496" t="s">
        <v>787</v>
      </c>
      <c r="L579" s="497" t="e">
        <v>#REF!</v>
      </c>
      <c r="M579" s="497">
        <v>79.403675710539517</v>
      </c>
      <c r="N579" s="464"/>
      <c r="O579" s="498"/>
      <c r="P579" s="431" t="s">
        <v>6711</v>
      </c>
    </row>
    <row r="580" spans="1:16" ht="13.5" hidden="1" customHeight="1" outlineLevel="2" x14ac:dyDescent="0.2">
      <c r="A580" s="233">
        <v>0</v>
      </c>
      <c r="B580" s="233">
        <v>5</v>
      </c>
      <c r="C580" s="233">
        <v>12</v>
      </c>
      <c r="D580" s="234">
        <v>4</v>
      </c>
      <c r="E580" s="234">
        <v>0</v>
      </c>
      <c r="G580" s="450"/>
      <c r="H580" s="487" t="s">
        <v>1237</v>
      </c>
      <c r="I580" s="488" t="s">
        <v>3877</v>
      </c>
      <c r="J580" s="489" t="s">
        <v>1312</v>
      </c>
      <c r="K580" s="490"/>
      <c r="L580" s="491"/>
      <c r="M580" s="491"/>
      <c r="N580" s="456"/>
      <c r="O580" s="492"/>
      <c r="P580" s="430"/>
    </row>
    <row r="581" spans="1:16" ht="13.5" hidden="1" customHeight="1" outlineLevel="3" x14ac:dyDescent="0.2">
      <c r="A581" s="233">
        <v>0</v>
      </c>
      <c r="B581" s="233">
        <v>5</v>
      </c>
      <c r="C581" s="233">
        <v>12</v>
      </c>
      <c r="D581" s="234">
        <v>4</v>
      </c>
      <c r="E581" s="234">
        <v>1</v>
      </c>
      <c r="G581" s="458" t="s">
        <v>42</v>
      </c>
      <c r="H581" s="493" t="s">
        <v>1238</v>
      </c>
      <c r="I581" s="494" t="s">
        <v>3878</v>
      </c>
      <c r="J581" s="461" t="s">
        <v>2874</v>
      </c>
      <c r="K581" s="496" t="s">
        <v>641</v>
      </c>
      <c r="L581" s="497" t="e">
        <v>#REF!</v>
      </c>
      <c r="M581" s="497">
        <v>103.175377</v>
      </c>
      <c r="N581" s="464"/>
      <c r="O581" s="498"/>
      <c r="P581" s="431" t="s">
        <v>6711</v>
      </c>
    </row>
    <row r="582" spans="1:16" ht="13.5" hidden="1" customHeight="1" outlineLevel="3" x14ac:dyDescent="0.2">
      <c r="A582" s="233">
        <v>0</v>
      </c>
      <c r="B582" s="233">
        <v>5</v>
      </c>
      <c r="C582" s="233">
        <v>12</v>
      </c>
      <c r="D582" s="234">
        <v>4</v>
      </c>
      <c r="E582" s="234">
        <v>2</v>
      </c>
      <c r="G582" s="458" t="s">
        <v>42</v>
      </c>
      <c r="H582" s="493" t="s">
        <v>1238</v>
      </c>
      <c r="I582" s="494" t="s">
        <v>3879</v>
      </c>
      <c r="J582" s="461" t="s">
        <v>2879</v>
      </c>
      <c r="K582" s="496" t="s">
        <v>641</v>
      </c>
      <c r="L582" s="497" t="e">
        <v>#REF!</v>
      </c>
      <c r="M582" s="497">
        <v>165.70309900000001</v>
      </c>
      <c r="N582" s="464"/>
      <c r="O582" s="498"/>
      <c r="P582" s="431" t="s">
        <v>6711</v>
      </c>
    </row>
    <row r="583" spans="1:16" ht="13.5" hidden="1" customHeight="1" outlineLevel="2" x14ac:dyDescent="0.2">
      <c r="A583" s="233">
        <v>0</v>
      </c>
      <c r="B583" s="233">
        <v>5</v>
      </c>
      <c r="C583" s="233">
        <v>12</v>
      </c>
      <c r="D583" s="234">
        <v>5</v>
      </c>
      <c r="E583" s="234">
        <v>0</v>
      </c>
      <c r="G583" s="450"/>
      <c r="H583" s="487" t="s">
        <v>1237</v>
      </c>
      <c r="I583" s="488" t="s">
        <v>3880</v>
      </c>
      <c r="J583" s="489" t="s">
        <v>14</v>
      </c>
      <c r="K583" s="490"/>
      <c r="L583" s="491"/>
      <c r="M583" s="491"/>
      <c r="N583" s="456"/>
      <c r="O583" s="492"/>
      <c r="P583" s="430"/>
    </row>
    <row r="584" spans="1:16" ht="13.5" hidden="1" customHeight="1" outlineLevel="3" x14ac:dyDescent="0.2">
      <c r="A584" s="233">
        <v>0</v>
      </c>
      <c r="B584" s="233">
        <v>5</v>
      </c>
      <c r="C584" s="233">
        <v>12</v>
      </c>
      <c r="D584" s="234">
        <v>5</v>
      </c>
      <c r="E584" s="234">
        <v>1</v>
      </c>
      <c r="G584" s="458" t="s">
        <v>42</v>
      </c>
      <c r="H584" s="493" t="s">
        <v>1238</v>
      </c>
      <c r="I584" s="494" t="s">
        <v>3881</v>
      </c>
      <c r="J584" s="495" t="s">
        <v>431</v>
      </c>
      <c r="K584" s="496" t="s">
        <v>641</v>
      </c>
      <c r="L584" s="497" t="e">
        <v>#REF!</v>
      </c>
      <c r="M584" s="497">
        <v>47</v>
      </c>
      <c r="N584" s="464"/>
      <c r="O584" s="498"/>
      <c r="P584" s="431" t="s">
        <v>6711</v>
      </c>
    </row>
    <row r="585" spans="1:16" ht="13.5" hidden="1" customHeight="1" outlineLevel="3" x14ac:dyDescent="0.2">
      <c r="A585" s="233">
        <v>0</v>
      </c>
      <c r="B585" s="233">
        <v>5</v>
      </c>
      <c r="C585" s="233">
        <v>12</v>
      </c>
      <c r="D585" s="234">
        <v>5</v>
      </c>
      <c r="E585" s="234">
        <v>2</v>
      </c>
      <c r="G585" s="458" t="s">
        <v>42</v>
      </c>
      <c r="H585" s="493" t="s">
        <v>1238</v>
      </c>
      <c r="I585" s="494" t="s">
        <v>3882</v>
      </c>
      <c r="J585" s="495" t="s">
        <v>433</v>
      </c>
      <c r="K585" s="496" t="s">
        <v>641</v>
      </c>
      <c r="L585" s="497" t="e">
        <v>#REF!</v>
      </c>
      <c r="M585" s="497">
        <v>47</v>
      </c>
      <c r="N585" s="464"/>
      <c r="O585" s="498"/>
      <c r="P585" s="431" t="s">
        <v>6711</v>
      </c>
    </row>
    <row r="586" spans="1:16" ht="13.5" hidden="1" customHeight="1" outlineLevel="3" x14ac:dyDescent="0.2">
      <c r="A586" s="233">
        <v>0</v>
      </c>
      <c r="B586" s="233">
        <v>5</v>
      </c>
      <c r="C586" s="233">
        <v>12</v>
      </c>
      <c r="D586" s="234">
        <v>5</v>
      </c>
      <c r="E586" s="234">
        <v>3</v>
      </c>
      <c r="G586" s="458" t="s">
        <v>42</v>
      </c>
      <c r="H586" s="493" t="s">
        <v>1238</v>
      </c>
      <c r="I586" s="494" t="s">
        <v>3883</v>
      </c>
      <c r="J586" s="461" t="s">
        <v>2885</v>
      </c>
      <c r="K586" s="496" t="s">
        <v>641</v>
      </c>
      <c r="L586" s="463" t="e">
        <v>#REF!</v>
      </c>
      <c r="M586" s="497" t="e">
        <v>#REF!</v>
      </c>
      <c r="N586" s="464"/>
      <c r="O586" s="498"/>
      <c r="P586" s="431" t="s">
        <v>6711</v>
      </c>
    </row>
    <row r="587" spans="1:16" ht="13.5" hidden="1" customHeight="1" outlineLevel="1" x14ac:dyDescent="0.2">
      <c r="A587" s="233">
        <v>0</v>
      </c>
      <c r="B587" s="233">
        <v>5</v>
      </c>
      <c r="C587" s="233">
        <v>13</v>
      </c>
      <c r="D587" s="234">
        <v>0</v>
      </c>
      <c r="E587" s="234">
        <v>3</v>
      </c>
      <c r="G587" s="443"/>
      <c r="H587" s="481" t="s">
        <v>38</v>
      </c>
      <c r="I587" s="482" t="s">
        <v>3884</v>
      </c>
      <c r="J587" s="483" t="s">
        <v>2315</v>
      </c>
      <c r="K587" s="484"/>
      <c r="L587" s="485"/>
      <c r="M587" s="485"/>
      <c r="N587" s="449"/>
      <c r="O587" s="486"/>
      <c r="P587" s="429"/>
    </row>
    <row r="588" spans="1:16" ht="13.5" hidden="1" customHeight="1" outlineLevel="2" x14ac:dyDescent="0.2">
      <c r="A588" s="233">
        <v>0</v>
      </c>
      <c r="B588" s="233">
        <v>5</v>
      </c>
      <c r="C588" s="233">
        <v>13</v>
      </c>
      <c r="D588" s="234">
        <v>1</v>
      </c>
      <c r="E588" s="234">
        <v>0</v>
      </c>
      <c r="G588" s="450"/>
      <c r="H588" s="487" t="s">
        <v>1237</v>
      </c>
      <c r="I588" s="488" t="s">
        <v>3885</v>
      </c>
      <c r="J588" s="489" t="s">
        <v>2288</v>
      </c>
      <c r="K588" s="490"/>
      <c r="L588" s="491"/>
      <c r="M588" s="491"/>
      <c r="N588" s="456"/>
      <c r="O588" s="492"/>
      <c r="P588" s="430"/>
    </row>
    <row r="589" spans="1:16" ht="13.5" hidden="1" customHeight="1" outlineLevel="3" x14ac:dyDescent="0.2">
      <c r="A589" s="233">
        <v>0</v>
      </c>
      <c r="B589" s="233">
        <v>5</v>
      </c>
      <c r="C589" s="233">
        <v>13</v>
      </c>
      <c r="D589" s="234">
        <v>1</v>
      </c>
      <c r="E589" s="234">
        <v>1</v>
      </c>
      <c r="G589" s="458" t="s">
        <v>42</v>
      </c>
      <c r="H589" s="493" t="s">
        <v>1238</v>
      </c>
      <c r="I589" s="494" t="s">
        <v>3886</v>
      </c>
      <c r="J589" s="495" t="s">
        <v>2284</v>
      </c>
      <c r="K589" s="496" t="s">
        <v>641</v>
      </c>
      <c r="L589" s="497" t="e">
        <v>#REF!</v>
      </c>
      <c r="M589" s="497">
        <v>24.599999999999998</v>
      </c>
      <c r="N589" s="464"/>
      <c r="O589" s="498"/>
      <c r="P589" s="431" t="s">
        <v>6711</v>
      </c>
    </row>
    <row r="590" spans="1:16" ht="13.5" hidden="1" customHeight="1" outlineLevel="3" x14ac:dyDescent="0.2">
      <c r="A590" s="233">
        <v>0</v>
      </c>
      <c r="B590" s="233">
        <v>5</v>
      </c>
      <c r="C590" s="233">
        <v>13</v>
      </c>
      <c r="D590" s="234">
        <v>1</v>
      </c>
      <c r="E590" s="234">
        <v>2</v>
      </c>
      <c r="G590" s="458" t="s">
        <v>42</v>
      </c>
      <c r="H590" s="493" t="s">
        <v>1238</v>
      </c>
      <c r="I590" s="494" t="s">
        <v>3887</v>
      </c>
      <c r="J590" s="495" t="s">
        <v>2283</v>
      </c>
      <c r="K590" s="496" t="s">
        <v>641</v>
      </c>
      <c r="L590" s="497" t="e">
        <v>#REF!</v>
      </c>
      <c r="M590" s="497">
        <v>35.099999999999994</v>
      </c>
      <c r="N590" s="464"/>
      <c r="O590" s="498"/>
      <c r="P590" s="431" t="s">
        <v>6711</v>
      </c>
    </row>
    <row r="591" spans="1:16" ht="13.5" hidden="1" customHeight="1" outlineLevel="2" x14ac:dyDescent="0.2">
      <c r="A591" s="233">
        <v>0</v>
      </c>
      <c r="B591" s="233">
        <v>5</v>
      </c>
      <c r="C591" s="233">
        <v>13</v>
      </c>
      <c r="D591" s="234">
        <v>2</v>
      </c>
      <c r="E591" s="234">
        <v>0</v>
      </c>
      <c r="G591" s="450"/>
      <c r="H591" s="487" t="s">
        <v>1237</v>
      </c>
      <c r="I591" s="488" t="s">
        <v>3888</v>
      </c>
      <c r="J591" s="489" t="s">
        <v>1295</v>
      </c>
      <c r="K591" s="490"/>
      <c r="L591" s="491"/>
      <c r="M591" s="491"/>
      <c r="N591" s="456"/>
      <c r="O591" s="492"/>
      <c r="P591" s="430"/>
    </row>
    <row r="592" spans="1:16" ht="13.5" hidden="1" customHeight="1" outlineLevel="3" x14ac:dyDescent="0.2">
      <c r="A592" s="233">
        <v>0</v>
      </c>
      <c r="B592" s="233">
        <v>5</v>
      </c>
      <c r="C592" s="233">
        <v>13</v>
      </c>
      <c r="D592" s="234">
        <v>2</v>
      </c>
      <c r="E592" s="234">
        <v>1</v>
      </c>
      <c r="G592" s="458" t="s">
        <v>42</v>
      </c>
      <c r="H592" s="493" t="s">
        <v>1238</v>
      </c>
      <c r="I592" s="494" t="s">
        <v>3889</v>
      </c>
      <c r="J592" s="495" t="s">
        <v>1308</v>
      </c>
      <c r="K592" s="496" t="s">
        <v>641</v>
      </c>
      <c r="L592" s="497" t="e">
        <v>#REF!</v>
      </c>
      <c r="M592" s="497">
        <v>82.960000000000008</v>
      </c>
      <c r="N592" s="464"/>
      <c r="O592" s="498"/>
      <c r="P592" s="431" t="s">
        <v>6711</v>
      </c>
    </row>
    <row r="593" spans="1:16" ht="13.5" hidden="1" customHeight="1" outlineLevel="2" x14ac:dyDescent="0.2">
      <c r="A593" s="233">
        <v>0</v>
      </c>
      <c r="B593" s="233">
        <v>5</v>
      </c>
      <c r="C593" s="233">
        <v>13</v>
      </c>
      <c r="D593" s="234">
        <v>3</v>
      </c>
      <c r="E593" s="234">
        <v>0</v>
      </c>
      <c r="G593" s="450"/>
      <c r="H593" s="487" t="s">
        <v>1237</v>
      </c>
      <c r="I593" s="488" t="s">
        <v>3890</v>
      </c>
      <c r="J593" s="489" t="s">
        <v>1250</v>
      </c>
      <c r="K593" s="490"/>
      <c r="L593" s="491"/>
      <c r="M593" s="491"/>
      <c r="N593" s="456"/>
      <c r="O593" s="492"/>
      <c r="P593" s="430"/>
    </row>
    <row r="594" spans="1:16" ht="13.5" hidden="1" customHeight="1" outlineLevel="3" x14ac:dyDescent="0.2">
      <c r="A594" s="233">
        <v>0</v>
      </c>
      <c r="B594" s="233">
        <v>5</v>
      </c>
      <c r="C594" s="233">
        <v>13</v>
      </c>
      <c r="D594" s="234">
        <v>3</v>
      </c>
      <c r="E594" s="234">
        <v>1</v>
      </c>
      <c r="G594" s="458" t="s">
        <v>42</v>
      </c>
      <c r="H594" s="493" t="s">
        <v>1238</v>
      </c>
      <c r="I594" s="494" t="s">
        <v>3891</v>
      </c>
      <c r="J594" s="495" t="s">
        <v>1251</v>
      </c>
      <c r="K594" s="496" t="s">
        <v>787</v>
      </c>
      <c r="L594" s="497" t="e">
        <v>#REF!</v>
      </c>
      <c r="M594" s="497">
        <v>14.787500000000001</v>
      </c>
      <c r="N594" s="464"/>
      <c r="O594" s="498"/>
      <c r="P594" s="431" t="s">
        <v>6711</v>
      </c>
    </row>
    <row r="595" spans="1:16" ht="13.5" hidden="1" customHeight="1" outlineLevel="3" x14ac:dyDescent="0.2">
      <c r="A595" s="233">
        <v>0</v>
      </c>
      <c r="B595" s="233">
        <v>5</v>
      </c>
      <c r="C595" s="233">
        <v>13</v>
      </c>
      <c r="D595" s="234">
        <v>3</v>
      </c>
      <c r="E595" s="234">
        <v>2</v>
      </c>
      <c r="G595" s="458" t="s">
        <v>42</v>
      </c>
      <c r="H595" s="493" t="s">
        <v>1238</v>
      </c>
      <c r="I595" s="494" t="s">
        <v>3892</v>
      </c>
      <c r="J595" s="495" t="s">
        <v>392</v>
      </c>
      <c r="K595" s="496" t="s">
        <v>533</v>
      </c>
      <c r="L595" s="497" t="e">
        <v>#REF!</v>
      </c>
      <c r="M595" s="497">
        <v>4.1071999999999997</v>
      </c>
      <c r="N595" s="464"/>
      <c r="O595" s="498"/>
      <c r="P595" s="431" t="s">
        <v>6711</v>
      </c>
    </row>
    <row r="596" spans="1:16" ht="13.5" hidden="1" customHeight="1" outlineLevel="3" x14ac:dyDescent="0.2">
      <c r="A596" s="233">
        <v>0</v>
      </c>
      <c r="B596" s="233">
        <v>5</v>
      </c>
      <c r="C596" s="233">
        <v>13</v>
      </c>
      <c r="D596" s="234">
        <v>3</v>
      </c>
      <c r="E596" s="234">
        <v>3</v>
      </c>
      <c r="G596" s="458" t="s">
        <v>42</v>
      </c>
      <c r="H596" s="493" t="s">
        <v>1238</v>
      </c>
      <c r="I596" s="494" t="s">
        <v>3893</v>
      </c>
      <c r="J596" s="495" t="s">
        <v>396</v>
      </c>
      <c r="K596" s="496" t="s">
        <v>787</v>
      </c>
      <c r="L596" s="497" t="e">
        <v>#REF!</v>
      </c>
      <c r="M596" s="497">
        <v>79.403675710539517</v>
      </c>
      <c r="N596" s="464"/>
      <c r="O596" s="498"/>
      <c r="P596" s="431" t="s">
        <v>6711</v>
      </c>
    </row>
    <row r="597" spans="1:16" ht="13.5" hidden="1" customHeight="1" outlineLevel="3" x14ac:dyDescent="0.2">
      <c r="A597" s="233">
        <v>0</v>
      </c>
      <c r="B597" s="233">
        <v>5</v>
      </c>
      <c r="C597" s="233">
        <v>13</v>
      </c>
      <c r="D597" s="234">
        <v>3</v>
      </c>
      <c r="E597" s="234">
        <v>4</v>
      </c>
      <c r="G597" s="458" t="s">
        <v>42</v>
      </c>
      <c r="H597" s="493" t="s">
        <v>1238</v>
      </c>
      <c r="I597" s="494" t="s">
        <v>3894</v>
      </c>
      <c r="J597" s="495" t="s">
        <v>439</v>
      </c>
      <c r="K597" s="496" t="s">
        <v>533</v>
      </c>
      <c r="L597" s="497">
        <v>1</v>
      </c>
      <c r="M597" s="497">
        <v>1800</v>
      </c>
      <c r="N597" s="464">
        <v>1800</v>
      </c>
      <c r="O597" s="498"/>
      <c r="P597" s="431" t="s">
        <v>6711</v>
      </c>
    </row>
    <row r="598" spans="1:16" ht="13.5" hidden="1" customHeight="1" outlineLevel="2" x14ac:dyDescent="0.2">
      <c r="A598" s="233">
        <v>0</v>
      </c>
      <c r="B598" s="233">
        <v>5</v>
      </c>
      <c r="C598" s="233">
        <v>13</v>
      </c>
      <c r="D598" s="234">
        <v>4</v>
      </c>
      <c r="E598" s="234">
        <v>0</v>
      </c>
      <c r="G598" s="450"/>
      <c r="H598" s="487" t="s">
        <v>1237</v>
      </c>
      <c r="I598" s="488" t="s">
        <v>3895</v>
      </c>
      <c r="J598" s="489" t="s">
        <v>1312</v>
      </c>
      <c r="K598" s="490"/>
      <c r="L598" s="491"/>
      <c r="M598" s="491"/>
      <c r="N598" s="456"/>
      <c r="O598" s="492"/>
      <c r="P598" s="430"/>
    </row>
    <row r="599" spans="1:16" ht="13.5" hidden="1" customHeight="1" outlineLevel="3" x14ac:dyDescent="0.2">
      <c r="A599" s="233">
        <v>0</v>
      </c>
      <c r="B599" s="233">
        <v>5</v>
      </c>
      <c r="C599" s="233">
        <v>13</v>
      </c>
      <c r="D599" s="234">
        <v>4</v>
      </c>
      <c r="E599" s="234">
        <v>1</v>
      </c>
      <c r="G599" s="458" t="s">
        <v>42</v>
      </c>
      <c r="H599" s="493" t="s">
        <v>1238</v>
      </c>
      <c r="I599" s="494" t="s">
        <v>3896</v>
      </c>
      <c r="J599" s="461" t="s">
        <v>2874</v>
      </c>
      <c r="K599" s="496" t="s">
        <v>641</v>
      </c>
      <c r="L599" s="497" t="e">
        <v>#REF!</v>
      </c>
      <c r="M599" s="497">
        <v>103.175377</v>
      </c>
      <c r="N599" s="464"/>
      <c r="O599" s="498"/>
      <c r="P599" s="431" t="s">
        <v>6711</v>
      </c>
    </row>
    <row r="600" spans="1:16" ht="13.5" hidden="1" customHeight="1" outlineLevel="3" x14ac:dyDescent="0.2">
      <c r="A600" s="233">
        <v>0</v>
      </c>
      <c r="B600" s="233">
        <v>5</v>
      </c>
      <c r="C600" s="233">
        <v>13</v>
      </c>
      <c r="D600" s="234">
        <v>4</v>
      </c>
      <c r="E600" s="234">
        <v>2</v>
      </c>
      <c r="G600" s="458" t="s">
        <v>42</v>
      </c>
      <c r="H600" s="493" t="s">
        <v>1238</v>
      </c>
      <c r="I600" s="494" t="s">
        <v>3897</v>
      </c>
      <c r="J600" s="461" t="s">
        <v>2875</v>
      </c>
      <c r="K600" s="496" t="s">
        <v>641</v>
      </c>
      <c r="L600" s="497" t="e">
        <v>#REF!</v>
      </c>
      <c r="M600" s="497">
        <v>95.867556999999991</v>
      </c>
      <c r="N600" s="464"/>
      <c r="O600" s="498"/>
      <c r="P600" s="431" t="s">
        <v>6711</v>
      </c>
    </row>
    <row r="601" spans="1:16" ht="13.5" hidden="1" customHeight="1" outlineLevel="3" x14ac:dyDescent="0.2">
      <c r="A601" s="233">
        <v>0</v>
      </c>
      <c r="B601" s="233">
        <v>5</v>
      </c>
      <c r="C601" s="233">
        <v>13</v>
      </c>
      <c r="D601" s="234">
        <v>4</v>
      </c>
      <c r="E601" s="234">
        <v>3</v>
      </c>
      <c r="G601" s="458" t="s">
        <v>42</v>
      </c>
      <c r="H601" s="493" t="s">
        <v>1238</v>
      </c>
      <c r="I601" s="494" t="s">
        <v>3898</v>
      </c>
      <c r="J601" s="461" t="s">
        <v>2879</v>
      </c>
      <c r="K601" s="496" t="s">
        <v>641</v>
      </c>
      <c r="L601" s="497" t="e">
        <v>#REF!</v>
      </c>
      <c r="M601" s="497">
        <v>165.70309900000001</v>
      </c>
      <c r="N601" s="464"/>
      <c r="O601" s="498"/>
      <c r="P601" s="431" t="s">
        <v>6711</v>
      </c>
    </row>
    <row r="602" spans="1:16" ht="13.5" hidden="1" customHeight="1" outlineLevel="2" x14ac:dyDescent="0.2">
      <c r="A602" s="233">
        <v>0</v>
      </c>
      <c r="B602" s="233">
        <v>5</v>
      </c>
      <c r="C602" s="233">
        <v>13</v>
      </c>
      <c r="D602" s="234">
        <v>5</v>
      </c>
      <c r="E602" s="234">
        <v>0</v>
      </c>
      <c r="G602" s="450"/>
      <c r="H602" s="487" t="s">
        <v>1237</v>
      </c>
      <c r="I602" s="488" t="s">
        <v>3899</v>
      </c>
      <c r="J602" s="489" t="s">
        <v>14</v>
      </c>
      <c r="K602" s="490"/>
      <c r="L602" s="491"/>
      <c r="M602" s="491"/>
      <c r="N602" s="456"/>
      <c r="O602" s="492"/>
      <c r="P602" s="430"/>
    </row>
    <row r="603" spans="1:16" ht="13.5" hidden="1" customHeight="1" outlineLevel="3" x14ac:dyDescent="0.2">
      <c r="A603" s="233">
        <v>0</v>
      </c>
      <c r="B603" s="233">
        <v>5</v>
      </c>
      <c r="C603" s="233">
        <v>13</v>
      </c>
      <c r="D603" s="234">
        <v>5</v>
      </c>
      <c r="E603" s="234">
        <v>1</v>
      </c>
      <c r="G603" s="458" t="s">
        <v>42</v>
      </c>
      <c r="H603" s="493" t="s">
        <v>1238</v>
      </c>
      <c r="I603" s="494" t="s">
        <v>3900</v>
      </c>
      <c r="J603" s="495" t="s">
        <v>431</v>
      </c>
      <c r="K603" s="496" t="s">
        <v>641</v>
      </c>
      <c r="L603" s="497" t="e">
        <v>#REF!</v>
      </c>
      <c r="M603" s="497">
        <v>47</v>
      </c>
      <c r="N603" s="464"/>
      <c r="O603" s="498"/>
      <c r="P603" s="431" t="s">
        <v>6711</v>
      </c>
    </row>
    <row r="604" spans="1:16" ht="13.5" hidden="1" customHeight="1" outlineLevel="3" x14ac:dyDescent="0.2">
      <c r="A604" s="233">
        <v>0</v>
      </c>
      <c r="B604" s="233">
        <v>5</v>
      </c>
      <c r="C604" s="233">
        <v>13</v>
      </c>
      <c r="D604" s="234">
        <v>5</v>
      </c>
      <c r="E604" s="234">
        <v>2</v>
      </c>
      <c r="G604" s="458" t="s">
        <v>42</v>
      </c>
      <c r="H604" s="493" t="s">
        <v>1238</v>
      </c>
      <c r="I604" s="494" t="s">
        <v>3901</v>
      </c>
      <c r="J604" s="495" t="s">
        <v>433</v>
      </c>
      <c r="K604" s="496" t="s">
        <v>641</v>
      </c>
      <c r="L604" s="497" t="e">
        <v>#REF!</v>
      </c>
      <c r="M604" s="497">
        <v>47</v>
      </c>
      <c r="N604" s="464"/>
      <c r="O604" s="498"/>
      <c r="P604" s="431" t="s">
        <v>6711</v>
      </c>
    </row>
    <row r="605" spans="1:16" ht="13.5" hidden="1" customHeight="1" outlineLevel="3" x14ac:dyDescent="0.2">
      <c r="A605" s="233">
        <v>0</v>
      </c>
      <c r="B605" s="233">
        <v>5</v>
      </c>
      <c r="C605" s="233">
        <v>13</v>
      </c>
      <c r="D605" s="234">
        <v>5</v>
      </c>
      <c r="E605" s="234">
        <v>3</v>
      </c>
      <c r="G605" s="458" t="s">
        <v>42</v>
      </c>
      <c r="H605" s="493" t="s">
        <v>1238</v>
      </c>
      <c r="I605" s="494" t="s">
        <v>3902</v>
      </c>
      <c r="J605" s="461" t="s">
        <v>2885</v>
      </c>
      <c r="K605" s="496" t="s">
        <v>641</v>
      </c>
      <c r="L605" s="463" t="e">
        <v>#REF!</v>
      </c>
      <c r="M605" s="497" t="e">
        <v>#REF!</v>
      </c>
      <c r="N605" s="464"/>
      <c r="O605" s="498"/>
      <c r="P605" s="431" t="s">
        <v>6711</v>
      </c>
    </row>
    <row r="606" spans="1:16" ht="13.5" hidden="1" customHeight="1" outlineLevel="1" x14ac:dyDescent="0.2">
      <c r="A606" s="233">
        <v>0</v>
      </c>
      <c r="B606" s="233">
        <v>5</v>
      </c>
      <c r="C606" s="233">
        <v>14</v>
      </c>
      <c r="D606" s="234">
        <v>0</v>
      </c>
      <c r="E606" s="234">
        <v>3</v>
      </c>
      <c r="G606" s="443"/>
      <c r="H606" s="481" t="s">
        <v>38</v>
      </c>
      <c r="I606" s="482" t="s">
        <v>3903</v>
      </c>
      <c r="J606" s="483" t="s">
        <v>2316</v>
      </c>
      <c r="K606" s="484"/>
      <c r="L606" s="485"/>
      <c r="M606" s="485"/>
      <c r="N606" s="449"/>
      <c r="O606" s="486"/>
      <c r="P606" s="429"/>
    </row>
    <row r="607" spans="1:16" ht="13.5" hidden="1" customHeight="1" outlineLevel="2" x14ac:dyDescent="0.2">
      <c r="A607" s="233">
        <v>0</v>
      </c>
      <c r="B607" s="233">
        <v>5</v>
      </c>
      <c r="C607" s="233">
        <v>14</v>
      </c>
      <c r="D607" s="234">
        <v>1</v>
      </c>
      <c r="E607" s="234">
        <v>0</v>
      </c>
      <c r="G607" s="450"/>
      <c r="H607" s="487" t="s">
        <v>1237</v>
      </c>
      <c r="I607" s="488" t="s">
        <v>3904</v>
      </c>
      <c r="J607" s="489" t="s">
        <v>2288</v>
      </c>
      <c r="K607" s="490"/>
      <c r="L607" s="491"/>
      <c r="M607" s="491"/>
      <c r="N607" s="456"/>
      <c r="O607" s="492"/>
      <c r="P607" s="430"/>
    </row>
    <row r="608" spans="1:16" ht="13.5" hidden="1" customHeight="1" outlineLevel="3" x14ac:dyDescent="0.2">
      <c r="A608" s="233">
        <v>0</v>
      </c>
      <c r="B608" s="233">
        <v>5</v>
      </c>
      <c r="C608" s="233">
        <v>14</v>
      </c>
      <c r="D608" s="234">
        <v>1</v>
      </c>
      <c r="E608" s="234">
        <v>1</v>
      </c>
      <c r="G608" s="458" t="s">
        <v>42</v>
      </c>
      <c r="H608" s="493" t="s">
        <v>1238</v>
      </c>
      <c r="I608" s="494" t="s">
        <v>3905</v>
      </c>
      <c r="J608" s="495" t="s">
        <v>2284</v>
      </c>
      <c r="K608" s="496" t="s">
        <v>641</v>
      </c>
      <c r="L608" s="497" t="e">
        <v>#REF!</v>
      </c>
      <c r="M608" s="497">
        <v>24.599999999999998</v>
      </c>
      <c r="N608" s="464"/>
      <c r="O608" s="498"/>
      <c r="P608" s="431" t="s">
        <v>6711</v>
      </c>
    </row>
    <row r="609" spans="1:16" ht="13.5" hidden="1" customHeight="1" outlineLevel="3" x14ac:dyDescent="0.2">
      <c r="A609" s="233">
        <v>0</v>
      </c>
      <c r="B609" s="233">
        <v>5</v>
      </c>
      <c r="C609" s="233">
        <v>14</v>
      </c>
      <c r="D609" s="234">
        <v>1</v>
      </c>
      <c r="E609" s="234">
        <v>2</v>
      </c>
      <c r="G609" s="458" t="s">
        <v>42</v>
      </c>
      <c r="H609" s="493" t="s">
        <v>1238</v>
      </c>
      <c r="I609" s="494" t="s">
        <v>3906</v>
      </c>
      <c r="J609" s="495" t="s">
        <v>2283</v>
      </c>
      <c r="K609" s="496" t="s">
        <v>641</v>
      </c>
      <c r="L609" s="497" t="e">
        <v>#REF!</v>
      </c>
      <c r="M609" s="497">
        <v>35.099999999999994</v>
      </c>
      <c r="N609" s="464"/>
      <c r="O609" s="498"/>
      <c r="P609" s="431" t="s">
        <v>6711</v>
      </c>
    </row>
    <row r="610" spans="1:16" ht="13.5" hidden="1" customHeight="1" outlineLevel="2" x14ac:dyDescent="0.2">
      <c r="A610" s="233">
        <v>0</v>
      </c>
      <c r="B610" s="233">
        <v>5</v>
      </c>
      <c r="C610" s="233">
        <v>14</v>
      </c>
      <c r="D610" s="234">
        <v>2</v>
      </c>
      <c r="E610" s="234">
        <v>0</v>
      </c>
      <c r="G610" s="450"/>
      <c r="H610" s="487" t="s">
        <v>1237</v>
      </c>
      <c r="I610" s="488" t="s">
        <v>3907</v>
      </c>
      <c r="J610" s="489" t="s">
        <v>1250</v>
      </c>
      <c r="K610" s="490"/>
      <c r="L610" s="491"/>
      <c r="M610" s="491"/>
      <c r="N610" s="456"/>
      <c r="O610" s="492"/>
      <c r="P610" s="430"/>
    </row>
    <row r="611" spans="1:16" ht="13.5" hidden="1" customHeight="1" outlineLevel="3" x14ac:dyDescent="0.2">
      <c r="A611" s="233">
        <v>0</v>
      </c>
      <c r="B611" s="233">
        <v>5</v>
      </c>
      <c r="C611" s="233">
        <v>14</v>
      </c>
      <c r="D611" s="234">
        <v>2</v>
      </c>
      <c r="E611" s="234">
        <v>1</v>
      </c>
      <c r="G611" s="458" t="s">
        <v>42</v>
      </c>
      <c r="H611" s="493" t="s">
        <v>1238</v>
      </c>
      <c r="I611" s="494" t="s">
        <v>3908</v>
      </c>
      <c r="J611" s="495" t="s">
        <v>1251</v>
      </c>
      <c r="K611" s="496" t="s">
        <v>787</v>
      </c>
      <c r="L611" s="497" t="e">
        <v>#REF!</v>
      </c>
      <c r="M611" s="497">
        <v>14.787500000000001</v>
      </c>
      <c r="N611" s="464"/>
      <c r="O611" s="498"/>
      <c r="P611" s="431" t="s">
        <v>6711</v>
      </c>
    </row>
    <row r="612" spans="1:16" ht="13.5" hidden="1" customHeight="1" outlineLevel="3" x14ac:dyDescent="0.2">
      <c r="A612" s="233">
        <v>0</v>
      </c>
      <c r="B612" s="233">
        <v>5</v>
      </c>
      <c r="C612" s="233">
        <v>14</v>
      </c>
      <c r="D612" s="234">
        <v>2</v>
      </c>
      <c r="E612" s="234">
        <v>2</v>
      </c>
      <c r="G612" s="458" t="s">
        <v>42</v>
      </c>
      <c r="H612" s="493" t="s">
        <v>1238</v>
      </c>
      <c r="I612" s="494" t="s">
        <v>3909</v>
      </c>
      <c r="J612" s="495" t="s">
        <v>392</v>
      </c>
      <c r="K612" s="496" t="s">
        <v>533</v>
      </c>
      <c r="L612" s="497" t="e">
        <v>#REF!</v>
      </c>
      <c r="M612" s="497">
        <v>4.1071999999999997</v>
      </c>
      <c r="N612" s="464"/>
      <c r="O612" s="498"/>
      <c r="P612" s="431" t="s">
        <v>6711</v>
      </c>
    </row>
    <row r="613" spans="1:16" ht="13.5" hidden="1" customHeight="1" outlineLevel="3" x14ac:dyDescent="0.2">
      <c r="A613" s="233">
        <v>0</v>
      </c>
      <c r="B613" s="233">
        <v>5</v>
      </c>
      <c r="C613" s="233">
        <v>14</v>
      </c>
      <c r="D613" s="234">
        <v>2</v>
      </c>
      <c r="E613" s="234">
        <v>3</v>
      </c>
      <c r="G613" s="458" t="s">
        <v>42</v>
      </c>
      <c r="H613" s="493" t="s">
        <v>1238</v>
      </c>
      <c r="I613" s="494" t="s">
        <v>3910</v>
      </c>
      <c r="J613" s="495" t="s">
        <v>396</v>
      </c>
      <c r="K613" s="496" t="s">
        <v>787</v>
      </c>
      <c r="L613" s="497" t="e">
        <v>#REF!</v>
      </c>
      <c r="M613" s="497">
        <v>79.403675710539517</v>
      </c>
      <c r="N613" s="464"/>
      <c r="O613" s="498"/>
      <c r="P613" s="431" t="s">
        <v>6711</v>
      </c>
    </row>
    <row r="614" spans="1:16" ht="13.5" hidden="1" customHeight="1" outlineLevel="2" x14ac:dyDescent="0.2">
      <c r="A614" s="233">
        <v>0</v>
      </c>
      <c r="B614" s="233">
        <v>5</v>
      </c>
      <c r="C614" s="233">
        <v>14</v>
      </c>
      <c r="D614" s="234">
        <v>3</v>
      </c>
      <c r="E614" s="234">
        <v>0</v>
      </c>
      <c r="G614" s="450"/>
      <c r="H614" s="487" t="s">
        <v>1237</v>
      </c>
      <c r="I614" s="488" t="s">
        <v>3911</v>
      </c>
      <c r="J614" s="489" t="s">
        <v>1312</v>
      </c>
      <c r="K614" s="490"/>
      <c r="L614" s="491"/>
      <c r="M614" s="491"/>
      <c r="N614" s="456"/>
      <c r="O614" s="492"/>
      <c r="P614" s="430"/>
    </row>
    <row r="615" spans="1:16" ht="13.5" hidden="1" customHeight="1" outlineLevel="3" x14ac:dyDescent="0.2">
      <c r="A615" s="233">
        <v>0</v>
      </c>
      <c r="B615" s="233">
        <v>5</v>
      </c>
      <c r="C615" s="233">
        <v>14</v>
      </c>
      <c r="D615" s="234">
        <v>3</v>
      </c>
      <c r="E615" s="234">
        <v>1</v>
      </c>
      <c r="G615" s="458" t="s">
        <v>42</v>
      </c>
      <c r="H615" s="493" t="s">
        <v>1238</v>
      </c>
      <c r="I615" s="494" t="s">
        <v>3912</v>
      </c>
      <c r="J615" s="461" t="s">
        <v>2875</v>
      </c>
      <c r="K615" s="496" t="s">
        <v>641</v>
      </c>
      <c r="L615" s="497" t="e">
        <v>#REF!</v>
      </c>
      <c r="M615" s="497">
        <v>95.867556999999991</v>
      </c>
      <c r="N615" s="464"/>
      <c r="O615" s="498"/>
      <c r="P615" s="431" t="s">
        <v>6711</v>
      </c>
    </row>
    <row r="616" spans="1:16" ht="13.5" hidden="1" customHeight="1" outlineLevel="2" x14ac:dyDescent="0.2">
      <c r="A616" s="233">
        <v>0</v>
      </c>
      <c r="B616" s="233">
        <v>5</v>
      </c>
      <c r="C616" s="233">
        <v>14</v>
      </c>
      <c r="D616" s="234">
        <v>4</v>
      </c>
      <c r="E616" s="234">
        <v>0</v>
      </c>
      <c r="G616" s="450"/>
      <c r="H616" s="487" t="s">
        <v>1237</v>
      </c>
      <c r="I616" s="488" t="s">
        <v>3913</v>
      </c>
      <c r="J616" s="489" t="s">
        <v>14</v>
      </c>
      <c r="K616" s="490"/>
      <c r="L616" s="491"/>
      <c r="M616" s="491"/>
      <c r="N616" s="456"/>
      <c r="O616" s="492"/>
      <c r="P616" s="430"/>
    </row>
    <row r="617" spans="1:16" ht="13.5" hidden="1" customHeight="1" outlineLevel="3" x14ac:dyDescent="0.2">
      <c r="A617" s="233">
        <v>0</v>
      </c>
      <c r="B617" s="233">
        <v>5</v>
      </c>
      <c r="C617" s="233">
        <v>14</v>
      </c>
      <c r="D617" s="234">
        <v>4</v>
      </c>
      <c r="E617" s="234">
        <v>1</v>
      </c>
      <c r="G617" s="458" t="s">
        <v>42</v>
      </c>
      <c r="H617" s="493" t="s">
        <v>1238</v>
      </c>
      <c r="I617" s="494" t="s">
        <v>3914</v>
      </c>
      <c r="J617" s="495" t="s">
        <v>431</v>
      </c>
      <c r="K617" s="496" t="s">
        <v>641</v>
      </c>
      <c r="L617" s="497" t="e">
        <v>#REF!</v>
      </c>
      <c r="M617" s="497">
        <v>47</v>
      </c>
      <c r="N617" s="464"/>
      <c r="O617" s="498"/>
      <c r="P617" s="431" t="s">
        <v>6711</v>
      </c>
    </row>
    <row r="618" spans="1:16" ht="13.5" hidden="1" customHeight="1" outlineLevel="3" x14ac:dyDescent="0.2">
      <c r="A618" s="233">
        <v>0</v>
      </c>
      <c r="B618" s="233">
        <v>5</v>
      </c>
      <c r="C618" s="233">
        <v>14</v>
      </c>
      <c r="D618" s="234">
        <v>4</v>
      </c>
      <c r="E618" s="234">
        <v>2</v>
      </c>
      <c r="G618" s="458" t="s">
        <v>42</v>
      </c>
      <c r="H618" s="493" t="s">
        <v>1238</v>
      </c>
      <c r="I618" s="494" t="s">
        <v>3915</v>
      </c>
      <c r="J618" s="461" t="s">
        <v>2885</v>
      </c>
      <c r="K618" s="496" t="s">
        <v>641</v>
      </c>
      <c r="L618" s="463" t="e">
        <v>#REF!</v>
      </c>
      <c r="M618" s="497" t="e">
        <v>#REF!</v>
      </c>
      <c r="N618" s="464"/>
      <c r="O618" s="498"/>
      <c r="P618" s="431" t="s">
        <v>6711</v>
      </c>
    </row>
    <row r="619" spans="1:16" ht="13.9" customHeight="1" collapsed="1" x14ac:dyDescent="0.2">
      <c r="A619" s="233">
        <v>0</v>
      </c>
      <c r="B619" s="233">
        <v>6</v>
      </c>
      <c r="C619" s="233">
        <v>0</v>
      </c>
      <c r="D619" s="234">
        <v>4</v>
      </c>
      <c r="E619" s="234">
        <v>2</v>
      </c>
      <c r="F619" s="237"/>
      <c r="G619" s="436"/>
      <c r="H619" s="437" t="s">
        <v>1236</v>
      </c>
      <c r="I619" s="438" t="s">
        <v>3916</v>
      </c>
      <c r="J619" s="439" t="s">
        <v>16</v>
      </c>
      <c r="K619" s="440"/>
      <c r="L619" s="441"/>
      <c r="M619" s="441"/>
      <c r="N619" s="442">
        <v>3569163.7245956999</v>
      </c>
      <c r="O619" s="480">
        <v>213.088599631856</v>
      </c>
      <c r="P619" s="434"/>
    </row>
    <row r="620" spans="1:16" ht="13.9" hidden="1" customHeight="1" outlineLevel="1" x14ac:dyDescent="0.2">
      <c r="A620" s="233">
        <v>0</v>
      </c>
      <c r="B620" s="233">
        <v>6</v>
      </c>
      <c r="C620" s="233">
        <v>1</v>
      </c>
      <c r="D620" s="234">
        <v>0</v>
      </c>
      <c r="E620" s="234">
        <v>2</v>
      </c>
      <c r="G620" s="443"/>
      <c r="H620" s="444" t="s">
        <v>38</v>
      </c>
      <c r="I620" s="445" t="s">
        <v>3917</v>
      </c>
      <c r="J620" s="446" t="s">
        <v>2721</v>
      </c>
      <c r="K620" s="447"/>
      <c r="L620" s="448"/>
      <c r="M620" s="448"/>
      <c r="N620" s="449">
        <v>1732378.9793951199</v>
      </c>
      <c r="O620" s="432"/>
      <c r="P620" s="435"/>
    </row>
    <row r="621" spans="1:16" ht="13.9" hidden="1" customHeight="1" outlineLevel="2" x14ac:dyDescent="0.2">
      <c r="A621" s="233">
        <v>0</v>
      </c>
      <c r="B621" s="233">
        <v>6</v>
      </c>
      <c r="C621" s="233">
        <v>1</v>
      </c>
      <c r="D621" s="234">
        <v>1</v>
      </c>
      <c r="E621" s="234">
        <v>0</v>
      </c>
      <c r="G621" s="450"/>
      <c r="H621" s="451" t="s">
        <v>1237</v>
      </c>
      <c r="I621" s="452" t="s">
        <v>3918</v>
      </c>
      <c r="J621" s="453" t="s">
        <v>2321</v>
      </c>
      <c r="K621" s="454"/>
      <c r="L621" s="455"/>
      <c r="M621" s="455"/>
      <c r="N621" s="456">
        <v>443271.64880000002</v>
      </c>
      <c r="O621" s="457"/>
      <c r="P621" s="430"/>
    </row>
    <row r="622" spans="1:16" ht="13.9" hidden="1" customHeight="1" outlineLevel="3" x14ac:dyDescent="0.2">
      <c r="A622" s="233">
        <v>0</v>
      </c>
      <c r="B622" s="233">
        <v>6</v>
      </c>
      <c r="C622" s="233">
        <v>1</v>
      </c>
      <c r="D622" s="234">
        <v>1</v>
      </c>
      <c r="E622" s="234">
        <v>1</v>
      </c>
      <c r="G622" s="500" t="s">
        <v>16</v>
      </c>
      <c r="H622" s="459" t="s">
        <v>1238</v>
      </c>
      <c r="I622" s="460" t="s">
        <v>3919</v>
      </c>
      <c r="J622" s="461" t="s">
        <v>2321</v>
      </c>
      <c r="K622" s="462" t="s">
        <v>1129</v>
      </c>
      <c r="L622" s="463">
        <v>1</v>
      </c>
      <c r="M622" s="463">
        <v>443271.64879999997</v>
      </c>
      <c r="N622" s="464">
        <v>443271.64880000002</v>
      </c>
      <c r="O622" s="465" t="s">
        <v>2736</v>
      </c>
      <c r="P622" s="431" t="s">
        <v>6711</v>
      </c>
    </row>
    <row r="623" spans="1:16" ht="13.9" hidden="1" customHeight="1" outlineLevel="2" x14ac:dyDescent="0.2">
      <c r="A623" s="233">
        <v>0</v>
      </c>
      <c r="B623" s="233">
        <v>6</v>
      </c>
      <c r="C623" s="233">
        <v>1</v>
      </c>
      <c r="D623" s="234">
        <v>2</v>
      </c>
      <c r="E623" s="234">
        <v>0</v>
      </c>
      <c r="G623" s="450"/>
      <c r="H623" s="451" t="s">
        <v>1237</v>
      </c>
      <c r="I623" s="452" t="s">
        <v>3920</v>
      </c>
      <c r="J623" s="453" t="s">
        <v>2720</v>
      </c>
      <c r="K623" s="454"/>
      <c r="L623" s="455"/>
      <c r="M623" s="455"/>
      <c r="N623" s="456">
        <v>641526.71</v>
      </c>
      <c r="O623" s="457"/>
      <c r="P623" s="430"/>
    </row>
    <row r="624" spans="1:16" ht="13.9" hidden="1" customHeight="1" outlineLevel="3" x14ac:dyDescent="0.2">
      <c r="A624" s="233">
        <v>0</v>
      </c>
      <c r="B624" s="233">
        <v>6</v>
      </c>
      <c r="C624" s="233">
        <v>1</v>
      </c>
      <c r="D624" s="234">
        <v>2</v>
      </c>
      <c r="E624" s="234">
        <v>1</v>
      </c>
      <c r="G624" s="500" t="s">
        <v>16</v>
      </c>
      <c r="H624" s="459" t="s">
        <v>1238</v>
      </c>
      <c r="I624" s="460" t="s">
        <v>3921</v>
      </c>
      <c r="J624" s="461" t="s">
        <v>2720</v>
      </c>
      <c r="K624" s="462" t="s">
        <v>1129</v>
      </c>
      <c r="L624" s="463">
        <v>1</v>
      </c>
      <c r="M624" s="463">
        <v>641526.71</v>
      </c>
      <c r="N624" s="464">
        <v>641526.71</v>
      </c>
      <c r="O624" s="465" t="s">
        <v>2736</v>
      </c>
      <c r="P624" s="431" t="s">
        <v>6711</v>
      </c>
    </row>
    <row r="625" spans="1:16" ht="13.9" hidden="1" customHeight="1" outlineLevel="2" x14ac:dyDescent="0.2">
      <c r="A625" s="233">
        <v>0</v>
      </c>
      <c r="B625" s="233">
        <v>6</v>
      </c>
      <c r="C625" s="233">
        <v>1</v>
      </c>
      <c r="D625" s="234">
        <v>3</v>
      </c>
      <c r="E625" s="234">
        <v>0</v>
      </c>
      <c r="G625" s="450"/>
      <c r="H625" s="451" t="s">
        <v>1237</v>
      </c>
      <c r="I625" s="452" t="s">
        <v>3922</v>
      </c>
      <c r="J625" s="453" t="s">
        <v>2238</v>
      </c>
      <c r="K625" s="454"/>
      <c r="L625" s="455"/>
      <c r="M625" s="455"/>
      <c r="N625" s="456">
        <v>249995</v>
      </c>
      <c r="O625" s="457"/>
      <c r="P625" s="430"/>
    </row>
    <row r="626" spans="1:16" ht="13.9" hidden="1" customHeight="1" outlineLevel="3" x14ac:dyDescent="0.2">
      <c r="A626" s="233">
        <v>0</v>
      </c>
      <c r="B626" s="233">
        <v>6</v>
      </c>
      <c r="C626" s="233">
        <v>1</v>
      </c>
      <c r="D626" s="234">
        <v>3</v>
      </c>
      <c r="E626" s="234">
        <v>1</v>
      </c>
      <c r="G626" s="500" t="s">
        <v>16</v>
      </c>
      <c r="H626" s="459" t="s">
        <v>1238</v>
      </c>
      <c r="I626" s="460" t="s">
        <v>3923</v>
      </c>
      <c r="J626" s="461" t="s">
        <v>2238</v>
      </c>
      <c r="K626" s="462" t="s">
        <v>1129</v>
      </c>
      <c r="L626" s="463">
        <v>1</v>
      </c>
      <c r="M626" s="463">
        <v>249995</v>
      </c>
      <c r="N626" s="464">
        <v>249995</v>
      </c>
      <c r="O626" s="465" t="s">
        <v>2736</v>
      </c>
      <c r="P626" s="431" t="s">
        <v>6711</v>
      </c>
    </row>
    <row r="627" spans="1:16" ht="13.9" hidden="1" customHeight="1" outlineLevel="2" x14ac:dyDescent="0.2">
      <c r="A627" s="233">
        <v>0</v>
      </c>
      <c r="B627" s="233">
        <v>6</v>
      </c>
      <c r="C627" s="233">
        <v>1</v>
      </c>
      <c r="D627" s="234">
        <v>4</v>
      </c>
      <c r="E627" s="234">
        <v>0</v>
      </c>
      <c r="G627" s="450"/>
      <c r="H627" s="451" t="s">
        <v>1237</v>
      </c>
      <c r="I627" s="452" t="s">
        <v>3924</v>
      </c>
      <c r="J627" s="453" t="s">
        <v>2322</v>
      </c>
      <c r="K627" s="454"/>
      <c r="L627" s="455"/>
      <c r="M627" s="455"/>
      <c r="N627" s="456">
        <v>6551.71</v>
      </c>
      <c r="O627" s="457"/>
      <c r="P627" s="430"/>
    </row>
    <row r="628" spans="1:16" ht="13.9" hidden="1" customHeight="1" outlineLevel="3" x14ac:dyDescent="0.2">
      <c r="A628" s="233">
        <v>0</v>
      </c>
      <c r="B628" s="233">
        <v>6</v>
      </c>
      <c r="C628" s="233">
        <v>1</v>
      </c>
      <c r="D628" s="234">
        <v>4</v>
      </c>
      <c r="E628" s="234">
        <v>1</v>
      </c>
      <c r="G628" s="500" t="s">
        <v>16</v>
      </c>
      <c r="H628" s="459" t="s">
        <v>1238</v>
      </c>
      <c r="I628" s="460" t="s">
        <v>3925</v>
      </c>
      <c r="J628" s="461" t="s">
        <v>2322</v>
      </c>
      <c r="K628" s="462" t="s">
        <v>1129</v>
      </c>
      <c r="L628" s="463">
        <v>1</v>
      </c>
      <c r="M628" s="463">
        <v>6551.71</v>
      </c>
      <c r="N628" s="464">
        <v>6551.71</v>
      </c>
      <c r="O628" s="465" t="s">
        <v>2736</v>
      </c>
      <c r="P628" s="431" t="s">
        <v>6711</v>
      </c>
    </row>
    <row r="629" spans="1:16" ht="13.9" hidden="1" customHeight="1" outlineLevel="2" x14ac:dyDescent="0.2">
      <c r="A629" s="233">
        <v>0</v>
      </c>
      <c r="B629" s="233">
        <v>6</v>
      </c>
      <c r="C629" s="233">
        <v>1</v>
      </c>
      <c r="D629" s="234">
        <v>5</v>
      </c>
      <c r="E629" s="234">
        <v>0</v>
      </c>
      <c r="G629" s="450"/>
      <c r="H629" s="451" t="s">
        <v>1237</v>
      </c>
      <c r="I629" s="452" t="s">
        <v>3926</v>
      </c>
      <c r="J629" s="453" t="s">
        <v>2324</v>
      </c>
      <c r="K629" s="454"/>
      <c r="L629" s="455"/>
      <c r="M629" s="455"/>
      <c r="N629" s="456">
        <v>2334.0500000000002</v>
      </c>
      <c r="O629" s="457"/>
      <c r="P629" s="430"/>
    </row>
    <row r="630" spans="1:16" ht="13.9" hidden="1" customHeight="1" outlineLevel="3" x14ac:dyDescent="0.2">
      <c r="A630" s="233">
        <v>0</v>
      </c>
      <c r="B630" s="233">
        <v>6</v>
      </c>
      <c r="C630" s="233">
        <v>1</v>
      </c>
      <c r="D630" s="234">
        <v>5</v>
      </c>
      <c r="E630" s="234">
        <v>1</v>
      </c>
      <c r="G630" s="500" t="s">
        <v>16</v>
      </c>
      <c r="H630" s="459" t="s">
        <v>1238</v>
      </c>
      <c r="I630" s="460" t="s">
        <v>3927</v>
      </c>
      <c r="J630" s="461" t="s">
        <v>2324</v>
      </c>
      <c r="K630" s="462" t="s">
        <v>1129</v>
      </c>
      <c r="L630" s="463">
        <v>1</v>
      </c>
      <c r="M630" s="463">
        <v>2334.0500000000002</v>
      </c>
      <c r="N630" s="464">
        <v>2334.0500000000002</v>
      </c>
      <c r="O630" s="465" t="s">
        <v>2736</v>
      </c>
      <c r="P630" s="431" t="s">
        <v>6711</v>
      </c>
    </row>
    <row r="631" spans="1:16" ht="13.9" hidden="1" customHeight="1" outlineLevel="2" x14ac:dyDescent="0.2">
      <c r="A631" s="233">
        <v>0</v>
      </c>
      <c r="B631" s="233">
        <v>6</v>
      </c>
      <c r="C631" s="233">
        <v>1</v>
      </c>
      <c r="D631" s="234">
        <v>6</v>
      </c>
      <c r="E631" s="234">
        <v>0</v>
      </c>
      <c r="G631" s="450"/>
      <c r="H631" s="451" t="s">
        <v>1237</v>
      </c>
      <c r="I631" s="452" t="s">
        <v>3928</v>
      </c>
      <c r="J631" s="453" t="s">
        <v>2325</v>
      </c>
      <c r="K631" s="454"/>
      <c r="L631" s="455"/>
      <c r="M631" s="455"/>
      <c r="N631" s="456">
        <v>247400.663</v>
      </c>
      <c r="O631" s="457"/>
      <c r="P631" s="430"/>
    </row>
    <row r="632" spans="1:16" ht="13.9" hidden="1" customHeight="1" outlineLevel="3" x14ac:dyDescent="0.2">
      <c r="A632" s="233">
        <v>0</v>
      </c>
      <c r="B632" s="233">
        <v>6</v>
      </c>
      <c r="C632" s="233">
        <v>1</v>
      </c>
      <c r="D632" s="234">
        <v>6</v>
      </c>
      <c r="E632" s="234">
        <v>1</v>
      </c>
      <c r="G632" s="500" t="s">
        <v>16</v>
      </c>
      <c r="H632" s="459" t="s">
        <v>1238</v>
      </c>
      <c r="I632" s="460" t="s">
        <v>3929</v>
      </c>
      <c r="J632" s="461" t="s">
        <v>2325</v>
      </c>
      <c r="K632" s="462" t="s">
        <v>1129</v>
      </c>
      <c r="L632" s="463">
        <v>1</v>
      </c>
      <c r="M632" s="463">
        <v>247400.663</v>
      </c>
      <c r="N632" s="464">
        <v>247400.663</v>
      </c>
      <c r="O632" s="465" t="s">
        <v>2736</v>
      </c>
      <c r="P632" s="431" t="s">
        <v>6711</v>
      </c>
    </row>
    <row r="633" spans="1:16" ht="13.9" hidden="1" customHeight="1" outlineLevel="2" x14ac:dyDescent="0.2">
      <c r="A633" s="233">
        <v>0</v>
      </c>
      <c r="B633" s="233">
        <v>6</v>
      </c>
      <c r="C633" s="233">
        <v>1</v>
      </c>
      <c r="D633" s="234">
        <v>7</v>
      </c>
      <c r="E633" s="234">
        <v>0</v>
      </c>
      <c r="G633" s="450"/>
      <c r="H633" s="451" t="s">
        <v>1237</v>
      </c>
      <c r="I633" s="452" t="s">
        <v>3930</v>
      </c>
      <c r="J633" s="453" t="s">
        <v>2326</v>
      </c>
      <c r="K633" s="454"/>
      <c r="L633" s="455"/>
      <c r="M633" s="455"/>
      <c r="N633" s="456">
        <v>3653.25</v>
      </c>
      <c r="O633" s="457"/>
      <c r="P633" s="430"/>
    </row>
    <row r="634" spans="1:16" ht="13.9" hidden="1" customHeight="1" outlineLevel="3" x14ac:dyDescent="0.2">
      <c r="A634" s="233">
        <v>0</v>
      </c>
      <c r="B634" s="233">
        <v>6</v>
      </c>
      <c r="C634" s="233">
        <v>1</v>
      </c>
      <c r="D634" s="234">
        <v>7</v>
      </c>
      <c r="E634" s="234">
        <v>1</v>
      </c>
      <c r="G634" s="500" t="s">
        <v>16</v>
      </c>
      <c r="H634" s="459" t="s">
        <v>1238</v>
      </c>
      <c r="I634" s="460" t="s">
        <v>3931</v>
      </c>
      <c r="J634" s="461" t="s">
        <v>2326</v>
      </c>
      <c r="K634" s="462" t="s">
        <v>1129</v>
      </c>
      <c r="L634" s="463">
        <v>1</v>
      </c>
      <c r="M634" s="463">
        <v>3653.25</v>
      </c>
      <c r="N634" s="464">
        <v>3653.25</v>
      </c>
      <c r="O634" s="465" t="s">
        <v>2736</v>
      </c>
      <c r="P634" s="431" t="s">
        <v>6711</v>
      </c>
    </row>
    <row r="635" spans="1:16" ht="13.9" hidden="1" customHeight="1" outlineLevel="2" x14ac:dyDescent="0.2">
      <c r="A635" s="233">
        <v>0</v>
      </c>
      <c r="B635" s="233">
        <v>6</v>
      </c>
      <c r="C635" s="233">
        <v>1</v>
      </c>
      <c r="D635" s="234">
        <v>8</v>
      </c>
      <c r="E635" s="234">
        <v>0</v>
      </c>
      <c r="G635" s="450"/>
      <c r="H635" s="451" t="s">
        <v>1237</v>
      </c>
      <c r="I635" s="452" t="s">
        <v>3932</v>
      </c>
      <c r="J635" s="453" t="s">
        <v>2327</v>
      </c>
      <c r="K635" s="454"/>
      <c r="L635" s="455"/>
      <c r="M635" s="455"/>
      <c r="N635" s="456">
        <v>8750.9875951209797</v>
      </c>
      <c r="O635" s="457"/>
      <c r="P635" s="430"/>
    </row>
    <row r="636" spans="1:16" ht="13.9" hidden="1" customHeight="1" outlineLevel="3" x14ac:dyDescent="0.2">
      <c r="A636" s="233">
        <v>0</v>
      </c>
      <c r="B636" s="233">
        <v>6</v>
      </c>
      <c r="C636" s="233">
        <v>1</v>
      </c>
      <c r="D636" s="234">
        <v>8</v>
      </c>
      <c r="E636" s="234">
        <v>1</v>
      </c>
      <c r="G636" s="500" t="s">
        <v>16</v>
      </c>
      <c r="H636" s="459" t="s">
        <v>1238</v>
      </c>
      <c r="I636" s="460" t="s">
        <v>3933</v>
      </c>
      <c r="J636" s="461" t="s">
        <v>2327</v>
      </c>
      <c r="K636" s="462" t="s">
        <v>1129</v>
      </c>
      <c r="L636" s="463">
        <v>1</v>
      </c>
      <c r="M636" s="463">
        <v>8750.9875951209779</v>
      </c>
      <c r="N636" s="464">
        <v>8750.9875951209797</v>
      </c>
      <c r="O636" s="465" t="s">
        <v>2735</v>
      </c>
      <c r="P636" s="431" t="s">
        <v>6711</v>
      </c>
    </row>
    <row r="637" spans="1:16" ht="13.9" hidden="1" customHeight="1" outlineLevel="2" x14ac:dyDescent="0.2">
      <c r="A637" s="233">
        <v>0</v>
      </c>
      <c r="B637" s="233">
        <v>6</v>
      </c>
      <c r="C637" s="233">
        <v>1</v>
      </c>
      <c r="D637" s="234">
        <v>9</v>
      </c>
      <c r="E637" s="234">
        <v>0</v>
      </c>
      <c r="G637" s="450"/>
      <c r="H637" s="451" t="s">
        <v>1237</v>
      </c>
      <c r="I637" s="452" t="s">
        <v>3934</v>
      </c>
      <c r="J637" s="453" t="s">
        <v>1252</v>
      </c>
      <c r="K637" s="454"/>
      <c r="L637" s="455"/>
      <c r="M637" s="455"/>
      <c r="N637" s="456">
        <v>128894.96</v>
      </c>
      <c r="O637" s="457"/>
      <c r="P637" s="430"/>
    </row>
    <row r="638" spans="1:16" ht="13.9" hidden="1" customHeight="1" outlineLevel="3" x14ac:dyDescent="0.2">
      <c r="A638" s="233">
        <v>0</v>
      </c>
      <c r="B638" s="233">
        <v>6</v>
      </c>
      <c r="C638" s="233">
        <v>1</v>
      </c>
      <c r="D638" s="234">
        <v>9</v>
      </c>
      <c r="E638" s="234">
        <v>1</v>
      </c>
      <c r="G638" s="500" t="s">
        <v>16</v>
      </c>
      <c r="H638" s="459" t="s">
        <v>1238</v>
      </c>
      <c r="I638" s="460" t="s">
        <v>3935</v>
      </c>
      <c r="J638" s="461" t="s">
        <v>1253</v>
      </c>
      <c r="K638" s="462" t="s">
        <v>1129</v>
      </c>
      <c r="L638" s="463">
        <v>1</v>
      </c>
      <c r="M638" s="463">
        <v>128894.95999999999</v>
      </c>
      <c r="N638" s="464">
        <v>128894.96</v>
      </c>
      <c r="O638" s="465" t="s">
        <v>2719</v>
      </c>
      <c r="P638" s="431" t="s">
        <v>6711</v>
      </c>
    </row>
    <row r="639" spans="1:16" ht="13.9" hidden="1" customHeight="1" outlineLevel="1" x14ac:dyDescent="0.2">
      <c r="A639" s="233">
        <v>0</v>
      </c>
      <c r="B639" s="233">
        <v>6</v>
      </c>
      <c r="C639" s="233">
        <v>2</v>
      </c>
      <c r="D639" s="234">
        <v>0</v>
      </c>
      <c r="E639" s="234">
        <v>1</v>
      </c>
      <c r="G639" s="443"/>
      <c r="H639" s="444" t="s">
        <v>38</v>
      </c>
      <c r="I639" s="445" t="s">
        <v>3936</v>
      </c>
      <c r="J639" s="446" t="s">
        <v>2722</v>
      </c>
      <c r="K639" s="447"/>
      <c r="L639" s="448"/>
      <c r="M639" s="448"/>
      <c r="N639" s="449">
        <v>72484.843776862996</v>
      </c>
      <c r="O639" s="432"/>
      <c r="P639" s="435"/>
    </row>
    <row r="640" spans="1:16" ht="13.9" hidden="1" customHeight="1" outlineLevel="2" x14ac:dyDescent="0.2">
      <c r="A640" s="233">
        <v>0</v>
      </c>
      <c r="B640" s="233">
        <v>6</v>
      </c>
      <c r="C640" s="233">
        <v>2</v>
      </c>
      <c r="D640" s="234">
        <v>1</v>
      </c>
      <c r="E640" s="234">
        <v>0</v>
      </c>
      <c r="G640" s="450"/>
      <c r="H640" s="451" t="s">
        <v>1237</v>
      </c>
      <c r="I640" s="452" t="s">
        <v>3937</v>
      </c>
      <c r="J640" s="453" t="s">
        <v>2322</v>
      </c>
      <c r="K640" s="454"/>
      <c r="L640" s="455"/>
      <c r="M640" s="455"/>
      <c r="N640" s="456">
        <v>973.32</v>
      </c>
      <c r="O640" s="457"/>
      <c r="P640" s="430"/>
    </row>
    <row r="641" spans="1:16" ht="13.9" hidden="1" customHeight="1" outlineLevel="3" x14ac:dyDescent="0.2">
      <c r="A641" s="233">
        <v>0</v>
      </c>
      <c r="B641" s="233">
        <v>6</v>
      </c>
      <c r="C641" s="233">
        <v>2</v>
      </c>
      <c r="D641" s="234">
        <v>1</v>
      </c>
      <c r="E641" s="234">
        <v>1</v>
      </c>
      <c r="G641" s="500" t="s">
        <v>16</v>
      </c>
      <c r="H641" s="459" t="s">
        <v>1238</v>
      </c>
      <c r="I641" s="460" t="s">
        <v>3938</v>
      </c>
      <c r="J641" s="461" t="s">
        <v>2322</v>
      </c>
      <c r="K641" s="462" t="s">
        <v>1129</v>
      </c>
      <c r="L641" s="463">
        <v>1</v>
      </c>
      <c r="M641" s="463">
        <v>973.31999999999994</v>
      </c>
      <c r="N641" s="464">
        <v>973.32</v>
      </c>
      <c r="O641" s="465" t="s">
        <v>2736</v>
      </c>
      <c r="P641" s="431" t="s">
        <v>6711</v>
      </c>
    </row>
    <row r="642" spans="1:16" ht="13.9" hidden="1" customHeight="1" outlineLevel="2" x14ac:dyDescent="0.2">
      <c r="A642" s="233">
        <v>0</v>
      </c>
      <c r="B642" s="233">
        <v>6</v>
      </c>
      <c r="C642" s="233">
        <v>2</v>
      </c>
      <c r="D642" s="234">
        <v>2</v>
      </c>
      <c r="E642" s="234">
        <v>0</v>
      </c>
      <c r="G642" s="450"/>
      <c r="H642" s="451" t="s">
        <v>1237</v>
      </c>
      <c r="I642" s="452" t="s">
        <v>3939</v>
      </c>
      <c r="J642" s="453" t="s">
        <v>2324</v>
      </c>
      <c r="K642" s="454"/>
      <c r="L642" s="455"/>
      <c r="M642" s="455"/>
      <c r="N642" s="456">
        <v>2608.4499999999998</v>
      </c>
      <c r="O642" s="457"/>
      <c r="P642" s="430"/>
    </row>
    <row r="643" spans="1:16" ht="13.9" hidden="1" customHeight="1" outlineLevel="3" x14ac:dyDescent="0.2">
      <c r="A643" s="233">
        <v>0</v>
      </c>
      <c r="B643" s="233">
        <v>6</v>
      </c>
      <c r="C643" s="233">
        <v>2</v>
      </c>
      <c r="D643" s="234">
        <v>2</v>
      </c>
      <c r="E643" s="234">
        <v>1</v>
      </c>
      <c r="G643" s="500" t="s">
        <v>16</v>
      </c>
      <c r="H643" s="459" t="s">
        <v>1238</v>
      </c>
      <c r="I643" s="460" t="s">
        <v>3940</v>
      </c>
      <c r="J643" s="461" t="s">
        <v>2324</v>
      </c>
      <c r="K643" s="462" t="s">
        <v>1129</v>
      </c>
      <c r="L643" s="463">
        <v>1</v>
      </c>
      <c r="M643" s="463">
        <v>2608.4500000000003</v>
      </c>
      <c r="N643" s="464">
        <v>2608.4499999999998</v>
      </c>
      <c r="O643" s="465" t="s">
        <v>2736</v>
      </c>
      <c r="P643" s="431" t="s">
        <v>6711</v>
      </c>
    </row>
    <row r="644" spans="1:16" ht="13.9" hidden="1" customHeight="1" outlineLevel="2" x14ac:dyDescent="0.2">
      <c r="A644" s="233">
        <v>0</v>
      </c>
      <c r="B644" s="233">
        <v>6</v>
      </c>
      <c r="C644" s="233">
        <v>2</v>
      </c>
      <c r="D644" s="234">
        <v>3</v>
      </c>
      <c r="E644" s="234">
        <v>0</v>
      </c>
      <c r="G644" s="450"/>
      <c r="H644" s="451" t="s">
        <v>1237</v>
      </c>
      <c r="I644" s="452" t="s">
        <v>3941</v>
      </c>
      <c r="J644" s="453" t="s">
        <v>2325</v>
      </c>
      <c r="K644" s="454"/>
      <c r="L644" s="455"/>
      <c r="M644" s="455"/>
      <c r="N644" s="456">
        <v>7968.7790000000005</v>
      </c>
      <c r="O644" s="457"/>
      <c r="P644" s="430"/>
    </row>
    <row r="645" spans="1:16" ht="13.9" hidden="1" customHeight="1" outlineLevel="3" x14ac:dyDescent="0.2">
      <c r="A645" s="233">
        <v>0</v>
      </c>
      <c r="B645" s="233">
        <v>6</v>
      </c>
      <c r="C645" s="233">
        <v>2</v>
      </c>
      <c r="D645" s="234">
        <v>3</v>
      </c>
      <c r="E645" s="234">
        <v>1</v>
      </c>
      <c r="G645" s="500" t="s">
        <v>16</v>
      </c>
      <c r="H645" s="459" t="s">
        <v>1238</v>
      </c>
      <c r="I645" s="460" t="s">
        <v>3942</v>
      </c>
      <c r="J645" s="461" t="s">
        <v>2325</v>
      </c>
      <c r="K645" s="462" t="s">
        <v>1129</v>
      </c>
      <c r="L645" s="463">
        <v>1</v>
      </c>
      <c r="M645" s="463">
        <v>7968.7789999999986</v>
      </c>
      <c r="N645" s="464">
        <v>7968.7790000000005</v>
      </c>
      <c r="O645" s="465" t="s">
        <v>2736</v>
      </c>
      <c r="P645" s="431" t="s">
        <v>6711</v>
      </c>
    </row>
    <row r="646" spans="1:16" ht="13.9" hidden="1" customHeight="1" outlineLevel="2" x14ac:dyDescent="0.2">
      <c r="A646" s="233">
        <v>0</v>
      </c>
      <c r="B646" s="233">
        <v>6</v>
      </c>
      <c r="C646" s="233">
        <v>2</v>
      </c>
      <c r="D646" s="234">
        <v>4</v>
      </c>
      <c r="E646" s="234">
        <v>0</v>
      </c>
      <c r="G646" s="450"/>
      <c r="H646" s="451" t="s">
        <v>1237</v>
      </c>
      <c r="I646" s="452" t="s">
        <v>3943</v>
      </c>
      <c r="J646" s="453" t="s">
        <v>2326</v>
      </c>
      <c r="K646" s="454"/>
      <c r="L646" s="455"/>
      <c r="M646" s="455"/>
      <c r="N646" s="456">
        <v>2070.85</v>
      </c>
      <c r="O646" s="457"/>
      <c r="P646" s="430"/>
    </row>
    <row r="647" spans="1:16" ht="13.9" hidden="1" customHeight="1" outlineLevel="3" x14ac:dyDescent="0.2">
      <c r="A647" s="233">
        <v>0</v>
      </c>
      <c r="B647" s="233">
        <v>6</v>
      </c>
      <c r="C647" s="233">
        <v>2</v>
      </c>
      <c r="D647" s="234">
        <v>4</v>
      </c>
      <c r="E647" s="234">
        <v>1</v>
      </c>
      <c r="G647" s="500" t="s">
        <v>16</v>
      </c>
      <c r="H647" s="459" t="s">
        <v>1238</v>
      </c>
      <c r="I647" s="460" t="s">
        <v>3944</v>
      </c>
      <c r="J647" s="461" t="s">
        <v>2326</v>
      </c>
      <c r="K647" s="462" t="s">
        <v>1129</v>
      </c>
      <c r="L647" s="463">
        <v>1</v>
      </c>
      <c r="M647" s="463">
        <v>2070.85</v>
      </c>
      <c r="N647" s="464">
        <v>2070.85</v>
      </c>
      <c r="O647" s="465" t="s">
        <v>2736</v>
      </c>
      <c r="P647" s="431" t="s">
        <v>6711</v>
      </c>
    </row>
    <row r="648" spans="1:16" ht="13.9" hidden="1" customHeight="1" outlineLevel="2" x14ac:dyDescent="0.2">
      <c r="A648" s="233">
        <v>0</v>
      </c>
      <c r="B648" s="233">
        <v>6</v>
      </c>
      <c r="C648" s="233">
        <v>2</v>
      </c>
      <c r="D648" s="234">
        <v>5</v>
      </c>
      <c r="E648" s="234">
        <v>0</v>
      </c>
      <c r="G648" s="450"/>
      <c r="H648" s="451" t="s">
        <v>1237</v>
      </c>
      <c r="I648" s="452" t="s">
        <v>3945</v>
      </c>
      <c r="J648" s="453" t="s">
        <v>2327</v>
      </c>
      <c r="K648" s="454"/>
      <c r="L648" s="455"/>
      <c r="M648" s="455"/>
      <c r="N648" s="456">
        <v>8935.8047768630004</v>
      </c>
      <c r="O648" s="457"/>
      <c r="P648" s="430"/>
    </row>
    <row r="649" spans="1:16" ht="13.9" hidden="1" customHeight="1" outlineLevel="3" x14ac:dyDescent="0.2">
      <c r="A649" s="233">
        <v>0</v>
      </c>
      <c r="B649" s="233">
        <v>6</v>
      </c>
      <c r="C649" s="233">
        <v>2</v>
      </c>
      <c r="D649" s="234">
        <v>5</v>
      </c>
      <c r="E649" s="234">
        <v>1</v>
      </c>
      <c r="G649" s="500" t="s">
        <v>16</v>
      </c>
      <c r="H649" s="459" t="s">
        <v>1238</v>
      </c>
      <c r="I649" s="460" t="s">
        <v>3946</v>
      </c>
      <c r="J649" s="461" t="s">
        <v>2327</v>
      </c>
      <c r="K649" s="462" t="s">
        <v>1129</v>
      </c>
      <c r="L649" s="463">
        <v>1</v>
      </c>
      <c r="M649" s="463">
        <v>8935.8047768629986</v>
      </c>
      <c r="N649" s="464">
        <v>8935.8047768630004</v>
      </c>
      <c r="O649" s="465" t="s">
        <v>2735</v>
      </c>
      <c r="P649" s="431" t="s">
        <v>6711</v>
      </c>
    </row>
    <row r="650" spans="1:16" ht="13.9" hidden="1" customHeight="1" outlineLevel="2" x14ac:dyDescent="0.2">
      <c r="A650" s="233">
        <v>0</v>
      </c>
      <c r="B650" s="233">
        <v>6</v>
      </c>
      <c r="C650" s="233">
        <v>2</v>
      </c>
      <c r="D650" s="234">
        <v>6</v>
      </c>
      <c r="E650" s="234">
        <v>0</v>
      </c>
      <c r="G650" s="450"/>
      <c r="H650" s="451" t="s">
        <v>1237</v>
      </c>
      <c r="I650" s="452" t="s">
        <v>3947</v>
      </c>
      <c r="J650" s="453" t="s">
        <v>1252</v>
      </c>
      <c r="K650" s="454"/>
      <c r="L650" s="455"/>
      <c r="M650" s="455"/>
      <c r="N650" s="456">
        <v>49927.64</v>
      </c>
      <c r="O650" s="457"/>
      <c r="P650" s="430"/>
    </row>
    <row r="651" spans="1:16" ht="13.9" hidden="1" customHeight="1" outlineLevel="3" x14ac:dyDescent="0.2">
      <c r="A651" s="233">
        <v>0</v>
      </c>
      <c r="B651" s="233">
        <v>6</v>
      </c>
      <c r="C651" s="233">
        <v>2</v>
      </c>
      <c r="D651" s="234">
        <v>6</v>
      </c>
      <c r="E651" s="234">
        <v>1</v>
      </c>
      <c r="G651" s="500" t="s">
        <v>16</v>
      </c>
      <c r="H651" s="459" t="s">
        <v>1238</v>
      </c>
      <c r="I651" s="460" t="s">
        <v>3948</v>
      </c>
      <c r="J651" s="461" t="s">
        <v>1253</v>
      </c>
      <c r="K651" s="462" t="s">
        <v>1129</v>
      </c>
      <c r="L651" s="463">
        <v>1</v>
      </c>
      <c r="M651" s="463">
        <v>49927.64</v>
      </c>
      <c r="N651" s="464">
        <v>49927.64</v>
      </c>
      <c r="O651" s="465" t="s">
        <v>2719</v>
      </c>
      <c r="P651" s="431" t="s">
        <v>6711</v>
      </c>
    </row>
    <row r="652" spans="1:16" ht="13.9" hidden="1" customHeight="1" outlineLevel="1" x14ac:dyDescent="0.2">
      <c r="A652" s="233">
        <v>0</v>
      </c>
      <c r="B652" s="233">
        <v>6</v>
      </c>
      <c r="C652" s="233">
        <v>3</v>
      </c>
      <c r="D652" s="234">
        <v>0</v>
      </c>
      <c r="E652" s="234">
        <v>1</v>
      </c>
      <c r="G652" s="443"/>
      <c r="H652" s="444" t="s">
        <v>38</v>
      </c>
      <c r="I652" s="445" t="s">
        <v>3949</v>
      </c>
      <c r="J652" s="446" t="s">
        <v>2723</v>
      </c>
      <c r="K652" s="447"/>
      <c r="L652" s="448"/>
      <c r="M652" s="448"/>
      <c r="N652" s="449">
        <v>69814.526211850694</v>
      </c>
      <c r="O652" s="432"/>
      <c r="P652" s="435"/>
    </row>
    <row r="653" spans="1:16" ht="13.9" hidden="1" customHeight="1" outlineLevel="2" x14ac:dyDescent="0.2">
      <c r="A653" s="233">
        <v>0</v>
      </c>
      <c r="B653" s="233">
        <v>6</v>
      </c>
      <c r="C653" s="233">
        <v>3</v>
      </c>
      <c r="D653" s="234">
        <v>1</v>
      </c>
      <c r="E653" s="234">
        <v>0</v>
      </c>
      <c r="G653" s="450"/>
      <c r="H653" s="451" t="s">
        <v>1237</v>
      </c>
      <c r="I653" s="452" t="s">
        <v>3950</v>
      </c>
      <c r="J653" s="453" t="s">
        <v>2322</v>
      </c>
      <c r="K653" s="454"/>
      <c r="L653" s="455"/>
      <c r="M653" s="455"/>
      <c r="N653" s="456">
        <v>960.27</v>
      </c>
      <c r="O653" s="457"/>
      <c r="P653" s="430"/>
    </row>
    <row r="654" spans="1:16" ht="13.9" hidden="1" customHeight="1" outlineLevel="3" x14ac:dyDescent="0.2">
      <c r="A654" s="233">
        <v>0</v>
      </c>
      <c r="B654" s="233">
        <v>6</v>
      </c>
      <c r="C654" s="233">
        <v>3</v>
      </c>
      <c r="D654" s="234">
        <v>1</v>
      </c>
      <c r="E654" s="234">
        <v>1</v>
      </c>
      <c r="G654" s="500" t="s">
        <v>16</v>
      </c>
      <c r="H654" s="459" t="s">
        <v>1238</v>
      </c>
      <c r="I654" s="460" t="s">
        <v>3951</v>
      </c>
      <c r="J654" s="461" t="s">
        <v>2322</v>
      </c>
      <c r="K654" s="462" t="s">
        <v>1129</v>
      </c>
      <c r="L654" s="463">
        <v>1</v>
      </c>
      <c r="M654" s="463">
        <v>960.27</v>
      </c>
      <c r="N654" s="464">
        <v>960.27</v>
      </c>
      <c r="O654" s="465" t="s">
        <v>2736</v>
      </c>
      <c r="P654" s="431" t="s">
        <v>6711</v>
      </c>
    </row>
    <row r="655" spans="1:16" ht="13.9" hidden="1" customHeight="1" outlineLevel="2" x14ac:dyDescent="0.2">
      <c r="A655" s="233">
        <v>0</v>
      </c>
      <c r="B655" s="233">
        <v>6</v>
      </c>
      <c r="C655" s="233">
        <v>3</v>
      </c>
      <c r="D655" s="234">
        <v>2</v>
      </c>
      <c r="E655" s="234">
        <v>0</v>
      </c>
      <c r="G655" s="450"/>
      <c r="H655" s="451" t="s">
        <v>1237</v>
      </c>
      <c r="I655" s="452" t="s">
        <v>3952</v>
      </c>
      <c r="J655" s="453" t="s">
        <v>2324</v>
      </c>
      <c r="K655" s="454"/>
      <c r="L655" s="455"/>
      <c r="M655" s="455"/>
      <c r="N655" s="456">
        <v>952.95</v>
      </c>
      <c r="O655" s="457"/>
      <c r="P655" s="430"/>
    </row>
    <row r="656" spans="1:16" ht="13.9" hidden="1" customHeight="1" outlineLevel="3" x14ac:dyDescent="0.2">
      <c r="A656" s="233">
        <v>0</v>
      </c>
      <c r="B656" s="233">
        <v>6</v>
      </c>
      <c r="C656" s="233">
        <v>3</v>
      </c>
      <c r="D656" s="234">
        <v>2</v>
      </c>
      <c r="E656" s="234">
        <v>1</v>
      </c>
      <c r="G656" s="500" t="s">
        <v>16</v>
      </c>
      <c r="H656" s="459" t="s">
        <v>1238</v>
      </c>
      <c r="I656" s="460" t="s">
        <v>3953</v>
      </c>
      <c r="J656" s="461" t="s">
        <v>2324</v>
      </c>
      <c r="K656" s="462" t="s">
        <v>1129</v>
      </c>
      <c r="L656" s="463">
        <v>1</v>
      </c>
      <c r="M656" s="463">
        <v>952.94999999999993</v>
      </c>
      <c r="N656" s="464">
        <v>952.95</v>
      </c>
      <c r="O656" s="465" t="s">
        <v>2736</v>
      </c>
      <c r="P656" s="431" t="s">
        <v>6711</v>
      </c>
    </row>
    <row r="657" spans="1:16" ht="13.9" hidden="1" customHeight="1" outlineLevel="2" x14ac:dyDescent="0.2">
      <c r="A657" s="233">
        <v>0</v>
      </c>
      <c r="B657" s="233">
        <v>6</v>
      </c>
      <c r="C657" s="233">
        <v>3</v>
      </c>
      <c r="D657" s="234">
        <v>3</v>
      </c>
      <c r="E657" s="234">
        <v>0</v>
      </c>
      <c r="G657" s="450"/>
      <c r="H657" s="451" t="s">
        <v>1237</v>
      </c>
      <c r="I657" s="452" t="s">
        <v>3954</v>
      </c>
      <c r="J657" s="453" t="s">
        <v>2325</v>
      </c>
      <c r="K657" s="454"/>
      <c r="L657" s="455"/>
      <c r="M657" s="455"/>
      <c r="N657" s="456">
        <v>2280.8510000000001</v>
      </c>
      <c r="O657" s="457"/>
      <c r="P657" s="430"/>
    </row>
    <row r="658" spans="1:16" ht="13.9" hidden="1" customHeight="1" outlineLevel="3" x14ac:dyDescent="0.2">
      <c r="A658" s="233">
        <v>0</v>
      </c>
      <c r="B658" s="233">
        <v>6</v>
      </c>
      <c r="C658" s="233">
        <v>3</v>
      </c>
      <c r="D658" s="234">
        <v>3</v>
      </c>
      <c r="E658" s="234">
        <v>1</v>
      </c>
      <c r="G658" s="500" t="s">
        <v>16</v>
      </c>
      <c r="H658" s="459" t="s">
        <v>1238</v>
      </c>
      <c r="I658" s="460" t="s">
        <v>3955</v>
      </c>
      <c r="J658" s="461" t="s">
        <v>2325</v>
      </c>
      <c r="K658" s="462" t="s">
        <v>1129</v>
      </c>
      <c r="L658" s="463">
        <v>1</v>
      </c>
      <c r="M658" s="463">
        <v>2280.8509999999997</v>
      </c>
      <c r="N658" s="464">
        <v>2280.8510000000001</v>
      </c>
      <c r="O658" s="465" t="s">
        <v>2736</v>
      </c>
      <c r="P658" s="431" t="s">
        <v>6711</v>
      </c>
    </row>
    <row r="659" spans="1:16" ht="13.9" hidden="1" customHeight="1" outlineLevel="2" x14ac:dyDescent="0.2">
      <c r="A659" s="233">
        <v>0</v>
      </c>
      <c r="B659" s="233">
        <v>6</v>
      </c>
      <c r="C659" s="233">
        <v>3</v>
      </c>
      <c r="D659" s="234">
        <v>4</v>
      </c>
      <c r="E659" s="234">
        <v>0</v>
      </c>
      <c r="G659" s="450"/>
      <c r="H659" s="451" t="s">
        <v>1237</v>
      </c>
      <c r="I659" s="452" t="s">
        <v>3956</v>
      </c>
      <c r="J659" s="453" t="s">
        <v>2326</v>
      </c>
      <c r="K659" s="454"/>
      <c r="L659" s="455"/>
      <c r="M659" s="455"/>
      <c r="N659" s="456">
        <v>1073.75</v>
      </c>
      <c r="O659" s="457"/>
      <c r="P659" s="430"/>
    </row>
    <row r="660" spans="1:16" ht="13.9" hidden="1" customHeight="1" outlineLevel="3" x14ac:dyDescent="0.2">
      <c r="A660" s="233">
        <v>0</v>
      </c>
      <c r="B660" s="233">
        <v>6</v>
      </c>
      <c r="C660" s="233">
        <v>3</v>
      </c>
      <c r="D660" s="234">
        <v>4</v>
      </c>
      <c r="E660" s="234">
        <v>1</v>
      </c>
      <c r="G660" s="500" t="s">
        <v>16</v>
      </c>
      <c r="H660" s="459" t="s">
        <v>1238</v>
      </c>
      <c r="I660" s="460" t="s">
        <v>3957</v>
      </c>
      <c r="J660" s="461" t="s">
        <v>2326</v>
      </c>
      <c r="K660" s="462" t="s">
        <v>1129</v>
      </c>
      <c r="L660" s="463">
        <v>1</v>
      </c>
      <c r="M660" s="463">
        <v>1073.75</v>
      </c>
      <c r="N660" s="464">
        <v>1073.75</v>
      </c>
      <c r="O660" s="465" t="s">
        <v>2736</v>
      </c>
      <c r="P660" s="431" t="s">
        <v>6711</v>
      </c>
    </row>
    <row r="661" spans="1:16" ht="13.9" hidden="1" customHeight="1" outlineLevel="2" x14ac:dyDescent="0.2">
      <c r="A661" s="233">
        <v>0</v>
      </c>
      <c r="B661" s="233">
        <v>6</v>
      </c>
      <c r="C661" s="233">
        <v>3</v>
      </c>
      <c r="D661" s="234">
        <v>5</v>
      </c>
      <c r="E661" s="234">
        <v>0</v>
      </c>
      <c r="G661" s="450"/>
      <c r="H661" s="451" t="s">
        <v>1237</v>
      </c>
      <c r="I661" s="452" t="s">
        <v>3958</v>
      </c>
      <c r="J661" s="453" t="s">
        <v>2327</v>
      </c>
      <c r="K661" s="454"/>
      <c r="L661" s="455"/>
      <c r="M661" s="455"/>
      <c r="N661" s="456">
        <v>9798.5452118506491</v>
      </c>
      <c r="O661" s="457"/>
      <c r="P661" s="430"/>
    </row>
    <row r="662" spans="1:16" ht="13.9" hidden="1" customHeight="1" outlineLevel="3" x14ac:dyDescent="0.2">
      <c r="A662" s="233">
        <v>0</v>
      </c>
      <c r="B662" s="233">
        <v>6</v>
      </c>
      <c r="C662" s="233">
        <v>3</v>
      </c>
      <c r="D662" s="234">
        <v>5</v>
      </c>
      <c r="E662" s="234">
        <v>1</v>
      </c>
      <c r="G662" s="500" t="s">
        <v>16</v>
      </c>
      <c r="H662" s="459" t="s">
        <v>1238</v>
      </c>
      <c r="I662" s="460" t="s">
        <v>3959</v>
      </c>
      <c r="J662" s="461" t="s">
        <v>2327</v>
      </c>
      <c r="K662" s="462" t="s">
        <v>1129</v>
      </c>
      <c r="L662" s="463">
        <v>1</v>
      </c>
      <c r="M662" s="463">
        <v>9798.5452118506455</v>
      </c>
      <c r="N662" s="464">
        <v>9798.5452118506491</v>
      </c>
      <c r="O662" s="465" t="s">
        <v>2735</v>
      </c>
      <c r="P662" s="431" t="s">
        <v>6711</v>
      </c>
    </row>
    <row r="663" spans="1:16" ht="13.9" hidden="1" customHeight="1" outlineLevel="2" x14ac:dyDescent="0.2">
      <c r="A663" s="233">
        <v>0</v>
      </c>
      <c r="B663" s="233">
        <v>6</v>
      </c>
      <c r="C663" s="233">
        <v>3</v>
      </c>
      <c r="D663" s="234">
        <v>6</v>
      </c>
      <c r="E663" s="234">
        <v>0</v>
      </c>
      <c r="G663" s="450"/>
      <c r="H663" s="451" t="s">
        <v>1237</v>
      </c>
      <c r="I663" s="452" t="s">
        <v>3960</v>
      </c>
      <c r="J663" s="453" t="s">
        <v>1252</v>
      </c>
      <c r="K663" s="454"/>
      <c r="L663" s="455"/>
      <c r="M663" s="455"/>
      <c r="N663" s="456">
        <v>54748.160000000003</v>
      </c>
      <c r="O663" s="457"/>
      <c r="P663" s="430"/>
    </row>
    <row r="664" spans="1:16" ht="13.9" hidden="1" customHeight="1" outlineLevel="3" x14ac:dyDescent="0.2">
      <c r="A664" s="233">
        <v>0</v>
      </c>
      <c r="B664" s="233">
        <v>6</v>
      </c>
      <c r="C664" s="233">
        <v>3</v>
      </c>
      <c r="D664" s="234">
        <v>6</v>
      </c>
      <c r="E664" s="234">
        <v>1</v>
      </c>
      <c r="G664" s="500" t="s">
        <v>16</v>
      </c>
      <c r="H664" s="459" t="s">
        <v>1238</v>
      </c>
      <c r="I664" s="460" t="s">
        <v>3961</v>
      </c>
      <c r="J664" s="461" t="s">
        <v>1253</v>
      </c>
      <c r="K664" s="462" t="s">
        <v>1129</v>
      </c>
      <c r="L664" s="463">
        <v>1</v>
      </c>
      <c r="M664" s="463">
        <v>54748.160000000003</v>
      </c>
      <c r="N664" s="464">
        <v>54748.160000000003</v>
      </c>
      <c r="O664" s="465" t="s">
        <v>2719</v>
      </c>
      <c r="P664" s="431" t="s">
        <v>6711</v>
      </c>
    </row>
    <row r="665" spans="1:16" ht="13.9" hidden="1" customHeight="1" outlineLevel="1" x14ac:dyDescent="0.2">
      <c r="A665" s="233">
        <v>0</v>
      </c>
      <c r="B665" s="233">
        <v>6</v>
      </c>
      <c r="C665" s="233">
        <v>4</v>
      </c>
      <c r="D665" s="234">
        <v>0</v>
      </c>
      <c r="E665" s="234">
        <v>1</v>
      </c>
      <c r="G665" s="443"/>
      <c r="H665" s="444" t="s">
        <v>38</v>
      </c>
      <c r="I665" s="445" t="s">
        <v>3962</v>
      </c>
      <c r="J665" s="446" t="s">
        <v>2724</v>
      </c>
      <c r="K665" s="447"/>
      <c r="L665" s="448"/>
      <c r="M665" s="448"/>
      <c r="N665" s="449">
        <v>69573.492211850695</v>
      </c>
      <c r="O665" s="432"/>
      <c r="P665" s="435"/>
    </row>
    <row r="666" spans="1:16" ht="13.9" hidden="1" customHeight="1" outlineLevel="2" x14ac:dyDescent="0.2">
      <c r="A666" s="233">
        <v>0</v>
      </c>
      <c r="B666" s="233">
        <v>6</v>
      </c>
      <c r="C666" s="233">
        <v>4</v>
      </c>
      <c r="D666" s="234">
        <v>1</v>
      </c>
      <c r="E666" s="234">
        <v>0</v>
      </c>
      <c r="G666" s="450"/>
      <c r="H666" s="451" t="s">
        <v>1237</v>
      </c>
      <c r="I666" s="452" t="s">
        <v>3963</v>
      </c>
      <c r="J666" s="453" t="s">
        <v>2322</v>
      </c>
      <c r="K666" s="454"/>
      <c r="L666" s="455"/>
      <c r="M666" s="455"/>
      <c r="N666" s="456">
        <v>960.27</v>
      </c>
      <c r="O666" s="457"/>
      <c r="P666" s="430"/>
    </row>
    <row r="667" spans="1:16" ht="13.9" hidden="1" customHeight="1" outlineLevel="3" x14ac:dyDescent="0.2">
      <c r="A667" s="233">
        <v>0</v>
      </c>
      <c r="B667" s="233">
        <v>6</v>
      </c>
      <c r="C667" s="233">
        <v>4</v>
      </c>
      <c r="D667" s="234">
        <v>1</v>
      </c>
      <c r="E667" s="234">
        <v>1</v>
      </c>
      <c r="G667" s="500" t="s">
        <v>16</v>
      </c>
      <c r="H667" s="459" t="s">
        <v>1238</v>
      </c>
      <c r="I667" s="460" t="s">
        <v>3964</v>
      </c>
      <c r="J667" s="461" t="s">
        <v>2322</v>
      </c>
      <c r="K667" s="462" t="s">
        <v>1129</v>
      </c>
      <c r="L667" s="463">
        <v>1</v>
      </c>
      <c r="M667" s="463">
        <v>960.27</v>
      </c>
      <c r="N667" s="464">
        <v>960.27</v>
      </c>
      <c r="O667" s="465" t="s">
        <v>2736</v>
      </c>
      <c r="P667" s="431" t="s">
        <v>6711</v>
      </c>
    </row>
    <row r="668" spans="1:16" ht="13.9" hidden="1" customHeight="1" outlineLevel="2" x14ac:dyDescent="0.2">
      <c r="A668" s="233">
        <v>0</v>
      </c>
      <c r="B668" s="233">
        <v>6</v>
      </c>
      <c r="C668" s="233">
        <v>4</v>
      </c>
      <c r="D668" s="234">
        <v>2</v>
      </c>
      <c r="E668" s="234">
        <v>0</v>
      </c>
      <c r="G668" s="450"/>
      <c r="H668" s="451" t="s">
        <v>1237</v>
      </c>
      <c r="I668" s="452" t="s">
        <v>3965</v>
      </c>
      <c r="J668" s="453" t="s">
        <v>2324</v>
      </c>
      <c r="K668" s="454"/>
      <c r="L668" s="455"/>
      <c r="M668" s="455"/>
      <c r="N668" s="456">
        <v>890.55</v>
      </c>
      <c r="O668" s="457"/>
      <c r="P668" s="430"/>
    </row>
    <row r="669" spans="1:16" ht="13.9" hidden="1" customHeight="1" outlineLevel="3" x14ac:dyDescent="0.2">
      <c r="A669" s="233">
        <v>0</v>
      </c>
      <c r="B669" s="233">
        <v>6</v>
      </c>
      <c r="C669" s="233">
        <v>4</v>
      </c>
      <c r="D669" s="234">
        <v>2</v>
      </c>
      <c r="E669" s="234">
        <v>1</v>
      </c>
      <c r="G669" s="500" t="s">
        <v>16</v>
      </c>
      <c r="H669" s="459" t="s">
        <v>1238</v>
      </c>
      <c r="I669" s="460" t="s">
        <v>3966</v>
      </c>
      <c r="J669" s="461" t="s">
        <v>2324</v>
      </c>
      <c r="K669" s="462" t="s">
        <v>1129</v>
      </c>
      <c r="L669" s="463">
        <v>1</v>
      </c>
      <c r="M669" s="463">
        <v>890.55000000000007</v>
      </c>
      <c r="N669" s="464">
        <v>890.55</v>
      </c>
      <c r="O669" s="465" t="s">
        <v>2736</v>
      </c>
      <c r="P669" s="431" t="s">
        <v>6711</v>
      </c>
    </row>
    <row r="670" spans="1:16" ht="13.9" hidden="1" customHeight="1" outlineLevel="2" x14ac:dyDescent="0.2">
      <c r="A670" s="233">
        <v>0</v>
      </c>
      <c r="B670" s="233">
        <v>6</v>
      </c>
      <c r="C670" s="233">
        <v>4</v>
      </c>
      <c r="D670" s="234">
        <v>3</v>
      </c>
      <c r="E670" s="234">
        <v>0</v>
      </c>
      <c r="G670" s="450"/>
      <c r="H670" s="451" t="s">
        <v>1237</v>
      </c>
      <c r="I670" s="452" t="s">
        <v>3967</v>
      </c>
      <c r="J670" s="453" t="s">
        <v>2325</v>
      </c>
      <c r="K670" s="454"/>
      <c r="L670" s="455"/>
      <c r="M670" s="455"/>
      <c r="N670" s="456">
        <v>2132.0169999999998</v>
      </c>
      <c r="O670" s="457"/>
      <c r="P670" s="430"/>
    </row>
    <row r="671" spans="1:16" ht="13.9" hidden="1" customHeight="1" outlineLevel="3" x14ac:dyDescent="0.2">
      <c r="A671" s="233">
        <v>0</v>
      </c>
      <c r="B671" s="233">
        <v>6</v>
      </c>
      <c r="C671" s="233">
        <v>4</v>
      </c>
      <c r="D671" s="234">
        <v>3</v>
      </c>
      <c r="E671" s="234">
        <v>1</v>
      </c>
      <c r="G671" s="500" t="s">
        <v>16</v>
      </c>
      <c r="H671" s="459" t="s">
        <v>1238</v>
      </c>
      <c r="I671" s="460" t="s">
        <v>3968</v>
      </c>
      <c r="J671" s="461" t="s">
        <v>2325</v>
      </c>
      <c r="K671" s="462" t="s">
        <v>1129</v>
      </c>
      <c r="L671" s="463">
        <v>1</v>
      </c>
      <c r="M671" s="463">
        <v>2132.0169999999998</v>
      </c>
      <c r="N671" s="464">
        <v>2132.0169999999998</v>
      </c>
      <c r="O671" s="465" t="s">
        <v>2736</v>
      </c>
      <c r="P671" s="431" t="s">
        <v>6711</v>
      </c>
    </row>
    <row r="672" spans="1:16" ht="13.9" hidden="1" customHeight="1" outlineLevel="2" x14ac:dyDescent="0.2">
      <c r="A672" s="233">
        <v>0</v>
      </c>
      <c r="B672" s="233">
        <v>6</v>
      </c>
      <c r="C672" s="233">
        <v>4</v>
      </c>
      <c r="D672" s="234">
        <v>4</v>
      </c>
      <c r="E672" s="234">
        <v>0</v>
      </c>
      <c r="G672" s="450"/>
      <c r="H672" s="451" t="s">
        <v>1237</v>
      </c>
      <c r="I672" s="452" t="s">
        <v>3969</v>
      </c>
      <c r="J672" s="453" t="s">
        <v>2326</v>
      </c>
      <c r="K672" s="454"/>
      <c r="L672" s="455"/>
      <c r="M672" s="455"/>
      <c r="N672" s="456">
        <v>1043.95</v>
      </c>
      <c r="O672" s="457"/>
      <c r="P672" s="430"/>
    </row>
    <row r="673" spans="1:16" ht="13.9" hidden="1" customHeight="1" outlineLevel="3" x14ac:dyDescent="0.2">
      <c r="A673" s="233">
        <v>0</v>
      </c>
      <c r="B673" s="233">
        <v>6</v>
      </c>
      <c r="C673" s="233">
        <v>4</v>
      </c>
      <c r="D673" s="234">
        <v>4</v>
      </c>
      <c r="E673" s="234">
        <v>1</v>
      </c>
      <c r="G673" s="500" t="s">
        <v>16</v>
      </c>
      <c r="H673" s="459" t="s">
        <v>1238</v>
      </c>
      <c r="I673" s="460" t="s">
        <v>3970</v>
      </c>
      <c r="J673" s="461" t="s">
        <v>2326</v>
      </c>
      <c r="K673" s="462" t="s">
        <v>1129</v>
      </c>
      <c r="L673" s="463">
        <v>1</v>
      </c>
      <c r="M673" s="463">
        <v>1043.9499999999998</v>
      </c>
      <c r="N673" s="464">
        <v>1043.95</v>
      </c>
      <c r="O673" s="465" t="s">
        <v>2736</v>
      </c>
      <c r="P673" s="431" t="s">
        <v>6711</v>
      </c>
    </row>
    <row r="674" spans="1:16" ht="13.9" hidden="1" customHeight="1" outlineLevel="2" x14ac:dyDescent="0.2">
      <c r="A674" s="233">
        <v>0</v>
      </c>
      <c r="B674" s="233">
        <v>6</v>
      </c>
      <c r="C674" s="233">
        <v>4</v>
      </c>
      <c r="D674" s="234">
        <v>5</v>
      </c>
      <c r="E674" s="234">
        <v>0</v>
      </c>
      <c r="G674" s="450"/>
      <c r="H674" s="451" t="s">
        <v>1237</v>
      </c>
      <c r="I674" s="452" t="s">
        <v>3971</v>
      </c>
      <c r="J674" s="453" t="s">
        <v>2327</v>
      </c>
      <c r="K674" s="454"/>
      <c r="L674" s="455"/>
      <c r="M674" s="455"/>
      <c r="N674" s="456">
        <v>9798.5452118506491</v>
      </c>
      <c r="O674" s="457"/>
      <c r="P674" s="430"/>
    </row>
    <row r="675" spans="1:16" ht="13.9" hidden="1" customHeight="1" outlineLevel="3" x14ac:dyDescent="0.2">
      <c r="A675" s="233">
        <v>0</v>
      </c>
      <c r="B675" s="233">
        <v>6</v>
      </c>
      <c r="C675" s="233">
        <v>4</v>
      </c>
      <c r="D675" s="234">
        <v>5</v>
      </c>
      <c r="E675" s="234">
        <v>1</v>
      </c>
      <c r="G675" s="500" t="s">
        <v>16</v>
      </c>
      <c r="H675" s="459" t="s">
        <v>1238</v>
      </c>
      <c r="I675" s="460" t="s">
        <v>3972</v>
      </c>
      <c r="J675" s="461" t="s">
        <v>2327</v>
      </c>
      <c r="K675" s="462" t="s">
        <v>1129</v>
      </c>
      <c r="L675" s="463">
        <v>1</v>
      </c>
      <c r="M675" s="463">
        <v>9798.5452118506455</v>
      </c>
      <c r="N675" s="464">
        <v>9798.5452118506491</v>
      </c>
      <c r="O675" s="465" t="s">
        <v>2735</v>
      </c>
      <c r="P675" s="431" t="s">
        <v>6711</v>
      </c>
    </row>
    <row r="676" spans="1:16" ht="13.9" hidden="1" customHeight="1" outlineLevel="2" x14ac:dyDescent="0.2">
      <c r="A676" s="233">
        <v>0</v>
      </c>
      <c r="B676" s="233">
        <v>6</v>
      </c>
      <c r="C676" s="233">
        <v>4</v>
      </c>
      <c r="D676" s="234">
        <v>6</v>
      </c>
      <c r="E676" s="234">
        <v>0</v>
      </c>
      <c r="G676" s="450"/>
      <c r="H676" s="451" t="s">
        <v>1237</v>
      </c>
      <c r="I676" s="452" t="s">
        <v>3973</v>
      </c>
      <c r="J676" s="453" t="s">
        <v>1252</v>
      </c>
      <c r="K676" s="454"/>
      <c r="L676" s="455"/>
      <c r="M676" s="455"/>
      <c r="N676" s="456">
        <v>54748.160000000003</v>
      </c>
      <c r="O676" s="457"/>
      <c r="P676" s="430"/>
    </row>
    <row r="677" spans="1:16" ht="13.9" hidden="1" customHeight="1" outlineLevel="3" x14ac:dyDescent="0.2">
      <c r="A677" s="233">
        <v>0</v>
      </c>
      <c r="B677" s="233">
        <v>6</v>
      </c>
      <c r="C677" s="233">
        <v>4</v>
      </c>
      <c r="D677" s="234">
        <v>6</v>
      </c>
      <c r="E677" s="234">
        <v>1</v>
      </c>
      <c r="G677" s="500" t="s">
        <v>16</v>
      </c>
      <c r="H677" s="459" t="s">
        <v>1238</v>
      </c>
      <c r="I677" s="460" t="s">
        <v>3974</v>
      </c>
      <c r="J677" s="461" t="s">
        <v>1253</v>
      </c>
      <c r="K677" s="462" t="s">
        <v>1129</v>
      </c>
      <c r="L677" s="463">
        <v>1</v>
      </c>
      <c r="M677" s="463">
        <v>54748.160000000003</v>
      </c>
      <c r="N677" s="464">
        <v>54748.160000000003</v>
      </c>
      <c r="O677" s="465" t="s">
        <v>2719</v>
      </c>
      <c r="P677" s="431" t="s">
        <v>6711</v>
      </c>
    </row>
    <row r="678" spans="1:16" ht="13.9" hidden="1" customHeight="1" outlineLevel="1" x14ac:dyDescent="0.2">
      <c r="A678" s="233">
        <v>0</v>
      </c>
      <c r="B678" s="233">
        <v>6</v>
      </c>
      <c r="C678" s="233">
        <v>5</v>
      </c>
      <c r="D678" s="234">
        <v>0</v>
      </c>
      <c r="E678" s="234">
        <v>1</v>
      </c>
      <c r="G678" s="443"/>
      <c r="H678" s="444" t="s">
        <v>38</v>
      </c>
      <c r="I678" s="445" t="s">
        <v>3975</v>
      </c>
      <c r="J678" s="446" t="s">
        <v>2725</v>
      </c>
      <c r="K678" s="447"/>
      <c r="L678" s="448"/>
      <c r="M678" s="448"/>
      <c r="N678" s="449">
        <v>70327.788211850697</v>
      </c>
      <c r="O678" s="432"/>
      <c r="P678" s="435"/>
    </row>
    <row r="679" spans="1:16" ht="13.9" hidden="1" customHeight="1" outlineLevel="2" x14ac:dyDescent="0.2">
      <c r="A679" s="233">
        <v>0</v>
      </c>
      <c r="B679" s="233">
        <v>6</v>
      </c>
      <c r="C679" s="233">
        <v>5</v>
      </c>
      <c r="D679" s="234">
        <v>1</v>
      </c>
      <c r="E679" s="234">
        <v>0</v>
      </c>
      <c r="G679" s="450"/>
      <c r="H679" s="451" t="s">
        <v>1237</v>
      </c>
      <c r="I679" s="452" t="s">
        <v>3976</v>
      </c>
      <c r="J679" s="453" t="s">
        <v>2322</v>
      </c>
      <c r="K679" s="454"/>
      <c r="L679" s="455"/>
      <c r="M679" s="455"/>
      <c r="N679" s="456">
        <v>973.32</v>
      </c>
      <c r="O679" s="457"/>
      <c r="P679" s="430"/>
    </row>
    <row r="680" spans="1:16" ht="13.9" hidden="1" customHeight="1" outlineLevel="3" x14ac:dyDescent="0.2">
      <c r="A680" s="233">
        <v>0</v>
      </c>
      <c r="B680" s="233">
        <v>6</v>
      </c>
      <c r="C680" s="233">
        <v>5</v>
      </c>
      <c r="D680" s="234">
        <v>1</v>
      </c>
      <c r="E680" s="234">
        <v>1</v>
      </c>
      <c r="G680" s="500" t="s">
        <v>16</v>
      </c>
      <c r="H680" s="459" t="s">
        <v>1238</v>
      </c>
      <c r="I680" s="460" t="s">
        <v>3977</v>
      </c>
      <c r="J680" s="461" t="s">
        <v>2322</v>
      </c>
      <c r="K680" s="462" t="s">
        <v>1129</v>
      </c>
      <c r="L680" s="463">
        <v>1</v>
      </c>
      <c r="M680" s="463">
        <v>973.31999999999994</v>
      </c>
      <c r="N680" s="464">
        <v>973.32</v>
      </c>
      <c r="O680" s="465" t="s">
        <v>2736</v>
      </c>
      <c r="P680" s="431" t="s">
        <v>6711</v>
      </c>
    </row>
    <row r="681" spans="1:16" ht="13.9" hidden="1" customHeight="1" outlineLevel="2" x14ac:dyDescent="0.2">
      <c r="A681" s="233">
        <v>0</v>
      </c>
      <c r="B681" s="233">
        <v>6</v>
      </c>
      <c r="C681" s="233">
        <v>5</v>
      </c>
      <c r="D681" s="234">
        <v>2</v>
      </c>
      <c r="E681" s="234">
        <v>0</v>
      </c>
      <c r="G681" s="450"/>
      <c r="H681" s="451" t="s">
        <v>1237</v>
      </c>
      <c r="I681" s="452" t="s">
        <v>3978</v>
      </c>
      <c r="J681" s="453" t="s">
        <v>2324</v>
      </c>
      <c r="K681" s="454"/>
      <c r="L681" s="455"/>
      <c r="M681" s="455"/>
      <c r="N681" s="456">
        <v>917.8</v>
      </c>
      <c r="O681" s="457"/>
      <c r="P681" s="430"/>
    </row>
    <row r="682" spans="1:16" ht="13.9" hidden="1" customHeight="1" outlineLevel="3" x14ac:dyDescent="0.2">
      <c r="A682" s="233">
        <v>0</v>
      </c>
      <c r="B682" s="233">
        <v>6</v>
      </c>
      <c r="C682" s="233">
        <v>5</v>
      </c>
      <c r="D682" s="234">
        <v>2</v>
      </c>
      <c r="E682" s="234">
        <v>1</v>
      </c>
      <c r="G682" s="500" t="s">
        <v>16</v>
      </c>
      <c r="H682" s="459" t="s">
        <v>1238</v>
      </c>
      <c r="I682" s="460" t="s">
        <v>3979</v>
      </c>
      <c r="J682" s="461" t="s">
        <v>2324</v>
      </c>
      <c r="K682" s="462" t="s">
        <v>1129</v>
      </c>
      <c r="L682" s="463">
        <v>1</v>
      </c>
      <c r="M682" s="463">
        <v>917.80000000000007</v>
      </c>
      <c r="N682" s="464">
        <v>917.8</v>
      </c>
      <c r="O682" s="465" t="s">
        <v>2736</v>
      </c>
      <c r="P682" s="431" t="s">
        <v>6711</v>
      </c>
    </row>
    <row r="683" spans="1:16" ht="13.9" hidden="1" customHeight="1" outlineLevel="2" x14ac:dyDescent="0.2">
      <c r="A683" s="233">
        <v>0</v>
      </c>
      <c r="B683" s="233">
        <v>6</v>
      </c>
      <c r="C683" s="233">
        <v>5</v>
      </c>
      <c r="D683" s="234">
        <v>3</v>
      </c>
      <c r="E683" s="234">
        <v>0</v>
      </c>
      <c r="G683" s="450"/>
      <c r="H683" s="451" t="s">
        <v>1237</v>
      </c>
      <c r="I683" s="452" t="s">
        <v>3980</v>
      </c>
      <c r="J683" s="453" t="s">
        <v>2325</v>
      </c>
      <c r="K683" s="454"/>
      <c r="L683" s="455"/>
      <c r="M683" s="455"/>
      <c r="N683" s="456">
        <v>2104.623</v>
      </c>
      <c r="O683" s="457"/>
      <c r="P683" s="430"/>
    </row>
    <row r="684" spans="1:16" ht="13.9" hidden="1" customHeight="1" outlineLevel="3" x14ac:dyDescent="0.2">
      <c r="A684" s="233">
        <v>0</v>
      </c>
      <c r="B684" s="233">
        <v>6</v>
      </c>
      <c r="C684" s="233">
        <v>5</v>
      </c>
      <c r="D684" s="234">
        <v>3</v>
      </c>
      <c r="E684" s="234">
        <v>1</v>
      </c>
      <c r="G684" s="500" t="s">
        <v>16</v>
      </c>
      <c r="H684" s="459" t="s">
        <v>1238</v>
      </c>
      <c r="I684" s="460" t="s">
        <v>3981</v>
      </c>
      <c r="J684" s="461" t="s">
        <v>2325</v>
      </c>
      <c r="K684" s="462" t="s">
        <v>1129</v>
      </c>
      <c r="L684" s="463">
        <v>1</v>
      </c>
      <c r="M684" s="463">
        <v>2104.623</v>
      </c>
      <c r="N684" s="464">
        <v>2104.623</v>
      </c>
      <c r="O684" s="465" t="s">
        <v>2736</v>
      </c>
      <c r="P684" s="431" t="s">
        <v>6711</v>
      </c>
    </row>
    <row r="685" spans="1:16" ht="13.9" hidden="1" customHeight="1" outlineLevel="2" x14ac:dyDescent="0.2">
      <c r="A685" s="233">
        <v>0</v>
      </c>
      <c r="B685" s="233">
        <v>6</v>
      </c>
      <c r="C685" s="233">
        <v>5</v>
      </c>
      <c r="D685" s="234">
        <v>4</v>
      </c>
      <c r="E685" s="234">
        <v>0</v>
      </c>
      <c r="G685" s="450"/>
      <c r="H685" s="451" t="s">
        <v>1237</v>
      </c>
      <c r="I685" s="452" t="s">
        <v>3982</v>
      </c>
      <c r="J685" s="453" t="s">
        <v>2326</v>
      </c>
      <c r="K685" s="454"/>
      <c r="L685" s="455"/>
      <c r="M685" s="455"/>
      <c r="N685" s="456">
        <v>1117.7</v>
      </c>
      <c r="O685" s="457"/>
      <c r="P685" s="430"/>
    </row>
    <row r="686" spans="1:16" ht="13.9" hidden="1" customHeight="1" outlineLevel="3" x14ac:dyDescent="0.2">
      <c r="A686" s="233">
        <v>0</v>
      </c>
      <c r="B686" s="233">
        <v>6</v>
      </c>
      <c r="C686" s="233">
        <v>5</v>
      </c>
      <c r="D686" s="234">
        <v>4</v>
      </c>
      <c r="E686" s="234">
        <v>1</v>
      </c>
      <c r="G686" s="500" t="s">
        <v>16</v>
      </c>
      <c r="H686" s="459" t="s">
        <v>1238</v>
      </c>
      <c r="I686" s="460" t="s">
        <v>3983</v>
      </c>
      <c r="J686" s="461" t="s">
        <v>2326</v>
      </c>
      <c r="K686" s="462" t="s">
        <v>1129</v>
      </c>
      <c r="L686" s="463">
        <v>1</v>
      </c>
      <c r="M686" s="463">
        <v>1117.7</v>
      </c>
      <c r="N686" s="464">
        <v>1117.7</v>
      </c>
      <c r="O686" s="465" t="s">
        <v>2736</v>
      </c>
      <c r="P686" s="431" t="s">
        <v>6711</v>
      </c>
    </row>
    <row r="687" spans="1:16" ht="13.9" hidden="1" customHeight="1" outlineLevel="2" x14ac:dyDescent="0.2">
      <c r="A687" s="233">
        <v>0</v>
      </c>
      <c r="B687" s="233">
        <v>6</v>
      </c>
      <c r="C687" s="233">
        <v>5</v>
      </c>
      <c r="D687" s="234">
        <v>5</v>
      </c>
      <c r="E687" s="234">
        <v>0</v>
      </c>
      <c r="G687" s="450"/>
      <c r="H687" s="451" t="s">
        <v>1237</v>
      </c>
      <c r="I687" s="452" t="s">
        <v>3984</v>
      </c>
      <c r="J687" s="453" t="s">
        <v>2327</v>
      </c>
      <c r="K687" s="454"/>
      <c r="L687" s="455"/>
      <c r="M687" s="455"/>
      <c r="N687" s="456">
        <v>9798.5452118506491</v>
      </c>
      <c r="O687" s="457"/>
      <c r="P687" s="430"/>
    </row>
    <row r="688" spans="1:16" ht="13.9" hidden="1" customHeight="1" outlineLevel="3" x14ac:dyDescent="0.2">
      <c r="A688" s="233">
        <v>0</v>
      </c>
      <c r="B688" s="233">
        <v>6</v>
      </c>
      <c r="C688" s="233">
        <v>5</v>
      </c>
      <c r="D688" s="234">
        <v>5</v>
      </c>
      <c r="E688" s="234">
        <v>1</v>
      </c>
      <c r="G688" s="500" t="s">
        <v>16</v>
      </c>
      <c r="H688" s="459" t="s">
        <v>1238</v>
      </c>
      <c r="I688" s="460" t="s">
        <v>3985</v>
      </c>
      <c r="J688" s="461" t="s">
        <v>2327</v>
      </c>
      <c r="K688" s="462" t="s">
        <v>1129</v>
      </c>
      <c r="L688" s="463">
        <v>1</v>
      </c>
      <c r="M688" s="463">
        <v>9798.5452118506455</v>
      </c>
      <c r="N688" s="464">
        <v>9798.5452118506491</v>
      </c>
      <c r="O688" s="465" t="s">
        <v>2735</v>
      </c>
      <c r="P688" s="431" t="s">
        <v>6711</v>
      </c>
    </row>
    <row r="689" spans="1:16" ht="13.9" hidden="1" customHeight="1" outlineLevel="2" x14ac:dyDescent="0.2">
      <c r="A689" s="233">
        <v>0</v>
      </c>
      <c r="B689" s="233">
        <v>6</v>
      </c>
      <c r="C689" s="233">
        <v>5</v>
      </c>
      <c r="D689" s="234">
        <v>6</v>
      </c>
      <c r="E689" s="234">
        <v>0</v>
      </c>
      <c r="G689" s="450"/>
      <c r="H689" s="451" t="s">
        <v>1237</v>
      </c>
      <c r="I689" s="452" t="s">
        <v>3986</v>
      </c>
      <c r="J689" s="453" t="s">
        <v>1252</v>
      </c>
      <c r="K689" s="454"/>
      <c r="L689" s="455"/>
      <c r="M689" s="455"/>
      <c r="N689" s="456">
        <v>55415.8</v>
      </c>
      <c r="O689" s="457"/>
      <c r="P689" s="430"/>
    </row>
    <row r="690" spans="1:16" ht="13.9" hidden="1" customHeight="1" outlineLevel="3" x14ac:dyDescent="0.2">
      <c r="A690" s="233">
        <v>0</v>
      </c>
      <c r="B690" s="233">
        <v>6</v>
      </c>
      <c r="C690" s="233">
        <v>5</v>
      </c>
      <c r="D690" s="234">
        <v>6</v>
      </c>
      <c r="E690" s="234">
        <v>1</v>
      </c>
      <c r="G690" s="500" t="s">
        <v>16</v>
      </c>
      <c r="H690" s="459" t="s">
        <v>1238</v>
      </c>
      <c r="I690" s="460" t="s">
        <v>3987</v>
      </c>
      <c r="J690" s="461" t="s">
        <v>1253</v>
      </c>
      <c r="K690" s="462" t="s">
        <v>1129</v>
      </c>
      <c r="L690" s="463">
        <v>1</v>
      </c>
      <c r="M690" s="463">
        <v>55415.8</v>
      </c>
      <c r="N690" s="464">
        <v>55415.8</v>
      </c>
      <c r="O690" s="465" t="s">
        <v>2719</v>
      </c>
      <c r="P690" s="431" t="s">
        <v>6711</v>
      </c>
    </row>
    <row r="691" spans="1:16" ht="13.9" hidden="1" customHeight="1" outlineLevel="1" x14ac:dyDescent="0.2">
      <c r="A691" s="233">
        <v>0</v>
      </c>
      <c r="B691" s="233">
        <v>6</v>
      </c>
      <c r="C691" s="233">
        <v>6</v>
      </c>
      <c r="D691" s="234">
        <v>0</v>
      </c>
      <c r="E691" s="234">
        <v>1</v>
      </c>
      <c r="G691" s="443"/>
      <c r="H691" s="444" t="s">
        <v>38</v>
      </c>
      <c r="I691" s="445" t="s">
        <v>3988</v>
      </c>
      <c r="J691" s="446" t="s">
        <v>2726</v>
      </c>
      <c r="K691" s="447"/>
      <c r="L691" s="448"/>
      <c r="M691" s="448"/>
      <c r="N691" s="449">
        <v>72359.732640655799</v>
      </c>
      <c r="O691" s="432"/>
      <c r="P691" s="435"/>
    </row>
    <row r="692" spans="1:16" ht="13.9" hidden="1" customHeight="1" outlineLevel="2" x14ac:dyDescent="0.2">
      <c r="A692" s="233">
        <v>0</v>
      </c>
      <c r="B692" s="233">
        <v>6</v>
      </c>
      <c r="C692" s="233">
        <v>6</v>
      </c>
      <c r="D692" s="234">
        <v>1</v>
      </c>
      <c r="E692" s="234">
        <v>0</v>
      </c>
      <c r="G692" s="450"/>
      <c r="H692" s="451" t="s">
        <v>1237</v>
      </c>
      <c r="I692" s="452" t="s">
        <v>3989</v>
      </c>
      <c r="J692" s="453" t="s">
        <v>2322</v>
      </c>
      <c r="K692" s="454"/>
      <c r="L692" s="455"/>
      <c r="M692" s="455"/>
      <c r="N692" s="456">
        <v>929.27</v>
      </c>
      <c r="O692" s="457"/>
      <c r="P692" s="430"/>
    </row>
    <row r="693" spans="1:16" ht="13.9" hidden="1" customHeight="1" outlineLevel="3" x14ac:dyDescent="0.2">
      <c r="A693" s="233">
        <v>0</v>
      </c>
      <c r="B693" s="233">
        <v>6</v>
      </c>
      <c r="C693" s="233">
        <v>6</v>
      </c>
      <c r="D693" s="234">
        <v>1</v>
      </c>
      <c r="E693" s="234">
        <v>1</v>
      </c>
      <c r="G693" s="500" t="s">
        <v>16</v>
      </c>
      <c r="H693" s="459" t="s">
        <v>1238</v>
      </c>
      <c r="I693" s="460" t="s">
        <v>3990</v>
      </c>
      <c r="J693" s="461" t="s">
        <v>2322</v>
      </c>
      <c r="K693" s="462" t="s">
        <v>1129</v>
      </c>
      <c r="L693" s="463">
        <v>1</v>
      </c>
      <c r="M693" s="463">
        <v>929.27</v>
      </c>
      <c r="N693" s="464">
        <v>929.27</v>
      </c>
      <c r="O693" s="465" t="s">
        <v>2736</v>
      </c>
      <c r="P693" s="431" t="s">
        <v>6711</v>
      </c>
    </row>
    <row r="694" spans="1:16" ht="13.9" hidden="1" customHeight="1" outlineLevel="2" x14ac:dyDescent="0.2">
      <c r="A694" s="233">
        <v>0</v>
      </c>
      <c r="B694" s="233">
        <v>6</v>
      </c>
      <c r="C694" s="233">
        <v>6</v>
      </c>
      <c r="D694" s="234">
        <v>2</v>
      </c>
      <c r="E694" s="234">
        <v>0</v>
      </c>
      <c r="G694" s="450"/>
      <c r="H694" s="451" t="s">
        <v>1237</v>
      </c>
      <c r="I694" s="452" t="s">
        <v>3991</v>
      </c>
      <c r="J694" s="453" t="s">
        <v>2324</v>
      </c>
      <c r="K694" s="454"/>
      <c r="L694" s="455"/>
      <c r="M694" s="455"/>
      <c r="N694" s="456">
        <v>1000.55</v>
      </c>
      <c r="O694" s="457"/>
      <c r="P694" s="430"/>
    </row>
    <row r="695" spans="1:16" ht="13.9" hidden="1" customHeight="1" outlineLevel="3" x14ac:dyDescent="0.2">
      <c r="A695" s="233">
        <v>0</v>
      </c>
      <c r="B695" s="233">
        <v>6</v>
      </c>
      <c r="C695" s="233">
        <v>6</v>
      </c>
      <c r="D695" s="234">
        <v>2</v>
      </c>
      <c r="E695" s="234">
        <v>1</v>
      </c>
      <c r="G695" s="500" t="s">
        <v>16</v>
      </c>
      <c r="H695" s="459" t="s">
        <v>1238</v>
      </c>
      <c r="I695" s="460" t="s">
        <v>3992</v>
      </c>
      <c r="J695" s="461" t="s">
        <v>2324</v>
      </c>
      <c r="K695" s="462" t="s">
        <v>1129</v>
      </c>
      <c r="L695" s="463">
        <v>1</v>
      </c>
      <c r="M695" s="463">
        <v>1000.5500000000001</v>
      </c>
      <c r="N695" s="464">
        <v>1000.55</v>
      </c>
      <c r="O695" s="465" t="s">
        <v>2736</v>
      </c>
      <c r="P695" s="431" t="s">
        <v>6711</v>
      </c>
    </row>
    <row r="696" spans="1:16" ht="13.9" hidden="1" customHeight="1" outlineLevel="2" x14ac:dyDescent="0.2">
      <c r="A696" s="233">
        <v>0</v>
      </c>
      <c r="B696" s="233">
        <v>6</v>
      </c>
      <c r="C696" s="233">
        <v>6</v>
      </c>
      <c r="D696" s="234">
        <v>3</v>
      </c>
      <c r="E696" s="234">
        <v>0</v>
      </c>
      <c r="G696" s="450"/>
      <c r="H696" s="451" t="s">
        <v>1237</v>
      </c>
      <c r="I696" s="452" t="s">
        <v>3993</v>
      </c>
      <c r="J696" s="453" t="s">
        <v>2325</v>
      </c>
      <c r="K696" s="454"/>
      <c r="L696" s="455"/>
      <c r="M696" s="455"/>
      <c r="N696" s="456">
        <v>3038.7930000000001</v>
      </c>
      <c r="O696" s="457"/>
      <c r="P696" s="430"/>
    </row>
    <row r="697" spans="1:16" ht="13.9" hidden="1" customHeight="1" outlineLevel="3" x14ac:dyDescent="0.2">
      <c r="A697" s="233">
        <v>0</v>
      </c>
      <c r="B697" s="233">
        <v>6</v>
      </c>
      <c r="C697" s="233">
        <v>6</v>
      </c>
      <c r="D697" s="234">
        <v>3</v>
      </c>
      <c r="E697" s="234">
        <v>1</v>
      </c>
      <c r="G697" s="500" t="s">
        <v>16</v>
      </c>
      <c r="H697" s="459" t="s">
        <v>1238</v>
      </c>
      <c r="I697" s="460" t="s">
        <v>3994</v>
      </c>
      <c r="J697" s="461" t="s">
        <v>2325</v>
      </c>
      <c r="K697" s="462" t="s">
        <v>1129</v>
      </c>
      <c r="L697" s="463">
        <v>1</v>
      </c>
      <c r="M697" s="463">
        <v>3038.7930000000001</v>
      </c>
      <c r="N697" s="464">
        <v>3038.7930000000001</v>
      </c>
      <c r="O697" s="465" t="s">
        <v>2736</v>
      </c>
      <c r="P697" s="431" t="s">
        <v>6711</v>
      </c>
    </row>
    <row r="698" spans="1:16" ht="13.9" hidden="1" customHeight="1" outlineLevel="2" x14ac:dyDescent="0.2">
      <c r="A698" s="233">
        <v>0</v>
      </c>
      <c r="B698" s="233">
        <v>6</v>
      </c>
      <c r="C698" s="233">
        <v>6</v>
      </c>
      <c r="D698" s="234">
        <v>4</v>
      </c>
      <c r="E698" s="234">
        <v>0</v>
      </c>
      <c r="G698" s="450"/>
      <c r="H698" s="451" t="s">
        <v>1237</v>
      </c>
      <c r="I698" s="452" t="s">
        <v>3995</v>
      </c>
      <c r="J698" s="453" t="s">
        <v>2326</v>
      </c>
      <c r="K698" s="454"/>
      <c r="L698" s="455"/>
      <c r="M698" s="455"/>
      <c r="N698" s="456">
        <v>1005.6</v>
      </c>
      <c r="O698" s="457"/>
      <c r="P698" s="430"/>
    </row>
    <row r="699" spans="1:16" ht="13.9" hidden="1" customHeight="1" outlineLevel="3" x14ac:dyDescent="0.2">
      <c r="A699" s="233">
        <v>0</v>
      </c>
      <c r="B699" s="233">
        <v>6</v>
      </c>
      <c r="C699" s="233">
        <v>6</v>
      </c>
      <c r="D699" s="234">
        <v>4</v>
      </c>
      <c r="E699" s="234">
        <v>1</v>
      </c>
      <c r="G699" s="500" t="s">
        <v>16</v>
      </c>
      <c r="H699" s="459" t="s">
        <v>1238</v>
      </c>
      <c r="I699" s="460" t="s">
        <v>3996</v>
      </c>
      <c r="J699" s="461" t="s">
        <v>2326</v>
      </c>
      <c r="K699" s="462" t="s">
        <v>1129</v>
      </c>
      <c r="L699" s="463">
        <v>1</v>
      </c>
      <c r="M699" s="463">
        <v>1005.5999999999999</v>
      </c>
      <c r="N699" s="464">
        <v>1005.6</v>
      </c>
      <c r="O699" s="465" t="s">
        <v>2736</v>
      </c>
      <c r="P699" s="431" t="s">
        <v>6711</v>
      </c>
    </row>
    <row r="700" spans="1:16" ht="13.9" hidden="1" customHeight="1" outlineLevel="2" x14ac:dyDescent="0.2">
      <c r="A700" s="233">
        <v>0</v>
      </c>
      <c r="B700" s="233">
        <v>6</v>
      </c>
      <c r="C700" s="233">
        <v>6</v>
      </c>
      <c r="D700" s="234">
        <v>5</v>
      </c>
      <c r="E700" s="234">
        <v>0</v>
      </c>
      <c r="G700" s="450"/>
      <c r="H700" s="451" t="s">
        <v>1237</v>
      </c>
      <c r="I700" s="452" t="s">
        <v>3997</v>
      </c>
      <c r="J700" s="453" t="s">
        <v>2327</v>
      </c>
      <c r="K700" s="454"/>
      <c r="L700" s="455"/>
      <c r="M700" s="455"/>
      <c r="N700" s="456">
        <v>9954.1396406557906</v>
      </c>
      <c r="O700" s="457"/>
      <c r="P700" s="430"/>
    </row>
    <row r="701" spans="1:16" ht="13.9" hidden="1" customHeight="1" outlineLevel="3" x14ac:dyDescent="0.2">
      <c r="A701" s="233">
        <v>0</v>
      </c>
      <c r="B701" s="233">
        <v>6</v>
      </c>
      <c r="C701" s="233">
        <v>6</v>
      </c>
      <c r="D701" s="234">
        <v>5</v>
      </c>
      <c r="E701" s="234">
        <v>1</v>
      </c>
      <c r="G701" s="500" t="s">
        <v>16</v>
      </c>
      <c r="H701" s="459" t="s">
        <v>1238</v>
      </c>
      <c r="I701" s="460" t="s">
        <v>3998</v>
      </c>
      <c r="J701" s="461" t="s">
        <v>2327</v>
      </c>
      <c r="K701" s="462" t="s">
        <v>1129</v>
      </c>
      <c r="L701" s="463">
        <v>1</v>
      </c>
      <c r="M701" s="463">
        <v>9954.1396406557869</v>
      </c>
      <c r="N701" s="464">
        <v>9954.1396406557906</v>
      </c>
      <c r="O701" s="465" t="s">
        <v>2735</v>
      </c>
      <c r="P701" s="431" t="s">
        <v>6711</v>
      </c>
    </row>
    <row r="702" spans="1:16" ht="13.9" hidden="1" customHeight="1" outlineLevel="2" x14ac:dyDescent="0.2">
      <c r="A702" s="233">
        <v>0</v>
      </c>
      <c r="B702" s="233">
        <v>6</v>
      </c>
      <c r="C702" s="233">
        <v>6</v>
      </c>
      <c r="D702" s="234">
        <v>6</v>
      </c>
      <c r="E702" s="234">
        <v>0</v>
      </c>
      <c r="G702" s="450"/>
      <c r="H702" s="451" t="s">
        <v>1237</v>
      </c>
      <c r="I702" s="452" t="s">
        <v>3999</v>
      </c>
      <c r="J702" s="453" t="s">
        <v>1252</v>
      </c>
      <c r="K702" s="454"/>
      <c r="L702" s="455"/>
      <c r="M702" s="455"/>
      <c r="N702" s="456">
        <v>56431.38</v>
      </c>
      <c r="O702" s="457"/>
      <c r="P702" s="430"/>
    </row>
    <row r="703" spans="1:16" ht="13.9" hidden="1" customHeight="1" outlineLevel="3" x14ac:dyDescent="0.2">
      <c r="A703" s="233">
        <v>0</v>
      </c>
      <c r="B703" s="233">
        <v>6</v>
      </c>
      <c r="C703" s="233">
        <v>6</v>
      </c>
      <c r="D703" s="234">
        <v>6</v>
      </c>
      <c r="E703" s="234">
        <v>1</v>
      </c>
      <c r="G703" s="500" t="s">
        <v>16</v>
      </c>
      <c r="H703" s="459" t="s">
        <v>1238</v>
      </c>
      <c r="I703" s="460" t="s">
        <v>4000</v>
      </c>
      <c r="J703" s="461" t="s">
        <v>1253</v>
      </c>
      <c r="K703" s="462" t="s">
        <v>1129</v>
      </c>
      <c r="L703" s="463">
        <v>1</v>
      </c>
      <c r="M703" s="463">
        <v>56431.38</v>
      </c>
      <c r="N703" s="464">
        <v>56431.38</v>
      </c>
      <c r="O703" s="465" t="s">
        <v>2719</v>
      </c>
      <c r="P703" s="431" t="s">
        <v>6711</v>
      </c>
    </row>
    <row r="704" spans="1:16" ht="13.9" hidden="1" customHeight="1" outlineLevel="1" x14ac:dyDescent="0.2">
      <c r="A704" s="233">
        <v>0</v>
      </c>
      <c r="B704" s="233">
        <v>6</v>
      </c>
      <c r="C704" s="233">
        <v>7</v>
      </c>
      <c r="D704" s="234">
        <v>0</v>
      </c>
      <c r="E704" s="234">
        <v>1</v>
      </c>
      <c r="G704" s="443"/>
      <c r="H704" s="444" t="s">
        <v>38</v>
      </c>
      <c r="I704" s="445" t="s">
        <v>4001</v>
      </c>
      <c r="J704" s="446" t="s">
        <v>2727</v>
      </c>
      <c r="K704" s="447"/>
      <c r="L704" s="448"/>
      <c r="M704" s="448"/>
      <c r="N704" s="449">
        <v>81697.706640655801</v>
      </c>
      <c r="O704" s="432"/>
      <c r="P704" s="435"/>
    </row>
    <row r="705" spans="1:16" ht="13.9" hidden="1" customHeight="1" outlineLevel="2" x14ac:dyDescent="0.2">
      <c r="A705" s="233">
        <v>0</v>
      </c>
      <c r="B705" s="233">
        <v>6</v>
      </c>
      <c r="C705" s="233">
        <v>7</v>
      </c>
      <c r="D705" s="234">
        <v>1</v>
      </c>
      <c r="E705" s="234">
        <v>0</v>
      </c>
      <c r="G705" s="450"/>
      <c r="H705" s="451" t="s">
        <v>1237</v>
      </c>
      <c r="I705" s="452" t="s">
        <v>4002</v>
      </c>
      <c r="J705" s="453" t="s">
        <v>2322</v>
      </c>
      <c r="K705" s="454"/>
      <c r="L705" s="455"/>
      <c r="M705" s="455"/>
      <c r="N705" s="456">
        <v>2807.64</v>
      </c>
      <c r="O705" s="457"/>
      <c r="P705" s="430"/>
    </row>
    <row r="706" spans="1:16" ht="13.9" hidden="1" customHeight="1" outlineLevel="3" x14ac:dyDescent="0.2">
      <c r="A706" s="233">
        <v>0</v>
      </c>
      <c r="B706" s="233">
        <v>6</v>
      </c>
      <c r="C706" s="233">
        <v>7</v>
      </c>
      <c r="D706" s="234">
        <v>1</v>
      </c>
      <c r="E706" s="234">
        <v>1</v>
      </c>
      <c r="G706" s="500" t="s">
        <v>16</v>
      </c>
      <c r="H706" s="459" t="s">
        <v>1238</v>
      </c>
      <c r="I706" s="460" t="s">
        <v>4003</v>
      </c>
      <c r="J706" s="461" t="s">
        <v>2322</v>
      </c>
      <c r="K706" s="462" t="s">
        <v>1129</v>
      </c>
      <c r="L706" s="463">
        <v>1</v>
      </c>
      <c r="M706" s="463">
        <v>2807.6400000000003</v>
      </c>
      <c r="N706" s="464">
        <v>2807.64</v>
      </c>
      <c r="O706" s="465" t="s">
        <v>2736</v>
      </c>
      <c r="P706" s="431" t="s">
        <v>6711</v>
      </c>
    </row>
    <row r="707" spans="1:16" ht="13.9" hidden="1" customHeight="1" outlineLevel="2" x14ac:dyDescent="0.2">
      <c r="A707" s="233">
        <v>0</v>
      </c>
      <c r="B707" s="233">
        <v>6</v>
      </c>
      <c r="C707" s="233">
        <v>7</v>
      </c>
      <c r="D707" s="234">
        <v>2</v>
      </c>
      <c r="E707" s="234">
        <v>0</v>
      </c>
      <c r="G707" s="450"/>
      <c r="H707" s="451" t="s">
        <v>1237</v>
      </c>
      <c r="I707" s="452" t="s">
        <v>4004</v>
      </c>
      <c r="J707" s="453" t="s">
        <v>2324</v>
      </c>
      <c r="K707" s="454"/>
      <c r="L707" s="455"/>
      <c r="M707" s="455"/>
      <c r="N707" s="456">
        <v>2979.55</v>
      </c>
      <c r="O707" s="457"/>
      <c r="P707" s="430"/>
    </row>
    <row r="708" spans="1:16" ht="13.9" hidden="1" customHeight="1" outlineLevel="3" x14ac:dyDescent="0.2">
      <c r="A708" s="233">
        <v>0</v>
      </c>
      <c r="B708" s="233">
        <v>6</v>
      </c>
      <c r="C708" s="233">
        <v>7</v>
      </c>
      <c r="D708" s="234">
        <v>2</v>
      </c>
      <c r="E708" s="234">
        <v>1</v>
      </c>
      <c r="G708" s="500" t="s">
        <v>16</v>
      </c>
      <c r="H708" s="459" t="s">
        <v>1238</v>
      </c>
      <c r="I708" s="460" t="s">
        <v>4005</v>
      </c>
      <c r="J708" s="461" t="s">
        <v>2324</v>
      </c>
      <c r="K708" s="462" t="s">
        <v>1129</v>
      </c>
      <c r="L708" s="463">
        <v>1</v>
      </c>
      <c r="M708" s="463">
        <v>2979.5499999999997</v>
      </c>
      <c r="N708" s="464">
        <v>2979.55</v>
      </c>
      <c r="O708" s="465" t="s">
        <v>2736</v>
      </c>
      <c r="P708" s="431" t="s">
        <v>6711</v>
      </c>
    </row>
    <row r="709" spans="1:16" ht="13.9" hidden="1" customHeight="1" outlineLevel="2" x14ac:dyDescent="0.2">
      <c r="A709" s="233">
        <v>0</v>
      </c>
      <c r="B709" s="233">
        <v>6</v>
      </c>
      <c r="C709" s="233">
        <v>7</v>
      </c>
      <c r="D709" s="234">
        <v>3</v>
      </c>
      <c r="E709" s="234">
        <v>0</v>
      </c>
      <c r="G709" s="450"/>
      <c r="H709" s="451" t="s">
        <v>1237</v>
      </c>
      <c r="I709" s="452" t="s">
        <v>4006</v>
      </c>
      <c r="J709" s="453" t="s">
        <v>2325</v>
      </c>
      <c r="K709" s="454"/>
      <c r="L709" s="455"/>
      <c r="M709" s="455"/>
      <c r="N709" s="456">
        <v>7370.9470000000001</v>
      </c>
      <c r="O709" s="457"/>
      <c r="P709" s="430"/>
    </row>
    <row r="710" spans="1:16" ht="13.9" hidden="1" customHeight="1" outlineLevel="3" x14ac:dyDescent="0.2">
      <c r="A710" s="233">
        <v>0</v>
      </c>
      <c r="B710" s="233">
        <v>6</v>
      </c>
      <c r="C710" s="233">
        <v>7</v>
      </c>
      <c r="D710" s="234">
        <v>3</v>
      </c>
      <c r="E710" s="234">
        <v>1</v>
      </c>
      <c r="G710" s="500" t="s">
        <v>16</v>
      </c>
      <c r="H710" s="459" t="s">
        <v>1238</v>
      </c>
      <c r="I710" s="460" t="s">
        <v>4007</v>
      </c>
      <c r="J710" s="461" t="s">
        <v>2325</v>
      </c>
      <c r="K710" s="462" t="s">
        <v>1129</v>
      </c>
      <c r="L710" s="463">
        <v>1</v>
      </c>
      <c r="M710" s="463">
        <v>7370.9469999999992</v>
      </c>
      <c r="N710" s="464">
        <v>7370.9470000000001</v>
      </c>
      <c r="O710" s="465" t="s">
        <v>2736</v>
      </c>
      <c r="P710" s="431" t="s">
        <v>6711</v>
      </c>
    </row>
    <row r="711" spans="1:16" ht="13.9" hidden="1" customHeight="1" outlineLevel="2" x14ac:dyDescent="0.2">
      <c r="A711" s="233">
        <v>0</v>
      </c>
      <c r="B711" s="233">
        <v>6</v>
      </c>
      <c r="C711" s="233">
        <v>7</v>
      </c>
      <c r="D711" s="234">
        <v>4</v>
      </c>
      <c r="E711" s="234">
        <v>0</v>
      </c>
      <c r="G711" s="450"/>
      <c r="H711" s="451" t="s">
        <v>1237</v>
      </c>
      <c r="I711" s="452" t="s">
        <v>4008</v>
      </c>
      <c r="J711" s="453" t="s">
        <v>2326</v>
      </c>
      <c r="K711" s="454"/>
      <c r="L711" s="455"/>
      <c r="M711" s="455"/>
      <c r="N711" s="456">
        <v>2289.69</v>
      </c>
      <c r="O711" s="457"/>
      <c r="P711" s="430"/>
    </row>
    <row r="712" spans="1:16" ht="13.9" hidden="1" customHeight="1" outlineLevel="3" x14ac:dyDescent="0.2">
      <c r="A712" s="233">
        <v>0</v>
      </c>
      <c r="B712" s="233">
        <v>6</v>
      </c>
      <c r="C712" s="233">
        <v>7</v>
      </c>
      <c r="D712" s="234">
        <v>4</v>
      </c>
      <c r="E712" s="234">
        <v>1</v>
      </c>
      <c r="G712" s="500" t="s">
        <v>16</v>
      </c>
      <c r="H712" s="459" t="s">
        <v>1238</v>
      </c>
      <c r="I712" s="460" t="s">
        <v>4009</v>
      </c>
      <c r="J712" s="461" t="s">
        <v>2326</v>
      </c>
      <c r="K712" s="462" t="s">
        <v>1129</v>
      </c>
      <c r="L712" s="463">
        <v>1</v>
      </c>
      <c r="M712" s="463">
        <v>2289.69</v>
      </c>
      <c r="N712" s="464">
        <v>2289.69</v>
      </c>
      <c r="O712" s="465" t="s">
        <v>2736</v>
      </c>
      <c r="P712" s="431" t="s">
        <v>6711</v>
      </c>
    </row>
    <row r="713" spans="1:16" ht="13.9" hidden="1" customHeight="1" outlineLevel="2" x14ac:dyDescent="0.2">
      <c r="A713" s="233">
        <v>0</v>
      </c>
      <c r="B713" s="233">
        <v>6</v>
      </c>
      <c r="C713" s="233">
        <v>7</v>
      </c>
      <c r="D713" s="234">
        <v>5</v>
      </c>
      <c r="E713" s="234">
        <v>0</v>
      </c>
      <c r="G713" s="450"/>
      <c r="H713" s="451" t="s">
        <v>1237</v>
      </c>
      <c r="I713" s="452" t="s">
        <v>4010</v>
      </c>
      <c r="J713" s="453" t="s">
        <v>2327</v>
      </c>
      <c r="K713" s="454"/>
      <c r="L713" s="455"/>
      <c r="M713" s="455"/>
      <c r="N713" s="456">
        <v>9954.1396406557906</v>
      </c>
      <c r="O713" s="457"/>
      <c r="P713" s="430"/>
    </row>
    <row r="714" spans="1:16" ht="13.9" hidden="1" customHeight="1" outlineLevel="3" x14ac:dyDescent="0.2">
      <c r="A714" s="233">
        <v>0</v>
      </c>
      <c r="B714" s="233">
        <v>6</v>
      </c>
      <c r="C714" s="233">
        <v>7</v>
      </c>
      <c r="D714" s="234">
        <v>5</v>
      </c>
      <c r="E714" s="234">
        <v>1</v>
      </c>
      <c r="G714" s="500" t="s">
        <v>16</v>
      </c>
      <c r="H714" s="459" t="s">
        <v>1238</v>
      </c>
      <c r="I714" s="460" t="s">
        <v>4011</v>
      </c>
      <c r="J714" s="461" t="s">
        <v>2327</v>
      </c>
      <c r="K714" s="462" t="s">
        <v>1129</v>
      </c>
      <c r="L714" s="463">
        <v>1</v>
      </c>
      <c r="M714" s="463">
        <v>9954.1396406557869</v>
      </c>
      <c r="N714" s="464">
        <v>9954.1396406557906</v>
      </c>
      <c r="O714" s="465" t="s">
        <v>2735</v>
      </c>
      <c r="P714" s="431" t="s">
        <v>6711</v>
      </c>
    </row>
    <row r="715" spans="1:16" ht="13.9" hidden="1" customHeight="1" outlineLevel="2" x14ac:dyDescent="0.2">
      <c r="A715" s="233">
        <v>0</v>
      </c>
      <c r="B715" s="233">
        <v>6</v>
      </c>
      <c r="C715" s="233">
        <v>7</v>
      </c>
      <c r="D715" s="234">
        <v>6</v>
      </c>
      <c r="E715" s="234">
        <v>0</v>
      </c>
      <c r="G715" s="450"/>
      <c r="H715" s="451" t="s">
        <v>1237</v>
      </c>
      <c r="I715" s="452" t="s">
        <v>4012</v>
      </c>
      <c r="J715" s="453" t="s">
        <v>1252</v>
      </c>
      <c r="K715" s="454"/>
      <c r="L715" s="455"/>
      <c r="M715" s="455"/>
      <c r="N715" s="456">
        <v>56295.74</v>
      </c>
      <c r="O715" s="457"/>
      <c r="P715" s="430"/>
    </row>
    <row r="716" spans="1:16" ht="13.9" hidden="1" customHeight="1" outlineLevel="3" x14ac:dyDescent="0.2">
      <c r="A716" s="233">
        <v>0</v>
      </c>
      <c r="B716" s="233">
        <v>6</v>
      </c>
      <c r="C716" s="233">
        <v>7</v>
      </c>
      <c r="D716" s="234">
        <v>6</v>
      </c>
      <c r="E716" s="234">
        <v>1</v>
      </c>
      <c r="G716" s="500" t="s">
        <v>16</v>
      </c>
      <c r="H716" s="459" t="s">
        <v>1238</v>
      </c>
      <c r="I716" s="460" t="s">
        <v>4013</v>
      </c>
      <c r="J716" s="461" t="s">
        <v>1253</v>
      </c>
      <c r="K716" s="462" t="s">
        <v>1129</v>
      </c>
      <c r="L716" s="463">
        <v>1</v>
      </c>
      <c r="M716" s="463">
        <v>56295.74</v>
      </c>
      <c r="N716" s="464">
        <v>56295.74</v>
      </c>
      <c r="O716" s="465" t="s">
        <v>2719</v>
      </c>
      <c r="P716" s="431" t="s">
        <v>6711</v>
      </c>
    </row>
    <row r="717" spans="1:16" ht="13.9" hidden="1" customHeight="1" outlineLevel="1" x14ac:dyDescent="0.2">
      <c r="A717" s="233">
        <v>0</v>
      </c>
      <c r="B717" s="233">
        <v>6</v>
      </c>
      <c r="C717" s="233">
        <v>8</v>
      </c>
      <c r="D717" s="234">
        <v>0</v>
      </c>
      <c r="E717" s="234">
        <v>1</v>
      </c>
      <c r="G717" s="443"/>
      <c r="H717" s="444" t="s">
        <v>38</v>
      </c>
      <c r="I717" s="445" t="s">
        <v>4014</v>
      </c>
      <c r="J717" s="446" t="s">
        <v>2728</v>
      </c>
      <c r="K717" s="447"/>
      <c r="L717" s="448"/>
      <c r="M717" s="448"/>
      <c r="N717" s="449">
        <v>59626.110030074698</v>
      </c>
      <c r="O717" s="432"/>
      <c r="P717" s="435"/>
    </row>
    <row r="718" spans="1:16" ht="13.9" hidden="1" customHeight="1" outlineLevel="2" x14ac:dyDescent="0.2">
      <c r="A718" s="233">
        <v>0</v>
      </c>
      <c r="B718" s="233">
        <v>6</v>
      </c>
      <c r="C718" s="233">
        <v>8</v>
      </c>
      <c r="D718" s="234">
        <v>1</v>
      </c>
      <c r="E718" s="234">
        <v>0</v>
      </c>
      <c r="G718" s="450"/>
      <c r="H718" s="451" t="s">
        <v>1237</v>
      </c>
      <c r="I718" s="452" t="s">
        <v>4015</v>
      </c>
      <c r="J718" s="453" t="s">
        <v>2322</v>
      </c>
      <c r="K718" s="454"/>
      <c r="L718" s="455"/>
      <c r="M718" s="455"/>
      <c r="N718" s="456">
        <v>2101.14</v>
      </c>
      <c r="O718" s="457"/>
      <c r="P718" s="430"/>
    </row>
    <row r="719" spans="1:16" ht="13.9" hidden="1" customHeight="1" outlineLevel="3" x14ac:dyDescent="0.2">
      <c r="A719" s="233">
        <v>0</v>
      </c>
      <c r="B719" s="233">
        <v>6</v>
      </c>
      <c r="C719" s="233">
        <v>8</v>
      </c>
      <c r="D719" s="234">
        <v>1</v>
      </c>
      <c r="E719" s="234">
        <v>1</v>
      </c>
      <c r="G719" s="500" t="s">
        <v>16</v>
      </c>
      <c r="H719" s="459" t="s">
        <v>1238</v>
      </c>
      <c r="I719" s="460" t="s">
        <v>4016</v>
      </c>
      <c r="J719" s="461" t="s">
        <v>2322</v>
      </c>
      <c r="K719" s="462" t="s">
        <v>1129</v>
      </c>
      <c r="L719" s="463">
        <v>1</v>
      </c>
      <c r="M719" s="463">
        <v>2101.14</v>
      </c>
      <c r="N719" s="464">
        <v>2101.14</v>
      </c>
      <c r="O719" s="465" t="s">
        <v>2736</v>
      </c>
      <c r="P719" s="431" t="s">
        <v>6711</v>
      </c>
    </row>
    <row r="720" spans="1:16" ht="13.9" hidden="1" customHeight="1" outlineLevel="2" x14ac:dyDescent="0.2">
      <c r="A720" s="233">
        <v>0</v>
      </c>
      <c r="B720" s="233">
        <v>6</v>
      </c>
      <c r="C720" s="233">
        <v>8</v>
      </c>
      <c r="D720" s="234">
        <v>2</v>
      </c>
      <c r="E720" s="234">
        <v>0</v>
      </c>
      <c r="G720" s="450"/>
      <c r="H720" s="451" t="s">
        <v>1237</v>
      </c>
      <c r="I720" s="452" t="s">
        <v>4017</v>
      </c>
      <c r="J720" s="453" t="s">
        <v>2324</v>
      </c>
      <c r="K720" s="454"/>
      <c r="L720" s="455"/>
      <c r="M720" s="455"/>
      <c r="N720" s="456">
        <v>2863.95</v>
      </c>
      <c r="O720" s="457"/>
      <c r="P720" s="430"/>
    </row>
    <row r="721" spans="1:16" ht="13.9" hidden="1" customHeight="1" outlineLevel="3" x14ac:dyDescent="0.2">
      <c r="A721" s="233">
        <v>0</v>
      </c>
      <c r="B721" s="233">
        <v>6</v>
      </c>
      <c r="C721" s="233">
        <v>8</v>
      </c>
      <c r="D721" s="234">
        <v>2</v>
      </c>
      <c r="E721" s="234">
        <v>1</v>
      </c>
      <c r="G721" s="500" t="s">
        <v>16</v>
      </c>
      <c r="H721" s="459" t="s">
        <v>1238</v>
      </c>
      <c r="I721" s="460" t="s">
        <v>4018</v>
      </c>
      <c r="J721" s="461" t="s">
        <v>2324</v>
      </c>
      <c r="K721" s="462" t="s">
        <v>1129</v>
      </c>
      <c r="L721" s="463">
        <v>1</v>
      </c>
      <c r="M721" s="463">
        <v>2863.9500000000003</v>
      </c>
      <c r="N721" s="464">
        <v>2863.95</v>
      </c>
      <c r="O721" s="465" t="s">
        <v>2736</v>
      </c>
      <c r="P721" s="431" t="s">
        <v>6711</v>
      </c>
    </row>
    <row r="722" spans="1:16" ht="13.9" hidden="1" customHeight="1" outlineLevel="2" x14ac:dyDescent="0.2">
      <c r="A722" s="233">
        <v>0</v>
      </c>
      <c r="B722" s="233">
        <v>6</v>
      </c>
      <c r="C722" s="233">
        <v>8</v>
      </c>
      <c r="D722" s="234">
        <v>3</v>
      </c>
      <c r="E722" s="234">
        <v>0</v>
      </c>
      <c r="G722" s="450"/>
      <c r="H722" s="451" t="s">
        <v>1237</v>
      </c>
      <c r="I722" s="452" t="s">
        <v>4019</v>
      </c>
      <c r="J722" s="453" t="s">
        <v>2325</v>
      </c>
      <c r="K722" s="454"/>
      <c r="L722" s="455"/>
      <c r="M722" s="455"/>
      <c r="N722" s="456">
        <v>8164.3810000000003</v>
      </c>
      <c r="O722" s="457"/>
      <c r="P722" s="430"/>
    </row>
    <row r="723" spans="1:16" ht="13.9" hidden="1" customHeight="1" outlineLevel="3" x14ac:dyDescent="0.2">
      <c r="A723" s="233">
        <v>0</v>
      </c>
      <c r="B723" s="233">
        <v>6</v>
      </c>
      <c r="C723" s="233">
        <v>8</v>
      </c>
      <c r="D723" s="234">
        <v>3</v>
      </c>
      <c r="E723" s="234">
        <v>1</v>
      </c>
      <c r="G723" s="500" t="s">
        <v>16</v>
      </c>
      <c r="H723" s="459" t="s">
        <v>1238</v>
      </c>
      <c r="I723" s="460" t="s">
        <v>4020</v>
      </c>
      <c r="J723" s="461" t="s">
        <v>2325</v>
      </c>
      <c r="K723" s="462" t="s">
        <v>1129</v>
      </c>
      <c r="L723" s="463">
        <v>1</v>
      </c>
      <c r="M723" s="463">
        <v>8164.3809999999994</v>
      </c>
      <c r="N723" s="464">
        <v>8164.3810000000003</v>
      </c>
      <c r="O723" s="465" t="s">
        <v>2736</v>
      </c>
      <c r="P723" s="431" t="s">
        <v>6711</v>
      </c>
    </row>
    <row r="724" spans="1:16" ht="13.9" hidden="1" customHeight="1" outlineLevel="2" x14ac:dyDescent="0.2">
      <c r="A724" s="233">
        <v>0</v>
      </c>
      <c r="B724" s="233">
        <v>6</v>
      </c>
      <c r="C724" s="233">
        <v>8</v>
      </c>
      <c r="D724" s="234">
        <v>4</v>
      </c>
      <c r="E724" s="234">
        <v>0</v>
      </c>
      <c r="G724" s="450"/>
      <c r="H724" s="451" t="s">
        <v>1237</v>
      </c>
      <c r="I724" s="452" t="s">
        <v>4021</v>
      </c>
      <c r="J724" s="453" t="s">
        <v>2326</v>
      </c>
      <c r="K724" s="454"/>
      <c r="L724" s="455"/>
      <c r="M724" s="455"/>
      <c r="N724" s="456">
        <v>2983.4</v>
      </c>
      <c r="O724" s="457"/>
      <c r="P724" s="430"/>
    </row>
    <row r="725" spans="1:16" ht="13.9" hidden="1" customHeight="1" outlineLevel="3" x14ac:dyDescent="0.2">
      <c r="A725" s="233">
        <v>0</v>
      </c>
      <c r="B725" s="233">
        <v>6</v>
      </c>
      <c r="C725" s="233">
        <v>8</v>
      </c>
      <c r="D725" s="234">
        <v>4</v>
      </c>
      <c r="E725" s="234">
        <v>1</v>
      </c>
      <c r="G725" s="500" t="s">
        <v>16</v>
      </c>
      <c r="H725" s="459" t="s">
        <v>1238</v>
      </c>
      <c r="I725" s="460" t="s">
        <v>4022</v>
      </c>
      <c r="J725" s="461" t="s">
        <v>2326</v>
      </c>
      <c r="K725" s="462" t="s">
        <v>1129</v>
      </c>
      <c r="L725" s="463">
        <v>1</v>
      </c>
      <c r="M725" s="463">
        <v>2983.4000000000005</v>
      </c>
      <c r="N725" s="464">
        <v>2983.4</v>
      </c>
      <c r="O725" s="465" t="s">
        <v>2736</v>
      </c>
      <c r="P725" s="431" t="s">
        <v>6711</v>
      </c>
    </row>
    <row r="726" spans="1:16" ht="13.9" hidden="1" customHeight="1" outlineLevel="2" x14ac:dyDescent="0.2">
      <c r="A726" s="233">
        <v>0</v>
      </c>
      <c r="B726" s="233">
        <v>6</v>
      </c>
      <c r="C726" s="233">
        <v>8</v>
      </c>
      <c r="D726" s="234">
        <v>5</v>
      </c>
      <c r="E726" s="234">
        <v>0</v>
      </c>
      <c r="G726" s="450"/>
      <c r="H726" s="451" t="s">
        <v>1237</v>
      </c>
      <c r="I726" s="452" t="s">
        <v>4023</v>
      </c>
      <c r="J726" s="453" t="s">
        <v>2327</v>
      </c>
      <c r="K726" s="454"/>
      <c r="L726" s="455"/>
      <c r="M726" s="455"/>
      <c r="N726" s="456">
        <v>5568.7190300747498</v>
      </c>
      <c r="O726" s="457"/>
      <c r="P726" s="430"/>
    </row>
    <row r="727" spans="1:16" ht="13.9" hidden="1" customHeight="1" outlineLevel="3" x14ac:dyDescent="0.2">
      <c r="A727" s="233">
        <v>0</v>
      </c>
      <c r="B727" s="233">
        <v>6</v>
      </c>
      <c r="C727" s="233">
        <v>8</v>
      </c>
      <c r="D727" s="234">
        <v>5</v>
      </c>
      <c r="E727" s="234">
        <v>1</v>
      </c>
      <c r="G727" s="500" t="s">
        <v>16</v>
      </c>
      <c r="H727" s="459" t="s">
        <v>1238</v>
      </c>
      <c r="I727" s="460" t="s">
        <v>4024</v>
      </c>
      <c r="J727" s="461" t="s">
        <v>2327</v>
      </c>
      <c r="K727" s="462" t="s">
        <v>1129</v>
      </c>
      <c r="L727" s="463">
        <v>1</v>
      </c>
      <c r="M727" s="463">
        <v>5568.7190300747534</v>
      </c>
      <c r="N727" s="464">
        <v>5568.7190300747498</v>
      </c>
      <c r="O727" s="465" t="s">
        <v>2735</v>
      </c>
      <c r="P727" s="431" t="s">
        <v>6711</v>
      </c>
    </row>
    <row r="728" spans="1:16" ht="13.9" hidden="1" customHeight="1" outlineLevel="2" x14ac:dyDescent="0.2">
      <c r="A728" s="233">
        <v>0</v>
      </c>
      <c r="B728" s="233">
        <v>6</v>
      </c>
      <c r="C728" s="233">
        <v>8</v>
      </c>
      <c r="D728" s="234">
        <v>6</v>
      </c>
      <c r="E728" s="234">
        <v>0</v>
      </c>
      <c r="G728" s="450"/>
      <c r="H728" s="451" t="s">
        <v>1237</v>
      </c>
      <c r="I728" s="452" t="s">
        <v>4025</v>
      </c>
      <c r="J728" s="453" t="s">
        <v>1252</v>
      </c>
      <c r="K728" s="454"/>
      <c r="L728" s="455"/>
      <c r="M728" s="455"/>
      <c r="N728" s="456">
        <v>37944.519999999997</v>
      </c>
      <c r="O728" s="457"/>
      <c r="P728" s="430"/>
    </row>
    <row r="729" spans="1:16" ht="13.9" hidden="1" customHeight="1" outlineLevel="3" x14ac:dyDescent="0.2">
      <c r="A729" s="233">
        <v>0</v>
      </c>
      <c r="B729" s="233">
        <v>6</v>
      </c>
      <c r="C729" s="233">
        <v>8</v>
      </c>
      <c r="D729" s="234">
        <v>6</v>
      </c>
      <c r="E729" s="234">
        <v>1</v>
      </c>
      <c r="G729" s="500" t="s">
        <v>16</v>
      </c>
      <c r="H729" s="459" t="s">
        <v>1238</v>
      </c>
      <c r="I729" s="460" t="s">
        <v>4026</v>
      </c>
      <c r="J729" s="461" t="s">
        <v>1253</v>
      </c>
      <c r="K729" s="462" t="s">
        <v>1129</v>
      </c>
      <c r="L729" s="463">
        <v>1</v>
      </c>
      <c r="M729" s="463">
        <v>37944.519999999997</v>
      </c>
      <c r="N729" s="464">
        <v>37944.519999999997</v>
      </c>
      <c r="O729" s="465" t="s">
        <v>2719</v>
      </c>
      <c r="P729" s="431" t="s">
        <v>6711</v>
      </c>
    </row>
    <row r="730" spans="1:16" ht="13.9" hidden="1" customHeight="1" outlineLevel="1" x14ac:dyDescent="0.2">
      <c r="A730" s="233">
        <v>0</v>
      </c>
      <c r="B730" s="233">
        <v>6</v>
      </c>
      <c r="C730" s="233">
        <v>9</v>
      </c>
      <c r="D730" s="234">
        <v>0</v>
      </c>
      <c r="E730" s="234">
        <v>1</v>
      </c>
      <c r="G730" s="443"/>
      <c r="H730" s="444" t="s">
        <v>38</v>
      </c>
      <c r="I730" s="445" t="s">
        <v>4027</v>
      </c>
      <c r="J730" s="446" t="s">
        <v>2729</v>
      </c>
      <c r="K730" s="447"/>
      <c r="L730" s="448"/>
      <c r="M730" s="448"/>
      <c r="N730" s="449">
        <v>48631.154733694697</v>
      </c>
      <c r="O730" s="432"/>
      <c r="P730" s="435"/>
    </row>
    <row r="731" spans="1:16" ht="13.9" hidden="1" customHeight="1" outlineLevel="2" x14ac:dyDescent="0.2">
      <c r="A731" s="233">
        <v>0</v>
      </c>
      <c r="B731" s="233">
        <v>6</v>
      </c>
      <c r="C731" s="233">
        <v>9</v>
      </c>
      <c r="D731" s="234">
        <v>1</v>
      </c>
      <c r="E731" s="234">
        <v>0</v>
      </c>
      <c r="G731" s="450"/>
      <c r="H731" s="451" t="s">
        <v>1237</v>
      </c>
      <c r="I731" s="452" t="s">
        <v>4028</v>
      </c>
      <c r="J731" s="453" t="s">
        <v>2322</v>
      </c>
      <c r="K731" s="454"/>
      <c r="L731" s="455"/>
      <c r="M731" s="455"/>
      <c r="N731" s="456">
        <v>3445.31</v>
      </c>
      <c r="O731" s="457"/>
      <c r="P731" s="430"/>
    </row>
    <row r="732" spans="1:16" ht="13.9" hidden="1" customHeight="1" outlineLevel="3" x14ac:dyDescent="0.2">
      <c r="A732" s="233">
        <v>0</v>
      </c>
      <c r="B732" s="233">
        <v>6</v>
      </c>
      <c r="C732" s="233">
        <v>9</v>
      </c>
      <c r="D732" s="234">
        <v>1</v>
      </c>
      <c r="E732" s="234">
        <v>1</v>
      </c>
      <c r="G732" s="500" t="s">
        <v>16</v>
      </c>
      <c r="H732" s="459" t="s">
        <v>1238</v>
      </c>
      <c r="I732" s="460" t="s">
        <v>4029</v>
      </c>
      <c r="J732" s="461" t="s">
        <v>2322</v>
      </c>
      <c r="K732" s="462" t="s">
        <v>1129</v>
      </c>
      <c r="L732" s="463">
        <v>1</v>
      </c>
      <c r="M732" s="463">
        <v>3445.31</v>
      </c>
      <c r="N732" s="464">
        <v>3445.31</v>
      </c>
      <c r="O732" s="465" t="s">
        <v>2736</v>
      </c>
      <c r="P732" s="431" t="s">
        <v>6711</v>
      </c>
    </row>
    <row r="733" spans="1:16" ht="13.9" hidden="1" customHeight="1" outlineLevel="2" x14ac:dyDescent="0.2">
      <c r="A733" s="233">
        <v>0</v>
      </c>
      <c r="B733" s="233">
        <v>6</v>
      </c>
      <c r="C733" s="233">
        <v>9</v>
      </c>
      <c r="D733" s="234">
        <v>2</v>
      </c>
      <c r="E733" s="234">
        <v>0</v>
      </c>
      <c r="G733" s="450"/>
      <c r="H733" s="451" t="s">
        <v>1237</v>
      </c>
      <c r="I733" s="452" t="s">
        <v>4030</v>
      </c>
      <c r="J733" s="453" t="s">
        <v>2324</v>
      </c>
      <c r="K733" s="454"/>
      <c r="L733" s="455"/>
      <c r="M733" s="455"/>
      <c r="N733" s="456">
        <v>2741.05</v>
      </c>
      <c r="O733" s="457"/>
      <c r="P733" s="430"/>
    </row>
    <row r="734" spans="1:16" ht="13.9" hidden="1" customHeight="1" outlineLevel="3" x14ac:dyDescent="0.2">
      <c r="A734" s="233">
        <v>0</v>
      </c>
      <c r="B734" s="233">
        <v>6</v>
      </c>
      <c r="C734" s="233">
        <v>9</v>
      </c>
      <c r="D734" s="234">
        <v>2</v>
      </c>
      <c r="E734" s="234">
        <v>1</v>
      </c>
      <c r="G734" s="500" t="s">
        <v>16</v>
      </c>
      <c r="H734" s="459" t="s">
        <v>1238</v>
      </c>
      <c r="I734" s="460" t="s">
        <v>4031</v>
      </c>
      <c r="J734" s="461" t="s">
        <v>2324</v>
      </c>
      <c r="K734" s="462" t="s">
        <v>1129</v>
      </c>
      <c r="L734" s="463">
        <v>1</v>
      </c>
      <c r="M734" s="463">
        <v>2741.0499999999997</v>
      </c>
      <c r="N734" s="464">
        <v>2741.05</v>
      </c>
      <c r="O734" s="465" t="s">
        <v>2736</v>
      </c>
      <c r="P734" s="431" t="s">
        <v>6711</v>
      </c>
    </row>
    <row r="735" spans="1:16" ht="13.9" hidden="1" customHeight="1" outlineLevel="2" x14ac:dyDescent="0.2">
      <c r="A735" s="233">
        <v>0</v>
      </c>
      <c r="B735" s="233">
        <v>6</v>
      </c>
      <c r="C735" s="233">
        <v>9</v>
      </c>
      <c r="D735" s="234">
        <v>3</v>
      </c>
      <c r="E735" s="234">
        <v>0</v>
      </c>
      <c r="G735" s="450"/>
      <c r="H735" s="451" t="s">
        <v>1237</v>
      </c>
      <c r="I735" s="452" t="s">
        <v>4032</v>
      </c>
      <c r="J735" s="453" t="s">
        <v>2325</v>
      </c>
      <c r="K735" s="454"/>
      <c r="L735" s="455"/>
      <c r="M735" s="455"/>
      <c r="N735" s="456">
        <v>7421.7190000000001</v>
      </c>
      <c r="O735" s="457"/>
      <c r="P735" s="430"/>
    </row>
    <row r="736" spans="1:16" ht="13.9" hidden="1" customHeight="1" outlineLevel="3" x14ac:dyDescent="0.2">
      <c r="A736" s="233">
        <v>0</v>
      </c>
      <c r="B736" s="233">
        <v>6</v>
      </c>
      <c r="C736" s="233">
        <v>9</v>
      </c>
      <c r="D736" s="234">
        <v>3</v>
      </c>
      <c r="E736" s="234">
        <v>1</v>
      </c>
      <c r="G736" s="500" t="s">
        <v>16</v>
      </c>
      <c r="H736" s="459" t="s">
        <v>1238</v>
      </c>
      <c r="I736" s="460" t="s">
        <v>4033</v>
      </c>
      <c r="J736" s="461" t="s">
        <v>2325</v>
      </c>
      <c r="K736" s="462" t="s">
        <v>1129</v>
      </c>
      <c r="L736" s="463">
        <v>1</v>
      </c>
      <c r="M736" s="463">
        <v>7421.7189999999991</v>
      </c>
      <c r="N736" s="464">
        <v>7421.7190000000001</v>
      </c>
      <c r="O736" s="465" t="s">
        <v>2736</v>
      </c>
      <c r="P736" s="431" t="s">
        <v>6711</v>
      </c>
    </row>
    <row r="737" spans="1:16" ht="13.9" hidden="1" customHeight="1" outlineLevel="2" x14ac:dyDescent="0.2">
      <c r="A737" s="233">
        <v>0</v>
      </c>
      <c r="B737" s="233">
        <v>6</v>
      </c>
      <c r="C737" s="233">
        <v>9</v>
      </c>
      <c r="D737" s="234">
        <v>4</v>
      </c>
      <c r="E737" s="234">
        <v>0</v>
      </c>
      <c r="G737" s="450"/>
      <c r="H737" s="451" t="s">
        <v>1237</v>
      </c>
      <c r="I737" s="452" t="s">
        <v>4034</v>
      </c>
      <c r="J737" s="453" t="s">
        <v>2326</v>
      </c>
      <c r="K737" s="454"/>
      <c r="L737" s="455"/>
      <c r="M737" s="455"/>
      <c r="N737" s="456">
        <v>4908.8500000000004</v>
      </c>
      <c r="O737" s="457"/>
      <c r="P737" s="430"/>
    </row>
    <row r="738" spans="1:16" ht="13.9" hidden="1" customHeight="1" outlineLevel="3" x14ac:dyDescent="0.2">
      <c r="A738" s="233">
        <v>0</v>
      </c>
      <c r="B738" s="233">
        <v>6</v>
      </c>
      <c r="C738" s="233">
        <v>9</v>
      </c>
      <c r="D738" s="234">
        <v>4</v>
      </c>
      <c r="E738" s="234">
        <v>1</v>
      </c>
      <c r="G738" s="500" t="s">
        <v>16</v>
      </c>
      <c r="H738" s="459" t="s">
        <v>1238</v>
      </c>
      <c r="I738" s="460" t="s">
        <v>4035</v>
      </c>
      <c r="J738" s="461" t="s">
        <v>2326</v>
      </c>
      <c r="K738" s="462" t="s">
        <v>1129</v>
      </c>
      <c r="L738" s="463">
        <v>1</v>
      </c>
      <c r="M738" s="463">
        <v>4908.8500000000004</v>
      </c>
      <c r="N738" s="464">
        <v>4908.8500000000004</v>
      </c>
      <c r="O738" s="465" t="s">
        <v>2736</v>
      </c>
      <c r="P738" s="431" t="s">
        <v>6711</v>
      </c>
    </row>
    <row r="739" spans="1:16" ht="13.9" hidden="1" customHeight="1" outlineLevel="2" x14ac:dyDescent="0.2">
      <c r="A739" s="233">
        <v>0</v>
      </c>
      <c r="B739" s="233">
        <v>6</v>
      </c>
      <c r="C739" s="233">
        <v>9</v>
      </c>
      <c r="D739" s="234">
        <v>5</v>
      </c>
      <c r="E739" s="234">
        <v>0</v>
      </c>
      <c r="G739" s="450"/>
      <c r="H739" s="451" t="s">
        <v>1237</v>
      </c>
      <c r="I739" s="452" t="s">
        <v>4036</v>
      </c>
      <c r="J739" s="453" t="s">
        <v>2327</v>
      </c>
      <c r="K739" s="454"/>
      <c r="L739" s="455"/>
      <c r="M739" s="455"/>
      <c r="N739" s="456">
        <v>3853.9457336946498</v>
      </c>
      <c r="O739" s="457"/>
      <c r="P739" s="430"/>
    </row>
    <row r="740" spans="1:16" ht="13.9" hidden="1" customHeight="1" outlineLevel="3" x14ac:dyDescent="0.2">
      <c r="A740" s="233">
        <v>0</v>
      </c>
      <c r="B740" s="233">
        <v>6</v>
      </c>
      <c r="C740" s="233">
        <v>9</v>
      </c>
      <c r="D740" s="234">
        <v>5</v>
      </c>
      <c r="E740" s="234">
        <v>1</v>
      </c>
      <c r="G740" s="500" t="s">
        <v>16</v>
      </c>
      <c r="H740" s="459" t="s">
        <v>1238</v>
      </c>
      <c r="I740" s="460" t="s">
        <v>4037</v>
      </c>
      <c r="J740" s="461" t="s">
        <v>2327</v>
      </c>
      <c r="K740" s="462" t="s">
        <v>1129</v>
      </c>
      <c r="L740" s="463">
        <v>1</v>
      </c>
      <c r="M740" s="463">
        <v>3853.9457336946534</v>
      </c>
      <c r="N740" s="464">
        <v>3853.9457336946498</v>
      </c>
      <c r="O740" s="465" t="s">
        <v>2735</v>
      </c>
      <c r="P740" s="431" t="s">
        <v>6711</v>
      </c>
    </row>
    <row r="741" spans="1:16" ht="13.9" hidden="1" customHeight="1" outlineLevel="2" x14ac:dyDescent="0.2">
      <c r="A741" s="233">
        <v>0</v>
      </c>
      <c r="B741" s="233">
        <v>6</v>
      </c>
      <c r="C741" s="233">
        <v>9</v>
      </c>
      <c r="D741" s="234">
        <v>6</v>
      </c>
      <c r="E741" s="234">
        <v>0</v>
      </c>
      <c r="G741" s="450"/>
      <c r="H741" s="451" t="s">
        <v>1237</v>
      </c>
      <c r="I741" s="452" t="s">
        <v>4038</v>
      </c>
      <c r="J741" s="453" t="s">
        <v>1252</v>
      </c>
      <c r="K741" s="454"/>
      <c r="L741" s="455"/>
      <c r="M741" s="455"/>
      <c r="N741" s="456">
        <v>26260.28</v>
      </c>
      <c r="O741" s="457"/>
      <c r="P741" s="430"/>
    </row>
    <row r="742" spans="1:16" ht="13.9" hidden="1" customHeight="1" outlineLevel="3" x14ac:dyDescent="0.2">
      <c r="A742" s="233">
        <v>0</v>
      </c>
      <c r="B742" s="233">
        <v>6</v>
      </c>
      <c r="C742" s="233">
        <v>9</v>
      </c>
      <c r="D742" s="234">
        <v>6</v>
      </c>
      <c r="E742" s="234">
        <v>1</v>
      </c>
      <c r="G742" s="500" t="s">
        <v>16</v>
      </c>
      <c r="H742" s="459" t="s">
        <v>1238</v>
      </c>
      <c r="I742" s="460" t="s">
        <v>4039</v>
      </c>
      <c r="J742" s="461" t="s">
        <v>1253</v>
      </c>
      <c r="K742" s="462" t="s">
        <v>1129</v>
      </c>
      <c r="L742" s="463">
        <v>1</v>
      </c>
      <c r="M742" s="463">
        <v>26260.280000000002</v>
      </c>
      <c r="N742" s="464">
        <v>26260.28</v>
      </c>
      <c r="O742" s="465" t="s">
        <v>2719</v>
      </c>
      <c r="P742" s="431" t="s">
        <v>6711</v>
      </c>
    </row>
    <row r="743" spans="1:16" ht="13.9" hidden="1" customHeight="1" outlineLevel="1" x14ac:dyDescent="0.2">
      <c r="A743" s="233">
        <v>0</v>
      </c>
      <c r="B743" s="233">
        <v>6</v>
      </c>
      <c r="C743" s="233">
        <v>10</v>
      </c>
      <c r="D743" s="234">
        <v>0</v>
      </c>
      <c r="E743" s="234">
        <v>1</v>
      </c>
      <c r="G743" s="443"/>
      <c r="H743" s="444" t="s">
        <v>38</v>
      </c>
      <c r="I743" s="445" t="s">
        <v>4040</v>
      </c>
      <c r="J743" s="446" t="s">
        <v>2730</v>
      </c>
      <c r="K743" s="447"/>
      <c r="L743" s="448"/>
      <c r="M743" s="448"/>
      <c r="N743" s="449">
        <v>337780.159537645</v>
      </c>
      <c r="O743" s="432"/>
      <c r="P743" s="435"/>
    </row>
    <row r="744" spans="1:16" ht="13.9" hidden="1" customHeight="1" outlineLevel="2" x14ac:dyDescent="0.2">
      <c r="A744" s="233">
        <v>0</v>
      </c>
      <c r="B744" s="233">
        <v>6</v>
      </c>
      <c r="C744" s="233">
        <v>10</v>
      </c>
      <c r="D744" s="234">
        <v>1</v>
      </c>
      <c r="E744" s="234">
        <v>0</v>
      </c>
      <c r="G744" s="450"/>
      <c r="H744" s="451" t="s">
        <v>1237</v>
      </c>
      <c r="I744" s="452" t="s">
        <v>4041</v>
      </c>
      <c r="J744" s="453" t="s">
        <v>2322</v>
      </c>
      <c r="K744" s="454"/>
      <c r="L744" s="455"/>
      <c r="M744" s="455"/>
      <c r="N744" s="456">
        <v>19590.34</v>
      </c>
      <c r="O744" s="457"/>
      <c r="P744" s="430"/>
    </row>
    <row r="745" spans="1:16" ht="13.9" hidden="1" customHeight="1" outlineLevel="3" x14ac:dyDescent="0.2">
      <c r="A745" s="233">
        <v>0</v>
      </c>
      <c r="B745" s="233">
        <v>6</v>
      </c>
      <c r="C745" s="233">
        <v>10</v>
      </c>
      <c r="D745" s="234">
        <v>1</v>
      </c>
      <c r="E745" s="234">
        <v>1</v>
      </c>
      <c r="G745" s="500" t="s">
        <v>16</v>
      </c>
      <c r="H745" s="459" t="s">
        <v>1238</v>
      </c>
      <c r="I745" s="460" t="s">
        <v>4042</v>
      </c>
      <c r="J745" s="461" t="s">
        <v>2322</v>
      </c>
      <c r="K745" s="462" t="s">
        <v>1129</v>
      </c>
      <c r="L745" s="463">
        <v>1</v>
      </c>
      <c r="M745" s="463">
        <v>19590.34</v>
      </c>
      <c r="N745" s="464">
        <v>19590.34</v>
      </c>
      <c r="O745" s="465" t="s">
        <v>2736</v>
      </c>
      <c r="P745" s="431" t="s">
        <v>6711</v>
      </c>
    </row>
    <row r="746" spans="1:16" ht="13.9" hidden="1" customHeight="1" outlineLevel="2" x14ac:dyDescent="0.2">
      <c r="A746" s="233">
        <v>0</v>
      </c>
      <c r="B746" s="233">
        <v>6</v>
      </c>
      <c r="C746" s="233">
        <v>10</v>
      </c>
      <c r="D746" s="234">
        <v>2</v>
      </c>
      <c r="E746" s="234">
        <v>0</v>
      </c>
      <c r="G746" s="450"/>
      <c r="H746" s="451" t="s">
        <v>1237</v>
      </c>
      <c r="I746" s="452" t="s">
        <v>4043</v>
      </c>
      <c r="J746" s="453" t="s">
        <v>2324</v>
      </c>
      <c r="K746" s="454"/>
      <c r="L746" s="455"/>
      <c r="M746" s="455"/>
      <c r="N746" s="456">
        <v>18686.150000000001</v>
      </c>
      <c r="O746" s="457"/>
      <c r="P746" s="430"/>
    </row>
    <row r="747" spans="1:16" ht="13.9" hidden="1" customHeight="1" outlineLevel="3" x14ac:dyDescent="0.2">
      <c r="A747" s="233">
        <v>0</v>
      </c>
      <c r="B747" s="233">
        <v>6</v>
      </c>
      <c r="C747" s="233">
        <v>10</v>
      </c>
      <c r="D747" s="234">
        <v>2</v>
      </c>
      <c r="E747" s="234">
        <v>1</v>
      </c>
      <c r="G747" s="500" t="s">
        <v>16</v>
      </c>
      <c r="H747" s="459" t="s">
        <v>1238</v>
      </c>
      <c r="I747" s="460" t="s">
        <v>4044</v>
      </c>
      <c r="J747" s="461" t="s">
        <v>2324</v>
      </c>
      <c r="K747" s="462" t="s">
        <v>1129</v>
      </c>
      <c r="L747" s="463">
        <v>1</v>
      </c>
      <c r="M747" s="463">
        <v>18686.150000000001</v>
      </c>
      <c r="N747" s="464">
        <v>18686.150000000001</v>
      </c>
      <c r="O747" s="465" t="s">
        <v>2736</v>
      </c>
      <c r="P747" s="431" t="s">
        <v>6711</v>
      </c>
    </row>
    <row r="748" spans="1:16" ht="13.9" hidden="1" customHeight="1" outlineLevel="2" x14ac:dyDescent="0.2">
      <c r="A748" s="233">
        <v>0</v>
      </c>
      <c r="B748" s="233">
        <v>6</v>
      </c>
      <c r="C748" s="233">
        <v>10</v>
      </c>
      <c r="D748" s="234">
        <v>3</v>
      </c>
      <c r="E748" s="234">
        <v>0</v>
      </c>
      <c r="G748" s="450"/>
      <c r="H748" s="451" t="s">
        <v>1237</v>
      </c>
      <c r="I748" s="452" t="s">
        <v>4045</v>
      </c>
      <c r="J748" s="453" t="s">
        <v>2325</v>
      </c>
      <c r="K748" s="454"/>
      <c r="L748" s="455"/>
      <c r="M748" s="455"/>
      <c r="N748" s="456">
        <v>54396.061999999998</v>
      </c>
      <c r="O748" s="457"/>
      <c r="P748" s="430"/>
    </row>
    <row r="749" spans="1:16" ht="13.9" hidden="1" customHeight="1" outlineLevel="3" x14ac:dyDescent="0.2">
      <c r="A749" s="233">
        <v>0</v>
      </c>
      <c r="B749" s="233">
        <v>6</v>
      </c>
      <c r="C749" s="233">
        <v>10</v>
      </c>
      <c r="D749" s="234">
        <v>3</v>
      </c>
      <c r="E749" s="234">
        <v>1</v>
      </c>
      <c r="G749" s="500" t="s">
        <v>16</v>
      </c>
      <c r="H749" s="459" t="s">
        <v>1238</v>
      </c>
      <c r="I749" s="460" t="s">
        <v>4046</v>
      </c>
      <c r="J749" s="461" t="s">
        <v>2325</v>
      </c>
      <c r="K749" s="462" t="s">
        <v>1129</v>
      </c>
      <c r="L749" s="463">
        <v>1</v>
      </c>
      <c r="M749" s="463">
        <v>54396.061999999998</v>
      </c>
      <c r="N749" s="464">
        <v>54396.061999999998</v>
      </c>
      <c r="O749" s="465" t="s">
        <v>2736</v>
      </c>
      <c r="P749" s="431" t="s">
        <v>6711</v>
      </c>
    </row>
    <row r="750" spans="1:16" ht="13.9" hidden="1" customHeight="1" outlineLevel="2" x14ac:dyDescent="0.2">
      <c r="A750" s="233">
        <v>0</v>
      </c>
      <c r="B750" s="233">
        <v>6</v>
      </c>
      <c r="C750" s="233">
        <v>10</v>
      </c>
      <c r="D750" s="234">
        <v>4</v>
      </c>
      <c r="E750" s="234">
        <v>0</v>
      </c>
      <c r="G750" s="450"/>
      <c r="H750" s="451" t="s">
        <v>1237</v>
      </c>
      <c r="I750" s="452" t="s">
        <v>4047</v>
      </c>
      <c r="J750" s="453" t="s">
        <v>2326</v>
      </c>
      <c r="K750" s="454"/>
      <c r="L750" s="455"/>
      <c r="M750" s="455"/>
      <c r="N750" s="456">
        <v>33560.800000000003</v>
      </c>
      <c r="O750" s="457"/>
      <c r="P750" s="430"/>
    </row>
    <row r="751" spans="1:16" ht="13.9" hidden="1" customHeight="1" outlineLevel="3" x14ac:dyDescent="0.2">
      <c r="A751" s="233">
        <v>0</v>
      </c>
      <c r="B751" s="233">
        <v>6</v>
      </c>
      <c r="C751" s="233">
        <v>10</v>
      </c>
      <c r="D751" s="234">
        <v>4</v>
      </c>
      <c r="E751" s="234">
        <v>1</v>
      </c>
      <c r="G751" s="500" t="s">
        <v>16</v>
      </c>
      <c r="H751" s="459" t="s">
        <v>1238</v>
      </c>
      <c r="I751" s="460" t="s">
        <v>4048</v>
      </c>
      <c r="J751" s="461" t="s">
        <v>2326</v>
      </c>
      <c r="K751" s="462" t="s">
        <v>1129</v>
      </c>
      <c r="L751" s="463">
        <v>1</v>
      </c>
      <c r="M751" s="463">
        <v>33560.800000000003</v>
      </c>
      <c r="N751" s="464">
        <v>33560.800000000003</v>
      </c>
      <c r="O751" s="465" t="s">
        <v>2736</v>
      </c>
      <c r="P751" s="431" t="s">
        <v>6711</v>
      </c>
    </row>
    <row r="752" spans="1:16" ht="13.9" hidden="1" customHeight="1" outlineLevel="2" x14ac:dyDescent="0.2">
      <c r="A752" s="233">
        <v>0</v>
      </c>
      <c r="B752" s="233">
        <v>6</v>
      </c>
      <c r="C752" s="233">
        <v>10</v>
      </c>
      <c r="D752" s="234">
        <v>5</v>
      </c>
      <c r="E752" s="234">
        <v>0</v>
      </c>
      <c r="G752" s="450"/>
      <c r="H752" s="451" t="s">
        <v>1237</v>
      </c>
      <c r="I752" s="452" t="s">
        <v>4049</v>
      </c>
      <c r="J752" s="453" t="s">
        <v>2327</v>
      </c>
      <c r="K752" s="454"/>
      <c r="L752" s="455"/>
      <c r="M752" s="455"/>
      <c r="N752" s="456">
        <v>27073.207537644699</v>
      </c>
      <c r="O752" s="457"/>
      <c r="P752" s="430"/>
    </row>
    <row r="753" spans="1:16" ht="13.9" hidden="1" customHeight="1" outlineLevel="3" x14ac:dyDescent="0.2">
      <c r="A753" s="233">
        <v>0</v>
      </c>
      <c r="B753" s="233">
        <v>6</v>
      </c>
      <c r="C753" s="233">
        <v>10</v>
      </c>
      <c r="D753" s="234">
        <v>5</v>
      </c>
      <c r="E753" s="234">
        <v>1</v>
      </c>
      <c r="G753" s="500" t="s">
        <v>16</v>
      </c>
      <c r="H753" s="459" t="s">
        <v>1238</v>
      </c>
      <c r="I753" s="460" t="s">
        <v>4050</v>
      </c>
      <c r="J753" s="461" t="s">
        <v>2327</v>
      </c>
      <c r="K753" s="462" t="s">
        <v>1129</v>
      </c>
      <c r="L753" s="463">
        <v>1</v>
      </c>
      <c r="M753" s="463">
        <v>27073.207537644663</v>
      </c>
      <c r="N753" s="464">
        <v>27073.207537644699</v>
      </c>
      <c r="O753" s="465" t="s">
        <v>2735</v>
      </c>
      <c r="P753" s="431" t="s">
        <v>6711</v>
      </c>
    </row>
    <row r="754" spans="1:16" ht="13.9" hidden="1" customHeight="1" outlineLevel="2" x14ac:dyDescent="0.2">
      <c r="A754" s="233">
        <v>0</v>
      </c>
      <c r="B754" s="233">
        <v>6</v>
      </c>
      <c r="C754" s="233">
        <v>10</v>
      </c>
      <c r="D754" s="234">
        <v>6</v>
      </c>
      <c r="E754" s="234">
        <v>0</v>
      </c>
      <c r="G754" s="450"/>
      <c r="H754" s="451" t="s">
        <v>1237</v>
      </c>
      <c r="I754" s="452" t="s">
        <v>4051</v>
      </c>
      <c r="J754" s="453" t="s">
        <v>1252</v>
      </c>
      <c r="K754" s="454"/>
      <c r="L754" s="455"/>
      <c r="M754" s="455"/>
      <c r="N754" s="456">
        <v>184473.60000000001</v>
      </c>
      <c r="O754" s="457"/>
      <c r="P754" s="430"/>
    </row>
    <row r="755" spans="1:16" ht="13.9" hidden="1" customHeight="1" outlineLevel="3" x14ac:dyDescent="0.2">
      <c r="A755" s="233">
        <v>0</v>
      </c>
      <c r="B755" s="233">
        <v>6</v>
      </c>
      <c r="C755" s="233">
        <v>10</v>
      </c>
      <c r="D755" s="234">
        <v>6</v>
      </c>
      <c r="E755" s="234">
        <v>1</v>
      </c>
      <c r="G755" s="500" t="s">
        <v>16</v>
      </c>
      <c r="H755" s="459" t="s">
        <v>1238</v>
      </c>
      <c r="I755" s="460" t="s">
        <v>4052</v>
      </c>
      <c r="J755" s="461" t="s">
        <v>1253</v>
      </c>
      <c r="K755" s="462" t="s">
        <v>1129</v>
      </c>
      <c r="L755" s="463">
        <v>1</v>
      </c>
      <c r="M755" s="463">
        <v>184473.60000000006</v>
      </c>
      <c r="N755" s="464">
        <v>184473.60000000001</v>
      </c>
      <c r="O755" s="465" t="s">
        <v>2719</v>
      </c>
      <c r="P755" s="431" t="s">
        <v>6711</v>
      </c>
    </row>
    <row r="756" spans="1:16" ht="13.9" hidden="1" customHeight="1" outlineLevel="1" x14ac:dyDescent="0.2">
      <c r="A756" s="233">
        <v>0</v>
      </c>
      <c r="B756" s="233">
        <v>6</v>
      </c>
      <c r="C756" s="233">
        <v>11</v>
      </c>
      <c r="D756" s="234">
        <v>0</v>
      </c>
      <c r="E756" s="234">
        <v>1</v>
      </c>
      <c r="G756" s="443"/>
      <c r="H756" s="444" t="s">
        <v>38</v>
      </c>
      <c r="I756" s="445" t="s">
        <v>4053</v>
      </c>
      <c r="J756" s="446" t="s">
        <v>2731</v>
      </c>
      <c r="K756" s="447"/>
      <c r="L756" s="448"/>
      <c r="M756" s="448"/>
      <c r="N756" s="449">
        <v>857673.05429390003</v>
      </c>
      <c r="O756" s="432"/>
      <c r="P756" s="435"/>
    </row>
    <row r="757" spans="1:16" ht="13.9" hidden="1" customHeight="1" outlineLevel="2" x14ac:dyDescent="0.2">
      <c r="A757" s="233">
        <v>0</v>
      </c>
      <c r="B757" s="233">
        <v>6</v>
      </c>
      <c r="C757" s="233">
        <v>11</v>
      </c>
      <c r="D757" s="234">
        <v>1</v>
      </c>
      <c r="E757" s="234">
        <v>0</v>
      </c>
      <c r="G757" s="450"/>
      <c r="H757" s="451" t="s">
        <v>1237</v>
      </c>
      <c r="I757" s="452" t="s">
        <v>4054</v>
      </c>
      <c r="J757" s="453" t="s">
        <v>2322</v>
      </c>
      <c r="K757" s="454"/>
      <c r="L757" s="455"/>
      <c r="M757" s="455"/>
      <c r="N757" s="456">
        <v>40511.230000000003</v>
      </c>
      <c r="O757" s="457"/>
      <c r="P757" s="430"/>
    </row>
    <row r="758" spans="1:16" ht="13.9" hidden="1" customHeight="1" outlineLevel="3" x14ac:dyDescent="0.2">
      <c r="A758" s="233">
        <v>0</v>
      </c>
      <c r="B758" s="233">
        <v>6</v>
      </c>
      <c r="C758" s="233">
        <v>11</v>
      </c>
      <c r="D758" s="234">
        <v>1</v>
      </c>
      <c r="E758" s="234">
        <v>1</v>
      </c>
      <c r="G758" s="500" t="s">
        <v>16</v>
      </c>
      <c r="H758" s="459" t="s">
        <v>1238</v>
      </c>
      <c r="I758" s="460" t="s">
        <v>4055</v>
      </c>
      <c r="J758" s="461" t="s">
        <v>2322</v>
      </c>
      <c r="K758" s="462" t="s">
        <v>1129</v>
      </c>
      <c r="L758" s="463">
        <v>1</v>
      </c>
      <c r="M758" s="463">
        <v>40511.229999999996</v>
      </c>
      <c r="N758" s="464">
        <v>40511.230000000003</v>
      </c>
      <c r="O758" s="465" t="s">
        <v>2736</v>
      </c>
      <c r="P758" s="431" t="s">
        <v>6711</v>
      </c>
    </row>
    <row r="759" spans="1:16" ht="13.9" hidden="1" customHeight="1" outlineLevel="2" x14ac:dyDescent="0.2">
      <c r="A759" s="233">
        <v>0</v>
      </c>
      <c r="B759" s="233">
        <v>6</v>
      </c>
      <c r="C759" s="233">
        <v>11</v>
      </c>
      <c r="D759" s="234">
        <v>2</v>
      </c>
      <c r="E759" s="234">
        <v>0</v>
      </c>
      <c r="G759" s="450"/>
      <c r="H759" s="451" t="s">
        <v>1237</v>
      </c>
      <c r="I759" s="452" t="s">
        <v>4056</v>
      </c>
      <c r="J759" s="453" t="s">
        <v>2324</v>
      </c>
      <c r="K759" s="454"/>
      <c r="L759" s="455"/>
      <c r="M759" s="455"/>
      <c r="N759" s="456">
        <v>44290.7</v>
      </c>
      <c r="O759" s="457"/>
      <c r="P759" s="430"/>
    </row>
    <row r="760" spans="1:16" ht="13.9" hidden="1" customHeight="1" outlineLevel="3" x14ac:dyDescent="0.2">
      <c r="A760" s="233">
        <v>0</v>
      </c>
      <c r="B760" s="233">
        <v>6</v>
      </c>
      <c r="C760" s="233">
        <v>11</v>
      </c>
      <c r="D760" s="234">
        <v>2</v>
      </c>
      <c r="E760" s="234">
        <v>1</v>
      </c>
      <c r="G760" s="500" t="s">
        <v>16</v>
      </c>
      <c r="H760" s="459" t="s">
        <v>1238</v>
      </c>
      <c r="I760" s="460" t="s">
        <v>4057</v>
      </c>
      <c r="J760" s="461" t="s">
        <v>2324</v>
      </c>
      <c r="K760" s="462" t="s">
        <v>1129</v>
      </c>
      <c r="L760" s="463">
        <v>1</v>
      </c>
      <c r="M760" s="463">
        <v>44290.7</v>
      </c>
      <c r="N760" s="464">
        <v>44290.7</v>
      </c>
      <c r="O760" s="465" t="s">
        <v>2736</v>
      </c>
      <c r="P760" s="431" t="s">
        <v>6711</v>
      </c>
    </row>
    <row r="761" spans="1:16" ht="13.9" hidden="1" customHeight="1" outlineLevel="2" x14ac:dyDescent="0.2">
      <c r="A761" s="233">
        <v>0</v>
      </c>
      <c r="B761" s="233">
        <v>6</v>
      </c>
      <c r="C761" s="233">
        <v>11</v>
      </c>
      <c r="D761" s="234">
        <v>3</v>
      </c>
      <c r="E761" s="234">
        <v>0</v>
      </c>
      <c r="G761" s="450"/>
      <c r="H761" s="451" t="s">
        <v>1237</v>
      </c>
      <c r="I761" s="452" t="s">
        <v>4058</v>
      </c>
      <c r="J761" s="453" t="s">
        <v>2325</v>
      </c>
      <c r="K761" s="454"/>
      <c r="L761" s="455"/>
      <c r="M761" s="455"/>
      <c r="N761" s="456">
        <v>121966.558</v>
      </c>
      <c r="O761" s="457"/>
      <c r="P761" s="430"/>
    </row>
    <row r="762" spans="1:16" ht="13.9" hidden="1" customHeight="1" outlineLevel="3" x14ac:dyDescent="0.2">
      <c r="A762" s="233">
        <v>0</v>
      </c>
      <c r="B762" s="233">
        <v>6</v>
      </c>
      <c r="C762" s="233">
        <v>11</v>
      </c>
      <c r="D762" s="234">
        <v>3</v>
      </c>
      <c r="E762" s="234">
        <v>1</v>
      </c>
      <c r="G762" s="500" t="s">
        <v>16</v>
      </c>
      <c r="H762" s="459" t="s">
        <v>1238</v>
      </c>
      <c r="I762" s="460" t="s">
        <v>4059</v>
      </c>
      <c r="J762" s="461" t="s">
        <v>2325</v>
      </c>
      <c r="K762" s="462" t="s">
        <v>1129</v>
      </c>
      <c r="L762" s="463">
        <v>1</v>
      </c>
      <c r="M762" s="463">
        <v>121966.55800000002</v>
      </c>
      <c r="N762" s="464">
        <v>121966.558</v>
      </c>
      <c r="O762" s="465" t="s">
        <v>2736</v>
      </c>
      <c r="P762" s="431" t="s">
        <v>6711</v>
      </c>
    </row>
    <row r="763" spans="1:16" ht="13.9" hidden="1" customHeight="1" outlineLevel="2" x14ac:dyDescent="0.2">
      <c r="A763" s="233">
        <v>0</v>
      </c>
      <c r="B763" s="233">
        <v>6</v>
      </c>
      <c r="C763" s="233">
        <v>11</v>
      </c>
      <c r="D763" s="234">
        <v>4</v>
      </c>
      <c r="E763" s="234">
        <v>0</v>
      </c>
      <c r="G763" s="450"/>
      <c r="H763" s="451" t="s">
        <v>1237</v>
      </c>
      <c r="I763" s="452" t="s">
        <v>4060</v>
      </c>
      <c r="J763" s="453" t="s">
        <v>2326</v>
      </c>
      <c r="K763" s="454"/>
      <c r="L763" s="455"/>
      <c r="M763" s="455"/>
      <c r="N763" s="456">
        <v>72230.44</v>
      </c>
      <c r="O763" s="457"/>
      <c r="P763" s="430"/>
    </row>
    <row r="764" spans="1:16" ht="13.9" hidden="1" customHeight="1" outlineLevel="3" x14ac:dyDescent="0.2">
      <c r="A764" s="233">
        <v>0</v>
      </c>
      <c r="B764" s="233">
        <v>6</v>
      </c>
      <c r="C764" s="233">
        <v>11</v>
      </c>
      <c r="D764" s="234">
        <v>4</v>
      </c>
      <c r="E764" s="234">
        <v>1</v>
      </c>
      <c r="G764" s="500" t="s">
        <v>16</v>
      </c>
      <c r="H764" s="459" t="s">
        <v>1238</v>
      </c>
      <c r="I764" s="460" t="s">
        <v>4061</v>
      </c>
      <c r="J764" s="461" t="s">
        <v>2326</v>
      </c>
      <c r="K764" s="462" t="s">
        <v>1129</v>
      </c>
      <c r="L764" s="463">
        <v>1</v>
      </c>
      <c r="M764" s="463">
        <v>72230.44</v>
      </c>
      <c r="N764" s="464">
        <v>72230.44</v>
      </c>
      <c r="O764" s="465" t="s">
        <v>2736</v>
      </c>
      <c r="P764" s="431" t="s">
        <v>6711</v>
      </c>
    </row>
    <row r="765" spans="1:16" ht="13.9" hidden="1" customHeight="1" outlineLevel="2" x14ac:dyDescent="0.2">
      <c r="A765" s="233">
        <v>0</v>
      </c>
      <c r="B765" s="233">
        <v>6</v>
      </c>
      <c r="C765" s="233">
        <v>11</v>
      </c>
      <c r="D765" s="234">
        <v>5</v>
      </c>
      <c r="E765" s="234">
        <v>0</v>
      </c>
      <c r="G765" s="450"/>
      <c r="H765" s="451" t="s">
        <v>1237</v>
      </c>
      <c r="I765" s="452" t="s">
        <v>4062</v>
      </c>
      <c r="J765" s="453" t="s">
        <v>2327</v>
      </c>
      <c r="K765" s="454"/>
      <c r="L765" s="455"/>
      <c r="M765" s="455"/>
      <c r="N765" s="456">
        <v>71104.646293900398</v>
      </c>
      <c r="O765" s="457"/>
      <c r="P765" s="430"/>
    </row>
    <row r="766" spans="1:16" ht="13.9" hidden="1" customHeight="1" outlineLevel="3" x14ac:dyDescent="0.2">
      <c r="A766" s="233">
        <v>0</v>
      </c>
      <c r="B766" s="233">
        <v>6</v>
      </c>
      <c r="C766" s="233">
        <v>11</v>
      </c>
      <c r="D766" s="234">
        <v>5</v>
      </c>
      <c r="E766" s="234">
        <v>1</v>
      </c>
      <c r="G766" s="500" t="s">
        <v>16</v>
      </c>
      <c r="H766" s="459" t="s">
        <v>1238</v>
      </c>
      <c r="I766" s="460" t="s">
        <v>4063</v>
      </c>
      <c r="J766" s="461" t="s">
        <v>2327</v>
      </c>
      <c r="K766" s="462" t="s">
        <v>1129</v>
      </c>
      <c r="L766" s="463">
        <v>1</v>
      </c>
      <c r="M766" s="463">
        <v>71104.646293900412</v>
      </c>
      <c r="N766" s="464">
        <v>71104.646293900398</v>
      </c>
      <c r="O766" s="465" t="s">
        <v>2735</v>
      </c>
      <c r="P766" s="431" t="s">
        <v>6711</v>
      </c>
    </row>
    <row r="767" spans="1:16" ht="13.9" hidden="1" customHeight="1" outlineLevel="2" x14ac:dyDescent="0.2">
      <c r="A767" s="233">
        <v>0</v>
      </c>
      <c r="B767" s="233">
        <v>6</v>
      </c>
      <c r="C767" s="233">
        <v>11</v>
      </c>
      <c r="D767" s="234">
        <v>6</v>
      </c>
      <c r="E767" s="234">
        <v>0</v>
      </c>
      <c r="G767" s="450"/>
      <c r="H767" s="451" t="s">
        <v>1237</v>
      </c>
      <c r="I767" s="452" t="s">
        <v>4064</v>
      </c>
      <c r="J767" s="453" t="s">
        <v>1252</v>
      </c>
      <c r="K767" s="454"/>
      <c r="L767" s="455"/>
      <c r="M767" s="455"/>
      <c r="N767" s="456">
        <v>507569.48</v>
      </c>
      <c r="O767" s="457"/>
      <c r="P767" s="430"/>
    </row>
    <row r="768" spans="1:16" ht="13.9" hidden="1" customHeight="1" outlineLevel="3" x14ac:dyDescent="0.2">
      <c r="A768" s="233">
        <v>0</v>
      </c>
      <c r="B768" s="233">
        <v>6</v>
      </c>
      <c r="C768" s="233">
        <v>11</v>
      </c>
      <c r="D768" s="234">
        <v>6</v>
      </c>
      <c r="E768" s="234">
        <v>1</v>
      </c>
      <c r="G768" s="500" t="s">
        <v>16</v>
      </c>
      <c r="H768" s="459" t="s">
        <v>1238</v>
      </c>
      <c r="I768" s="460" t="s">
        <v>4065</v>
      </c>
      <c r="J768" s="461" t="s">
        <v>1253</v>
      </c>
      <c r="K768" s="462" t="s">
        <v>1129</v>
      </c>
      <c r="L768" s="463">
        <v>1</v>
      </c>
      <c r="M768" s="463">
        <v>507569.47999999963</v>
      </c>
      <c r="N768" s="464">
        <v>507569.48</v>
      </c>
      <c r="O768" s="465" t="s">
        <v>2719</v>
      </c>
      <c r="P768" s="431" t="s">
        <v>6711</v>
      </c>
    </row>
    <row r="769" spans="1:16" ht="13.9" hidden="1" customHeight="1" outlineLevel="1" x14ac:dyDescent="0.2">
      <c r="A769" s="233">
        <v>0</v>
      </c>
      <c r="B769" s="233">
        <v>6</v>
      </c>
      <c r="C769" s="233">
        <v>12</v>
      </c>
      <c r="D769" s="234">
        <v>0</v>
      </c>
      <c r="E769" s="234">
        <v>1</v>
      </c>
      <c r="G769" s="443"/>
      <c r="H769" s="444" t="s">
        <v>38</v>
      </c>
      <c r="I769" s="445" t="s">
        <v>4066</v>
      </c>
      <c r="J769" s="446" t="s">
        <v>2732</v>
      </c>
      <c r="K769" s="447"/>
      <c r="L769" s="448"/>
      <c r="M769" s="448"/>
      <c r="N769" s="449">
        <v>38786.3015378048</v>
      </c>
      <c r="O769" s="432"/>
      <c r="P769" s="435"/>
    </row>
    <row r="770" spans="1:16" ht="13.9" hidden="1" customHeight="1" outlineLevel="2" x14ac:dyDescent="0.2">
      <c r="A770" s="233">
        <v>0</v>
      </c>
      <c r="B770" s="233">
        <v>6</v>
      </c>
      <c r="C770" s="233">
        <v>12</v>
      </c>
      <c r="D770" s="234">
        <v>1</v>
      </c>
      <c r="E770" s="234">
        <v>0</v>
      </c>
      <c r="G770" s="450"/>
      <c r="H770" s="451" t="s">
        <v>1237</v>
      </c>
      <c r="I770" s="452" t="s">
        <v>4067</v>
      </c>
      <c r="J770" s="453" t="s">
        <v>2322</v>
      </c>
      <c r="K770" s="454"/>
      <c r="L770" s="455"/>
      <c r="M770" s="455"/>
      <c r="N770" s="456">
        <v>1688.57</v>
      </c>
      <c r="O770" s="457"/>
      <c r="P770" s="430"/>
    </row>
    <row r="771" spans="1:16" ht="13.9" hidden="1" customHeight="1" outlineLevel="3" x14ac:dyDescent="0.2">
      <c r="A771" s="233">
        <v>0</v>
      </c>
      <c r="B771" s="233">
        <v>6</v>
      </c>
      <c r="C771" s="233">
        <v>12</v>
      </c>
      <c r="D771" s="234">
        <v>1</v>
      </c>
      <c r="E771" s="234">
        <v>1</v>
      </c>
      <c r="G771" s="500" t="s">
        <v>16</v>
      </c>
      <c r="H771" s="459" t="s">
        <v>1238</v>
      </c>
      <c r="I771" s="460" t="s">
        <v>4068</v>
      </c>
      <c r="J771" s="461" t="s">
        <v>2322</v>
      </c>
      <c r="K771" s="462" t="s">
        <v>1129</v>
      </c>
      <c r="L771" s="463">
        <v>1</v>
      </c>
      <c r="M771" s="463">
        <v>1688.5700000000002</v>
      </c>
      <c r="N771" s="464">
        <v>1688.57</v>
      </c>
      <c r="O771" s="465" t="s">
        <v>2736</v>
      </c>
      <c r="P771" s="431" t="s">
        <v>6711</v>
      </c>
    </row>
    <row r="772" spans="1:16" ht="13.9" hidden="1" customHeight="1" outlineLevel="2" x14ac:dyDescent="0.2">
      <c r="A772" s="233">
        <v>0</v>
      </c>
      <c r="B772" s="233">
        <v>6</v>
      </c>
      <c r="C772" s="233">
        <v>12</v>
      </c>
      <c r="D772" s="234">
        <v>2</v>
      </c>
      <c r="E772" s="234">
        <v>0</v>
      </c>
      <c r="G772" s="450"/>
      <c r="H772" s="451" t="s">
        <v>1237</v>
      </c>
      <c r="I772" s="452" t="s">
        <v>4069</v>
      </c>
      <c r="J772" s="453" t="s">
        <v>2324</v>
      </c>
      <c r="K772" s="454"/>
      <c r="L772" s="455"/>
      <c r="M772" s="455"/>
      <c r="N772" s="456">
        <v>2018.1</v>
      </c>
      <c r="O772" s="457"/>
      <c r="P772" s="430"/>
    </row>
    <row r="773" spans="1:16" ht="13.9" hidden="1" customHeight="1" outlineLevel="3" x14ac:dyDescent="0.2">
      <c r="A773" s="233">
        <v>0</v>
      </c>
      <c r="B773" s="233">
        <v>6</v>
      </c>
      <c r="C773" s="233">
        <v>12</v>
      </c>
      <c r="D773" s="234">
        <v>2</v>
      </c>
      <c r="E773" s="234">
        <v>1</v>
      </c>
      <c r="G773" s="500" t="s">
        <v>16</v>
      </c>
      <c r="H773" s="459" t="s">
        <v>1238</v>
      </c>
      <c r="I773" s="460" t="s">
        <v>4070</v>
      </c>
      <c r="J773" s="461" t="s">
        <v>2324</v>
      </c>
      <c r="K773" s="462" t="s">
        <v>1129</v>
      </c>
      <c r="L773" s="463">
        <v>1</v>
      </c>
      <c r="M773" s="463">
        <v>2018.1000000000001</v>
      </c>
      <c r="N773" s="464">
        <v>2018.1</v>
      </c>
      <c r="O773" s="465" t="s">
        <v>2736</v>
      </c>
      <c r="P773" s="431" t="s">
        <v>6711</v>
      </c>
    </row>
    <row r="774" spans="1:16" ht="13.9" hidden="1" customHeight="1" outlineLevel="2" x14ac:dyDescent="0.2">
      <c r="A774" s="233">
        <v>0</v>
      </c>
      <c r="B774" s="233">
        <v>6</v>
      </c>
      <c r="C774" s="233">
        <v>12</v>
      </c>
      <c r="D774" s="234">
        <v>3</v>
      </c>
      <c r="E774" s="234">
        <v>0</v>
      </c>
      <c r="G774" s="450"/>
      <c r="H774" s="451" t="s">
        <v>1237</v>
      </c>
      <c r="I774" s="452" t="s">
        <v>4071</v>
      </c>
      <c r="J774" s="453" t="s">
        <v>2325</v>
      </c>
      <c r="K774" s="454"/>
      <c r="L774" s="455"/>
      <c r="M774" s="455"/>
      <c r="N774" s="456">
        <v>6066.4459999999999</v>
      </c>
      <c r="O774" s="457"/>
      <c r="P774" s="430"/>
    </row>
    <row r="775" spans="1:16" ht="13.9" hidden="1" customHeight="1" outlineLevel="3" x14ac:dyDescent="0.2">
      <c r="A775" s="233">
        <v>0</v>
      </c>
      <c r="B775" s="233">
        <v>6</v>
      </c>
      <c r="C775" s="233">
        <v>12</v>
      </c>
      <c r="D775" s="234">
        <v>3</v>
      </c>
      <c r="E775" s="234">
        <v>1</v>
      </c>
      <c r="G775" s="500" t="s">
        <v>16</v>
      </c>
      <c r="H775" s="459" t="s">
        <v>1238</v>
      </c>
      <c r="I775" s="460" t="s">
        <v>4072</v>
      </c>
      <c r="J775" s="461" t="s">
        <v>2325</v>
      </c>
      <c r="K775" s="462" t="s">
        <v>1129</v>
      </c>
      <c r="L775" s="463">
        <v>1</v>
      </c>
      <c r="M775" s="463">
        <v>6066.4460000000008</v>
      </c>
      <c r="N775" s="464">
        <v>6066.4459999999999</v>
      </c>
      <c r="O775" s="465" t="s">
        <v>2736</v>
      </c>
      <c r="P775" s="431" t="s">
        <v>6711</v>
      </c>
    </row>
    <row r="776" spans="1:16" ht="13.9" hidden="1" customHeight="1" outlineLevel="2" x14ac:dyDescent="0.2">
      <c r="A776" s="233">
        <v>0</v>
      </c>
      <c r="B776" s="233">
        <v>6</v>
      </c>
      <c r="C776" s="233">
        <v>12</v>
      </c>
      <c r="D776" s="234">
        <v>4</v>
      </c>
      <c r="E776" s="234">
        <v>0</v>
      </c>
      <c r="G776" s="450"/>
      <c r="H776" s="451" t="s">
        <v>1237</v>
      </c>
      <c r="I776" s="452" t="s">
        <v>4073</v>
      </c>
      <c r="J776" s="453" t="s">
        <v>2326</v>
      </c>
      <c r="K776" s="454"/>
      <c r="L776" s="455"/>
      <c r="M776" s="455"/>
      <c r="N776" s="456">
        <v>3362.31</v>
      </c>
      <c r="O776" s="457"/>
      <c r="P776" s="430"/>
    </row>
    <row r="777" spans="1:16" ht="13.9" hidden="1" customHeight="1" outlineLevel="3" x14ac:dyDescent="0.2">
      <c r="A777" s="233">
        <v>0</v>
      </c>
      <c r="B777" s="233">
        <v>6</v>
      </c>
      <c r="C777" s="233">
        <v>12</v>
      </c>
      <c r="D777" s="234">
        <v>4</v>
      </c>
      <c r="E777" s="234">
        <v>1</v>
      </c>
      <c r="G777" s="500" t="s">
        <v>16</v>
      </c>
      <c r="H777" s="459" t="s">
        <v>1238</v>
      </c>
      <c r="I777" s="460" t="s">
        <v>4074</v>
      </c>
      <c r="J777" s="461" t="s">
        <v>2326</v>
      </c>
      <c r="K777" s="462" t="s">
        <v>1129</v>
      </c>
      <c r="L777" s="463">
        <v>1</v>
      </c>
      <c r="M777" s="463">
        <v>3362.3100000000004</v>
      </c>
      <c r="N777" s="464">
        <v>3362.31</v>
      </c>
      <c r="O777" s="465" t="s">
        <v>2736</v>
      </c>
      <c r="P777" s="431" t="s">
        <v>6711</v>
      </c>
    </row>
    <row r="778" spans="1:16" ht="13.9" hidden="1" customHeight="1" outlineLevel="2" x14ac:dyDescent="0.2">
      <c r="A778" s="233">
        <v>0</v>
      </c>
      <c r="B778" s="233">
        <v>6</v>
      </c>
      <c r="C778" s="233">
        <v>12</v>
      </c>
      <c r="D778" s="234">
        <v>5</v>
      </c>
      <c r="E778" s="234">
        <v>0</v>
      </c>
      <c r="G778" s="450"/>
      <c r="H778" s="451" t="s">
        <v>1237</v>
      </c>
      <c r="I778" s="452" t="s">
        <v>4075</v>
      </c>
      <c r="J778" s="453" t="s">
        <v>2327</v>
      </c>
      <c r="K778" s="454"/>
      <c r="L778" s="455"/>
      <c r="M778" s="455"/>
      <c r="N778" s="456">
        <v>3385.9355378047799</v>
      </c>
      <c r="O778" s="457"/>
      <c r="P778" s="430"/>
    </row>
    <row r="779" spans="1:16" ht="13.9" hidden="1" customHeight="1" outlineLevel="3" x14ac:dyDescent="0.2">
      <c r="A779" s="233">
        <v>0</v>
      </c>
      <c r="B779" s="233">
        <v>6</v>
      </c>
      <c r="C779" s="233">
        <v>12</v>
      </c>
      <c r="D779" s="234">
        <v>5</v>
      </c>
      <c r="E779" s="234">
        <v>1</v>
      </c>
      <c r="G779" s="500" t="s">
        <v>16</v>
      </c>
      <c r="H779" s="459" t="s">
        <v>1238</v>
      </c>
      <c r="I779" s="460" t="s">
        <v>4076</v>
      </c>
      <c r="J779" s="461" t="s">
        <v>2327</v>
      </c>
      <c r="K779" s="462" t="s">
        <v>1129</v>
      </c>
      <c r="L779" s="463">
        <v>1</v>
      </c>
      <c r="M779" s="463">
        <v>3385.9355378047812</v>
      </c>
      <c r="N779" s="464">
        <v>3385.9355378047799</v>
      </c>
      <c r="O779" s="465" t="s">
        <v>2735</v>
      </c>
      <c r="P779" s="431" t="s">
        <v>6711</v>
      </c>
    </row>
    <row r="780" spans="1:16" ht="13.9" hidden="1" customHeight="1" outlineLevel="2" x14ac:dyDescent="0.2">
      <c r="A780" s="233">
        <v>0</v>
      </c>
      <c r="B780" s="233">
        <v>6</v>
      </c>
      <c r="C780" s="233">
        <v>12</v>
      </c>
      <c r="D780" s="234">
        <v>6</v>
      </c>
      <c r="E780" s="234">
        <v>0</v>
      </c>
      <c r="G780" s="450"/>
      <c r="H780" s="451" t="s">
        <v>1237</v>
      </c>
      <c r="I780" s="452" t="s">
        <v>4077</v>
      </c>
      <c r="J780" s="453" t="s">
        <v>1252</v>
      </c>
      <c r="K780" s="454"/>
      <c r="L780" s="455"/>
      <c r="M780" s="455"/>
      <c r="N780" s="456">
        <v>22264.94</v>
      </c>
      <c r="O780" s="457"/>
      <c r="P780" s="430"/>
    </row>
    <row r="781" spans="1:16" ht="13.9" hidden="1" customHeight="1" outlineLevel="3" x14ac:dyDescent="0.2">
      <c r="A781" s="233">
        <v>0</v>
      </c>
      <c r="B781" s="233">
        <v>6</v>
      </c>
      <c r="C781" s="233">
        <v>12</v>
      </c>
      <c r="D781" s="234">
        <v>6</v>
      </c>
      <c r="E781" s="234">
        <v>1</v>
      </c>
      <c r="G781" s="500" t="s">
        <v>16</v>
      </c>
      <c r="H781" s="459" t="s">
        <v>1238</v>
      </c>
      <c r="I781" s="460" t="s">
        <v>4078</v>
      </c>
      <c r="J781" s="461" t="s">
        <v>1253</v>
      </c>
      <c r="K781" s="462" t="s">
        <v>1129</v>
      </c>
      <c r="L781" s="463">
        <v>1</v>
      </c>
      <c r="M781" s="463">
        <v>22264.94</v>
      </c>
      <c r="N781" s="464">
        <v>22264.94</v>
      </c>
      <c r="O781" s="465" t="s">
        <v>2719</v>
      </c>
      <c r="P781" s="431" t="s">
        <v>6711</v>
      </c>
    </row>
    <row r="782" spans="1:16" ht="13.9" hidden="1" customHeight="1" outlineLevel="1" x14ac:dyDescent="0.2">
      <c r="A782" s="233">
        <v>0</v>
      </c>
      <c r="B782" s="233">
        <v>6</v>
      </c>
      <c r="C782" s="233">
        <v>13</v>
      </c>
      <c r="D782" s="234">
        <v>0</v>
      </c>
      <c r="E782" s="234">
        <v>1</v>
      </c>
      <c r="G782" s="443"/>
      <c r="H782" s="444" t="s">
        <v>38</v>
      </c>
      <c r="I782" s="445" t="s">
        <v>4079</v>
      </c>
      <c r="J782" s="446" t="s">
        <v>2733</v>
      </c>
      <c r="K782" s="447"/>
      <c r="L782" s="448"/>
      <c r="M782" s="448"/>
      <c r="N782" s="449">
        <v>35206.863542132902</v>
      </c>
      <c r="O782" s="432"/>
      <c r="P782" s="435"/>
    </row>
    <row r="783" spans="1:16" ht="13.9" hidden="1" customHeight="1" outlineLevel="2" x14ac:dyDescent="0.2">
      <c r="A783" s="233">
        <v>0</v>
      </c>
      <c r="B783" s="233">
        <v>6</v>
      </c>
      <c r="C783" s="233">
        <v>13</v>
      </c>
      <c r="D783" s="234">
        <v>1</v>
      </c>
      <c r="E783" s="234">
        <v>0</v>
      </c>
      <c r="G783" s="450"/>
      <c r="H783" s="451" t="s">
        <v>1237</v>
      </c>
      <c r="I783" s="452" t="s">
        <v>4080</v>
      </c>
      <c r="J783" s="453" t="s">
        <v>2322</v>
      </c>
      <c r="K783" s="454"/>
      <c r="L783" s="455"/>
      <c r="M783" s="455"/>
      <c r="N783" s="456">
        <v>1914.35</v>
      </c>
      <c r="O783" s="457"/>
      <c r="P783" s="430"/>
    </row>
    <row r="784" spans="1:16" ht="13.9" hidden="1" customHeight="1" outlineLevel="3" x14ac:dyDescent="0.2">
      <c r="A784" s="233">
        <v>0</v>
      </c>
      <c r="B784" s="233">
        <v>6</v>
      </c>
      <c r="C784" s="233">
        <v>13</v>
      </c>
      <c r="D784" s="234">
        <v>1</v>
      </c>
      <c r="E784" s="234">
        <v>1</v>
      </c>
      <c r="G784" s="500" t="s">
        <v>16</v>
      </c>
      <c r="H784" s="459" t="s">
        <v>1238</v>
      </c>
      <c r="I784" s="460" t="s">
        <v>4081</v>
      </c>
      <c r="J784" s="461" t="s">
        <v>2322</v>
      </c>
      <c r="K784" s="462" t="s">
        <v>1129</v>
      </c>
      <c r="L784" s="463">
        <v>1</v>
      </c>
      <c r="M784" s="463">
        <v>1914.35</v>
      </c>
      <c r="N784" s="464">
        <v>1914.35</v>
      </c>
      <c r="O784" s="465" t="s">
        <v>2736</v>
      </c>
      <c r="P784" s="431" t="s">
        <v>6711</v>
      </c>
    </row>
    <row r="785" spans="1:16" ht="13.9" hidden="1" customHeight="1" outlineLevel="2" x14ac:dyDescent="0.2">
      <c r="A785" s="233">
        <v>0</v>
      </c>
      <c r="B785" s="233">
        <v>6</v>
      </c>
      <c r="C785" s="233">
        <v>13</v>
      </c>
      <c r="D785" s="234">
        <v>2</v>
      </c>
      <c r="E785" s="234">
        <v>0</v>
      </c>
      <c r="G785" s="450"/>
      <c r="H785" s="451" t="s">
        <v>1237</v>
      </c>
      <c r="I785" s="452" t="s">
        <v>4082</v>
      </c>
      <c r="J785" s="453" t="s">
        <v>2324</v>
      </c>
      <c r="K785" s="454"/>
      <c r="L785" s="455"/>
      <c r="M785" s="455"/>
      <c r="N785" s="456">
        <v>1498.65</v>
      </c>
      <c r="O785" s="457"/>
      <c r="P785" s="430"/>
    </row>
    <row r="786" spans="1:16" ht="13.9" hidden="1" customHeight="1" outlineLevel="3" x14ac:dyDescent="0.2">
      <c r="A786" s="233">
        <v>0</v>
      </c>
      <c r="B786" s="233">
        <v>6</v>
      </c>
      <c r="C786" s="233">
        <v>13</v>
      </c>
      <c r="D786" s="234">
        <v>2</v>
      </c>
      <c r="E786" s="234">
        <v>1</v>
      </c>
      <c r="G786" s="500" t="s">
        <v>16</v>
      </c>
      <c r="H786" s="459" t="s">
        <v>1238</v>
      </c>
      <c r="I786" s="460" t="s">
        <v>4083</v>
      </c>
      <c r="J786" s="461" t="s">
        <v>2324</v>
      </c>
      <c r="K786" s="462" t="s">
        <v>1129</v>
      </c>
      <c r="L786" s="463">
        <v>1</v>
      </c>
      <c r="M786" s="463">
        <v>1498.6499999999999</v>
      </c>
      <c r="N786" s="464">
        <v>1498.65</v>
      </c>
      <c r="O786" s="465" t="s">
        <v>2736</v>
      </c>
      <c r="P786" s="431" t="s">
        <v>6711</v>
      </c>
    </row>
    <row r="787" spans="1:16" ht="13.9" hidden="1" customHeight="1" outlineLevel="2" x14ac:dyDescent="0.2">
      <c r="A787" s="233">
        <v>0</v>
      </c>
      <c r="B787" s="233">
        <v>6</v>
      </c>
      <c r="C787" s="233">
        <v>13</v>
      </c>
      <c r="D787" s="234">
        <v>3</v>
      </c>
      <c r="E787" s="234">
        <v>0</v>
      </c>
      <c r="G787" s="450"/>
      <c r="H787" s="451" t="s">
        <v>1237</v>
      </c>
      <c r="I787" s="452" t="s">
        <v>4084</v>
      </c>
      <c r="J787" s="453" t="s">
        <v>2325</v>
      </c>
      <c r="K787" s="454"/>
      <c r="L787" s="455"/>
      <c r="M787" s="455"/>
      <c r="N787" s="456">
        <v>5058.5389999999998</v>
      </c>
      <c r="O787" s="457"/>
      <c r="P787" s="430"/>
    </row>
    <row r="788" spans="1:16" ht="13.9" hidden="1" customHeight="1" outlineLevel="3" x14ac:dyDescent="0.2">
      <c r="A788" s="233">
        <v>0</v>
      </c>
      <c r="B788" s="233">
        <v>6</v>
      </c>
      <c r="C788" s="233">
        <v>13</v>
      </c>
      <c r="D788" s="234">
        <v>3</v>
      </c>
      <c r="E788" s="234">
        <v>1</v>
      </c>
      <c r="G788" s="500" t="s">
        <v>16</v>
      </c>
      <c r="H788" s="459" t="s">
        <v>1238</v>
      </c>
      <c r="I788" s="460" t="s">
        <v>4085</v>
      </c>
      <c r="J788" s="461" t="s">
        <v>2325</v>
      </c>
      <c r="K788" s="462" t="s">
        <v>1129</v>
      </c>
      <c r="L788" s="463">
        <v>1</v>
      </c>
      <c r="M788" s="463">
        <v>5058.5390000000025</v>
      </c>
      <c r="N788" s="464">
        <v>5058.5389999999998</v>
      </c>
      <c r="O788" s="465" t="s">
        <v>2736</v>
      </c>
      <c r="P788" s="431" t="s">
        <v>6711</v>
      </c>
    </row>
    <row r="789" spans="1:16" ht="13.9" hidden="1" customHeight="1" outlineLevel="2" x14ac:dyDescent="0.2">
      <c r="A789" s="233">
        <v>0</v>
      </c>
      <c r="B789" s="233">
        <v>6</v>
      </c>
      <c r="C789" s="233">
        <v>13</v>
      </c>
      <c r="D789" s="234">
        <v>4</v>
      </c>
      <c r="E789" s="234">
        <v>0</v>
      </c>
      <c r="G789" s="450"/>
      <c r="H789" s="451" t="s">
        <v>1237</v>
      </c>
      <c r="I789" s="452" t="s">
        <v>4086</v>
      </c>
      <c r="J789" s="453" t="s">
        <v>2326</v>
      </c>
      <c r="K789" s="454"/>
      <c r="L789" s="455"/>
      <c r="M789" s="455"/>
      <c r="N789" s="456">
        <v>2278.9299999999998</v>
      </c>
      <c r="O789" s="457"/>
      <c r="P789" s="430"/>
    </row>
    <row r="790" spans="1:16" ht="13.9" hidden="1" customHeight="1" outlineLevel="3" x14ac:dyDescent="0.2">
      <c r="A790" s="233">
        <v>0</v>
      </c>
      <c r="B790" s="233">
        <v>6</v>
      </c>
      <c r="C790" s="233">
        <v>13</v>
      </c>
      <c r="D790" s="234">
        <v>4</v>
      </c>
      <c r="E790" s="234">
        <v>1</v>
      </c>
      <c r="G790" s="500" t="s">
        <v>16</v>
      </c>
      <c r="H790" s="459" t="s">
        <v>1238</v>
      </c>
      <c r="I790" s="460" t="s">
        <v>4087</v>
      </c>
      <c r="J790" s="461" t="s">
        <v>2326</v>
      </c>
      <c r="K790" s="462" t="s">
        <v>1129</v>
      </c>
      <c r="L790" s="463">
        <v>1</v>
      </c>
      <c r="M790" s="463">
        <v>2278.9300000000003</v>
      </c>
      <c r="N790" s="464">
        <v>2278.9299999999998</v>
      </c>
      <c r="O790" s="465" t="s">
        <v>2736</v>
      </c>
      <c r="P790" s="431" t="s">
        <v>6711</v>
      </c>
    </row>
    <row r="791" spans="1:16" ht="13.9" hidden="1" customHeight="1" outlineLevel="2" x14ac:dyDescent="0.2">
      <c r="A791" s="233">
        <v>0</v>
      </c>
      <c r="B791" s="233">
        <v>6</v>
      </c>
      <c r="C791" s="233">
        <v>13</v>
      </c>
      <c r="D791" s="234">
        <v>5</v>
      </c>
      <c r="E791" s="234">
        <v>0</v>
      </c>
      <c r="G791" s="450"/>
      <c r="H791" s="451" t="s">
        <v>1237</v>
      </c>
      <c r="I791" s="452" t="s">
        <v>4088</v>
      </c>
      <c r="J791" s="453" t="s">
        <v>2327</v>
      </c>
      <c r="K791" s="454"/>
      <c r="L791" s="455"/>
      <c r="M791" s="455"/>
      <c r="N791" s="456">
        <v>3267.5945421329102</v>
      </c>
      <c r="O791" s="457"/>
      <c r="P791" s="430"/>
    </row>
    <row r="792" spans="1:16" ht="13.9" hidden="1" customHeight="1" outlineLevel="3" x14ac:dyDescent="0.2">
      <c r="A792" s="233">
        <v>0</v>
      </c>
      <c r="B792" s="233">
        <v>6</v>
      </c>
      <c r="C792" s="233">
        <v>13</v>
      </c>
      <c r="D792" s="234">
        <v>5</v>
      </c>
      <c r="E792" s="234">
        <v>1</v>
      </c>
      <c r="G792" s="500" t="s">
        <v>16</v>
      </c>
      <c r="H792" s="459" t="s">
        <v>1238</v>
      </c>
      <c r="I792" s="460" t="s">
        <v>4089</v>
      </c>
      <c r="J792" s="461" t="s">
        <v>2327</v>
      </c>
      <c r="K792" s="462" t="s">
        <v>1129</v>
      </c>
      <c r="L792" s="463">
        <v>1</v>
      </c>
      <c r="M792" s="463">
        <v>3267.5945421329138</v>
      </c>
      <c r="N792" s="464">
        <v>3267.5945421329102</v>
      </c>
      <c r="O792" s="465" t="s">
        <v>2735</v>
      </c>
      <c r="P792" s="431" t="s">
        <v>6711</v>
      </c>
    </row>
    <row r="793" spans="1:16" ht="13.9" hidden="1" customHeight="1" outlineLevel="2" x14ac:dyDescent="0.2">
      <c r="A793" s="233">
        <v>0</v>
      </c>
      <c r="B793" s="233">
        <v>6</v>
      </c>
      <c r="C793" s="233">
        <v>13</v>
      </c>
      <c r="D793" s="234">
        <v>6</v>
      </c>
      <c r="E793" s="234">
        <v>0</v>
      </c>
      <c r="G793" s="450"/>
      <c r="H793" s="451" t="s">
        <v>1237</v>
      </c>
      <c r="I793" s="452" t="s">
        <v>4090</v>
      </c>
      <c r="J793" s="453" t="s">
        <v>1252</v>
      </c>
      <c r="K793" s="454"/>
      <c r="L793" s="455"/>
      <c r="M793" s="455"/>
      <c r="N793" s="456">
        <v>21188.799999999999</v>
      </c>
      <c r="O793" s="457"/>
      <c r="P793" s="430"/>
    </row>
    <row r="794" spans="1:16" ht="13.9" hidden="1" customHeight="1" outlineLevel="3" x14ac:dyDescent="0.2">
      <c r="A794" s="233">
        <v>0</v>
      </c>
      <c r="B794" s="233">
        <v>6</v>
      </c>
      <c r="C794" s="233">
        <v>13</v>
      </c>
      <c r="D794" s="234">
        <v>6</v>
      </c>
      <c r="E794" s="234">
        <v>1</v>
      </c>
      <c r="G794" s="500" t="s">
        <v>16</v>
      </c>
      <c r="H794" s="459" t="s">
        <v>1238</v>
      </c>
      <c r="I794" s="460" t="s">
        <v>4091</v>
      </c>
      <c r="J794" s="461" t="s">
        <v>1253</v>
      </c>
      <c r="K794" s="462" t="s">
        <v>1129</v>
      </c>
      <c r="L794" s="463">
        <v>1</v>
      </c>
      <c r="M794" s="463">
        <v>21188.799999999999</v>
      </c>
      <c r="N794" s="464">
        <v>21188.799999999999</v>
      </c>
      <c r="O794" s="465" t="s">
        <v>2719</v>
      </c>
      <c r="P794" s="431" t="s">
        <v>6711</v>
      </c>
    </row>
    <row r="795" spans="1:16" ht="13.9" hidden="1" customHeight="1" outlineLevel="1" x14ac:dyDescent="0.2">
      <c r="A795" s="233">
        <v>0</v>
      </c>
      <c r="B795" s="233">
        <v>6</v>
      </c>
      <c r="C795" s="233">
        <v>14</v>
      </c>
      <c r="D795" s="234">
        <v>0</v>
      </c>
      <c r="E795" s="234">
        <v>1</v>
      </c>
      <c r="G795" s="443"/>
      <c r="H795" s="444" t="s">
        <v>38</v>
      </c>
      <c r="I795" s="445" t="s">
        <v>4092</v>
      </c>
      <c r="J795" s="446" t="s">
        <v>2734</v>
      </c>
      <c r="K795" s="447"/>
      <c r="L795" s="448"/>
      <c r="M795" s="448"/>
      <c r="N795" s="449">
        <v>22823.011831603799</v>
      </c>
      <c r="O795" s="432"/>
      <c r="P795" s="435"/>
    </row>
    <row r="796" spans="1:16" ht="13.9" hidden="1" customHeight="1" outlineLevel="2" x14ac:dyDescent="0.2">
      <c r="A796" s="233">
        <v>0</v>
      </c>
      <c r="B796" s="233">
        <v>6</v>
      </c>
      <c r="C796" s="233">
        <v>14</v>
      </c>
      <c r="D796" s="234">
        <v>1</v>
      </c>
      <c r="E796" s="234">
        <v>0</v>
      </c>
      <c r="G796" s="450"/>
      <c r="H796" s="451" t="s">
        <v>1237</v>
      </c>
      <c r="I796" s="452" t="s">
        <v>4093</v>
      </c>
      <c r="J796" s="453" t="s">
        <v>2322</v>
      </c>
      <c r="K796" s="454"/>
      <c r="L796" s="455"/>
      <c r="M796" s="455"/>
      <c r="N796" s="456">
        <v>949.52</v>
      </c>
      <c r="O796" s="457"/>
      <c r="P796" s="430"/>
    </row>
    <row r="797" spans="1:16" ht="13.9" hidden="1" customHeight="1" outlineLevel="3" x14ac:dyDescent="0.2">
      <c r="A797" s="233">
        <v>0</v>
      </c>
      <c r="B797" s="233">
        <v>6</v>
      </c>
      <c r="C797" s="233">
        <v>14</v>
      </c>
      <c r="D797" s="234">
        <v>1</v>
      </c>
      <c r="E797" s="234">
        <v>1</v>
      </c>
      <c r="G797" s="500" t="s">
        <v>16</v>
      </c>
      <c r="H797" s="459" t="s">
        <v>1238</v>
      </c>
      <c r="I797" s="460" t="s">
        <v>4094</v>
      </c>
      <c r="J797" s="461" t="s">
        <v>2322</v>
      </c>
      <c r="K797" s="462" t="s">
        <v>1129</v>
      </c>
      <c r="L797" s="463">
        <v>1</v>
      </c>
      <c r="M797" s="463">
        <v>949.52</v>
      </c>
      <c r="N797" s="464">
        <v>949.52</v>
      </c>
      <c r="O797" s="465" t="s">
        <v>2736</v>
      </c>
      <c r="P797" s="431" t="s">
        <v>6711</v>
      </c>
    </row>
    <row r="798" spans="1:16" ht="13.9" hidden="1" customHeight="1" outlineLevel="2" x14ac:dyDescent="0.2">
      <c r="A798" s="233">
        <v>0</v>
      </c>
      <c r="B798" s="233">
        <v>6</v>
      </c>
      <c r="C798" s="233">
        <v>14</v>
      </c>
      <c r="D798" s="234">
        <v>2</v>
      </c>
      <c r="E798" s="234">
        <v>0</v>
      </c>
      <c r="G798" s="450"/>
      <c r="H798" s="451" t="s">
        <v>1237</v>
      </c>
      <c r="I798" s="452" t="s">
        <v>4095</v>
      </c>
      <c r="J798" s="453" t="s">
        <v>2324</v>
      </c>
      <c r="K798" s="454"/>
      <c r="L798" s="455"/>
      <c r="M798" s="455"/>
      <c r="N798" s="456">
        <v>353.1</v>
      </c>
      <c r="O798" s="457"/>
      <c r="P798" s="430"/>
    </row>
    <row r="799" spans="1:16" ht="13.9" hidden="1" customHeight="1" outlineLevel="3" x14ac:dyDescent="0.2">
      <c r="A799" s="233">
        <v>0</v>
      </c>
      <c r="B799" s="233">
        <v>6</v>
      </c>
      <c r="C799" s="233">
        <v>14</v>
      </c>
      <c r="D799" s="234">
        <v>2</v>
      </c>
      <c r="E799" s="234">
        <v>1</v>
      </c>
      <c r="G799" s="500" t="s">
        <v>16</v>
      </c>
      <c r="H799" s="459" t="s">
        <v>1238</v>
      </c>
      <c r="I799" s="460" t="s">
        <v>4096</v>
      </c>
      <c r="J799" s="461" t="s">
        <v>2324</v>
      </c>
      <c r="K799" s="462" t="s">
        <v>1129</v>
      </c>
      <c r="L799" s="463">
        <v>1</v>
      </c>
      <c r="M799" s="463">
        <v>353.09999999999997</v>
      </c>
      <c r="N799" s="464">
        <v>353.1</v>
      </c>
      <c r="O799" s="465" t="s">
        <v>2736</v>
      </c>
      <c r="P799" s="431" t="s">
        <v>6711</v>
      </c>
    </row>
    <row r="800" spans="1:16" ht="13.9" hidden="1" customHeight="1" outlineLevel="2" x14ac:dyDescent="0.2">
      <c r="A800" s="233">
        <v>0</v>
      </c>
      <c r="B800" s="233">
        <v>6</v>
      </c>
      <c r="C800" s="233">
        <v>14</v>
      </c>
      <c r="D800" s="234">
        <v>3</v>
      </c>
      <c r="E800" s="234">
        <v>0</v>
      </c>
      <c r="G800" s="450"/>
      <c r="H800" s="451" t="s">
        <v>1237</v>
      </c>
      <c r="I800" s="452" t="s">
        <v>4097</v>
      </c>
      <c r="J800" s="453" t="s">
        <v>2325</v>
      </c>
      <c r="K800" s="454"/>
      <c r="L800" s="455"/>
      <c r="M800" s="455"/>
      <c r="N800" s="456">
        <v>1230.2239999999999</v>
      </c>
      <c r="O800" s="457"/>
      <c r="P800" s="430"/>
    </row>
    <row r="801" spans="1:16" ht="13.9" hidden="1" customHeight="1" outlineLevel="3" x14ac:dyDescent="0.2">
      <c r="A801" s="233">
        <v>0</v>
      </c>
      <c r="B801" s="233">
        <v>6</v>
      </c>
      <c r="C801" s="233">
        <v>14</v>
      </c>
      <c r="D801" s="234">
        <v>3</v>
      </c>
      <c r="E801" s="234">
        <v>1</v>
      </c>
      <c r="G801" s="500" t="s">
        <v>16</v>
      </c>
      <c r="H801" s="459" t="s">
        <v>1238</v>
      </c>
      <c r="I801" s="460" t="s">
        <v>4098</v>
      </c>
      <c r="J801" s="461" t="s">
        <v>2325</v>
      </c>
      <c r="K801" s="462" t="s">
        <v>1129</v>
      </c>
      <c r="L801" s="463">
        <v>1</v>
      </c>
      <c r="M801" s="463">
        <v>1230.2239999999999</v>
      </c>
      <c r="N801" s="464">
        <v>1230.2239999999999</v>
      </c>
      <c r="O801" s="465" t="s">
        <v>2736</v>
      </c>
      <c r="P801" s="431" t="s">
        <v>6711</v>
      </c>
    </row>
    <row r="802" spans="1:16" ht="13.9" hidden="1" customHeight="1" outlineLevel="2" x14ac:dyDescent="0.2">
      <c r="A802" s="233">
        <v>0</v>
      </c>
      <c r="B802" s="233">
        <v>6</v>
      </c>
      <c r="C802" s="233">
        <v>14</v>
      </c>
      <c r="D802" s="234">
        <v>4</v>
      </c>
      <c r="E802" s="234">
        <v>0</v>
      </c>
      <c r="G802" s="450"/>
      <c r="H802" s="451" t="s">
        <v>1237</v>
      </c>
      <c r="I802" s="452" t="s">
        <v>4099</v>
      </c>
      <c r="J802" s="453" t="s">
        <v>2326</v>
      </c>
      <c r="K802" s="454"/>
      <c r="L802" s="455"/>
      <c r="M802" s="455"/>
      <c r="N802" s="456">
        <v>369.05</v>
      </c>
      <c r="O802" s="457"/>
      <c r="P802" s="430"/>
    </row>
    <row r="803" spans="1:16" ht="13.9" hidden="1" customHeight="1" outlineLevel="3" x14ac:dyDescent="0.2">
      <c r="A803" s="233">
        <v>0</v>
      </c>
      <c r="B803" s="233">
        <v>6</v>
      </c>
      <c r="C803" s="233">
        <v>14</v>
      </c>
      <c r="D803" s="234">
        <v>4</v>
      </c>
      <c r="E803" s="234">
        <v>1</v>
      </c>
      <c r="G803" s="500" t="s">
        <v>16</v>
      </c>
      <c r="H803" s="459" t="s">
        <v>1238</v>
      </c>
      <c r="I803" s="460" t="s">
        <v>4100</v>
      </c>
      <c r="J803" s="461" t="s">
        <v>2326</v>
      </c>
      <c r="K803" s="462" t="s">
        <v>1129</v>
      </c>
      <c r="L803" s="463">
        <v>1</v>
      </c>
      <c r="M803" s="463">
        <v>369.04999999999995</v>
      </c>
      <c r="N803" s="464">
        <v>369.05</v>
      </c>
      <c r="O803" s="465" t="s">
        <v>2736</v>
      </c>
      <c r="P803" s="431" t="s">
        <v>6711</v>
      </c>
    </row>
    <row r="804" spans="1:16" ht="13.9" hidden="1" customHeight="1" outlineLevel="2" x14ac:dyDescent="0.2">
      <c r="A804" s="233">
        <v>0</v>
      </c>
      <c r="B804" s="233">
        <v>6</v>
      </c>
      <c r="C804" s="233">
        <v>14</v>
      </c>
      <c r="D804" s="234">
        <v>5</v>
      </c>
      <c r="E804" s="234">
        <v>0</v>
      </c>
      <c r="G804" s="450"/>
      <c r="H804" s="451" t="s">
        <v>1237</v>
      </c>
      <c r="I804" s="452" t="s">
        <v>4101</v>
      </c>
      <c r="J804" s="453" t="s">
        <v>2327</v>
      </c>
      <c r="K804" s="454"/>
      <c r="L804" s="455"/>
      <c r="M804" s="455"/>
      <c r="N804" s="456">
        <v>3109.6578316038199</v>
      </c>
      <c r="O804" s="457"/>
      <c r="P804" s="430"/>
    </row>
    <row r="805" spans="1:16" ht="13.9" hidden="1" customHeight="1" outlineLevel="3" x14ac:dyDescent="0.2">
      <c r="A805" s="233">
        <v>0</v>
      </c>
      <c r="B805" s="233">
        <v>6</v>
      </c>
      <c r="C805" s="233">
        <v>14</v>
      </c>
      <c r="D805" s="234">
        <v>5</v>
      </c>
      <c r="E805" s="234">
        <v>1</v>
      </c>
      <c r="G805" s="500" t="s">
        <v>16</v>
      </c>
      <c r="H805" s="459" t="s">
        <v>1238</v>
      </c>
      <c r="I805" s="460" t="s">
        <v>4102</v>
      </c>
      <c r="J805" s="461" t="s">
        <v>2327</v>
      </c>
      <c r="K805" s="462" t="s">
        <v>1129</v>
      </c>
      <c r="L805" s="463">
        <v>1</v>
      </c>
      <c r="M805" s="463">
        <v>3109.6578316038244</v>
      </c>
      <c r="N805" s="464">
        <v>3109.6578316038199</v>
      </c>
      <c r="O805" s="465" t="s">
        <v>2735</v>
      </c>
      <c r="P805" s="431" t="s">
        <v>6711</v>
      </c>
    </row>
    <row r="806" spans="1:16" ht="13.9" hidden="1" customHeight="1" outlineLevel="2" x14ac:dyDescent="0.2">
      <c r="A806" s="233">
        <v>0</v>
      </c>
      <c r="B806" s="233">
        <v>6</v>
      </c>
      <c r="C806" s="233">
        <v>14</v>
      </c>
      <c r="D806" s="234">
        <v>6</v>
      </c>
      <c r="E806" s="234">
        <v>0</v>
      </c>
      <c r="G806" s="450"/>
      <c r="H806" s="451" t="s">
        <v>1237</v>
      </c>
      <c r="I806" s="452" t="s">
        <v>4103</v>
      </c>
      <c r="J806" s="453" t="s">
        <v>1252</v>
      </c>
      <c r="K806" s="454"/>
      <c r="L806" s="455"/>
      <c r="M806" s="455"/>
      <c r="N806" s="456">
        <v>16811.46</v>
      </c>
      <c r="O806" s="457"/>
      <c r="P806" s="430"/>
    </row>
    <row r="807" spans="1:16" ht="13.9" hidden="1" customHeight="1" outlineLevel="3" x14ac:dyDescent="0.2">
      <c r="A807" s="233">
        <v>0</v>
      </c>
      <c r="B807" s="233">
        <v>6</v>
      </c>
      <c r="C807" s="233">
        <v>14</v>
      </c>
      <c r="D807" s="234">
        <v>6</v>
      </c>
      <c r="E807" s="234">
        <v>1</v>
      </c>
      <c r="G807" s="500" t="s">
        <v>16</v>
      </c>
      <c r="H807" s="459" t="s">
        <v>1238</v>
      </c>
      <c r="I807" s="460" t="s">
        <v>4104</v>
      </c>
      <c r="J807" s="461" t="s">
        <v>1253</v>
      </c>
      <c r="K807" s="462" t="s">
        <v>1129</v>
      </c>
      <c r="L807" s="463">
        <v>1</v>
      </c>
      <c r="M807" s="463">
        <v>16811.46</v>
      </c>
      <c r="N807" s="464">
        <v>16811.46</v>
      </c>
      <c r="O807" s="465" t="s">
        <v>2719</v>
      </c>
      <c r="P807" s="431" t="s">
        <v>6711</v>
      </c>
    </row>
    <row r="808" spans="1:16" ht="13.9" customHeight="1" collapsed="1" x14ac:dyDescent="0.2">
      <c r="A808" s="233">
        <v>0</v>
      </c>
      <c r="B808" s="233">
        <v>7</v>
      </c>
      <c r="C808" s="233">
        <v>0</v>
      </c>
      <c r="D808" s="234">
        <v>6</v>
      </c>
      <c r="E808" s="234">
        <v>1</v>
      </c>
      <c r="F808" s="237"/>
      <c r="G808" s="501"/>
      <c r="H808" s="437" t="s">
        <v>1236</v>
      </c>
      <c r="I808" s="438" t="s">
        <v>4105</v>
      </c>
      <c r="J808" s="439" t="s">
        <v>17</v>
      </c>
      <c r="K808" s="440"/>
      <c r="L808" s="441"/>
      <c r="M808" s="441"/>
      <c r="N808" s="442">
        <v>2801537.89336211</v>
      </c>
      <c r="O808" s="480">
        <v>167.25928889119101</v>
      </c>
      <c r="P808" s="434"/>
    </row>
    <row r="809" spans="1:16" ht="13.9" hidden="1" customHeight="1" outlineLevel="1" x14ac:dyDescent="0.2">
      <c r="A809" s="233">
        <v>0</v>
      </c>
      <c r="B809" s="233">
        <v>7</v>
      </c>
      <c r="C809" s="233">
        <v>1</v>
      </c>
      <c r="D809" s="234">
        <v>0</v>
      </c>
      <c r="E809" s="234">
        <v>1</v>
      </c>
      <c r="G809" s="443"/>
      <c r="H809" s="444" t="s">
        <v>38</v>
      </c>
      <c r="I809" s="445" t="s">
        <v>4106</v>
      </c>
      <c r="J809" s="446" t="s">
        <v>2737</v>
      </c>
      <c r="K809" s="447"/>
      <c r="L809" s="448"/>
      <c r="M809" s="448"/>
      <c r="N809" s="449">
        <v>299058.90349076298</v>
      </c>
      <c r="O809" s="432"/>
      <c r="P809" s="435"/>
    </row>
    <row r="810" spans="1:16" ht="13.9" hidden="1" customHeight="1" outlineLevel="2" x14ac:dyDescent="0.2">
      <c r="A810" s="233">
        <v>0</v>
      </c>
      <c r="B810" s="233">
        <v>7</v>
      </c>
      <c r="C810" s="233">
        <v>1</v>
      </c>
      <c r="D810" s="234">
        <v>1</v>
      </c>
      <c r="E810" s="234">
        <v>0</v>
      </c>
      <c r="G810" s="474"/>
      <c r="H810" s="451" t="s">
        <v>1237</v>
      </c>
      <c r="I810" s="452" t="s">
        <v>4107</v>
      </c>
      <c r="J810" s="453" t="s">
        <v>2239</v>
      </c>
      <c r="K810" s="454"/>
      <c r="L810" s="455"/>
      <c r="M810" s="455"/>
      <c r="N810" s="456">
        <v>139834.96731661999</v>
      </c>
      <c r="O810" s="457"/>
      <c r="P810" s="430"/>
    </row>
    <row r="811" spans="1:16" ht="13.9" hidden="1" customHeight="1" outlineLevel="3" x14ac:dyDescent="0.2">
      <c r="A811" s="233">
        <v>0</v>
      </c>
      <c r="B811" s="233">
        <v>7</v>
      </c>
      <c r="C811" s="233">
        <v>1</v>
      </c>
      <c r="D811" s="234">
        <v>1</v>
      </c>
      <c r="E811" s="234">
        <v>1</v>
      </c>
      <c r="G811" s="458" t="s">
        <v>17</v>
      </c>
      <c r="H811" s="459" t="s">
        <v>1238</v>
      </c>
      <c r="I811" s="460" t="s">
        <v>4108</v>
      </c>
      <c r="J811" s="461" t="s">
        <v>2738</v>
      </c>
      <c r="K811" s="462" t="s">
        <v>1129</v>
      </c>
      <c r="L811" s="463">
        <v>1</v>
      </c>
      <c r="M811" s="463">
        <v>139834.96731661988</v>
      </c>
      <c r="N811" s="464">
        <v>139834.96731661999</v>
      </c>
      <c r="O811" s="465" t="s">
        <v>2736</v>
      </c>
      <c r="P811" s="431" t="s">
        <v>6711</v>
      </c>
    </row>
    <row r="812" spans="1:16" ht="13.9" hidden="1" customHeight="1" outlineLevel="2" x14ac:dyDescent="0.2">
      <c r="A812" s="233">
        <v>0</v>
      </c>
      <c r="B812" s="233">
        <v>7</v>
      </c>
      <c r="C812" s="233">
        <v>1</v>
      </c>
      <c r="D812" s="234">
        <v>2</v>
      </c>
      <c r="E812" s="234">
        <v>0</v>
      </c>
      <c r="G812" s="474"/>
      <c r="H812" s="451" t="s">
        <v>1237</v>
      </c>
      <c r="I812" s="452" t="s">
        <v>4109</v>
      </c>
      <c r="J812" s="453" t="s">
        <v>2328</v>
      </c>
      <c r="K812" s="454"/>
      <c r="L812" s="455"/>
      <c r="M812" s="455"/>
      <c r="N812" s="456">
        <v>40168.446174143297</v>
      </c>
      <c r="O812" s="457"/>
      <c r="P812" s="430"/>
    </row>
    <row r="813" spans="1:16" ht="13.9" hidden="1" customHeight="1" outlineLevel="3" x14ac:dyDescent="0.2">
      <c r="A813" s="233">
        <v>0</v>
      </c>
      <c r="B813" s="233">
        <v>7</v>
      </c>
      <c r="C813" s="233">
        <v>1</v>
      </c>
      <c r="D813" s="234">
        <v>2</v>
      </c>
      <c r="E813" s="234">
        <v>1</v>
      </c>
      <c r="G813" s="458" t="s">
        <v>17</v>
      </c>
      <c r="H813" s="459" t="s">
        <v>1238</v>
      </c>
      <c r="I813" s="460" t="s">
        <v>4110</v>
      </c>
      <c r="J813" s="461" t="s">
        <v>2328</v>
      </c>
      <c r="K813" s="462" t="s">
        <v>1129</v>
      </c>
      <c r="L813" s="463">
        <v>1</v>
      </c>
      <c r="M813" s="463">
        <v>40168.446174143312</v>
      </c>
      <c r="N813" s="464">
        <v>40168.446174143297</v>
      </c>
      <c r="O813" s="465" t="s">
        <v>2736</v>
      </c>
      <c r="P813" s="431" t="s">
        <v>6711</v>
      </c>
    </row>
    <row r="814" spans="1:16" ht="13.9" hidden="1" customHeight="1" outlineLevel="2" x14ac:dyDescent="0.2">
      <c r="A814" s="233">
        <v>0</v>
      </c>
      <c r="B814" s="233">
        <v>7</v>
      </c>
      <c r="C814" s="233">
        <v>1</v>
      </c>
      <c r="D814" s="234">
        <v>3</v>
      </c>
      <c r="E814" s="234">
        <v>0</v>
      </c>
      <c r="G814" s="474"/>
      <c r="H814" s="451" t="s">
        <v>1237</v>
      </c>
      <c r="I814" s="452" t="s">
        <v>4111</v>
      </c>
      <c r="J814" s="453" t="s">
        <v>2329</v>
      </c>
      <c r="K814" s="454"/>
      <c r="L814" s="455"/>
      <c r="M814" s="455"/>
      <c r="N814" s="456">
        <v>252</v>
      </c>
      <c r="O814" s="457"/>
      <c r="P814" s="430"/>
    </row>
    <row r="815" spans="1:16" ht="13.9" hidden="1" customHeight="1" outlineLevel="3" x14ac:dyDescent="0.2">
      <c r="A815" s="233">
        <v>0</v>
      </c>
      <c r="B815" s="233">
        <v>7</v>
      </c>
      <c r="C815" s="233">
        <v>1</v>
      </c>
      <c r="D815" s="234">
        <v>3</v>
      </c>
      <c r="E815" s="234">
        <v>1</v>
      </c>
      <c r="G815" s="458" t="s">
        <v>17</v>
      </c>
      <c r="H815" s="459" t="s">
        <v>1238</v>
      </c>
      <c r="I815" s="460" t="s">
        <v>4112</v>
      </c>
      <c r="J815" s="461" t="s">
        <v>2329</v>
      </c>
      <c r="K815" s="462" t="s">
        <v>1129</v>
      </c>
      <c r="L815" s="463">
        <v>1</v>
      </c>
      <c r="M815" s="463">
        <v>252</v>
      </c>
      <c r="N815" s="464">
        <v>252</v>
      </c>
      <c r="O815" s="465" t="s">
        <v>2739</v>
      </c>
      <c r="P815" s="431" t="s">
        <v>6711</v>
      </c>
    </row>
    <row r="816" spans="1:16" ht="13.9" hidden="1" customHeight="1" outlineLevel="2" x14ac:dyDescent="0.2">
      <c r="A816" s="233">
        <v>0</v>
      </c>
      <c r="B816" s="233">
        <v>7</v>
      </c>
      <c r="C816" s="233">
        <v>1</v>
      </c>
      <c r="D816" s="234">
        <v>4</v>
      </c>
      <c r="E816" s="234">
        <v>0</v>
      </c>
      <c r="G816" s="474"/>
      <c r="H816" s="451" t="s">
        <v>1237</v>
      </c>
      <c r="I816" s="452" t="s">
        <v>4113</v>
      </c>
      <c r="J816" s="453" t="s">
        <v>2240</v>
      </c>
      <c r="K816" s="454"/>
      <c r="L816" s="455"/>
      <c r="M816" s="455"/>
      <c r="N816" s="456">
        <v>73297.850000000006</v>
      </c>
      <c r="O816" s="457"/>
      <c r="P816" s="430"/>
    </row>
    <row r="817" spans="1:16" ht="13.9" hidden="1" customHeight="1" outlineLevel="3" x14ac:dyDescent="0.2">
      <c r="A817" s="233">
        <v>0</v>
      </c>
      <c r="B817" s="233">
        <v>7</v>
      </c>
      <c r="C817" s="233">
        <v>1</v>
      </c>
      <c r="D817" s="234">
        <v>4</v>
      </c>
      <c r="E817" s="234">
        <v>1</v>
      </c>
      <c r="G817" s="458" t="s">
        <v>17</v>
      </c>
      <c r="H817" s="459" t="s">
        <v>1238</v>
      </c>
      <c r="I817" s="460" t="s">
        <v>4114</v>
      </c>
      <c r="J817" s="461" t="s">
        <v>2240</v>
      </c>
      <c r="K817" s="462" t="s">
        <v>1129</v>
      </c>
      <c r="L817" s="463">
        <v>1</v>
      </c>
      <c r="M817" s="463">
        <v>73297.850000000006</v>
      </c>
      <c r="N817" s="464">
        <v>73297.850000000006</v>
      </c>
      <c r="O817" s="465" t="s">
        <v>2740</v>
      </c>
      <c r="P817" s="431" t="s">
        <v>6711</v>
      </c>
    </row>
    <row r="818" spans="1:16" ht="13.9" hidden="1" customHeight="1" outlineLevel="2" x14ac:dyDescent="0.2">
      <c r="A818" s="233">
        <v>0</v>
      </c>
      <c r="B818" s="233">
        <v>7</v>
      </c>
      <c r="C818" s="233">
        <v>1</v>
      </c>
      <c r="D818" s="234">
        <v>5</v>
      </c>
      <c r="E818" s="234">
        <v>0</v>
      </c>
      <c r="G818" s="474"/>
      <c r="H818" s="451" t="s">
        <v>1237</v>
      </c>
      <c r="I818" s="452" t="s">
        <v>4115</v>
      </c>
      <c r="J818" s="453" t="s">
        <v>1254</v>
      </c>
      <c r="K818" s="454"/>
      <c r="L818" s="455"/>
      <c r="M818" s="455"/>
      <c r="N818" s="456">
        <v>45505.64</v>
      </c>
      <c r="O818" s="457"/>
      <c r="P818" s="430"/>
    </row>
    <row r="819" spans="1:16" ht="13.9" hidden="1" customHeight="1" outlineLevel="3" x14ac:dyDescent="0.2">
      <c r="A819" s="233">
        <v>0</v>
      </c>
      <c r="B819" s="233">
        <v>7</v>
      </c>
      <c r="C819" s="233">
        <v>1</v>
      </c>
      <c r="D819" s="234">
        <v>5</v>
      </c>
      <c r="E819" s="234">
        <v>1</v>
      </c>
      <c r="G819" s="458" t="s">
        <v>17</v>
      </c>
      <c r="H819" s="459" t="s">
        <v>1238</v>
      </c>
      <c r="I819" s="460" t="s">
        <v>4116</v>
      </c>
      <c r="J819" s="461" t="s">
        <v>1255</v>
      </c>
      <c r="K819" s="462" t="s">
        <v>1129</v>
      </c>
      <c r="L819" s="463">
        <v>1</v>
      </c>
      <c r="M819" s="463">
        <v>45505.64</v>
      </c>
      <c r="N819" s="464">
        <v>45505.64</v>
      </c>
      <c r="O819" s="471" t="s">
        <v>3018</v>
      </c>
      <c r="P819" s="431" t="s">
        <v>6711</v>
      </c>
    </row>
    <row r="820" spans="1:16" ht="13.9" hidden="1" customHeight="1" outlineLevel="1" x14ac:dyDescent="0.2">
      <c r="A820" s="233">
        <v>0</v>
      </c>
      <c r="B820" s="233">
        <v>7</v>
      </c>
      <c r="C820" s="233">
        <v>2</v>
      </c>
      <c r="D820" s="234">
        <v>0</v>
      </c>
      <c r="E820" s="234">
        <v>1</v>
      </c>
      <c r="G820" s="443"/>
      <c r="H820" s="444" t="s">
        <v>38</v>
      </c>
      <c r="I820" s="445" t="s">
        <v>4117</v>
      </c>
      <c r="J820" s="446" t="s">
        <v>2741</v>
      </c>
      <c r="K820" s="447"/>
      <c r="L820" s="448"/>
      <c r="M820" s="448"/>
      <c r="N820" s="449">
        <v>56495.390199930902</v>
      </c>
      <c r="O820" s="432"/>
      <c r="P820" s="435"/>
    </row>
    <row r="821" spans="1:16" ht="13.9" hidden="1" customHeight="1" outlineLevel="2" x14ac:dyDescent="0.2">
      <c r="A821" s="233">
        <v>0</v>
      </c>
      <c r="B821" s="233">
        <v>7</v>
      </c>
      <c r="C821" s="233">
        <v>2</v>
      </c>
      <c r="D821" s="234">
        <v>1</v>
      </c>
      <c r="E821" s="234">
        <v>0</v>
      </c>
      <c r="G821" s="474"/>
      <c r="H821" s="451" t="s">
        <v>1237</v>
      </c>
      <c r="I821" s="452" t="s">
        <v>4118</v>
      </c>
      <c r="J821" s="453" t="s">
        <v>2239</v>
      </c>
      <c r="K821" s="454"/>
      <c r="L821" s="455"/>
      <c r="M821" s="455"/>
      <c r="N821" s="456">
        <v>1924.7411999999999</v>
      </c>
      <c r="O821" s="457"/>
      <c r="P821" s="430"/>
    </row>
    <row r="822" spans="1:16" ht="13.9" hidden="1" customHeight="1" outlineLevel="3" x14ac:dyDescent="0.2">
      <c r="A822" s="233">
        <v>0</v>
      </c>
      <c r="B822" s="233">
        <v>7</v>
      </c>
      <c r="C822" s="233">
        <v>2</v>
      </c>
      <c r="D822" s="234">
        <v>1</v>
      </c>
      <c r="E822" s="234">
        <v>1</v>
      </c>
      <c r="G822" s="458" t="s">
        <v>17</v>
      </c>
      <c r="H822" s="459" t="s">
        <v>1238</v>
      </c>
      <c r="I822" s="460" t="s">
        <v>4119</v>
      </c>
      <c r="J822" s="461" t="s">
        <v>2738</v>
      </c>
      <c r="K822" s="462" t="s">
        <v>1129</v>
      </c>
      <c r="L822" s="463">
        <v>1</v>
      </c>
      <c r="M822" s="463">
        <v>1924.7411999999999</v>
      </c>
      <c r="N822" s="464">
        <v>1924.7411999999999</v>
      </c>
      <c r="O822" s="465" t="s">
        <v>2736</v>
      </c>
      <c r="P822" s="431" t="s">
        <v>6711</v>
      </c>
    </row>
    <row r="823" spans="1:16" ht="13.9" hidden="1" customHeight="1" outlineLevel="2" x14ac:dyDescent="0.2">
      <c r="A823" s="233">
        <v>0</v>
      </c>
      <c r="B823" s="233">
        <v>7</v>
      </c>
      <c r="C823" s="233">
        <v>2</v>
      </c>
      <c r="D823" s="234">
        <v>2</v>
      </c>
      <c r="E823" s="234">
        <v>0</v>
      </c>
      <c r="G823" s="474"/>
      <c r="H823" s="451" t="s">
        <v>1237</v>
      </c>
      <c r="I823" s="452" t="s">
        <v>4120</v>
      </c>
      <c r="J823" s="453" t="s">
        <v>2328</v>
      </c>
      <c r="K823" s="454"/>
      <c r="L823" s="455"/>
      <c r="M823" s="455"/>
      <c r="N823" s="456">
        <v>7851.9489999308698</v>
      </c>
      <c r="O823" s="457"/>
      <c r="P823" s="430"/>
    </row>
    <row r="824" spans="1:16" ht="13.9" hidden="1" customHeight="1" outlineLevel="3" x14ac:dyDescent="0.2">
      <c r="A824" s="233">
        <v>0</v>
      </c>
      <c r="B824" s="233">
        <v>7</v>
      </c>
      <c r="C824" s="233">
        <v>2</v>
      </c>
      <c r="D824" s="234">
        <v>2</v>
      </c>
      <c r="E824" s="234">
        <v>1</v>
      </c>
      <c r="G824" s="458" t="s">
        <v>17</v>
      </c>
      <c r="H824" s="459" t="s">
        <v>1238</v>
      </c>
      <c r="I824" s="460" t="s">
        <v>4121</v>
      </c>
      <c r="J824" s="461" t="s">
        <v>2328</v>
      </c>
      <c r="K824" s="462" t="s">
        <v>1129</v>
      </c>
      <c r="L824" s="463">
        <v>1</v>
      </c>
      <c r="M824" s="463">
        <v>7851.9489999308698</v>
      </c>
      <c r="N824" s="464">
        <v>7851.9489999308698</v>
      </c>
      <c r="O824" s="465" t="s">
        <v>2736</v>
      </c>
      <c r="P824" s="431" t="s">
        <v>6711</v>
      </c>
    </row>
    <row r="825" spans="1:16" ht="13.9" hidden="1" customHeight="1" outlineLevel="2" x14ac:dyDescent="0.2">
      <c r="A825" s="233">
        <v>0</v>
      </c>
      <c r="B825" s="233">
        <v>7</v>
      </c>
      <c r="C825" s="233">
        <v>2</v>
      </c>
      <c r="D825" s="234">
        <v>3</v>
      </c>
      <c r="E825" s="234">
        <v>0</v>
      </c>
      <c r="G825" s="474"/>
      <c r="H825" s="451" t="s">
        <v>1237</v>
      </c>
      <c r="I825" s="452" t="s">
        <v>4122</v>
      </c>
      <c r="J825" s="453" t="s">
        <v>2329</v>
      </c>
      <c r="K825" s="454"/>
      <c r="L825" s="455"/>
      <c r="M825" s="455"/>
      <c r="N825" s="456">
        <v>252</v>
      </c>
      <c r="O825" s="457"/>
      <c r="P825" s="430"/>
    </row>
    <row r="826" spans="1:16" ht="13.9" hidden="1" customHeight="1" outlineLevel="3" x14ac:dyDescent="0.2">
      <c r="A826" s="233">
        <v>0</v>
      </c>
      <c r="B826" s="233">
        <v>7</v>
      </c>
      <c r="C826" s="233">
        <v>2</v>
      </c>
      <c r="D826" s="234">
        <v>3</v>
      </c>
      <c r="E826" s="234">
        <v>1</v>
      </c>
      <c r="G826" s="458" t="s">
        <v>17</v>
      </c>
      <c r="H826" s="459" t="s">
        <v>1238</v>
      </c>
      <c r="I826" s="460" t="s">
        <v>4123</v>
      </c>
      <c r="J826" s="461" t="s">
        <v>2329</v>
      </c>
      <c r="K826" s="462" t="s">
        <v>1129</v>
      </c>
      <c r="L826" s="463">
        <v>1</v>
      </c>
      <c r="M826" s="463">
        <v>252</v>
      </c>
      <c r="N826" s="464">
        <v>252</v>
      </c>
      <c r="O826" s="465" t="s">
        <v>2739</v>
      </c>
      <c r="P826" s="431" t="s">
        <v>6711</v>
      </c>
    </row>
    <row r="827" spans="1:16" ht="13.9" hidden="1" customHeight="1" outlineLevel="2" x14ac:dyDescent="0.2">
      <c r="A827" s="233">
        <v>0</v>
      </c>
      <c r="B827" s="233">
        <v>7</v>
      </c>
      <c r="C827" s="233">
        <v>2</v>
      </c>
      <c r="D827" s="234">
        <v>4</v>
      </c>
      <c r="E827" s="234">
        <v>0</v>
      </c>
      <c r="G827" s="474"/>
      <c r="H827" s="451" t="s">
        <v>1237</v>
      </c>
      <c r="I827" s="452" t="s">
        <v>4124</v>
      </c>
      <c r="J827" s="453" t="s">
        <v>1254</v>
      </c>
      <c r="K827" s="454"/>
      <c r="L827" s="455"/>
      <c r="M827" s="455"/>
      <c r="N827" s="456">
        <v>46466.7</v>
      </c>
      <c r="O827" s="457"/>
      <c r="P827" s="430"/>
    </row>
    <row r="828" spans="1:16" ht="13.9" hidden="1" customHeight="1" outlineLevel="3" x14ac:dyDescent="0.2">
      <c r="A828" s="233">
        <v>0</v>
      </c>
      <c r="B828" s="233">
        <v>7</v>
      </c>
      <c r="C828" s="233">
        <v>2</v>
      </c>
      <c r="D828" s="234">
        <v>4</v>
      </c>
      <c r="E828" s="234">
        <v>1</v>
      </c>
      <c r="G828" s="458" t="s">
        <v>17</v>
      </c>
      <c r="H828" s="459" t="s">
        <v>1238</v>
      </c>
      <c r="I828" s="460" t="s">
        <v>4125</v>
      </c>
      <c r="J828" s="461" t="s">
        <v>1255</v>
      </c>
      <c r="K828" s="462" t="s">
        <v>1129</v>
      </c>
      <c r="L828" s="463">
        <v>1</v>
      </c>
      <c r="M828" s="463">
        <v>46466.7</v>
      </c>
      <c r="N828" s="464">
        <v>46466.7</v>
      </c>
      <c r="O828" s="471" t="s">
        <v>3018</v>
      </c>
      <c r="P828" s="431" t="s">
        <v>6711</v>
      </c>
    </row>
    <row r="829" spans="1:16" ht="13.9" hidden="1" customHeight="1" outlineLevel="1" x14ac:dyDescent="0.2">
      <c r="A829" s="233">
        <v>0</v>
      </c>
      <c r="B829" s="233">
        <v>7</v>
      </c>
      <c r="C829" s="233">
        <v>3</v>
      </c>
      <c r="D829" s="234">
        <v>0</v>
      </c>
      <c r="E829" s="234">
        <v>1</v>
      </c>
      <c r="G829" s="443"/>
      <c r="H829" s="444" t="s">
        <v>38</v>
      </c>
      <c r="I829" s="445" t="s">
        <v>4126</v>
      </c>
      <c r="J829" s="446" t="s">
        <v>2742</v>
      </c>
      <c r="K829" s="447"/>
      <c r="L829" s="448"/>
      <c r="M829" s="448"/>
      <c r="N829" s="449">
        <v>58401.67</v>
      </c>
      <c r="O829" s="432"/>
      <c r="P829" s="435"/>
    </row>
    <row r="830" spans="1:16" ht="13.9" hidden="1" customHeight="1" outlineLevel="2" x14ac:dyDescent="0.2">
      <c r="A830" s="233">
        <v>0</v>
      </c>
      <c r="B830" s="233">
        <v>7</v>
      </c>
      <c r="C830" s="233">
        <v>3</v>
      </c>
      <c r="D830" s="234">
        <v>1</v>
      </c>
      <c r="E830" s="234">
        <v>0</v>
      </c>
      <c r="G830" s="474"/>
      <c r="H830" s="451" t="s">
        <v>1237</v>
      </c>
      <c r="I830" s="452" t="s">
        <v>4127</v>
      </c>
      <c r="J830" s="453" t="s">
        <v>2239</v>
      </c>
      <c r="K830" s="454"/>
      <c r="L830" s="455"/>
      <c r="M830" s="455"/>
      <c r="N830" s="456">
        <v>5667.7969999999996</v>
      </c>
      <c r="O830" s="457"/>
      <c r="P830" s="430"/>
    </row>
    <row r="831" spans="1:16" ht="13.9" hidden="1" customHeight="1" outlineLevel="3" x14ac:dyDescent="0.2">
      <c r="A831" s="233">
        <v>0</v>
      </c>
      <c r="B831" s="233">
        <v>7</v>
      </c>
      <c r="C831" s="233">
        <v>3</v>
      </c>
      <c r="D831" s="234">
        <v>1</v>
      </c>
      <c r="E831" s="234">
        <v>1</v>
      </c>
      <c r="G831" s="458" t="s">
        <v>17</v>
      </c>
      <c r="H831" s="459" t="s">
        <v>1238</v>
      </c>
      <c r="I831" s="460" t="s">
        <v>4128</v>
      </c>
      <c r="J831" s="461" t="s">
        <v>2738</v>
      </c>
      <c r="K831" s="462" t="s">
        <v>1129</v>
      </c>
      <c r="L831" s="463">
        <v>1</v>
      </c>
      <c r="M831" s="463">
        <v>5667.7970000000005</v>
      </c>
      <c r="N831" s="464">
        <v>5667.7969999999996</v>
      </c>
      <c r="O831" s="465" t="s">
        <v>2736</v>
      </c>
      <c r="P831" s="431" t="s">
        <v>6711</v>
      </c>
    </row>
    <row r="832" spans="1:16" ht="13.9" hidden="1" customHeight="1" outlineLevel="2" x14ac:dyDescent="0.2">
      <c r="A832" s="233">
        <v>0</v>
      </c>
      <c r="B832" s="233">
        <v>7</v>
      </c>
      <c r="C832" s="233">
        <v>3</v>
      </c>
      <c r="D832" s="234">
        <v>2</v>
      </c>
      <c r="E832" s="234">
        <v>0</v>
      </c>
      <c r="G832" s="474"/>
      <c r="H832" s="451" t="s">
        <v>1237</v>
      </c>
      <c r="I832" s="452" t="s">
        <v>4129</v>
      </c>
      <c r="J832" s="453" t="s">
        <v>2328</v>
      </c>
      <c r="K832" s="454"/>
      <c r="L832" s="455"/>
      <c r="M832" s="455"/>
      <c r="N832" s="456">
        <v>1528.873</v>
      </c>
      <c r="O832" s="457"/>
      <c r="P832" s="430"/>
    </row>
    <row r="833" spans="1:16" ht="13.9" hidden="1" customHeight="1" outlineLevel="3" x14ac:dyDescent="0.2">
      <c r="A833" s="233">
        <v>0</v>
      </c>
      <c r="B833" s="233">
        <v>7</v>
      </c>
      <c r="C833" s="233">
        <v>3</v>
      </c>
      <c r="D833" s="234">
        <v>2</v>
      </c>
      <c r="E833" s="234">
        <v>1</v>
      </c>
      <c r="G833" s="458" t="s">
        <v>17</v>
      </c>
      <c r="H833" s="459" t="s">
        <v>1238</v>
      </c>
      <c r="I833" s="460" t="s">
        <v>4130</v>
      </c>
      <c r="J833" s="461" t="s">
        <v>2328</v>
      </c>
      <c r="K833" s="462" t="s">
        <v>1129</v>
      </c>
      <c r="L833" s="463">
        <v>1</v>
      </c>
      <c r="M833" s="463">
        <v>1528.8729999999998</v>
      </c>
      <c r="N833" s="464">
        <v>1528.873</v>
      </c>
      <c r="O833" s="465" t="s">
        <v>2736</v>
      </c>
      <c r="P833" s="431" t="s">
        <v>6711</v>
      </c>
    </row>
    <row r="834" spans="1:16" ht="13.9" hidden="1" customHeight="1" outlineLevel="2" x14ac:dyDescent="0.2">
      <c r="A834" s="233">
        <v>0</v>
      </c>
      <c r="B834" s="233">
        <v>7</v>
      </c>
      <c r="C834" s="233">
        <v>3</v>
      </c>
      <c r="D834" s="234">
        <v>3</v>
      </c>
      <c r="E834" s="234">
        <v>0</v>
      </c>
      <c r="G834" s="474"/>
      <c r="H834" s="451" t="s">
        <v>1237</v>
      </c>
      <c r="I834" s="452" t="s">
        <v>4131</v>
      </c>
      <c r="J834" s="453" t="s">
        <v>2329</v>
      </c>
      <c r="K834" s="454"/>
      <c r="L834" s="455"/>
      <c r="M834" s="455"/>
      <c r="N834" s="456">
        <v>252</v>
      </c>
      <c r="O834" s="457"/>
      <c r="P834" s="430"/>
    </row>
    <row r="835" spans="1:16" ht="13.9" hidden="1" customHeight="1" outlineLevel="3" x14ac:dyDescent="0.2">
      <c r="A835" s="233">
        <v>0</v>
      </c>
      <c r="B835" s="233">
        <v>7</v>
      </c>
      <c r="C835" s="233">
        <v>3</v>
      </c>
      <c r="D835" s="234">
        <v>3</v>
      </c>
      <c r="E835" s="234">
        <v>1</v>
      </c>
      <c r="G835" s="458" t="s">
        <v>17</v>
      </c>
      <c r="H835" s="459" t="s">
        <v>1238</v>
      </c>
      <c r="I835" s="460" t="s">
        <v>4132</v>
      </c>
      <c r="J835" s="461" t="s">
        <v>2329</v>
      </c>
      <c r="K835" s="462" t="s">
        <v>1129</v>
      </c>
      <c r="L835" s="463">
        <v>1</v>
      </c>
      <c r="M835" s="463">
        <v>252</v>
      </c>
      <c r="N835" s="464">
        <v>252</v>
      </c>
      <c r="O835" s="465" t="s">
        <v>2739</v>
      </c>
      <c r="P835" s="431" t="s">
        <v>6711</v>
      </c>
    </row>
    <row r="836" spans="1:16" ht="13.9" hidden="1" customHeight="1" outlineLevel="2" x14ac:dyDescent="0.2">
      <c r="A836" s="233">
        <v>0</v>
      </c>
      <c r="B836" s="233">
        <v>7</v>
      </c>
      <c r="C836" s="233">
        <v>3</v>
      </c>
      <c r="D836" s="234">
        <v>4</v>
      </c>
      <c r="E836" s="234">
        <v>0</v>
      </c>
      <c r="G836" s="474"/>
      <c r="H836" s="451" t="s">
        <v>1237</v>
      </c>
      <c r="I836" s="452" t="s">
        <v>4133</v>
      </c>
      <c r="J836" s="453" t="s">
        <v>1254</v>
      </c>
      <c r="K836" s="454"/>
      <c r="L836" s="455"/>
      <c r="M836" s="455"/>
      <c r="N836" s="456">
        <v>50953</v>
      </c>
      <c r="O836" s="457"/>
      <c r="P836" s="430"/>
    </row>
    <row r="837" spans="1:16" ht="13.9" hidden="1" customHeight="1" outlineLevel="3" x14ac:dyDescent="0.2">
      <c r="A837" s="233">
        <v>0</v>
      </c>
      <c r="B837" s="233">
        <v>7</v>
      </c>
      <c r="C837" s="233">
        <v>3</v>
      </c>
      <c r="D837" s="234">
        <v>4</v>
      </c>
      <c r="E837" s="234">
        <v>1</v>
      </c>
      <c r="G837" s="458" t="s">
        <v>17</v>
      </c>
      <c r="H837" s="459" t="s">
        <v>1238</v>
      </c>
      <c r="I837" s="460" t="s">
        <v>4134</v>
      </c>
      <c r="J837" s="461" t="s">
        <v>1255</v>
      </c>
      <c r="K837" s="462" t="s">
        <v>1129</v>
      </c>
      <c r="L837" s="463">
        <v>1</v>
      </c>
      <c r="M837" s="463">
        <v>50953</v>
      </c>
      <c r="N837" s="464">
        <v>50953</v>
      </c>
      <c r="O837" s="471" t="s">
        <v>3018</v>
      </c>
      <c r="P837" s="431" t="s">
        <v>6711</v>
      </c>
    </row>
    <row r="838" spans="1:16" ht="13.9" hidden="1" customHeight="1" outlineLevel="1" x14ac:dyDescent="0.2">
      <c r="A838" s="233">
        <v>0</v>
      </c>
      <c r="B838" s="233">
        <v>7</v>
      </c>
      <c r="C838" s="233">
        <v>4</v>
      </c>
      <c r="D838" s="234">
        <v>0</v>
      </c>
      <c r="E838" s="234">
        <v>1</v>
      </c>
      <c r="G838" s="443"/>
      <c r="H838" s="444" t="s">
        <v>38</v>
      </c>
      <c r="I838" s="445" t="s">
        <v>4135</v>
      </c>
      <c r="J838" s="446" t="s">
        <v>2743</v>
      </c>
      <c r="K838" s="447"/>
      <c r="L838" s="448"/>
      <c r="M838" s="448"/>
      <c r="N838" s="449">
        <v>62749.544399999999</v>
      </c>
      <c r="O838" s="432"/>
      <c r="P838" s="435"/>
    </row>
    <row r="839" spans="1:16" ht="13.9" hidden="1" customHeight="1" outlineLevel="2" x14ac:dyDescent="0.2">
      <c r="A839" s="233">
        <v>0</v>
      </c>
      <c r="B839" s="233">
        <v>7</v>
      </c>
      <c r="C839" s="233">
        <v>4</v>
      </c>
      <c r="D839" s="234">
        <v>1</v>
      </c>
      <c r="E839" s="234">
        <v>0</v>
      </c>
      <c r="G839" s="474"/>
      <c r="H839" s="451" t="s">
        <v>1237</v>
      </c>
      <c r="I839" s="452" t="s">
        <v>4136</v>
      </c>
      <c r="J839" s="453" t="s">
        <v>2239</v>
      </c>
      <c r="K839" s="454"/>
      <c r="L839" s="455"/>
      <c r="M839" s="455"/>
      <c r="N839" s="456">
        <v>5933.3770000000004</v>
      </c>
      <c r="O839" s="457"/>
      <c r="P839" s="430"/>
    </row>
    <row r="840" spans="1:16" ht="13.9" hidden="1" customHeight="1" outlineLevel="3" x14ac:dyDescent="0.2">
      <c r="A840" s="233">
        <v>0</v>
      </c>
      <c r="B840" s="233">
        <v>7</v>
      </c>
      <c r="C840" s="233">
        <v>4</v>
      </c>
      <c r="D840" s="234">
        <v>1</v>
      </c>
      <c r="E840" s="234">
        <v>1</v>
      </c>
      <c r="G840" s="458" t="s">
        <v>17</v>
      </c>
      <c r="H840" s="459" t="s">
        <v>1238</v>
      </c>
      <c r="I840" s="460" t="s">
        <v>4137</v>
      </c>
      <c r="J840" s="461" t="s">
        <v>2738</v>
      </c>
      <c r="K840" s="462" t="s">
        <v>1129</v>
      </c>
      <c r="L840" s="463">
        <v>1</v>
      </c>
      <c r="M840" s="463">
        <v>5933.3770000000004</v>
      </c>
      <c r="N840" s="464">
        <v>5933.3770000000004</v>
      </c>
      <c r="O840" s="465" t="s">
        <v>2736</v>
      </c>
      <c r="P840" s="431" t="s">
        <v>6711</v>
      </c>
    </row>
    <row r="841" spans="1:16" ht="13.9" hidden="1" customHeight="1" outlineLevel="2" x14ac:dyDescent="0.2">
      <c r="A841" s="233">
        <v>0</v>
      </c>
      <c r="B841" s="233">
        <v>7</v>
      </c>
      <c r="C841" s="233">
        <v>4</v>
      </c>
      <c r="D841" s="234">
        <v>2</v>
      </c>
      <c r="E841" s="234">
        <v>0</v>
      </c>
      <c r="G841" s="474"/>
      <c r="H841" s="451" t="s">
        <v>1237</v>
      </c>
      <c r="I841" s="452" t="s">
        <v>4138</v>
      </c>
      <c r="J841" s="453" t="s">
        <v>2328</v>
      </c>
      <c r="K841" s="454"/>
      <c r="L841" s="455"/>
      <c r="M841" s="455"/>
      <c r="N841" s="456">
        <v>5611.1674000000003</v>
      </c>
      <c r="O841" s="457"/>
      <c r="P841" s="430"/>
    </row>
    <row r="842" spans="1:16" ht="13.9" hidden="1" customHeight="1" outlineLevel="3" x14ac:dyDescent="0.2">
      <c r="A842" s="233">
        <v>0</v>
      </c>
      <c r="B842" s="233">
        <v>7</v>
      </c>
      <c r="C842" s="233">
        <v>4</v>
      </c>
      <c r="D842" s="234">
        <v>2</v>
      </c>
      <c r="E842" s="234">
        <v>1</v>
      </c>
      <c r="G842" s="458" t="s">
        <v>17</v>
      </c>
      <c r="H842" s="459" t="s">
        <v>1238</v>
      </c>
      <c r="I842" s="460" t="s">
        <v>4139</v>
      </c>
      <c r="J842" s="461" t="s">
        <v>2328</v>
      </c>
      <c r="K842" s="462" t="s">
        <v>1129</v>
      </c>
      <c r="L842" s="463">
        <v>1</v>
      </c>
      <c r="M842" s="463">
        <v>5611.1674000000003</v>
      </c>
      <c r="N842" s="464">
        <v>5611.1674000000003</v>
      </c>
      <c r="O842" s="465" t="s">
        <v>2736</v>
      </c>
      <c r="P842" s="431" t="s">
        <v>6711</v>
      </c>
    </row>
    <row r="843" spans="1:16" ht="13.9" hidden="1" customHeight="1" outlineLevel="2" x14ac:dyDescent="0.2">
      <c r="A843" s="233">
        <v>0</v>
      </c>
      <c r="B843" s="233">
        <v>7</v>
      </c>
      <c r="C843" s="233">
        <v>4</v>
      </c>
      <c r="D843" s="234">
        <v>3</v>
      </c>
      <c r="E843" s="234">
        <v>0</v>
      </c>
      <c r="G843" s="474"/>
      <c r="H843" s="451" t="s">
        <v>1237</v>
      </c>
      <c r="I843" s="452" t="s">
        <v>4140</v>
      </c>
      <c r="J843" s="453" t="s">
        <v>2329</v>
      </c>
      <c r="K843" s="454"/>
      <c r="L843" s="455"/>
      <c r="M843" s="455"/>
      <c r="N843" s="456">
        <v>252</v>
      </c>
      <c r="O843" s="457"/>
      <c r="P843" s="430"/>
    </row>
    <row r="844" spans="1:16" ht="13.9" hidden="1" customHeight="1" outlineLevel="3" x14ac:dyDescent="0.2">
      <c r="A844" s="233">
        <v>0</v>
      </c>
      <c r="B844" s="233">
        <v>7</v>
      </c>
      <c r="C844" s="233">
        <v>4</v>
      </c>
      <c r="D844" s="234">
        <v>3</v>
      </c>
      <c r="E844" s="234">
        <v>1</v>
      </c>
      <c r="G844" s="458" t="s">
        <v>17</v>
      </c>
      <c r="H844" s="459" t="s">
        <v>1238</v>
      </c>
      <c r="I844" s="460" t="s">
        <v>4141</v>
      </c>
      <c r="J844" s="461" t="s">
        <v>2329</v>
      </c>
      <c r="K844" s="462" t="s">
        <v>1129</v>
      </c>
      <c r="L844" s="463">
        <v>1</v>
      </c>
      <c r="M844" s="463">
        <v>252</v>
      </c>
      <c r="N844" s="464">
        <v>252</v>
      </c>
      <c r="O844" s="465" t="s">
        <v>2739</v>
      </c>
      <c r="P844" s="431" t="s">
        <v>6711</v>
      </c>
    </row>
    <row r="845" spans="1:16" ht="13.9" hidden="1" customHeight="1" outlineLevel="2" x14ac:dyDescent="0.2">
      <c r="A845" s="233">
        <v>0</v>
      </c>
      <c r="B845" s="233">
        <v>7</v>
      </c>
      <c r="C845" s="233">
        <v>4</v>
      </c>
      <c r="D845" s="234">
        <v>4</v>
      </c>
      <c r="E845" s="234">
        <v>0</v>
      </c>
      <c r="G845" s="474"/>
      <c r="H845" s="451" t="s">
        <v>1237</v>
      </c>
      <c r="I845" s="452" t="s">
        <v>4142</v>
      </c>
      <c r="J845" s="453" t="s">
        <v>1254</v>
      </c>
      <c r="K845" s="454"/>
      <c r="L845" s="455"/>
      <c r="M845" s="455"/>
      <c r="N845" s="456">
        <v>50953</v>
      </c>
      <c r="O845" s="457"/>
      <c r="P845" s="430"/>
    </row>
    <row r="846" spans="1:16" ht="13.9" hidden="1" customHeight="1" outlineLevel="3" x14ac:dyDescent="0.2">
      <c r="A846" s="233">
        <v>0</v>
      </c>
      <c r="B846" s="233">
        <v>7</v>
      </c>
      <c r="C846" s="233">
        <v>4</v>
      </c>
      <c r="D846" s="234">
        <v>4</v>
      </c>
      <c r="E846" s="234">
        <v>1</v>
      </c>
      <c r="G846" s="458" t="s">
        <v>17</v>
      </c>
      <c r="H846" s="459" t="s">
        <v>1238</v>
      </c>
      <c r="I846" s="460" t="s">
        <v>4143</v>
      </c>
      <c r="J846" s="461" t="s">
        <v>1255</v>
      </c>
      <c r="K846" s="462" t="s">
        <v>1129</v>
      </c>
      <c r="L846" s="463">
        <v>1</v>
      </c>
      <c r="M846" s="463">
        <v>50953</v>
      </c>
      <c r="N846" s="464">
        <v>50953</v>
      </c>
      <c r="O846" s="471" t="s">
        <v>3018</v>
      </c>
      <c r="P846" s="431" t="s">
        <v>6711</v>
      </c>
    </row>
    <row r="847" spans="1:16" ht="13.9" hidden="1" customHeight="1" outlineLevel="1" x14ac:dyDescent="0.2">
      <c r="A847" s="233">
        <v>0</v>
      </c>
      <c r="B847" s="233">
        <v>7</v>
      </c>
      <c r="C847" s="233">
        <v>5</v>
      </c>
      <c r="D847" s="234">
        <v>0</v>
      </c>
      <c r="E847" s="234">
        <v>1</v>
      </c>
      <c r="G847" s="443"/>
      <c r="H847" s="444" t="s">
        <v>38</v>
      </c>
      <c r="I847" s="445" t="s">
        <v>4144</v>
      </c>
      <c r="J847" s="446" t="s">
        <v>2744</v>
      </c>
      <c r="K847" s="447"/>
      <c r="L847" s="448"/>
      <c r="M847" s="448"/>
      <c r="N847" s="449">
        <v>54662.768300000003</v>
      </c>
      <c r="O847" s="432"/>
      <c r="P847" s="435"/>
    </row>
    <row r="848" spans="1:16" ht="13.9" hidden="1" customHeight="1" outlineLevel="2" x14ac:dyDescent="0.2">
      <c r="A848" s="233">
        <v>0</v>
      </c>
      <c r="B848" s="233">
        <v>7</v>
      </c>
      <c r="C848" s="233">
        <v>5</v>
      </c>
      <c r="D848" s="234">
        <v>1</v>
      </c>
      <c r="E848" s="234">
        <v>0</v>
      </c>
      <c r="G848" s="474"/>
      <c r="H848" s="451" t="s">
        <v>1237</v>
      </c>
      <c r="I848" s="452" t="s">
        <v>4145</v>
      </c>
      <c r="J848" s="453" t="s">
        <v>2239</v>
      </c>
      <c r="K848" s="454"/>
      <c r="L848" s="455"/>
      <c r="M848" s="455"/>
      <c r="N848" s="456">
        <v>943.60789999999997</v>
      </c>
      <c r="O848" s="457"/>
      <c r="P848" s="430"/>
    </row>
    <row r="849" spans="1:16" ht="13.9" hidden="1" customHeight="1" outlineLevel="3" x14ac:dyDescent="0.2">
      <c r="A849" s="233">
        <v>0</v>
      </c>
      <c r="B849" s="233">
        <v>7</v>
      </c>
      <c r="C849" s="233">
        <v>5</v>
      </c>
      <c r="D849" s="234">
        <v>1</v>
      </c>
      <c r="E849" s="234">
        <v>1</v>
      </c>
      <c r="G849" s="458" t="s">
        <v>17</v>
      </c>
      <c r="H849" s="459" t="s">
        <v>1238</v>
      </c>
      <c r="I849" s="460" t="s">
        <v>4146</v>
      </c>
      <c r="J849" s="461" t="s">
        <v>2738</v>
      </c>
      <c r="K849" s="462" t="s">
        <v>1129</v>
      </c>
      <c r="L849" s="463">
        <v>1</v>
      </c>
      <c r="M849" s="463">
        <v>943.60789999999997</v>
      </c>
      <c r="N849" s="464">
        <v>943.60789999999997</v>
      </c>
      <c r="O849" s="465" t="s">
        <v>2736</v>
      </c>
      <c r="P849" s="431" t="s">
        <v>6711</v>
      </c>
    </row>
    <row r="850" spans="1:16" ht="13.9" hidden="1" customHeight="1" outlineLevel="2" x14ac:dyDescent="0.2">
      <c r="A850" s="233">
        <v>0</v>
      </c>
      <c r="B850" s="233">
        <v>7</v>
      </c>
      <c r="C850" s="233">
        <v>5</v>
      </c>
      <c r="D850" s="234">
        <v>2</v>
      </c>
      <c r="E850" s="234">
        <v>0</v>
      </c>
      <c r="G850" s="474"/>
      <c r="H850" s="451" t="s">
        <v>1237</v>
      </c>
      <c r="I850" s="452" t="s">
        <v>4147</v>
      </c>
      <c r="J850" s="453" t="s">
        <v>2328</v>
      </c>
      <c r="K850" s="454"/>
      <c r="L850" s="455"/>
      <c r="M850" s="455"/>
      <c r="N850" s="456">
        <v>2514.1604000000002</v>
      </c>
      <c r="O850" s="457"/>
      <c r="P850" s="430"/>
    </row>
    <row r="851" spans="1:16" ht="13.9" hidden="1" customHeight="1" outlineLevel="3" x14ac:dyDescent="0.2">
      <c r="A851" s="233">
        <v>0</v>
      </c>
      <c r="B851" s="233">
        <v>7</v>
      </c>
      <c r="C851" s="233">
        <v>5</v>
      </c>
      <c r="D851" s="234">
        <v>2</v>
      </c>
      <c r="E851" s="234">
        <v>1</v>
      </c>
      <c r="G851" s="458" t="s">
        <v>17</v>
      </c>
      <c r="H851" s="459" t="s">
        <v>1238</v>
      </c>
      <c r="I851" s="460" t="s">
        <v>4148</v>
      </c>
      <c r="J851" s="461" t="s">
        <v>2328</v>
      </c>
      <c r="K851" s="462" t="s">
        <v>1129</v>
      </c>
      <c r="L851" s="463">
        <v>1</v>
      </c>
      <c r="M851" s="463">
        <v>2514.1604000000002</v>
      </c>
      <c r="N851" s="464">
        <v>2514.1604000000002</v>
      </c>
      <c r="O851" s="465" t="s">
        <v>2736</v>
      </c>
      <c r="P851" s="431" t="s">
        <v>6711</v>
      </c>
    </row>
    <row r="852" spans="1:16" ht="13.9" hidden="1" customHeight="1" outlineLevel="2" x14ac:dyDescent="0.2">
      <c r="A852" s="233">
        <v>0</v>
      </c>
      <c r="B852" s="233">
        <v>7</v>
      </c>
      <c r="C852" s="233">
        <v>5</v>
      </c>
      <c r="D852" s="234">
        <v>3</v>
      </c>
      <c r="E852" s="234">
        <v>0</v>
      </c>
      <c r="G852" s="474"/>
      <c r="H852" s="451" t="s">
        <v>1237</v>
      </c>
      <c r="I852" s="452" t="s">
        <v>4149</v>
      </c>
      <c r="J852" s="453" t="s">
        <v>2329</v>
      </c>
      <c r="K852" s="454"/>
      <c r="L852" s="455"/>
      <c r="M852" s="455"/>
      <c r="N852" s="456">
        <v>252</v>
      </c>
      <c r="O852" s="457"/>
      <c r="P852" s="430"/>
    </row>
    <row r="853" spans="1:16" ht="13.9" hidden="1" customHeight="1" outlineLevel="3" x14ac:dyDescent="0.2">
      <c r="A853" s="233">
        <v>0</v>
      </c>
      <c r="B853" s="233">
        <v>7</v>
      </c>
      <c r="C853" s="233">
        <v>5</v>
      </c>
      <c r="D853" s="234">
        <v>3</v>
      </c>
      <c r="E853" s="234">
        <v>1</v>
      </c>
      <c r="G853" s="458" t="s">
        <v>17</v>
      </c>
      <c r="H853" s="459" t="s">
        <v>1238</v>
      </c>
      <c r="I853" s="460" t="s">
        <v>4150</v>
      </c>
      <c r="J853" s="461" t="s">
        <v>2329</v>
      </c>
      <c r="K853" s="462" t="s">
        <v>1129</v>
      </c>
      <c r="L853" s="463">
        <v>1</v>
      </c>
      <c r="M853" s="463">
        <v>252</v>
      </c>
      <c r="N853" s="464">
        <v>252</v>
      </c>
      <c r="O853" s="465" t="s">
        <v>2739</v>
      </c>
      <c r="P853" s="431" t="s">
        <v>6711</v>
      </c>
    </row>
    <row r="854" spans="1:16" ht="13.9" hidden="1" customHeight="1" outlineLevel="2" x14ac:dyDescent="0.2">
      <c r="A854" s="233">
        <v>0</v>
      </c>
      <c r="B854" s="233">
        <v>7</v>
      </c>
      <c r="C854" s="233">
        <v>5</v>
      </c>
      <c r="D854" s="234">
        <v>4</v>
      </c>
      <c r="E854" s="234">
        <v>0</v>
      </c>
      <c r="G854" s="474"/>
      <c r="H854" s="451" t="s">
        <v>1237</v>
      </c>
      <c r="I854" s="452" t="s">
        <v>4151</v>
      </c>
      <c r="J854" s="453" t="s">
        <v>1254</v>
      </c>
      <c r="K854" s="454"/>
      <c r="L854" s="455"/>
      <c r="M854" s="455"/>
      <c r="N854" s="456">
        <v>50953</v>
      </c>
      <c r="O854" s="457"/>
      <c r="P854" s="430"/>
    </row>
    <row r="855" spans="1:16" ht="13.9" hidden="1" customHeight="1" outlineLevel="3" x14ac:dyDescent="0.2">
      <c r="A855" s="233">
        <v>0</v>
      </c>
      <c r="B855" s="233">
        <v>7</v>
      </c>
      <c r="C855" s="233">
        <v>5</v>
      </c>
      <c r="D855" s="234">
        <v>4</v>
      </c>
      <c r="E855" s="234">
        <v>1</v>
      </c>
      <c r="G855" s="458" t="s">
        <v>17</v>
      </c>
      <c r="H855" s="459" t="s">
        <v>1238</v>
      </c>
      <c r="I855" s="460" t="s">
        <v>4152</v>
      </c>
      <c r="J855" s="461" t="s">
        <v>1255</v>
      </c>
      <c r="K855" s="462" t="s">
        <v>1129</v>
      </c>
      <c r="L855" s="463">
        <v>1</v>
      </c>
      <c r="M855" s="463">
        <v>50953</v>
      </c>
      <c r="N855" s="464">
        <v>50953</v>
      </c>
      <c r="O855" s="471" t="s">
        <v>3018</v>
      </c>
      <c r="P855" s="431" t="s">
        <v>6711</v>
      </c>
    </row>
    <row r="856" spans="1:16" ht="13.9" hidden="1" customHeight="1" outlineLevel="1" x14ac:dyDescent="0.2">
      <c r="A856" s="233">
        <v>0</v>
      </c>
      <c r="B856" s="233">
        <v>7</v>
      </c>
      <c r="C856" s="233">
        <v>6</v>
      </c>
      <c r="D856" s="234">
        <v>0</v>
      </c>
      <c r="E856" s="234">
        <v>1</v>
      </c>
      <c r="G856" s="443"/>
      <c r="H856" s="444" t="s">
        <v>38</v>
      </c>
      <c r="I856" s="445" t="s">
        <v>4153</v>
      </c>
      <c r="J856" s="446" t="s">
        <v>2745</v>
      </c>
      <c r="K856" s="447"/>
      <c r="L856" s="448"/>
      <c r="M856" s="448"/>
      <c r="N856" s="449">
        <v>62630.867707647398</v>
      </c>
      <c r="O856" s="432"/>
      <c r="P856" s="435"/>
    </row>
    <row r="857" spans="1:16" ht="13.9" hidden="1" customHeight="1" outlineLevel="2" x14ac:dyDescent="0.2">
      <c r="A857" s="233">
        <v>0</v>
      </c>
      <c r="B857" s="233">
        <v>7</v>
      </c>
      <c r="C857" s="233">
        <v>6</v>
      </c>
      <c r="D857" s="234">
        <v>1</v>
      </c>
      <c r="E857" s="234">
        <v>0</v>
      </c>
      <c r="G857" s="474"/>
      <c r="H857" s="451" t="s">
        <v>1237</v>
      </c>
      <c r="I857" s="452" t="s">
        <v>4154</v>
      </c>
      <c r="J857" s="453" t="s">
        <v>2239</v>
      </c>
      <c r="K857" s="454"/>
      <c r="L857" s="455"/>
      <c r="M857" s="455"/>
      <c r="N857" s="456">
        <v>2324.1990000000001</v>
      </c>
      <c r="O857" s="457"/>
      <c r="P857" s="430"/>
    </row>
    <row r="858" spans="1:16" ht="13.9" hidden="1" customHeight="1" outlineLevel="3" x14ac:dyDescent="0.2">
      <c r="A858" s="233">
        <v>0</v>
      </c>
      <c r="B858" s="233">
        <v>7</v>
      </c>
      <c r="C858" s="233">
        <v>6</v>
      </c>
      <c r="D858" s="234">
        <v>1</v>
      </c>
      <c r="E858" s="234">
        <v>1</v>
      </c>
      <c r="G858" s="458" t="s">
        <v>17</v>
      </c>
      <c r="H858" s="459" t="s">
        <v>1238</v>
      </c>
      <c r="I858" s="460" t="s">
        <v>4155</v>
      </c>
      <c r="J858" s="461" t="s">
        <v>2738</v>
      </c>
      <c r="K858" s="462" t="s">
        <v>1129</v>
      </c>
      <c r="L858" s="463">
        <v>1</v>
      </c>
      <c r="M858" s="463">
        <v>2324.1989999999996</v>
      </c>
      <c r="N858" s="464">
        <v>2324.1990000000001</v>
      </c>
      <c r="O858" s="465" t="s">
        <v>2736</v>
      </c>
      <c r="P858" s="431" t="s">
        <v>6711</v>
      </c>
    </row>
    <row r="859" spans="1:16" ht="13.9" hidden="1" customHeight="1" outlineLevel="2" x14ac:dyDescent="0.2">
      <c r="A859" s="233">
        <v>0</v>
      </c>
      <c r="B859" s="233">
        <v>7</v>
      </c>
      <c r="C859" s="233">
        <v>6</v>
      </c>
      <c r="D859" s="234">
        <v>2</v>
      </c>
      <c r="E859" s="234">
        <v>0</v>
      </c>
      <c r="G859" s="474"/>
      <c r="H859" s="451" t="s">
        <v>1237</v>
      </c>
      <c r="I859" s="452" t="s">
        <v>4156</v>
      </c>
      <c r="J859" s="453" t="s">
        <v>2328</v>
      </c>
      <c r="K859" s="454"/>
      <c r="L859" s="455"/>
      <c r="M859" s="455"/>
      <c r="N859" s="456">
        <v>8292.5687076473696</v>
      </c>
      <c r="O859" s="457"/>
      <c r="P859" s="430"/>
    </row>
    <row r="860" spans="1:16" ht="13.9" hidden="1" customHeight="1" outlineLevel="3" x14ac:dyDescent="0.2">
      <c r="A860" s="233">
        <v>0</v>
      </c>
      <c r="B860" s="233">
        <v>7</v>
      </c>
      <c r="C860" s="233">
        <v>6</v>
      </c>
      <c r="D860" s="234">
        <v>2</v>
      </c>
      <c r="E860" s="234">
        <v>1</v>
      </c>
      <c r="G860" s="458" t="s">
        <v>17</v>
      </c>
      <c r="H860" s="459" t="s">
        <v>1238</v>
      </c>
      <c r="I860" s="460" t="s">
        <v>4157</v>
      </c>
      <c r="J860" s="461" t="s">
        <v>2328</v>
      </c>
      <c r="K860" s="462" t="s">
        <v>1129</v>
      </c>
      <c r="L860" s="463">
        <v>1</v>
      </c>
      <c r="M860" s="463">
        <v>8292.5687076473714</v>
      </c>
      <c r="N860" s="464">
        <v>8292.5687076473696</v>
      </c>
      <c r="O860" s="465" t="s">
        <v>2736</v>
      </c>
      <c r="P860" s="431" t="s">
        <v>6711</v>
      </c>
    </row>
    <row r="861" spans="1:16" ht="13.9" hidden="1" customHeight="1" outlineLevel="2" x14ac:dyDescent="0.2">
      <c r="A861" s="233">
        <v>0</v>
      </c>
      <c r="B861" s="233">
        <v>7</v>
      </c>
      <c r="C861" s="233">
        <v>6</v>
      </c>
      <c r="D861" s="234">
        <v>3</v>
      </c>
      <c r="E861" s="234">
        <v>0</v>
      </c>
      <c r="G861" s="474"/>
      <c r="H861" s="451" t="s">
        <v>1237</v>
      </c>
      <c r="I861" s="452" t="s">
        <v>4158</v>
      </c>
      <c r="J861" s="453" t="s">
        <v>2329</v>
      </c>
      <c r="K861" s="454"/>
      <c r="L861" s="455"/>
      <c r="M861" s="455"/>
      <c r="N861" s="456">
        <v>252</v>
      </c>
      <c r="O861" s="457"/>
      <c r="P861" s="430"/>
    </row>
    <row r="862" spans="1:16" ht="13.9" hidden="1" customHeight="1" outlineLevel="3" x14ac:dyDescent="0.2">
      <c r="A862" s="233">
        <v>0</v>
      </c>
      <c r="B862" s="233">
        <v>7</v>
      </c>
      <c r="C862" s="233">
        <v>6</v>
      </c>
      <c r="D862" s="234">
        <v>3</v>
      </c>
      <c r="E862" s="234">
        <v>1</v>
      </c>
      <c r="G862" s="458" t="s">
        <v>17</v>
      </c>
      <c r="H862" s="459" t="s">
        <v>1238</v>
      </c>
      <c r="I862" s="460" t="s">
        <v>4159</v>
      </c>
      <c r="J862" s="461" t="s">
        <v>2329</v>
      </c>
      <c r="K862" s="462" t="s">
        <v>1129</v>
      </c>
      <c r="L862" s="463">
        <v>1</v>
      </c>
      <c r="M862" s="463">
        <v>252</v>
      </c>
      <c r="N862" s="464">
        <v>252</v>
      </c>
      <c r="O862" s="465" t="s">
        <v>2739</v>
      </c>
      <c r="P862" s="431" t="s">
        <v>6711</v>
      </c>
    </row>
    <row r="863" spans="1:16" ht="13.9" hidden="1" customHeight="1" outlineLevel="2" x14ac:dyDescent="0.2">
      <c r="A863" s="233">
        <v>0</v>
      </c>
      <c r="B863" s="233">
        <v>7</v>
      </c>
      <c r="C863" s="233">
        <v>6</v>
      </c>
      <c r="D863" s="234">
        <v>4</v>
      </c>
      <c r="E863" s="234">
        <v>0</v>
      </c>
      <c r="G863" s="474"/>
      <c r="H863" s="451" t="s">
        <v>1237</v>
      </c>
      <c r="I863" s="452" t="s">
        <v>4160</v>
      </c>
      <c r="J863" s="453" t="s">
        <v>1254</v>
      </c>
      <c r="K863" s="454"/>
      <c r="L863" s="455"/>
      <c r="M863" s="455"/>
      <c r="N863" s="456">
        <v>51762.1</v>
      </c>
      <c r="O863" s="457"/>
      <c r="P863" s="430"/>
    </row>
    <row r="864" spans="1:16" ht="13.9" hidden="1" customHeight="1" outlineLevel="3" x14ac:dyDescent="0.2">
      <c r="A864" s="233">
        <v>0</v>
      </c>
      <c r="B864" s="233">
        <v>7</v>
      </c>
      <c r="C864" s="233">
        <v>6</v>
      </c>
      <c r="D864" s="234">
        <v>4</v>
      </c>
      <c r="E864" s="234">
        <v>1</v>
      </c>
      <c r="G864" s="458" t="s">
        <v>17</v>
      </c>
      <c r="H864" s="459" t="s">
        <v>1238</v>
      </c>
      <c r="I864" s="460" t="s">
        <v>4161</v>
      </c>
      <c r="J864" s="461" t="s">
        <v>1255</v>
      </c>
      <c r="K864" s="462" t="s">
        <v>1129</v>
      </c>
      <c r="L864" s="463">
        <v>1</v>
      </c>
      <c r="M864" s="463">
        <v>51762.100000000006</v>
      </c>
      <c r="N864" s="464">
        <v>51762.1</v>
      </c>
      <c r="O864" s="471" t="s">
        <v>3018</v>
      </c>
      <c r="P864" s="431" t="s">
        <v>6711</v>
      </c>
    </row>
    <row r="865" spans="1:16" ht="13.9" hidden="1" customHeight="1" outlineLevel="1" x14ac:dyDescent="0.2">
      <c r="A865" s="233">
        <v>0</v>
      </c>
      <c r="B865" s="233">
        <v>7</v>
      </c>
      <c r="C865" s="233">
        <v>7</v>
      </c>
      <c r="D865" s="234">
        <v>0</v>
      </c>
      <c r="E865" s="234">
        <v>1</v>
      </c>
      <c r="G865" s="443"/>
      <c r="H865" s="444" t="s">
        <v>38</v>
      </c>
      <c r="I865" s="445" t="s">
        <v>4162</v>
      </c>
      <c r="J865" s="446" t="s">
        <v>2746</v>
      </c>
      <c r="K865" s="447"/>
      <c r="L865" s="448"/>
      <c r="M865" s="448"/>
      <c r="N865" s="449">
        <v>68292.702774485297</v>
      </c>
      <c r="O865" s="432"/>
      <c r="P865" s="435"/>
    </row>
    <row r="866" spans="1:16" ht="13.9" hidden="1" customHeight="1" outlineLevel="2" x14ac:dyDescent="0.2">
      <c r="A866" s="233">
        <v>0</v>
      </c>
      <c r="B866" s="233">
        <v>7</v>
      </c>
      <c r="C866" s="233">
        <v>7</v>
      </c>
      <c r="D866" s="234">
        <v>1</v>
      </c>
      <c r="E866" s="234">
        <v>0</v>
      </c>
      <c r="G866" s="474"/>
      <c r="H866" s="451" t="s">
        <v>1237</v>
      </c>
      <c r="I866" s="452" t="s">
        <v>4163</v>
      </c>
      <c r="J866" s="453" t="s">
        <v>2239</v>
      </c>
      <c r="K866" s="454"/>
      <c r="L866" s="455"/>
      <c r="M866" s="455"/>
      <c r="N866" s="456">
        <v>1836.40446821347</v>
      </c>
      <c r="O866" s="457"/>
      <c r="P866" s="430"/>
    </row>
    <row r="867" spans="1:16" ht="13.9" hidden="1" customHeight="1" outlineLevel="3" x14ac:dyDescent="0.2">
      <c r="A867" s="233">
        <v>0</v>
      </c>
      <c r="B867" s="233">
        <v>7</v>
      </c>
      <c r="C867" s="233">
        <v>7</v>
      </c>
      <c r="D867" s="234">
        <v>1</v>
      </c>
      <c r="E867" s="234">
        <v>1</v>
      </c>
      <c r="G867" s="458" t="s">
        <v>17</v>
      </c>
      <c r="H867" s="459" t="s">
        <v>1238</v>
      </c>
      <c r="I867" s="460" t="s">
        <v>4164</v>
      </c>
      <c r="J867" s="461" t="s">
        <v>2738</v>
      </c>
      <c r="K867" s="462" t="s">
        <v>1129</v>
      </c>
      <c r="L867" s="463">
        <v>1</v>
      </c>
      <c r="M867" s="463">
        <v>1836.404468213474</v>
      </c>
      <c r="N867" s="464">
        <v>1836.40446821347</v>
      </c>
      <c r="O867" s="465" t="s">
        <v>2736</v>
      </c>
      <c r="P867" s="431" t="s">
        <v>6711</v>
      </c>
    </row>
    <row r="868" spans="1:16" ht="13.9" hidden="1" customHeight="1" outlineLevel="2" x14ac:dyDescent="0.2">
      <c r="A868" s="233">
        <v>0</v>
      </c>
      <c r="B868" s="233">
        <v>7</v>
      </c>
      <c r="C868" s="233">
        <v>7</v>
      </c>
      <c r="D868" s="234">
        <v>2</v>
      </c>
      <c r="E868" s="234">
        <v>0</v>
      </c>
      <c r="G868" s="474"/>
      <c r="H868" s="451" t="s">
        <v>1237</v>
      </c>
      <c r="I868" s="452" t="s">
        <v>4165</v>
      </c>
      <c r="J868" s="453" t="s">
        <v>2328</v>
      </c>
      <c r="K868" s="454"/>
      <c r="L868" s="455"/>
      <c r="M868" s="455"/>
      <c r="N868" s="456">
        <v>14442.198306271801</v>
      </c>
      <c r="O868" s="457"/>
      <c r="P868" s="430"/>
    </row>
    <row r="869" spans="1:16" ht="13.9" hidden="1" customHeight="1" outlineLevel="3" x14ac:dyDescent="0.2">
      <c r="A869" s="233">
        <v>0</v>
      </c>
      <c r="B869" s="233">
        <v>7</v>
      </c>
      <c r="C869" s="233">
        <v>7</v>
      </c>
      <c r="D869" s="234">
        <v>2</v>
      </c>
      <c r="E869" s="234">
        <v>1</v>
      </c>
      <c r="G869" s="458" t="s">
        <v>17</v>
      </c>
      <c r="H869" s="459" t="s">
        <v>1238</v>
      </c>
      <c r="I869" s="460" t="s">
        <v>4166</v>
      </c>
      <c r="J869" s="461" t="s">
        <v>2328</v>
      </c>
      <c r="K869" s="462" t="s">
        <v>1129</v>
      </c>
      <c r="L869" s="463">
        <v>1</v>
      </c>
      <c r="M869" s="463">
        <v>14442.198306271848</v>
      </c>
      <c r="N869" s="464">
        <v>14442.198306271801</v>
      </c>
      <c r="O869" s="465" t="s">
        <v>2736</v>
      </c>
      <c r="P869" s="431" t="s">
        <v>6711</v>
      </c>
    </row>
    <row r="870" spans="1:16" ht="13.9" hidden="1" customHeight="1" outlineLevel="2" x14ac:dyDescent="0.2">
      <c r="A870" s="233">
        <v>0</v>
      </c>
      <c r="B870" s="233">
        <v>7</v>
      </c>
      <c r="C870" s="233">
        <v>7</v>
      </c>
      <c r="D870" s="234">
        <v>3</v>
      </c>
      <c r="E870" s="234">
        <v>0</v>
      </c>
      <c r="G870" s="474"/>
      <c r="H870" s="451" t="s">
        <v>1237</v>
      </c>
      <c r="I870" s="452" t="s">
        <v>4167</v>
      </c>
      <c r="J870" s="453" t="s">
        <v>2329</v>
      </c>
      <c r="K870" s="454"/>
      <c r="L870" s="455"/>
      <c r="M870" s="455"/>
      <c r="N870" s="456">
        <v>252</v>
      </c>
      <c r="O870" s="457"/>
      <c r="P870" s="430"/>
    </row>
    <row r="871" spans="1:16" ht="13.9" hidden="1" customHeight="1" outlineLevel="3" x14ac:dyDescent="0.2">
      <c r="A871" s="233">
        <v>0</v>
      </c>
      <c r="B871" s="233">
        <v>7</v>
      </c>
      <c r="C871" s="233">
        <v>7</v>
      </c>
      <c r="D871" s="234">
        <v>3</v>
      </c>
      <c r="E871" s="234">
        <v>1</v>
      </c>
      <c r="G871" s="458" t="s">
        <v>17</v>
      </c>
      <c r="H871" s="459" t="s">
        <v>1238</v>
      </c>
      <c r="I871" s="460" t="s">
        <v>4168</v>
      </c>
      <c r="J871" s="461" t="s">
        <v>2329</v>
      </c>
      <c r="K871" s="462" t="s">
        <v>1129</v>
      </c>
      <c r="L871" s="463">
        <v>1</v>
      </c>
      <c r="M871" s="463">
        <v>252</v>
      </c>
      <c r="N871" s="464">
        <v>252</v>
      </c>
      <c r="O871" s="465" t="s">
        <v>2739</v>
      </c>
      <c r="P871" s="431" t="s">
        <v>6711</v>
      </c>
    </row>
    <row r="872" spans="1:16" ht="13.9" hidden="1" customHeight="1" outlineLevel="2" x14ac:dyDescent="0.2">
      <c r="A872" s="233">
        <v>0</v>
      </c>
      <c r="B872" s="233">
        <v>7</v>
      </c>
      <c r="C872" s="233">
        <v>7</v>
      </c>
      <c r="D872" s="234">
        <v>4</v>
      </c>
      <c r="E872" s="234">
        <v>0</v>
      </c>
      <c r="G872" s="474"/>
      <c r="H872" s="451" t="s">
        <v>1237</v>
      </c>
      <c r="I872" s="452" t="s">
        <v>4169</v>
      </c>
      <c r="J872" s="453" t="s">
        <v>1254</v>
      </c>
      <c r="K872" s="454"/>
      <c r="L872" s="455"/>
      <c r="M872" s="455"/>
      <c r="N872" s="456">
        <v>51762.1</v>
      </c>
      <c r="O872" s="457"/>
      <c r="P872" s="430"/>
    </row>
    <row r="873" spans="1:16" ht="13.9" hidden="1" customHeight="1" outlineLevel="3" x14ac:dyDescent="0.2">
      <c r="A873" s="233">
        <v>0</v>
      </c>
      <c r="B873" s="233">
        <v>7</v>
      </c>
      <c r="C873" s="233">
        <v>7</v>
      </c>
      <c r="D873" s="234">
        <v>4</v>
      </c>
      <c r="E873" s="234">
        <v>1</v>
      </c>
      <c r="G873" s="458" t="s">
        <v>17</v>
      </c>
      <c r="H873" s="459" t="s">
        <v>1238</v>
      </c>
      <c r="I873" s="460" t="s">
        <v>4170</v>
      </c>
      <c r="J873" s="461" t="s">
        <v>1255</v>
      </c>
      <c r="K873" s="462" t="s">
        <v>1129</v>
      </c>
      <c r="L873" s="463">
        <v>1</v>
      </c>
      <c r="M873" s="463">
        <v>51762.100000000006</v>
      </c>
      <c r="N873" s="464">
        <v>51762.1</v>
      </c>
      <c r="O873" s="471" t="s">
        <v>3018</v>
      </c>
      <c r="P873" s="431" t="s">
        <v>6711</v>
      </c>
    </row>
    <row r="874" spans="1:16" ht="13.9" hidden="1" customHeight="1" outlineLevel="1" x14ac:dyDescent="0.2">
      <c r="A874" s="233">
        <v>0</v>
      </c>
      <c r="B874" s="233">
        <v>7</v>
      </c>
      <c r="C874" s="233">
        <v>8</v>
      </c>
      <c r="D874" s="234">
        <v>0</v>
      </c>
      <c r="E874" s="234">
        <v>1</v>
      </c>
      <c r="G874" s="443"/>
      <c r="H874" s="444" t="s">
        <v>38</v>
      </c>
      <c r="I874" s="445" t="s">
        <v>4171</v>
      </c>
      <c r="J874" s="446" t="s">
        <v>2747</v>
      </c>
      <c r="K874" s="447"/>
      <c r="L874" s="448"/>
      <c r="M874" s="448"/>
      <c r="N874" s="449">
        <v>105736.117348628</v>
      </c>
      <c r="O874" s="432"/>
      <c r="P874" s="435"/>
    </row>
    <row r="875" spans="1:16" ht="13.9" hidden="1" customHeight="1" outlineLevel="2" x14ac:dyDescent="0.2">
      <c r="A875" s="233">
        <v>0</v>
      </c>
      <c r="B875" s="233">
        <v>7</v>
      </c>
      <c r="C875" s="233">
        <v>8</v>
      </c>
      <c r="D875" s="234">
        <v>1</v>
      </c>
      <c r="E875" s="234">
        <v>0</v>
      </c>
      <c r="G875" s="474"/>
      <c r="H875" s="451" t="s">
        <v>1237</v>
      </c>
      <c r="I875" s="452" t="s">
        <v>4172</v>
      </c>
      <c r="J875" s="453" t="s">
        <v>2239</v>
      </c>
      <c r="K875" s="454"/>
      <c r="L875" s="455"/>
      <c r="M875" s="455"/>
      <c r="N875" s="456">
        <v>1549.0139525003301</v>
      </c>
      <c r="O875" s="457"/>
      <c r="P875" s="430"/>
    </row>
    <row r="876" spans="1:16" ht="13.9" hidden="1" customHeight="1" outlineLevel="3" x14ac:dyDescent="0.2">
      <c r="A876" s="233">
        <v>0</v>
      </c>
      <c r="B876" s="233">
        <v>7</v>
      </c>
      <c r="C876" s="233">
        <v>8</v>
      </c>
      <c r="D876" s="234">
        <v>1</v>
      </c>
      <c r="E876" s="234">
        <v>1</v>
      </c>
      <c r="G876" s="458" t="s">
        <v>17</v>
      </c>
      <c r="H876" s="459" t="s">
        <v>1238</v>
      </c>
      <c r="I876" s="460" t="s">
        <v>4173</v>
      </c>
      <c r="J876" s="461" t="s">
        <v>2738</v>
      </c>
      <c r="K876" s="462" t="s">
        <v>1129</v>
      </c>
      <c r="L876" s="463">
        <v>1</v>
      </c>
      <c r="M876" s="463">
        <v>1549.0139525003278</v>
      </c>
      <c r="N876" s="464">
        <v>1549.0139525003301</v>
      </c>
      <c r="O876" s="465" t="s">
        <v>2736</v>
      </c>
      <c r="P876" s="431" t="s">
        <v>6711</v>
      </c>
    </row>
    <row r="877" spans="1:16" ht="13.9" hidden="1" customHeight="1" outlineLevel="2" x14ac:dyDescent="0.2">
      <c r="A877" s="233">
        <v>0</v>
      </c>
      <c r="B877" s="233">
        <v>7</v>
      </c>
      <c r="C877" s="233">
        <v>8</v>
      </c>
      <c r="D877" s="234">
        <v>2</v>
      </c>
      <c r="E877" s="234">
        <v>0</v>
      </c>
      <c r="G877" s="474"/>
      <c r="H877" s="451" t="s">
        <v>1237</v>
      </c>
      <c r="I877" s="452" t="s">
        <v>4174</v>
      </c>
      <c r="J877" s="453" t="s">
        <v>2328</v>
      </c>
      <c r="K877" s="454"/>
      <c r="L877" s="455"/>
      <c r="M877" s="455"/>
      <c r="N877" s="456">
        <v>74977.443396127797</v>
      </c>
      <c r="O877" s="457"/>
      <c r="P877" s="430"/>
    </row>
    <row r="878" spans="1:16" ht="13.9" hidden="1" customHeight="1" outlineLevel="3" x14ac:dyDescent="0.2">
      <c r="A878" s="233">
        <v>0</v>
      </c>
      <c r="B878" s="233">
        <v>7</v>
      </c>
      <c r="C878" s="233">
        <v>8</v>
      </c>
      <c r="D878" s="234">
        <v>2</v>
      </c>
      <c r="E878" s="234">
        <v>1</v>
      </c>
      <c r="G878" s="458" t="s">
        <v>17</v>
      </c>
      <c r="H878" s="459" t="s">
        <v>1238</v>
      </c>
      <c r="I878" s="460" t="s">
        <v>4175</v>
      </c>
      <c r="J878" s="461" t="s">
        <v>2328</v>
      </c>
      <c r="K878" s="462" t="s">
        <v>1129</v>
      </c>
      <c r="L878" s="463">
        <v>1</v>
      </c>
      <c r="M878" s="463">
        <v>74977.443396127797</v>
      </c>
      <c r="N878" s="464">
        <v>74977.443396127797</v>
      </c>
      <c r="O878" s="465" t="s">
        <v>2736</v>
      </c>
      <c r="P878" s="431" t="s">
        <v>6711</v>
      </c>
    </row>
    <row r="879" spans="1:16" ht="13.9" hidden="1" customHeight="1" outlineLevel="2" x14ac:dyDescent="0.2">
      <c r="A879" s="233">
        <v>0</v>
      </c>
      <c r="B879" s="233">
        <v>7</v>
      </c>
      <c r="C879" s="233">
        <v>8</v>
      </c>
      <c r="D879" s="234">
        <v>3</v>
      </c>
      <c r="E879" s="234">
        <v>0</v>
      </c>
      <c r="G879" s="474"/>
      <c r="H879" s="451" t="s">
        <v>1237</v>
      </c>
      <c r="I879" s="452" t="s">
        <v>4176</v>
      </c>
      <c r="J879" s="453" t="s">
        <v>2329</v>
      </c>
      <c r="K879" s="454"/>
      <c r="L879" s="455"/>
      <c r="M879" s="455"/>
      <c r="N879" s="456">
        <v>252</v>
      </c>
      <c r="O879" s="457"/>
      <c r="P879" s="430"/>
    </row>
    <row r="880" spans="1:16" ht="13.9" hidden="1" customHeight="1" outlineLevel="3" x14ac:dyDescent="0.2">
      <c r="A880" s="233">
        <v>0</v>
      </c>
      <c r="B880" s="233">
        <v>7</v>
      </c>
      <c r="C880" s="233">
        <v>8</v>
      </c>
      <c r="D880" s="234">
        <v>3</v>
      </c>
      <c r="E880" s="234">
        <v>1</v>
      </c>
      <c r="G880" s="458" t="s">
        <v>17</v>
      </c>
      <c r="H880" s="459" t="s">
        <v>1238</v>
      </c>
      <c r="I880" s="460" t="s">
        <v>4177</v>
      </c>
      <c r="J880" s="461" t="s">
        <v>2329</v>
      </c>
      <c r="K880" s="462" t="s">
        <v>1129</v>
      </c>
      <c r="L880" s="463">
        <v>1</v>
      </c>
      <c r="M880" s="463">
        <v>252</v>
      </c>
      <c r="N880" s="464">
        <v>252</v>
      </c>
      <c r="O880" s="465" t="s">
        <v>2739</v>
      </c>
      <c r="P880" s="431" t="s">
        <v>6711</v>
      </c>
    </row>
    <row r="881" spans="1:16" ht="13.9" hidden="1" customHeight="1" outlineLevel="2" x14ac:dyDescent="0.2">
      <c r="A881" s="233">
        <v>0</v>
      </c>
      <c r="B881" s="233">
        <v>7</v>
      </c>
      <c r="C881" s="233">
        <v>8</v>
      </c>
      <c r="D881" s="234">
        <v>4</v>
      </c>
      <c r="E881" s="234">
        <v>0</v>
      </c>
      <c r="G881" s="474"/>
      <c r="H881" s="451" t="s">
        <v>1237</v>
      </c>
      <c r="I881" s="452" t="s">
        <v>4178</v>
      </c>
      <c r="J881" s="453" t="s">
        <v>1254</v>
      </c>
      <c r="K881" s="454"/>
      <c r="L881" s="455"/>
      <c r="M881" s="455"/>
      <c r="N881" s="456">
        <v>28957.66</v>
      </c>
      <c r="O881" s="457"/>
      <c r="P881" s="430"/>
    </row>
    <row r="882" spans="1:16" ht="13.9" hidden="1" customHeight="1" outlineLevel="3" x14ac:dyDescent="0.2">
      <c r="A882" s="233">
        <v>0</v>
      </c>
      <c r="B882" s="233">
        <v>7</v>
      </c>
      <c r="C882" s="233">
        <v>8</v>
      </c>
      <c r="D882" s="234">
        <v>4</v>
      </c>
      <c r="E882" s="234">
        <v>1</v>
      </c>
      <c r="G882" s="458" t="s">
        <v>17</v>
      </c>
      <c r="H882" s="459" t="s">
        <v>1238</v>
      </c>
      <c r="I882" s="460" t="s">
        <v>4179</v>
      </c>
      <c r="J882" s="461" t="s">
        <v>1255</v>
      </c>
      <c r="K882" s="462" t="s">
        <v>1129</v>
      </c>
      <c r="L882" s="463">
        <v>1</v>
      </c>
      <c r="M882" s="463">
        <v>28957.66</v>
      </c>
      <c r="N882" s="464">
        <v>28957.66</v>
      </c>
      <c r="O882" s="471" t="s">
        <v>3018</v>
      </c>
      <c r="P882" s="431" t="s">
        <v>6711</v>
      </c>
    </row>
    <row r="883" spans="1:16" ht="13.9" hidden="1" customHeight="1" outlineLevel="1" x14ac:dyDescent="0.2">
      <c r="A883" s="233">
        <v>0</v>
      </c>
      <c r="B883" s="233">
        <v>7</v>
      </c>
      <c r="C883" s="233">
        <v>9</v>
      </c>
      <c r="D883" s="234">
        <v>0</v>
      </c>
      <c r="E883" s="234">
        <v>1</v>
      </c>
      <c r="G883" s="443"/>
      <c r="H883" s="444" t="s">
        <v>38</v>
      </c>
      <c r="I883" s="445" t="s">
        <v>4180</v>
      </c>
      <c r="J883" s="446" t="s">
        <v>2748</v>
      </c>
      <c r="K883" s="447"/>
      <c r="L883" s="448"/>
      <c r="M883" s="448"/>
      <c r="N883" s="449">
        <v>161488.91655904599</v>
      </c>
      <c r="O883" s="432"/>
      <c r="P883" s="435"/>
    </row>
    <row r="884" spans="1:16" ht="13.9" hidden="1" customHeight="1" outlineLevel="2" x14ac:dyDescent="0.2">
      <c r="A884" s="233">
        <v>0</v>
      </c>
      <c r="B884" s="233">
        <v>7</v>
      </c>
      <c r="C884" s="233">
        <v>9</v>
      </c>
      <c r="D884" s="234">
        <v>1</v>
      </c>
      <c r="E884" s="234">
        <v>0</v>
      </c>
      <c r="G884" s="474"/>
      <c r="H884" s="451" t="s">
        <v>1237</v>
      </c>
      <c r="I884" s="452" t="s">
        <v>4181</v>
      </c>
      <c r="J884" s="453" t="s">
        <v>2239</v>
      </c>
      <c r="K884" s="454"/>
      <c r="L884" s="455"/>
      <c r="M884" s="455"/>
      <c r="N884" s="456">
        <v>75503.946584484002</v>
      </c>
      <c r="O884" s="457"/>
      <c r="P884" s="430"/>
    </row>
    <row r="885" spans="1:16" ht="13.9" hidden="1" customHeight="1" outlineLevel="3" x14ac:dyDescent="0.2">
      <c r="A885" s="233">
        <v>0</v>
      </c>
      <c r="B885" s="233">
        <v>7</v>
      </c>
      <c r="C885" s="233">
        <v>9</v>
      </c>
      <c r="D885" s="234">
        <v>1</v>
      </c>
      <c r="E885" s="234">
        <v>1</v>
      </c>
      <c r="G885" s="458" t="s">
        <v>17</v>
      </c>
      <c r="H885" s="459" t="s">
        <v>1238</v>
      </c>
      <c r="I885" s="460" t="s">
        <v>4182</v>
      </c>
      <c r="J885" s="461" t="s">
        <v>2738</v>
      </c>
      <c r="K885" s="462" t="s">
        <v>1129</v>
      </c>
      <c r="L885" s="463">
        <v>1</v>
      </c>
      <c r="M885" s="463">
        <v>75503.946584484002</v>
      </c>
      <c r="N885" s="464">
        <v>75503.946584484002</v>
      </c>
      <c r="O885" s="465" t="s">
        <v>2736</v>
      </c>
      <c r="P885" s="431" t="s">
        <v>6711</v>
      </c>
    </row>
    <row r="886" spans="1:16" ht="13.9" hidden="1" customHeight="1" outlineLevel="2" x14ac:dyDescent="0.2">
      <c r="A886" s="233">
        <v>0</v>
      </c>
      <c r="B886" s="233">
        <v>7</v>
      </c>
      <c r="C886" s="233">
        <v>9</v>
      </c>
      <c r="D886" s="234">
        <v>2</v>
      </c>
      <c r="E886" s="234">
        <v>0</v>
      </c>
      <c r="G886" s="474"/>
      <c r="H886" s="451" t="s">
        <v>1237</v>
      </c>
      <c r="I886" s="452" t="s">
        <v>4183</v>
      </c>
      <c r="J886" s="453" t="s">
        <v>2328</v>
      </c>
      <c r="K886" s="454"/>
      <c r="L886" s="455"/>
      <c r="M886" s="455"/>
      <c r="N886" s="456">
        <v>65692.2299745622</v>
      </c>
      <c r="O886" s="457"/>
      <c r="P886" s="430"/>
    </row>
    <row r="887" spans="1:16" ht="13.9" hidden="1" customHeight="1" outlineLevel="3" x14ac:dyDescent="0.2">
      <c r="A887" s="233">
        <v>0</v>
      </c>
      <c r="B887" s="233">
        <v>7</v>
      </c>
      <c r="C887" s="233">
        <v>9</v>
      </c>
      <c r="D887" s="234">
        <v>2</v>
      </c>
      <c r="E887" s="234">
        <v>1</v>
      </c>
      <c r="G887" s="458" t="s">
        <v>17</v>
      </c>
      <c r="H887" s="459" t="s">
        <v>1238</v>
      </c>
      <c r="I887" s="460" t="s">
        <v>4184</v>
      </c>
      <c r="J887" s="461" t="s">
        <v>2328</v>
      </c>
      <c r="K887" s="462" t="s">
        <v>1129</v>
      </c>
      <c r="L887" s="463">
        <v>1</v>
      </c>
      <c r="M887" s="463">
        <v>65692.229974562186</v>
      </c>
      <c r="N887" s="464">
        <v>65692.2299745622</v>
      </c>
      <c r="O887" s="465" t="s">
        <v>2736</v>
      </c>
      <c r="P887" s="431" t="s">
        <v>6711</v>
      </c>
    </row>
    <row r="888" spans="1:16" ht="13.9" hidden="1" customHeight="1" outlineLevel="2" x14ac:dyDescent="0.2">
      <c r="A888" s="233">
        <v>0</v>
      </c>
      <c r="B888" s="233">
        <v>7</v>
      </c>
      <c r="C888" s="233">
        <v>9</v>
      </c>
      <c r="D888" s="234">
        <v>3</v>
      </c>
      <c r="E888" s="234">
        <v>0</v>
      </c>
      <c r="G888" s="474"/>
      <c r="H888" s="451" t="s">
        <v>1237</v>
      </c>
      <c r="I888" s="452" t="s">
        <v>4185</v>
      </c>
      <c r="J888" s="453" t="s">
        <v>2329</v>
      </c>
      <c r="K888" s="454"/>
      <c r="L888" s="455"/>
      <c r="M888" s="455"/>
      <c r="N888" s="456">
        <v>252</v>
      </c>
      <c r="O888" s="457"/>
      <c r="P888" s="430"/>
    </row>
    <row r="889" spans="1:16" ht="13.9" hidden="1" customHeight="1" outlineLevel="3" x14ac:dyDescent="0.2">
      <c r="A889" s="233">
        <v>0</v>
      </c>
      <c r="B889" s="233">
        <v>7</v>
      </c>
      <c r="C889" s="233">
        <v>9</v>
      </c>
      <c r="D889" s="234">
        <v>3</v>
      </c>
      <c r="E889" s="234">
        <v>1</v>
      </c>
      <c r="G889" s="458" t="s">
        <v>17</v>
      </c>
      <c r="H889" s="459" t="s">
        <v>1238</v>
      </c>
      <c r="I889" s="460" t="s">
        <v>4186</v>
      </c>
      <c r="J889" s="461" t="s">
        <v>2329</v>
      </c>
      <c r="K889" s="462" t="s">
        <v>1129</v>
      </c>
      <c r="L889" s="463">
        <v>1</v>
      </c>
      <c r="M889" s="463">
        <v>252</v>
      </c>
      <c r="N889" s="464">
        <v>252</v>
      </c>
      <c r="O889" s="465" t="s">
        <v>2739</v>
      </c>
      <c r="P889" s="431" t="s">
        <v>6711</v>
      </c>
    </row>
    <row r="890" spans="1:16" ht="13.9" hidden="1" customHeight="1" outlineLevel="2" x14ac:dyDescent="0.2">
      <c r="A890" s="233">
        <v>0</v>
      </c>
      <c r="B890" s="233">
        <v>7</v>
      </c>
      <c r="C890" s="233">
        <v>9</v>
      </c>
      <c r="D890" s="234">
        <v>4</v>
      </c>
      <c r="E890" s="234">
        <v>0</v>
      </c>
      <c r="G890" s="474"/>
      <c r="H890" s="451" t="s">
        <v>1237</v>
      </c>
      <c r="I890" s="452" t="s">
        <v>4187</v>
      </c>
      <c r="J890" s="453" t="s">
        <v>1254</v>
      </c>
      <c r="K890" s="454"/>
      <c r="L890" s="455"/>
      <c r="M890" s="455"/>
      <c r="N890" s="456">
        <v>20040.740000000002</v>
      </c>
      <c r="O890" s="457"/>
      <c r="P890" s="430"/>
    </row>
    <row r="891" spans="1:16" ht="13.9" hidden="1" customHeight="1" outlineLevel="3" x14ac:dyDescent="0.2">
      <c r="A891" s="233">
        <v>0</v>
      </c>
      <c r="B891" s="233">
        <v>7</v>
      </c>
      <c r="C891" s="233">
        <v>9</v>
      </c>
      <c r="D891" s="234">
        <v>4</v>
      </c>
      <c r="E891" s="234">
        <v>1</v>
      </c>
      <c r="G891" s="458" t="s">
        <v>17</v>
      </c>
      <c r="H891" s="459" t="s">
        <v>1238</v>
      </c>
      <c r="I891" s="460" t="s">
        <v>4188</v>
      </c>
      <c r="J891" s="461" t="s">
        <v>1255</v>
      </c>
      <c r="K891" s="462" t="s">
        <v>1129</v>
      </c>
      <c r="L891" s="463">
        <v>1</v>
      </c>
      <c r="M891" s="463">
        <v>20040.739999999998</v>
      </c>
      <c r="N891" s="464">
        <v>20040.740000000002</v>
      </c>
      <c r="O891" s="471" t="s">
        <v>3018</v>
      </c>
      <c r="P891" s="431" t="s">
        <v>6711</v>
      </c>
    </row>
    <row r="892" spans="1:16" ht="13.9" hidden="1" customHeight="1" outlineLevel="1" x14ac:dyDescent="0.2">
      <c r="A892" s="233">
        <v>0</v>
      </c>
      <c r="B892" s="233">
        <v>7</v>
      </c>
      <c r="C892" s="233">
        <v>10</v>
      </c>
      <c r="D892" s="234">
        <v>0</v>
      </c>
      <c r="E892" s="234">
        <v>1</v>
      </c>
      <c r="G892" s="443"/>
      <c r="H892" s="444" t="s">
        <v>38</v>
      </c>
      <c r="I892" s="445" t="s">
        <v>4189</v>
      </c>
      <c r="J892" s="446" t="s">
        <v>2749</v>
      </c>
      <c r="K892" s="447"/>
      <c r="L892" s="448"/>
      <c r="M892" s="448"/>
      <c r="N892" s="449">
        <v>615624.03766277805</v>
      </c>
      <c r="O892" s="432"/>
      <c r="P892" s="435"/>
    </row>
    <row r="893" spans="1:16" ht="13.9" hidden="1" customHeight="1" outlineLevel="2" x14ac:dyDescent="0.2">
      <c r="A893" s="233">
        <v>0</v>
      </c>
      <c r="B893" s="233">
        <v>7</v>
      </c>
      <c r="C893" s="233">
        <v>10</v>
      </c>
      <c r="D893" s="234">
        <v>1</v>
      </c>
      <c r="E893" s="234">
        <v>0</v>
      </c>
      <c r="G893" s="474"/>
      <c r="H893" s="451" t="s">
        <v>1237</v>
      </c>
      <c r="I893" s="452" t="s">
        <v>4190</v>
      </c>
      <c r="J893" s="453" t="s">
        <v>2239</v>
      </c>
      <c r="K893" s="454"/>
      <c r="L893" s="455"/>
      <c r="M893" s="455"/>
      <c r="N893" s="456">
        <v>201471.08802380101</v>
      </c>
      <c r="O893" s="457"/>
      <c r="P893" s="430"/>
    </row>
    <row r="894" spans="1:16" ht="13.9" hidden="1" customHeight="1" outlineLevel="3" x14ac:dyDescent="0.2">
      <c r="A894" s="233">
        <v>0</v>
      </c>
      <c r="B894" s="233">
        <v>7</v>
      </c>
      <c r="C894" s="233">
        <v>10</v>
      </c>
      <c r="D894" s="234">
        <v>1</v>
      </c>
      <c r="E894" s="234">
        <v>1</v>
      </c>
      <c r="G894" s="458" t="s">
        <v>17</v>
      </c>
      <c r="H894" s="459" t="s">
        <v>1238</v>
      </c>
      <c r="I894" s="460" t="s">
        <v>4191</v>
      </c>
      <c r="J894" s="461" t="s">
        <v>2738</v>
      </c>
      <c r="K894" s="462" t="s">
        <v>1129</v>
      </c>
      <c r="L894" s="463">
        <v>1</v>
      </c>
      <c r="M894" s="463">
        <v>201471.08802380069</v>
      </c>
      <c r="N894" s="464">
        <v>201471.08802380101</v>
      </c>
      <c r="O894" s="465" t="s">
        <v>2736</v>
      </c>
      <c r="P894" s="431" t="s">
        <v>6711</v>
      </c>
    </row>
    <row r="895" spans="1:16" ht="13.9" hidden="1" customHeight="1" outlineLevel="2" x14ac:dyDescent="0.2">
      <c r="A895" s="233">
        <v>0</v>
      </c>
      <c r="B895" s="233">
        <v>7</v>
      </c>
      <c r="C895" s="233">
        <v>10</v>
      </c>
      <c r="D895" s="234">
        <v>2</v>
      </c>
      <c r="E895" s="234">
        <v>0</v>
      </c>
      <c r="G895" s="474"/>
      <c r="H895" s="451" t="s">
        <v>1237</v>
      </c>
      <c r="I895" s="452" t="s">
        <v>4192</v>
      </c>
      <c r="J895" s="453" t="s">
        <v>2328</v>
      </c>
      <c r="K895" s="454"/>
      <c r="L895" s="455"/>
      <c r="M895" s="455"/>
      <c r="N895" s="456">
        <v>270753.84963897802</v>
      </c>
      <c r="O895" s="457"/>
      <c r="P895" s="430"/>
    </row>
    <row r="896" spans="1:16" ht="13.9" hidden="1" customHeight="1" outlineLevel="3" x14ac:dyDescent="0.2">
      <c r="A896" s="233">
        <v>0</v>
      </c>
      <c r="B896" s="233">
        <v>7</v>
      </c>
      <c r="C896" s="233">
        <v>10</v>
      </c>
      <c r="D896" s="234">
        <v>2</v>
      </c>
      <c r="E896" s="234">
        <v>1</v>
      </c>
      <c r="G896" s="458" t="s">
        <v>17</v>
      </c>
      <c r="H896" s="459" t="s">
        <v>1238</v>
      </c>
      <c r="I896" s="460" t="s">
        <v>4193</v>
      </c>
      <c r="J896" s="461" t="s">
        <v>2328</v>
      </c>
      <c r="K896" s="462" t="s">
        <v>1129</v>
      </c>
      <c r="L896" s="463">
        <v>1</v>
      </c>
      <c r="M896" s="463">
        <v>270753.84963897767</v>
      </c>
      <c r="N896" s="464">
        <v>270753.84963897802</v>
      </c>
      <c r="O896" s="465" t="s">
        <v>2736</v>
      </c>
      <c r="P896" s="431" t="s">
        <v>6711</v>
      </c>
    </row>
    <row r="897" spans="1:16" ht="13.9" hidden="1" customHeight="1" outlineLevel="2" x14ac:dyDescent="0.2">
      <c r="A897" s="233">
        <v>0</v>
      </c>
      <c r="B897" s="233">
        <v>7</v>
      </c>
      <c r="C897" s="233">
        <v>10</v>
      </c>
      <c r="D897" s="234">
        <v>3</v>
      </c>
      <c r="E897" s="234">
        <v>0</v>
      </c>
      <c r="G897" s="474"/>
      <c r="H897" s="451" t="s">
        <v>1237</v>
      </c>
      <c r="I897" s="452" t="s">
        <v>4194</v>
      </c>
      <c r="J897" s="453" t="s">
        <v>2329</v>
      </c>
      <c r="K897" s="454"/>
      <c r="L897" s="455"/>
      <c r="M897" s="455"/>
      <c r="N897" s="456">
        <v>2016</v>
      </c>
      <c r="O897" s="457"/>
      <c r="P897" s="430"/>
    </row>
    <row r="898" spans="1:16" ht="13.9" hidden="1" customHeight="1" outlineLevel="3" x14ac:dyDescent="0.2">
      <c r="A898" s="233">
        <v>0</v>
      </c>
      <c r="B898" s="233">
        <v>7</v>
      </c>
      <c r="C898" s="233">
        <v>10</v>
      </c>
      <c r="D898" s="234">
        <v>3</v>
      </c>
      <c r="E898" s="234">
        <v>1</v>
      </c>
      <c r="G898" s="458" t="s">
        <v>17</v>
      </c>
      <c r="H898" s="459" t="s">
        <v>1238</v>
      </c>
      <c r="I898" s="460" t="s">
        <v>4195</v>
      </c>
      <c r="J898" s="461" t="s">
        <v>2329</v>
      </c>
      <c r="K898" s="462" t="s">
        <v>1129</v>
      </c>
      <c r="L898" s="463">
        <v>1</v>
      </c>
      <c r="M898" s="463">
        <v>2016</v>
      </c>
      <c r="N898" s="464">
        <v>2016</v>
      </c>
      <c r="O898" s="465" t="s">
        <v>2739</v>
      </c>
      <c r="P898" s="431" t="s">
        <v>6711</v>
      </c>
    </row>
    <row r="899" spans="1:16" ht="13.9" hidden="1" customHeight="1" outlineLevel="2" x14ac:dyDescent="0.2">
      <c r="A899" s="233">
        <v>0</v>
      </c>
      <c r="B899" s="233">
        <v>7</v>
      </c>
      <c r="C899" s="233">
        <v>10</v>
      </c>
      <c r="D899" s="234">
        <v>4</v>
      </c>
      <c r="E899" s="234">
        <v>0</v>
      </c>
      <c r="G899" s="474"/>
      <c r="H899" s="451" t="s">
        <v>1237</v>
      </c>
      <c r="I899" s="452" t="s">
        <v>4196</v>
      </c>
      <c r="J899" s="453" t="s">
        <v>2240</v>
      </c>
      <c r="K899" s="454"/>
      <c r="L899" s="455"/>
      <c r="M899" s="455"/>
      <c r="N899" s="456">
        <v>600.86</v>
      </c>
      <c r="O899" s="457"/>
      <c r="P899" s="430"/>
    </row>
    <row r="900" spans="1:16" ht="13.9" hidden="1" customHeight="1" outlineLevel="3" x14ac:dyDescent="0.2">
      <c r="A900" s="233">
        <v>0</v>
      </c>
      <c r="B900" s="233">
        <v>7</v>
      </c>
      <c r="C900" s="233">
        <v>10</v>
      </c>
      <c r="D900" s="234">
        <v>4</v>
      </c>
      <c r="E900" s="234">
        <v>1</v>
      </c>
      <c r="G900" s="458" t="s">
        <v>17</v>
      </c>
      <c r="H900" s="459" t="s">
        <v>1238</v>
      </c>
      <c r="I900" s="460" t="s">
        <v>4197</v>
      </c>
      <c r="J900" s="461" t="s">
        <v>2240</v>
      </c>
      <c r="K900" s="462" t="s">
        <v>1129</v>
      </c>
      <c r="L900" s="463">
        <v>1</v>
      </c>
      <c r="M900" s="463">
        <v>600.86</v>
      </c>
      <c r="N900" s="464">
        <v>600.86</v>
      </c>
      <c r="O900" s="465" t="s">
        <v>2740</v>
      </c>
      <c r="P900" s="431" t="s">
        <v>6711</v>
      </c>
    </row>
    <row r="901" spans="1:16" ht="13.9" hidden="1" customHeight="1" outlineLevel="2" x14ac:dyDescent="0.2">
      <c r="A901" s="233">
        <v>0</v>
      </c>
      <c r="B901" s="233">
        <v>7</v>
      </c>
      <c r="C901" s="233">
        <v>10</v>
      </c>
      <c r="D901" s="234">
        <v>5</v>
      </c>
      <c r="E901" s="234">
        <v>0</v>
      </c>
      <c r="G901" s="474"/>
      <c r="H901" s="451" t="s">
        <v>1237</v>
      </c>
      <c r="I901" s="452" t="s">
        <v>4198</v>
      </c>
      <c r="J901" s="453" t="s">
        <v>1254</v>
      </c>
      <c r="K901" s="454"/>
      <c r="L901" s="455"/>
      <c r="M901" s="455"/>
      <c r="N901" s="456">
        <v>140782.24</v>
      </c>
      <c r="O901" s="457"/>
      <c r="P901" s="430"/>
    </row>
    <row r="902" spans="1:16" ht="13.9" hidden="1" customHeight="1" outlineLevel="3" x14ac:dyDescent="0.2">
      <c r="A902" s="233">
        <v>0</v>
      </c>
      <c r="B902" s="233">
        <v>7</v>
      </c>
      <c r="C902" s="233">
        <v>10</v>
      </c>
      <c r="D902" s="234">
        <v>5</v>
      </c>
      <c r="E902" s="234">
        <v>1</v>
      </c>
      <c r="G902" s="458" t="s">
        <v>17</v>
      </c>
      <c r="H902" s="459" t="s">
        <v>1238</v>
      </c>
      <c r="I902" s="460" t="s">
        <v>4199</v>
      </c>
      <c r="J902" s="461" t="s">
        <v>1255</v>
      </c>
      <c r="K902" s="462" t="s">
        <v>1129</v>
      </c>
      <c r="L902" s="463">
        <v>1</v>
      </c>
      <c r="M902" s="463">
        <v>140782.24000000002</v>
      </c>
      <c r="N902" s="464">
        <v>140782.24</v>
      </c>
      <c r="O902" s="471" t="s">
        <v>3018</v>
      </c>
      <c r="P902" s="431" t="s">
        <v>6711</v>
      </c>
    </row>
    <row r="903" spans="1:16" ht="13.9" hidden="1" customHeight="1" outlineLevel="1" x14ac:dyDescent="0.2">
      <c r="A903" s="233">
        <v>0</v>
      </c>
      <c r="B903" s="233">
        <v>7</v>
      </c>
      <c r="C903" s="233">
        <v>11</v>
      </c>
      <c r="D903" s="234">
        <v>0</v>
      </c>
      <c r="E903" s="234">
        <v>1</v>
      </c>
      <c r="G903" s="443"/>
      <c r="H903" s="444" t="s">
        <v>38</v>
      </c>
      <c r="I903" s="445" t="s">
        <v>4200</v>
      </c>
      <c r="J903" s="446" t="s">
        <v>2750</v>
      </c>
      <c r="K903" s="447"/>
      <c r="L903" s="448"/>
      <c r="M903" s="448"/>
      <c r="N903" s="449">
        <v>578435.10566785198</v>
      </c>
      <c r="O903" s="432"/>
      <c r="P903" s="435"/>
    </row>
    <row r="904" spans="1:16" ht="13.9" hidden="1" customHeight="1" outlineLevel="2" x14ac:dyDescent="0.2">
      <c r="A904" s="233">
        <v>0</v>
      </c>
      <c r="B904" s="233">
        <v>7</v>
      </c>
      <c r="C904" s="233">
        <v>11</v>
      </c>
      <c r="D904" s="234">
        <v>1</v>
      </c>
      <c r="E904" s="234">
        <v>0</v>
      </c>
      <c r="G904" s="474"/>
      <c r="H904" s="451" t="s">
        <v>1237</v>
      </c>
      <c r="I904" s="452" t="s">
        <v>4201</v>
      </c>
      <c r="J904" s="453" t="s">
        <v>2239</v>
      </c>
      <c r="K904" s="454"/>
      <c r="L904" s="455"/>
      <c r="M904" s="455"/>
      <c r="N904" s="456">
        <v>116667.34070267501</v>
      </c>
      <c r="O904" s="457"/>
      <c r="P904" s="430"/>
    </row>
    <row r="905" spans="1:16" ht="13.9" hidden="1" customHeight="1" outlineLevel="3" x14ac:dyDescent="0.2">
      <c r="A905" s="233">
        <v>0</v>
      </c>
      <c r="B905" s="233">
        <v>7</v>
      </c>
      <c r="C905" s="233">
        <v>11</v>
      </c>
      <c r="D905" s="234">
        <v>1</v>
      </c>
      <c r="E905" s="234">
        <v>1</v>
      </c>
      <c r="G905" s="458" t="s">
        <v>17</v>
      </c>
      <c r="H905" s="459" t="s">
        <v>1238</v>
      </c>
      <c r="I905" s="460" t="s">
        <v>4202</v>
      </c>
      <c r="J905" s="461" t="s">
        <v>2738</v>
      </c>
      <c r="K905" s="462" t="s">
        <v>1129</v>
      </c>
      <c r="L905" s="463">
        <v>1</v>
      </c>
      <c r="M905" s="463">
        <v>116667.34070267536</v>
      </c>
      <c r="N905" s="464">
        <v>116667.34070267501</v>
      </c>
      <c r="O905" s="465" t="s">
        <v>2736</v>
      </c>
      <c r="P905" s="431" t="s">
        <v>6711</v>
      </c>
    </row>
    <row r="906" spans="1:16" ht="13.9" hidden="1" customHeight="1" outlineLevel="2" x14ac:dyDescent="0.2">
      <c r="A906" s="233">
        <v>0</v>
      </c>
      <c r="B906" s="233">
        <v>7</v>
      </c>
      <c r="C906" s="233">
        <v>11</v>
      </c>
      <c r="D906" s="234">
        <v>2</v>
      </c>
      <c r="E906" s="234">
        <v>0</v>
      </c>
      <c r="G906" s="474"/>
      <c r="H906" s="451" t="s">
        <v>1237</v>
      </c>
      <c r="I906" s="452" t="s">
        <v>4203</v>
      </c>
      <c r="J906" s="453" t="s">
        <v>2328</v>
      </c>
      <c r="K906" s="454"/>
      <c r="L906" s="455"/>
      <c r="M906" s="455"/>
      <c r="N906" s="456">
        <v>67666.724965176807</v>
      </c>
      <c r="O906" s="457"/>
      <c r="P906" s="430"/>
    </row>
    <row r="907" spans="1:16" ht="13.9" hidden="1" customHeight="1" outlineLevel="3" x14ac:dyDescent="0.2">
      <c r="A907" s="233">
        <v>0</v>
      </c>
      <c r="B907" s="233">
        <v>7</v>
      </c>
      <c r="C907" s="233">
        <v>11</v>
      </c>
      <c r="D907" s="234">
        <v>2</v>
      </c>
      <c r="E907" s="234">
        <v>1</v>
      </c>
      <c r="G907" s="458" t="s">
        <v>17</v>
      </c>
      <c r="H907" s="459" t="s">
        <v>1238</v>
      </c>
      <c r="I907" s="460" t="s">
        <v>4204</v>
      </c>
      <c r="J907" s="461" t="s">
        <v>2328</v>
      </c>
      <c r="K907" s="462" t="s">
        <v>1129</v>
      </c>
      <c r="L907" s="463">
        <v>1</v>
      </c>
      <c r="M907" s="463">
        <v>67666.724965176836</v>
      </c>
      <c r="N907" s="464">
        <v>67666.724965176807</v>
      </c>
      <c r="O907" s="465" t="s">
        <v>2736</v>
      </c>
      <c r="P907" s="431" t="s">
        <v>6711</v>
      </c>
    </row>
    <row r="908" spans="1:16" ht="13.9" hidden="1" customHeight="1" outlineLevel="2" x14ac:dyDescent="0.2">
      <c r="A908" s="233">
        <v>0</v>
      </c>
      <c r="B908" s="233">
        <v>7</v>
      </c>
      <c r="C908" s="233">
        <v>11</v>
      </c>
      <c r="D908" s="234">
        <v>3</v>
      </c>
      <c r="E908" s="234">
        <v>0</v>
      </c>
      <c r="G908" s="474"/>
      <c r="H908" s="451" t="s">
        <v>1237</v>
      </c>
      <c r="I908" s="452" t="s">
        <v>4205</v>
      </c>
      <c r="J908" s="453" t="s">
        <v>2329</v>
      </c>
      <c r="K908" s="454"/>
      <c r="L908" s="455"/>
      <c r="M908" s="455"/>
      <c r="N908" s="456">
        <v>5544</v>
      </c>
      <c r="O908" s="457"/>
      <c r="P908" s="430"/>
    </row>
    <row r="909" spans="1:16" ht="13.9" hidden="1" customHeight="1" outlineLevel="3" x14ac:dyDescent="0.2">
      <c r="A909" s="233">
        <v>0</v>
      </c>
      <c r="B909" s="233">
        <v>7</v>
      </c>
      <c r="C909" s="233">
        <v>11</v>
      </c>
      <c r="D909" s="234">
        <v>3</v>
      </c>
      <c r="E909" s="234">
        <v>1</v>
      </c>
      <c r="G909" s="458" t="s">
        <v>17</v>
      </c>
      <c r="H909" s="459" t="s">
        <v>1238</v>
      </c>
      <c r="I909" s="460" t="s">
        <v>4206</v>
      </c>
      <c r="J909" s="461" t="s">
        <v>2329</v>
      </c>
      <c r="K909" s="462" t="s">
        <v>1129</v>
      </c>
      <c r="L909" s="463">
        <v>1</v>
      </c>
      <c r="M909" s="463">
        <v>5544</v>
      </c>
      <c r="N909" s="464">
        <v>5544</v>
      </c>
      <c r="O909" s="465" t="s">
        <v>2739</v>
      </c>
      <c r="P909" s="431" t="s">
        <v>6711</v>
      </c>
    </row>
    <row r="910" spans="1:16" ht="13.9" hidden="1" customHeight="1" outlineLevel="2" x14ac:dyDescent="0.2">
      <c r="A910" s="233">
        <v>0</v>
      </c>
      <c r="B910" s="233">
        <v>7</v>
      </c>
      <c r="C910" s="233">
        <v>11</v>
      </c>
      <c r="D910" s="234">
        <v>4</v>
      </c>
      <c r="E910" s="234">
        <v>0</v>
      </c>
      <c r="G910" s="474"/>
      <c r="H910" s="451" t="s">
        <v>1237</v>
      </c>
      <c r="I910" s="452" t="s">
        <v>4207</v>
      </c>
      <c r="J910" s="453" t="s">
        <v>2240</v>
      </c>
      <c r="K910" s="454"/>
      <c r="L910" s="455"/>
      <c r="M910" s="455"/>
      <c r="N910" s="456">
        <v>1201.72</v>
      </c>
      <c r="O910" s="457"/>
      <c r="P910" s="430"/>
    </row>
    <row r="911" spans="1:16" ht="13.9" hidden="1" customHeight="1" outlineLevel="3" x14ac:dyDescent="0.2">
      <c r="A911" s="233">
        <v>0</v>
      </c>
      <c r="B911" s="233">
        <v>7</v>
      </c>
      <c r="C911" s="233">
        <v>11</v>
      </c>
      <c r="D911" s="234">
        <v>4</v>
      </c>
      <c r="E911" s="234">
        <v>1</v>
      </c>
      <c r="G911" s="458" t="s">
        <v>17</v>
      </c>
      <c r="H911" s="459" t="s">
        <v>1238</v>
      </c>
      <c r="I911" s="460" t="s">
        <v>4208</v>
      </c>
      <c r="J911" s="461" t="s">
        <v>2240</v>
      </c>
      <c r="K911" s="462" t="s">
        <v>1129</v>
      </c>
      <c r="L911" s="463">
        <v>1</v>
      </c>
      <c r="M911" s="463">
        <v>1201.72</v>
      </c>
      <c r="N911" s="464">
        <v>1201.72</v>
      </c>
      <c r="O911" s="465" t="s">
        <v>2740</v>
      </c>
      <c r="P911" s="431" t="s">
        <v>6711</v>
      </c>
    </row>
    <row r="912" spans="1:16" ht="13.9" hidden="1" customHeight="1" outlineLevel="2" x14ac:dyDescent="0.2">
      <c r="A912" s="233">
        <v>0</v>
      </c>
      <c r="B912" s="233">
        <v>7</v>
      </c>
      <c r="C912" s="233">
        <v>11</v>
      </c>
      <c r="D912" s="234">
        <v>5</v>
      </c>
      <c r="E912" s="234">
        <v>0</v>
      </c>
      <c r="G912" s="474"/>
      <c r="H912" s="451" t="s">
        <v>1237</v>
      </c>
      <c r="I912" s="452" t="s">
        <v>4209</v>
      </c>
      <c r="J912" s="453" t="s">
        <v>1254</v>
      </c>
      <c r="K912" s="454"/>
      <c r="L912" s="455"/>
      <c r="M912" s="455"/>
      <c r="N912" s="456">
        <v>387355.32</v>
      </c>
      <c r="O912" s="457"/>
      <c r="P912" s="430"/>
    </row>
    <row r="913" spans="1:16" ht="13.9" hidden="1" customHeight="1" outlineLevel="3" x14ac:dyDescent="0.2">
      <c r="A913" s="233">
        <v>0</v>
      </c>
      <c r="B913" s="233">
        <v>7</v>
      </c>
      <c r="C913" s="233">
        <v>11</v>
      </c>
      <c r="D913" s="234">
        <v>5</v>
      </c>
      <c r="E913" s="234">
        <v>1</v>
      </c>
      <c r="G913" s="458" t="s">
        <v>17</v>
      </c>
      <c r="H913" s="459" t="s">
        <v>1238</v>
      </c>
      <c r="I913" s="460" t="s">
        <v>4210</v>
      </c>
      <c r="J913" s="461" t="s">
        <v>1255</v>
      </c>
      <c r="K913" s="462" t="s">
        <v>1129</v>
      </c>
      <c r="L913" s="463">
        <v>1</v>
      </c>
      <c r="M913" s="463">
        <v>387355.32</v>
      </c>
      <c r="N913" s="464">
        <v>387355.32</v>
      </c>
      <c r="O913" s="471" t="s">
        <v>3018</v>
      </c>
      <c r="P913" s="431" t="s">
        <v>6711</v>
      </c>
    </row>
    <row r="914" spans="1:16" ht="13.9" hidden="1" customHeight="1" outlineLevel="1" x14ac:dyDescent="0.2">
      <c r="A914" s="233">
        <v>0</v>
      </c>
      <c r="B914" s="233">
        <v>7</v>
      </c>
      <c r="C914" s="233">
        <v>12</v>
      </c>
      <c r="D914" s="234">
        <v>0</v>
      </c>
      <c r="E914" s="234">
        <v>1</v>
      </c>
      <c r="G914" s="443"/>
      <c r="H914" s="444" t="s">
        <v>38</v>
      </c>
      <c r="I914" s="445" t="s">
        <v>4211</v>
      </c>
      <c r="J914" s="446" t="s">
        <v>2751</v>
      </c>
      <c r="K914" s="447"/>
      <c r="L914" s="448"/>
      <c r="M914" s="448"/>
      <c r="N914" s="449">
        <v>108194.941435812</v>
      </c>
      <c r="O914" s="432"/>
      <c r="P914" s="435"/>
    </row>
    <row r="915" spans="1:16" ht="13.9" hidden="1" customHeight="1" outlineLevel="2" x14ac:dyDescent="0.2">
      <c r="A915" s="233">
        <v>0</v>
      </c>
      <c r="B915" s="233">
        <v>7</v>
      </c>
      <c r="C915" s="233">
        <v>12</v>
      </c>
      <c r="D915" s="234">
        <v>1</v>
      </c>
      <c r="E915" s="234">
        <v>0</v>
      </c>
      <c r="G915" s="474"/>
      <c r="H915" s="451" t="s">
        <v>1237</v>
      </c>
      <c r="I915" s="452" t="s">
        <v>4212</v>
      </c>
      <c r="J915" s="453" t="s">
        <v>2239</v>
      </c>
      <c r="K915" s="454"/>
      <c r="L915" s="455"/>
      <c r="M915" s="455"/>
      <c r="N915" s="456">
        <v>60914.022071385298</v>
      </c>
      <c r="O915" s="457"/>
      <c r="P915" s="430"/>
    </row>
    <row r="916" spans="1:16" ht="13.9" hidden="1" customHeight="1" outlineLevel="3" x14ac:dyDescent="0.2">
      <c r="A916" s="233">
        <v>0</v>
      </c>
      <c r="B916" s="233">
        <v>7</v>
      </c>
      <c r="C916" s="233">
        <v>12</v>
      </c>
      <c r="D916" s="234">
        <v>1</v>
      </c>
      <c r="E916" s="234">
        <v>1</v>
      </c>
      <c r="G916" s="458" t="s">
        <v>17</v>
      </c>
      <c r="H916" s="459" t="s">
        <v>1238</v>
      </c>
      <c r="I916" s="460" t="s">
        <v>4213</v>
      </c>
      <c r="J916" s="461" t="s">
        <v>2738</v>
      </c>
      <c r="K916" s="462" t="s">
        <v>1129</v>
      </c>
      <c r="L916" s="463">
        <v>1</v>
      </c>
      <c r="M916" s="463">
        <v>60914.022071385312</v>
      </c>
      <c r="N916" s="464">
        <v>60914.022071385298</v>
      </c>
      <c r="O916" s="465" t="s">
        <v>2736</v>
      </c>
      <c r="P916" s="431" t="s">
        <v>6711</v>
      </c>
    </row>
    <row r="917" spans="1:16" ht="13.9" hidden="1" customHeight="1" outlineLevel="2" x14ac:dyDescent="0.2">
      <c r="A917" s="233">
        <v>0</v>
      </c>
      <c r="B917" s="233">
        <v>7</v>
      </c>
      <c r="C917" s="233">
        <v>12</v>
      </c>
      <c r="D917" s="234">
        <v>2</v>
      </c>
      <c r="E917" s="234">
        <v>0</v>
      </c>
      <c r="G917" s="474"/>
      <c r="H917" s="451" t="s">
        <v>1237</v>
      </c>
      <c r="I917" s="452" t="s">
        <v>4214</v>
      </c>
      <c r="J917" s="453" t="s">
        <v>2328</v>
      </c>
      <c r="K917" s="454"/>
      <c r="L917" s="455"/>
      <c r="M917" s="455"/>
      <c r="N917" s="456">
        <v>30037.239364426601</v>
      </c>
      <c r="O917" s="457"/>
      <c r="P917" s="430"/>
    </row>
    <row r="918" spans="1:16" ht="13.9" hidden="1" customHeight="1" outlineLevel="3" x14ac:dyDescent="0.2">
      <c r="A918" s="233">
        <v>0</v>
      </c>
      <c r="B918" s="233">
        <v>7</v>
      </c>
      <c r="C918" s="233">
        <v>12</v>
      </c>
      <c r="D918" s="234">
        <v>2</v>
      </c>
      <c r="E918" s="234">
        <v>1</v>
      </c>
      <c r="G918" s="458" t="s">
        <v>17</v>
      </c>
      <c r="H918" s="459" t="s">
        <v>1238</v>
      </c>
      <c r="I918" s="460" t="s">
        <v>4215</v>
      </c>
      <c r="J918" s="461" t="s">
        <v>2328</v>
      </c>
      <c r="K918" s="462" t="s">
        <v>1129</v>
      </c>
      <c r="L918" s="463">
        <v>1</v>
      </c>
      <c r="M918" s="463">
        <v>30037.239364426649</v>
      </c>
      <c r="N918" s="464">
        <v>30037.239364426601</v>
      </c>
      <c r="O918" s="465" t="s">
        <v>2736</v>
      </c>
      <c r="P918" s="431" t="s">
        <v>6711</v>
      </c>
    </row>
    <row r="919" spans="1:16" ht="13.9" hidden="1" customHeight="1" outlineLevel="2" x14ac:dyDescent="0.2">
      <c r="A919" s="233">
        <v>0</v>
      </c>
      <c r="B919" s="233">
        <v>7</v>
      </c>
      <c r="C919" s="233">
        <v>12</v>
      </c>
      <c r="D919" s="234">
        <v>3</v>
      </c>
      <c r="E919" s="234">
        <v>0</v>
      </c>
      <c r="G919" s="474"/>
      <c r="H919" s="451" t="s">
        <v>1237</v>
      </c>
      <c r="I919" s="452" t="s">
        <v>4216</v>
      </c>
      <c r="J919" s="453" t="s">
        <v>2329</v>
      </c>
      <c r="K919" s="454"/>
      <c r="L919" s="455"/>
      <c r="M919" s="455"/>
      <c r="N919" s="456">
        <v>252</v>
      </c>
      <c r="O919" s="457"/>
      <c r="P919" s="430"/>
    </row>
    <row r="920" spans="1:16" ht="13.9" hidden="1" customHeight="1" outlineLevel="3" x14ac:dyDescent="0.2">
      <c r="A920" s="233">
        <v>0</v>
      </c>
      <c r="B920" s="233">
        <v>7</v>
      </c>
      <c r="C920" s="233">
        <v>12</v>
      </c>
      <c r="D920" s="234">
        <v>3</v>
      </c>
      <c r="E920" s="234">
        <v>1</v>
      </c>
      <c r="G920" s="458" t="s">
        <v>17</v>
      </c>
      <c r="H920" s="459" t="s">
        <v>1238</v>
      </c>
      <c r="I920" s="460" t="s">
        <v>4217</v>
      </c>
      <c r="J920" s="461" t="s">
        <v>2329</v>
      </c>
      <c r="K920" s="462" t="s">
        <v>1129</v>
      </c>
      <c r="L920" s="463">
        <v>1</v>
      </c>
      <c r="M920" s="463">
        <v>252</v>
      </c>
      <c r="N920" s="464">
        <v>252</v>
      </c>
      <c r="O920" s="465" t="s">
        <v>2739</v>
      </c>
      <c r="P920" s="431" t="s">
        <v>6711</v>
      </c>
    </row>
    <row r="921" spans="1:16" ht="13.9" hidden="1" customHeight="1" outlineLevel="2" x14ac:dyDescent="0.2">
      <c r="A921" s="233">
        <v>0</v>
      </c>
      <c r="B921" s="233">
        <v>7</v>
      </c>
      <c r="C921" s="233">
        <v>12</v>
      </c>
      <c r="D921" s="234">
        <v>4</v>
      </c>
      <c r="E921" s="234">
        <v>0</v>
      </c>
      <c r="G921" s="474"/>
      <c r="H921" s="451" t="s">
        <v>1237</v>
      </c>
      <c r="I921" s="452" t="s">
        <v>4218</v>
      </c>
      <c r="J921" s="453" t="s">
        <v>1254</v>
      </c>
      <c r="K921" s="454"/>
      <c r="L921" s="455"/>
      <c r="M921" s="455"/>
      <c r="N921" s="456">
        <v>16991.68</v>
      </c>
      <c r="O921" s="457"/>
      <c r="P921" s="430"/>
    </row>
    <row r="922" spans="1:16" ht="13.9" hidden="1" customHeight="1" outlineLevel="3" x14ac:dyDescent="0.2">
      <c r="A922" s="233">
        <v>0</v>
      </c>
      <c r="B922" s="233">
        <v>7</v>
      </c>
      <c r="C922" s="233">
        <v>12</v>
      </c>
      <c r="D922" s="234">
        <v>4</v>
      </c>
      <c r="E922" s="234">
        <v>1</v>
      </c>
      <c r="G922" s="458" t="s">
        <v>17</v>
      </c>
      <c r="H922" s="459" t="s">
        <v>1238</v>
      </c>
      <c r="I922" s="460" t="s">
        <v>4219</v>
      </c>
      <c r="J922" s="461" t="s">
        <v>1255</v>
      </c>
      <c r="K922" s="462" t="s">
        <v>1129</v>
      </c>
      <c r="L922" s="463">
        <v>1</v>
      </c>
      <c r="M922" s="463">
        <v>16991.68</v>
      </c>
      <c r="N922" s="464">
        <v>16991.68</v>
      </c>
      <c r="O922" s="471" t="s">
        <v>3018</v>
      </c>
      <c r="P922" s="431" t="s">
        <v>6711</v>
      </c>
    </row>
    <row r="923" spans="1:16" ht="13.9" hidden="1" customHeight="1" outlineLevel="1" x14ac:dyDescent="0.2">
      <c r="A923" s="233">
        <v>0</v>
      </c>
      <c r="B923" s="233">
        <v>7</v>
      </c>
      <c r="C923" s="233">
        <v>13</v>
      </c>
      <c r="D923" s="234">
        <v>0</v>
      </c>
      <c r="E923" s="234">
        <v>1</v>
      </c>
      <c r="G923" s="443"/>
      <c r="H923" s="444" t="s">
        <v>38</v>
      </c>
      <c r="I923" s="445" t="s">
        <v>4220</v>
      </c>
      <c r="J923" s="446" t="s">
        <v>2752</v>
      </c>
      <c r="K923" s="447"/>
      <c r="L923" s="448"/>
      <c r="M923" s="448"/>
      <c r="N923" s="449">
        <v>61518.190304438598</v>
      </c>
      <c r="O923" s="432"/>
      <c r="P923" s="435"/>
    </row>
    <row r="924" spans="1:16" ht="13.9" hidden="1" customHeight="1" outlineLevel="2" x14ac:dyDescent="0.2">
      <c r="A924" s="233">
        <v>0</v>
      </c>
      <c r="B924" s="233">
        <v>7</v>
      </c>
      <c r="C924" s="233">
        <v>13</v>
      </c>
      <c r="D924" s="234">
        <v>1</v>
      </c>
      <c r="E924" s="234">
        <v>0</v>
      </c>
      <c r="G924" s="474"/>
      <c r="H924" s="451" t="s">
        <v>1237</v>
      </c>
      <c r="I924" s="452" t="s">
        <v>4221</v>
      </c>
      <c r="J924" s="453" t="s">
        <v>2239</v>
      </c>
      <c r="K924" s="454"/>
      <c r="L924" s="455"/>
      <c r="M924" s="455"/>
      <c r="N924" s="456">
        <v>25503.495244944301</v>
      </c>
      <c r="O924" s="457"/>
      <c r="P924" s="430"/>
    </row>
    <row r="925" spans="1:16" ht="13.9" hidden="1" customHeight="1" outlineLevel="3" x14ac:dyDescent="0.2">
      <c r="A925" s="233">
        <v>0</v>
      </c>
      <c r="B925" s="233">
        <v>7</v>
      </c>
      <c r="C925" s="233">
        <v>13</v>
      </c>
      <c r="D925" s="234">
        <v>1</v>
      </c>
      <c r="E925" s="234">
        <v>1</v>
      </c>
      <c r="G925" s="458" t="s">
        <v>17</v>
      </c>
      <c r="H925" s="459" t="s">
        <v>1238</v>
      </c>
      <c r="I925" s="460" t="s">
        <v>4222</v>
      </c>
      <c r="J925" s="461" t="s">
        <v>2738</v>
      </c>
      <c r="K925" s="462" t="s">
        <v>1129</v>
      </c>
      <c r="L925" s="463">
        <v>1</v>
      </c>
      <c r="M925" s="463">
        <v>25503.495244944253</v>
      </c>
      <c r="N925" s="464">
        <v>25503.495244944301</v>
      </c>
      <c r="O925" s="465" t="s">
        <v>2736</v>
      </c>
      <c r="P925" s="431" t="s">
        <v>6711</v>
      </c>
    </row>
    <row r="926" spans="1:16" ht="13.9" hidden="1" customHeight="1" outlineLevel="2" x14ac:dyDescent="0.2">
      <c r="A926" s="233">
        <v>0</v>
      </c>
      <c r="B926" s="233">
        <v>7</v>
      </c>
      <c r="C926" s="233">
        <v>13</v>
      </c>
      <c r="D926" s="234">
        <v>2</v>
      </c>
      <c r="E926" s="234">
        <v>0</v>
      </c>
      <c r="G926" s="474"/>
      <c r="H926" s="451" t="s">
        <v>1237</v>
      </c>
      <c r="I926" s="452" t="s">
        <v>4223</v>
      </c>
      <c r="J926" s="453" t="s">
        <v>2328</v>
      </c>
      <c r="K926" s="454"/>
      <c r="L926" s="455"/>
      <c r="M926" s="455"/>
      <c r="N926" s="456">
        <v>19592.295059494299</v>
      </c>
      <c r="O926" s="457"/>
      <c r="P926" s="430"/>
    </row>
    <row r="927" spans="1:16" ht="13.9" hidden="1" customHeight="1" outlineLevel="3" x14ac:dyDescent="0.2">
      <c r="A927" s="233">
        <v>0</v>
      </c>
      <c r="B927" s="233">
        <v>7</v>
      </c>
      <c r="C927" s="233">
        <v>13</v>
      </c>
      <c r="D927" s="234">
        <v>2</v>
      </c>
      <c r="E927" s="234">
        <v>1</v>
      </c>
      <c r="G927" s="458" t="s">
        <v>17</v>
      </c>
      <c r="H927" s="459" t="s">
        <v>1238</v>
      </c>
      <c r="I927" s="460" t="s">
        <v>4224</v>
      </c>
      <c r="J927" s="461" t="s">
        <v>2328</v>
      </c>
      <c r="K927" s="462" t="s">
        <v>1129</v>
      </c>
      <c r="L927" s="463">
        <v>1</v>
      </c>
      <c r="M927" s="463">
        <v>19592.295059494318</v>
      </c>
      <c r="N927" s="464">
        <v>19592.295059494299</v>
      </c>
      <c r="O927" s="465" t="s">
        <v>2736</v>
      </c>
      <c r="P927" s="431" t="s">
        <v>6711</v>
      </c>
    </row>
    <row r="928" spans="1:16" ht="13.9" hidden="1" customHeight="1" outlineLevel="2" x14ac:dyDescent="0.2">
      <c r="A928" s="233">
        <v>0</v>
      </c>
      <c r="B928" s="233">
        <v>7</v>
      </c>
      <c r="C928" s="233">
        <v>13</v>
      </c>
      <c r="D928" s="234">
        <v>3</v>
      </c>
      <c r="E928" s="234">
        <v>0</v>
      </c>
      <c r="G928" s="474"/>
      <c r="H928" s="451" t="s">
        <v>1237</v>
      </c>
      <c r="I928" s="452" t="s">
        <v>4225</v>
      </c>
      <c r="J928" s="453" t="s">
        <v>2329</v>
      </c>
      <c r="K928" s="454"/>
      <c r="L928" s="455"/>
      <c r="M928" s="455"/>
      <c r="N928" s="456">
        <v>252</v>
      </c>
      <c r="O928" s="457"/>
      <c r="P928" s="430"/>
    </row>
    <row r="929" spans="1:16" ht="13.9" hidden="1" customHeight="1" outlineLevel="3" x14ac:dyDescent="0.2">
      <c r="A929" s="233">
        <v>0</v>
      </c>
      <c r="B929" s="233">
        <v>7</v>
      </c>
      <c r="C929" s="233">
        <v>13</v>
      </c>
      <c r="D929" s="234">
        <v>3</v>
      </c>
      <c r="E929" s="234">
        <v>1</v>
      </c>
      <c r="G929" s="458" t="s">
        <v>17</v>
      </c>
      <c r="H929" s="459" t="s">
        <v>1238</v>
      </c>
      <c r="I929" s="460" t="s">
        <v>4226</v>
      </c>
      <c r="J929" s="461" t="s">
        <v>2329</v>
      </c>
      <c r="K929" s="462" t="s">
        <v>1129</v>
      </c>
      <c r="L929" s="463">
        <v>1</v>
      </c>
      <c r="M929" s="463">
        <v>252</v>
      </c>
      <c r="N929" s="464">
        <v>252</v>
      </c>
      <c r="O929" s="465" t="s">
        <v>2739</v>
      </c>
      <c r="P929" s="431" t="s">
        <v>6711</v>
      </c>
    </row>
    <row r="930" spans="1:16" ht="13.9" hidden="1" customHeight="1" outlineLevel="2" x14ac:dyDescent="0.2">
      <c r="A930" s="233">
        <v>0</v>
      </c>
      <c r="B930" s="233">
        <v>7</v>
      </c>
      <c r="C930" s="233">
        <v>13</v>
      </c>
      <c r="D930" s="234">
        <v>4</v>
      </c>
      <c r="E930" s="234">
        <v>0</v>
      </c>
      <c r="G930" s="474"/>
      <c r="H930" s="451" t="s">
        <v>1237</v>
      </c>
      <c r="I930" s="452" t="s">
        <v>4227</v>
      </c>
      <c r="J930" s="453" t="s">
        <v>1254</v>
      </c>
      <c r="K930" s="454"/>
      <c r="L930" s="455"/>
      <c r="M930" s="455"/>
      <c r="N930" s="456">
        <v>16170.4</v>
      </c>
      <c r="O930" s="457"/>
      <c r="P930" s="430"/>
    </row>
    <row r="931" spans="1:16" ht="13.9" hidden="1" customHeight="1" outlineLevel="3" x14ac:dyDescent="0.2">
      <c r="A931" s="233">
        <v>0</v>
      </c>
      <c r="B931" s="233">
        <v>7</v>
      </c>
      <c r="C931" s="233">
        <v>13</v>
      </c>
      <c r="D931" s="234">
        <v>4</v>
      </c>
      <c r="E931" s="234">
        <v>1</v>
      </c>
      <c r="G931" s="458" t="s">
        <v>17</v>
      </c>
      <c r="H931" s="459" t="s">
        <v>1238</v>
      </c>
      <c r="I931" s="460" t="s">
        <v>4228</v>
      </c>
      <c r="J931" s="461" t="s">
        <v>1255</v>
      </c>
      <c r="K931" s="462" t="s">
        <v>1129</v>
      </c>
      <c r="L931" s="463">
        <v>1</v>
      </c>
      <c r="M931" s="463">
        <v>16170.400000000001</v>
      </c>
      <c r="N931" s="464">
        <v>16170.4</v>
      </c>
      <c r="O931" s="471" t="s">
        <v>3018</v>
      </c>
      <c r="P931" s="431" t="s">
        <v>6711</v>
      </c>
    </row>
    <row r="932" spans="1:16" ht="13.9" hidden="1" customHeight="1" outlineLevel="1" x14ac:dyDescent="0.2">
      <c r="A932" s="233">
        <v>0</v>
      </c>
      <c r="B932" s="233">
        <v>7</v>
      </c>
      <c r="C932" s="233">
        <v>14</v>
      </c>
      <c r="D932" s="234">
        <v>0</v>
      </c>
      <c r="E932" s="234">
        <v>1</v>
      </c>
      <c r="G932" s="443"/>
      <c r="H932" s="444" t="s">
        <v>38</v>
      </c>
      <c r="I932" s="445" t="s">
        <v>4229</v>
      </c>
      <c r="J932" s="446" t="s">
        <v>2753</v>
      </c>
      <c r="K932" s="447"/>
      <c r="L932" s="448"/>
      <c r="M932" s="448"/>
      <c r="N932" s="449">
        <v>508248.73751072597</v>
      </c>
      <c r="O932" s="432"/>
      <c r="P932" s="435"/>
    </row>
    <row r="933" spans="1:16" ht="13.9" hidden="1" customHeight="1" outlineLevel="2" x14ac:dyDescent="0.2">
      <c r="A933" s="233">
        <v>0</v>
      </c>
      <c r="B933" s="233">
        <v>7</v>
      </c>
      <c r="C933" s="233">
        <v>14</v>
      </c>
      <c r="D933" s="234">
        <v>1</v>
      </c>
      <c r="E933" s="234">
        <v>0</v>
      </c>
      <c r="G933" s="474"/>
      <c r="H933" s="451" t="s">
        <v>1237</v>
      </c>
      <c r="I933" s="452" t="s">
        <v>4230</v>
      </c>
      <c r="J933" s="453" t="s">
        <v>2239</v>
      </c>
      <c r="K933" s="454"/>
      <c r="L933" s="455"/>
      <c r="M933" s="455"/>
      <c r="N933" s="456">
        <v>165838.40289917501</v>
      </c>
      <c r="O933" s="457"/>
      <c r="P933" s="430"/>
    </row>
    <row r="934" spans="1:16" ht="13.9" hidden="1" customHeight="1" outlineLevel="3" x14ac:dyDescent="0.2">
      <c r="A934" s="233">
        <v>0</v>
      </c>
      <c r="B934" s="233">
        <v>7</v>
      </c>
      <c r="C934" s="233">
        <v>14</v>
      </c>
      <c r="D934" s="234">
        <v>1</v>
      </c>
      <c r="E934" s="234">
        <v>1</v>
      </c>
      <c r="G934" s="458" t="s">
        <v>17</v>
      </c>
      <c r="H934" s="459" t="s">
        <v>1238</v>
      </c>
      <c r="I934" s="460" t="s">
        <v>4231</v>
      </c>
      <c r="J934" s="461" t="s">
        <v>2738</v>
      </c>
      <c r="K934" s="462" t="s">
        <v>1129</v>
      </c>
      <c r="L934" s="463">
        <v>1</v>
      </c>
      <c r="M934" s="463">
        <v>165838.40289917515</v>
      </c>
      <c r="N934" s="464">
        <v>165838.40289917501</v>
      </c>
      <c r="O934" s="465" t="s">
        <v>2736</v>
      </c>
      <c r="P934" s="431" t="s">
        <v>6711</v>
      </c>
    </row>
    <row r="935" spans="1:16" ht="13.9" hidden="1" customHeight="1" outlineLevel="2" x14ac:dyDescent="0.2">
      <c r="A935" s="233">
        <v>0</v>
      </c>
      <c r="B935" s="233">
        <v>7</v>
      </c>
      <c r="C935" s="233">
        <v>14</v>
      </c>
      <c r="D935" s="234">
        <v>2</v>
      </c>
      <c r="E935" s="234">
        <v>0</v>
      </c>
      <c r="G935" s="474"/>
      <c r="H935" s="451" t="s">
        <v>1237</v>
      </c>
      <c r="I935" s="452" t="s">
        <v>4232</v>
      </c>
      <c r="J935" s="453" t="s">
        <v>2328</v>
      </c>
      <c r="K935" s="454"/>
      <c r="L935" s="455"/>
      <c r="M935" s="455"/>
      <c r="N935" s="456">
        <v>277434.45461155102</v>
      </c>
      <c r="O935" s="457"/>
      <c r="P935" s="430"/>
    </row>
    <row r="936" spans="1:16" ht="13.9" hidden="1" customHeight="1" outlineLevel="3" x14ac:dyDescent="0.2">
      <c r="A936" s="233">
        <v>0</v>
      </c>
      <c r="B936" s="233">
        <v>7</v>
      </c>
      <c r="C936" s="233">
        <v>14</v>
      </c>
      <c r="D936" s="234">
        <v>2</v>
      </c>
      <c r="E936" s="234">
        <v>1</v>
      </c>
      <c r="G936" s="458" t="s">
        <v>17</v>
      </c>
      <c r="H936" s="459" t="s">
        <v>1238</v>
      </c>
      <c r="I936" s="460" t="s">
        <v>4233</v>
      </c>
      <c r="J936" s="461" t="s">
        <v>2328</v>
      </c>
      <c r="K936" s="462" t="s">
        <v>1129</v>
      </c>
      <c r="L936" s="463">
        <v>1</v>
      </c>
      <c r="M936" s="463">
        <v>277434.45461155119</v>
      </c>
      <c r="N936" s="464">
        <v>277434.45461155102</v>
      </c>
      <c r="O936" s="465" t="s">
        <v>2736</v>
      </c>
      <c r="P936" s="431" t="s">
        <v>6711</v>
      </c>
    </row>
    <row r="937" spans="1:16" ht="13.9" hidden="1" customHeight="1" outlineLevel="2" x14ac:dyDescent="0.2">
      <c r="A937" s="233">
        <v>0</v>
      </c>
      <c r="B937" s="233">
        <v>7</v>
      </c>
      <c r="C937" s="233">
        <v>14</v>
      </c>
      <c r="D937" s="234">
        <v>3</v>
      </c>
      <c r="E937" s="234">
        <v>0</v>
      </c>
      <c r="G937" s="474"/>
      <c r="H937" s="451" t="s">
        <v>1237</v>
      </c>
      <c r="I937" s="452" t="s">
        <v>4234</v>
      </c>
      <c r="J937" s="453" t="s">
        <v>2329</v>
      </c>
      <c r="K937" s="454"/>
      <c r="L937" s="455"/>
      <c r="M937" s="455"/>
      <c r="N937" s="456">
        <v>252</v>
      </c>
      <c r="O937" s="457"/>
      <c r="P937" s="430"/>
    </row>
    <row r="938" spans="1:16" ht="13.9" hidden="1" customHeight="1" outlineLevel="3" x14ac:dyDescent="0.2">
      <c r="A938" s="233">
        <v>0</v>
      </c>
      <c r="B938" s="233">
        <v>7</v>
      </c>
      <c r="C938" s="233">
        <v>14</v>
      </c>
      <c r="D938" s="234">
        <v>3</v>
      </c>
      <c r="E938" s="234">
        <v>1</v>
      </c>
      <c r="G938" s="458" t="s">
        <v>17</v>
      </c>
      <c r="H938" s="459" t="s">
        <v>1238</v>
      </c>
      <c r="I938" s="460" t="s">
        <v>4235</v>
      </c>
      <c r="J938" s="461" t="s">
        <v>2329</v>
      </c>
      <c r="K938" s="462" t="s">
        <v>1129</v>
      </c>
      <c r="L938" s="463">
        <v>1</v>
      </c>
      <c r="M938" s="463">
        <v>252</v>
      </c>
      <c r="N938" s="464">
        <v>252</v>
      </c>
      <c r="O938" s="465" t="s">
        <v>2739</v>
      </c>
      <c r="P938" s="431" t="s">
        <v>6711</v>
      </c>
    </row>
    <row r="939" spans="1:16" ht="13.9" hidden="1" customHeight="1" outlineLevel="2" x14ac:dyDescent="0.2">
      <c r="A939" s="233">
        <v>0</v>
      </c>
      <c r="B939" s="233">
        <v>7</v>
      </c>
      <c r="C939" s="233">
        <v>14</v>
      </c>
      <c r="D939" s="234">
        <v>4</v>
      </c>
      <c r="E939" s="234">
        <v>0</v>
      </c>
      <c r="G939" s="474"/>
      <c r="H939" s="451" t="s">
        <v>1237</v>
      </c>
      <c r="I939" s="452" t="s">
        <v>4236</v>
      </c>
      <c r="J939" s="453" t="s">
        <v>2240</v>
      </c>
      <c r="K939" s="454"/>
      <c r="L939" s="455"/>
      <c r="M939" s="455"/>
      <c r="N939" s="456">
        <v>60448.12</v>
      </c>
      <c r="O939" s="457"/>
      <c r="P939" s="430"/>
    </row>
    <row r="940" spans="1:16" ht="13.9" hidden="1" customHeight="1" outlineLevel="3" x14ac:dyDescent="0.2">
      <c r="A940" s="233">
        <v>0</v>
      </c>
      <c r="B940" s="233">
        <v>7</v>
      </c>
      <c r="C940" s="233">
        <v>14</v>
      </c>
      <c r="D940" s="234">
        <v>4</v>
      </c>
      <c r="E940" s="234">
        <v>1</v>
      </c>
      <c r="G940" s="458" t="s">
        <v>17</v>
      </c>
      <c r="H940" s="459" t="s">
        <v>1238</v>
      </c>
      <c r="I940" s="460" t="s">
        <v>4237</v>
      </c>
      <c r="J940" s="461" t="s">
        <v>2240</v>
      </c>
      <c r="K940" s="462" t="s">
        <v>1129</v>
      </c>
      <c r="L940" s="463">
        <v>1</v>
      </c>
      <c r="M940" s="463">
        <v>60448.12</v>
      </c>
      <c r="N940" s="464">
        <v>60448.12</v>
      </c>
      <c r="O940" s="465" t="s">
        <v>2740</v>
      </c>
      <c r="P940" s="431" t="s">
        <v>6711</v>
      </c>
    </row>
    <row r="941" spans="1:16" ht="13.9" hidden="1" customHeight="1" outlineLevel="2" x14ac:dyDescent="0.2">
      <c r="A941" s="233">
        <v>0</v>
      </c>
      <c r="B941" s="233">
        <v>7</v>
      </c>
      <c r="C941" s="233">
        <v>14</v>
      </c>
      <c r="D941" s="234">
        <v>5</v>
      </c>
      <c r="E941" s="234">
        <v>0</v>
      </c>
      <c r="G941" s="474"/>
      <c r="H941" s="451" t="s">
        <v>1237</v>
      </c>
      <c r="I941" s="452" t="s">
        <v>4238</v>
      </c>
      <c r="J941" s="453" t="s">
        <v>1254</v>
      </c>
      <c r="K941" s="454"/>
      <c r="L941" s="455"/>
      <c r="M941" s="455"/>
      <c r="N941" s="456">
        <v>4275.76</v>
      </c>
      <c r="O941" s="457"/>
      <c r="P941" s="430"/>
    </row>
    <row r="942" spans="1:16" ht="13.9" hidden="1" customHeight="1" outlineLevel="3" x14ac:dyDescent="0.2">
      <c r="A942" s="233">
        <v>0</v>
      </c>
      <c r="B942" s="233">
        <v>7</v>
      </c>
      <c r="C942" s="233">
        <v>14</v>
      </c>
      <c r="D942" s="234">
        <v>5</v>
      </c>
      <c r="E942" s="234">
        <v>1</v>
      </c>
      <c r="G942" s="458" t="s">
        <v>17</v>
      </c>
      <c r="H942" s="459" t="s">
        <v>1238</v>
      </c>
      <c r="I942" s="460" t="s">
        <v>4239</v>
      </c>
      <c r="J942" s="461" t="s">
        <v>1255</v>
      </c>
      <c r="K942" s="462" t="s">
        <v>1129</v>
      </c>
      <c r="L942" s="463">
        <v>1</v>
      </c>
      <c r="M942" s="463">
        <v>4275.76</v>
      </c>
      <c r="N942" s="464">
        <v>4275.76</v>
      </c>
      <c r="O942" s="471" t="s">
        <v>3018</v>
      </c>
      <c r="P942" s="431" t="s">
        <v>6711</v>
      </c>
    </row>
    <row r="943" spans="1:16" ht="13.9" customHeight="1" collapsed="1" x14ac:dyDescent="0.2">
      <c r="A943" s="233">
        <v>0</v>
      </c>
      <c r="B943" s="233">
        <v>8</v>
      </c>
      <c r="C943" s="233">
        <v>0</v>
      </c>
      <c r="D943" s="234">
        <v>5</v>
      </c>
      <c r="E943" s="234">
        <v>1</v>
      </c>
      <c r="F943" s="237"/>
      <c r="G943" s="501"/>
      <c r="H943" s="437" t="s">
        <v>1236</v>
      </c>
      <c r="I943" s="438" t="s">
        <v>4240</v>
      </c>
      <c r="J943" s="439" t="s">
        <v>1256</v>
      </c>
      <c r="K943" s="440"/>
      <c r="L943" s="441"/>
      <c r="M943" s="441"/>
      <c r="N943" s="442">
        <v>2726218.0507999999</v>
      </c>
      <c r="O943" s="480">
        <v>162.76249327897199</v>
      </c>
      <c r="P943" s="433"/>
    </row>
    <row r="944" spans="1:16" ht="13.9" hidden="1" customHeight="1" outlineLevel="1" x14ac:dyDescent="0.2">
      <c r="A944" s="233">
        <v>0</v>
      </c>
      <c r="B944" s="233">
        <v>8</v>
      </c>
      <c r="C944" s="233">
        <v>1</v>
      </c>
      <c r="D944" s="234">
        <v>0</v>
      </c>
      <c r="E944" s="234">
        <v>1</v>
      </c>
      <c r="G944" s="443"/>
      <c r="H944" s="444" t="s">
        <v>38</v>
      </c>
      <c r="I944" s="445" t="s">
        <v>4241</v>
      </c>
      <c r="J944" s="446" t="s">
        <v>2785</v>
      </c>
      <c r="K944" s="447"/>
      <c r="L944" s="448"/>
      <c r="M944" s="448"/>
      <c r="N944" s="449">
        <v>95954.486999999994</v>
      </c>
      <c r="O944" s="432"/>
      <c r="P944" s="435"/>
    </row>
    <row r="945" spans="1:16" ht="13.9" hidden="1" customHeight="1" outlineLevel="2" x14ac:dyDescent="0.2">
      <c r="A945" s="233">
        <v>0</v>
      </c>
      <c r="B945" s="233">
        <v>8</v>
      </c>
      <c r="C945" s="233">
        <v>1</v>
      </c>
      <c r="D945" s="234">
        <v>1</v>
      </c>
      <c r="E945" s="234">
        <v>0</v>
      </c>
      <c r="G945" s="450"/>
      <c r="H945" s="451" t="s">
        <v>1237</v>
      </c>
      <c r="I945" s="452" t="s">
        <v>4242</v>
      </c>
      <c r="J945" s="453" t="s">
        <v>2330</v>
      </c>
      <c r="K945" s="454"/>
      <c r="L945" s="455"/>
      <c r="M945" s="455"/>
      <c r="N945" s="456">
        <v>16802</v>
      </c>
      <c r="O945" s="457"/>
      <c r="P945" s="430"/>
    </row>
    <row r="946" spans="1:16" ht="13.9" hidden="1" customHeight="1" outlineLevel="3" x14ac:dyDescent="0.2">
      <c r="A946" s="233">
        <v>0</v>
      </c>
      <c r="B946" s="233">
        <v>8</v>
      </c>
      <c r="C946" s="233">
        <v>1</v>
      </c>
      <c r="D946" s="234">
        <v>1</v>
      </c>
      <c r="E946" s="234">
        <v>1</v>
      </c>
      <c r="G946" s="500" t="s">
        <v>1256</v>
      </c>
      <c r="H946" s="459" t="s">
        <v>1238</v>
      </c>
      <c r="I946" s="460" t="s">
        <v>4243</v>
      </c>
      <c r="J946" s="461" t="s">
        <v>2330</v>
      </c>
      <c r="K946" s="462" t="s">
        <v>1129</v>
      </c>
      <c r="L946" s="463">
        <v>1</v>
      </c>
      <c r="M946" s="463">
        <v>16802</v>
      </c>
      <c r="N946" s="464">
        <v>16802</v>
      </c>
      <c r="O946" s="465" t="s">
        <v>2323</v>
      </c>
      <c r="P946" s="431" t="s">
        <v>6711</v>
      </c>
    </row>
    <row r="947" spans="1:16" ht="13.9" hidden="1" customHeight="1" outlineLevel="2" x14ac:dyDescent="0.2">
      <c r="A947" s="233">
        <v>0</v>
      </c>
      <c r="B947" s="233">
        <v>8</v>
      </c>
      <c r="C947" s="233">
        <v>1</v>
      </c>
      <c r="D947" s="234">
        <v>2</v>
      </c>
      <c r="E947" s="234">
        <v>0</v>
      </c>
      <c r="G947" s="450"/>
      <c r="H947" s="451" t="s">
        <v>1237</v>
      </c>
      <c r="I947" s="452" t="s">
        <v>4244</v>
      </c>
      <c r="J947" s="453" t="s">
        <v>2331</v>
      </c>
      <c r="K947" s="454"/>
      <c r="L947" s="455"/>
      <c r="M947" s="455"/>
      <c r="N947" s="456">
        <v>2892.59</v>
      </c>
      <c r="O947" s="457"/>
      <c r="P947" s="430"/>
    </row>
    <row r="948" spans="1:16" ht="13.9" hidden="1" customHeight="1" outlineLevel="3" x14ac:dyDescent="0.2">
      <c r="A948" s="233">
        <v>0</v>
      </c>
      <c r="B948" s="233">
        <v>8</v>
      </c>
      <c r="C948" s="233">
        <v>1</v>
      </c>
      <c r="D948" s="234">
        <v>2</v>
      </c>
      <c r="E948" s="234">
        <v>1</v>
      </c>
      <c r="G948" s="500" t="s">
        <v>1256</v>
      </c>
      <c r="H948" s="459" t="s">
        <v>1238</v>
      </c>
      <c r="I948" s="460" t="s">
        <v>4245</v>
      </c>
      <c r="J948" s="461" t="s">
        <v>2331</v>
      </c>
      <c r="K948" s="462" t="s">
        <v>1129</v>
      </c>
      <c r="L948" s="463">
        <v>1</v>
      </c>
      <c r="M948" s="463">
        <v>2892.59</v>
      </c>
      <c r="N948" s="464">
        <v>2892.59</v>
      </c>
      <c r="O948" s="465" t="s">
        <v>2323</v>
      </c>
      <c r="P948" s="431" t="s">
        <v>6711</v>
      </c>
    </row>
    <row r="949" spans="1:16" ht="13.9" hidden="1" customHeight="1" outlineLevel="2" x14ac:dyDescent="0.2">
      <c r="A949" s="233">
        <v>0</v>
      </c>
      <c r="B949" s="233">
        <v>8</v>
      </c>
      <c r="C949" s="233">
        <v>1</v>
      </c>
      <c r="D949" s="234">
        <v>3</v>
      </c>
      <c r="E949" s="234">
        <v>0</v>
      </c>
      <c r="G949" s="450"/>
      <c r="H949" s="451" t="s">
        <v>1237</v>
      </c>
      <c r="I949" s="452" t="s">
        <v>4246</v>
      </c>
      <c r="J949" s="453" t="s">
        <v>2801</v>
      </c>
      <c r="K949" s="454"/>
      <c r="L949" s="455"/>
      <c r="M949" s="455"/>
      <c r="N949" s="456">
        <v>66734.2</v>
      </c>
      <c r="O949" s="457"/>
      <c r="P949" s="430"/>
    </row>
    <row r="950" spans="1:16" ht="13.9" hidden="1" customHeight="1" outlineLevel="3" x14ac:dyDescent="0.2">
      <c r="A950" s="233">
        <v>0</v>
      </c>
      <c r="B950" s="233">
        <v>8</v>
      </c>
      <c r="C950" s="233">
        <v>1</v>
      </c>
      <c r="D950" s="234">
        <v>3</v>
      </c>
      <c r="E950" s="234">
        <v>1</v>
      </c>
      <c r="G950" s="500" t="s">
        <v>1256</v>
      </c>
      <c r="H950" s="459" t="s">
        <v>1238</v>
      </c>
      <c r="I950" s="460" t="s">
        <v>4247</v>
      </c>
      <c r="J950" s="461" t="s">
        <v>2801</v>
      </c>
      <c r="K950" s="462" t="s">
        <v>1129</v>
      </c>
      <c r="L950" s="463">
        <v>1</v>
      </c>
      <c r="M950" s="463">
        <v>66734.2</v>
      </c>
      <c r="N950" s="464">
        <v>66734.2</v>
      </c>
      <c r="O950" s="465" t="s">
        <v>2323</v>
      </c>
      <c r="P950" s="431" t="s">
        <v>6711</v>
      </c>
    </row>
    <row r="951" spans="1:16" ht="13.9" hidden="1" customHeight="1" outlineLevel="2" x14ac:dyDescent="0.2">
      <c r="A951" s="233">
        <v>0</v>
      </c>
      <c r="B951" s="233">
        <v>8</v>
      </c>
      <c r="C951" s="233">
        <v>1</v>
      </c>
      <c r="D951" s="234">
        <v>4</v>
      </c>
      <c r="E951" s="234">
        <v>0</v>
      </c>
      <c r="G951" s="450"/>
      <c r="H951" s="451" t="s">
        <v>1237</v>
      </c>
      <c r="I951" s="452" t="s">
        <v>4248</v>
      </c>
      <c r="J951" s="453" t="s">
        <v>2332</v>
      </c>
      <c r="K951" s="454"/>
      <c r="L951" s="455"/>
      <c r="M951" s="455"/>
      <c r="N951" s="456">
        <v>0</v>
      </c>
      <c r="O951" s="457"/>
      <c r="P951" s="430"/>
    </row>
    <row r="952" spans="1:16" ht="13.9" hidden="1" customHeight="1" outlineLevel="3" x14ac:dyDescent="0.2">
      <c r="A952" s="233">
        <v>0</v>
      </c>
      <c r="B952" s="233">
        <v>8</v>
      </c>
      <c r="C952" s="233">
        <v>1</v>
      </c>
      <c r="D952" s="234">
        <v>4</v>
      </c>
      <c r="E952" s="234">
        <v>1</v>
      </c>
      <c r="G952" s="500" t="s">
        <v>1256</v>
      </c>
      <c r="H952" s="459" t="s">
        <v>1238</v>
      </c>
      <c r="I952" s="460" t="s">
        <v>4249</v>
      </c>
      <c r="J952" s="461" t="s">
        <v>2332</v>
      </c>
      <c r="K952" s="462" t="s">
        <v>1129</v>
      </c>
      <c r="L952" s="463">
        <v>1</v>
      </c>
      <c r="M952" s="463">
        <v>0</v>
      </c>
      <c r="N952" s="464">
        <v>0</v>
      </c>
      <c r="O952" s="465" t="s">
        <v>2799</v>
      </c>
      <c r="P952" s="431" t="s">
        <v>6711</v>
      </c>
    </row>
    <row r="953" spans="1:16" ht="13.9" hidden="1" customHeight="1" outlineLevel="2" x14ac:dyDescent="0.2">
      <c r="A953" s="233">
        <v>0</v>
      </c>
      <c r="B953" s="233">
        <v>8</v>
      </c>
      <c r="C953" s="233">
        <v>1</v>
      </c>
      <c r="D953" s="234">
        <v>5</v>
      </c>
      <c r="E953" s="234">
        <v>0</v>
      </c>
      <c r="G953" s="450"/>
      <c r="H953" s="451" t="s">
        <v>1237</v>
      </c>
      <c r="I953" s="452" t="s">
        <v>4250</v>
      </c>
      <c r="J953" s="453" t="s">
        <v>2241</v>
      </c>
      <c r="K953" s="454"/>
      <c r="L953" s="455"/>
      <c r="M953" s="455"/>
      <c r="N953" s="456">
        <v>5602.7969999999996</v>
      </c>
      <c r="O953" s="457"/>
      <c r="P953" s="430"/>
    </row>
    <row r="954" spans="1:16" ht="13.9" hidden="1" customHeight="1" outlineLevel="3" x14ac:dyDescent="0.2">
      <c r="A954" s="233">
        <v>0</v>
      </c>
      <c r="B954" s="233">
        <v>8</v>
      </c>
      <c r="C954" s="233">
        <v>1</v>
      </c>
      <c r="D954" s="234">
        <v>5</v>
      </c>
      <c r="E954" s="234">
        <v>1</v>
      </c>
      <c r="G954" s="500" t="s">
        <v>1256</v>
      </c>
      <c r="H954" s="459" t="s">
        <v>1238</v>
      </c>
      <c r="I954" s="460" t="s">
        <v>4251</v>
      </c>
      <c r="J954" s="461" t="s">
        <v>2241</v>
      </c>
      <c r="K954" s="462" t="s">
        <v>1129</v>
      </c>
      <c r="L954" s="463">
        <v>1</v>
      </c>
      <c r="M954" s="463">
        <v>5602.7970000000005</v>
      </c>
      <c r="N954" s="464">
        <v>5602.7969999999996</v>
      </c>
      <c r="O954" s="465" t="s">
        <v>2323</v>
      </c>
      <c r="P954" s="431" t="s">
        <v>6711</v>
      </c>
    </row>
    <row r="955" spans="1:16" ht="13.9" hidden="1" customHeight="1" outlineLevel="2" x14ac:dyDescent="0.2">
      <c r="A955" s="233">
        <v>0</v>
      </c>
      <c r="B955" s="233">
        <v>8</v>
      </c>
      <c r="C955" s="233">
        <v>1</v>
      </c>
      <c r="D955" s="234">
        <v>6</v>
      </c>
      <c r="E955" s="234">
        <v>0</v>
      </c>
      <c r="G955" s="450"/>
      <c r="H955" s="451" t="s">
        <v>1237</v>
      </c>
      <c r="I955" s="452" t="s">
        <v>4252</v>
      </c>
      <c r="J955" s="453" t="s">
        <v>2240</v>
      </c>
      <c r="K955" s="454"/>
      <c r="L955" s="455"/>
      <c r="M955" s="455"/>
      <c r="N955" s="456">
        <v>0</v>
      </c>
      <c r="O955" s="457"/>
      <c r="P955" s="430"/>
    </row>
    <row r="956" spans="1:16" ht="13.9" hidden="1" customHeight="1" outlineLevel="3" x14ac:dyDescent="0.2">
      <c r="A956" s="233">
        <v>0</v>
      </c>
      <c r="B956" s="233">
        <v>8</v>
      </c>
      <c r="C956" s="233">
        <v>1</v>
      </c>
      <c r="D956" s="234">
        <v>6</v>
      </c>
      <c r="E956" s="234">
        <v>1</v>
      </c>
      <c r="G956" s="500" t="s">
        <v>1256</v>
      </c>
      <c r="H956" s="459" t="s">
        <v>1238</v>
      </c>
      <c r="I956" s="460" t="s">
        <v>4253</v>
      </c>
      <c r="J956" s="461" t="s">
        <v>2240</v>
      </c>
      <c r="K956" s="462" t="s">
        <v>1129</v>
      </c>
      <c r="L956" s="463">
        <v>1</v>
      </c>
      <c r="M956" s="463">
        <v>0</v>
      </c>
      <c r="N956" s="464">
        <v>0</v>
      </c>
      <c r="O956" s="465" t="s">
        <v>2323</v>
      </c>
      <c r="P956" s="431" t="s">
        <v>6711</v>
      </c>
    </row>
    <row r="957" spans="1:16" ht="13.9" hidden="1" customHeight="1" outlineLevel="2" x14ac:dyDescent="0.2">
      <c r="A957" s="233">
        <v>0</v>
      </c>
      <c r="B957" s="233">
        <v>8</v>
      </c>
      <c r="C957" s="233">
        <v>1</v>
      </c>
      <c r="D957" s="234">
        <v>7</v>
      </c>
      <c r="E957" s="234">
        <v>0</v>
      </c>
      <c r="G957" s="450"/>
      <c r="H957" s="451" t="s">
        <v>1237</v>
      </c>
      <c r="I957" s="452" t="s">
        <v>4254</v>
      </c>
      <c r="J957" s="453" t="s">
        <v>14</v>
      </c>
      <c r="K957" s="454"/>
      <c r="L957" s="455"/>
      <c r="M957" s="455"/>
      <c r="N957" s="456">
        <v>3922.9</v>
      </c>
      <c r="O957" s="457"/>
      <c r="P957" s="430"/>
    </row>
    <row r="958" spans="1:16" ht="13.9" hidden="1" customHeight="1" outlineLevel="3" x14ac:dyDescent="0.2">
      <c r="A958" s="233">
        <v>0</v>
      </c>
      <c r="B958" s="233">
        <v>8</v>
      </c>
      <c r="C958" s="233">
        <v>1</v>
      </c>
      <c r="D958" s="234">
        <v>7</v>
      </c>
      <c r="E958" s="234">
        <v>1</v>
      </c>
      <c r="G958" s="500" t="s">
        <v>1256</v>
      </c>
      <c r="H958" s="459" t="s">
        <v>1238</v>
      </c>
      <c r="I958" s="460" t="s">
        <v>4255</v>
      </c>
      <c r="J958" s="461" t="s">
        <v>1257</v>
      </c>
      <c r="K958" s="462" t="s">
        <v>1129</v>
      </c>
      <c r="L958" s="463">
        <v>1</v>
      </c>
      <c r="M958" s="463">
        <v>3922.9</v>
      </c>
      <c r="N958" s="464">
        <v>3922.9</v>
      </c>
      <c r="O958" s="475" t="s">
        <v>2333</v>
      </c>
      <c r="P958" s="431" t="s">
        <v>6711</v>
      </c>
    </row>
    <row r="959" spans="1:16" ht="13.9" hidden="1" customHeight="1" outlineLevel="1" x14ac:dyDescent="0.2">
      <c r="A959" s="233">
        <v>0</v>
      </c>
      <c r="B959" s="233">
        <v>8</v>
      </c>
      <c r="C959" s="233">
        <v>2</v>
      </c>
      <c r="D959" s="234">
        <v>0</v>
      </c>
      <c r="E959" s="234">
        <v>1</v>
      </c>
      <c r="G959" s="443"/>
      <c r="H959" s="444" t="s">
        <v>38</v>
      </c>
      <c r="I959" s="445" t="s">
        <v>4256</v>
      </c>
      <c r="J959" s="446" t="s">
        <v>2786</v>
      </c>
      <c r="K959" s="447"/>
      <c r="L959" s="448"/>
      <c r="M959" s="448"/>
      <c r="N959" s="449">
        <v>138596.63500000001</v>
      </c>
      <c r="O959" s="432"/>
      <c r="P959" s="435"/>
    </row>
    <row r="960" spans="1:16" ht="13.9" hidden="1" customHeight="1" outlineLevel="2" x14ac:dyDescent="0.2">
      <c r="A960" s="233">
        <v>0</v>
      </c>
      <c r="B960" s="233">
        <v>8</v>
      </c>
      <c r="C960" s="233">
        <v>2</v>
      </c>
      <c r="D960" s="234">
        <v>1</v>
      </c>
      <c r="E960" s="234">
        <v>0</v>
      </c>
      <c r="G960" s="450"/>
      <c r="H960" s="451" t="s">
        <v>1237</v>
      </c>
      <c r="I960" s="452" t="s">
        <v>4257</v>
      </c>
      <c r="J960" s="453" t="s">
        <v>2330</v>
      </c>
      <c r="K960" s="454"/>
      <c r="L960" s="455"/>
      <c r="M960" s="455"/>
      <c r="N960" s="456">
        <v>6776</v>
      </c>
      <c r="O960" s="457"/>
      <c r="P960" s="430"/>
    </row>
    <row r="961" spans="1:16" ht="13.9" hidden="1" customHeight="1" outlineLevel="3" x14ac:dyDescent="0.2">
      <c r="A961" s="233">
        <v>0</v>
      </c>
      <c r="B961" s="233">
        <v>8</v>
      </c>
      <c r="C961" s="233">
        <v>2</v>
      </c>
      <c r="D961" s="234">
        <v>1</v>
      </c>
      <c r="E961" s="234">
        <v>1</v>
      </c>
      <c r="G961" s="500" t="s">
        <v>1256</v>
      </c>
      <c r="H961" s="459" t="s">
        <v>1238</v>
      </c>
      <c r="I961" s="460" t="s">
        <v>4258</v>
      </c>
      <c r="J961" s="461" t="s">
        <v>2330</v>
      </c>
      <c r="K961" s="462" t="s">
        <v>1129</v>
      </c>
      <c r="L961" s="463">
        <v>1</v>
      </c>
      <c r="M961" s="463">
        <v>6776</v>
      </c>
      <c r="N961" s="464">
        <v>6776</v>
      </c>
      <c r="O961" s="465" t="s">
        <v>2323</v>
      </c>
      <c r="P961" s="431" t="s">
        <v>6711</v>
      </c>
    </row>
    <row r="962" spans="1:16" ht="13.9" hidden="1" customHeight="1" outlineLevel="2" x14ac:dyDescent="0.2">
      <c r="A962" s="233">
        <v>0</v>
      </c>
      <c r="B962" s="233">
        <v>8</v>
      </c>
      <c r="C962" s="233">
        <v>2</v>
      </c>
      <c r="D962" s="234">
        <v>2</v>
      </c>
      <c r="E962" s="234">
        <v>0</v>
      </c>
      <c r="G962" s="450"/>
      <c r="H962" s="451" t="s">
        <v>1237</v>
      </c>
      <c r="I962" s="452" t="s">
        <v>4259</v>
      </c>
      <c r="J962" s="453" t="s">
        <v>2331</v>
      </c>
      <c r="K962" s="454"/>
      <c r="L962" s="455"/>
      <c r="M962" s="455"/>
      <c r="N962" s="456">
        <v>2329.23</v>
      </c>
      <c r="O962" s="457"/>
      <c r="P962" s="430"/>
    </row>
    <row r="963" spans="1:16" ht="13.9" hidden="1" customHeight="1" outlineLevel="3" x14ac:dyDescent="0.2">
      <c r="A963" s="233">
        <v>0</v>
      </c>
      <c r="B963" s="233">
        <v>8</v>
      </c>
      <c r="C963" s="233">
        <v>2</v>
      </c>
      <c r="D963" s="234">
        <v>2</v>
      </c>
      <c r="E963" s="234">
        <v>1</v>
      </c>
      <c r="G963" s="500" t="s">
        <v>1256</v>
      </c>
      <c r="H963" s="459" t="s">
        <v>1238</v>
      </c>
      <c r="I963" s="460" t="s">
        <v>4260</v>
      </c>
      <c r="J963" s="461" t="s">
        <v>2331</v>
      </c>
      <c r="K963" s="462" t="s">
        <v>1129</v>
      </c>
      <c r="L963" s="463">
        <v>1</v>
      </c>
      <c r="M963" s="463">
        <v>2329.23</v>
      </c>
      <c r="N963" s="464">
        <v>2329.23</v>
      </c>
      <c r="O963" s="465" t="s">
        <v>2323</v>
      </c>
      <c r="P963" s="431" t="s">
        <v>6711</v>
      </c>
    </row>
    <row r="964" spans="1:16" ht="13.9" hidden="1" customHeight="1" outlineLevel="2" x14ac:dyDescent="0.2">
      <c r="A964" s="233">
        <v>0</v>
      </c>
      <c r="B964" s="233">
        <v>8</v>
      </c>
      <c r="C964" s="233">
        <v>2</v>
      </c>
      <c r="D964" s="234">
        <v>3</v>
      </c>
      <c r="E964" s="234">
        <v>0</v>
      </c>
      <c r="G964" s="450"/>
      <c r="H964" s="451" t="s">
        <v>1237</v>
      </c>
      <c r="I964" s="452" t="s">
        <v>4261</v>
      </c>
      <c r="J964" s="453" t="s">
        <v>2801</v>
      </c>
      <c r="K964" s="454"/>
      <c r="L964" s="455"/>
      <c r="M964" s="455"/>
      <c r="N964" s="456">
        <v>116980.6</v>
      </c>
      <c r="O964" s="457"/>
      <c r="P964" s="430"/>
    </row>
    <row r="965" spans="1:16" ht="13.9" hidden="1" customHeight="1" outlineLevel="3" x14ac:dyDescent="0.2">
      <c r="A965" s="233">
        <v>0</v>
      </c>
      <c r="B965" s="233">
        <v>8</v>
      </c>
      <c r="C965" s="233">
        <v>2</v>
      </c>
      <c r="D965" s="234">
        <v>3</v>
      </c>
      <c r="E965" s="234">
        <v>1</v>
      </c>
      <c r="G965" s="500" t="s">
        <v>1256</v>
      </c>
      <c r="H965" s="459" t="s">
        <v>1238</v>
      </c>
      <c r="I965" s="460" t="s">
        <v>4262</v>
      </c>
      <c r="J965" s="461" t="s">
        <v>2801</v>
      </c>
      <c r="K965" s="462" t="s">
        <v>1129</v>
      </c>
      <c r="L965" s="463">
        <v>1</v>
      </c>
      <c r="M965" s="463">
        <v>116980.6</v>
      </c>
      <c r="N965" s="464">
        <v>116980.6</v>
      </c>
      <c r="O965" s="465" t="s">
        <v>2323</v>
      </c>
      <c r="P965" s="431" t="s">
        <v>6711</v>
      </c>
    </row>
    <row r="966" spans="1:16" ht="13.9" hidden="1" customHeight="1" outlineLevel="2" x14ac:dyDescent="0.2">
      <c r="A966" s="233">
        <v>0</v>
      </c>
      <c r="B966" s="233">
        <v>8</v>
      </c>
      <c r="C966" s="233">
        <v>2</v>
      </c>
      <c r="D966" s="234">
        <v>4</v>
      </c>
      <c r="E966" s="234">
        <v>0</v>
      </c>
      <c r="G966" s="450"/>
      <c r="H966" s="451" t="s">
        <v>1237</v>
      </c>
      <c r="I966" s="452" t="s">
        <v>4263</v>
      </c>
      <c r="J966" s="453" t="s">
        <v>2332</v>
      </c>
      <c r="K966" s="454"/>
      <c r="L966" s="455"/>
      <c r="M966" s="455"/>
      <c r="N966" s="456">
        <v>0</v>
      </c>
      <c r="O966" s="457"/>
      <c r="P966" s="430"/>
    </row>
    <row r="967" spans="1:16" ht="13.9" hidden="1" customHeight="1" outlineLevel="3" x14ac:dyDescent="0.2">
      <c r="A967" s="233">
        <v>0</v>
      </c>
      <c r="B967" s="233">
        <v>8</v>
      </c>
      <c r="C967" s="233">
        <v>2</v>
      </c>
      <c r="D967" s="234">
        <v>4</v>
      </c>
      <c r="E967" s="234">
        <v>1</v>
      </c>
      <c r="G967" s="500" t="s">
        <v>1256</v>
      </c>
      <c r="H967" s="459" t="s">
        <v>1238</v>
      </c>
      <c r="I967" s="460" t="s">
        <v>4264</v>
      </c>
      <c r="J967" s="461" t="s">
        <v>2332</v>
      </c>
      <c r="K967" s="462" t="s">
        <v>1129</v>
      </c>
      <c r="L967" s="463">
        <v>1</v>
      </c>
      <c r="M967" s="463"/>
      <c r="N967" s="464">
        <v>0</v>
      </c>
      <c r="O967" s="465" t="s">
        <v>2799</v>
      </c>
      <c r="P967" s="431" t="s">
        <v>6711</v>
      </c>
    </row>
    <row r="968" spans="1:16" ht="13.9" hidden="1" customHeight="1" outlineLevel="2" x14ac:dyDescent="0.2">
      <c r="A968" s="233">
        <v>0</v>
      </c>
      <c r="B968" s="233">
        <v>8</v>
      </c>
      <c r="C968" s="233">
        <v>2</v>
      </c>
      <c r="D968" s="234">
        <v>5</v>
      </c>
      <c r="E968" s="234">
        <v>0</v>
      </c>
      <c r="G968" s="450"/>
      <c r="H968" s="451" t="s">
        <v>1237</v>
      </c>
      <c r="I968" s="452" t="s">
        <v>4265</v>
      </c>
      <c r="J968" s="453" t="s">
        <v>2241</v>
      </c>
      <c r="K968" s="454"/>
      <c r="L968" s="455"/>
      <c r="M968" s="455"/>
      <c r="N968" s="456">
        <v>8505.0550000000003</v>
      </c>
      <c r="O968" s="457"/>
      <c r="P968" s="430"/>
    </row>
    <row r="969" spans="1:16" ht="13.9" hidden="1" customHeight="1" outlineLevel="3" x14ac:dyDescent="0.2">
      <c r="A969" s="233">
        <v>0</v>
      </c>
      <c r="B969" s="233">
        <v>8</v>
      </c>
      <c r="C969" s="233">
        <v>2</v>
      </c>
      <c r="D969" s="234">
        <v>5</v>
      </c>
      <c r="E969" s="234">
        <v>1</v>
      </c>
      <c r="G969" s="500" t="s">
        <v>1256</v>
      </c>
      <c r="H969" s="459" t="s">
        <v>1238</v>
      </c>
      <c r="I969" s="460" t="s">
        <v>4266</v>
      </c>
      <c r="J969" s="461" t="s">
        <v>2241</v>
      </c>
      <c r="K969" s="462" t="s">
        <v>1129</v>
      </c>
      <c r="L969" s="463">
        <v>1</v>
      </c>
      <c r="M969" s="463">
        <v>8505.0550000000003</v>
      </c>
      <c r="N969" s="464">
        <v>8505.0550000000003</v>
      </c>
      <c r="O969" s="465" t="s">
        <v>2323</v>
      </c>
      <c r="P969" s="431" t="s">
        <v>6711</v>
      </c>
    </row>
    <row r="970" spans="1:16" ht="13.9" hidden="1" customHeight="1" outlineLevel="2" x14ac:dyDescent="0.2">
      <c r="A970" s="233">
        <v>0</v>
      </c>
      <c r="B970" s="233">
        <v>8</v>
      </c>
      <c r="C970" s="233">
        <v>2</v>
      </c>
      <c r="D970" s="234">
        <v>6</v>
      </c>
      <c r="E970" s="234">
        <v>0</v>
      </c>
      <c r="G970" s="450"/>
      <c r="H970" s="451" t="s">
        <v>1237</v>
      </c>
      <c r="I970" s="452" t="s">
        <v>4267</v>
      </c>
      <c r="J970" s="453" t="s">
        <v>2240</v>
      </c>
      <c r="K970" s="454"/>
      <c r="L970" s="455"/>
      <c r="M970" s="455"/>
      <c r="N970" s="456">
        <v>0</v>
      </c>
      <c r="O970" s="457"/>
      <c r="P970" s="430"/>
    </row>
    <row r="971" spans="1:16" ht="13.9" hidden="1" customHeight="1" outlineLevel="3" x14ac:dyDescent="0.2">
      <c r="A971" s="233">
        <v>0</v>
      </c>
      <c r="B971" s="233">
        <v>8</v>
      </c>
      <c r="C971" s="233">
        <v>2</v>
      </c>
      <c r="D971" s="234">
        <v>6</v>
      </c>
      <c r="E971" s="234">
        <v>1</v>
      </c>
      <c r="G971" s="500" t="s">
        <v>1256</v>
      </c>
      <c r="H971" s="459" t="s">
        <v>1238</v>
      </c>
      <c r="I971" s="460" t="s">
        <v>4268</v>
      </c>
      <c r="J971" s="461" t="s">
        <v>2240</v>
      </c>
      <c r="K971" s="462" t="s">
        <v>1129</v>
      </c>
      <c r="L971" s="463">
        <v>1</v>
      </c>
      <c r="M971" s="463"/>
      <c r="N971" s="464">
        <v>0</v>
      </c>
      <c r="O971" s="465" t="s">
        <v>2323</v>
      </c>
      <c r="P971" s="431" t="s">
        <v>6711</v>
      </c>
    </row>
    <row r="972" spans="1:16" ht="13.9" hidden="1" customHeight="1" outlineLevel="2" x14ac:dyDescent="0.2">
      <c r="A972" s="233">
        <v>0</v>
      </c>
      <c r="B972" s="233">
        <v>8</v>
      </c>
      <c r="C972" s="233">
        <v>2</v>
      </c>
      <c r="D972" s="234">
        <v>7</v>
      </c>
      <c r="E972" s="234">
        <v>0</v>
      </c>
      <c r="G972" s="450"/>
      <c r="H972" s="451" t="s">
        <v>1237</v>
      </c>
      <c r="I972" s="452" t="s">
        <v>4269</v>
      </c>
      <c r="J972" s="453" t="s">
        <v>14</v>
      </c>
      <c r="K972" s="454"/>
      <c r="L972" s="455"/>
      <c r="M972" s="455"/>
      <c r="N972" s="456">
        <v>4005.75</v>
      </c>
      <c r="O972" s="457"/>
      <c r="P972" s="430"/>
    </row>
    <row r="973" spans="1:16" ht="13.9" hidden="1" customHeight="1" outlineLevel="3" x14ac:dyDescent="0.2">
      <c r="A973" s="233">
        <v>0</v>
      </c>
      <c r="B973" s="233">
        <v>8</v>
      </c>
      <c r="C973" s="233">
        <v>2</v>
      </c>
      <c r="D973" s="234">
        <v>7</v>
      </c>
      <c r="E973" s="234">
        <v>1</v>
      </c>
      <c r="G973" s="500" t="s">
        <v>1256</v>
      </c>
      <c r="H973" s="459" t="s">
        <v>1238</v>
      </c>
      <c r="I973" s="460" t="s">
        <v>4270</v>
      </c>
      <c r="J973" s="461" t="s">
        <v>1257</v>
      </c>
      <c r="K973" s="462" t="s">
        <v>1129</v>
      </c>
      <c r="L973" s="463">
        <v>1</v>
      </c>
      <c r="M973" s="463">
        <v>4005.75</v>
      </c>
      <c r="N973" s="464">
        <v>4005.75</v>
      </c>
      <c r="O973" s="475" t="s">
        <v>2333</v>
      </c>
      <c r="P973" s="431" t="s">
        <v>6711</v>
      </c>
    </row>
    <row r="974" spans="1:16" ht="13.9" hidden="1" customHeight="1" outlineLevel="1" x14ac:dyDescent="0.2">
      <c r="A974" s="233">
        <v>0</v>
      </c>
      <c r="B974" s="233">
        <v>8</v>
      </c>
      <c r="C974" s="233">
        <v>3</v>
      </c>
      <c r="D974" s="234">
        <v>0</v>
      </c>
      <c r="E974" s="234">
        <v>1</v>
      </c>
      <c r="G974" s="443"/>
      <c r="H974" s="444" t="s">
        <v>38</v>
      </c>
      <c r="I974" s="445" t="s">
        <v>4271</v>
      </c>
      <c r="J974" s="446" t="s">
        <v>2787</v>
      </c>
      <c r="K974" s="447"/>
      <c r="L974" s="448"/>
      <c r="M974" s="448"/>
      <c r="N974" s="449">
        <v>206623.302</v>
      </c>
      <c r="O974" s="432"/>
      <c r="P974" s="435"/>
    </row>
    <row r="975" spans="1:16" ht="13.9" hidden="1" customHeight="1" outlineLevel="2" x14ac:dyDescent="0.2">
      <c r="A975" s="233">
        <v>0</v>
      </c>
      <c r="B975" s="233">
        <v>8</v>
      </c>
      <c r="C975" s="233">
        <v>3</v>
      </c>
      <c r="D975" s="234">
        <v>1</v>
      </c>
      <c r="E975" s="234">
        <v>0</v>
      </c>
      <c r="G975" s="450"/>
      <c r="H975" s="451" t="s">
        <v>1237</v>
      </c>
      <c r="I975" s="452" t="s">
        <v>4272</v>
      </c>
      <c r="J975" s="453" t="s">
        <v>2330</v>
      </c>
      <c r="K975" s="454"/>
      <c r="L975" s="455"/>
      <c r="M975" s="455"/>
      <c r="N975" s="456">
        <v>5453.5</v>
      </c>
      <c r="O975" s="457"/>
      <c r="P975" s="430"/>
    </row>
    <row r="976" spans="1:16" ht="13.9" hidden="1" customHeight="1" outlineLevel="3" x14ac:dyDescent="0.2">
      <c r="A976" s="233">
        <v>0</v>
      </c>
      <c r="B976" s="233">
        <v>8</v>
      </c>
      <c r="C976" s="233">
        <v>3</v>
      </c>
      <c r="D976" s="234">
        <v>1</v>
      </c>
      <c r="E976" s="234">
        <v>1</v>
      </c>
      <c r="G976" s="500" t="s">
        <v>1256</v>
      </c>
      <c r="H976" s="459" t="s">
        <v>1238</v>
      </c>
      <c r="I976" s="460" t="s">
        <v>4273</v>
      </c>
      <c r="J976" s="461" t="s">
        <v>2330</v>
      </c>
      <c r="K976" s="462" t="s">
        <v>1129</v>
      </c>
      <c r="L976" s="463">
        <v>1</v>
      </c>
      <c r="M976" s="463">
        <v>5453.5</v>
      </c>
      <c r="N976" s="464">
        <v>5453.5</v>
      </c>
      <c r="O976" s="465" t="s">
        <v>2323</v>
      </c>
      <c r="P976" s="431" t="s">
        <v>6711</v>
      </c>
    </row>
    <row r="977" spans="1:16" ht="13.9" hidden="1" customHeight="1" outlineLevel="2" x14ac:dyDescent="0.2">
      <c r="A977" s="233">
        <v>0</v>
      </c>
      <c r="B977" s="233">
        <v>8</v>
      </c>
      <c r="C977" s="233">
        <v>3</v>
      </c>
      <c r="D977" s="234">
        <v>2</v>
      </c>
      <c r="E977" s="234">
        <v>0</v>
      </c>
      <c r="G977" s="450"/>
      <c r="H977" s="451" t="s">
        <v>1237</v>
      </c>
      <c r="I977" s="452" t="s">
        <v>4274</v>
      </c>
      <c r="J977" s="453" t="s">
        <v>2331</v>
      </c>
      <c r="K977" s="454"/>
      <c r="L977" s="455"/>
      <c r="M977" s="455"/>
      <c r="N977" s="456">
        <v>2033.84</v>
      </c>
      <c r="O977" s="457"/>
      <c r="P977" s="430"/>
    </row>
    <row r="978" spans="1:16" ht="13.9" hidden="1" customHeight="1" outlineLevel="3" x14ac:dyDescent="0.2">
      <c r="A978" s="233">
        <v>0</v>
      </c>
      <c r="B978" s="233">
        <v>8</v>
      </c>
      <c r="C978" s="233">
        <v>3</v>
      </c>
      <c r="D978" s="234">
        <v>2</v>
      </c>
      <c r="E978" s="234">
        <v>1</v>
      </c>
      <c r="G978" s="500" t="s">
        <v>1256</v>
      </c>
      <c r="H978" s="459" t="s">
        <v>1238</v>
      </c>
      <c r="I978" s="460" t="s">
        <v>4275</v>
      </c>
      <c r="J978" s="461" t="s">
        <v>2331</v>
      </c>
      <c r="K978" s="462" t="s">
        <v>1129</v>
      </c>
      <c r="L978" s="463">
        <v>1</v>
      </c>
      <c r="M978" s="463">
        <v>2033.84</v>
      </c>
      <c r="N978" s="464">
        <v>2033.84</v>
      </c>
      <c r="O978" s="465" t="s">
        <v>2323</v>
      </c>
      <c r="P978" s="431" t="s">
        <v>6711</v>
      </c>
    </row>
    <row r="979" spans="1:16" ht="13.9" hidden="1" customHeight="1" outlineLevel="2" x14ac:dyDescent="0.2">
      <c r="A979" s="233">
        <v>0</v>
      </c>
      <c r="B979" s="233">
        <v>8</v>
      </c>
      <c r="C979" s="233">
        <v>3</v>
      </c>
      <c r="D979" s="234">
        <v>3</v>
      </c>
      <c r="E979" s="234">
        <v>0</v>
      </c>
      <c r="G979" s="450"/>
      <c r="H979" s="451" t="s">
        <v>1237</v>
      </c>
      <c r="I979" s="452" t="s">
        <v>4276</v>
      </c>
      <c r="J979" s="453" t="s">
        <v>2801</v>
      </c>
      <c r="K979" s="454"/>
      <c r="L979" s="455"/>
      <c r="M979" s="455"/>
      <c r="N979" s="456">
        <v>187329.8</v>
      </c>
      <c r="O979" s="457"/>
      <c r="P979" s="430"/>
    </row>
    <row r="980" spans="1:16" ht="13.9" hidden="1" customHeight="1" outlineLevel="3" x14ac:dyDescent="0.2">
      <c r="A980" s="233">
        <v>0</v>
      </c>
      <c r="B980" s="233">
        <v>8</v>
      </c>
      <c r="C980" s="233">
        <v>3</v>
      </c>
      <c r="D980" s="234">
        <v>3</v>
      </c>
      <c r="E980" s="234">
        <v>1</v>
      </c>
      <c r="G980" s="500" t="s">
        <v>1256</v>
      </c>
      <c r="H980" s="459" t="s">
        <v>1238</v>
      </c>
      <c r="I980" s="460" t="s">
        <v>4277</v>
      </c>
      <c r="J980" s="461" t="s">
        <v>2801</v>
      </c>
      <c r="K980" s="462" t="s">
        <v>1129</v>
      </c>
      <c r="L980" s="463">
        <v>1</v>
      </c>
      <c r="M980" s="463">
        <v>187329.8</v>
      </c>
      <c r="N980" s="464">
        <v>187329.8</v>
      </c>
      <c r="O980" s="465" t="s">
        <v>2323</v>
      </c>
      <c r="P980" s="431" t="s">
        <v>6711</v>
      </c>
    </row>
    <row r="981" spans="1:16" ht="13.9" hidden="1" customHeight="1" outlineLevel="2" x14ac:dyDescent="0.2">
      <c r="A981" s="233">
        <v>0</v>
      </c>
      <c r="B981" s="233">
        <v>8</v>
      </c>
      <c r="C981" s="233">
        <v>3</v>
      </c>
      <c r="D981" s="234">
        <v>4</v>
      </c>
      <c r="E981" s="234">
        <v>0</v>
      </c>
      <c r="G981" s="450"/>
      <c r="H981" s="451" t="s">
        <v>1237</v>
      </c>
      <c r="I981" s="452" t="s">
        <v>4278</v>
      </c>
      <c r="J981" s="453" t="s">
        <v>2332</v>
      </c>
      <c r="K981" s="454"/>
      <c r="L981" s="455"/>
      <c r="M981" s="455"/>
      <c r="N981" s="456">
        <v>0</v>
      </c>
      <c r="O981" s="457"/>
      <c r="P981" s="430"/>
    </row>
    <row r="982" spans="1:16" ht="13.9" hidden="1" customHeight="1" outlineLevel="3" x14ac:dyDescent="0.2">
      <c r="A982" s="233">
        <v>0</v>
      </c>
      <c r="B982" s="233">
        <v>8</v>
      </c>
      <c r="C982" s="233">
        <v>3</v>
      </c>
      <c r="D982" s="234">
        <v>4</v>
      </c>
      <c r="E982" s="234">
        <v>1</v>
      </c>
      <c r="G982" s="500" t="s">
        <v>1256</v>
      </c>
      <c r="H982" s="459" t="s">
        <v>1238</v>
      </c>
      <c r="I982" s="460" t="s">
        <v>4279</v>
      </c>
      <c r="J982" s="461" t="s">
        <v>2332</v>
      </c>
      <c r="K982" s="462" t="s">
        <v>1129</v>
      </c>
      <c r="L982" s="463">
        <v>1</v>
      </c>
      <c r="M982" s="463">
        <v>0</v>
      </c>
      <c r="N982" s="464">
        <v>0</v>
      </c>
      <c r="O982" s="465" t="s">
        <v>2799</v>
      </c>
      <c r="P982" s="431" t="s">
        <v>6711</v>
      </c>
    </row>
    <row r="983" spans="1:16" ht="13.9" hidden="1" customHeight="1" outlineLevel="2" x14ac:dyDescent="0.2">
      <c r="A983" s="233">
        <v>0</v>
      </c>
      <c r="B983" s="233">
        <v>8</v>
      </c>
      <c r="C983" s="233">
        <v>3</v>
      </c>
      <c r="D983" s="234">
        <v>5</v>
      </c>
      <c r="E983" s="234">
        <v>0</v>
      </c>
      <c r="G983" s="450"/>
      <c r="H983" s="451" t="s">
        <v>1237</v>
      </c>
      <c r="I983" s="452" t="s">
        <v>4280</v>
      </c>
      <c r="J983" s="453" t="s">
        <v>2241</v>
      </c>
      <c r="K983" s="454"/>
      <c r="L983" s="455"/>
      <c r="M983" s="455"/>
      <c r="N983" s="456">
        <v>7413.6620000000003</v>
      </c>
      <c r="O983" s="457"/>
      <c r="P983" s="430"/>
    </row>
    <row r="984" spans="1:16" ht="13.9" hidden="1" customHeight="1" outlineLevel="3" x14ac:dyDescent="0.2">
      <c r="A984" s="233">
        <v>0</v>
      </c>
      <c r="B984" s="233">
        <v>8</v>
      </c>
      <c r="C984" s="233">
        <v>3</v>
      </c>
      <c r="D984" s="234">
        <v>5</v>
      </c>
      <c r="E984" s="234">
        <v>1</v>
      </c>
      <c r="G984" s="500" t="s">
        <v>1256</v>
      </c>
      <c r="H984" s="459" t="s">
        <v>1238</v>
      </c>
      <c r="I984" s="460" t="s">
        <v>4281</v>
      </c>
      <c r="J984" s="461" t="s">
        <v>2241</v>
      </c>
      <c r="K984" s="462" t="s">
        <v>1129</v>
      </c>
      <c r="L984" s="463">
        <v>1</v>
      </c>
      <c r="M984" s="463">
        <v>7413.6620000000012</v>
      </c>
      <c r="N984" s="464">
        <v>7413.6620000000003</v>
      </c>
      <c r="O984" s="465" t="s">
        <v>2323</v>
      </c>
      <c r="P984" s="431" t="s">
        <v>6711</v>
      </c>
    </row>
    <row r="985" spans="1:16" ht="13.9" hidden="1" customHeight="1" outlineLevel="2" x14ac:dyDescent="0.2">
      <c r="A985" s="233">
        <v>0</v>
      </c>
      <c r="B985" s="233">
        <v>8</v>
      </c>
      <c r="C985" s="233">
        <v>3</v>
      </c>
      <c r="D985" s="234">
        <v>6</v>
      </c>
      <c r="E985" s="234">
        <v>0</v>
      </c>
      <c r="G985" s="450"/>
      <c r="H985" s="451" t="s">
        <v>1237</v>
      </c>
      <c r="I985" s="452" t="s">
        <v>4282</v>
      </c>
      <c r="J985" s="453" t="s">
        <v>2240</v>
      </c>
      <c r="K985" s="454"/>
      <c r="L985" s="455"/>
      <c r="M985" s="455"/>
      <c r="N985" s="456">
        <v>0</v>
      </c>
      <c r="O985" s="457"/>
      <c r="P985" s="430"/>
    </row>
    <row r="986" spans="1:16" ht="13.9" hidden="1" customHeight="1" outlineLevel="3" x14ac:dyDescent="0.2">
      <c r="A986" s="233">
        <v>0</v>
      </c>
      <c r="B986" s="233">
        <v>8</v>
      </c>
      <c r="C986" s="233">
        <v>3</v>
      </c>
      <c r="D986" s="234">
        <v>6</v>
      </c>
      <c r="E986" s="234">
        <v>1</v>
      </c>
      <c r="G986" s="500" t="s">
        <v>1256</v>
      </c>
      <c r="H986" s="459" t="s">
        <v>1238</v>
      </c>
      <c r="I986" s="460" t="s">
        <v>4283</v>
      </c>
      <c r="J986" s="461" t="s">
        <v>2240</v>
      </c>
      <c r="K986" s="462" t="s">
        <v>1129</v>
      </c>
      <c r="L986" s="463">
        <v>1</v>
      </c>
      <c r="M986" s="463">
        <v>0</v>
      </c>
      <c r="N986" s="464">
        <v>0</v>
      </c>
      <c r="O986" s="465" t="s">
        <v>2323</v>
      </c>
      <c r="P986" s="431" t="s">
        <v>6711</v>
      </c>
    </row>
    <row r="987" spans="1:16" ht="13.9" hidden="1" customHeight="1" outlineLevel="2" x14ac:dyDescent="0.2">
      <c r="A987" s="233">
        <v>0</v>
      </c>
      <c r="B987" s="233">
        <v>8</v>
      </c>
      <c r="C987" s="233">
        <v>3</v>
      </c>
      <c r="D987" s="234">
        <v>7</v>
      </c>
      <c r="E987" s="234">
        <v>0</v>
      </c>
      <c r="G987" s="450"/>
      <c r="H987" s="451" t="s">
        <v>1237</v>
      </c>
      <c r="I987" s="452" t="s">
        <v>4284</v>
      </c>
      <c r="J987" s="453" t="s">
        <v>14</v>
      </c>
      <c r="K987" s="454"/>
      <c r="L987" s="455"/>
      <c r="M987" s="455"/>
      <c r="N987" s="456">
        <v>4392.5</v>
      </c>
      <c r="O987" s="457"/>
      <c r="P987" s="430"/>
    </row>
    <row r="988" spans="1:16" ht="13.9" hidden="1" customHeight="1" outlineLevel="3" x14ac:dyDescent="0.2">
      <c r="A988" s="233">
        <v>0</v>
      </c>
      <c r="B988" s="233">
        <v>8</v>
      </c>
      <c r="C988" s="233">
        <v>3</v>
      </c>
      <c r="D988" s="234">
        <v>7</v>
      </c>
      <c r="E988" s="234">
        <v>1</v>
      </c>
      <c r="G988" s="500" t="s">
        <v>1256</v>
      </c>
      <c r="H988" s="459" t="s">
        <v>1238</v>
      </c>
      <c r="I988" s="460" t="s">
        <v>4285</v>
      </c>
      <c r="J988" s="461" t="s">
        <v>1257</v>
      </c>
      <c r="K988" s="462" t="s">
        <v>1129</v>
      </c>
      <c r="L988" s="463">
        <v>1</v>
      </c>
      <c r="M988" s="463">
        <v>4392.5</v>
      </c>
      <c r="N988" s="464">
        <v>4392.5</v>
      </c>
      <c r="O988" s="475" t="s">
        <v>2333</v>
      </c>
      <c r="P988" s="431" t="s">
        <v>6711</v>
      </c>
    </row>
    <row r="989" spans="1:16" ht="13.9" hidden="1" customHeight="1" outlineLevel="1" x14ac:dyDescent="0.2">
      <c r="A989" s="233">
        <v>0</v>
      </c>
      <c r="B989" s="233">
        <v>8</v>
      </c>
      <c r="C989" s="233">
        <v>4</v>
      </c>
      <c r="D989" s="234">
        <v>0</v>
      </c>
      <c r="E989" s="234">
        <v>1</v>
      </c>
      <c r="G989" s="443"/>
      <c r="H989" s="444" t="s">
        <v>38</v>
      </c>
      <c r="I989" s="445" t="s">
        <v>4286</v>
      </c>
      <c r="J989" s="446" t="s">
        <v>2788</v>
      </c>
      <c r="K989" s="447"/>
      <c r="L989" s="448"/>
      <c r="M989" s="448"/>
      <c r="N989" s="449">
        <v>219050.859</v>
      </c>
      <c r="O989" s="432"/>
      <c r="P989" s="435"/>
    </row>
    <row r="990" spans="1:16" ht="13.9" hidden="1" customHeight="1" outlineLevel="2" x14ac:dyDescent="0.2">
      <c r="A990" s="233">
        <v>0</v>
      </c>
      <c r="B990" s="233">
        <v>8</v>
      </c>
      <c r="C990" s="233">
        <v>4</v>
      </c>
      <c r="D990" s="234">
        <v>1</v>
      </c>
      <c r="E990" s="234">
        <v>0</v>
      </c>
      <c r="G990" s="450"/>
      <c r="H990" s="451" t="s">
        <v>1237</v>
      </c>
      <c r="I990" s="452" t="s">
        <v>4287</v>
      </c>
      <c r="J990" s="453" t="s">
        <v>2330</v>
      </c>
      <c r="K990" s="454"/>
      <c r="L990" s="455"/>
      <c r="M990" s="455"/>
      <c r="N990" s="456">
        <v>5453.5</v>
      </c>
      <c r="O990" s="457"/>
      <c r="P990" s="430"/>
    </row>
    <row r="991" spans="1:16" ht="13.9" hidden="1" customHeight="1" outlineLevel="3" x14ac:dyDescent="0.2">
      <c r="A991" s="233">
        <v>0</v>
      </c>
      <c r="B991" s="233">
        <v>8</v>
      </c>
      <c r="C991" s="233">
        <v>4</v>
      </c>
      <c r="D991" s="234">
        <v>1</v>
      </c>
      <c r="E991" s="234">
        <v>1</v>
      </c>
      <c r="G991" s="500" t="s">
        <v>1256</v>
      </c>
      <c r="H991" s="459" t="s">
        <v>1238</v>
      </c>
      <c r="I991" s="460" t="s">
        <v>4288</v>
      </c>
      <c r="J991" s="461" t="s">
        <v>2330</v>
      </c>
      <c r="K991" s="462" t="s">
        <v>1129</v>
      </c>
      <c r="L991" s="463">
        <v>1</v>
      </c>
      <c r="M991" s="463">
        <v>5453.5</v>
      </c>
      <c r="N991" s="464">
        <v>5453.5</v>
      </c>
      <c r="O991" s="465" t="s">
        <v>2323</v>
      </c>
      <c r="P991" s="431" t="s">
        <v>6711</v>
      </c>
    </row>
    <row r="992" spans="1:16" ht="13.9" hidden="1" customHeight="1" outlineLevel="2" x14ac:dyDescent="0.2">
      <c r="A992" s="233">
        <v>0</v>
      </c>
      <c r="B992" s="233">
        <v>8</v>
      </c>
      <c r="C992" s="233">
        <v>4</v>
      </c>
      <c r="D992" s="234">
        <v>2</v>
      </c>
      <c r="E992" s="234">
        <v>0</v>
      </c>
      <c r="G992" s="450"/>
      <c r="H992" s="451" t="s">
        <v>1237</v>
      </c>
      <c r="I992" s="452" t="s">
        <v>4289</v>
      </c>
      <c r="J992" s="453" t="s">
        <v>2331</v>
      </c>
      <c r="K992" s="454"/>
      <c r="L992" s="455"/>
      <c r="M992" s="455"/>
      <c r="N992" s="456">
        <v>2028.04</v>
      </c>
      <c r="O992" s="457"/>
      <c r="P992" s="430"/>
    </row>
    <row r="993" spans="1:16" ht="13.9" hidden="1" customHeight="1" outlineLevel="3" x14ac:dyDescent="0.2">
      <c r="A993" s="233">
        <v>0</v>
      </c>
      <c r="B993" s="233">
        <v>8</v>
      </c>
      <c r="C993" s="233">
        <v>4</v>
      </c>
      <c r="D993" s="234">
        <v>2</v>
      </c>
      <c r="E993" s="234">
        <v>1</v>
      </c>
      <c r="G993" s="500" t="s">
        <v>1256</v>
      </c>
      <c r="H993" s="459" t="s">
        <v>1238</v>
      </c>
      <c r="I993" s="460" t="s">
        <v>4290</v>
      </c>
      <c r="J993" s="461" t="s">
        <v>2331</v>
      </c>
      <c r="K993" s="462" t="s">
        <v>1129</v>
      </c>
      <c r="L993" s="463">
        <v>1</v>
      </c>
      <c r="M993" s="463">
        <v>2028.04</v>
      </c>
      <c r="N993" s="464">
        <v>2028.04</v>
      </c>
      <c r="O993" s="465" t="s">
        <v>2323</v>
      </c>
      <c r="P993" s="431" t="s">
        <v>6711</v>
      </c>
    </row>
    <row r="994" spans="1:16" ht="13.9" hidden="1" customHeight="1" outlineLevel="2" x14ac:dyDescent="0.2">
      <c r="A994" s="233">
        <v>0</v>
      </c>
      <c r="B994" s="233">
        <v>8</v>
      </c>
      <c r="C994" s="233">
        <v>4</v>
      </c>
      <c r="D994" s="234">
        <v>3</v>
      </c>
      <c r="E994" s="234">
        <v>0</v>
      </c>
      <c r="G994" s="450"/>
      <c r="H994" s="451" t="s">
        <v>1237</v>
      </c>
      <c r="I994" s="452" t="s">
        <v>4291</v>
      </c>
      <c r="J994" s="453" t="s">
        <v>2801</v>
      </c>
      <c r="K994" s="454"/>
      <c r="L994" s="455"/>
      <c r="M994" s="455"/>
      <c r="N994" s="456">
        <v>199625.60000000001</v>
      </c>
      <c r="O994" s="457"/>
      <c r="P994" s="430"/>
    </row>
    <row r="995" spans="1:16" ht="13.9" hidden="1" customHeight="1" outlineLevel="3" x14ac:dyDescent="0.2">
      <c r="A995" s="233">
        <v>0</v>
      </c>
      <c r="B995" s="233">
        <v>8</v>
      </c>
      <c r="C995" s="233">
        <v>4</v>
      </c>
      <c r="D995" s="234">
        <v>3</v>
      </c>
      <c r="E995" s="234">
        <v>1</v>
      </c>
      <c r="G995" s="500" t="s">
        <v>1256</v>
      </c>
      <c r="H995" s="459" t="s">
        <v>1238</v>
      </c>
      <c r="I995" s="460" t="s">
        <v>4292</v>
      </c>
      <c r="J995" s="461" t="s">
        <v>2801</v>
      </c>
      <c r="K995" s="462" t="s">
        <v>1129</v>
      </c>
      <c r="L995" s="463">
        <v>1</v>
      </c>
      <c r="M995" s="463">
        <v>199625.60000000001</v>
      </c>
      <c r="N995" s="464">
        <v>199625.60000000001</v>
      </c>
      <c r="O995" s="465" t="s">
        <v>2323</v>
      </c>
      <c r="P995" s="431" t="s">
        <v>6711</v>
      </c>
    </row>
    <row r="996" spans="1:16" ht="13.9" hidden="1" customHeight="1" outlineLevel="2" x14ac:dyDescent="0.2">
      <c r="A996" s="233">
        <v>0</v>
      </c>
      <c r="B996" s="233">
        <v>8</v>
      </c>
      <c r="C996" s="233">
        <v>4</v>
      </c>
      <c r="D996" s="234">
        <v>4</v>
      </c>
      <c r="E996" s="234">
        <v>0</v>
      </c>
      <c r="G996" s="450"/>
      <c r="H996" s="451" t="s">
        <v>1237</v>
      </c>
      <c r="I996" s="452" t="s">
        <v>4293</v>
      </c>
      <c r="J996" s="453" t="s">
        <v>2332</v>
      </c>
      <c r="K996" s="454"/>
      <c r="L996" s="455"/>
      <c r="M996" s="455"/>
      <c r="N996" s="456">
        <v>0</v>
      </c>
      <c r="O996" s="457"/>
      <c r="P996" s="430"/>
    </row>
    <row r="997" spans="1:16" ht="13.9" hidden="1" customHeight="1" outlineLevel="3" x14ac:dyDescent="0.2">
      <c r="A997" s="233">
        <v>0</v>
      </c>
      <c r="B997" s="233">
        <v>8</v>
      </c>
      <c r="C997" s="233">
        <v>4</v>
      </c>
      <c r="D997" s="234">
        <v>4</v>
      </c>
      <c r="E997" s="234">
        <v>1</v>
      </c>
      <c r="G997" s="500" t="s">
        <v>1256</v>
      </c>
      <c r="H997" s="459" t="s">
        <v>1238</v>
      </c>
      <c r="I997" s="460" t="s">
        <v>4294</v>
      </c>
      <c r="J997" s="461" t="s">
        <v>2332</v>
      </c>
      <c r="K997" s="462" t="s">
        <v>1129</v>
      </c>
      <c r="L997" s="463">
        <v>1</v>
      </c>
      <c r="M997" s="463"/>
      <c r="N997" s="464">
        <v>0</v>
      </c>
      <c r="O997" s="465" t="s">
        <v>2799</v>
      </c>
      <c r="P997" s="431" t="s">
        <v>6711</v>
      </c>
    </row>
    <row r="998" spans="1:16" ht="13.9" hidden="1" customHeight="1" outlineLevel="2" x14ac:dyDescent="0.2">
      <c r="A998" s="233">
        <v>0</v>
      </c>
      <c r="B998" s="233">
        <v>8</v>
      </c>
      <c r="C998" s="233">
        <v>4</v>
      </c>
      <c r="D998" s="234">
        <v>5</v>
      </c>
      <c r="E998" s="234">
        <v>0</v>
      </c>
      <c r="G998" s="450"/>
      <c r="H998" s="451" t="s">
        <v>1237</v>
      </c>
      <c r="I998" s="452" t="s">
        <v>4295</v>
      </c>
      <c r="J998" s="453" t="s">
        <v>2241</v>
      </c>
      <c r="K998" s="454"/>
      <c r="L998" s="455"/>
      <c r="M998" s="455"/>
      <c r="N998" s="456">
        <v>7551.2190000000001</v>
      </c>
      <c r="O998" s="457"/>
      <c r="P998" s="430"/>
    </row>
    <row r="999" spans="1:16" ht="13.9" hidden="1" customHeight="1" outlineLevel="3" x14ac:dyDescent="0.2">
      <c r="A999" s="233">
        <v>0</v>
      </c>
      <c r="B999" s="233">
        <v>8</v>
      </c>
      <c r="C999" s="233">
        <v>4</v>
      </c>
      <c r="D999" s="234">
        <v>5</v>
      </c>
      <c r="E999" s="234">
        <v>1</v>
      </c>
      <c r="G999" s="500" t="s">
        <v>1256</v>
      </c>
      <c r="H999" s="459" t="s">
        <v>1238</v>
      </c>
      <c r="I999" s="460" t="s">
        <v>4296</v>
      </c>
      <c r="J999" s="461" t="s">
        <v>2241</v>
      </c>
      <c r="K999" s="462" t="s">
        <v>1129</v>
      </c>
      <c r="L999" s="463">
        <v>1</v>
      </c>
      <c r="M999" s="463">
        <v>7551.2189999999982</v>
      </c>
      <c r="N999" s="464">
        <v>7551.2190000000001</v>
      </c>
      <c r="O999" s="465" t="s">
        <v>2323</v>
      </c>
      <c r="P999" s="431" t="s">
        <v>6711</v>
      </c>
    </row>
    <row r="1000" spans="1:16" ht="13.9" hidden="1" customHeight="1" outlineLevel="2" x14ac:dyDescent="0.2">
      <c r="A1000" s="233">
        <v>0</v>
      </c>
      <c r="B1000" s="233">
        <v>8</v>
      </c>
      <c r="C1000" s="233">
        <v>4</v>
      </c>
      <c r="D1000" s="234">
        <v>6</v>
      </c>
      <c r="E1000" s="234">
        <v>0</v>
      </c>
      <c r="G1000" s="450"/>
      <c r="H1000" s="451" t="s">
        <v>1237</v>
      </c>
      <c r="I1000" s="452" t="s">
        <v>4297</v>
      </c>
      <c r="J1000" s="453" t="s">
        <v>2240</v>
      </c>
      <c r="K1000" s="454"/>
      <c r="L1000" s="455"/>
      <c r="M1000" s="455"/>
      <c r="N1000" s="456">
        <v>0</v>
      </c>
      <c r="O1000" s="457"/>
      <c r="P1000" s="430"/>
    </row>
    <row r="1001" spans="1:16" ht="13.9" hidden="1" customHeight="1" outlineLevel="3" x14ac:dyDescent="0.2">
      <c r="A1001" s="233">
        <v>0</v>
      </c>
      <c r="B1001" s="233">
        <v>8</v>
      </c>
      <c r="C1001" s="233">
        <v>4</v>
      </c>
      <c r="D1001" s="234">
        <v>6</v>
      </c>
      <c r="E1001" s="234">
        <v>1</v>
      </c>
      <c r="G1001" s="500" t="s">
        <v>1256</v>
      </c>
      <c r="H1001" s="459" t="s">
        <v>1238</v>
      </c>
      <c r="I1001" s="460" t="s">
        <v>4298</v>
      </c>
      <c r="J1001" s="461" t="s">
        <v>2240</v>
      </c>
      <c r="K1001" s="462" t="s">
        <v>1129</v>
      </c>
      <c r="L1001" s="463">
        <v>1</v>
      </c>
      <c r="M1001" s="463"/>
      <c r="N1001" s="464">
        <v>0</v>
      </c>
      <c r="O1001" s="465" t="s">
        <v>2323</v>
      </c>
      <c r="P1001" s="431" t="s">
        <v>6711</v>
      </c>
    </row>
    <row r="1002" spans="1:16" ht="13.9" hidden="1" customHeight="1" outlineLevel="2" x14ac:dyDescent="0.2">
      <c r="A1002" s="233">
        <v>0</v>
      </c>
      <c r="B1002" s="233">
        <v>8</v>
      </c>
      <c r="C1002" s="233">
        <v>4</v>
      </c>
      <c r="D1002" s="234">
        <v>7</v>
      </c>
      <c r="E1002" s="234">
        <v>0</v>
      </c>
      <c r="G1002" s="450"/>
      <c r="H1002" s="451" t="s">
        <v>1237</v>
      </c>
      <c r="I1002" s="452" t="s">
        <v>4299</v>
      </c>
      <c r="J1002" s="453" t="s">
        <v>14</v>
      </c>
      <c r="K1002" s="454"/>
      <c r="L1002" s="455"/>
      <c r="M1002" s="455"/>
      <c r="N1002" s="456">
        <v>4392.5</v>
      </c>
      <c r="O1002" s="457"/>
      <c r="P1002" s="430"/>
    </row>
    <row r="1003" spans="1:16" ht="13.9" hidden="1" customHeight="1" outlineLevel="3" x14ac:dyDescent="0.2">
      <c r="A1003" s="233">
        <v>0</v>
      </c>
      <c r="B1003" s="233">
        <v>8</v>
      </c>
      <c r="C1003" s="233">
        <v>4</v>
      </c>
      <c r="D1003" s="234">
        <v>7</v>
      </c>
      <c r="E1003" s="234">
        <v>1</v>
      </c>
      <c r="G1003" s="500" t="s">
        <v>1256</v>
      </c>
      <c r="H1003" s="459" t="s">
        <v>1238</v>
      </c>
      <c r="I1003" s="460" t="s">
        <v>4300</v>
      </c>
      <c r="J1003" s="461" t="s">
        <v>1257</v>
      </c>
      <c r="K1003" s="462" t="s">
        <v>1129</v>
      </c>
      <c r="L1003" s="463">
        <v>1</v>
      </c>
      <c r="M1003" s="463">
        <v>4392.5</v>
      </c>
      <c r="N1003" s="464">
        <v>4392.5</v>
      </c>
      <c r="O1003" s="475" t="s">
        <v>2333</v>
      </c>
      <c r="P1003" s="431" t="s">
        <v>6711</v>
      </c>
    </row>
    <row r="1004" spans="1:16" ht="13.9" hidden="1" customHeight="1" outlineLevel="1" x14ac:dyDescent="0.2">
      <c r="A1004" s="233">
        <v>0</v>
      </c>
      <c r="B1004" s="233">
        <v>8</v>
      </c>
      <c r="C1004" s="233">
        <v>5</v>
      </c>
      <c r="D1004" s="234">
        <v>0</v>
      </c>
      <c r="E1004" s="234">
        <v>1</v>
      </c>
      <c r="G1004" s="443"/>
      <c r="H1004" s="444" t="s">
        <v>38</v>
      </c>
      <c r="I1004" s="445" t="s">
        <v>4301</v>
      </c>
      <c r="J1004" s="446" t="s">
        <v>2789</v>
      </c>
      <c r="K1004" s="447"/>
      <c r="L1004" s="448"/>
      <c r="M1004" s="448"/>
      <c r="N1004" s="449">
        <v>228438.611</v>
      </c>
      <c r="O1004" s="432"/>
      <c r="P1004" s="435"/>
    </row>
    <row r="1005" spans="1:16" ht="13.9" hidden="1" customHeight="1" outlineLevel="2" x14ac:dyDescent="0.2">
      <c r="A1005" s="233">
        <v>0</v>
      </c>
      <c r="B1005" s="233">
        <v>8</v>
      </c>
      <c r="C1005" s="233">
        <v>5</v>
      </c>
      <c r="D1005" s="234">
        <v>1</v>
      </c>
      <c r="E1005" s="234">
        <v>0</v>
      </c>
      <c r="G1005" s="450"/>
      <c r="H1005" s="451" t="s">
        <v>1237</v>
      </c>
      <c r="I1005" s="452" t="s">
        <v>4302</v>
      </c>
      <c r="J1005" s="453" t="s">
        <v>2330</v>
      </c>
      <c r="K1005" s="454"/>
      <c r="L1005" s="455"/>
      <c r="M1005" s="455"/>
      <c r="N1005" s="456">
        <v>18467.89</v>
      </c>
      <c r="O1005" s="457"/>
      <c r="P1005" s="430"/>
    </row>
    <row r="1006" spans="1:16" ht="13.9" hidden="1" customHeight="1" outlineLevel="3" x14ac:dyDescent="0.2">
      <c r="A1006" s="233">
        <v>0</v>
      </c>
      <c r="B1006" s="233">
        <v>8</v>
      </c>
      <c r="C1006" s="233">
        <v>5</v>
      </c>
      <c r="D1006" s="234">
        <v>1</v>
      </c>
      <c r="E1006" s="234">
        <v>1</v>
      </c>
      <c r="G1006" s="500" t="s">
        <v>1256</v>
      </c>
      <c r="H1006" s="459" t="s">
        <v>1238</v>
      </c>
      <c r="I1006" s="460" t="s">
        <v>4303</v>
      </c>
      <c r="J1006" s="461" t="s">
        <v>2330</v>
      </c>
      <c r="K1006" s="462" t="s">
        <v>1129</v>
      </c>
      <c r="L1006" s="463">
        <v>1</v>
      </c>
      <c r="M1006" s="463">
        <v>18467.89</v>
      </c>
      <c r="N1006" s="464">
        <v>18467.89</v>
      </c>
      <c r="O1006" s="465" t="s">
        <v>2323</v>
      </c>
      <c r="P1006" s="431" t="s">
        <v>6711</v>
      </c>
    </row>
    <row r="1007" spans="1:16" ht="13.9" hidden="1" customHeight="1" outlineLevel="2" x14ac:dyDescent="0.2">
      <c r="A1007" s="233">
        <v>0</v>
      </c>
      <c r="B1007" s="233">
        <v>8</v>
      </c>
      <c r="C1007" s="233">
        <v>5</v>
      </c>
      <c r="D1007" s="234">
        <v>2</v>
      </c>
      <c r="E1007" s="234">
        <v>0</v>
      </c>
      <c r="G1007" s="450"/>
      <c r="H1007" s="451" t="s">
        <v>1237</v>
      </c>
      <c r="I1007" s="452" t="s">
        <v>4304</v>
      </c>
      <c r="J1007" s="453" t="s">
        <v>2331</v>
      </c>
      <c r="K1007" s="454"/>
      <c r="L1007" s="455"/>
      <c r="M1007" s="455"/>
      <c r="N1007" s="456">
        <v>2092.54</v>
      </c>
      <c r="O1007" s="457"/>
      <c r="P1007" s="430"/>
    </row>
    <row r="1008" spans="1:16" ht="13.9" hidden="1" customHeight="1" outlineLevel="3" x14ac:dyDescent="0.2">
      <c r="A1008" s="233">
        <v>0</v>
      </c>
      <c r="B1008" s="233">
        <v>8</v>
      </c>
      <c r="C1008" s="233">
        <v>5</v>
      </c>
      <c r="D1008" s="234">
        <v>2</v>
      </c>
      <c r="E1008" s="234">
        <v>1</v>
      </c>
      <c r="G1008" s="500" t="s">
        <v>1256</v>
      </c>
      <c r="H1008" s="459" t="s">
        <v>1238</v>
      </c>
      <c r="I1008" s="460" t="s">
        <v>4305</v>
      </c>
      <c r="J1008" s="461" t="s">
        <v>2331</v>
      </c>
      <c r="K1008" s="462" t="s">
        <v>1129</v>
      </c>
      <c r="L1008" s="463">
        <v>1</v>
      </c>
      <c r="M1008" s="463">
        <v>2092.54</v>
      </c>
      <c r="N1008" s="464">
        <v>2092.54</v>
      </c>
      <c r="O1008" s="465" t="s">
        <v>2323</v>
      </c>
      <c r="P1008" s="431" t="s">
        <v>6711</v>
      </c>
    </row>
    <row r="1009" spans="1:16" ht="13.9" hidden="1" customHeight="1" outlineLevel="2" x14ac:dyDescent="0.2">
      <c r="A1009" s="233">
        <v>0</v>
      </c>
      <c r="B1009" s="233">
        <v>8</v>
      </c>
      <c r="C1009" s="233">
        <v>5</v>
      </c>
      <c r="D1009" s="234">
        <v>3</v>
      </c>
      <c r="E1009" s="234">
        <v>0</v>
      </c>
      <c r="G1009" s="450"/>
      <c r="H1009" s="451" t="s">
        <v>1237</v>
      </c>
      <c r="I1009" s="452" t="s">
        <v>4306</v>
      </c>
      <c r="J1009" s="453" t="s">
        <v>2801</v>
      </c>
      <c r="K1009" s="454"/>
      <c r="L1009" s="455"/>
      <c r="M1009" s="455"/>
      <c r="N1009" s="456">
        <v>195429.9</v>
      </c>
      <c r="O1009" s="457"/>
      <c r="P1009" s="430"/>
    </row>
    <row r="1010" spans="1:16" ht="13.9" hidden="1" customHeight="1" outlineLevel="3" x14ac:dyDescent="0.2">
      <c r="A1010" s="233">
        <v>0</v>
      </c>
      <c r="B1010" s="233">
        <v>8</v>
      </c>
      <c r="C1010" s="233">
        <v>5</v>
      </c>
      <c r="D1010" s="234">
        <v>3</v>
      </c>
      <c r="E1010" s="234">
        <v>1</v>
      </c>
      <c r="G1010" s="500" t="s">
        <v>1256</v>
      </c>
      <c r="H1010" s="459" t="s">
        <v>1238</v>
      </c>
      <c r="I1010" s="460" t="s">
        <v>4307</v>
      </c>
      <c r="J1010" s="461" t="s">
        <v>2801</v>
      </c>
      <c r="K1010" s="462" t="s">
        <v>1129</v>
      </c>
      <c r="L1010" s="463">
        <v>1</v>
      </c>
      <c r="M1010" s="463">
        <v>195429.9</v>
      </c>
      <c r="N1010" s="464">
        <v>195429.9</v>
      </c>
      <c r="O1010" s="465" t="s">
        <v>2323</v>
      </c>
      <c r="P1010" s="431" t="s">
        <v>6711</v>
      </c>
    </row>
    <row r="1011" spans="1:16" ht="13.9" hidden="1" customHeight="1" outlineLevel="2" x14ac:dyDescent="0.2">
      <c r="A1011" s="233">
        <v>0</v>
      </c>
      <c r="B1011" s="233">
        <v>8</v>
      </c>
      <c r="C1011" s="233">
        <v>5</v>
      </c>
      <c r="D1011" s="234">
        <v>4</v>
      </c>
      <c r="E1011" s="234">
        <v>0</v>
      </c>
      <c r="G1011" s="450"/>
      <c r="H1011" s="451" t="s">
        <v>1237</v>
      </c>
      <c r="I1011" s="452" t="s">
        <v>4308</v>
      </c>
      <c r="J1011" s="453" t="s">
        <v>2332</v>
      </c>
      <c r="K1011" s="454"/>
      <c r="L1011" s="455"/>
      <c r="M1011" s="455"/>
      <c r="N1011" s="456">
        <v>0</v>
      </c>
      <c r="O1011" s="457"/>
      <c r="P1011" s="430"/>
    </row>
    <row r="1012" spans="1:16" ht="13.9" hidden="1" customHeight="1" outlineLevel="3" x14ac:dyDescent="0.2">
      <c r="A1012" s="233">
        <v>0</v>
      </c>
      <c r="B1012" s="233">
        <v>8</v>
      </c>
      <c r="C1012" s="233">
        <v>5</v>
      </c>
      <c r="D1012" s="234">
        <v>4</v>
      </c>
      <c r="E1012" s="234">
        <v>1</v>
      </c>
      <c r="G1012" s="500" t="s">
        <v>1256</v>
      </c>
      <c r="H1012" s="459" t="s">
        <v>1238</v>
      </c>
      <c r="I1012" s="460" t="s">
        <v>4309</v>
      </c>
      <c r="J1012" s="461" t="s">
        <v>2332</v>
      </c>
      <c r="K1012" s="462" t="s">
        <v>1129</v>
      </c>
      <c r="L1012" s="463">
        <v>1</v>
      </c>
      <c r="M1012" s="463"/>
      <c r="N1012" s="464">
        <v>0</v>
      </c>
      <c r="O1012" s="465" t="s">
        <v>2799</v>
      </c>
      <c r="P1012" s="431" t="s">
        <v>6711</v>
      </c>
    </row>
    <row r="1013" spans="1:16" ht="13.9" hidden="1" customHeight="1" outlineLevel="2" x14ac:dyDescent="0.2">
      <c r="A1013" s="233">
        <v>0</v>
      </c>
      <c r="B1013" s="233">
        <v>8</v>
      </c>
      <c r="C1013" s="233">
        <v>5</v>
      </c>
      <c r="D1013" s="234">
        <v>5</v>
      </c>
      <c r="E1013" s="234">
        <v>0</v>
      </c>
      <c r="G1013" s="450"/>
      <c r="H1013" s="451" t="s">
        <v>1237</v>
      </c>
      <c r="I1013" s="452" t="s">
        <v>4310</v>
      </c>
      <c r="J1013" s="453" t="s">
        <v>2241</v>
      </c>
      <c r="K1013" s="454"/>
      <c r="L1013" s="455"/>
      <c r="M1013" s="455"/>
      <c r="N1013" s="456">
        <v>8055.7809999999999</v>
      </c>
      <c r="O1013" s="457"/>
      <c r="P1013" s="430"/>
    </row>
    <row r="1014" spans="1:16" ht="13.9" hidden="1" customHeight="1" outlineLevel="3" x14ac:dyDescent="0.2">
      <c r="A1014" s="233">
        <v>0</v>
      </c>
      <c r="B1014" s="233">
        <v>8</v>
      </c>
      <c r="C1014" s="233">
        <v>5</v>
      </c>
      <c r="D1014" s="234">
        <v>5</v>
      </c>
      <c r="E1014" s="234">
        <v>1</v>
      </c>
      <c r="G1014" s="500" t="s">
        <v>1256</v>
      </c>
      <c r="H1014" s="459" t="s">
        <v>1238</v>
      </c>
      <c r="I1014" s="460" t="s">
        <v>4311</v>
      </c>
      <c r="J1014" s="461" t="s">
        <v>2241</v>
      </c>
      <c r="K1014" s="462" t="s">
        <v>1129</v>
      </c>
      <c r="L1014" s="463">
        <v>1</v>
      </c>
      <c r="M1014" s="463">
        <v>8055.7810000000009</v>
      </c>
      <c r="N1014" s="464">
        <v>8055.7809999999999</v>
      </c>
      <c r="O1014" s="465" t="s">
        <v>2323</v>
      </c>
      <c r="P1014" s="431" t="s">
        <v>6711</v>
      </c>
    </row>
    <row r="1015" spans="1:16" ht="13.9" hidden="1" customHeight="1" outlineLevel="2" x14ac:dyDescent="0.2">
      <c r="A1015" s="233">
        <v>0</v>
      </c>
      <c r="B1015" s="233">
        <v>8</v>
      </c>
      <c r="C1015" s="233">
        <v>5</v>
      </c>
      <c r="D1015" s="234">
        <v>6</v>
      </c>
      <c r="E1015" s="234">
        <v>0</v>
      </c>
      <c r="G1015" s="450"/>
      <c r="H1015" s="451" t="s">
        <v>1237</v>
      </c>
      <c r="I1015" s="452" t="s">
        <v>4312</v>
      </c>
      <c r="J1015" s="453" t="s">
        <v>2240</v>
      </c>
      <c r="K1015" s="454"/>
      <c r="L1015" s="455"/>
      <c r="M1015" s="455"/>
      <c r="N1015" s="456">
        <v>0</v>
      </c>
      <c r="O1015" s="457"/>
      <c r="P1015" s="430"/>
    </row>
    <row r="1016" spans="1:16" ht="13.9" hidden="1" customHeight="1" outlineLevel="3" x14ac:dyDescent="0.2">
      <c r="A1016" s="233">
        <v>0</v>
      </c>
      <c r="B1016" s="233">
        <v>8</v>
      </c>
      <c r="C1016" s="233">
        <v>5</v>
      </c>
      <c r="D1016" s="234">
        <v>6</v>
      </c>
      <c r="E1016" s="234">
        <v>1</v>
      </c>
      <c r="G1016" s="500" t="s">
        <v>1256</v>
      </c>
      <c r="H1016" s="459" t="s">
        <v>1238</v>
      </c>
      <c r="I1016" s="460" t="s">
        <v>4313</v>
      </c>
      <c r="J1016" s="461" t="s">
        <v>2240</v>
      </c>
      <c r="K1016" s="462" t="s">
        <v>1129</v>
      </c>
      <c r="L1016" s="463">
        <v>1</v>
      </c>
      <c r="M1016" s="463"/>
      <c r="N1016" s="464">
        <v>0</v>
      </c>
      <c r="O1016" s="465" t="s">
        <v>2323</v>
      </c>
      <c r="P1016" s="431" t="s">
        <v>6711</v>
      </c>
    </row>
    <row r="1017" spans="1:16" ht="13.9" hidden="1" customHeight="1" outlineLevel="2" x14ac:dyDescent="0.2">
      <c r="A1017" s="233">
        <v>0</v>
      </c>
      <c r="B1017" s="233">
        <v>8</v>
      </c>
      <c r="C1017" s="233">
        <v>5</v>
      </c>
      <c r="D1017" s="234">
        <v>7</v>
      </c>
      <c r="E1017" s="234">
        <v>0</v>
      </c>
      <c r="G1017" s="450"/>
      <c r="H1017" s="451" t="s">
        <v>1237</v>
      </c>
      <c r="I1017" s="452" t="s">
        <v>4314</v>
      </c>
      <c r="J1017" s="453" t="s">
        <v>14</v>
      </c>
      <c r="K1017" s="454"/>
      <c r="L1017" s="455"/>
      <c r="M1017" s="455"/>
      <c r="N1017" s="456">
        <v>4392.5</v>
      </c>
      <c r="O1017" s="457"/>
      <c r="P1017" s="430"/>
    </row>
    <row r="1018" spans="1:16" ht="13.9" hidden="1" customHeight="1" outlineLevel="3" x14ac:dyDescent="0.2">
      <c r="A1018" s="233">
        <v>0</v>
      </c>
      <c r="B1018" s="233">
        <v>8</v>
      </c>
      <c r="C1018" s="233">
        <v>5</v>
      </c>
      <c r="D1018" s="234">
        <v>7</v>
      </c>
      <c r="E1018" s="234">
        <v>1</v>
      </c>
      <c r="G1018" s="500" t="s">
        <v>1256</v>
      </c>
      <c r="H1018" s="459" t="s">
        <v>1238</v>
      </c>
      <c r="I1018" s="460" t="s">
        <v>4315</v>
      </c>
      <c r="J1018" s="461" t="s">
        <v>1257</v>
      </c>
      <c r="K1018" s="462" t="s">
        <v>1129</v>
      </c>
      <c r="L1018" s="463">
        <v>1</v>
      </c>
      <c r="M1018" s="463">
        <v>4392.5</v>
      </c>
      <c r="N1018" s="464">
        <v>4392.5</v>
      </c>
      <c r="O1018" s="475" t="s">
        <v>2333</v>
      </c>
      <c r="P1018" s="431" t="s">
        <v>6711</v>
      </c>
    </row>
    <row r="1019" spans="1:16" ht="13.9" hidden="1" customHeight="1" outlineLevel="1" x14ac:dyDescent="0.2">
      <c r="A1019" s="233">
        <v>0</v>
      </c>
      <c r="B1019" s="233">
        <v>8</v>
      </c>
      <c r="C1019" s="233">
        <v>6</v>
      </c>
      <c r="D1019" s="234">
        <v>0</v>
      </c>
      <c r="E1019" s="234">
        <v>1</v>
      </c>
      <c r="G1019" s="443"/>
      <c r="H1019" s="444" t="s">
        <v>38</v>
      </c>
      <c r="I1019" s="445" t="s">
        <v>4316</v>
      </c>
      <c r="J1019" s="446" t="s">
        <v>2790</v>
      </c>
      <c r="K1019" s="447"/>
      <c r="L1019" s="448"/>
      <c r="M1019" s="448"/>
      <c r="N1019" s="449">
        <v>258084.546</v>
      </c>
      <c r="O1019" s="432"/>
      <c r="P1019" s="435"/>
    </row>
    <row r="1020" spans="1:16" ht="13.9" hidden="1" customHeight="1" outlineLevel="2" x14ac:dyDescent="0.2">
      <c r="A1020" s="233">
        <v>0</v>
      </c>
      <c r="B1020" s="233">
        <v>8</v>
      </c>
      <c r="C1020" s="233">
        <v>6</v>
      </c>
      <c r="D1020" s="234">
        <v>1</v>
      </c>
      <c r="E1020" s="234">
        <v>0</v>
      </c>
      <c r="G1020" s="450"/>
      <c r="H1020" s="451" t="s">
        <v>1237</v>
      </c>
      <c r="I1020" s="452" t="s">
        <v>4317</v>
      </c>
      <c r="J1020" s="453" t="s">
        <v>2330</v>
      </c>
      <c r="K1020" s="454"/>
      <c r="L1020" s="455"/>
      <c r="M1020" s="455"/>
      <c r="N1020" s="456">
        <v>5145</v>
      </c>
      <c r="O1020" s="457"/>
      <c r="P1020" s="430"/>
    </row>
    <row r="1021" spans="1:16" ht="13.9" hidden="1" customHeight="1" outlineLevel="3" x14ac:dyDescent="0.2">
      <c r="A1021" s="233">
        <v>0</v>
      </c>
      <c r="B1021" s="233">
        <v>8</v>
      </c>
      <c r="C1021" s="233">
        <v>6</v>
      </c>
      <c r="D1021" s="234">
        <v>1</v>
      </c>
      <c r="E1021" s="234">
        <v>1</v>
      </c>
      <c r="G1021" s="500" t="s">
        <v>1256</v>
      </c>
      <c r="H1021" s="459" t="s">
        <v>1238</v>
      </c>
      <c r="I1021" s="460" t="s">
        <v>4318</v>
      </c>
      <c r="J1021" s="461" t="s">
        <v>2330</v>
      </c>
      <c r="K1021" s="462" t="s">
        <v>1129</v>
      </c>
      <c r="L1021" s="463">
        <v>1</v>
      </c>
      <c r="M1021" s="463">
        <v>5145</v>
      </c>
      <c r="N1021" s="464">
        <v>5145</v>
      </c>
      <c r="O1021" s="465" t="s">
        <v>2323</v>
      </c>
      <c r="P1021" s="431" t="s">
        <v>6711</v>
      </c>
    </row>
    <row r="1022" spans="1:16" ht="13.9" hidden="1" customHeight="1" outlineLevel="2" x14ac:dyDescent="0.2">
      <c r="A1022" s="233">
        <v>0</v>
      </c>
      <c r="B1022" s="233">
        <v>8</v>
      </c>
      <c r="C1022" s="233">
        <v>6</v>
      </c>
      <c r="D1022" s="234">
        <v>2</v>
      </c>
      <c r="E1022" s="234">
        <v>0</v>
      </c>
      <c r="G1022" s="450"/>
      <c r="H1022" s="451" t="s">
        <v>1237</v>
      </c>
      <c r="I1022" s="452" t="s">
        <v>4319</v>
      </c>
      <c r="J1022" s="453" t="s">
        <v>2331</v>
      </c>
      <c r="K1022" s="454"/>
      <c r="L1022" s="455"/>
      <c r="M1022" s="455"/>
      <c r="N1022" s="456">
        <v>2712.84</v>
      </c>
      <c r="O1022" s="457"/>
      <c r="P1022" s="430"/>
    </row>
    <row r="1023" spans="1:16" ht="13.9" hidden="1" customHeight="1" outlineLevel="3" x14ac:dyDescent="0.2">
      <c r="A1023" s="233">
        <v>0</v>
      </c>
      <c r="B1023" s="233">
        <v>8</v>
      </c>
      <c r="C1023" s="233">
        <v>6</v>
      </c>
      <c r="D1023" s="234">
        <v>2</v>
      </c>
      <c r="E1023" s="234">
        <v>1</v>
      </c>
      <c r="G1023" s="500" t="s">
        <v>1256</v>
      </c>
      <c r="H1023" s="459" t="s">
        <v>1238</v>
      </c>
      <c r="I1023" s="460" t="s">
        <v>4320</v>
      </c>
      <c r="J1023" s="461" t="s">
        <v>2331</v>
      </c>
      <c r="K1023" s="462" t="s">
        <v>1129</v>
      </c>
      <c r="L1023" s="463">
        <v>1</v>
      </c>
      <c r="M1023" s="463">
        <v>2712.84</v>
      </c>
      <c r="N1023" s="464">
        <v>2712.84</v>
      </c>
      <c r="O1023" s="465" t="s">
        <v>2323</v>
      </c>
      <c r="P1023" s="431" t="s">
        <v>6711</v>
      </c>
    </row>
    <row r="1024" spans="1:16" ht="13.9" hidden="1" customHeight="1" outlineLevel="2" x14ac:dyDescent="0.2">
      <c r="A1024" s="233">
        <v>0</v>
      </c>
      <c r="B1024" s="233">
        <v>8</v>
      </c>
      <c r="C1024" s="233">
        <v>6</v>
      </c>
      <c r="D1024" s="234">
        <v>3</v>
      </c>
      <c r="E1024" s="234">
        <v>0</v>
      </c>
      <c r="G1024" s="450"/>
      <c r="H1024" s="451" t="s">
        <v>1237</v>
      </c>
      <c r="I1024" s="452" t="s">
        <v>4321</v>
      </c>
      <c r="J1024" s="453" t="s">
        <v>2801</v>
      </c>
      <c r="K1024" s="454"/>
      <c r="L1024" s="455"/>
      <c r="M1024" s="455"/>
      <c r="N1024" s="456">
        <v>237305.2</v>
      </c>
      <c r="O1024" s="457"/>
      <c r="P1024" s="430"/>
    </row>
    <row r="1025" spans="1:16" ht="13.9" hidden="1" customHeight="1" outlineLevel="3" x14ac:dyDescent="0.2">
      <c r="A1025" s="233">
        <v>0</v>
      </c>
      <c r="B1025" s="233">
        <v>8</v>
      </c>
      <c r="C1025" s="233">
        <v>6</v>
      </c>
      <c r="D1025" s="234">
        <v>3</v>
      </c>
      <c r="E1025" s="234">
        <v>1</v>
      </c>
      <c r="G1025" s="500" t="s">
        <v>1256</v>
      </c>
      <c r="H1025" s="459" t="s">
        <v>1238</v>
      </c>
      <c r="I1025" s="460" t="s">
        <v>4322</v>
      </c>
      <c r="J1025" s="461" t="s">
        <v>2801</v>
      </c>
      <c r="K1025" s="462" t="s">
        <v>1129</v>
      </c>
      <c r="L1025" s="463">
        <v>1</v>
      </c>
      <c r="M1025" s="463">
        <v>237305.2</v>
      </c>
      <c r="N1025" s="464">
        <v>237305.2</v>
      </c>
      <c r="O1025" s="465" t="s">
        <v>2323</v>
      </c>
      <c r="P1025" s="431" t="s">
        <v>6711</v>
      </c>
    </row>
    <row r="1026" spans="1:16" ht="13.9" hidden="1" customHeight="1" outlineLevel="2" x14ac:dyDescent="0.2">
      <c r="A1026" s="233">
        <v>0</v>
      </c>
      <c r="B1026" s="233">
        <v>8</v>
      </c>
      <c r="C1026" s="233">
        <v>6</v>
      </c>
      <c r="D1026" s="234">
        <v>4</v>
      </c>
      <c r="E1026" s="234">
        <v>0</v>
      </c>
      <c r="G1026" s="450"/>
      <c r="H1026" s="451" t="s">
        <v>1237</v>
      </c>
      <c r="I1026" s="452" t="s">
        <v>4323</v>
      </c>
      <c r="J1026" s="453" t="s">
        <v>2332</v>
      </c>
      <c r="K1026" s="454"/>
      <c r="L1026" s="455"/>
      <c r="M1026" s="455"/>
      <c r="N1026" s="456">
        <v>0</v>
      </c>
      <c r="O1026" s="457"/>
      <c r="P1026" s="430"/>
    </row>
    <row r="1027" spans="1:16" ht="13.9" hidden="1" customHeight="1" outlineLevel="3" x14ac:dyDescent="0.2">
      <c r="A1027" s="233">
        <v>0</v>
      </c>
      <c r="B1027" s="233">
        <v>8</v>
      </c>
      <c r="C1027" s="233">
        <v>6</v>
      </c>
      <c r="D1027" s="234">
        <v>4</v>
      </c>
      <c r="E1027" s="234">
        <v>1</v>
      </c>
      <c r="G1027" s="500" t="s">
        <v>1256</v>
      </c>
      <c r="H1027" s="459" t="s">
        <v>1238</v>
      </c>
      <c r="I1027" s="460" t="s">
        <v>4324</v>
      </c>
      <c r="J1027" s="461" t="s">
        <v>2332</v>
      </c>
      <c r="K1027" s="462" t="s">
        <v>1129</v>
      </c>
      <c r="L1027" s="463">
        <v>1</v>
      </c>
      <c r="M1027" s="463"/>
      <c r="N1027" s="464">
        <v>0</v>
      </c>
      <c r="O1027" s="465" t="s">
        <v>2799</v>
      </c>
      <c r="P1027" s="431" t="s">
        <v>6711</v>
      </c>
    </row>
    <row r="1028" spans="1:16" ht="13.9" hidden="1" customHeight="1" outlineLevel="2" x14ac:dyDescent="0.2">
      <c r="A1028" s="233">
        <v>0</v>
      </c>
      <c r="B1028" s="233">
        <v>8</v>
      </c>
      <c r="C1028" s="233">
        <v>6</v>
      </c>
      <c r="D1028" s="234">
        <v>5</v>
      </c>
      <c r="E1028" s="234">
        <v>0</v>
      </c>
      <c r="G1028" s="450"/>
      <c r="H1028" s="451" t="s">
        <v>1237</v>
      </c>
      <c r="I1028" s="452" t="s">
        <v>4325</v>
      </c>
      <c r="J1028" s="453" t="s">
        <v>2241</v>
      </c>
      <c r="K1028" s="454"/>
      <c r="L1028" s="455"/>
      <c r="M1028" s="455"/>
      <c r="N1028" s="456">
        <v>8459.2559999999994</v>
      </c>
      <c r="O1028" s="457"/>
      <c r="P1028" s="430"/>
    </row>
    <row r="1029" spans="1:16" ht="13.9" hidden="1" customHeight="1" outlineLevel="3" x14ac:dyDescent="0.2">
      <c r="A1029" s="233">
        <v>0</v>
      </c>
      <c r="B1029" s="233">
        <v>8</v>
      </c>
      <c r="C1029" s="233">
        <v>6</v>
      </c>
      <c r="D1029" s="234">
        <v>5</v>
      </c>
      <c r="E1029" s="234">
        <v>1</v>
      </c>
      <c r="G1029" s="500" t="s">
        <v>1256</v>
      </c>
      <c r="H1029" s="459" t="s">
        <v>1238</v>
      </c>
      <c r="I1029" s="460" t="s">
        <v>4326</v>
      </c>
      <c r="J1029" s="461" t="s">
        <v>2241</v>
      </c>
      <c r="K1029" s="462" t="s">
        <v>1129</v>
      </c>
      <c r="L1029" s="463">
        <v>1</v>
      </c>
      <c r="M1029" s="463">
        <v>8459.2559999999976</v>
      </c>
      <c r="N1029" s="464">
        <v>8459.2559999999994</v>
      </c>
      <c r="O1029" s="465" t="s">
        <v>2323</v>
      </c>
      <c r="P1029" s="431" t="s">
        <v>6711</v>
      </c>
    </row>
    <row r="1030" spans="1:16" ht="13.9" hidden="1" customHeight="1" outlineLevel="2" x14ac:dyDescent="0.2">
      <c r="A1030" s="233">
        <v>0</v>
      </c>
      <c r="B1030" s="233">
        <v>8</v>
      </c>
      <c r="C1030" s="233">
        <v>6</v>
      </c>
      <c r="D1030" s="234">
        <v>6</v>
      </c>
      <c r="E1030" s="234">
        <v>0</v>
      </c>
      <c r="G1030" s="450"/>
      <c r="H1030" s="451" t="s">
        <v>1237</v>
      </c>
      <c r="I1030" s="452" t="s">
        <v>4327</v>
      </c>
      <c r="J1030" s="453" t="s">
        <v>2240</v>
      </c>
      <c r="K1030" s="454"/>
      <c r="L1030" s="455"/>
      <c r="M1030" s="455"/>
      <c r="N1030" s="456">
        <v>0</v>
      </c>
      <c r="O1030" s="457"/>
      <c r="P1030" s="430"/>
    </row>
    <row r="1031" spans="1:16" ht="13.9" hidden="1" customHeight="1" outlineLevel="3" x14ac:dyDescent="0.2">
      <c r="A1031" s="233">
        <v>0</v>
      </c>
      <c r="B1031" s="233">
        <v>8</v>
      </c>
      <c r="C1031" s="233">
        <v>6</v>
      </c>
      <c r="D1031" s="234">
        <v>6</v>
      </c>
      <c r="E1031" s="234">
        <v>1</v>
      </c>
      <c r="G1031" s="500" t="s">
        <v>1256</v>
      </c>
      <c r="H1031" s="459" t="s">
        <v>1238</v>
      </c>
      <c r="I1031" s="460" t="s">
        <v>4328</v>
      </c>
      <c r="J1031" s="461" t="s">
        <v>2240</v>
      </c>
      <c r="K1031" s="462" t="s">
        <v>1129</v>
      </c>
      <c r="L1031" s="463">
        <v>1</v>
      </c>
      <c r="M1031" s="463"/>
      <c r="N1031" s="464">
        <v>0</v>
      </c>
      <c r="O1031" s="465" t="s">
        <v>2323</v>
      </c>
      <c r="P1031" s="431" t="s">
        <v>6711</v>
      </c>
    </row>
    <row r="1032" spans="1:16" ht="13.9" hidden="1" customHeight="1" outlineLevel="2" x14ac:dyDescent="0.2">
      <c r="A1032" s="233">
        <v>0</v>
      </c>
      <c r="B1032" s="233">
        <v>8</v>
      </c>
      <c r="C1032" s="233">
        <v>6</v>
      </c>
      <c r="D1032" s="234">
        <v>7</v>
      </c>
      <c r="E1032" s="234">
        <v>0</v>
      </c>
      <c r="G1032" s="450"/>
      <c r="H1032" s="451" t="s">
        <v>1237</v>
      </c>
      <c r="I1032" s="452" t="s">
        <v>4329</v>
      </c>
      <c r="J1032" s="453" t="s">
        <v>14</v>
      </c>
      <c r="K1032" s="454"/>
      <c r="L1032" s="455"/>
      <c r="M1032" s="455"/>
      <c r="N1032" s="456">
        <v>4462.25</v>
      </c>
      <c r="O1032" s="457"/>
      <c r="P1032" s="430"/>
    </row>
    <row r="1033" spans="1:16" ht="13.9" hidden="1" customHeight="1" outlineLevel="3" x14ac:dyDescent="0.2">
      <c r="A1033" s="233">
        <v>0</v>
      </c>
      <c r="B1033" s="233">
        <v>8</v>
      </c>
      <c r="C1033" s="233">
        <v>6</v>
      </c>
      <c r="D1033" s="234">
        <v>7</v>
      </c>
      <c r="E1033" s="234">
        <v>1</v>
      </c>
      <c r="G1033" s="500" t="s">
        <v>1256</v>
      </c>
      <c r="H1033" s="459" t="s">
        <v>1238</v>
      </c>
      <c r="I1033" s="460" t="s">
        <v>4330</v>
      </c>
      <c r="J1033" s="461" t="s">
        <v>1257</v>
      </c>
      <c r="K1033" s="462" t="s">
        <v>1129</v>
      </c>
      <c r="L1033" s="463">
        <v>1</v>
      </c>
      <c r="M1033" s="463">
        <v>4462.25</v>
      </c>
      <c r="N1033" s="464">
        <v>4462.25</v>
      </c>
      <c r="O1033" s="475" t="s">
        <v>2333</v>
      </c>
      <c r="P1033" s="431" t="s">
        <v>6711</v>
      </c>
    </row>
    <row r="1034" spans="1:16" ht="13.9" hidden="1" customHeight="1" outlineLevel="1" x14ac:dyDescent="0.2">
      <c r="A1034" s="233">
        <v>0</v>
      </c>
      <c r="B1034" s="233">
        <v>8</v>
      </c>
      <c r="C1034" s="233">
        <v>7</v>
      </c>
      <c r="D1034" s="234">
        <v>0</v>
      </c>
      <c r="E1034" s="234">
        <v>1</v>
      </c>
      <c r="G1034" s="443"/>
      <c r="H1034" s="444" t="s">
        <v>38</v>
      </c>
      <c r="I1034" s="445" t="s">
        <v>4331</v>
      </c>
      <c r="J1034" s="446" t="s">
        <v>2791</v>
      </c>
      <c r="K1034" s="447"/>
      <c r="L1034" s="448"/>
      <c r="M1034" s="448"/>
      <c r="N1034" s="449">
        <v>187448.41</v>
      </c>
      <c r="O1034" s="432"/>
      <c r="P1034" s="435"/>
    </row>
    <row r="1035" spans="1:16" ht="13.9" hidden="1" customHeight="1" outlineLevel="2" x14ac:dyDescent="0.2">
      <c r="A1035" s="233">
        <v>0</v>
      </c>
      <c r="B1035" s="233">
        <v>8</v>
      </c>
      <c r="C1035" s="233">
        <v>7</v>
      </c>
      <c r="D1035" s="234">
        <v>1</v>
      </c>
      <c r="E1035" s="234">
        <v>0</v>
      </c>
      <c r="G1035" s="450"/>
      <c r="H1035" s="451" t="s">
        <v>1237</v>
      </c>
      <c r="I1035" s="452" t="s">
        <v>4332</v>
      </c>
      <c r="J1035" s="453" t="s">
        <v>2330</v>
      </c>
      <c r="K1035" s="454"/>
      <c r="L1035" s="455"/>
      <c r="M1035" s="455"/>
      <c r="N1035" s="456">
        <v>8801</v>
      </c>
      <c r="O1035" s="457"/>
      <c r="P1035" s="430"/>
    </row>
    <row r="1036" spans="1:16" ht="13.9" hidden="1" customHeight="1" outlineLevel="3" x14ac:dyDescent="0.2">
      <c r="A1036" s="233">
        <v>0</v>
      </c>
      <c r="B1036" s="233">
        <v>8</v>
      </c>
      <c r="C1036" s="233">
        <v>7</v>
      </c>
      <c r="D1036" s="234">
        <v>1</v>
      </c>
      <c r="E1036" s="234">
        <v>1</v>
      </c>
      <c r="G1036" s="500" t="s">
        <v>1256</v>
      </c>
      <c r="H1036" s="459" t="s">
        <v>1238</v>
      </c>
      <c r="I1036" s="460" t="s">
        <v>4333</v>
      </c>
      <c r="J1036" s="461" t="s">
        <v>2330</v>
      </c>
      <c r="K1036" s="462" t="s">
        <v>1129</v>
      </c>
      <c r="L1036" s="463">
        <v>1</v>
      </c>
      <c r="M1036" s="463">
        <v>8801</v>
      </c>
      <c r="N1036" s="464">
        <v>8801</v>
      </c>
      <c r="O1036" s="465" t="s">
        <v>2323</v>
      </c>
      <c r="P1036" s="431" t="s">
        <v>6711</v>
      </c>
    </row>
    <row r="1037" spans="1:16" ht="13.9" hidden="1" customHeight="1" outlineLevel="2" x14ac:dyDescent="0.2">
      <c r="A1037" s="233">
        <v>0</v>
      </c>
      <c r="B1037" s="233">
        <v>8</v>
      </c>
      <c r="C1037" s="233">
        <v>7</v>
      </c>
      <c r="D1037" s="234">
        <v>2</v>
      </c>
      <c r="E1037" s="234">
        <v>0</v>
      </c>
      <c r="G1037" s="450"/>
      <c r="H1037" s="451" t="s">
        <v>1237</v>
      </c>
      <c r="I1037" s="452" t="s">
        <v>4334</v>
      </c>
      <c r="J1037" s="453" t="s">
        <v>2331</v>
      </c>
      <c r="K1037" s="454"/>
      <c r="L1037" s="455"/>
      <c r="M1037" s="455"/>
      <c r="N1037" s="456">
        <v>2298.5700000000002</v>
      </c>
      <c r="O1037" s="457"/>
      <c r="P1037" s="430"/>
    </row>
    <row r="1038" spans="1:16" ht="13.9" hidden="1" customHeight="1" outlineLevel="3" x14ac:dyDescent="0.2">
      <c r="A1038" s="233">
        <v>0</v>
      </c>
      <c r="B1038" s="233">
        <v>8</v>
      </c>
      <c r="C1038" s="233">
        <v>7</v>
      </c>
      <c r="D1038" s="234">
        <v>2</v>
      </c>
      <c r="E1038" s="234">
        <v>1</v>
      </c>
      <c r="G1038" s="500" t="s">
        <v>1256</v>
      </c>
      <c r="H1038" s="459" t="s">
        <v>1238</v>
      </c>
      <c r="I1038" s="460" t="s">
        <v>4335</v>
      </c>
      <c r="J1038" s="461" t="s">
        <v>2331</v>
      </c>
      <c r="K1038" s="462" t="s">
        <v>1129</v>
      </c>
      <c r="L1038" s="463">
        <v>1</v>
      </c>
      <c r="M1038" s="463">
        <v>2298.5699999999997</v>
      </c>
      <c r="N1038" s="464">
        <v>2298.5700000000002</v>
      </c>
      <c r="O1038" s="465" t="s">
        <v>2323</v>
      </c>
      <c r="P1038" s="431" t="s">
        <v>6711</v>
      </c>
    </row>
    <row r="1039" spans="1:16" ht="13.9" hidden="1" customHeight="1" outlineLevel="2" x14ac:dyDescent="0.2">
      <c r="A1039" s="233">
        <v>0</v>
      </c>
      <c r="B1039" s="233">
        <v>8</v>
      </c>
      <c r="C1039" s="233">
        <v>7</v>
      </c>
      <c r="D1039" s="234">
        <v>3</v>
      </c>
      <c r="E1039" s="234">
        <v>0</v>
      </c>
      <c r="G1039" s="450"/>
      <c r="H1039" s="451" t="s">
        <v>1237</v>
      </c>
      <c r="I1039" s="452" t="s">
        <v>4336</v>
      </c>
      <c r="J1039" s="453" t="s">
        <v>2801</v>
      </c>
      <c r="K1039" s="454"/>
      <c r="L1039" s="455"/>
      <c r="M1039" s="455"/>
      <c r="N1039" s="456">
        <v>163725.9</v>
      </c>
      <c r="O1039" s="457"/>
      <c r="P1039" s="430"/>
    </row>
    <row r="1040" spans="1:16" ht="13.9" hidden="1" customHeight="1" outlineLevel="3" x14ac:dyDescent="0.2">
      <c r="A1040" s="233">
        <v>0</v>
      </c>
      <c r="B1040" s="233">
        <v>8</v>
      </c>
      <c r="C1040" s="233">
        <v>7</v>
      </c>
      <c r="D1040" s="234">
        <v>3</v>
      </c>
      <c r="E1040" s="234">
        <v>1</v>
      </c>
      <c r="G1040" s="500" t="s">
        <v>1256</v>
      </c>
      <c r="H1040" s="459" t="s">
        <v>1238</v>
      </c>
      <c r="I1040" s="460" t="s">
        <v>4337</v>
      </c>
      <c r="J1040" s="461" t="s">
        <v>2801</v>
      </c>
      <c r="K1040" s="462" t="s">
        <v>1129</v>
      </c>
      <c r="L1040" s="463">
        <v>1</v>
      </c>
      <c r="M1040" s="463">
        <v>163725.9</v>
      </c>
      <c r="N1040" s="464">
        <v>163725.9</v>
      </c>
      <c r="O1040" s="465" t="s">
        <v>2323</v>
      </c>
      <c r="P1040" s="431" t="s">
        <v>6711</v>
      </c>
    </row>
    <row r="1041" spans="1:16" ht="13.9" hidden="1" customHeight="1" outlineLevel="2" x14ac:dyDescent="0.2">
      <c r="A1041" s="233">
        <v>0</v>
      </c>
      <c r="B1041" s="233">
        <v>8</v>
      </c>
      <c r="C1041" s="233">
        <v>7</v>
      </c>
      <c r="D1041" s="234">
        <v>4</v>
      </c>
      <c r="E1041" s="234">
        <v>0</v>
      </c>
      <c r="G1041" s="450"/>
      <c r="H1041" s="451" t="s">
        <v>1237</v>
      </c>
      <c r="I1041" s="452" t="s">
        <v>4338</v>
      </c>
      <c r="J1041" s="453" t="s">
        <v>2332</v>
      </c>
      <c r="K1041" s="454"/>
      <c r="L1041" s="455"/>
      <c r="M1041" s="455"/>
      <c r="N1041" s="456">
        <v>0</v>
      </c>
      <c r="O1041" s="457"/>
      <c r="P1041" s="430"/>
    </row>
    <row r="1042" spans="1:16" ht="13.9" hidden="1" customHeight="1" outlineLevel="3" x14ac:dyDescent="0.2">
      <c r="A1042" s="233">
        <v>0</v>
      </c>
      <c r="B1042" s="233">
        <v>8</v>
      </c>
      <c r="C1042" s="233">
        <v>7</v>
      </c>
      <c r="D1042" s="234">
        <v>4</v>
      </c>
      <c r="E1042" s="234">
        <v>1</v>
      </c>
      <c r="G1042" s="500" t="s">
        <v>1256</v>
      </c>
      <c r="H1042" s="459" t="s">
        <v>1238</v>
      </c>
      <c r="I1042" s="460" t="s">
        <v>4339</v>
      </c>
      <c r="J1042" s="461" t="s">
        <v>2332</v>
      </c>
      <c r="K1042" s="462" t="s">
        <v>1129</v>
      </c>
      <c r="L1042" s="463">
        <v>1</v>
      </c>
      <c r="M1042" s="463"/>
      <c r="N1042" s="464">
        <v>0</v>
      </c>
      <c r="O1042" s="465" t="s">
        <v>2799</v>
      </c>
      <c r="P1042" s="431" t="s">
        <v>6711</v>
      </c>
    </row>
    <row r="1043" spans="1:16" ht="13.9" hidden="1" customHeight="1" outlineLevel="2" x14ac:dyDescent="0.2">
      <c r="A1043" s="233">
        <v>0</v>
      </c>
      <c r="B1043" s="233">
        <v>8</v>
      </c>
      <c r="C1043" s="233">
        <v>7</v>
      </c>
      <c r="D1043" s="234">
        <v>5</v>
      </c>
      <c r="E1043" s="234">
        <v>0</v>
      </c>
      <c r="G1043" s="450"/>
      <c r="H1043" s="451" t="s">
        <v>1237</v>
      </c>
      <c r="I1043" s="452" t="s">
        <v>4340</v>
      </c>
      <c r="J1043" s="453" t="s">
        <v>2241</v>
      </c>
      <c r="K1043" s="454"/>
      <c r="L1043" s="455"/>
      <c r="M1043" s="455"/>
      <c r="N1043" s="456">
        <v>8160.69</v>
      </c>
      <c r="O1043" s="457"/>
      <c r="P1043" s="430"/>
    </row>
    <row r="1044" spans="1:16" ht="13.9" hidden="1" customHeight="1" outlineLevel="3" x14ac:dyDescent="0.2">
      <c r="A1044" s="233">
        <v>0</v>
      </c>
      <c r="B1044" s="233">
        <v>8</v>
      </c>
      <c r="C1044" s="233">
        <v>7</v>
      </c>
      <c r="D1044" s="234">
        <v>5</v>
      </c>
      <c r="E1044" s="234">
        <v>1</v>
      </c>
      <c r="G1044" s="500" t="s">
        <v>1256</v>
      </c>
      <c r="H1044" s="459" t="s">
        <v>1238</v>
      </c>
      <c r="I1044" s="460" t="s">
        <v>4341</v>
      </c>
      <c r="J1044" s="461" t="s">
        <v>2241</v>
      </c>
      <c r="K1044" s="462" t="s">
        <v>1129</v>
      </c>
      <c r="L1044" s="463">
        <v>1</v>
      </c>
      <c r="M1044" s="463">
        <v>8160.6900000000005</v>
      </c>
      <c r="N1044" s="464">
        <v>8160.69</v>
      </c>
      <c r="O1044" s="465" t="s">
        <v>2323</v>
      </c>
      <c r="P1044" s="431" t="s">
        <v>6711</v>
      </c>
    </row>
    <row r="1045" spans="1:16" ht="13.9" hidden="1" customHeight="1" outlineLevel="2" x14ac:dyDescent="0.2">
      <c r="A1045" s="233">
        <v>0</v>
      </c>
      <c r="B1045" s="233">
        <v>8</v>
      </c>
      <c r="C1045" s="233">
        <v>7</v>
      </c>
      <c r="D1045" s="234">
        <v>6</v>
      </c>
      <c r="E1045" s="234">
        <v>0</v>
      </c>
      <c r="G1045" s="450"/>
      <c r="H1045" s="451" t="s">
        <v>1237</v>
      </c>
      <c r="I1045" s="452" t="s">
        <v>4342</v>
      </c>
      <c r="J1045" s="453" t="s">
        <v>2240</v>
      </c>
      <c r="K1045" s="454"/>
      <c r="L1045" s="455"/>
      <c r="M1045" s="455"/>
      <c r="N1045" s="456">
        <v>0</v>
      </c>
      <c r="O1045" s="457"/>
      <c r="P1045" s="430"/>
    </row>
    <row r="1046" spans="1:16" ht="13.9" hidden="1" customHeight="1" outlineLevel="3" x14ac:dyDescent="0.2">
      <c r="A1046" s="233">
        <v>0</v>
      </c>
      <c r="B1046" s="233">
        <v>8</v>
      </c>
      <c r="C1046" s="233">
        <v>7</v>
      </c>
      <c r="D1046" s="234">
        <v>6</v>
      </c>
      <c r="E1046" s="234">
        <v>1</v>
      </c>
      <c r="G1046" s="500" t="s">
        <v>1256</v>
      </c>
      <c r="H1046" s="459" t="s">
        <v>1238</v>
      </c>
      <c r="I1046" s="460" t="s">
        <v>4343</v>
      </c>
      <c r="J1046" s="461" t="s">
        <v>2240</v>
      </c>
      <c r="K1046" s="462" t="s">
        <v>1129</v>
      </c>
      <c r="L1046" s="463">
        <v>1</v>
      </c>
      <c r="M1046" s="463"/>
      <c r="N1046" s="464">
        <v>0</v>
      </c>
      <c r="O1046" s="465" t="s">
        <v>2323</v>
      </c>
      <c r="P1046" s="431" t="s">
        <v>6711</v>
      </c>
    </row>
    <row r="1047" spans="1:16" ht="13.9" hidden="1" customHeight="1" outlineLevel="2" x14ac:dyDescent="0.2">
      <c r="A1047" s="233">
        <v>0</v>
      </c>
      <c r="B1047" s="233">
        <v>8</v>
      </c>
      <c r="C1047" s="233">
        <v>7</v>
      </c>
      <c r="D1047" s="234">
        <v>7</v>
      </c>
      <c r="E1047" s="234">
        <v>0</v>
      </c>
      <c r="G1047" s="450"/>
      <c r="H1047" s="451" t="s">
        <v>1237</v>
      </c>
      <c r="I1047" s="452" t="s">
        <v>4344</v>
      </c>
      <c r="J1047" s="453" t="s">
        <v>14</v>
      </c>
      <c r="K1047" s="454"/>
      <c r="L1047" s="455"/>
      <c r="M1047" s="455"/>
      <c r="N1047" s="456">
        <v>4462.25</v>
      </c>
      <c r="O1047" s="457"/>
      <c r="P1047" s="430"/>
    </row>
    <row r="1048" spans="1:16" ht="13.9" hidden="1" customHeight="1" outlineLevel="3" x14ac:dyDescent="0.2">
      <c r="A1048" s="233">
        <v>0</v>
      </c>
      <c r="B1048" s="233">
        <v>8</v>
      </c>
      <c r="C1048" s="233">
        <v>7</v>
      </c>
      <c r="D1048" s="234">
        <v>7</v>
      </c>
      <c r="E1048" s="234">
        <v>1</v>
      </c>
      <c r="G1048" s="500" t="s">
        <v>1256</v>
      </c>
      <c r="H1048" s="459" t="s">
        <v>1238</v>
      </c>
      <c r="I1048" s="460" t="s">
        <v>4345</v>
      </c>
      <c r="J1048" s="461" t="s">
        <v>1257</v>
      </c>
      <c r="K1048" s="462" t="s">
        <v>1129</v>
      </c>
      <c r="L1048" s="463">
        <v>1</v>
      </c>
      <c r="M1048" s="463">
        <v>4462.25</v>
      </c>
      <c r="N1048" s="464">
        <v>4462.25</v>
      </c>
      <c r="O1048" s="475" t="s">
        <v>2333</v>
      </c>
      <c r="P1048" s="431" t="s">
        <v>6711</v>
      </c>
    </row>
    <row r="1049" spans="1:16" ht="13.9" hidden="1" customHeight="1" outlineLevel="1" x14ac:dyDescent="0.2">
      <c r="A1049" s="233">
        <v>0</v>
      </c>
      <c r="B1049" s="233">
        <v>8</v>
      </c>
      <c r="C1049" s="233">
        <v>8</v>
      </c>
      <c r="D1049" s="234">
        <v>0</v>
      </c>
      <c r="E1049" s="234">
        <v>1</v>
      </c>
      <c r="G1049" s="443"/>
      <c r="H1049" s="444" t="s">
        <v>38</v>
      </c>
      <c r="I1049" s="445" t="s">
        <v>4346</v>
      </c>
      <c r="J1049" s="446" t="s">
        <v>2792</v>
      </c>
      <c r="K1049" s="447"/>
      <c r="L1049" s="448"/>
      <c r="M1049" s="448"/>
      <c r="N1049" s="449">
        <v>44273.483999999997</v>
      </c>
      <c r="O1049" s="432"/>
      <c r="P1049" s="435"/>
    </row>
    <row r="1050" spans="1:16" ht="13.9" hidden="1" customHeight="1" outlineLevel="2" x14ac:dyDescent="0.2">
      <c r="A1050" s="233">
        <v>0</v>
      </c>
      <c r="B1050" s="233">
        <v>8</v>
      </c>
      <c r="C1050" s="233">
        <v>8</v>
      </c>
      <c r="D1050" s="234">
        <v>1</v>
      </c>
      <c r="E1050" s="234">
        <v>0</v>
      </c>
      <c r="G1050" s="450"/>
      <c r="H1050" s="451" t="s">
        <v>1237</v>
      </c>
      <c r="I1050" s="452" t="s">
        <v>4347</v>
      </c>
      <c r="J1050" s="453" t="s">
        <v>2330</v>
      </c>
      <c r="K1050" s="454"/>
      <c r="L1050" s="455"/>
      <c r="M1050" s="455"/>
      <c r="N1050" s="456">
        <v>3982.75</v>
      </c>
      <c r="O1050" s="457"/>
      <c r="P1050" s="430"/>
    </row>
    <row r="1051" spans="1:16" ht="13.9" hidden="1" customHeight="1" outlineLevel="3" x14ac:dyDescent="0.2">
      <c r="A1051" s="233">
        <v>0</v>
      </c>
      <c r="B1051" s="233">
        <v>8</v>
      </c>
      <c r="C1051" s="233">
        <v>8</v>
      </c>
      <c r="D1051" s="234">
        <v>1</v>
      </c>
      <c r="E1051" s="234">
        <v>1</v>
      </c>
      <c r="G1051" s="500" t="s">
        <v>1256</v>
      </c>
      <c r="H1051" s="459" t="s">
        <v>1238</v>
      </c>
      <c r="I1051" s="460" t="s">
        <v>4348</v>
      </c>
      <c r="J1051" s="461" t="s">
        <v>2330</v>
      </c>
      <c r="K1051" s="462" t="s">
        <v>1129</v>
      </c>
      <c r="L1051" s="463">
        <v>1</v>
      </c>
      <c r="M1051" s="463">
        <v>3982.75</v>
      </c>
      <c r="N1051" s="464">
        <v>3982.75</v>
      </c>
      <c r="O1051" s="465" t="s">
        <v>2323</v>
      </c>
      <c r="P1051" s="431" t="s">
        <v>6711</v>
      </c>
    </row>
    <row r="1052" spans="1:16" ht="13.9" hidden="1" customHeight="1" outlineLevel="2" x14ac:dyDescent="0.2">
      <c r="A1052" s="233">
        <v>0</v>
      </c>
      <c r="B1052" s="233">
        <v>8</v>
      </c>
      <c r="C1052" s="233">
        <v>8</v>
      </c>
      <c r="D1052" s="234">
        <v>2</v>
      </c>
      <c r="E1052" s="234">
        <v>0</v>
      </c>
      <c r="G1052" s="450"/>
      <c r="H1052" s="451" t="s">
        <v>1237</v>
      </c>
      <c r="I1052" s="452" t="s">
        <v>4349</v>
      </c>
      <c r="J1052" s="453" t="s">
        <v>2331</v>
      </c>
      <c r="K1052" s="454"/>
      <c r="L1052" s="455"/>
      <c r="M1052" s="455"/>
      <c r="N1052" s="456">
        <v>1517.74</v>
      </c>
      <c r="O1052" s="457"/>
      <c r="P1052" s="430"/>
    </row>
    <row r="1053" spans="1:16" ht="13.9" hidden="1" customHeight="1" outlineLevel="3" x14ac:dyDescent="0.2">
      <c r="A1053" s="233">
        <v>0</v>
      </c>
      <c r="B1053" s="233">
        <v>8</v>
      </c>
      <c r="C1053" s="233">
        <v>8</v>
      </c>
      <c r="D1053" s="234">
        <v>2</v>
      </c>
      <c r="E1053" s="234">
        <v>1</v>
      </c>
      <c r="G1053" s="500" t="s">
        <v>1256</v>
      </c>
      <c r="H1053" s="459" t="s">
        <v>1238</v>
      </c>
      <c r="I1053" s="460" t="s">
        <v>4350</v>
      </c>
      <c r="J1053" s="461" t="s">
        <v>2331</v>
      </c>
      <c r="K1053" s="462" t="s">
        <v>1129</v>
      </c>
      <c r="L1053" s="463">
        <v>1</v>
      </c>
      <c r="M1053" s="463">
        <v>1517.74</v>
      </c>
      <c r="N1053" s="464">
        <v>1517.74</v>
      </c>
      <c r="O1053" s="465" t="s">
        <v>2323</v>
      </c>
      <c r="P1053" s="431" t="s">
        <v>6711</v>
      </c>
    </row>
    <row r="1054" spans="1:16" ht="13.9" hidden="1" customHeight="1" outlineLevel="2" x14ac:dyDescent="0.2">
      <c r="A1054" s="233">
        <v>0</v>
      </c>
      <c r="B1054" s="233">
        <v>8</v>
      </c>
      <c r="C1054" s="233">
        <v>8</v>
      </c>
      <c r="D1054" s="234">
        <v>3</v>
      </c>
      <c r="E1054" s="234">
        <v>0</v>
      </c>
      <c r="G1054" s="450"/>
      <c r="H1054" s="451" t="s">
        <v>1237</v>
      </c>
      <c r="I1054" s="452" t="s">
        <v>4351</v>
      </c>
      <c r="J1054" s="453" t="s">
        <v>2801</v>
      </c>
      <c r="K1054" s="454"/>
      <c r="L1054" s="455"/>
      <c r="M1054" s="455"/>
      <c r="N1054" s="456">
        <v>30559.1</v>
      </c>
      <c r="O1054" s="457"/>
      <c r="P1054" s="430"/>
    </row>
    <row r="1055" spans="1:16" ht="13.9" hidden="1" customHeight="1" outlineLevel="3" x14ac:dyDescent="0.2">
      <c r="A1055" s="233">
        <v>0</v>
      </c>
      <c r="B1055" s="233">
        <v>8</v>
      </c>
      <c r="C1055" s="233">
        <v>8</v>
      </c>
      <c r="D1055" s="234">
        <v>3</v>
      </c>
      <c r="E1055" s="234">
        <v>1</v>
      </c>
      <c r="G1055" s="500" t="s">
        <v>1256</v>
      </c>
      <c r="H1055" s="459" t="s">
        <v>1238</v>
      </c>
      <c r="I1055" s="460" t="s">
        <v>4352</v>
      </c>
      <c r="J1055" s="461" t="s">
        <v>2801</v>
      </c>
      <c r="K1055" s="462" t="s">
        <v>1129</v>
      </c>
      <c r="L1055" s="463">
        <v>1</v>
      </c>
      <c r="M1055" s="463">
        <v>30559.1</v>
      </c>
      <c r="N1055" s="464">
        <v>30559.1</v>
      </c>
      <c r="O1055" s="465" t="s">
        <v>2323</v>
      </c>
      <c r="P1055" s="431" t="s">
        <v>6711</v>
      </c>
    </row>
    <row r="1056" spans="1:16" ht="13.9" hidden="1" customHeight="1" outlineLevel="2" x14ac:dyDescent="0.2">
      <c r="A1056" s="233">
        <v>0</v>
      </c>
      <c r="B1056" s="233">
        <v>8</v>
      </c>
      <c r="C1056" s="233">
        <v>8</v>
      </c>
      <c r="D1056" s="234">
        <v>4</v>
      </c>
      <c r="E1056" s="234">
        <v>0</v>
      </c>
      <c r="G1056" s="450"/>
      <c r="H1056" s="451" t="s">
        <v>1237</v>
      </c>
      <c r="I1056" s="452" t="s">
        <v>4353</v>
      </c>
      <c r="J1056" s="453" t="s">
        <v>2332</v>
      </c>
      <c r="K1056" s="454"/>
      <c r="L1056" s="455"/>
      <c r="M1056" s="455"/>
      <c r="N1056" s="456">
        <v>0</v>
      </c>
      <c r="O1056" s="457"/>
      <c r="P1056" s="430"/>
    </row>
    <row r="1057" spans="1:16" ht="13.9" hidden="1" customHeight="1" outlineLevel="3" x14ac:dyDescent="0.2">
      <c r="A1057" s="233">
        <v>0</v>
      </c>
      <c r="B1057" s="233">
        <v>8</v>
      </c>
      <c r="C1057" s="233">
        <v>8</v>
      </c>
      <c r="D1057" s="234">
        <v>4</v>
      </c>
      <c r="E1057" s="234">
        <v>1</v>
      </c>
      <c r="G1057" s="500" t="s">
        <v>1256</v>
      </c>
      <c r="H1057" s="459" t="s">
        <v>1238</v>
      </c>
      <c r="I1057" s="460" t="s">
        <v>4354</v>
      </c>
      <c r="J1057" s="461" t="s">
        <v>2332</v>
      </c>
      <c r="K1057" s="462" t="s">
        <v>1129</v>
      </c>
      <c r="L1057" s="463">
        <v>1</v>
      </c>
      <c r="M1057" s="463"/>
      <c r="N1057" s="464">
        <v>0</v>
      </c>
      <c r="O1057" s="465" t="s">
        <v>2799</v>
      </c>
      <c r="P1057" s="431" t="s">
        <v>6711</v>
      </c>
    </row>
    <row r="1058" spans="1:16" ht="13.9" hidden="1" customHeight="1" outlineLevel="2" x14ac:dyDescent="0.2">
      <c r="A1058" s="233">
        <v>0</v>
      </c>
      <c r="B1058" s="233">
        <v>8</v>
      </c>
      <c r="C1058" s="233">
        <v>8</v>
      </c>
      <c r="D1058" s="234">
        <v>5</v>
      </c>
      <c r="E1058" s="234">
        <v>0</v>
      </c>
      <c r="G1058" s="450"/>
      <c r="H1058" s="451" t="s">
        <v>1237</v>
      </c>
      <c r="I1058" s="452" t="s">
        <v>4355</v>
      </c>
      <c r="J1058" s="453" t="s">
        <v>2241</v>
      </c>
      <c r="K1058" s="454"/>
      <c r="L1058" s="455"/>
      <c r="M1058" s="455"/>
      <c r="N1058" s="456">
        <v>5717.5439999999999</v>
      </c>
      <c r="O1058" s="457"/>
      <c r="P1058" s="430"/>
    </row>
    <row r="1059" spans="1:16" ht="13.9" hidden="1" customHeight="1" outlineLevel="3" x14ac:dyDescent="0.2">
      <c r="A1059" s="233">
        <v>0</v>
      </c>
      <c r="B1059" s="233">
        <v>8</v>
      </c>
      <c r="C1059" s="233">
        <v>8</v>
      </c>
      <c r="D1059" s="234">
        <v>5</v>
      </c>
      <c r="E1059" s="234">
        <v>1</v>
      </c>
      <c r="G1059" s="500" t="s">
        <v>1256</v>
      </c>
      <c r="H1059" s="459" t="s">
        <v>1238</v>
      </c>
      <c r="I1059" s="460" t="s">
        <v>4356</v>
      </c>
      <c r="J1059" s="461" t="s">
        <v>2241</v>
      </c>
      <c r="K1059" s="462" t="s">
        <v>1129</v>
      </c>
      <c r="L1059" s="463">
        <v>1</v>
      </c>
      <c r="M1059" s="463">
        <v>5717.5439999999999</v>
      </c>
      <c r="N1059" s="464">
        <v>5717.5439999999999</v>
      </c>
      <c r="O1059" s="465" t="s">
        <v>2323</v>
      </c>
      <c r="P1059" s="431" t="s">
        <v>6711</v>
      </c>
    </row>
    <row r="1060" spans="1:16" ht="13.9" hidden="1" customHeight="1" outlineLevel="2" x14ac:dyDescent="0.2">
      <c r="A1060" s="233">
        <v>0</v>
      </c>
      <c r="B1060" s="233">
        <v>8</v>
      </c>
      <c r="C1060" s="233">
        <v>8</v>
      </c>
      <c r="D1060" s="234">
        <v>6</v>
      </c>
      <c r="E1060" s="234">
        <v>0</v>
      </c>
      <c r="G1060" s="450"/>
      <c r="H1060" s="451" t="s">
        <v>1237</v>
      </c>
      <c r="I1060" s="452" t="s">
        <v>4357</v>
      </c>
      <c r="J1060" s="453" t="s">
        <v>2240</v>
      </c>
      <c r="K1060" s="454"/>
      <c r="L1060" s="455"/>
      <c r="M1060" s="455"/>
      <c r="N1060" s="456">
        <v>0</v>
      </c>
      <c r="O1060" s="457"/>
      <c r="P1060" s="430"/>
    </row>
    <row r="1061" spans="1:16" ht="13.9" hidden="1" customHeight="1" outlineLevel="3" x14ac:dyDescent="0.2">
      <c r="A1061" s="233">
        <v>0</v>
      </c>
      <c r="B1061" s="233">
        <v>8</v>
      </c>
      <c r="C1061" s="233">
        <v>8</v>
      </c>
      <c r="D1061" s="234">
        <v>6</v>
      </c>
      <c r="E1061" s="234">
        <v>1</v>
      </c>
      <c r="G1061" s="500" t="s">
        <v>1256</v>
      </c>
      <c r="H1061" s="459" t="s">
        <v>1238</v>
      </c>
      <c r="I1061" s="460" t="s">
        <v>4358</v>
      </c>
      <c r="J1061" s="461" t="s">
        <v>2240</v>
      </c>
      <c r="K1061" s="462" t="s">
        <v>1129</v>
      </c>
      <c r="L1061" s="463">
        <v>1</v>
      </c>
      <c r="M1061" s="463"/>
      <c r="N1061" s="464">
        <v>0</v>
      </c>
      <c r="O1061" s="465" t="s">
        <v>2323</v>
      </c>
      <c r="P1061" s="431" t="s">
        <v>6711</v>
      </c>
    </row>
    <row r="1062" spans="1:16" ht="13.9" hidden="1" customHeight="1" outlineLevel="2" x14ac:dyDescent="0.2">
      <c r="A1062" s="233">
        <v>0</v>
      </c>
      <c r="B1062" s="233">
        <v>8</v>
      </c>
      <c r="C1062" s="233">
        <v>8</v>
      </c>
      <c r="D1062" s="234">
        <v>7</v>
      </c>
      <c r="E1062" s="234">
        <v>0</v>
      </c>
      <c r="G1062" s="450"/>
      <c r="H1062" s="451" t="s">
        <v>1237</v>
      </c>
      <c r="I1062" s="452" t="s">
        <v>4359</v>
      </c>
      <c r="J1062" s="453" t="s">
        <v>14</v>
      </c>
      <c r="K1062" s="454"/>
      <c r="L1062" s="455"/>
      <c r="M1062" s="455"/>
      <c r="N1062" s="456">
        <v>2496.35</v>
      </c>
      <c r="O1062" s="457"/>
      <c r="P1062" s="430"/>
    </row>
    <row r="1063" spans="1:16" ht="13.9" hidden="1" customHeight="1" outlineLevel="3" x14ac:dyDescent="0.2">
      <c r="A1063" s="233">
        <v>0</v>
      </c>
      <c r="B1063" s="233">
        <v>8</v>
      </c>
      <c r="C1063" s="233">
        <v>8</v>
      </c>
      <c r="D1063" s="234">
        <v>7</v>
      </c>
      <c r="E1063" s="234">
        <v>1</v>
      </c>
      <c r="G1063" s="500" t="s">
        <v>1256</v>
      </c>
      <c r="H1063" s="459" t="s">
        <v>1238</v>
      </c>
      <c r="I1063" s="460" t="s">
        <v>4360</v>
      </c>
      <c r="J1063" s="461" t="s">
        <v>1257</v>
      </c>
      <c r="K1063" s="462" t="s">
        <v>1129</v>
      </c>
      <c r="L1063" s="463">
        <v>1</v>
      </c>
      <c r="M1063" s="463">
        <v>2496.35</v>
      </c>
      <c r="N1063" s="464">
        <v>2496.35</v>
      </c>
      <c r="O1063" s="475" t="s">
        <v>2333</v>
      </c>
      <c r="P1063" s="431" t="s">
        <v>6711</v>
      </c>
    </row>
    <row r="1064" spans="1:16" ht="13.9" hidden="1" customHeight="1" outlineLevel="1" x14ac:dyDescent="0.2">
      <c r="A1064" s="233">
        <v>0</v>
      </c>
      <c r="B1064" s="233">
        <v>8</v>
      </c>
      <c r="C1064" s="233">
        <v>9</v>
      </c>
      <c r="D1064" s="234">
        <v>0</v>
      </c>
      <c r="E1064" s="234">
        <v>1</v>
      </c>
      <c r="G1064" s="443"/>
      <c r="H1064" s="444" t="s">
        <v>38</v>
      </c>
      <c r="I1064" s="445" t="s">
        <v>4361</v>
      </c>
      <c r="J1064" s="446" t="s">
        <v>2794</v>
      </c>
      <c r="K1064" s="447"/>
      <c r="L1064" s="448"/>
      <c r="M1064" s="448"/>
      <c r="N1064" s="449">
        <v>32959.947200000002</v>
      </c>
      <c r="O1064" s="432"/>
      <c r="P1064" s="435"/>
    </row>
    <row r="1065" spans="1:16" ht="13.9" hidden="1" customHeight="1" outlineLevel="2" x14ac:dyDescent="0.2">
      <c r="A1065" s="233">
        <v>0</v>
      </c>
      <c r="B1065" s="233">
        <v>8</v>
      </c>
      <c r="C1065" s="233">
        <v>9</v>
      </c>
      <c r="D1065" s="234">
        <v>1</v>
      </c>
      <c r="E1065" s="234">
        <v>0</v>
      </c>
      <c r="G1065" s="450"/>
      <c r="H1065" s="451" t="s">
        <v>1237</v>
      </c>
      <c r="I1065" s="452" t="s">
        <v>4362</v>
      </c>
      <c r="J1065" s="453" t="s">
        <v>2330</v>
      </c>
      <c r="K1065" s="454"/>
      <c r="L1065" s="455"/>
      <c r="M1065" s="455"/>
      <c r="N1065" s="456">
        <v>3346.25</v>
      </c>
      <c r="O1065" s="457"/>
      <c r="P1065" s="430"/>
    </row>
    <row r="1066" spans="1:16" ht="13.9" hidden="1" customHeight="1" outlineLevel="3" x14ac:dyDescent="0.2">
      <c r="A1066" s="233">
        <v>0</v>
      </c>
      <c r="B1066" s="233">
        <v>8</v>
      </c>
      <c r="C1066" s="233">
        <v>9</v>
      </c>
      <c r="D1066" s="234">
        <v>1</v>
      </c>
      <c r="E1066" s="234">
        <v>1</v>
      </c>
      <c r="G1066" s="500" t="s">
        <v>1256</v>
      </c>
      <c r="H1066" s="459" t="s">
        <v>1238</v>
      </c>
      <c r="I1066" s="460" t="s">
        <v>4363</v>
      </c>
      <c r="J1066" s="461" t="s">
        <v>2330</v>
      </c>
      <c r="K1066" s="462" t="s">
        <v>1129</v>
      </c>
      <c r="L1066" s="463">
        <v>1</v>
      </c>
      <c r="M1066" s="463">
        <v>3346.25</v>
      </c>
      <c r="N1066" s="464">
        <v>3346.25</v>
      </c>
      <c r="O1066" s="465" t="s">
        <v>2323</v>
      </c>
      <c r="P1066" s="431" t="s">
        <v>6711</v>
      </c>
    </row>
    <row r="1067" spans="1:16" ht="13.9" hidden="1" customHeight="1" outlineLevel="2" x14ac:dyDescent="0.2">
      <c r="A1067" s="233">
        <v>0</v>
      </c>
      <c r="B1067" s="233">
        <v>8</v>
      </c>
      <c r="C1067" s="233">
        <v>9</v>
      </c>
      <c r="D1067" s="234">
        <v>2</v>
      </c>
      <c r="E1067" s="234">
        <v>0</v>
      </c>
      <c r="G1067" s="450"/>
      <c r="H1067" s="451" t="s">
        <v>1237</v>
      </c>
      <c r="I1067" s="452" t="s">
        <v>4364</v>
      </c>
      <c r="J1067" s="453" t="s">
        <v>2331</v>
      </c>
      <c r="K1067" s="454"/>
      <c r="L1067" s="455"/>
      <c r="M1067" s="455"/>
      <c r="N1067" s="456">
        <v>600.45000000000005</v>
      </c>
      <c r="O1067" s="457"/>
      <c r="P1067" s="430"/>
    </row>
    <row r="1068" spans="1:16" ht="13.9" hidden="1" customHeight="1" outlineLevel="3" x14ac:dyDescent="0.2">
      <c r="A1068" s="233">
        <v>0</v>
      </c>
      <c r="B1068" s="233">
        <v>8</v>
      </c>
      <c r="C1068" s="233">
        <v>9</v>
      </c>
      <c r="D1068" s="234">
        <v>2</v>
      </c>
      <c r="E1068" s="234">
        <v>1</v>
      </c>
      <c r="G1068" s="500" t="s">
        <v>1256</v>
      </c>
      <c r="H1068" s="459" t="s">
        <v>1238</v>
      </c>
      <c r="I1068" s="460" t="s">
        <v>4365</v>
      </c>
      <c r="J1068" s="461" t="s">
        <v>2331</v>
      </c>
      <c r="K1068" s="462" t="s">
        <v>1129</v>
      </c>
      <c r="L1068" s="463">
        <v>1</v>
      </c>
      <c r="M1068" s="463">
        <v>600.45000000000005</v>
      </c>
      <c r="N1068" s="464">
        <v>600.45000000000005</v>
      </c>
      <c r="O1068" s="465" t="s">
        <v>2323</v>
      </c>
      <c r="P1068" s="431" t="s">
        <v>6711</v>
      </c>
    </row>
    <row r="1069" spans="1:16" ht="13.9" hidden="1" customHeight="1" outlineLevel="2" x14ac:dyDescent="0.2">
      <c r="A1069" s="233">
        <v>0</v>
      </c>
      <c r="B1069" s="233">
        <v>8</v>
      </c>
      <c r="C1069" s="233">
        <v>9</v>
      </c>
      <c r="D1069" s="234">
        <v>3</v>
      </c>
      <c r="E1069" s="234">
        <v>0</v>
      </c>
      <c r="G1069" s="450"/>
      <c r="H1069" s="451" t="s">
        <v>1237</v>
      </c>
      <c r="I1069" s="452" t="s">
        <v>4366</v>
      </c>
      <c r="J1069" s="453" t="s">
        <v>2801</v>
      </c>
      <c r="K1069" s="454"/>
      <c r="L1069" s="455"/>
      <c r="M1069" s="455"/>
      <c r="N1069" s="456">
        <v>24380.45</v>
      </c>
      <c r="O1069" s="457"/>
      <c r="P1069" s="430"/>
    </row>
    <row r="1070" spans="1:16" ht="13.9" hidden="1" customHeight="1" outlineLevel="3" x14ac:dyDescent="0.2">
      <c r="A1070" s="233">
        <v>0</v>
      </c>
      <c r="B1070" s="233">
        <v>8</v>
      </c>
      <c r="C1070" s="233">
        <v>9</v>
      </c>
      <c r="D1070" s="234">
        <v>3</v>
      </c>
      <c r="E1070" s="234">
        <v>1</v>
      </c>
      <c r="G1070" s="500" t="s">
        <v>1256</v>
      </c>
      <c r="H1070" s="459" t="s">
        <v>1238</v>
      </c>
      <c r="I1070" s="460" t="s">
        <v>4367</v>
      </c>
      <c r="J1070" s="461" t="s">
        <v>2801</v>
      </c>
      <c r="K1070" s="462" t="s">
        <v>1129</v>
      </c>
      <c r="L1070" s="463">
        <v>1</v>
      </c>
      <c r="M1070" s="463">
        <v>24380.45</v>
      </c>
      <c r="N1070" s="464">
        <v>24380.45</v>
      </c>
      <c r="O1070" s="465" t="s">
        <v>2323</v>
      </c>
      <c r="P1070" s="431" t="s">
        <v>6711</v>
      </c>
    </row>
    <row r="1071" spans="1:16" ht="13.9" hidden="1" customHeight="1" outlineLevel="2" x14ac:dyDescent="0.2">
      <c r="A1071" s="233">
        <v>0</v>
      </c>
      <c r="B1071" s="233">
        <v>8</v>
      </c>
      <c r="C1071" s="233">
        <v>9</v>
      </c>
      <c r="D1071" s="234">
        <v>4</v>
      </c>
      <c r="E1071" s="234">
        <v>0</v>
      </c>
      <c r="G1071" s="450"/>
      <c r="H1071" s="451" t="s">
        <v>1237</v>
      </c>
      <c r="I1071" s="452" t="s">
        <v>4368</v>
      </c>
      <c r="J1071" s="453" t="s">
        <v>2332</v>
      </c>
      <c r="K1071" s="454"/>
      <c r="L1071" s="455"/>
      <c r="M1071" s="455"/>
      <c r="N1071" s="456">
        <v>0</v>
      </c>
      <c r="O1071" s="457"/>
      <c r="P1071" s="430"/>
    </row>
    <row r="1072" spans="1:16" ht="13.9" hidden="1" customHeight="1" outlineLevel="3" x14ac:dyDescent="0.2">
      <c r="A1072" s="233">
        <v>0</v>
      </c>
      <c r="B1072" s="233">
        <v>8</v>
      </c>
      <c r="C1072" s="233">
        <v>9</v>
      </c>
      <c r="D1072" s="234">
        <v>4</v>
      </c>
      <c r="E1072" s="234">
        <v>1</v>
      </c>
      <c r="G1072" s="500" t="s">
        <v>1256</v>
      </c>
      <c r="H1072" s="459" t="s">
        <v>1238</v>
      </c>
      <c r="I1072" s="460" t="s">
        <v>4369</v>
      </c>
      <c r="J1072" s="461" t="s">
        <v>2332</v>
      </c>
      <c r="K1072" s="462" t="s">
        <v>1129</v>
      </c>
      <c r="L1072" s="463">
        <v>1</v>
      </c>
      <c r="M1072" s="463"/>
      <c r="N1072" s="464">
        <v>0</v>
      </c>
      <c r="O1072" s="465" t="s">
        <v>2799</v>
      </c>
      <c r="P1072" s="431" t="s">
        <v>6711</v>
      </c>
    </row>
    <row r="1073" spans="1:16" ht="13.9" hidden="1" customHeight="1" outlineLevel="2" x14ac:dyDescent="0.2">
      <c r="A1073" s="233">
        <v>0</v>
      </c>
      <c r="B1073" s="233">
        <v>8</v>
      </c>
      <c r="C1073" s="233">
        <v>9</v>
      </c>
      <c r="D1073" s="234">
        <v>5</v>
      </c>
      <c r="E1073" s="234">
        <v>0</v>
      </c>
      <c r="G1073" s="450"/>
      <c r="H1073" s="451" t="s">
        <v>1237</v>
      </c>
      <c r="I1073" s="452" t="s">
        <v>4370</v>
      </c>
      <c r="J1073" s="453" t="s">
        <v>2241</v>
      </c>
      <c r="K1073" s="454"/>
      <c r="L1073" s="455"/>
      <c r="M1073" s="455"/>
      <c r="N1073" s="456">
        <v>2905.1471999999999</v>
      </c>
      <c r="O1073" s="457"/>
      <c r="P1073" s="430"/>
    </row>
    <row r="1074" spans="1:16" ht="13.9" hidden="1" customHeight="1" outlineLevel="3" x14ac:dyDescent="0.2">
      <c r="A1074" s="233">
        <v>0</v>
      </c>
      <c r="B1074" s="233">
        <v>8</v>
      </c>
      <c r="C1074" s="233">
        <v>9</v>
      </c>
      <c r="D1074" s="234">
        <v>5</v>
      </c>
      <c r="E1074" s="234">
        <v>1</v>
      </c>
      <c r="G1074" s="500" t="s">
        <v>1256</v>
      </c>
      <c r="H1074" s="459" t="s">
        <v>1238</v>
      </c>
      <c r="I1074" s="460" t="s">
        <v>4371</v>
      </c>
      <c r="J1074" s="461" t="s">
        <v>2241</v>
      </c>
      <c r="K1074" s="462" t="s">
        <v>1129</v>
      </c>
      <c r="L1074" s="463">
        <v>1</v>
      </c>
      <c r="M1074" s="463">
        <v>2905.1472000000003</v>
      </c>
      <c r="N1074" s="464">
        <v>2905.1471999999999</v>
      </c>
      <c r="O1074" s="465" t="s">
        <v>2323</v>
      </c>
      <c r="P1074" s="431" t="s">
        <v>6711</v>
      </c>
    </row>
    <row r="1075" spans="1:16" ht="13.9" hidden="1" customHeight="1" outlineLevel="2" x14ac:dyDescent="0.2">
      <c r="A1075" s="233">
        <v>0</v>
      </c>
      <c r="B1075" s="233">
        <v>8</v>
      </c>
      <c r="C1075" s="233">
        <v>9</v>
      </c>
      <c r="D1075" s="234">
        <v>6</v>
      </c>
      <c r="E1075" s="234">
        <v>0</v>
      </c>
      <c r="G1075" s="450"/>
      <c r="H1075" s="451" t="s">
        <v>1237</v>
      </c>
      <c r="I1075" s="452" t="s">
        <v>4372</v>
      </c>
      <c r="J1075" s="453" t="s">
        <v>2240</v>
      </c>
      <c r="K1075" s="454"/>
      <c r="L1075" s="455"/>
      <c r="M1075" s="455"/>
      <c r="N1075" s="456">
        <v>0</v>
      </c>
      <c r="O1075" s="457"/>
      <c r="P1075" s="430"/>
    </row>
    <row r="1076" spans="1:16" ht="13.9" hidden="1" customHeight="1" outlineLevel="3" x14ac:dyDescent="0.2">
      <c r="A1076" s="233">
        <v>0</v>
      </c>
      <c r="B1076" s="233">
        <v>8</v>
      </c>
      <c r="C1076" s="233">
        <v>9</v>
      </c>
      <c r="D1076" s="234">
        <v>6</v>
      </c>
      <c r="E1076" s="234">
        <v>1</v>
      </c>
      <c r="G1076" s="500" t="s">
        <v>1256</v>
      </c>
      <c r="H1076" s="459" t="s">
        <v>1238</v>
      </c>
      <c r="I1076" s="460" t="s">
        <v>4373</v>
      </c>
      <c r="J1076" s="461" t="s">
        <v>2240</v>
      </c>
      <c r="K1076" s="462" t="s">
        <v>1129</v>
      </c>
      <c r="L1076" s="463">
        <v>1</v>
      </c>
      <c r="M1076" s="463"/>
      <c r="N1076" s="464">
        <v>0</v>
      </c>
      <c r="O1076" s="465" t="s">
        <v>2323</v>
      </c>
      <c r="P1076" s="431" t="s">
        <v>6711</v>
      </c>
    </row>
    <row r="1077" spans="1:16" ht="13.9" hidden="1" customHeight="1" outlineLevel="2" x14ac:dyDescent="0.2">
      <c r="A1077" s="233">
        <v>0</v>
      </c>
      <c r="B1077" s="233">
        <v>8</v>
      </c>
      <c r="C1077" s="233">
        <v>9</v>
      </c>
      <c r="D1077" s="234">
        <v>7</v>
      </c>
      <c r="E1077" s="234">
        <v>0</v>
      </c>
      <c r="G1077" s="450"/>
      <c r="H1077" s="451" t="s">
        <v>1237</v>
      </c>
      <c r="I1077" s="452" t="s">
        <v>4374</v>
      </c>
      <c r="J1077" s="453" t="s">
        <v>14</v>
      </c>
      <c r="K1077" s="454"/>
      <c r="L1077" s="455"/>
      <c r="M1077" s="455"/>
      <c r="N1077" s="456">
        <v>1727.65</v>
      </c>
      <c r="O1077" s="457"/>
      <c r="P1077" s="430"/>
    </row>
    <row r="1078" spans="1:16" ht="13.9" hidden="1" customHeight="1" outlineLevel="3" x14ac:dyDescent="0.2">
      <c r="A1078" s="233">
        <v>0</v>
      </c>
      <c r="B1078" s="233">
        <v>8</v>
      </c>
      <c r="C1078" s="233">
        <v>9</v>
      </c>
      <c r="D1078" s="234">
        <v>7</v>
      </c>
      <c r="E1078" s="234">
        <v>1</v>
      </c>
      <c r="G1078" s="500" t="s">
        <v>1256</v>
      </c>
      <c r="H1078" s="459" t="s">
        <v>1238</v>
      </c>
      <c r="I1078" s="460" t="s">
        <v>4375</v>
      </c>
      <c r="J1078" s="461" t="s">
        <v>1257</v>
      </c>
      <c r="K1078" s="462" t="s">
        <v>1129</v>
      </c>
      <c r="L1078" s="463">
        <v>1</v>
      </c>
      <c r="M1078" s="463">
        <v>1727.6499999999999</v>
      </c>
      <c r="N1078" s="464">
        <v>1727.65</v>
      </c>
      <c r="O1078" s="475" t="s">
        <v>2333</v>
      </c>
      <c r="P1078" s="431" t="s">
        <v>6711</v>
      </c>
    </row>
    <row r="1079" spans="1:16" ht="13.9" hidden="1" customHeight="1" outlineLevel="1" x14ac:dyDescent="0.2">
      <c r="A1079" s="233">
        <v>0</v>
      </c>
      <c r="B1079" s="233">
        <v>8</v>
      </c>
      <c r="C1079" s="233">
        <v>10</v>
      </c>
      <c r="D1079" s="234">
        <v>0</v>
      </c>
      <c r="E1079" s="234">
        <v>1</v>
      </c>
      <c r="G1079" s="443"/>
      <c r="H1079" s="444" t="s">
        <v>38</v>
      </c>
      <c r="I1079" s="445" t="s">
        <v>4376</v>
      </c>
      <c r="J1079" s="446" t="s">
        <v>2793</v>
      </c>
      <c r="K1079" s="447"/>
      <c r="L1079" s="448"/>
      <c r="M1079" s="448"/>
      <c r="N1079" s="449">
        <v>291075.56679999997</v>
      </c>
      <c r="O1079" s="432"/>
      <c r="P1079" s="435"/>
    </row>
    <row r="1080" spans="1:16" ht="13.9" hidden="1" customHeight="1" outlineLevel="2" x14ac:dyDescent="0.2">
      <c r="A1080" s="233">
        <v>0</v>
      </c>
      <c r="B1080" s="233">
        <v>8</v>
      </c>
      <c r="C1080" s="233">
        <v>10</v>
      </c>
      <c r="D1080" s="234">
        <v>1</v>
      </c>
      <c r="E1080" s="234">
        <v>0</v>
      </c>
      <c r="G1080" s="450"/>
      <c r="H1080" s="451" t="s">
        <v>1237</v>
      </c>
      <c r="I1080" s="452" t="s">
        <v>4377</v>
      </c>
      <c r="J1080" s="453" t="s">
        <v>2330</v>
      </c>
      <c r="K1080" s="454"/>
      <c r="L1080" s="455"/>
      <c r="M1080" s="455"/>
      <c r="N1080" s="456">
        <v>27689.795999999998</v>
      </c>
      <c r="O1080" s="457"/>
      <c r="P1080" s="430"/>
    </row>
    <row r="1081" spans="1:16" ht="13.9" hidden="1" customHeight="1" outlineLevel="3" x14ac:dyDescent="0.2">
      <c r="A1081" s="233">
        <v>0</v>
      </c>
      <c r="B1081" s="233">
        <v>8</v>
      </c>
      <c r="C1081" s="233">
        <v>10</v>
      </c>
      <c r="D1081" s="234">
        <v>1</v>
      </c>
      <c r="E1081" s="234">
        <v>1</v>
      </c>
      <c r="G1081" s="500" t="s">
        <v>1256</v>
      </c>
      <c r="H1081" s="459" t="s">
        <v>1238</v>
      </c>
      <c r="I1081" s="460" t="s">
        <v>4378</v>
      </c>
      <c r="J1081" s="461" t="s">
        <v>2330</v>
      </c>
      <c r="K1081" s="462" t="s">
        <v>1129</v>
      </c>
      <c r="L1081" s="463">
        <v>1</v>
      </c>
      <c r="M1081" s="463">
        <v>27689.796000000002</v>
      </c>
      <c r="N1081" s="464">
        <v>27689.795999999998</v>
      </c>
      <c r="O1081" s="465" t="s">
        <v>2323</v>
      </c>
      <c r="P1081" s="431" t="s">
        <v>6711</v>
      </c>
    </row>
    <row r="1082" spans="1:16" ht="13.9" hidden="1" customHeight="1" outlineLevel="2" x14ac:dyDescent="0.2">
      <c r="A1082" s="233">
        <v>0</v>
      </c>
      <c r="B1082" s="233">
        <v>8</v>
      </c>
      <c r="C1082" s="233">
        <v>10</v>
      </c>
      <c r="D1082" s="234">
        <v>2</v>
      </c>
      <c r="E1082" s="234">
        <v>0</v>
      </c>
      <c r="G1082" s="450"/>
      <c r="H1082" s="451" t="s">
        <v>1237</v>
      </c>
      <c r="I1082" s="452" t="s">
        <v>4379</v>
      </c>
      <c r="J1082" s="453" t="s">
        <v>2331</v>
      </c>
      <c r="K1082" s="454"/>
      <c r="L1082" s="455"/>
      <c r="M1082" s="455"/>
      <c r="N1082" s="456">
        <v>6153.6</v>
      </c>
      <c r="O1082" s="457"/>
      <c r="P1082" s="430"/>
    </row>
    <row r="1083" spans="1:16" ht="13.9" hidden="1" customHeight="1" outlineLevel="3" x14ac:dyDescent="0.2">
      <c r="A1083" s="233">
        <v>0</v>
      </c>
      <c r="B1083" s="233">
        <v>8</v>
      </c>
      <c r="C1083" s="233">
        <v>10</v>
      </c>
      <c r="D1083" s="234">
        <v>2</v>
      </c>
      <c r="E1083" s="234">
        <v>1</v>
      </c>
      <c r="G1083" s="500" t="s">
        <v>1256</v>
      </c>
      <c r="H1083" s="459" t="s">
        <v>1238</v>
      </c>
      <c r="I1083" s="460" t="s">
        <v>4380</v>
      </c>
      <c r="J1083" s="461" t="s">
        <v>2331</v>
      </c>
      <c r="K1083" s="462" t="s">
        <v>1129</v>
      </c>
      <c r="L1083" s="463">
        <v>1</v>
      </c>
      <c r="M1083" s="463">
        <v>6153.6</v>
      </c>
      <c r="N1083" s="464">
        <v>6153.6</v>
      </c>
      <c r="O1083" s="465" t="s">
        <v>2323</v>
      </c>
      <c r="P1083" s="431" t="s">
        <v>6711</v>
      </c>
    </row>
    <row r="1084" spans="1:16" ht="13.9" hidden="1" customHeight="1" outlineLevel="2" x14ac:dyDescent="0.2">
      <c r="A1084" s="233">
        <v>0</v>
      </c>
      <c r="B1084" s="233">
        <v>8</v>
      </c>
      <c r="C1084" s="233">
        <v>10</v>
      </c>
      <c r="D1084" s="234">
        <v>3</v>
      </c>
      <c r="E1084" s="234">
        <v>0</v>
      </c>
      <c r="G1084" s="450"/>
      <c r="H1084" s="451" t="s">
        <v>1237</v>
      </c>
      <c r="I1084" s="452" t="s">
        <v>4381</v>
      </c>
      <c r="J1084" s="453" t="s">
        <v>2801</v>
      </c>
      <c r="K1084" s="454"/>
      <c r="L1084" s="455"/>
      <c r="M1084" s="455"/>
      <c r="N1084" s="456">
        <v>219912.65</v>
      </c>
      <c r="O1084" s="457"/>
      <c r="P1084" s="430"/>
    </row>
    <row r="1085" spans="1:16" ht="13.9" hidden="1" customHeight="1" outlineLevel="3" x14ac:dyDescent="0.2">
      <c r="A1085" s="233">
        <v>0</v>
      </c>
      <c r="B1085" s="233">
        <v>8</v>
      </c>
      <c r="C1085" s="233">
        <v>10</v>
      </c>
      <c r="D1085" s="234">
        <v>3</v>
      </c>
      <c r="E1085" s="234">
        <v>1</v>
      </c>
      <c r="G1085" s="500" t="s">
        <v>1256</v>
      </c>
      <c r="H1085" s="459" t="s">
        <v>1238</v>
      </c>
      <c r="I1085" s="460" t="s">
        <v>4382</v>
      </c>
      <c r="J1085" s="461" t="s">
        <v>2801</v>
      </c>
      <c r="K1085" s="462" t="s">
        <v>1129</v>
      </c>
      <c r="L1085" s="463">
        <v>1</v>
      </c>
      <c r="M1085" s="463">
        <v>219912.65</v>
      </c>
      <c r="N1085" s="464">
        <v>219912.65</v>
      </c>
      <c r="O1085" s="465" t="s">
        <v>2323</v>
      </c>
      <c r="P1085" s="431" t="s">
        <v>6711</v>
      </c>
    </row>
    <row r="1086" spans="1:16" ht="13.9" hidden="1" customHeight="1" outlineLevel="2" x14ac:dyDescent="0.2">
      <c r="A1086" s="233">
        <v>0</v>
      </c>
      <c r="B1086" s="233">
        <v>8</v>
      </c>
      <c r="C1086" s="233">
        <v>10</v>
      </c>
      <c r="D1086" s="234">
        <v>4</v>
      </c>
      <c r="E1086" s="234">
        <v>0</v>
      </c>
      <c r="G1086" s="450"/>
      <c r="H1086" s="451" t="s">
        <v>1237</v>
      </c>
      <c r="I1086" s="452" t="s">
        <v>4383</v>
      </c>
      <c r="J1086" s="453" t="s">
        <v>2332</v>
      </c>
      <c r="K1086" s="454"/>
      <c r="L1086" s="455"/>
      <c r="M1086" s="455"/>
      <c r="N1086" s="456">
        <v>0</v>
      </c>
      <c r="O1086" s="457"/>
      <c r="P1086" s="430"/>
    </row>
    <row r="1087" spans="1:16" ht="13.9" hidden="1" customHeight="1" outlineLevel="3" x14ac:dyDescent="0.2">
      <c r="A1087" s="233">
        <v>0</v>
      </c>
      <c r="B1087" s="233">
        <v>8</v>
      </c>
      <c r="C1087" s="233">
        <v>10</v>
      </c>
      <c r="D1087" s="234">
        <v>4</v>
      </c>
      <c r="E1087" s="234">
        <v>1</v>
      </c>
      <c r="G1087" s="500" t="s">
        <v>1256</v>
      </c>
      <c r="H1087" s="459" t="s">
        <v>1238</v>
      </c>
      <c r="I1087" s="460" t="s">
        <v>4384</v>
      </c>
      <c r="J1087" s="461" t="s">
        <v>2332</v>
      </c>
      <c r="K1087" s="462" t="s">
        <v>1129</v>
      </c>
      <c r="L1087" s="463">
        <v>1</v>
      </c>
      <c r="M1087" s="463"/>
      <c r="N1087" s="464">
        <v>0</v>
      </c>
      <c r="O1087" s="465" t="s">
        <v>2799</v>
      </c>
      <c r="P1087" s="431" t="s">
        <v>6711</v>
      </c>
    </row>
    <row r="1088" spans="1:16" ht="13.9" hidden="1" customHeight="1" outlineLevel="2" x14ac:dyDescent="0.2">
      <c r="A1088" s="233">
        <v>0</v>
      </c>
      <c r="B1088" s="233">
        <v>8</v>
      </c>
      <c r="C1088" s="233">
        <v>10</v>
      </c>
      <c r="D1088" s="234">
        <v>5</v>
      </c>
      <c r="E1088" s="234">
        <v>0</v>
      </c>
      <c r="G1088" s="450"/>
      <c r="H1088" s="451" t="s">
        <v>1237</v>
      </c>
      <c r="I1088" s="452" t="s">
        <v>4385</v>
      </c>
      <c r="J1088" s="453" t="s">
        <v>2241</v>
      </c>
      <c r="K1088" s="454"/>
      <c r="L1088" s="455"/>
      <c r="M1088" s="455"/>
      <c r="N1088" s="456">
        <v>25183.120800000001</v>
      </c>
      <c r="O1088" s="457"/>
      <c r="P1088" s="430"/>
    </row>
    <row r="1089" spans="1:16" ht="13.9" hidden="1" customHeight="1" outlineLevel="3" x14ac:dyDescent="0.2">
      <c r="A1089" s="233">
        <v>0</v>
      </c>
      <c r="B1089" s="233">
        <v>8</v>
      </c>
      <c r="C1089" s="233">
        <v>10</v>
      </c>
      <c r="D1089" s="234">
        <v>5</v>
      </c>
      <c r="E1089" s="234">
        <v>1</v>
      </c>
      <c r="G1089" s="500" t="s">
        <v>1256</v>
      </c>
      <c r="H1089" s="459" t="s">
        <v>1238</v>
      </c>
      <c r="I1089" s="460" t="s">
        <v>4386</v>
      </c>
      <c r="J1089" s="461" t="s">
        <v>2241</v>
      </c>
      <c r="K1089" s="462" t="s">
        <v>1129</v>
      </c>
      <c r="L1089" s="463">
        <v>1</v>
      </c>
      <c r="M1089" s="463">
        <v>25183.120800000001</v>
      </c>
      <c r="N1089" s="464">
        <v>25183.120800000001</v>
      </c>
      <c r="O1089" s="465" t="s">
        <v>2323</v>
      </c>
      <c r="P1089" s="431" t="s">
        <v>6711</v>
      </c>
    </row>
    <row r="1090" spans="1:16" ht="13.9" hidden="1" customHeight="1" outlineLevel="2" x14ac:dyDescent="0.2">
      <c r="A1090" s="233">
        <v>0</v>
      </c>
      <c r="B1090" s="233">
        <v>8</v>
      </c>
      <c r="C1090" s="233">
        <v>10</v>
      </c>
      <c r="D1090" s="234">
        <v>6</v>
      </c>
      <c r="E1090" s="234">
        <v>0</v>
      </c>
      <c r="G1090" s="450"/>
      <c r="H1090" s="451" t="s">
        <v>1237</v>
      </c>
      <c r="I1090" s="452" t="s">
        <v>4387</v>
      </c>
      <c r="J1090" s="453" t="s">
        <v>2240</v>
      </c>
      <c r="K1090" s="454"/>
      <c r="L1090" s="455"/>
      <c r="M1090" s="455"/>
      <c r="N1090" s="456">
        <v>0</v>
      </c>
      <c r="O1090" s="457"/>
      <c r="P1090" s="430"/>
    </row>
    <row r="1091" spans="1:16" ht="13.9" hidden="1" customHeight="1" outlineLevel="3" x14ac:dyDescent="0.2">
      <c r="A1091" s="233">
        <v>0</v>
      </c>
      <c r="B1091" s="233">
        <v>8</v>
      </c>
      <c r="C1091" s="233">
        <v>10</v>
      </c>
      <c r="D1091" s="234">
        <v>6</v>
      </c>
      <c r="E1091" s="234">
        <v>1</v>
      </c>
      <c r="G1091" s="500" t="s">
        <v>1256</v>
      </c>
      <c r="H1091" s="459" t="s">
        <v>1238</v>
      </c>
      <c r="I1091" s="460" t="s">
        <v>4388</v>
      </c>
      <c r="J1091" s="461" t="s">
        <v>2240</v>
      </c>
      <c r="K1091" s="462" t="s">
        <v>1129</v>
      </c>
      <c r="L1091" s="463">
        <v>1</v>
      </c>
      <c r="M1091" s="463"/>
      <c r="N1091" s="464">
        <v>0</v>
      </c>
      <c r="O1091" s="465" t="s">
        <v>2323</v>
      </c>
      <c r="P1091" s="431" t="s">
        <v>6711</v>
      </c>
    </row>
    <row r="1092" spans="1:16" ht="13.9" hidden="1" customHeight="1" outlineLevel="2" x14ac:dyDescent="0.2">
      <c r="A1092" s="233">
        <v>0</v>
      </c>
      <c r="B1092" s="233">
        <v>8</v>
      </c>
      <c r="C1092" s="233">
        <v>10</v>
      </c>
      <c r="D1092" s="234">
        <v>7</v>
      </c>
      <c r="E1092" s="234">
        <v>0</v>
      </c>
      <c r="G1092" s="450"/>
      <c r="H1092" s="451" t="s">
        <v>1237</v>
      </c>
      <c r="I1092" s="452" t="s">
        <v>4389</v>
      </c>
      <c r="J1092" s="453" t="s">
        <v>14</v>
      </c>
      <c r="K1092" s="454"/>
      <c r="L1092" s="455"/>
      <c r="M1092" s="455"/>
      <c r="N1092" s="456">
        <v>12136.4</v>
      </c>
      <c r="O1092" s="457"/>
      <c r="P1092" s="430"/>
    </row>
    <row r="1093" spans="1:16" ht="13.9" hidden="1" customHeight="1" outlineLevel="3" x14ac:dyDescent="0.2">
      <c r="A1093" s="233">
        <v>0</v>
      </c>
      <c r="B1093" s="233">
        <v>8</v>
      </c>
      <c r="C1093" s="233">
        <v>10</v>
      </c>
      <c r="D1093" s="234">
        <v>7</v>
      </c>
      <c r="E1093" s="234">
        <v>1</v>
      </c>
      <c r="G1093" s="500" t="s">
        <v>1256</v>
      </c>
      <c r="H1093" s="459" t="s">
        <v>1238</v>
      </c>
      <c r="I1093" s="460" t="s">
        <v>4390</v>
      </c>
      <c r="J1093" s="461" t="s">
        <v>1257</v>
      </c>
      <c r="K1093" s="462" t="s">
        <v>1129</v>
      </c>
      <c r="L1093" s="463">
        <v>1</v>
      </c>
      <c r="M1093" s="463">
        <v>12136.400000000001</v>
      </c>
      <c r="N1093" s="464">
        <v>12136.4</v>
      </c>
      <c r="O1093" s="475" t="s">
        <v>2333</v>
      </c>
      <c r="P1093" s="431" t="s">
        <v>6711</v>
      </c>
    </row>
    <row r="1094" spans="1:16" ht="13.9" hidden="1" customHeight="1" outlineLevel="1" x14ac:dyDescent="0.2">
      <c r="A1094" s="233">
        <v>0</v>
      </c>
      <c r="B1094" s="233">
        <v>8</v>
      </c>
      <c r="C1094" s="233">
        <v>11</v>
      </c>
      <c r="D1094" s="234">
        <v>0</v>
      </c>
      <c r="E1094" s="234">
        <v>1</v>
      </c>
      <c r="G1094" s="443"/>
      <c r="H1094" s="444" t="s">
        <v>38</v>
      </c>
      <c r="I1094" s="445" t="s">
        <v>4391</v>
      </c>
      <c r="J1094" s="446" t="s">
        <v>2795</v>
      </c>
      <c r="K1094" s="447"/>
      <c r="L1094" s="448"/>
      <c r="M1094" s="448"/>
      <c r="N1094" s="449">
        <v>705113.91929999995</v>
      </c>
      <c r="O1094" s="432"/>
      <c r="P1094" s="435"/>
    </row>
    <row r="1095" spans="1:16" ht="13.9" hidden="1" customHeight="1" outlineLevel="2" x14ac:dyDescent="0.2">
      <c r="A1095" s="233">
        <v>0</v>
      </c>
      <c r="B1095" s="233">
        <v>8</v>
      </c>
      <c r="C1095" s="233">
        <v>11</v>
      </c>
      <c r="D1095" s="234">
        <v>1</v>
      </c>
      <c r="E1095" s="234">
        <v>0</v>
      </c>
      <c r="G1095" s="450"/>
      <c r="H1095" s="451" t="s">
        <v>1237</v>
      </c>
      <c r="I1095" s="452" t="s">
        <v>4392</v>
      </c>
      <c r="J1095" s="453" t="s">
        <v>2330</v>
      </c>
      <c r="K1095" s="454"/>
      <c r="L1095" s="455"/>
      <c r="M1095" s="455"/>
      <c r="N1095" s="456">
        <v>62099.82</v>
      </c>
      <c r="O1095" s="457"/>
      <c r="P1095" s="430"/>
    </row>
    <row r="1096" spans="1:16" ht="13.9" hidden="1" customHeight="1" outlineLevel="3" x14ac:dyDescent="0.2">
      <c r="A1096" s="233">
        <v>0</v>
      </c>
      <c r="B1096" s="233">
        <v>8</v>
      </c>
      <c r="C1096" s="233">
        <v>11</v>
      </c>
      <c r="D1096" s="234">
        <v>1</v>
      </c>
      <c r="E1096" s="234">
        <v>1</v>
      </c>
      <c r="G1096" s="500" t="s">
        <v>1256</v>
      </c>
      <c r="H1096" s="459" t="s">
        <v>1238</v>
      </c>
      <c r="I1096" s="460" t="s">
        <v>4393</v>
      </c>
      <c r="J1096" s="461" t="s">
        <v>2330</v>
      </c>
      <c r="K1096" s="462" t="s">
        <v>1129</v>
      </c>
      <c r="L1096" s="463">
        <v>1</v>
      </c>
      <c r="M1096" s="463">
        <v>62099.82</v>
      </c>
      <c r="N1096" s="464">
        <v>62099.82</v>
      </c>
      <c r="O1096" s="465" t="s">
        <v>2323</v>
      </c>
      <c r="P1096" s="431" t="s">
        <v>6711</v>
      </c>
    </row>
    <row r="1097" spans="1:16" ht="13.9" hidden="1" customHeight="1" outlineLevel="2" x14ac:dyDescent="0.2">
      <c r="A1097" s="233">
        <v>0</v>
      </c>
      <c r="B1097" s="233">
        <v>8</v>
      </c>
      <c r="C1097" s="233">
        <v>11</v>
      </c>
      <c r="D1097" s="234">
        <v>2</v>
      </c>
      <c r="E1097" s="234">
        <v>0</v>
      </c>
      <c r="G1097" s="450"/>
      <c r="H1097" s="451" t="s">
        <v>1237</v>
      </c>
      <c r="I1097" s="452" t="s">
        <v>4394</v>
      </c>
      <c r="J1097" s="453" t="s">
        <v>2331</v>
      </c>
      <c r="K1097" s="454"/>
      <c r="L1097" s="455"/>
      <c r="M1097" s="455"/>
      <c r="N1097" s="456">
        <v>14952.7</v>
      </c>
      <c r="O1097" s="457"/>
      <c r="P1097" s="430"/>
    </row>
    <row r="1098" spans="1:16" ht="13.9" hidden="1" customHeight="1" outlineLevel="3" x14ac:dyDescent="0.2">
      <c r="A1098" s="233">
        <v>0</v>
      </c>
      <c r="B1098" s="233">
        <v>8</v>
      </c>
      <c r="C1098" s="233">
        <v>11</v>
      </c>
      <c r="D1098" s="234">
        <v>2</v>
      </c>
      <c r="E1098" s="234">
        <v>1</v>
      </c>
      <c r="G1098" s="500" t="s">
        <v>1256</v>
      </c>
      <c r="H1098" s="459" t="s">
        <v>1238</v>
      </c>
      <c r="I1098" s="460" t="s">
        <v>4395</v>
      </c>
      <c r="J1098" s="461" t="s">
        <v>2331</v>
      </c>
      <c r="K1098" s="462" t="s">
        <v>1129</v>
      </c>
      <c r="L1098" s="463">
        <v>1</v>
      </c>
      <c r="M1098" s="463">
        <v>14952.7</v>
      </c>
      <c r="N1098" s="464">
        <v>14952.7</v>
      </c>
      <c r="O1098" s="465" t="s">
        <v>2323</v>
      </c>
      <c r="P1098" s="431" t="s">
        <v>6711</v>
      </c>
    </row>
    <row r="1099" spans="1:16" ht="13.9" hidden="1" customHeight="1" outlineLevel="2" x14ac:dyDescent="0.2">
      <c r="A1099" s="233">
        <v>0</v>
      </c>
      <c r="B1099" s="233">
        <v>8</v>
      </c>
      <c r="C1099" s="233">
        <v>11</v>
      </c>
      <c r="D1099" s="234">
        <v>3</v>
      </c>
      <c r="E1099" s="234">
        <v>0</v>
      </c>
      <c r="G1099" s="450"/>
      <c r="H1099" s="451" t="s">
        <v>1237</v>
      </c>
      <c r="I1099" s="452" t="s">
        <v>4396</v>
      </c>
      <c r="J1099" s="453" t="s">
        <v>2801</v>
      </c>
      <c r="K1099" s="454"/>
      <c r="L1099" s="455"/>
      <c r="M1099" s="455"/>
      <c r="N1099" s="456">
        <v>511713.1</v>
      </c>
      <c r="O1099" s="457"/>
      <c r="P1099" s="430"/>
    </row>
    <row r="1100" spans="1:16" ht="13.9" hidden="1" customHeight="1" outlineLevel="3" x14ac:dyDescent="0.2">
      <c r="A1100" s="233">
        <v>0</v>
      </c>
      <c r="B1100" s="233">
        <v>8</v>
      </c>
      <c r="C1100" s="233">
        <v>11</v>
      </c>
      <c r="D1100" s="234">
        <v>3</v>
      </c>
      <c r="E1100" s="234">
        <v>1</v>
      </c>
      <c r="G1100" s="500" t="s">
        <v>1256</v>
      </c>
      <c r="H1100" s="459" t="s">
        <v>1238</v>
      </c>
      <c r="I1100" s="460" t="s">
        <v>4397</v>
      </c>
      <c r="J1100" s="461" t="s">
        <v>2801</v>
      </c>
      <c r="K1100" s="462" t="s">
        <v>1129</v>
      </c>
      <c r="L1100" s="463">
        <v>1</v>
      </c>
      <c r="M1100" s="463">
        <v>511713.10000000003</v>
      </c>
      <c r="N1100" s="464">
        <v>511713.1</v>
      </c>
      <c r="O1100" s="465" t="s">
        <v>2323</v>
      </c>
      <c r="P1100" s="431" t="s">
        <v>6711</v>
      </c>
    </row>
    <row r="1101" spans="1:16" ht="13.9" hidden="1" customHeight="1" outlineLevel="2" x14ac:dyDescent="0.2">
      <c r="A1101" s="233">
        <v>0</v>
      </c>
      <c r="B1101" s="233">
        <v>8</v>
      </c>
      <c r="C1101" s="233">
        <v>11</v>
      </c>
      <c r="D1101" s="234">
        <v>4</v>
      </c>
      <c r="E1101" s="234">
        <v>0</v>
      </c>
      <c r="G1101" s="450"/>
      <c r="H1101" s="451" t="s">
        <v>1237</v>
      </c>
      <c r="I1101" s="452" t="s">
        <v>4398</v>
      </c>
      <c r="J1101" s="453" t="s">
        <v>2332</v>
      </c>
      <c r="K1101" s="454"/>
      <c r="L1101" s="455"/>
      <c r="M1101" s="455"/>
      <c r="N1101" s="456">
        <v>0</v>
      </c>
      <c r="O1101" s="457"/>
      <c r="P1101" s="430"/>
    </row>
    <row r="1102" spans="1:16" ht="13.9" hidden="1" customHeight="1" outlineLevel="3" x14ac:dyDescent="0.2">
      <c r="A1102" s="233">
        <v>0</v>
      </c>
      <c r="B1102" s="233">
        <v>8</v>
      </c>
      <c r="C1102" s="233">
        <v>11</v>
      </c>
      <c r="D1102" s="234">
        <v>4</v>
      </c>
      <c r="E1102" s="234">
        <v>1</v>
      </c>
      <c r="G1102" s="500" t="s">
        <v>1256</v>
      </c>
      <c r="H1102" s="459" t="s">
        <v>1238</v>
      </c>
      <c r="I1102" s="460" t="s">
        <v>4399</v>
      </c>
      <c r="J1102" s="461" t="s">
        <v>2332</v>
      </c>
      <c r="K1102" s="462" t="s">
        <v>1129</v>
      </c>
      <c r="L1102" s="463">
        <v>1</v>
      </c>
      <c r="M1102" s="463"/>
      <c r="N1102" s="464">
        <v>0</v>
      </c>
      <c r="O1102" s="465" t="s">
        <v>2799</v>
      </c>
      <c r="P1102" s="431" t="s">
        <v>6711</v>
      </c>
    </row>
    <row r="1103" spans="1:16" ht="13.9" hidden="1" customHeight="1" outlineLevel="2" x14ac:dyDescent="0.2">
      <c r="A1103" s="233">
        <v>0</v>
      </c>
      <c r="B1103" s="233">
        <v>8</v>
      </c>
      <c r="C1103" s="233">
        <v>11</v>
      </c>
      <c r="D1103" s="234">
        <v>5</v>
      </c>
      <c r="E1103" s="234">
        <v>0</v>
      </c>
      <c r="G1103" s="450"/>
      <c r="H1103" s="451" t="s">
        <v>1237</v>
      </c>
      <c r="I1103" s="452" t="s">
        <v>4400</v>
      </c>
      <c r="J1103" s="453" t="s">
        <v>2241</v>
      </c>
      <c r="K1103" s="454"/>
      <c r="L1103" s="455"/>
      <c r="M1103" s="455"/>
      <c r="N1103" s="456">
        <v>84473.449299999993</v>
      </c>
      <c r="O1103" s="457"/>
      <c r="P1103" s="430"/>
    </row>
    <row r="1104" spans="1:16" ht="13.9" hidden="1" customHeight="1" outlineLevel="3" x14ac:dyDescent="0.2">
      <c r="A1104" s="233">
        <v>0</v>
      </c>
      <c r="B1104" s="233">
        <v>8</v>
      </c>
      <c r="C1104" s="233">
        <v>11</v>
      </c>
      <c r="D1104" s="234">
        <v>5</v>
      </c>
      <c r="E1104" s="234">
        <v>1</v>
      </c>
      <c r="G1104" s="500" t="s">
        <v>1256</v>
      </c>
      <c r="H1104" s="459" t="s">
        <v>1238</v>
      </c>
      <c r="I1104" s="460" t="s">
        <v>4401</v>
      </c>
      <c r="J1104" s="461" t="s">
        <v>2241</v>
      </c>
      <c r="K1104" s="462" t="s">
        <v>1129</v>
      </c>
      <c r="L1104" s="463">
        <v>1</v>
      </c>
      <c r="M1104" s="463">
        <v>84473.449300000007</v>
      </c>
      <c r="N1104" s="464">
        <v>84473.449299999993</v>
      </c>
      <c r="O1104" s="465" t="s">
        <v>2323</v>
      </c>
      <c r="P1104" s="431" t="s">
        <v>6711</v>
      </c>
    </row>
    <row r="1105" spans="1:16" ht="13.9" hidden="1" customHeight="1" outlineLevel="2" x14ac:dyDescent="0.2">
      <c r="A1105" s="233">
        <v>0</v>
      </c>
      <c r="B1105" s="233">
        <v>8</v>
      </c>
      <c r="C1105" s="233">
        <v>11</v>
      </c>
      <c r="D1105" s="234">
        <v>6</v>
      </c>
      <c r="E1105" s="234">
        <v>0</v>
      </c>
      <c r="G1105" s="450"/>
      <c r="H1105" s="451" t="s">
        <v>1237</v>
      </c>
      <c r="I1105" s="452" t="s">
        <v>4402</v>
      </c>
      <c r="J1105" s="453" t="s">
        <v>2240</v>
      </c>
      <c r="K1105" s="454"/>
      <c r="L1105" s="455"/>
      <c r="M1105" s="455"/>
      <c r="N1105" s="456">
        <v>0</v>
      </c>
      <c r="O1105" s="457"/>
      <c r="P1105" s="430"/>
    </row>
    <row r="1106" spans="1:16" ht="13.9" hidden="1" customHeight="1" outlineLevel="3" x14ac:dyDescent="0.2">
      <c r="A1106" s="233">
        <v>0</v>
      </c>
      <c r="B1106" s="233">
        <v>8</v>
      </c>
      <c r="C1106" s="233">
        <v>11</v>
      </c>
      <c r="D1106" s="234">
        <v>6</v>
      </c>
      <c r="E1106" s="234">
        <v>1</v>
      </c>
      <c r="G1106" s="500" t="s">
        <v>1256</v>
      </c>
      <c r="H1106" s="459" t="s">
        <v>1238</v>
      </c>
      <c r="I1106" s="460" t="s">
        <v>4403</v>
      </c>
      <c r="J1106" s="461" t="s">
        <v>2240</v>
      </c>
      <c r="K1106" s="462" t="s">
        <v>1129</v>
      </c>
      <c r="L1106" s="463">
        <v>1</v>
      </c>
      <c r="M1106" s="463"/>
      <c r="N1106" s="464">
        <v>0</v>
      </c>
      <c r="O1106" s="465" t="s">
        <v>2323</v>
      </c>
      <c r="P1106" s="431" t="s">
        <v>6711</v>
      </c>
    </row>
    <row r="1107" spans="1:16" ht="13.9" hidden="1" customHeight="1" outlineLevel="2" x14ac:dyDescent="0.2">
      <c r="A1107" s="233">
        <v>0</v>
      </c>
      <c r="B1107" s="233">
        <v>8</v>
      </c>
      <c r="C1107" s="233">
        <v>11</v>
      </c>
      <c r="D1107" s="234">
        <v>7</v>
      </c>
      <c r="E1107" s="234">
        <v>0</v>
      </c>
      <c r="G1107" s="450"/>
      <c r="H1107" s="451" t="s">
        <v>1237</v>
      </c>
      <c r="I1107" s="452" t="s">
        <v>4404</v>
      </c>
      <c r="J1107" s="453" t="s">
        <v>14</v>
      </c>
      <c r="K1107" s="454"/>
      <c r="L1107" s="455"/>
      <c r="M1107" s="455"/>
      <c r="N1107" s="456">
        <v>31874.85</v>
      </c>
      <c r="O1107" s="457"/>
      <c r="P1107" s="430"/>
    </row>
    <row r="1108" spans="1:16" ht="13.9" hidden="1" customHeight="1" outlineLevel="3" x14ac:dyDescent="0.2">
      <c r="A1108" s="233">
        <v>0</v>
      </c>
      <c r="B1108" s="233">
        <v>8</v>
      </c>
      <c r="C1108" s="233">
        <v>11</v>
      </c>
      <c r="D1108" s="234">
        <v>7</v>
      </c>
      <c r="E1108" s="234">
        <v>1</v>
      </c>
      <c r="G1108" s="500" t="s">
        <v>1256</v>
      </c>
      <c r="H1108" s="459" t="s">
        <v>1238</v>
      </c>
      <c r="I1108" s="460" t="s">
        <v>4405</v>
      </c>
      <c r="J1108" s="461" t="s">
        <v>1257</v>
      </c>
      <c r="K1108" s="462" t="s">
        <v>1129</v>
      </c>
      <c r="L1108" s="463">
        <v>1</v>
      </c>
      <c r="M1108" s="463">
        <v>31874.850000000002</v>
      </c>
      <c r="N1108" s="464">
        <v>31874.85</v>
      </c>
      <c r="O1108" s="475" t="s">
        <v>2333</v>
      </c>
      <c r="P1108" s="431" t="s">
        <v>6711</v>
      </c>
    </row>
    <row r="1109" spans="1:16" ht="13.9" hidden="1" customHeight="1" outlineLevel="1" x14ac:dyDescent="0.2">
      <c r="A1109" s="233">
        <v>0</v>
      </c>
      <c r="B1109" s="233">
        <v>8</v>
      </c>
      <c r="C1109" s="233">
        <v>12</v>
      </c>
      <c r="D1109" s="234">
        <v>0</v>
      </c>
      <c r="E1109" s="234">
        <v>1</v>
      </c>
      <c r="G1109" s="443"/>
      <c r="H1109" s="444" t="s">
        <v>38</v>
      </c>
      <c r="I1109" s="445" t="s">
        <v>4406</v>
      </c>
      <c r="J1109" s="446" t="s">
        <v>2796</v>
      </c>
      <c r="K1109" s="447"/>
      <c r="L1109" s="448"/>
      <c r="M1109" s="448"/>
      <c r="N1109" s="449">
        <v>30016.770199999999</v>
      </c>
      <c r="O1109" s="432"/>
      <c r="P1109" s="435"/>
    </row>
    <row r="1110" spans="1:16" ht="13.9" hidden="1" customHeight="1" outlineLevel="2" x14ac:dyDescent="0.2">
      <c r="A1110" s="233">
        <v>0</v>
      </c>
      <c r="B1110" s="233">
        <v>8</v>
      </c>
      <c r="C1110" s="233">
        <v>12</v>
      </c>
      <c r="D1110" s="234">
        <v>1</v>
      </c>
      <c r="E1110" s="234">
        <v>0</v>
      </c>
      <c r="G1110" s="450"/>
      <c r="H1110" s="451" t="s">
        <v>1237</v>
      </c>
      <c r="I1110" s="452" t="s">
        <v>4407</v>
      </c>
      <c r="J1110" s="453" t="s">
        <v>2330</v>
      </c>
      <c r="K1110" s="454"/>
      <c r="L1110" s="455"/>
      <c r="M1110" s="455"/>
      <c r="N1110" s="456">
        <v>3267.2</v>
      </c>
      <c r="O1110" s="457"/>
      <c r="P1110" s="430"/>
    </row>
    <row r="1111" spans="1:16" ht="13.9" hidden="1" customHeight="1" outlineLevel="3" x14ac:dyDescent="0.2">
      <c r="A1111" s="233">
        <v>0</v>
      </c>
      <c r="B1111" s="233">
        <v>8</v>
      </c>
      <c r="C1111" s="233">
        <v>12</v>
      </c>
      <c r="D1111" s="234">
        <v>1</v>
      </c>
      <c r="E1111" s="234">
        <v>1</v>
      </c>
      <c r="G1111" s="500" t="s">
        <v>1256</v>
      </c>
      <c r="H1111" s="459" t="s">
        <v>1238</v>
      </c>
      <c r="I1111" s="460" t="s">
        <v>4408</v>
      </c>
      <c r="J1111" s="461" t="s">
        <v>2330</v>
      </c>
      <c r="K1111" s="462" t="s">
        <v>1129</v>
      </c>
      <c r="L1111" s="463">
        <v>1</v>
      </c>
      <c r="M1111" s="463">
        <v>3267.2</v>
      </c>
      <c r="N1111" s="464">
        <v>3267.2</v>
      </c>
      <c r="O1111" s="465" t="s">
        <v>2323</v>
      </c>
      <c r="P1111" s="431" t="s">
        <v>6711</v>
      </c>
    </row>
    <row r="1112" spans="1:16" ht="13.9" hidden="1" customHeight="1" outlineLevel="2" x14ac:dyDescent="0.2">
      <c r="A1112" s="233">
        <v>0</v>
      </c>
      <c r="B1112" s="233">
        <v>8</v>
      </c>
      <c r="C1112" s="233">
        <v>12</v>
      </c>
      <c r="D1112" s="234">
        <v>2</v>
      </c>
      <c r="E1112" s="234">
        <v>0</v>
      </c>
      <c r="G1112" s="450"/>
      <c r="H1112" s="451" t="s">
        <v>1237</v>
      </c>
      <c r="I1112" s="452" t="s">
        <v>4409</v>
      </c>
      <c r="J1112" s="453" t="s">
        <v>2331</v>
      </c>
      <c r="K1112" s="454"/>
      <c r="L1112" s="455"/>
      <c r="M1112" s="455"/>
      <c r="N1112" s="456">
        <v>600.45000000000005</v>
      </c>
      <c r="O1112" s="457"/>
      <c r="P1112" s="430"/>
    </row>
    <row r="1113" spans="1:16" ht="13.9" hidden="1" customHeight="1" outlineLevel="3" x14ac:dyDescent="0.2">
      <c r="A1113" s="233">
        <v>0</v>
      </c>
      <c r="B1113" s="233">
        <v>8</v>
      </c>
      <c r="C1113" s="233">
        <v>12</v>
      </c>
      <c r="D1113" s="234">
        <v>2</v>
      </c>
      <c r="E1113" s="234">
        <v>1</v>
      </c>
      <c r="G1113" s="500" t="s">
        <v>1256</v>
      </c>
      <c r="H1113" s="459" t="s">
        <v>1238</v>
      </c>
      <c r="I1113" s="460" t="s">
        <v>4410</v>
      </c>
      <c r="J1113" s="461" t="s">
        <v>2331</v>
      </c>
      <c r="K1113" s="462" t="s">
        <v>1129</v>
      </c>
      <c r="L1113" s="463">
        <v>1</v>
      </c>
      <c r="M1113" s="463">
        <v>600.45000000000005</v>
      </c>
      <c r="N1113" s="464">
        <v>600.45000000000005</v>
      </c>
      <c r="O1113" s="465" t="s">
        <v>2323</v>
      </c>
      <c r="P1113" s="431" t="s">
        <v>6711</v>
      </c>
    </row>
    <row r="1114" spans="1:16" ht="13.9" hidden="1" customHeight="1" outlineLevel="2" x14ac:dyDescent="0.2">
      <c r="A1114" s="233">
        <v>0</v>
      </c>
      <c r="B1114" s="233">
        <v>8</v>
      </c>
      <c r="C1114" s="233">
        <v>12</v>
      </c>
      <c r="D1114" s="234">
        <v>3</v>
      </c>
      <c r="E1114" s="234">
        <v>0</v>
      </c>
      <c r="G1114" s="450"/>
      <c r="H1114" s="451" t="s">
        <v>1237</v>
      </c>
      <c r="I1114" s="452" t="s">
        <v>4411</v>
      </c>
      <c r="J1114" s="453" t="s">
        <v>2801</v>
      </c>
      <c r="K1114" s="454"/>
      <c r="L1114" s="455"/>
      <c r="M1114" s="455"/>
      <c r="N1114" s="456">
        <v>21722</v>
      </c>
      <c r="O1114" s="457"/>
      <c r="P1114" s="430"/>
    </row>
    <row r="1115" spans="1:16" ht="13.9" hidden="1" customHeight="1" outlineLevel="3" x14ac:dyDescent="0.2">
      <c r="A1115" s="233">
        <v>0</v>
      </c>
      <c r="B1115" s="233">
        <v>8</v>
      </c>
      <c r="C1115" s="233">
        <v>12</v>
      </c>
      <c r="D1115" s="234">
        <v>3</v>
      </c>
      <c r="E1115" s="234">
        <v>1</v>
      </c>
      <c r="G1115" s="500" t="s">
        <v>1256</v>
      </c>
      <c r="H1115" s="459" t="s">
        <v>1238</v>
      </c>
      <c r="I1115" s="460" t="s">
        <v>4412</v>
      </c>
      <c r="J1115" s="461" t="s">
        <v>2801</v>
      </c>
      <c r="K1115" s="462" t="s">
        <v>1129</v>
      </c>
      <c r="L1115" s="463">
        <v>1</v>
      </c>
      <c r="M1115" s="463">
        <v>21722</v>
      </c>
      <c r="N1115" s="464">
        <v>21722</v>
      </c>
      <c r="O1115" s="465" t="s">
        <v>2323</v>
      </c>
      <c r="P1115" s="431" t="s">
        <v>6711</v>
      </c>
    </row>
    <row r="1116" spans="1:16" ht="13.9" hidden="1" customHeight="1" outlineLevel="2" x14ac:dyDescent="0.2">
      <c r="A1116" s="233">
        <v>0</v>
      </c>
      <c r="B1116" s="233">
        <v>8</v>
      </c>
      <c r="C1116" s="233">
        <v>12</v>
      </c>
      <c r="D1116" s="234">
        <v>4</v>
      </c>
      <c r="E1116" s="234">
        <v>0</v>
      </c>
      <c r="G1116" s="450"/>
      <c r="H1116" s="451" t="s">
        <v>1237</v>
      </c>
      <c r="I1116" s="452" t="s">
        <v>4413</v>
      </c>
      <c r="J1116" s="453" t="s">
        <v>2332</v>
      </c>
      <c r="K1116" s="454"/>
      <c r="L1116" s="455"/>
      <c r="M1116" s="455"/>
      <c r="N1116" s="456">
        <v>0</v>
      </c>
      <c r="O1116" s="457"/>
      <c r="P1116" s="430"/>
    </row>
    <row r="1117" spans="1:16" ht="13.9" hidden="1" customHeight="1" outlineLevel="3" x14ac:dyDescent="0.2">
      <c r="A1117" s="233">
        <v>0</v>
      </c>
      <c r="B1117" s="233">
        <v>8</v>
      </c>
      <c r="C1117" s="233">
        <v>12</v>
      </c>
      <c r="D1117" s="234">
        <v>4</v>
      </c>
      <c r="E1117" s="234">
        <v>1</v>
      </c>
      <c r="G1117" s="500" t="s">
        <v>1256</v>
      </c>
      <c r="H1117" s="459" t="s">
        <v>1238</v>
      </c>
      <c r="I1117" s="460" t="s">
        <v>4414</v>
      </c>
      <c r="J1117" s="461" t="s">
        <v>2332</v>
      </c>
      <c r="K1117" s="462" t="s">
        <v>1129</v>
      </c>
      <c r="L1117" s="463">
        <v>1</v>
      </c>
      <c r="M1117" s="463"/>
      <c r="N1117" s="464">
        <v>0</v>
      </c>
      <c r="O1117" s="465" t="s">
        <v>2799</v>
      </c>
      <c r="P1117" s="431" t="s">
        <v>6711</v>
      </c>
    </row>
    <row r="1118" spans="1:16" ht="13.9" hidden="1" customHeight="1" outlineLevel="2" x14ac:dyDescent="0.2">
      <c r="A1118" s="233">
        <v>0</v>
      </c>
      <c r="B1118" s="233">
        <v>8</v>
      </c>
      <c r="C1118" s="233">
        <v>12</v>
      </c>
      <c r="D1118" s="234">
        <v>5</v>
      </c>
      <c r="E1118" s="234">
        <v>0</v>
      </c>
      <c r="G1118" s="450"/>
      <c r="H1118" s="451" t="s">
        <v>1237</v>
      </c>
      <c r="I1118" s="452" t="s">
        <v>4415</v>
      </c>
      <c r="J1118" s="453" t="s">
        <v>2241</v>
      </c>
      <c r="K1118" s="454"/>
      <c r="L1118" s="455"/>
      <c r="M1118" s="455"/>
      <c r="N1118" s="456">
        <v>2909.2701999999999</v>
      </c>
      <c r="O1118" s="457"/>
      <c r="P1118" s="430"/>
    </row>
    <row r="1119" spans="1:16" ht="13.9" hidden="1" customHeight="1" outlineLevel="3" x14ac:dyDescent="0.2">
      <c r="A1119" s="233">
        <v>0</v>
      </c>
      <c r="B1119" s="233">
        <v>8</v>
      </c>
      <c r="C1119" s="233">
        <v>12</v>
      </c>
      <c r="D1119" s="234">
        <v>5</v>
      </c>
      <c r="E1119" s="234">
        <v>1</v>
      </c>
      <c r="G1119" s="500" t="s">
        <v>1256</v>
      </c>
      <c r="H1119" s="459" t="s">
        <v>1238</v>
      </c>
      <c r="I1119" s="460" t="s">
        <v>4416</v>
      </c>
      <c r="J1119" s="461" t="s">
        <v>2241</v>
      </c>
      <c r="K1119" s="462" t="s">
        <v>1129</v>
      </c>
      <c r="L1119" s="463">
        <v>1</v>
      </c>
      <c r="M1119" s="463">
        <v>2909.2701999999999</v>
      </c>
      <c r="N1119" s="464">
        <v>2909.2701999999999</v>
      </c>
      <c r="O1119" s="465" t="s">
        <v>2323</v>
      </c>
      <c r="P1119" s="431" t="s">
        <v>6711</v>
      </c>
    </row>
    <row r="1120" spans="1:16" ht="13.9" hidden="1" customHeight="1" outlineLevel="2" x14ac:dyDescent="0.2">
      <c r="A1120" s="233">
        <v>0</v>
      </c>
      <c r="B1120" s="233">
        <v>8</v>
      </c>
      <c r="C1120" s="233">
        <v>12</v>
      </c>
      <c r="D1120" s="234">
        <v>6</v>
      </c>
      <c r="E1120" s="234">
        <v>0</v>
      </c>
      <c r="G1120" s="450"/>
      <c r="H1120" s="451" t="s">
        <v>1237</v>
      </c>
      <c r="I1120" s="452" t="s">
        <v>4417</v>
      </c>
      <c r="J1120" s="453" t="s">
        <v>2240</v>
      </c>
      <c r="K1120" s="454"/>
      <c r="L1120" s="455"/>
      <c r="M1120" s="455"/>
      <c r="N1120" s="456">
        <v>0</v>
      </c>
      <c r="O1120" s="457"/>
      <c r="P1120" s="430"/>
    </row>
    <row r="1121" spans="1:16" ht="13.9" hidden="1" customHeight="1" outlineLevel="3" x14ac:dyDescent="0.2">
      <c r="A1121" s="233">
        <v>0</v>
      </c>
      <c r="B1121" s="233">
        <v>8</v>
      </c>
      <c r="C1121" s="233">
        <v>12</v>
      </c>
      <c r="D1121" s="234">
        <v>6</v>
      </c>
      <c r="E1121" s="234">
        <v>1</v>
      </c>
      <c r="G1121" s="500" t="s">
        <v>1256</v>
      </c>
      <c r="H1121" s="459" t="s">
        <v>1238</v>
      </c>
      <c r="I1121" s="460" t="s">
        <v>4418</v>
      </c>
      <c r="J1121" s="461" t="s">
        <v>2240</v>
      </c>
      <c r="K1121" s="462" t="s">
        <v>1129</v>
      </c>
      <c r="L1121" s="463">
        <v>1</v>
      </c>
      <c r="M1121" s="463"/>
      <c r="N1121" s="464">
        <v>0</v>
      </c>
      <c r="O1121" s="465" t="s">
        <v>2323</v>
      </c>
      <c r="P1121" s="431" t="s">
        <v>6711</v>
      </c>
    </row>
    <row r="1122" spans="1:16" ht="13.9" hidden="1" customHeight="1" outlineLevel="2" x14ac:dyDescent="0.2">
      <c r="A1122" s="233">
        <v>0</v>
      </c>
      <c r="B1122" s="233">
        <v>8</v>
      </c>
      <c r="C1122" s="233">
        <v>12</v>
      </c>
      <c r="D1122" s="234">
        <v>7</v>
      </c>
      <c r="E1122" s="234">
        <v>0</v>
      </c>
      <c r="G1122" s="450"/>
      <c r="H1122" s="451" t="s">
        <v>1237</v>
      </c>
      <c r="I1122" s="452" t="s">
        <v>4419</v>
      </c>
      <c r="J1122" s="453" t="s">
        <v>14</v>
      </c>
      <c r="K1122" s="454"/>
      <c r="L1122" s="455"/>
      <c r="M1122" s="455"/>
      <c r="N1122" s="456">
        <v>1517.85</v>
      </c>
      <c r="O1122" s="457"/>
      <c r="P1122" s="430"/>
    </row>
    <row r="1123" spans="1:16" ht="13.9" hidden="1" customHeight="1" outlineLevel="3" x14ac:dyDescent="0.2">
      <c r="A1123" s="233">
        <v>0</v>
      </c>
      <c r="B1123" s="233">
        <v>8</v>
      </c>
      <c r="C1123" s="233">
        <v>12</v>
      </c>
      <c r="D1123" s="234">
        <v>7</v>
      </c>
      <c r="E1123" s="234">
        <v>1</v>
      </c>
      <c r="G1123" s="500" t="s">
        <v>1256</v>
      </c>
      <c r="H1123" s="459" t="s">
        <v>1238</v>
      </c>
      <c r="I1123" s="460" t="s">
        <v>4420</v>
      </c>
      <c r="J1123" s="461" t="s">
        <v>1257</v>
      </c>
      <c r="K1123" s="462" t="s">
        <v>1129</v>
      </c>
      <c r="L1123" s="463">
        <v>1</v>
      </c>
      <c r="M1123" s="463">
        <v>1517.85</v>
      </c>
      <c r="N1123" s="464">
        <v>1517.85</v>
      </c>
      <c r="O1123" s="475" t="s">
        <v>2333</v>
      </c>
      <c r="P1123" s="431" t="s">
        <v>6711</v>
      </c>
    </row>
    <row r="1124" spans="1:16" ht="13.9" hidden="1" customHeight="1" outlineLevel="1" x14ac:dyDescent="0.2">
      <c r="A1124" s="233">
        <v>0</v>
      </c>
      <c r="B1124" s="233">
        <v>8</v>
      </c>
      <c r="C1124" s="233">
        <v>13</v>
      </c>
      <c r="D1124" s="234">
        <v>0</v>
      </c>
      <c r="E1124" s="234">
        <v>1</v>
      </c>
      <c r="G1124" s="443"/>
      <c r="H1124" s="444" t="s">
        <v>38</v>
      </c>
      <c r="I1124" s="445" t="s">
        <v>4421</v>
      </c>
      <c r="J1124" s="446" t="s">
        <v>2797</v>
      </c>
      <c r="K1124" s="447"/>
      <c r="L1124" s="448"/>
      <c r="M1124" s="448"/>
      <c r="N1124" s="449">
        <v>36851.269999999997</v>
      </c>
      <c r="O1124" s="432"/>
      <c r="P1124" s="435"/>
    </row>
    <row r="1125" spans="1:16" ht="13.9" hidden="1" customHeight="1" outlineLevel="2" x14ac:dyDescent="0.2">
      <c r="A1125" s="233">
        <v>0</v>
      </c>
      <c r="B1125" s="233">
        <v>8</v>
      </c>
      <c r="C1125" s="233">
        <v>13</v>
      </c>
      <c r="D1125" s="234">
        <v>1</v>
      </c>
      <c r="E1125" s="234">
        <v>0</v>
      </c>
      <c r="G1125" s="450"/>
      <c r="H1125" s="451" t="s">
        <v>1237</v>
      </c>
      <c r="I1125" s="452" t="s">
        <v>4422</v>
      </c>
      <c r="J1125" s="453" t="s">
        <v>2330</v>
      </c>
      <c r="K1125" s="454"/>
      <c r="L1125" s="455"/>
      <c r="M1125" s="455"/>
      <c r="N1125" s="456">
        <v>4400.41</v>
      </c>
      <c r="O1125" s="457"/>
      <c r="P1125" s="430"/>
    </row>
    <row r="1126" spans="1:16" ht="13.9" hidden="1" customHeight="1" outlineLevel="3" x14ac:dyDescent="0.2">
      <c r="A1126" s="233">
        <v>0</v>
      </c>
      <c r="B1126" s="233">
        <v>8</v>
      </c>
      <c r="C1126" s="233">
        <v>13</v>
      </c>
      <c r="D1126" s="234">
        <v>1</v>
      </c>
      <c r="E1126" s="234">
        <v>1</v>
      </c>
      <c r="G1126" s="500" t="s">
        <v>1256</v>
      </c>
      <c r="H1126" s="459" t="s">
        <v>1238</v>
      </c>
      <c r="I1126" s="460" t="s">
        <v>4423</v>
      </c>
      <c r="J1126" s="461" t="s">
        <v>2330</v>
      </c>
      <c r="K1126" s="462" t="s">
        <v>1129</v>
      </c>
      <c r="L1126" s="463">
        <v>1</v>
      </c>
      <c r="M1126" s="463">
        <v>4400.41</v>
      </c>
      <c r="N1126" s="464">
        <v>4400.41</v>
      </c>
      <c r="O1126" s="465" t="s">
        <v>2323</v>
      </c>
      <c r="P1126" s="431" t="s">
        <v>6711</v>
      </c>
    </row>
    <row r="1127" spans="1:16" ht="13.9" hidden="1" customHeight="1" outlineLevel="2" x14ac:dyDescent="0.2">
      <c r="A1127" s="233">
        <v>0</v>
      </c>
      <c r="B1127" s="233">
        <v>8</v>
      </c>
      <c r="C1127" s="233">
        <v>13</v>
      </c>
      <c r="D1127" s="234">
        <v>2</v>
      </c>
      <c r="E1127" s="234">
        <v>0</v>
      </c>
      <c r="G1127" s="450"/>
      <c r="H1127" s="451" t="s">
        <v>1237</v>
      </c>
      <c r="I1127" s="452" t="s">
        <v>4424</v>
      </c>
      <c r="J1127" s="453" t="s">
        <v>2331</v>
      </c>
      <c r="K1127" s="454"/>
      <c r="L1127" s="455"/>
      <c r="M1127" s="455"/>
      <c r="N1127" s="456">
        <v>538.95000000000005</v>
      </c>
      <c r="O1127" s="457"/>
      <c r="P1127" s="430"/>
    </row>
    <row r="1128" spans="1:16" ht="13.9" hidden="1" customHeight="1" outlineLevel="3" x14ac:dyDescent="0.2">
      <c r="A1128" s="233">
        <v>0</v>
      </c>
      <c r="B1128" s="233">
        <v>8</v>
      </c>
      <c r="C1128" s="233">
        <v>13</v>
      </c>
      <c r="D1128" s="234">
        <v>2</v>
      </c>
      <c r="E1128" s="234">
        <v>1</v>
      </c>
      <c r="G1128" s="500" t="s">
        <v>1256</v>
      </c>
      <c r="H1128" s="459" t="s">
        <v>1238</v>
      </c>
      <c r="I1128" s="460" t="s">
        <v>4425</v>
      </c>
      <c r="J1128" s="461" t="s">
        <v>2331</v>
      </c>
      <c r="K1128" s="462" t="s">
        <v>1129</v>
      </c>
      <c r="L1128" s="463">
        <v>1</v>
      </c>
      <c r="M1128" s="463">
        <v>538.95000000000005</v>
      </c>
      <c r="N1128" s="464">
        <v>538.95000000000005</v>
      </c>
      <c r="O1128" s="465" t="s">
        <v>2323</v>
      </c>
      <c r="P1128" s="431" t="s">
        <v>6711</v>
      </c>
    </row>
    <row r="1129" spans="1:16" ht="13.9" hidden="1" customHeight="1" outlineLevel="2" x14ac:dyDescent="0.2">
      <c r="A1129" s="233">
        <v>0</v>
      </c>
      <c r="B1129" s="233">
        <v>8</v>
      </c>
      <c r="C1129" s="233">
        <v>13</v>
      </c>
      <c r="D1129" s="234">
        <v>3</v>
      </c>
      <c r="E1129" s="234">
        <v>0</v>
      </c>
      <c r="G1129" s="450"/>
      <c r="H1129" s="451" t="s">
        <v>1237</v>
      </c>
      <c r="I1129" s="452" t="s">
        <v>4426</v>
      </c>
      <c r="J1129" s="453" t="s">
        <v>2801</v>
      </c>
      <c r="K1129" s="454"/>
      <c r="L1129" s="455"/>
      <c r="M1129" s="455"/>
      <c r="N1129" s="456">
        <v>28146.2</v>
      </c>
      <c r="O1129" s="457"/>
      <c r="P1129" s="430"/>
    </row>
    <row r="1130" spans="1:16" ht="13.9" hidden="1" customHeight="1" outlineLevel="3" x14ac:dyDescent="0.2">
      <c r="A1130" s="233">
        <v>0</v>
      </c>
      <c r="B1130" s="233">
        <v>8</v>
      </c>
      <c r="C1130" s="233">
        <v>13</v>
      </c>
      <c r="D1130" s="234">
        <v>3</v>
      </c>
      <c r="E1130" s="234">
        <v>1</v>
      </c>
      <c r="G1130" s="500" t="s">
        <v>1256</v>
      </c>
      <c r="H1130" s="459" t="s">
        <v>1238</v>
      </c>
      <c r="I1130" s="460" t="s">
        <v>4427</v>
      </c>
      <c r="J1130" s="461" t="s">
        <v>2801</v>
      </c>
      <c r="K1130" s="462" t="s">
        <v>1129</v>
      </c>
      <c r="L1130" s="463">
        <v>1</v>
      </c>
      <c r="M1130" s="463">
        <v>28146.2</v>
      </c>
      <c r="N1130" s="464">
        <v>28146.2</v>
      </c>
      <c r="O1130" s="465" t="s">
        <v>2323</v>
      </c>
      <c r="P1130" s="431" t="s">
        <v>6711</v>
      </c>
    </row>
    <row r="1131" spans="1:16" ht="13.9" hidden="1" customHeight="1" outlineLevel="2" x14ac:dyDescent="0.2">
      <c r="A1131" s="233">
        <v>0</v>
      </c>
      <c r="B1131" s="233">
        <v>8</v>
      </c>
      <c r="C1131" s="233">
        <v>13</v>
      </c>
      <c r="D1131" s="234">
        <v>4</v>
      </c>
      <c r="E1131" s="234">
        <v>0</v>
      </c>
      <c r="G1131" s="450"/>
      <c r="H1131" s="451" t="s">
        <v>1237</v>
      </c>
      <c r="I1131" s="452" t="s">
        <v>4428</v>
      </c>
      <c r="J1131" s="453" t="s">
        <v>2332</v>
      </c>
      <c r="K1131" s="454"/>
      <c r="L1131" s="455"/>
      <c r="M1131" s="455"/>
      <c r="N1131" s="456">
        <v>0</v>
      </c>
      <c r="O1131" s="457"/>
      <c r="P1131" s="430"/>
    </row>
    <row r="1132" spans="1:16" ht="13.9" hidden="1" customHeight="1" outlineLevel="3" x14ac:dyDescent="0.2">
      <c r="A1132" s="233">
        <v>0</v>
      </c>
      <c r="B1132" s="233">
        <v>8</v>
      </c>
      <c r="C1132" s="233">
        <v>13</v>
      </c>
      <c r="D1132" s="234">
        <v>4</v>
      </c>
      <c r="E1132" s="234">
        <v>1</v>
      </c>
      <c r="G1132" s="500" t="s">
        <v>1256</v>
      </c>
      <c r="H1132" s="459" t="s">
        <v>1238</v>
      </c>
      <c r="I1132" s="460" t="s">
        <v>4429</v>
      </c>
      <c r="J1132" s="461" t="s">
        <v>2332</v>
      </c>
      <c r="K1132" s="462" t="s">
        <v>1129</v>
      </c>
      <c r="L1132" s="463">
        <v>1</v>
      </c>
      <c r="M1132" s="463"/>
      <c r="N1132" s="464">
        <v>0</v>
      </c>
      <c r="O1132" s="465" t="s">
        <v>2799</v>
      </c>
      <c r="P1132" s="431" t="s">
        <v>6711</v>
      </c>
    </row>
    <row r="1133" spans="1:16" ht="13.9" hidden="1" customHeight="1" outlineLevel="2" x14ac:dyDescent="0.2">
      <c r="A1133" s="233">
        <v>0</v>
      </c>
      <c r="B1133" s="233">
        <v>8</v>
      </c>
      <c r="C1133" s="233">
        <v>13</v>
      </c>
      <c r="D1133" s="234">
        <v>5</v>
      </c>
      <c r="E1133" s="234">
        <v>0</v>
      </c>
      <c r="G1133" s="450"/>
      <c r="H1133" s="451" t="s">
        <v>1237</v>
      </c>
      <c r="I1133" s="452" t="s">
        <v>4430</v>
      </c>
      <c r="J1133" s="453" t="s">
        <v>2241</v>
      </c>
      <c r="K1133" s="454"/>
      <c r="L1133" s="455"/>
      <c r="M1133" s="455"/>
      <c r="N1133" s="456">
        <v>2300.91</v>
      </c>
      <c r="O1133" s="457"/>
      <c r="P1133" s="430"/>
    </row>
    <row r="1134" spans="1:16" ht="13.9" hidden="1" customHeight="1" outlineLevel="3" x14ac:dyDescent="0.2">
      <c r="A1134" s="233">
        <v>0</v>
      </c>
      <c r="B1134" s="233">
        <v>8</v>
      </c>
      <c r="C1134" s="233">
        <v>13</v>
      </c>
      <c r="D1134" s="234">
        <v>5</v>
      </c>
      <c r="E1134" s="234">
        <v>1</v>
      </c>
      <c r="G1134" s="500" t="s">
        <v>1256</v>
      </c>
      <c r="H1134" s="459" t="s">
        <v>1238</v>
      </c>
      <c r="I1134" s="460" t="s">
        <v>4431</v>
      </c>
      <c r="J1134" s="461" t="s">
        <v>2241</v>
      </c>
      <c r="K1134" s="462" t="s">
        <v>1129</v>
      </c>
      <c r="L1134" s="463">
        <v>1</v>
      </c>
      <c r="M1134" s="463">
        <v>2300.9100000000008</v>
      </c>
      <c r="N1134" s="464">
        <v>2300.91</v>
      </c>
      <c r="O1134" s="465" t="s">
        <v>2323</v>
      </c>
      <c r="P1134" s="431" t="s">
        <v>6711</v>
      </c>
    </row>
    <row r="1135" spans="1:16" ht="13.9" hidden="1" customHeight="1" outlineLevel="2" x14ac:dyDescent="0.2">
      <c r="A1135" s="233">
        <v>0</v>
      </c>
      <c r="B1135" s="233">
        <v>8</v>
      </c>
      <c r="C1135" s="233">
        <v>13</v>
      </c>
      <c r="D1135" s="234">
        <v>6</v>
      </c>
      <c r="E1135" s="234">
        <v>0</v>
      </c>
      <c r="G1135" s="450"/>
      <c r="H1135" s="451" t="s">
        <v>1237</v>
      </c>
      <c r="I1135" s="452" t="s">
        <v>4432</v>
      </c>
      <c r="J1135" s="453" t="s">
        <v>2240</v>
      </c>
      <c r="K1135" s="454"/>
      <c r="L1135" s="455"/>
      <c r="M1135" s="455"/>
      <c r="N1135" s="456">
        <v>0</v>
      </c>
      <c r="O1135" s="457"/>
      <c r="P1135" s="430"/>
    </row>
    <row r="1136" spans="1:16" ht="13.9" hidden="1" customHeight="1" outlineLevel="3" x14ac:dyDescent="0.2">
      <c r="A1136" s="233">
        <v>0</v>
      </c>
      <c r="B1136" s="233">
        <v>8</v>
      </c>
      <c r="C1136" s="233">
        <v>13</v>
      </c>
      <c r="D1136" s="234">
        <v>6</v>
      </c>
      <c r="E1136" s="234">
        <v>1</v>
      </c>
      <c r="G1136" s="500" t="s">
        <v>1256</v>
      </c>
      <c r="H1136" s="459" t="s">
        <v>1238</v>
      </c>
      <c r="I1136" s="460" t="s">
        <v>4433</v>
      </c>
      <c r="J1136" s="461" t="s">
        <v>2240</v>
      </c>
      <c r="K1136" s="462" t="s">
        <v>1129</v>
      </c>
      <c r="L1136" s="463">
        <v>1</v>
      </c>
      <c r="M1136" s="463"/>
      <c r="N1136" s="464">
        <v>0</v>
      </c>
      <c r="O1136" s="465" t="s">
        <v>2323</v>
      </c>
      <c r="P1136" s="431" t="s">
        <v>6711</v>
      </c>
    </row>
    <row r="1137" spans="1:16" ht="13.9" hidden="1" customHeight="1" outlineLevel="2" x14ac:dyDescent="0.2">
      <c r="A1137" s="233">
        <v>0</v>
      </c>
      <c r="B1137" s="233">
        <v>8</v>
      </c>
      <c r="C1137" s="233">
        <v>13</v>
      </c>
      <c r="D1137" s="234">
        <v>7</v>
      </c>
      <c r="E1137" s="234">
        <v>0</v>
      </c>
      <c r="G1137" s="450"/>
      <c r="H1137" s="451" t="s">
        <v>1237</v>
      </c>
      <c r="I1137" s="452" t="s">
        <v>4434</v>
      </c>
      <c r="J1137" s="453" t="s">
        <v>14</v>
      </c>
      <c r="K1137" s="454"/>
      <c r="L1137" s="455"/>
      <c r="M1137" s="455"/>
      <c r="N1137" s="456">
        <v>1464.8</v>
      </c>
      <c r="O1137" s="457"/>
      <c r="P1137" s="430"/>
    </row>
    <row r="1138" spans="1:16" ht="13.9" hidden="1" customHeight="1" outlineLevel="3" x14ac:dyDescent="0.2">
      <c r="A1138" s="233">
        <v>0</v>
      </c>
      <c r="B1138" s="233">
        <v>8</v>
      </c>
      <c r="C1138" s="233">
        <v>13</v>
      </c>
      <c r="D1138" s="234">
        <v>7</v>
      </c>
      <c r="E1138" s="234">
        <v>1</v>
      </c>
      <c r="G1138" s="500" t="s">
        <v>1256</v>
      </c>
      <c r="H1138" s="459" t="s">
        <v>1238</v>
      </c>
      <c r="I1138" s="460" t="s">
        <v>4435</v>
      </c>
      <c r="J1138" s="461" t="s">
        <v>1257</v>
      </c>
      <c r="K1138" s="462" t="s">
        <v>1129</v>
      </c>
      <c r="L1138" s="463">
        <v>1</v>
      </c>
      <c r="M1138" s="463">
        <v>1464.8</v>
      </c>
      <c r="N1138" s="464">
        <v>1464.8</v>
      </c>
      <c r="O1138" s="475" t="s">
        <v>2333</v>
      </c>
      <c r="P1138" s="431" t="s">
        <v>6711</v>
      </c>
    </row>
    <row r="1139" spans="1:16" ht="13.9" hidden="1" customHeight="1" outlineLevel="1" x14ac:dyDescent="0.2">
      <c r="A1139" s="233">
        <v>0</v>
      </c>
      <c r="B1139" s="233">
        <v>8</v>
      </c>
      <c r="C1139" s="233">
        <v>14</v>
      </c>
      <c r="D1139" s="234">
        <v>0</v>
      </c>
      <c r="E1139" s="234">
        <v>1</v>
      </c>
      <c r="G1139" s="443"/>
      <c r="H1139" s="444" t="s">
        <v>38</v>
      </c>
      <c r="I1139" s="445" t="s">
        <v>4436</v>
      </c>
      <c r="J1139" s="446" t="s">
        <v>2798</v>
      </c>
      <c r="K1139" s="447"/>
      <c r="L1139" s="448"/>
      <c r="M1139" s="448"/>
      <c r="N1139" s="449">
        <v>251730.2433</v>
      </c>
      <c r="O1139" s="432"/>
      <c r="P1139" s="435"/>
    </row>
    <row r="1140" spans="1:16" ht="13.9" hidden="1" customHeight="1" outlineLevel="2" x14ac:dyDescent="0.2">
      <c r="A1140" s="233">
        <v>0</v>
      </c>
      <c r="B1140" s="233">
        <v>8</v>
      </c>
      <c r="C1140" s="233">
        <v>14</v>
      </c>
      <c r="D1140" s="234">
        <v>1</v>
      </c>
      <c r="E1140" s="234">
        <v>0</v>
      </c>
      <c r="G1140" s="450"/>
      <c r="H1140" s="451" t="s">
        <v>1237</v>
      </c>
      <c r="I1140" s="452" t="s">
        <v>4437</v>
      </c>
      <c r="J1140" s="453" t="s">
        <v>2330</v>
      </c>
      <c r="K1140" s="454"/>
      <c r="L1140" s="455"/>
      <c r="M1140" s="455"/>
      <c r="N1140" s="456">
        <v>27210.58</v>
      </c>
      <c r="O1140" s="457"/>
      <c r="P1140" s="430"/>
    </row>
    <row r="1141" spans="1:16" ht="13.9" hidden="1" customHeight="1" outlineLevel="3" x14ac:dyDescent="0.2">
      <c r="A1141" s="233">
        <v>0</v>
      </c>
      <c r="B1141" s="233">
        <v>8</v>
      </c>
      <c r="C1141" s="233">
        <v>14</v>
      </c>
      <c r="D1141" s="234">
        <v>1</v>
      </c>
      <c r="E1141" s="234">
        <v>1</v>
      </c>
      <c r="G1141" s="500" t="s">
        <v>1256</v>
      </c>
      <c r="H1141" s="459" t="s">
        <v>1238</v>
      </c>
      <c r="I1141" s="460" t="s">
        <v>4438</v>
      </c>
      <c r="J1141" s="461" t="s">
        <v>2330</v>
      </c>
      <c r="K1141" s="462" t="s">
        <v>1129</v>
      </c>
      <c r="L1141" s="463">
        <v>1</v>
      </c>
      <c r="M1141" s="463">
        <v>27210.58</v>
      </c>
      <c r="N1141" s="464">
        <v>27210.58</v>
      </c>
      <c r="O1141" s="465" t="s">
        <v>2323</v>
      </c>
      <c r="P1141" s="431" t="s">
        <v>6711</v>
      </c>
    </row>
    <row r="1142" spans="1:16" ht="13.9" hidden="1" customHeight="1" outlineLevel="2" x14ac:dyDescent="0.2">
      <c r="A1142" s="233">
        <v>0</v>
      </c>
      <c r="B1142" s="233">
        <v>8</v>
      </c>
      <c r="C1142" s="233">
        <v>14</v>
      </c>
      <c r="D1142" s="234">
        <v>2</v>
      </c>
      <c r="E1142" s="234">
        <v>0</v>
      </c>
      <c r="G1142" s="450"/>
      <c r="H1142" s="451" t="s">
        <v>1237</v>
      </c>
      <c r="I1142" s="452" t="s">
        <v>4439</v>
      </c>
      <c r="J1142" s="453" t="s">
        <v>2331</v>
      </c>
      <c r="K1142" s="454"/>
      <c r="L1142" s="455"/>
      <c r="M1142" s="455"/>
      <c r="N1142" s="456">
        <v>1445.66</v>
      </c>
      <c r="O1142" s="457"/>
      <c r="P1142" s="430"/>
    </row>
    <row r="1143" spans="1:16" ht="13.9" hidden="1" customHeight="1" outlineLevel="3" x14ac:dyDescent="0.2">
      <c r="A1143" s="233">
        <v>0</v>
      </c>
      <c r="B1143" s="233">
        <v>8</v>
      </c>
      <c r="C1143" s="233">
        <v>14</v>
      </c>
      <c r="D1143" s="234">
        <v>2</v>
      </c>
      <c r="E1143" s="234">
        <v>1</v>
      </c>
      <c r="G1143" s="500" t="s">
        <v>1256</v>
      </c>
      <c r="H1143" s="459" t="s">
        <v>1238</v>
      </c>
      <c r="I1143" s="460" t="s">
        <v>4440</v>
      </c>
      <c r="J1143" s="461" t="s">
        <v>2331</v>
      </c>
      <c r="K1143" s="462" t="s">
        <v>1129</v>
      </c>
      <c r="L1143" s="463">
        <v>1</v>
      </c>
      <c r="M1143" s="463">
        <v>1445.6599999999999</v>
      </c>
      <c r="N1143" s="464">
        <v>1445.66</v>
      </c>
      <c r="O1143" s="465" t="s">
        <v>2323</v>
      </c>
      <c r="P1143" s="431" t="s">
        <v>6711</v>
      </c>
    </row>
    <row r="1144" spans="1:16" ht="13.9" hidden="1" customHeight="1" outlineLevel="2" x14ac:dyDescent="0.2">
      <c r="A1144" s="233">
        <v>0</v>
      </c>
      <c r="B1144" s="233">
        <v>8</v>
      </c>
      <c r="C1144" s="233">
        <v>14</v>
      </c>
      <c r="D1144" s="234">
        <v>3</v>
      </c>
      <c r="E1144" s="234">
        <v>0</v>
      </c>
      <c r="G1144" s="450"/>
      <c r="H1144" s="451" t="s">
        <v>1237</v>
      </c>
      <c r="I1144" s="452" t="s">
        <v>4441</v>
      </c>
      <c r="J1144" s="453" t="s">
        <v>2801</v>
      </c>
      <c r="K1144" s="454"/>
      <c r="L1144" s="455"/>
      <c r="M1144" s="455"/>
      <c r="N1144" s="456">
        <v>75139.7</v>
      </c>
      <c r="O1144" s="457"/>
      <c r="P1144" s="430"/>
    </row>
    <row r="1145" spans="1:16" ht="13.9" hidden="1" customHeight="1" outlineLevel="3" x14ac:dyDescent="0.2">
      <c r="A1145" s="233">
        <v>0</v>
      </c>
      <c r="B1145" s="233">
        <v>8</v>
      </c>
      <c r="C1145" s="233">
        <v>14</v>
      </c>
      <c r="D1145" s="234">
        <v>3</v>
      </c>
      <c r="E1145" s="234">
        <v>1</v>
      </c>
      <c r="G1145" s="500" t="s">
        <v>1256</v>
      </c>
      <c r="H1145" s="459" t="s">
        <v>1238</v>
      </c>
      <c r="I1145" s="460" t="s">
        <v>4442</v>
      </c>
      <c r="J1145" s="461" t="s">
        <v>2801</v>
      </c>
      <c r="K1145" s="462" t="s">
        <v>1129</v>
      </c>
      <c r="L1145" s="463">
        <v>1</v>
      </c>
      <c r="M1145" s="463">
        <v>75139.7</v>
      </c>
      <c r="N1145" s="464">
        <v>75139.7</v>
      </c>
      <c r="O1145" s="465" t="s">
        <v>2323</v>
      </c>
      <c r="P1145" s="431" t="s">
        <v>6711</v>
      </c>
    </row>
    <row r="1146" spans="1:16" ht="13.9" hidden="1" customHeight="1" outlineLevel="2" x14ac:dyDescent="0.2">
      <c r="A1146" s="233">
        <v>0</v>
      </c>
      <c r="B1146" s="233">
        <v>8</v>
      </c>
      <c r="C1146" s="233">
        <v>14</v>
      </c>
      <c r="D1146" s="234">
        <v>4</v>
      </c>
      <c r="E1146" s="234">
        <v>0</v>
      </c>
      <c r="G1146" s="450"/>
      <c r="H1146" s="451" t="s">
        <v>1237</v>
      </c>
      <c r="I1146" s="452" t="s">
        <v>4443</v>
      </c>
      <c r="J1146" s="453" t="s">
        <v>2332</v>
      </c>
      <c r="K1146" s="454"/>
      <c r="L1146" s="455"/>
      <c r="M1146" s="455"/>
      <c r="N1146" s="456">
        <v>133997.35999999999</v>
      </c>
      <c r="O1146" s="457"/>
      <c r="P1146" s="430"/>
    </row>
    <row r="1147" spans="1:16" ht="13.9" hidden="1" customHeight="1" outlineLevel="3" x14ac:dyDescent="0.2">
      <c r="A1147" s="233">
        <v>0</v>
      </c>
      <c r="B1147" s="233">
        <v>8</v>
      </c>
      <c r="C1147" s="233">
        <v>14</v>
      </c>
      <c r="D1147" s="234">
        <v>4</v>
      </c>
      <c r="E1147" s="234">
        <v>1</v>
      </c>
      <c r="G1147" s="500" t="s">
        <v>1256</v>
      </c>
      <c r="H1147" s="459" t="s">
        <v>1238</v>
      </c>
      <c r="I1147" s="460" t="s">
        <v>4444</v>
      </c>
      <c r="J1147" s="461" t="s">
        <v>2332</v>
      </c>
      <c r="K1147" s="462" t="s">
        <v>1129</v>
      </c>
      <c r="L1147" s="463">
        <v>1</v>
      </c>
      <c r="M1147" s="463">
        <v>133997.36000000002</v>
      </c>
      <c r="N1147" s="464">
        <v>133997.35999999999</v>
      </c>
      <c r="O1147" s="465" t="s">
        <v>2799</v>
      </c>
      <c r="P1147" s="431" t="s">
        <v>6711</v>
      </c>
    </row>
    <row r="1148" spans="1:16" ht="13.9" hidden="1" customHeight="1" outlineLevel="2" x14ac:dyDescent="0.2">
      <c r="A1148" s="233">
        <v>0</v>
      </c>
      <c r="B1148" s="233">
        <v>8</v>
      </c>
      <c r="C1148" s="233">
        <v>14</v>
      </c>
      <c r="D1148" s="234">
        <v>5</v>
      </c>
      <c r="E1148" s="234">
        <v>0</v>
      </c>
      <c r="G1148" s="450"/>
      <c r="H1148" s="451" t="s">
        <v>1237</v>
      </c>
      <c r="I1148" s="452" t="s">
        <v>4445</v>
      </c>
      <c r="J1148" s="453" t="s">
        <v>2241</v>
      </c>
      <c r="K1148" s="454"/>
      <c r="L1148" s="455"/>
      <c r="M1148" s="455"/>
      <c r="N1148" s="456">
        <v>3782.9432999999999</v>
      </c>
      <c r="O1148" s="457"/>
      <c r="P1148" s="430"/>
    </row>
    <row r="1149" spans="1:16" ht="13.9" hidden="1" customHeight="1" outlineLevel="3" x14ac:dyDescent="0.2">
      <c r="A1149" s="233">
        <v>0</v>
      </c>
      <c r="B1149" s="233">
        <v>8</v>
      </c>
      <c r="C1149" s="233">
        <v>14</v>
      </c>
      <c r="D1149" s="234">
        <v>5</v>
      </c>
      <c r="E1149" s="234">
        <v>1</v>
      </c>
      <c r="G1149" s="500" t="s">
        <v>1256</v>
      </c>
      <c r="H1149" s="459" t="s">
        <v>1238</v>
      </c>
      <c r="I1149" s="460" t="s">
        <v>4446</v>
      </c>
      <c r="J1149" s="461" t="s">
        <v>2241</v>
      </c>
      <c r="K1149" s="462" t="s">
        <v>1129</v>
      </c>
      <c r="L1149" s="463">
        <v>1</v>
      </c>
      <c r="M1149" s="463">
        <v>3782.9432999999999</v>
      </c>
      <c r="N1149" s="464">
        <v>3782.9432999999999</v>
      </c>
      <c r="O1149" s="465" t="s">
        <v>2323</v>
      </c>
      <c r="P1149" s="431" t="s">
        <v>6711</v>
      </c>
    </row>
    <row r="1150" spans="1:16" ht="13.9" hidden="1" customHeight="1" outlineLevel="2" x14ac:dyDescent="0.2">
      <c r="A1150" s="233">
        <v>0</v>
      </c>
      <c r="B1150" s="233">
        <v>8</v>
      </c>
      <c r="C1150" s="233">
        <v>14</v>
      </c>
      <c r="D1150" s="234">
        <v>6</v>
      </c>
      <c r="E1150" s="234">
        <v>0</v>
      </c>
      <c r="G1150" s="450"/>
      <c r="H1150" s="451" t="s">
        <v>1237</v>
      </c>
      <c r="I1150" s="452" t="s">
        <v>4447</v>
      </c>
      <c r="J1150" s="453" t="s">
        <v>2240</v>
      </c>
      <c r="K1150" s="454"/>
      <c r="L1150" s="455"/>
      <c r="M1150" s="455"/>
      <c r="N1150" s="456">
        <v>8760</v>
      </c>
      <c r="O1150" s="457"/>
      <c r="P1150" s="430"/>
    </row>
    <row r="1151" spans="1:16" ht="13.9" hidden="1" customHeight="1" outlineLevel="3" x14ac:dyDescent="0.2">
      <c r="A1151" s="233">
        <v>0</v>
      </c>
      <c r="B1151" s="233">
        <v>8</v>
      </c>
      <c r="C1151" s="233">
        <v>14</v>
      </c>
      <c r="D1151" s="234">
        <v>6</v>
      </c>
      <c r="E1151" s="234">
        <v>1</v>
      </c>
      <c r="G1151" s="500" t="s">
        <v>1256</v>
      </c>
      <c r="H1151" s="459" t="s">
        <v>1238</v>
      </c>
      <c r="I1151" s="460" t="s">
        <v>4448</v>
      </c>
      <c r="J1151" s="461" t="s">
        <v>2240</v>
      </c>
      <c r="K1151" s="462" t="s">
        <v>1129</v>
      </c>
      <c r="L1151" s="463">
        <v>1</v>
      </c>
      <c r="M1151" s="463">
        <v>8760</v>
      </c>
      <c r="N1151" s="464">
        <v>8760</v>
      </c>
      <c r="O1151" s="465" t="s">
        <v>2323</v>
      </c>
      <c r="P1151" s="431" t="s">
        <v>6711</v>
      </c>
    </row>
    <row r="1152" spans="1:16" ht="13.9" hidden="1" customHeight="1" outlineLevel="2" x14ac:dyDescent="0.2">
      <c r="A1152" s="233">
        <v>0</v>
      </c>
      <c r="B1152" s="233">
        <v>8</v>
      </c>
      <c r="C1152" s="233">
        <v>14</v>
      </c>
      <c r="D1152" s="234">
        <v>7</v>
      </c>
      <c r="E1152" s="234">
        <v>0</v>
      </c>
      <c r="G1152" s="450"/>
      <c r="H1152" s="451" t="s">
        <v>1237</v>
      </c>
      <c r="I1152" s="452" t="s">
        <v>4449</v>
      </c>
      <c r="J1152" s="453" t="s">
        <v>14</v>
      </c>
      <c r="K1152" s="454"/>
      <c r="L1152" s="455"/>
      <c r="M1152" s="455"/>
      <c r="N1152" s="456">
        <v>1394</v>
      </c>
      <c r="O1152" s="457"/>
      <c r="P1152" s="430"/>
    </row>
    <row r="1153" spans="1:16" ht="13.9" hidden="1" customHeight="1" outlineLevel="3" x14ac:dyDescent="0.2">
      <c r="A1153" s="233">
        <v>0</v>
      </c>
      <c r="B1153" s="233">
        <v>8</v>
      </c>
      <c r="C1153" s="233">
        <v>14</v>
      </c>
      <c r="D1153" s="234">
        <v>7</v>
      </c>
      <c r="E1153" s="234">
        <v>1</v>
      </c>
      <c r="G1153" s="500" t="s">
        <v>1256</v>
      </c>
      <c r="H1153" s="459" t="s">
        <v>1238</v>
      </c>
      <c r="I1153" s="460" t="s">
        <v>4450</v>
      </c>
      <c r="J1153" s="461" t="s">
        <v>1257</v>
      </c>
      <c r="K1153" s="462" t="s">
        <v>1129</v>
      </c>
      <c r="L1153" s="463">
        <v>1</v>
      </c>
      <c r="M1153" s="463">
        <v>1394</v>
      </c>
      <c r="N1153" s="464">
        <v>1394</v>
      </c>
      <c r="O1153" s="475" t="s">
        <v>2333</v>
      </c>
      <c r="P1153" s="431" t="s">
        <v>6711</v>
      </c>
    </row>
    <row r="1154" spans="1:16" ht="13.9" customHeight="1" collapsed="1" x14ac:dyDescent="0.2">
      <c r="A1154" s="233">
        <v>0</v>
      </c>
      <c r="B1154" s="233">
        <v>9</v>
      </c>
      <c r="C1154" s="233">
        <v>0</v>
      </c>
      <c r="D1154" s="234">
        <v>7</v>
      </c>
      <c r="E1154" s="234">
        <v>1</v>
      </c>
      <c r="F1154" s="237"/>
      <c r="G1154" s="436"/>
      <c r="H1154" s="437" t="s">
        <v>1236</v>
      </c>
      <c r="I1154" s="438" t="s">
        <v>4451</v>
      </c>
      <c r="J1154" s="439" t="s">
        <v>18</v>
      </c>
      <c r="K1154" s="440"/>
      <c r="L1154" s="441"/>
      <c r="M1154" s="441"/>
      <c r="N1154" s="442">
        <v>250000</v>
      </c>
      <c r="O1154" s="480">
        <v>14.9256671922492</v>
      </c>
      <c r="P1154" s="433"/>
    </row>
    <row r="1155" spans="1:16" ht="13.9" hidden="1" customHeight="1" outlineLevel="1" x14ac:dyDescent="0.2">
      <c r="A1155" s="233">
        <v>0</v>
      </c>
      <c r="B1155" s="233">
        <v>9</v>
      </c>
      <c r="C1155" s="233">
        <v>1</v>
      </c>
      <c r="D1155" s="234">
        <v>0</v>
      </c>
      <c r="E1155" s="234">
        <v>1</v>
      </c>
      <c r="G1155" s="443"/>
      <c r="H1155" s="444" t="s">
        <v>38</v>
      </c>
      <c r="I1155" s="445" t="s">
        <v>4452</v>
      </c>
      <c r="J1155" s="446" t="s">
        <v>2756</v>
      </c>
      <c r="K1155" s="447"/>
      <c r="L1155" s="448"/>
      <c r="M1155" s="448"/>
      <c r="N1155" s="449">
        <v>26282.604474772699</v>
      </c>
      <c r="O1155" s="502"/>
      <c r="P1155" s="435"/>
    </row>
    <row r="1156" spans="1:16" ht="13.9" hidden="1" customHeight="1" outlineLevel="2" x14ac:dyDescent="0.2">
      <c r="A1156" s="233">
        <v>0</v>
      </c>
      <c r="B1156" s="233">
        <v>9</v>
      </c>
      <c r="C1156" s="233">
        <v>1</v>
      </c>
      <c r="D1156" s="234">
        <v>1</v>
      </c>
      <c r="E1156" s="234">
        <v>0</v>
      </c>
      <c r="G1156" s="474"/>
      <c r="H1156" s="451" t="s">
        <v>1237</v>
      </c>
      <c r="I1156" s="452" t="s">
        <v>4453</v>
      </c>
      <c r="J1156" s="453" t="s">
        <v>2334</v>
      </c>
      <c r="K1156" s="454"/>
      <c r="L1156" s="455"/>
      <c r="M1156" s="455"/>
      <c r="N1156" s="456">
        <v>1013.3124919985401</v>
      </c>
      <c r="O1156" s="472"/>
      <c r="P1156" s="430"/>
    </row>
    <row r="1157" spans="1:16" ht="13.9" hidden="1" customHeight="1" outlineLevel="3" x14ac:dyDescent="0.2">
      <c r="A1157" s="233">
        <v>0</v>
      </c>
      <c r="B1157" s="233">
        <v>9</v>
      </c>
      <c r="C1157" s="233">
        <v>1</v>
      </c>
      <c r="D1157" s="234">
        <v>1</v>
      </c>
      <c r="E1157" s="234">
        <v>1</v>
      </c>
      <c r="G1157" s="458" t="s">
        <v>18</v>
      </c>
      <c r="H1157" s="459" t="s">
        <v>1238</v>
      </c>
      <c r="I1157" s="460" t="s">
        <v>4454</v>
      </c>
      <c r="J1157" s="461" t="s">
        <v>2334</v>
      </c>
      <c r="K1157" s="462" t="s">
        <v>1129</v>
      </c>
      <c r="L1157" s="463">
        <v>1</v>
      </c>
      <c r="M1157" s="463">
        <v>1013.3124919985378</v>
      </c>
      <c r="N1157" s="464">
        <v>1013.3124919985401</v>
      </c>
      <c r="O1157" s="471" t="s">
        <v>3000</v>
      </c>
      <c r="P1157" s="431" t="s">
        <v>6711</v>
      </c>
    </row>
    <row r="1158" spans="1:16" ht="13.9" hidden="1" customHeight="1" outlineLevel="2" x14ac:dyDescent="0.2">
      <c r="A1158" s="233">
        <v>0</v>
      </c>
      <c r="B1158" s="233">
        <v>9</v>
      </c>
      <c r="C1158" s="233">
        <v>1</v>
      </c>
      <c r="D1158" s="234">
        <v>2</v>
      </c>
      <c r="E1158" s="234">
        <v>0</v>
      </c>
      <c r="G1158" s="474"/>
      <c r="H1158" s="451" t="s">
        <v>1237</v>
      </c>
      <c r="I1158" s="452" t="s">
        <v>4455</v>
      </c>
      <c r="J1158" s="453" t="s">
        <v>2755</v>
      </c>
      <c r="K1158" s="454"/>
      <c r="L1158" s="455"/>
      <c r="M1158" s="455"/>
      <c r="N1158" s="456">
        <v>22367.255954230201</v>
      </c>
      <c r="O1158" s="472"/>
      <c r="P1158" s="430"/>
    </row>
    <row r="1159" spans="1:16" ht="13.9" hidden="1" customHeight="1" outlineLevel="3" x14ac:dyDescent="0.2">
      <c r="A1159" s="233">
        <v>0</v>
      </c>
      <c r="B1159" s="233">
        <v>9</v>
      </c>
      <c r="C1159" s="233">
        <v>1</v>
      </c>
      <c r="D1159" s="234">
        <v>2</v>
      </c>
      <c r="E1159" s="234">
        <v>1</v>
      </c>
      <c r="G1159" s="458" t="s">
        <v>18</v>
      </c>
      <c r="H1159" s="459" t="s">
        <v>1238</v>
      </c>
      <c r="I1159" s="460" t="s">
        <v>4456</v>
      </c>
      <c r="J1159" s="461" t="s">
        <v>2755</v>
      </c>
      <c r="K1159" s="462" t="s">
        <v>1129</v>
      </c>
      <c r="L1159" s="463">
        <v>1</v>
      </c>
      <c r="M1159" s="463">
        <v>22367.255954230244</v>
      </c>
      <c r="N1159" s="464">
        <v>22367.255954230201</v>
      </c>
      <c r="O1159" s="471" t="s">
        <v>3000</v>
      </c>
      <c r="P1159" s="431" t="s">
        <v>6711</v>
      </c>
    </row>
    <row r="1160" spans="1:16" ht="13.9" hidden="1" customHeight="1" outlineLevel="2" x14ac:dyDescent="0.2">
      <c r="A1160" s="233">
        <v>0</v>
      </c>
      <c r="B1160" s="233">
        <v>9</v>
      </c>
      <c r="C1160" s="233">
        <v>1</v>
      </c>
      <c r="D1160" s="234">
        <v>3</v>
      </c>
      <c r="E1160" s="234">
        <v>0</v>
      </c>
      <c r="G1160" s="474"/>
      <c r="H1160" s="451" t="s">
        <v>1237</v>
      </c>
      <c r="I1160" s="452" t="s">
        <v>4457</v>
      </c>
      <c r="J1160" s="453" t="s">
        <v>14</v>
      </c>
      <c r="K1160" s="454"/>
      <c r="L1160" s="455"/>
      <c r="M1160" s="455"/>
      <c r="N1160" s="456">
        <v>2902.0360285438901</v>
      </c>
      <c r="O1160" s="472"/>
      <c r="P1160" s="430"/>
    </row>
    <row r="1161" spans="1:16" ht="13.9" hidden="1" customHeight="1" outlineLevel="3" x14ac:dyDescent="0.2">
      <c r="A1161" s="233">
        <v>0</v>
      </c>
      <c r="B1161" s="233">
        <v>9</v>
      </c>
      <c r="C1161" s="233">
        <v>1</v>
      </c>
      <c r="D1161" s="234">
        <v>3</v>
      </c>
      <c r="E1161" s="234">
        <v>1</v>
      </c>
      <c r="G1161" s="458" t="s">
        <v>18</v>
      </c>
      <c r="H1161" s="459" t="s">
        <v>1238</v>
      </c>
      <c r="I1161" s="460" t="s">
        <v>4458</v>
      </c>
      <c r="J1161" s="461" t="s">
        <v>1258</v>
      </c>
      <c r="K1161" s="462" t="s">
        <v>1129</v>
      </c>
      <c r="L1161" s="463">
        <v>1</v>
      </c>
      <c r="M1161" s="463">
        <v>2902.0360285438901</v>
      </c>
      <c r="N1161" s="464">
        <v>2902.0360285438901</v>
      </c>
      <c r="O1161" s="471" t="s">
        <v>3000</v>
      </c>
      <c r="P1161" s="431" t="s">
        <v>6711</v>
      </c>
    </row>
    <row r="1162" spans="1:16" ht="13.9" hidden="1" customHeight="1" outlineLevel="1" x14ac:dyDescent="0.2">
      <c r="A1162" s="233">
        <v>0</v>
      </c>
      <c r="B1162" s="233">
        <v>9</v>
      </c>
      <c r="C1162" s="233">
        <v>2</v>
      </c>
      <c r="D1162" s="234">
        <v>0</v>
      </c>
      <c r="E1162" s="234">
        <v>1</v>
      </c>
      <c r="G1162" s="443"/>
      <c r="H1162" s="444" t="s">
        <v>38</v>
      </c>
      <c r="I1162" s="445" t="s">
        <v>4459</v>
      </c>
      <c r="J1162" s="446" t="s">
        <v>2757</v>
      </c>
      <c r="K1162" s="447"/>
      <c r="L1162" s="448"/>
      <c r="M1162" s="448"/>
      <c r="N1162" s="449">
        <v>5591.4490962267</v>
      </c>
      <c r="O1162" s="502"/>
      <c r="P1162" s="435"/>
    </row>
    <row r="1163" spans="1:16" ht="13.9" hidden="1" customHeight="1" outlineLevel="2" x14ac:dyDescent="0.2">
      <c r="A1163" s="233">
        <v>0</v>
      </c>
      <c r="B1163" s="233">
        <v>9</v>
      </c>
      <c r="C1163" s="233">
        <v>2</v>
      </c>
      <c r="D1163" s="234">
        <v>1</v>
      </c>
      <c r="E1163" s="234">
        <v>0</v>
      </c>
      <c r="G1163" s="474"/>
      <c r="H1163" s="451" t="s">
        <v>1237</v>
      </c>
      <c r="I1163" s="452" t="s">
        <v>4460</v>
      </c>
      <c r="J1163" s="453" t="s">
        <v>2755</v>
      </c>
      <c r="K1163" s="454"/>
      <c r="L1163" s="455"/>
      <c r="M1163" s="455"/>
      <c r="N1163" s="456">
        <v>2628.12328589769</v>
      </c>
      <c r="O1163" s="472"/>
      <c r="P1163" s="430"/>
    </row>
    <row r="1164" spans="1:16" ht="13.9" hidden="1" customHeight="1" outlineLevel="3" x14ac:dyDescent="0.2">
      <c r="A1164" s="233">
        <v>0</v>
      </c>
      <c r="B1164" s="233">
        <v>9</v>
      </c>
      <c r="C1164" s="233">
        <v>2</v>
      </c>
      <c r="D1164" s="234">
        <v>1</v>
      </c>
      <c r="E1164" s="234">
        <v>1</v>
      </c>
      <c r="G1164" s="458" t="s">
        <v>18</v>
      </c>
      <c r="H1164" s="459" t="s">
        <v>1238</v>
      </c>
      <c r="I1164" s="460" t="s">
        <v>4461</v>
      </c>
      <c r="J1164" s="461" t="s">
        <v>2755</v>
      </c>
      <c r="K1164" s="462" t="s">
        <v>1129</v>
      </c>
      <c r="L1164" s="463">
        <v>1</v>
      </c>
      <c r="M1164" s="463">
        <v>2628.1232858976855</v>
      </c>
      <c r="N1164" s="464">
        <v>2628.12328589769</v>
      </c>
      <c r="O1164" s="471" t="s">
        <v>3000</v>
      </c>
      <c r="P1164" s="431" t="s">
        <v>6711</v>
      </c>
    </row>
    <row r="1165" spans="1:16" ht="13.9" hidden="1" customHeight="1" outlineLevel="2" x14ac:dyDescent="0.2">
      <c r="A1165" s="233">
        <v>0</v>
      </c>
      <c r="B1165" s="233">
        <v>9</v>
      </c>
      <c r="C1165" s="233">
        <v>2</v>
      </c>
      <c r="D1165" s="234">
        <v>2</v>
      </c>
      <c r="E1165" s="234">
        <v>0</v>
      </c>
      <c r="G1165" s="474"/>
      <c r="H1165" s="451" t="s">
        <v>1237</v>
      </c>
      <c r="I1165" s="452" t="s">
        <v>4462</v>
      </c>
      <c r="J1165" s="453" t="s">
        <v>14</v>
      </c>
      <c r="K1165" s="454"/>
      <c r="L1165" s="455"/>
      <c r="M1165" s="455"/>
      <c r="N1165" s="456">
        <v>2963.32581032901</v>
      </c>
      <c r="O1165" s="472"/>
      <c r="P1165" s="430"/>
    </row>
    <row r="1166" spans="1:16" ht="13.9" hidden="1" customHeight="1" outlineLevel="3" x14ac:dyDescent="0.2">
      <c r="A1166" s="233">
        <v>0</v>
      </c>
      <c r="B1166" s="233">
        <v>9</v>
      </c>
      <c r="C1166" s="233">
        <v>2</v>
      </c>
      <c r="D1166" s="234">
        <v>2</v>
      </c>
      <c r="E1166" s="234">
        <v>1</v>
      </c>
      <c r="G1166" s="458" t="s">
        <v>18</v>
      </c>
      <c r="H1166" s="459" t="s">
        <v>1238</v>
      </c>
      <c r="I1166" s="460" t="s">
        <v>4463</v>
      </c>
      <c r="J1166" s="461" t="s">
        <v>1258</v>
      </c>
      <c r="K1166" s="462" t="s">
        <v>1129</v>
      </c>
      <c r="L1166" s="463">
        <v>1</v>
      </c>
      <c r="M1166" s="463">
        <v>2963.3258103290132</v>
      </c>
      <c r="N1166" s="464">
        <v>2963.32581032901</v>
      </c>
      <c r="O1166" s="471" t="s">
        <v>3000</v>
      </c>
      <c r="P1166" s="431" t="s">
        <v>6711</v>
      </c>
    </row>
    <row r="1167" spans="1:16" ht="13.9" hidden="1" customHeight="1" outlineLevel="1" x14ac:dyDescent="0.2">
      <c r="A1167" s="233">
        <v>0</v>
      </c>
      <c r="B1167" s="233">
        <v>9</v>
      </c>
      <c r="C1167" s="233">
        <v>3</v>
      </c>
      <c r="D1167" s="234">
        <v>0</v>
      </c>
      <c r="E1167" s="234">
        <v>1</v>
      </c>
      <c r="G1167" s="443"/>
      <c r="H1167" s="444" t="s">
        <v>38</v>
      </c>
      <c r="I1167" s="445" t="s">
        <v>4464</v>
      </c>
      <c r="J1167" s="446" t="s">
        <v>2758</v>
      </c>
      <c r="K1167" s="447"/>
      <c r="L1167" s="448"/>
      <c r="M1167" s="448"/>
      <c r="N1167" s="449">
        <v>27552.957507340099</v>
      </c>
      <c r="O1167" s="502"/>
      <c r="P1167" s="435"/>
    </row>
    <row r="1168" spans="1:16" ht="13.9" hidden="1" customHeight="1" outlineLevel="2" x14ac:dyDescent="0.2">
      <c r="A1168" s="233">
        <v>0</v>
      </c>
      <c r="B1168" s="233">
        <v>9</v>
      </c>
      <c r="C1168" s="233">
        <v>3</v>
      </c>
      <c r="D1168" s="234">
        <v>1</v>
      </c>
      <c r="E1168" s="234">
        <v>0</v>
      </c>
      <c r="G1168" s="474"/>
      <c r="H1168" s="451" t="s">
        <v>1237</v>
      </c>
      <c r="I1168" s="452" t="s">
        <v>4465</v>
      </c>
      <c r="J1168" s="453" t="s">
        <v>2755</v>
      </c>
      <c r="K1168" s="454"/>
      <c r="L1168" s="455"/>
      <c r="M1168" s="455"/>
      <c r="N1168" s="456">
        <v>24303.526409076301</v>
      </c>
      <c r="O1168" s="472"/>
      <c r="P1168" s="430"/>
    </row>
    <row r="1169" spans="1:16" ht="13.9" hidden="1" customHeight="1" outlineLevel="3" x14ac:dyDescent="0.2">
      <c r="A1169" s="233">
        <v>0</v>
      </c>
      <c r="B1169" s="233">
        <v>9</v>
      </c>
      <c r="C1169" s="233">
        <v>3</v>
      </c>
      <c r="D1169" s="234">
        <v>1</v>
      </c>
      <c r="E1169" s="234">
        <v>1</v>
      </c>
      <c r="G1169" s="458" t="s">
        <v>18</v>
      </c>
      <c r="H1169" s="459" t="s">
        <v>1238</v>
      </c>
      <c r="I1169" s="460" t="s">
        <v>4466</v>
      </c>
      <c r="J1169" s="461" t="s">
        <v>2755</v>
      </c>
      <c r="K1169" s="462" t="s">
        <v>1129</v>
      </c>
      <c r="L1169" s="463">
        <v>1</v>
      </c>
      <c r="M1169" s="463">
        <v>24303.526409076258</v>
      </c>
      <c r="N1169" s="464">
        <v>24303.526409076301</v>
      </c>
      <c r="O1169" s="471" t="s">
        <v>3000</v>
      </c>
      <c r="P1169" s="431" t="s">
        <v>6711</v>
      </c>
    </row>
    <row r="1170" spans="1:16" ht="13.9" hidden="1" customHeight="1" outlineLevel="2" x14ac:dyDescent="0.2">
      <c r="A1170" s="233">
        <v>0</v>
      </c>
      <c r="B1170" s="233">
        <v>9</v>
      </c>
      <c r="C1170" s="233">
        <v>3</v>
      </c>
      <c r="D1170" s="234">
        <v>2</v>
      </c>
      <c r="E1170" s="234">
        <v>0</v>
      </c>
      <c r="G1170" s="474"/>
      <c r="H1170" s="451" t="s">
        <v>1237</v>
      </c>
      <c r="I1170" s="452" t="s">
        <v>4467</v>
      </c>
      <c r="J1170" s="453" t="s">
        <v>14</v>
      </c>
      <c r="K1170" s="454"/>
      <c r="L1170" s="455"/>
      <c r="M1170" s="455"/>
      <c r="N1170" s="456">
        <v>3249.4310982637899</v>
      </c>
      <c r="O1170" s="472"/>
      <c r="P1170" s="430"/>
    </row>
    <row r="1171" spans="1:16" ht="13.9" hidden="1" customHeight="1" outlineLevel="3" x14ac:dyDescent="0.2">
      <c r="A1171" s="233">
        <v>0</v>
      </c>
      <c r="B1171" s="233">
        <v>9</v>
      </c>
      <c r="C1171" s="233">
        <v>3</v>
      </c>
      <c r="D1171" s="234">
        <v>2</v>
      </c>
      <c r="E1171" s="234">
        <v>1</v>
      </c>
      <c r="G1171" s="458" t="s">
        <v>18</v>
      </c>
      <c r="H1171" s="459" t="s">
        <v>1238</v>
      </c>
      <c r="I1171" s="460" t="s">
        <v>4468</v>
      </c>
      <c r="J1171" s="461" t="s">
        <v>1258</v>
      </c>
      <c r="K1171" s="462" t="s">
        <v>1129</v>
      </c>
      <c r="L1171" s="463">
        <v>1</v>
      </c>
      <c r="M1171" s="463">
        <v>3249.431098263794</v>
      </c>
      <c r="N1171" s="464">
        <v>3249.4310982637899</v>
      </c>
      <c r="O1171" s="471" t="s">
        <v>3000</v>
      </c>
      <c r="P1171" s="431" t="s">
        <v>6711</v>
      </c>
    </row>
    <row r="1172" spans="1:16" ht="13.9" hidden="1" customHeight="1" outlineLevel="1" x14ac:dyDescent="0.2">
      <c r="A1172" s="233">
        <v>0</v>
      </c>
      <c r="B1172" s="233">
        <v>9</v>
      </c>
      <c r="C1172" s="233">
        <v>4</v>
      </c>
      <c r="D1172" s="234">
        <v>0</v>
      </c>
      <c r="E1172" s="234">
        <v>1</v>
      </c>
      <c r="G1172" s="443"/>
      <c r="H1172" s="444" t="s">
        <v>38</v>
      </c>
      <c r="I1172" s="445" t="s">
        <v>4469</v>
      </c>
      <c r="J1172" s="446" t="s">
        <v>2759</v>
      </c>
      <c r="K1172" s="447"/>
      <c r="L1172" s="448"/>
      <c r="M1172" s="448"/>
      <c r="N1172" s="449">
        <v>4125.4721935630196</v>
      </c>
      <c r="O1172" s="502"/>
      <c r="P1172" s="435"/>
    </row>
    <row r="1173" spans="1:16" ht="13.9" hidden="1" customHeight="1" outlineLevel="2" x14ac:dyDescent="0.2">
      <c r="A1173" s="233">
        <v>0</v>
      </c>
      <c r="B1173" s="233">
        <v>9</v>
      </c>
      <c r="C1173" s="233">
        <v>4</v>
      </c>
      <c r="D1173" s="234">
        <v>1</v>
      </c>
      <c r="E1173" s="234">
        <v>0</v>
      </c>
      <c r="G1173" s="474"/>
      <c r="H1173" s="451" t="s">
        <v>1237</v>
      </c>
      <c r="I1173" s="452" t="s">
        <v>4470</v>
      </c>
      <c r="J1173" s="453" t="s">
        <v>2755</v>
      </c>
      <c r="K1173" s="454"/>
      <c r="L1173" s="455"/>
      <c r="M1173" s="455"/>
      <c r="N1173" s="456">
        <v>876.04109529922903</v>
      </c>
      <c r="O1173" s="472"/>
      <c r="P1173" s="430"/>
    </row>
    <row r="1174" spans="1:16" ht="13.9" hidden="1" customHeight="1" outlineLevel="3" x14ac:dyDescent="0.2">
      <c r="A1174" s="233">
        <v>0</v>
      </c>
      <c r="B1174" s="233">
        <v>9</v>
      </c>
      <c r="C1174" s="233">
        <v>4</v>
      </c>
      <c r="D1174" s="234">
        <v>1</v>
      </c>
      <c r="E1174" s="234">
        <v>1</v>
      </c>
      <c r="G1174" s="458" t="s">
        <v>18</v>
      </c>
      <c r="H1174" s="459" t="s">
        <v>1238</v>
      </c>
      <c r="I1174" s="460" t="s">
        <v>4471</v>
      </c>
      <c r="J1174" s="461" t="s">
        <v>2755</v>
      </c>
      <c r="K1174" s="462" t="s">
        <v>1129</v>
      </c>
      <c r="L1174" s="463">
        <v>1</v>
      </c>
      <c r="M1174" s="463">
        <v>876.04109529922857</v>
      </c>
      <c r="N1174" s="464">
        <v>876.04109529922903</v>
      </c>
      <c r="O1174" s="471" t="s">
        <v>3000</v>
      </c>
      <c r="P1174" s="431" t="s">
        <v>6711</v>
      </c>
    </row>
    <row r="1175" spans="1:16" ht="13.9" hidden="1" customHeight="1" outlineLevel="2" x14ac:dyDescent="0.2">
      <c r="A1175" s="233">
        <v>0</v>
      </c>
      <c r="B1175" s="233">
        <v>9</v>
      </c>
      <c r="C1175" s="233">
        <v>4</v>
      </c>
      <c r="D1175" s="234">
        <v>2</v>
      </c>
      <c r="E1175" s="234">
        <v>0</v>
      </c>
      <c r="G1175" s="474"/>
      <c r="H1175" s="451" t="s">
        <v>1237</v>
      </c>
      <c r="I1175" s="452" t="s">
        <v>4472</v>
      </c>
      <c r="J1175" s="453" t="s">
        <v>14</v>
      </c>
      <c r="K1175" s="454"/>
      <c r="L1175" s="455"/>
      <c r="M1175" s="455"/>
      <c r="N1175" s="456">
        <v>3249.4310982637899</v>
      </c>
      <c r="O1175" s="472"/>
      <c r="P1175" s="430"/>
    </row>
    <row r="1176" spans="1:16" ht="13.9" hidden="1" customHeight="1" outlineLevel="3" x14ac:dyDescent="0.2">
      <c r="A1176" s="233">
        <v>0</v>
      </c>
      <c r="B1176" s="233">
        <v>9</v>
      </c>
      <c r="C1176" s="233">
        <v>4</v>
      </c>
      <c r="D1176" s="234">
        <v>2</v>
      </c>
      <c r="E1176" s="234">
        <v>1</v>
      </c>
      <c r="G1176" s="458" t="s">
        <v>18</v>
      </c>
      <c r="H1176" s="459" t="s">
        <v>1238</v>
      </c>
      <c r="I1176" s="460" t="s">
        <v>4473</v>
      </c>
      <c r="J1176" s="461" t="s">
        <v>1258</v>
      </c>
      <c r="K1176" s="462" t="s">
        <v>1129</v>
      </c>
      <c r="L1176" s="463">
        <v>1</v>
      </c>
      <c r="M1176" s="463">
        <v>3249.431098263794</v>
      </c>
      <c r="N1176" s="464">
        <v>3249.4310982637899</v>
      </c>
      <c r="O1176" s="471" t="s">
        <v>3000</v>
      </c>
      <c r="P1176" s="431" t="s">
        <v>6711</v>
      </c>
    </row>
    <row r="1177" spans="1:16" ht="13.9" hidden="1" customHeight="1" outlineLevel="1" x14ac:dyDescent="0.2">
      <c r="A1177" s="233">
        <v>0</v>
      </c>
      <c r="B1177" s="233">
        <v>9</v>
      </c>
      <c r="C1177" s="233">
        <v>5</v>
      </c>
      <c r="D1177" s="234">
        <v>0</v>
      </c>
      <c r="E1177" s="234">
        <v>1</v>
      </c>
      <c r="G1177" s="443"/>
      <c r="H1177" s="444" t="s">
        <v>38</v>
      </c>
      <c r="I1177" s="445" t="s">
        <v>4474</v>
      </c>
      <c r="J1177" s="446" t="s">
        <v>2760</v>
      </c>
      <c r="K1177" s="447"/>
      <c r="L1177" s="448"/>
      <c r="M1177" s="448"/>
      <c r="N1177" s="449">
        <v>4178.22933507993</v>
      </c>
      <c r="O1177" s="502"/>
      <c r="P1177" s="435"/>
    </row>
    <row r="1178" spans="1:16" ht="13.9" hidden="1" customHeight="1" outlineLevel="2" x14ac:dyDescent="0.2">
      <c r="A1178" s="233">
        <v>0</v>
      </c>
      <c r="B1178" s="233">
        <v>9</v>
      </c>
      <c r="C1178" s="233">
        <v>5</v>
      </c>
      <c r="D1178" s="234">
        <v>1</v>
      </c>
      <c r="E1178" s="234">
        <v>0</v>
      </c>
      <c r="G1178" s="474"/>
      <c r="H1178" s="451" t="s">
        <v>1237</v>
      </c>
      <c r="I1178" s="452" t="s">
        <v>4475</v>
      </c>
      <c r="J1178" s="453" t="s">
        <v>2755</v>
      </c>
      <c r="K1178" s="454"/>
      <c r="L1178" s="455"/>
      <c r="M1178" s="455"/>
      <c r="N1178" s="456">
        <v>928.798236816138</v>
      </c>
      <c r="O1178" s="472"/>
      <c r="P1178" s="430"/>
    </row>
    <row r="1179" spans="1:16" ht="13.9" hidden="1" customHeight="1" outlineLevel="3" x14ac:dyDescent="0.2">
      <c r="A1179" s="233">
        <v>0</v>
      </c>
      <c r="B1179" s="233">
        <v>9</v>
      </c>
      <c r="C1179" s="233">
        <v>5</v>
      </c>
      <c r="D1179" s="234">
        <v>1</v>
      </c>
      <c r="E1179" s="234">
        <v>1</v>
      </c>
      <c r="G1179" s="458" t="s">
        <v>18</v>
      </c>
      <c r="H1179" s="459" t="s">
        <v>1238</v>
      </c>
      <c r="I1179" s="460" t="s">
        <v>4476</v>
      </c>
      <c r="J1179" s="461" t="s">
        <v>2755</v>
      </c>
      <c r="K1179" s="462" t="s">
        <v>1129</v>
      </c>
      <c r="L1179" s="463">
        <v>1</v>
      </c>
      <c r="M1179" s="463">
        <v>928.79823681613755</v>
      </c>
      <c r="N1179" s="464">
        <v>928.798236816138</v>
      </c>
      <c r="O1179" s="471" t="s">
        <v>3000</v>
      </c>
      <c r="P1179" s="431" t="s">
        <v>6711</v>
      </c>
    </row>
    <row r="1180" spans="1:16" ht="13.9" hidden="1" customHeight="1" outlineLevel="2" x14ac:dyDescent="0.2">
      <c r="A1180" s="233">
        <v>0</v>
      </c>
      <c r="B1180" s="233">
        <v>9</v>
      </c>
      <c r="C1180" s="233">
        <v>5</v>
      </c>
      <c r="D1180" s="234">
        <v>2</v>
      </c>
      <c r="E1180" s="234">
        <v>0</v>
      </c>
      <c r="G1180" s="474"/>
      <c r="H1180" s="451" t="s">
        <v>1237</v>
      </c>
      <c r="I1180" s="452" t="s">
        <v>4477</v>
      </c>
      <c r="J1180" s="453" t="s">
        <v>14</v>
      </c>
      <c r="K1180" s="454"/>
      <c r="L1180" s="455"/>
      <c r="M1180" s="455"/>
      <c r="N1180" s="456">
        <v>3249.4310982637899</v>
      </c>
      <c r="O1180" s="472"/>
      <c r="P1180" s="430"/>
    </row>
    <row r="1181" spans="1:16" ht="13.9" hidden="1" customHeight="1" outlineLevel="3" x14ac:dyDescent="0.2">
      <c r="A1181" s="233">
        <v>0</v>
      </c>
      <c r="B1181" s="233">
        <v>9</v>
      </c>
      <c r="C1181" s="233">
        <v>5</v>
      </c>
      <c r="D1181" s="234">
        <v>2</v>
      </c>
      <c r="E1181" s="234">
        <v>1</v>
      </c>
      <c r="G1181" s="458" t="s">
        <v>18</v>
      </c>
      <c r="H1181" s="459" t="s">
        <v>1238</v>
      </c>
      <c r="I1181" s="460" t="s">
        <v>4478</v>
      </c>
      <c r="J1181" s="461" t="s">
        <v>1258</v>
      </c>
      <c r="K1181" s="462" t="s">
        <v>1129</v>
      </c>
      <c r="L1181" s="463">
        <v>1</v>
      </c>
      <c r="M1181" s="463">
        <v>3249.431098263794</v>
      </c>
      <c r="N1181" s="464">
        <v>3249.4310982637899</v>
      </c>
      <c r="O1181" s="471" t="s">
        <v>3000</v>
      </c>
      <c r="P1181" s="431" t="s">
        <v>6711</v>
      </c>
    </row>
    <row r="1182" spans="1:16" ht="13.9" hidden="1" customHeight="1" outlineLevel="1" x14ac:dyDescent="0.2">
      <c r="A1182" s="233">
        <v>0</v>
      </c>
      <c r="B1182" s="233">
        <v>9</v>
      </c>
      <c r="C1182" s="233">
        <v>6</v>
      </c>
      <c r="D1182" s="234">
        <v>0</v>
      </c>
      <c r="E1182" s="234">
        <v>1</v>
      </c>
      <c r="G1182" s="443"/>
      <c r="H1182" s="444" t="s">
        <v>38</v>
      </c>
      <c r="I1182" s="445" t="s">
        <v>4479</v>
      </c>
      <c r="J1182" s="446" t="s">
        <v>2761</v>
      </c>
      <c r="K1182" s="447"/>
      <c r="L1182" s="448"/>
      <c r="M1182" s="448"/>
      <c r="N1182" s="449">
        <v>4298.3190950152803</v>
      </c>
      <c r="O1182" s="502"/>
      <c r="P1182" s="435"/>
    </row>
    <row r="1183" spans="1:16" ht="13.9" hidden="1" customHeight="1" outlineLevel="2" x14ac:dyDescent="0.2">
      <c r="A1183" s="233">
        <v>0</v>
      </c>
      <c r="B1183" s="233">
        <v>9</v>
      </c>
      <c r="C1183" s="233">
        <v>6</v>
      </c>
      <c r="D1183" s="234">
        <v>1</v>
      </c>
      <c r="E1183" s="234">
        <v>0</v>
      </c>
      <c r="G1183" s="474"/>
      <c r="H1183" s="451" t="s">
        <v>1237</v>
      </c>
      <c r="I1183" s="452" t="s">
        <v>4480</v>
      </c>
      <c r="J1183" s="453" t="s">
        <v>2755</v>
      </c>
      <c r="K1183" s="454"/>
      <c r="L1183" s="455"/>
      <c r="M1183" s="455"/>
      <c r="N1183" s="456">
        <v>997.28917623836401</v>
      </c>
      <c r="O1183" s="472"/>
      <c r="P1183" s="430"/>
    </row>
    <row r="1184" spans="1:16" ht="13.9" hidden="1" customHeight="1" outlineLevel="3" x14ac:dyDescent="0.2">
      <c r="A1184" s="233">
        <v>0</v>
      </c>
      <c r="B1184" s="233">
        <v>9</v>
      </c>
      <c r="C1184" s="233">
        <v>6</v>
      </c>
      <c r="D1184" s="234">
        <v>1</v>
      </c>
      <c r="E1184" s="234">
        <v>1</v>
      </c>
      <c r="G1184" s="458" t="s">
        <v>18</v>
      </c>
      <c r="H1184" s="459" t="s">
        <v>1238</v>
      </c>
      <c r="I1184" s="460" t="s">
        <v>4481</v>
      </c>
      <c r="J1184" s="461" t="s">
        <v>2755</v>
      </c>
      <c r="K1184" s="462" t="s">
        <v>1129</v>
      </c>
      <c r="L1184" s="463">
        <v>1</v>
      </c>
      <c r="M1184" s="463">
        <v>997.28917623836389</v>
      </c>
      <c r="N1184" s="464">
        <v>997.28917623836401</v>
      </c>
      <c r="O1184" s="471" t="s">
        <v>3000</v>
      </c>
      <c r="P1184" s="431" t="s">
        <v>6711</v>
      </c>
    </row>
    <row r="1185" spans="1:16" ht="13.9" hidden="1" customHeight="1" outlineLevel="2" x14ac:dyDescent="0.2">
      <c r="A1185" s="233">
        <v>0</v>
      </c>
      <c r="B1185" s="233">
        <v>9</v>
      </c>
      <c r="C1185" s="233">
        <v>6</v>
      </c>
      <c r="D1185" s="234">
        <v>2</v>
      </c>
      <c r="E1185" s="234">
        <v>0</v>
      </c>
      <c r="G1185" s="474"/>
      <c r="H1185" s="451" t="s">
        <v>1237</v>
      </c>
      <c r="I1185" s="452" t="s">
        <v>4482</v>
      </c>
      <c r="J1185" s="453" t="s">
        <v>14</v>
      </c>
      <c r="K1185" s="454"/>
      <c r="L1185" s="455"/>
      <c r="M1185" s="455"/>
      <c r="N1185" s="456">
        <v>3301.0299187769201</v>
      </c>
      <c r="O1185" s="472"/>
      <c r="P1185" s="430"/>
    </row>
    <row r="1186" spans="1:16" ht="13.9" hidden="1" customHeight="1" outlineLevel="3" x14ac:dyDescent="0.2">
      <c r="A1186" s="233">
        <v>0</v>
      </c>
      <c r="B1186" s="233">
        <v>9</v>
      </c>
      <c r="C1186" s="233">
        <v>6</v>
      </c>
      <c r="D1186" s="234">
        <v>2</v>
      </c>
      <c r="E1186" s="234">
        <v>1</v>
      </c>
      <c r="G1186" s="458" t="s">
        <v>18</v>
      </c>
      <c r="H1186" s="459" t="s">
        <v>1238</v>
      </c>
      <c r="I1186" s="460" t="s">
        <v>4483</v>
      </c>
      <c r="J1186" s="461" t="s">
        <v>1258</v>
      </c>
      <c r="K1186" s="462" t="s">
        <v>1129</v>
      </c>
      <c r="L1186" s="463">
        <v>1</v>
      </c>
      <c r="M1186" s="463">
        <v>3301.0299187769183</v>
      </c>
      <c r="N1186" s="464">
        <v>3301.0299187769201</v>
      </c>
      <c r="O1186" s="471" t="s">
        <v>3000</v>
      </c>
      <c r="P1186" s="431" t="s">
        <v>6711</v>
      </c>
    </row>
    <row r="1187" spans="1:16" ht="13.9" hidden="1" customHeight="1" outlineLevel="1" x14ac:dyDescent="0.2">
      <c r="A1187" s="233">
        <v>0</v>
      </c>
      <c r="B1187" s="233">
        <v>9</v>
      </c>
      <c r="C1187" s="233">
        <v>7</v>
      </c>
      <c r="D1187" s="234">
        <v>0</v>
      </c>
      <c r="E1187" s="234">
        <v>1</v>
      </c>
      <c r="G1187" s="443"/>
      <c r="H1187" s="444" t="s">
        <v>38</v>
      </c>
      <c r="I1187" s="445" t="s">
        <v>4484</v>
      </c>
      <c r="J1187" s="446" t="s">
        <v>2762</v>
      </c>
      <c r="K1187" s="447"/>
      <c r="L1187" s="448"/>
      <c r="M1187" s="448"/>
      <c r="N1187" s="449">
        <v>6612.36043357779</v>
      </c>
      <c r="O1187" s="502"/>
      <c r="P1187" s="435"/>
    </row>
    <row r="1188" spans="1:16" ht="13.9" hidden="1" customHeight="1" outlineLevel="2" x14ac:dyDescent="0.2">
      <c r="A1188" s="233">
        <v>0</v>
      </c>
      <c r="B1188" s="233">
        <v>9</v>
      </c>
      <c r="C1188" s="233">
        <v>7</v>
      </c>
      <c r="D1188" s="234">
        <v>1</v>
      </c>
      <c r="E1188" s="234">
        <v>0</v>
      </c>
      <c r="G1188" s="474"/>
      <c r="H1188" s="451" t="s">
        <v>1237</v>
      </c>
      <c r="I1188" s="452" t="s">
        <v>4485</v>
      </c>
      <c r="J1188" s="453" t="s">
        <v>2334</v>
      </c>
      <c r="K1188" s="454"/>
      <c r="L1188" s="455"/>
      <c r="M1188" s="455"/>
      <c r="N1188" s="456">
        <v>202.662498399708</v>
      </c>
      <c r="O1188" s="472"/>
      <c r="P1188" s="430"/>
    </row>
    <row r="1189" spans="1:16" ht="13.9" hidden="1" customHeight="1" outlineLevel="3" x14ac:dyDescent="0.2">
      <c r="A1189" s="233">
        <v>0</v>
      </c>
      <c r="B1189" s="233">
        <v>9</v>
      </c>
      <c r="C1189" s="233">
        <v>7</v>
      </c>
      <c r="D1189" s="234">
        <v>1</v>
      </c>
      <c r="E1189" s="234">
        <v>1</v>
      </c>
      <c r="G1189" s="458" t="s">
        <v>18</v>
      </c>
      <c r="H1189" s="459" t="s">
        <v>1238</v>
      </c>
      <c r="I1189" s="460" t="s">
        <v>4486</v>
      </c>
      <c r="J1189" s="461" t="s">
        <v>2334</v>
      </c>
      <c r="K1189" s="462" t="s">
        <v>1129</v>
      </c>
      <c r="L1189" s="463">
        <v>1</v>
      </c>
      <c r="M1189" s="463">
        <v>202.66249839970757</v>
      </c>
      <c r="N1189" s="464">
        <v>202.662498399708</v>
      </c>
      <c r="O1189" s="471" t="s">
        <v>3000</v>
      </c>
      <c r="P1189" s="431" t="s">
        <v>6711</v>
      </c>
    </row>
    <row r="1190" spans="1:16" ht="13.9" hidden="1" customHeight="1" outlineLevel="2" x14ac:dyDescent="0.2">
      <c r="A1190" s="233">
        <v>0</v>
      </c>
      <c r="B1190" s="233">
        <v>9</v>
      </c>
      <c r="C1190" s="233">
        <v>7</v>
      </c>
      <c r="D1190" s="234">
        <v>2</v>
      </c>
      <c r="E1190" s="234">
        <v>0</v>
      </c>
      <c r="G1190" s="474"/>
      <c r="H1190" s="451" t="s">
        <v>1237</v>
      </c>
      <c r="I1190" s="452" t="s">
        <v>4487</v>
      </c>
      <c r="J1190" s="453" t="s">
        <v>2755</v>
      </c>
      <c r="K1190" s="454"/>
      <c r="L1190" s="455"/>
      <c r="M1190" s="455"/>
      <c r="N1190" s="456">
        <v>3108.66801640117</v>
      </c>
      <c r="O1190" s="472"/>
      <c r="P1190" s="430"/>
    </row>
    <row r="1191" spans="1:16" ht="13.9" hidden="1" customHeight="1" outlineLevel="3" x14ac:dyDescent="0.2">
      <c r="A1191" s="233">
        <v>0</v>
      </c>
      <c r="B1191" s="233">
        <v>9</v>
      </c>
      <c r="C1191" s="233">
        <v>7</v>
      </c>
      <c r="D1191" s="234">
        <v>2</v>
      </c>
      <c r="E1191" s="234">
        <v>1</v>
      </c>
      <c r="G1191" s="458" t="s">
        <v>18</v>
      </c>
      <c r="H1191" s="459" t="s">
        <v>1238</v>
      </c>
      <c r="I1191" s="460" t="s">
        <v>4488</v>
      </c>
      <c r="J1191" s="461" t="s">
        <v>2755</v>
      </c>
      <c r="K1191" s="462" t="s">
        <v>1129</v>
      </c>
      <c r="L1191" s="463">
        <v>1</v>
      </c>
      <c r="M1191" s="463">
        <v>3108.6680164011691</v>
      </c>
      <c r="N1191" s="464">
        <v>3108.66801640117</v>
      </c>
      <c r="O1191" s="471" t="s">
        <v>3000</v>
      </c>
      <c r="P1191" s="431" t="s">
        <v>6711</v>
      </c>
    </row>
    <row r="1192" spans="1:16" ht="13.9" hidden="1" customHeight="1" outlineLevel="2" x14ac:dyDescent="0.2">
      <c r="A1192" s="233">
        <v>0</v>
      </c>
      <c r="B1192" s="233">
        <v>9</v>
      </c>
      <c r="C1192" s="233">
        <v>7</v>
      </c>
      <c r="D1192" s="234">
        <v>3</v>
      </c>
      <c r="E1192" s="234">
        <v>0</v>
      </c>
      <c r="G1192" s="474"/>
      <c r="H1192" s="451" t="s">
        <v>1237</v>
      </c>
      <c r="I1192" s="452" t="s">
        <v>4489</v>
      </c>
      <c r="J1192" s="453" t="s">
        <v>14</v>
      </c>
      <c r="K1192" s="454"/>
      <c r="L1192" s="455"/>
      <c r="M1192" s="455"/>
      <c r="N1192" s="456">
        <v>3301.0299187769201</v>
      </c>
      <c r="O1192" s="472"/>
      <c r="P1192" s="430"/>
    </row>
    <row r="1193" spans="1:16" ht="13.9" hidden="1" customHeight="1" outlineLevel="3" x14ac:dyDescent="0.2">
      <c r="A1193" s="233">
        <v>0</v>
      </c>
      <c r="B1193" s="233">
        <v>9</v>
      </c>
      <c r="C1193" s="233">
        <v>7</v>
      </c>
      <c r="D1193" s="234">
        <v>3</v>
      </c>
      <c r="E1193" s="234">
        <v>1</v>
      </c>
      <c r="G1193" s="458" t="s">
        <v>18</v>
      </c>
      <c r="H1193" s="459" t="s">
        <v>1238</v>
      </c>
      <c r="I1193" s="460" t="s">
        <v>4490</v>
      </c>
      <c r="J1193" s="461" t="s">
        <v>1258</v>
      </c>
      <c r="K1193" s="462" t="s">
        <v>1129</v>
      </c>
      <c r="L1193" s="463">
        <v>1</v>
      </c>
      <c r="M1193" s="463">
        <v>3301.0299187769183</v>
      </c>
      <c r="N1193" s="464">
        <v>3301.0299187769201</v>
      </c>
      <c r="O1193" s="471" t="s">
        <v>3000</v>
      </c>
      <c r="P1193" s="431" t="s">
        <v>6711</v>
      </c>
    </row>
    <row r="1194" spans="1:16" ht="13.9" hidden="1" customHeight="1" outlineLevel="1" x14ac:dyDescent="0.2">
      <c r="A1194" s="233">
        <v>0</v>
      </c>
      <c r="B1194" s="233">
        <v>9</v>
      </c>
      <c r="C1194" s="233">
        <v>8</v>
      </c>
      <c r="D1194" s="234">
        <v>0</v>
      </c>
      <c r="E1194" s="234">
        <v>1</v>
      </c>
      <c r="G1194" s="443"/>
      <c r="H1194" s="444" t="s">
        <v>38</v>
      </c>
      <c r="I1194" s="445" t="s">
        <v>4491</v>
      </c>
      <c r="J1194" s="446" t="s">
        <v>2763</v>
      </c>
      <c r="K1194" s="447"/>
      <c r="L1194" s="448"/>
      <c r="M1194" s="448"/>
      <c r="N1194" s="449">
        <v>5977.5606898403903</v>
      </c>
      <c r="O1194" s="502"/>
      <c r="P1194" s="435"/>
    </row>
    <row r="1195" spans="1:16" ht="13.9" hidden="1" customHeight="1" outlineLevel="2" x14ac:dyDescent="0.2">
      <c r="A1195" s="233">
        <v>0</v>
      </c>
      <c r="B1195" s="233">
        <v>9</v>
      </c>
      <c r="C1195" s="233">
        <v>8</v>
      </c>
      <c r="D1195" s="234">
        <v>1</v>
      </c>
      <c r="E1195" s="234">
        <v>0</v>
      </c>
      <c r="G1195" s="474"/>
      <c r="H1195" s="451" t="s">
        <v>1237</v>
      </c>
      <c r="I1195" s="452" t="s">
        <v>4492</v>
      </c>
      <c r="J1195" s="453" t="s">
        <v>2334</v>
      </c>
      <c r="K1195" s="454"/>
      <c r="L1195" s="455"/>
      <c r="M1195" s="455"/>
      <c r="N1195" s="456">
        <v>333.94387051577399</v>
      </c>
      <c r="O1195" s="472"/>
      <c r="P1195" s="430"/>
    </row>
    <row r="1196" spans="1:16" ht="13.9" hidden="1" customHeight="1" outlineLevel="3" x14ac:dyDescent="0.2">
      <c r="A1196" s="233">
        <v>0</v>
      </c>
      <c r="B1196" s="233">
        <v>9</v>
      </c>
      <c r="C1196" s="233">
        <v>8</v>
      </c>
      <c r="D1196" s="234">
        <v>1</v>
      </c>
      <c r="E1196" s="234">
        <v>1</v>
      </c>
      <c r="G1196" s="458" t="s">
        <v>18</v>
      </c>
      <c r="H1196" s="459" t="s">
        <v>1238</v>
      </c>
      <c r="I1196" s="460" t="s">
        <v>4493</v>
      </c>
      <c r="J1196" s="461" t="s">
        <v>2334</v>
      </c>
      <c r="K1196" s="462" t="s">
        <v>1129</v>
      </c>
      <c r="L1196" s="463">
        <v>1</v>
      </c>
      <c r="M1196" s="463">
        <v>333.94387051577428</v>
      </c>
      <c r="N1196" s="464">
        <v>333.94387051577399</v>
      </c>
      <c r="O1196" s="471" t="s">
        <v>3000</v>
      </c>
      <c r="P1196" s="431" t="s">
        <v>6711</v>
      </c>
    </row>
    <row r="1197" spans="1:16" ht="13.9" hidden="1" customHeight="1" outlineLevel="2" x14ac:dyDescent="0.2">
      <c r="A1197" s="233">
        <v>0</v>
      </c>
      <c r="B1197" s="233">
        <v>9</v>
      </c>
      <c r="C1197" s="233">
        <v>8</v>
      </c>
      <c r="D1197" s="234">
        <v>2</v>
      </c>
      <c r="E1197" s="234">
        <v>0</v>
      </c>
      <c r="G1197" s="474"/>
      <c r="H1197" s="451" t="s">
        <v>1237</v>
      </c>
      <c r="I1197" s="452" t="s">
        <v>4494</v>
      </c>
      <c r="J1197" s="453" t="s">
        <v>2755</v>
      </c>
      <c r="K1197" s="454"/>
      <c r="L1197" s="455"/>
      <c r="M1197" s="455"/>
      <c r="N1197" s="456">
        <v>3796.8968825799798</v>
      </c>
      <c r="O1197" s="472"/>
      <c r="P1197" s="430"/>
    </row>
    <row r="1198" spans="1:16" ht="13.9" hidden="1" customHeight="1" outlineLevel="3" x14ac:dyDescent="0.2">
      <c r="A1198" s="233">
        <v>0</v>
      </c>
      <c r="B1198" s="233">
        <v>9</v>
      </c>
      <c r="C1198" s="233">
        <v>8</v>
      </c>
      <c r="D1198" s="234">
        <v>2</v>
      </c>
      <c r="E1198" s="234">
        <v>1</v>
      </c>
      <c r="G1198" s="458" t="s">
        <v>18</v>
      </c>
      <c r="H1198" s="459" t="s">
        <v>1238</v>
      </c>
      <c r="I1198" s="460" t="s">
        <v>4495</v>
      </c>
      <c r="J1198" s="461" t="s">
        <v>2755</v>
      </c>
      <c r="K1198" s="462" t="s">
        <v>1129</v>
      </c>
      <c r="L1198" s="463">
        <v>1</v>
      </c>
      <c r="M1198" s="463">
        <v>3796.8968825799784</v>
      </c>
      <c r="N1198" s="464">
        <v>3796.8968825799798</v>
      </c>
      <c r="O1198" s="471" t="s">
        <v>3000</v>
      </c>
      <c r="P1198" s="431" t="s">
        <v>6711</v>
      </c>
    </row>
    <row r="1199" spans="1:16" ht="13.9" hidden="1" customHeight="1" outlineLevel="2" x14ac:dyDescent="0.2">
      <c r="A1199" s="233">
        <v>0</v>
      </c>
      <c r="B1199" s="233">
        <v>9</v>
      </c>
      <c r="C1199" s="233">
        <v>8</v>
      </c>
      <c r="D1199" s="234">
        <v>3</v>
      </c>
      <c r="E1199" s="234">
        <v>0</v>
      </c>
      <c r="G1199" s="474"/>
      <c r="H1199" s="451" t="s">
        <v>1237</v>
      </c>
      <c r="I1199" s="452" t="s">
        <v>4496</v>
      </c>
      <c r="J1199" s="453" t="s">
        <v>14</v>
      </c>
      <c r="K1199" s="454"/>
      <c r="L1199" s="455"/>
      <c r="M1199" s="455"/>
      <c r="N1199" s="456">
        <v>1846.7199367446401</v>
      </c>
      <c r="O1199" s="472"/>
      <c r="P1199" s="430"/>
    </row>
    <row r="1200" spans="1:16" ht="13.9" hidden="1" customHeight="1" outlineLevel="3" x14ac:dyDescent="0.2">
      <c r="A1200" s="233">
        <v>0</v>
      </c>
      <c r="B1200" s="233">
        <v>9</v>
      </c>
      <c r="C1200" s="233">
        <v>8</v>
      </c>
      <c r="D1200" s="234">
        <v>3</v>
      </c>
      <c r="E1200" s="234">
        <v>1</v>
      </c>
      <c r="G1200" s="458" t="s">
        <v>18</v>
      </c>
      <c r="H1200" s="459" t="s">
        <v>1238</v>
      </c>
      <c r="I1200" s="460" t="s">
        <v>4497</v>
      </c>
      <c r="J1200" s="461" t="s">
        <v>1258</v>
      </c>
      <c r="K1200" s="462" t="s">
        <v>1129</v>
      </c>
      <c r="L1200" s="463">
        <v>1</v>
      </c>
      <c r="M1200" s="463">
        <v>1846.7199367446378</v>
      </c>
      <c r="N1200" s="464">
        <v>1846.7199367446401</v>
      </c>
      <c r="O1200" s="471" t="s">
        <v>3000</v>
      </c>
      <c r="P1200" s="431" t="s">
        <v>6711</v>
      </c>
    </row>
    <row r="1201" spans="1:16" ht="13.9" hidden="1" customHeight="1" outlineLevel="1" x14ac:dyDescent="0.2">
      <c r="A1201" s="233">
        <v>0</v>
      </c>
      <c r="B1201" s="233">
        <v>9</v>
      </c>
      <c r="C1201" s="233">
        <v>9</v>
      </c>
      <c r="D1201" s="234">
        <v>0</v>
      </c>
      <c r="E1201" s="234">
        <v>1</v>
      </c>
      <c r="G1201" s="443"/>
      <c r="H1201" s="444" t="s">
        <v>38</v>
      </c>
      <c r="I1201" s="445" t="s">
        <v>4498</v>
      </c>
      <c r="J1201" s="446" t="s">
        <v>2764</v>
      </c>
      <c r="K1201" s="447"/>
      <c r="L1201" s="448"/>
      <c r="M1201" s="448"/>
      <c r="N1201" s="449">
        <v>5891.4923227798699</v>
      </c>
      <c r="O1201" s="502"/>
      <c r="P1201" s="435"/>
    </row>
    <row r="1202" spans="1:16" ht="13.9" hidden="1" customHeight="1" outlineLevel="2" x14ac:dyDescent="0.2">
      <c r="A1202" s="233">
        <v>0</v>
      </c>
      <c r="B1202" s="233">
        <v>9</v>
      </c>
      <c r="C1202" s="233">
        <v>9</v>
      </c>
      <c r="D1202" s="234">
        <v>1</v>
      </c>
      <c r="E1202" s="234">
        <v>0</v>
      </c>
      <c r="G1202" s="474"/>
      <c r="H1202" s="451" t="s">
        <v>1237</v>
      </c>
      <c r="I1202" s="452" t="s">
        <v>4499</v>
      </c>
      <c r="J1202" s="453" t="s">
        <v>2334</v>
      </c>
      <c r="K1202" s="454"/>
      <c r="L1202" s="455"/>
      <c r="M1202" s="455"/>
      <c r="N1202" s="456">
        <v>703.82788853100396</v>
      </c>
      <c r="O1202" s="472"/>
      <c r="P1202" s="430"/>
    </row>
    <row r="1203" spans="1:16" ht="13.9" hidden="1" customHeight="1" outlineLevel="3" x14ac:dyDescent="0.2">
      <c r="A1203" s="233">
        <v>0</v>
      </c>
      <c r="B1203" s="233">
        <v>9</v>
      </c>
      <c r="C1203" s="233">
        <v>9</v>
      </c>
      <c r="D1203" s="234">
        <v>1</v>
      </c>
      <c r="E1203" s="234">
        <v>1</v>
      </c>
      <c r="G1203" s="458" t="s">
        <v>18</v>
      </c>
      <c r="H1203" s="459" t="s">
        <v>1238</v>
      </c>
      <c r="I1203" s="460" t="s">
        <v>4500</v>
      </c>
      <c r="J1203" s="461" t="s">
        <v>2334</v>
      </c>
      <c r="K1203" s="462" t="s">
        <v>1129</v>
      </c>
      <c r="L1203" s="463">
        <v>1</v>
      </c>
      <c r="M1203" s="463">
        <v>703.82788853100408</v>
      </c>
      <c r="N1203" s="464">
        <v>703.82788853100396</v>
      </c>
      <c r="O1203" s="471" t="s">
        <v>3000</v>
      </c>
      <c r="P1203" s="431" t="s">
        <v>6711</v>
      </c>
    </row>
    <row r="1204" spans="1:16" ht="13.9" hidden="1" customHeight="1" outlineLevel="2" x14ac:dyDescent="0.2">
      <c r="A1204" s="233">
        <v>0</v>
      </c>
      <c r="B1204" s="233">
        <v>9</v>
      </c>
      <c r="C1204" s="233">
        <v>9</v>
      </c>
      <c r="D1204" s="234">
        <v>2</v>
      </c>
      <c r="E1204" s="234">
        <v>0</v>
      </c>
      <c r="G1204" s="474"/>
      <c r="H1204" s="451" t="s">
        <v>1237</v>
      </c>
      <c r="I1204" s="452" t="s">
        <v>4501</v>
      </c>
      <c r="J1204" s="453" t="s">
        <v>2755</v>
      </c>
      <c r="K1204" s="454"/>
      <c r="L1204" s="455"/>
      <c r="M1204" s="455"/>
      <c r="N1204" s="456">
        <v>3909.6041868008401</v>
      </c>
      <c r="O1204" s="472"/>
      <c r="P1204" s="430"/>
    </row>
    <row r="1205" spans="1:16" ht="13.9" hidden="1" customHeight="1" outlineLevel="3" x14ac:dyDescent="0.2">
      <c r="A1205" s="233">
        <v>0</v>
      </c>
      <c r="B1205" s="233">
        <v>9</v>
      </c>
      <c r="C1205" s="233">
        <v>9</v>
      </c>
      <c r="D1205" s="234">
        <v>2</v>
      </c>
      <c r="E1205" s="234">
        <v>1</v>
      </c>
      <c r="G1205" s="458" t="s">
        <v>18</v>
      </c>
      <c r="H1205" s="459" t="s">
        <v>1238</v>
      </c>
      <c r="I1205" s="460" t="s">
        <v>4502</v>
      </c>
      <c r="J1205" s="461" t="s">
        <v>2755</v>
      </c>
      <c r="K1205" s="462" t="s">
        <v>1129</v>
      </c>
      <c r="L1205" s="463">
        <v>1</v>
      </c>
      <c r="M1205" s="463">
        <v>3909.6041868008401</v>
      </c>
      <c r="N1205" s="464">
        <v>3909.6041868008401</v>
      </c>
      <c r="O1205" s="471" t="s">
        <v>3000</v>
      </c>
      <c r="P1205" s="431" t="s">
        <v>6711</v>
      </c>
    </row>
    <row r="1206" spans="1:16" ht="13.9" hidden="1" customHeight="1" outlineLevel="2" x14ac:dyDescent="0.2">
      <c r="A1206" s="233">
        <v>0</v>
      </c>
      <c r="B1206" s="233">
        <v>9</v>
      </c>
      <c r="C1206" s="233">
        <v>9</v>
      </c>
      <c r="D1206" s="234">
        <v>3</v>
      </c>
      <c r="E1206" s="234">
        <v>0</v>
      </c>
      <c r="G1206" s="474"/>
      <c r="H1206" s="451" t="s">
        <v>1237</v>
      </c>
      <c r="I1206" s="452" t="s">
        <v>4503</v>
      </c>
      <c r="J1206" s="453" t="s">
        <v>14</v>
      </c>
      <c r="K1206" s="454"/>
      <c r="L1206" s="455"/>
      <c r="M1206" s="455"/>
      <c r="N1206" s="456">
        <v>1278.0602474480199</v>
      </c>
      <c r="O1206" s="472"/>
      <c r="P1206" s="430"/>
    </row>
    <row r="1207" spans="1:16" ht="13.9" hidden="1" customHeight="1" outlineLevel="3" x14ac:dyDescent="0.2">
      <c r="A1207" s="233">
        <v>0</v>
      </c>
      <c r="B1207" s="233">
        <v>9</v>
      </c>
      <c r="C1207" s="233">
        <v>9</v>
      </c>
      <c r="D1207" s="234">
        <v>3</v>
      </c>
      <c r="E1207" s="234">
        <v>1</v>
      </c>
      <c r="G1207" s="458" t="s">
        <v>18</v>
      </c>
      <c r="H1207" s="459" t="s">
        <v>1238</v>
      </c>
      <c r="I1207" s="460" t="s">
        <v>4504</v>
      </c>
      <c r="J1207" s="461" t="s">
        <v>1258</v>
      </c>
      <c r="K1207" s="462" t="s">
        <v>1129</v>
      </c>
      <c r="L1207" s="463">
        <v>1</v>
      </c>
      <c r="M1207" s="463">
        <v>1278.0602474480233</v>
      </c>
      <c r="N1207" s="464">
        <v>1278.0602474480199</v>
      </c>
      <c r="O1207" s="471" t="s">
        <v>3000</v>
      </c>
      <c r="P1207" s="431" t="s">
        <v>6711</v>
      </c>
    </row>
    <row r="1208" spans="1:16" ht="13.9" hidden="1" customHeight="1" outlineLevel="1" x14ac:dyDescent="0.2">
      <c r="A1208" s="233">
        <v>0</v>
      </c>
      <c r="B1208" s="233">
        <v>9</v>
      </c>
      <c r="C1208" s="233">
        <v>10</v>
      </c>
      <c r="D1208" s="234">
        <v>0</v>
      </c>
      <c r="E1208" s="234">
        <v>1</v>
      </c>
      <c r="G1208" s="443"/>
      <c r="H1208" s="444" t="s">
        <v>38</v>
      </c>
      <c r="I1208" s="445" t="s">
        <v>4505</v>
      </c>
      <c r="J1208" s="446" t="s">
        <v>2765</v>
      </c>
      <c r="K1208" s="447"/>
      <c r="L1208" s="448"/>
      <c r="M1208" s="448"/>
      <c r="N1208" s="449">
        <v>48047.017865752103</v>
      </c>
      <c r="O1208" s="502"/>
      <c r="P1208" s="435"/>
    </row>
    <row r="1209" spans="1:16" ht="13.9" hidden="1" customHeight="1" outlineLevel="2" x14ac:dyDescent="0.2">
      <c r="A1209" s="233">
        <v>0</v>
      </c>
      <c r="B1209" s="233">
        <v>9</v>
      </c>
      <c r="C1209" s="233">
        <v>10</v>
      </c>
      <c r="D1209" s="234">
        <v>1</v>
      </c>
      <c r="E1209" s="234">
        <v>0</v>
      </c>
      <c r="G1209" s="474"/>
      <c r="H1209" s="451" t="s">
        <v>1237</v>
      </c>
      <c r="I1209" s="452" t="s">
        <v>4506</v>
      </c>
      <c r="J1209" s="453" t="s">
        <v>2334</v>
      </c>
      <c r="K1209" s="454"/>
      <c r="L1209" s="455"/>
      <c r="M1209" s="455"/>
      <c r="N1209" s="456">
        <v>5982.5370525135304</v>
      </c>
      <c r="O1209" s="472"/>
      <c r="P1209" s="430"/>
    </row>
    <row r="1210" spans="1:16" ht="13.9" hidden="1" customHeight="1" outlineLevel="3" x14ac:dyDescent="0.2">
      <c r="A1210" s="233">
        <v>0</v>
      </c>
      <c r="B1210" s="233">
        <v>9</v>
      </c>
      <c r="C1210" s="233">
        <v>10</v>
      </c>
      <c r="D1210" s="234">
        <v>1</v>
      </c>
      <c r="E1210" s="234">
        <v>1</v>
      </c>
      <c r="G1210" s="458" t="s">
        <v>18</v>
      </c>
      <c r="H1210" s="459" t="s">
        <v>1238</v>
      </c>
      <c r="I1210" s="460" t="s">
        <v>4507</v>
      </c>
      <c r="J1210" s="461" t="s">
        <v>2334</v>
      </c>
      <c r="K1210" s="462" t="s">
        <v>1129</v>
      </c>
      <c r="L1210" s="463">
        <v>1</v>
      </c>
      <c r="M1210" s="463">
        <v>5982.5370525135349</v>
      </c>
      <c r="N1210" s="464">
        <v>5982.5370525135304</v>
      </c>
      <c r="O1210" s="471" t="s">
        <v>3000</v>
      </c>
      <c r="P1210" s="431" t="s">
        <v>6711</v>
      </c>
    </row>
    <row r="1211" spans="1:16" ht="13.9" hidden="1" customHeight="1" outlineLevel="2" x14ac:dyDescent="0.2">
      <c r="A1211" s="233">
        <v>0</v>
      </c>
      <c r="B1211" s="233">
        <v>9</v>
      </c>
      <c r="C1211" s="233">
        <v>10</v>
      </c>
      <c r="D1211" s="234">
        <v>2</v>
      </c>
      <c r="E1211" s="234">
        <v>0</v>
      </c>
      <c r="G1211" s="474"/>
      <c r="H1211" s="451" t="s">
        <v>1237</v>
      </c>
      <c r="I1211" s="452" t="s">
        <v>4508</v>
      </c>
      <c r="J1211" s="453" t="s">
        <v>2755</v>
      </c>
      <c r="K1211" s="454"/>
      <c r="L1211" s="455"/>
      <c r="M1211" s="455"/>
      <c r="N1211" s="456">
        <v>33086.360020758497</v>
      </c>
      <c r="O1211" s="472"/>
      <c r="P1211" s="430"/>
    </row>
    <row r="1212" spans="1:16" ht="13.9" hidden="1" customHeight="1" outlineLevel="3" x14ac:dyDescent="0.2">
      <c r="A1212" s="233">
        <v>0</v>
      </c>
      <c r="B1212" s="233">
        <v>9</v>
      </c>
      <c r="C1212" s="233">
        <v>10</v>
      </c>
      <c r="D1212" s="234">
        <v>2</v>
      </c>
      <c r="E1212" s="234">
        <v>1</v>
      </c>
      <c r="G1212" s="458" t="s">
        <v>18</v>
      </c>
      <c r="H1212" s="459" t="s">
        <v>1238</v>
      </c>
      <c r="I1212" s="460" t="s">
        <v>4509</v>
      </c>
      <c r="J1212" s="461" t="s">
        <v>2755</v>
      </c>
      <c r="K1212" s="462" t="s">
        <v>1129</v>
      </c>
      <c r="L1212" s="463">
        <v>1</v>
      </c>
      <c r="M1212" s="463">
        <v>33086.360020758475</v>
      </c>
      <c r="N1212" s="464">
        <v>33086.360020758497</v>
      </c>
      <c r="O1212" s="471" t="s">
        <v>3000</v>
      </c>
      <c r="P1212" s="431" t="s">
        <v>6711</v>
      </c>
    </row>
    <row r="1213" spans="1:16" ht="13.9" hidden="1" customHeight="1" outlineLevel="2" x14ac:dyDescent="0.2">
      <c r="A1213" s="233">
        <v>0</v>
      </c>
      <c r="B1213" s="233">
        <v>9</v>
      </c>
      <c r="C1213" s="233">
        <v>10</v>
      </c>
      <c r="D1213" s="234">
        <v>3</v>
      </c>
      <c r="E1213" s="234">
        <v>0</v>
      </c>
      <c r="G1213" s="474"/>
      <c r="H1213" s="451" t="s">
        <v>1237</v>
      </c>
      <c r="I1213" s="452" t="s">
        <v>4510</v>
      </c>
      <c r="J1213" s="453" t="s">
        <v>14</v>
      </c>
      <c r="K1213" s="454"/>
      <c r="L1213" s="455"/>
      <c r="M1213" s="455"/>
      <c r="N1213" s="456">
        <v>8978.1207924800692</v>
      </c>
      <c r="O1213" s="472"/>
      <c r="P1213" s="430"/>
    </row>
    <row r="1214" spans="1:16" ht="13.9" hidden="1" customHeight="1" outlineLevel="3" x14ac:dyDescent="0.2">
      <c r="A1214" s="233">
        <v>0</v>
      </c>
      <c r="B1214" s="233">
        <v>9</v>
      </c>
      <c r="C1214" s="233">
        <v>10</v>
      </c>
      <c r="D1214" s="234">
        <v>3</v>
      </c>
      <c r="E1214" s="234">
        <v>1</v>
      </c>
      <c r="G1214" s="458" t="s">
        <v>18</v>
      </c>
      <c r="H1214" s="459" t="s">
        <v>1238</v>
      </c>
      <c r="I1214" s="460" t="s">
        <v>4511</v>
      </c>
      <c r="J1214" s="461" t="s">
        <v>1258</v>
      </c>
      <c r="K1214" s="462" t="s">
        <v>1129</v>
      </c>
      <c r="L1214" s="463">
        <v>1</v>
      </c>
      <c r="M1214" s="463">
        <v>8978.120792480071</v>
      </c>
      <c r="N1214" s="464">
        <v>8978.1207924800692</v>
      </c>
      <c r="O1214" s="471" t="s">
        <v>3000</v>
      </c>
      <c r="P1214" s="431" t="s">
        <v>6711</v>
      </c>
    </row>
    <row r="1215" spans="1:16" ht="13.9" hidden="1" customHeight="1" outlineLevel="1" x14ac:dyDescent="0.2">
      <c r="A1215" s="233">
        <v>0</v>
      </c>
      <c r="B1215" s="233">
        <v>9</v>
      </c>
      <c r="C1215" s="233">
        <v>11</v>
      </c>
      <c r="D1215" s="234">
        <v>0</v>
      </c>
      <c r="E1215" s="234">
        <v>1</v>
      </c>
      <c r="G1215" s="443"/>
      <c r="H1215" s="444" t="s">
        <v>38</v>
      </c>
      <c r="I1215" s="445" t="s">
        <v>4512</v>
      </c>
      <c r="J1215" s="446" t="s">
        <v>2766</v>
      </c>
      <c r="K1215" s="447"/>
      <c r="L1215" s="448"/>
      <c r="M1215" s="448"/>
      <c r="N1215" s="449">
        <v>102824.42640481501</v>
      </c>
      <c r="O1215" s="502"/>
      <c r="P1215" s="435"/>
    </row>
    <row r="1216" spans="1:16" ht="13.9" hidden="1" customHeight="1" outlineLevel="2" x14ac:dyDescent="0.2">
      <c r="A1216" s="233">
        <v>0</v>
      </c>
      <c r="B1216" s="233">
        <v>9</v>
      </c>
      <c r="C1216" s="233">
        <v>11</v>
      </c>
      <c r="D1216" s="234">
        <v>1</v>
      </c>
      <c r="E1216" s="234">
        <v>0</v>
      </c>
      <c r="G1216" s="474"/>
      <c r="H1216" s="451" t="s">
        <v>1237</v>
      </c>
      <c r="I1216" s="452" t="s">
        <v>4513</v>
      </c>
      <c r="J1216" s="453" t="s">
        <v>2334</v>
      </c>
      <c r="K1216" s="454"/>
      <c r="L1216" s="455"/>
      <c r="M1216" s="455"/>
      <c r="N1216" s="456">
        <v>7390.1928295755397</v>
      </c>
      <c r="O1216" s="472"/>
      <c r="P1216" s="430"/>
    </row>
    <row r="1217" spans="1:16" ht="13.9" hidden="1" customHeight="1" outlineLevel="3" x14ac:dyDescent="0.2">
      <c r="A1217" s="233">
        <v>0</v>
      </c>
      <c r="B1217" s="233">
        <v>9</v>
      </c>
      <c r="C1217" s="233">
        <v>11</v>
      </c>
      <c r="D1217" s="234">
        <v>1</v>
      </c>
      <c r="E1217" s="234">
        <v>1</v>
      </c>
      <c r="G1217" s="458" t="s">
        <v>18</v>
      </c>
      <c r="H1217" s="459" t="s">
        <v>1238</v>
      </c>
      <c r="I1217" s="460" t="s">
        <v>4514</v>
      </c>
      <c r="J1217" s="461" t="s">
        <v>2334</v>
      </c>
      <c r="K1217" s="462" t="s">
        <v>1129</v>
      </c>
      <c r="L1217" s="463">
        <v>1</v>
      </c>
      <c r="M1217" s="463">
        <v>7390.1928295755424</v>
      </c>
      <c r="N1217" s="464">
        <v>7390.1928295755397</v>
      </c>
      <c r="O1217" s="471" t="s">
        <v>3000</v>
      </c>
      <c r="P1217" s="431" t="s">
        <v>6711</v>
      </c>
    </row>
    <row r="1218" spans="1:16" ht="13.9" hidden="1" customHeight="1" outlineLevel="2" x14ac:dyDescent="0.2">
      <c r="A1218" s="233">
        <v>0</v>
      </c>
      <c r="B1218" s="233">
        <v>9</v>
      </c>
      <c r="C1218" s="233">
        <v>11</v>
      </c>
      <c r="D1218" s="234">
        <v>2</v>
      </c>
      <c r="E1218" s="234">
        <v>0</v>
      </c>
      <c r="G1218" s="474"/>
      <c r="H1218" s="451" t="s">
        <v>1237</v>
      </c>
      <c r="I1218" s="452" t="s">
        <v>4515</v>
      </c>
      <c r="J1218" s="453" t="s">
        <v>2755</v>
      </c>
      <c r="K1218" s="454"/>
      <c r="L1218" s="455"/>
      <c r="M1218" s="455"/>
      <c r="N1218" s="456">
        <v>71854.238391973995</v>
      </c>
      <c r="O1218" s="472"/>
      <c r="P1218" s="430"/>
    </row>
    <row r="1219" spans="1:16" ht="13.9" hidden="1" customHeight="1" outlineLevel="3" x14ac:dyDescent="0.2">
      <c r="A1219" s="233">
        <v>0</v>
      </c>
      <c r="B1219" s="233">
        <v>9</v>
      </c>
      <c r="C1219" s="233">
        <v>11</v>
      </c>
      <c r="D1219" s="234">
        <v>2</v>
      </c>
      <c r="E1219" s="234">
        <v>1</v>
      </c>
      <c r="G1219" s="458" t="s">
        <v>18</v>
      </c>
      <c r="H1219" s="459" t="s">
        <v>1238</v>
      </c>
      <c r="I1219" s="460" t="s">
        <v>4516</v>
      </c>
      <c r="J1219" s="461" t="s">
        <v>2755</v>
      </c>
      <c r="K1219" s="462" t="s">
        <v>1129</v>
      </c>
      <c r="L1219" s="463">
        <v>1</v>
      </c>
      <c r="M1219" s="463">
        <v>71854.238391973951</v>
      </c>
      <c r="N1219" s="464">
        <v>71854.238391973995</v>
      </c>
      <c r="O1219" s="471" t="s">
        <v>3000</v>
      </c>
      <c r="P1219" s="431" t="s">
        <v>6711</v>
      </c>
    </row>
    <row r="1220" spans="1:16" ht="13.9" hidden="1" customHeight="1" outlineLevel="2" x14ac:dyDescent="0.2">
      <c r="A1220" s="233">
        <v>0</v>
      </c>
      <c r="B1220" s="233">
        <v>9</v>
      </c>
      <c r="C1220" s="233">
        <v>11</v>
      </c>
      <c r="D1220" s="234">
        <v>3</v>
      </c>
      <c r="E1220" s="234">
        <v>0</v>
      </c>
      <c r="G1220" s="474"/>
      <c r="H1220" s="451" t="s">
        <v>1237</v>
      </c>
      <c r="I1220" s="452" t="s">
        <v>4517</v>
      </c>
      <c r="J1220" s="453" t="s">
        <v>14</v>
      </c>
      <c r="K1220" s="454"/>
      <c r="L1220" s="455"/>
      <c r="M1220" s="455"/>
      <c r="N1220" s="456">
        <v>23579.995183265499</v>
      </c>
      <c r="O1220" s="472"/>
      <c r="P1220" s="430"/>
    </row>
    <row r="1221" spans="1:16" ht="13.9" hidden="1" customHeight="1" outlineLevel="3" x14ac:dyDescent="0.2">
      <c r="A1221" s="233">
        <v>0</v>
      </c>
      <c r="B1221" s="233">
        <v>9</v>
      </c>
      <c r="C1221" s="233">
        <v>11</v>
      </c>
      <c r="D1221" s="234">
        <v>3</v>
      </c>
      <c r="E1221" s="234">
        <v>1</v>
      </c>
      <c r="G1221" s="458" t="s">
        <v>18</v>
      </c>
      <c r="H1221" s="459" t="s">
        <v>1238</v>
      </c>
      <c r="I1221" s="460" t="s">
        <v>4518</v>
      </c>
      <c r="J1221" s="461" t="s">
        <v>1258</v>
      </c>
      <c r="K1221" s="462" t="s">
        <v>1129</v>
      </c>
      <c r="L1221" s="463">
        <v>1</v>
      </c>
      <c r="M1221" s="463">
        <v>23579.995183265499</v>
      </c>
      <c r="N1221" s="464">
        <v>23579.995183265499</v>
      </c>
      <c r="O1221" s="471" t="s">
        <v>3000</v>
      </c>
      <c r="P1221" s="431" t="s">
        <v>6711</v>
      </c>
    </row>
    <row r="1222" spans="1:16" ht="13.9" hidden="1" customHeight="1" outlineLevel="1" x14ac:dyDescent="0.2">
      <c r="A1222" s="233">
        <v>0</v>
      </c>
      <c r="B1222" s="233">
        <v>9</v>
      </c>
      <c r="C1222" s="233">
        <v>12</v>
      </c>
      <c r="D1222" s="234">
        <v>0</v>
      </c>
      <c r="E1222" s="234">
        <v>1</v>
      </c>
      <c r="G1222" s="443"/>
      <c r="H1222" s="444" t="s">
        <v>38</v>
      </c>
      <c r="I1222" s="445" t="s">
        <v>4519</v>
      </c>
      <c r="J1222" s="446" t="s">
        <v>2767</v>
      </c>
      <c r="K1222" s="447"/>
      <c r="L1222" s="448"/>
      <c r="M1222" s="448"/>
      <c r="N1222" s="449">
        <v>1612.90082464391</v>
      </c>
      <c r="O1222" s="502"/>
      <c r="P1222" s="435"/>
    </row>
    <row r="1223" spans="1:16" ht="13.9" hidden="1" customHeight="1" outlineLevel="2" x14ac:dyDescent="0.2">
      <c r="A1223" s="233">
        <v>0</v>
      </c>
      <c r="B1223" s="233">
        <v>9</v>
      </c>
      <c r="C1223" s="233">
        <v>12</v>
      </c>
      <c r="D1223" s="234">
        <v>1</v>
      </c>
      <c r="E1223" s="234">
        <v>0</v>
      </c>
      <c r="G1223" s="474"/>
      <c r="H1223" s="451" t="s">
        <v>1237</v>
      </c>
      <c r="I1223" s="452" t="s">
        <v>4520</v>
      </c>
      <c r="J1223" s="453" t="s">
        <v>2755</v>
      </c>
      <c r="K1223" s="454"/>
      <c r="L1223" s="455"/>
      <c r="M1223" s="455"/>
      <c r="N1223" s="456">
        <v>490.04391115507599</v>
      </c>
      <c r="O1223" s="472"/>
      <c r="P1223" s="430"/>
    </row>
    <row r="1224" spans="1:16" ht="13.9" hidden="1" customHeight="1" outlineLevel="3" x14ac:dyDescent="0.2">
      <c r="A1224" s="233">
        <v>0</v>
      </c>
      <c r="B1224" s="233">
        <v>9</v>
      </c>
      <c r="C1224" s="233">
        <v>12</v>
      </c>
      <c r="D1224" s="234">
        <v>1</v>
      </c>
      <c r="E1224" s="234">
        <v>1</v>
      </c>
      <c r="G1224" s="458" t="s">
        <v>18</v>
      </c>
      <c r="H1224" s="459" t="s">
        <v>1238</v>
      </c>
      <c r="I1224" s="460" t="s">
        <v>4521</v>
      </c>
      <c r="J1224" s="461" t="s">
        <v>2755</v>
      </c>
      <c r="K1224" s="462" t="s">
        <v>1129</v>
      </c>
      <c r="L1224" s="463">
        <v>1</v>
      </c>
      <c r="M1224" s="463">
        <v>490.0439111550761</v>
      </c>
      <c r="N1224" s="464">
        <v>490.04391115507599</v>
      </c>
      <c r="O1224" s="471" t="s">
        <v>3000</v>
      </c>
      <c r="P1224" s="431" t="s">
        <v>6711</v>
      </c>
    </row>
    <row r="1225" spans="1:16" ht="13.9" hidden="1" customHeight="1" outlineLevel="2" x14ac:dyDescent="0.2">
      <c r="A1225" s="233">
        <v>0</v>
      </c>
      <c r="B1225" s="233">
        <v>9</v>
      </c>
      <c r="C1225" s="233">
        <v>12</v>
      </c>
      <c r="D1225" s="234">
        <v>2</v>
      </c>
      <c r="E1225" s="234">
        <v>0</v>
      </c>
      <c r="G1225" s="474"/>
      <c r="H1225" s="451" t="s">
        <v>1237</v>
      </c>
      <c r="I1225" s="452" t="s">
        <v>4522</v>
      </c>
      <c r="J1225" s="453" t="s">
        <v>14</v>
      </c>
      <c r="K1225" s="454"/>
      <c r="L1225" s="455"/>
      <c r="M1225" s="455"/>
      <c r="N1225" s="456">
        <v>1122.8569134888301</v>
      </c>
      <c r="O1225" s="472"/>
      <c r="P1225" s="430"/>
    </row>
    <row r="1226" spans="1:16" ht="13.9" hidden="1" customHeight="1" outlineLevel="3" x14ac:dyDescent="0.2">
      <c r="A1226" s="233">
        <v>0</v>
      </c>
      <c r="B1226" s="233">
        <v>9</v>
      </c>
      <c r="C1226" s="233">
        <v>12</v>
      </c>
      <c r="D1226" s="234">
        <v>2</v>
      </c>
      <c r="E1226" s="234">
        <v>1</v>
      </c>
      <c r="G1226" s="458" t="s">
        <v>18</v>
      </c>
      <c r="H1226" s="459" t="s">
        <v>1238</v>
      </c>
      <c r="I1226" s="460" t="s">
        <v>4523</v>
      </c>
      <c r="J1226" s="461" t="s">
        <v>1258</v>
      </c>
      <c r="K1226" s="462" t="s">
        <v>1129</v>
      </c>
      <c r="L1226" s="463">
        <v>1</v>
      </c>
      <c r="M1226" s="463">
        <v>1122.8569134888332</v>
      </c>
      <c r="N1226" s="464">
        <v>1122.8569134888301</v>
      </c>
      <c r="O1226" s="471" t="s">
        <v>3000</v>
      </c>
      <c r="P1226" s="431" t="s">
        <v>6711</v>
      </c>
    </row>
    <row r="1227" spans="1:16" ht="13.9" hidden="1" customHeight="1" outlineLevel="1" x14ac:dyDescent="0.2">
      <c r="A1227" s="233">
        <v>0</v>
      </c>
      <c r="B1227" s="233">
        <v>9</v>
      </c>
      <c r="C1227" s="233">
        <v>13</v>
      </c>
      <c r="D1227" s="234">
        <v>0</v>
      </c>
      <c r="E1227" s="234">
        <v>1</v>
      </c>
      <c r="G1227" s="443"/>
      <c r="H1227" s="444" t="s">
        <v>38</v>
      </c>
      <c r="I1227" s="445" t="s">
        <v>4524</v>
      </c>
      <c r="J1227" s="446" t="s">
        <v>2768</v>
      </c>
      <c r="K1227" s="447"/>
      <c r="L1227" s="448"/>
      <c r="M1227" s="448"/>
      <c r="N1227" s="449">
        <v>5893.8765023146198</v>
      </c>
      <c r="O1227" s="502"/>
      <c r="P1227" s="435"/>
    </row>
    <row r="1228" spans="1:16" ht="13.9" hidden="1" customHeight="1" outlineLevel="2" x14ac:dyDescent="0.2">
      <c r="A1228" s="233">
        <v>0</v>
      </c>
      <c r="B1228" s="233">
        <v>9</v>
      </c>
      <c r="C1228" s="233">
        <v>13</v>
      </c>
      <c r="D1228" s="234">
        <v>1</v>
      </c>
      <c r="E1228" s="234">
        <v>0</v>
      </c>
      <c r="G1228" s="474"/>
      <c r="H1228" s="451" t="s">
        <v>1237</v>
      </c>
      <c r="I1228" s="452" t="s">
        <v>4525</v>
      </c>
      <c r="J1228" s="453" t="s">
        <v>2334</v>
      </c>
      <c r="K1228" s="454"/>
      <c r="L1228" s="455"/>
      <c r="M1228" s="455"/>
      <c r="N1228" s="456">
        <v>351.91394426550198</v>
      </c>
      <c r="O1228" s="472"/>
      <c r="P1228" s="430"/>
    </row>
    <row r="1229" spans="1:16" ht="13.9" hidden="1" customHeight="1" outlineLevel="3" x14ac:dyDescent="0.2">
      <c r="A1229" s="233">
        <v>0</v>
      </c>
      <c r="B1229" s="233">
        <v>9</v>
      </c>
      <c r="C1229" s="233">
        <v>13</v>
      </c>
      <c r="D1229" s="234">
        <v>1</v>
      </c>
      <c r="E1229" s="234">
        <v>1</v>
      </c>
      <c r="G1229" s="458" t="s">
        <v>18</v>
      </c>
      <c r="H1229" s="459" t="s">
        <v>1238</v>
      </c>
      <c r="I1229" s="460" t="s">
        <v>4526</v>
      </c>
      <c r="J1229" s="461" t="s">
        <v>2334</v>
      </c>
      <c r="K1229" s="462" t="s">
        <v>1129</v>
      </c>
      <c r="L1229" s="463">
        <v>1</v>
      </c>
      <c r="M1229" s="463">
        <v>351.91394426550204</v>
      </c>
      <c r="N1229" s="464">
        <v>351.91394426550198</v>
      </c>
      <c r="O1229" s="471" t="s">
        <v>3000</v>
      </c>
      <c r="P1229" s="431" t="s">
        <v>6711</v>
      </c>
    </row>
    <row r="1230" spans="1:16" ht="13.9" hidden="1" customHeight="1" outlineLevel="2" x14ac:dyDescent="0.2">
      <c r="A1230" s="233">
        <v>0</v>
      </c>
      <c r="B1230" s="233">
        <v>9</v>
      </c>
      <c r="C1230" s="233">
        <v>13</v>
      </c>
      <c r="D1230" s="234">
        <v>2</v>
      </c>
      <c r="E1230" s="234">
        <v>0</v>
      </c>
      <c r="G1230" s="474"/>
      <c r="H1230" s="451" t="s">
        <v>1237</v>
      </c>
      <c r="I1230" s="452" t="s">
        <v>4527</v>
      </c>
      <c r="J1230" s="453" t="s">
        <v>2755</v>
      </c>
      <c r="K1230" s="454"/>
      <c r="L1230" s="455"/>
      <c r="M1230" s="455"/>
      <c r="N1230" s="456">
        <v>4458.3503388716999</v>
      </c>
      <c r="O1230" s="472"/>
      <c r="P1230" s="430"/>
    </row>
    <row r="1231" spans="1:16" ht="13.9" hidden="1" customHeight="1" outlineLevel="3" x14ac:dyDescent="0.2">
      <c r="A1231" s="233">
        <v>0</v>
      </c>
      <c r="B1231" s="233">
        <v>9</v>
      </c>
      <c r="C1231" s="233">
        <v>13</v>
      </c>
      <c r="D1231" s="234">
        <v>2</v>
      </c>
      <c r="E1231" s="234">
        <v>1</v>
      </c>
      <c r="G1231" s="458" t="s">
        <v>18</v>
      </c>
      <c r="H1231" s="459" t="s">
        <v>1238</v>
      </c>
      <c r="I1231" s="460" t="s">
        <v>4528</v>
      </c>
      <c r="J1231" s="461" t="s">
        <v>2755</v>
      </c>
      <c r="K1231" s="462" t="s">
        <v>1129</v>
      </c>
      <c r="L1231" s="463">
        <v>1</v>
      </c>
      <c r="M1231" s="463">
        <v>4458.3503388716954</v>
      </c>
      <c r="N1231" s="464">
        <v>4458.3503388716999</v>
      </c>
      <c r="O1231" s="471" t="s">
        <v>3000</v>
      </c>
      <c r="P1231" s="431" t="s">
        <v>6711</v>
      </c>
    </row>
    <row r="1232" spans="1:16" ht="13.9" hidden="1" customHeight="1" outlineLevel="2" x14ac:dyDescent="0.2">
      <c r="A1232" s="233">
        <v>0</v>
      </c>
      <c r="B1232" s="233">
        <v>9</v>
      </c>
      <c r="C1232" s="233">
        <v>13</v>
      </c>
      <c r="D1232" s="234">
        <v>3</v>
      </c>
      <c r="E1232" s="234">
        <v>0</v>
      </c>
      <c r="G1232" s="474"/>
      <c r="H1232" s="451" t="s">
        <v>1237</v>
      </c>
      <c r="I1232" s="452" t="s">
        <v>4529</v>
      </c>
      <c r="J1232" s="453" t="s">
        <v>14</v>
      </c>
      <c r="K1232" s="454"/>
      <c r="L1232" s="455"/>
      <c r="M1232" s="455"/>
      <c r="N1232" s="456">
        <v>1083.61221917742</v>
      </c>
      <c r="O1232" s="472"/>
      <c r="P1232" s="430"/>
    </row>
    <row r="1233" spans="1:16" ht="13.9" hidden="1" customHeight="1" outlineLevel="3" x14ac:dyDescent="0.2">
      <c r="A1233" s="233">
        <v>0</v>
      </c>
      <c r="B1233" s="233">
        <v>9</v>
      </c>
      <c r="C1233" s="233">
        <v>13</v>
      </c>
      <c r="D1233" s="234">
        <v>3</v>
      </c>
      <c r="E1233" s="234">
        <v>1</v>
      </c>
      <c r="G1233" s="458" t="s">
        <v>18</v>
      </c>
      <c r="H1233" s="459" t="s">
        <v>1238</v>
      </c>
      <c r="I1233" s="460" t="s">
        <v>4530</v>
      </c>
      <c r="J1233" s="461" t="s">
        <v>1258</v>
      </c>
      <c r="K1233" s="462" t="s">
        <v>1129</v>
      </c>
      <c r="L1233" s="463">
        <v>1</v>
      </c>
      <c r="M1233" s="463">
        <v>1083.6122191774173</v>
      </c>
      <c r="N1233" s="464">
        <v>1083.61221917742</v>
      </c>
      <c r="O1233" s="471" t="s">
        <v>3000</v>
      </c>
      <c r="P1233" s="431" t="s">
        <v>6711</v>
      </c>
    </row>
    <row r="1234" spans="1:16" ht="13.9" hidden="1" customHeight="1" outlineLevel="1" x14ac:dyDescent="0.2">
      <c r="A1234" s="233">
        <v>0</v>
      </c>
      <c r="B1234" s="233">
        <v>9</v>
      </c>
      <c r="C1234" s="233">
        <v>14</v>
      </c>
      <c r="D1234" s="234">
        <v>0</v>
      </c>
      <c r="E1234" s="234">
        <v>1</v>
      </c>
      <c r="G1234" s="443"/>
      <c r="H1234" s="444" t="s">
        <v>38</v>
      </c>
      <c r="I1234" s="445" t="s">
        <v>4531</v>
      </c>
      <c r="J1234" s="446" t="s">
        <v>2769</v>
      </c>
      <c r="K1234" s="447"/>
      <c r="L1234" s="448"/>
      <c r="M1234" s="448"/>
      <c r="N1234" s="449">
        <v>1111.33325427872</v>
      </c>
      <c r="O1234" s="502"/>
      <c r="P1234" s="435"/>
    </row>
    <row r="1235" spans="1:16" ht="13.9" hidden="1" customHeight="1" outlineLevel="2" x14ac:dyDescent="0.2">
      <c r="A1235" s="233">
        <v>0</v>
      </c>
      <c r="B1235" s="233">
        <v>9</v>
      </c>
      <c r="C1235" s="233">
        <v>14</v>
      </c>
      <c r="D1235" s="234">
        <v>1</v>
      </c>
      <c r="E1235" s="234">
        <v>0</v>
      </c>
      <c r="G1235" s="474"/>
      <c r="H1235" s="451" t="s">
        <v>1237</v>
      </c>
      <c r="I1235" s="452" t="s">
        <v>4532</v>
      </c>
      <c r="J1235" s="453" t="s">
        <v>2755</v>
      </c>
      <c r="K1235" s="454"/>
      <c r="L1235" s="455"/>
      <c r="M1235" s="455"/>
      <c r="N1235" s="456">
        <v>80.096612052258806</v>
      </c>
      <c r="O1235" s="472"/>
      <c r="P1235" s="430"/>
    </row>
    <row r="1236" spans="1:16" ht="13.9" hidden="1" customHeight="1" outlineLevel="3" x14ac:dyDescent="0.2">
      <c r="A1236" s="233">
        <v>0</v>
      </c>
      <c r="B1236" s="233">
        <v>9</v>
      </c>
      <c r="C1236" s="233">
        <v>14</v>
      </c>
      <c r="D1236" s="234">
        <v>1</v>
      </c>
      <c r="E1236" s="234">
        <v>1</v>
      </c>
      <c r="G1236" s="458" t="s">
        <v>18</v>
      </c>
      <c r="H1236" s="459" t="s">
        <v>1238</v>
      </c>
      <c r="I1236" s="460" t="s">
        <v>4533</v>
      </c>
      <c r="J1236" s="461" t="s">
        <v>2755</v>
      </c>
      <c r="K1236" s="462" t="s">
        <v>1129</v>
      </c>
      <c r="L1236" s="463">
        <v>1</v>
      </c>
      <c r="M1236" s="463">
        <v>80.096612052258791</v>
      </c>
      <c r="N1236" s="464">
        <v>80.096612052258806</v>
      </c>
      <c r="O1236" s="471" t="s">
        <v>3000</v>
      </c>
      <c r="P1236" s="431" t="s">
        <v>6711</v>
      </c>
    </row>
    <row r="1237" spans="1:16" ht="13.9" hidden="1" customHeight="1" outlineLevel="2" x14ac:dyDescent="0.2">
      <c r="A1237" s="233">
        <v>0</v>
      </c>
      <c r="B1237" s="233">
        <v>9</v>
      </c>
      <c r="C1237" s="233">
        <v>14</v>
      </c>
      <c r="D1237" s="234">
        <v>2</v>
      </c>
      <c r="E1237" s="234">
        <v>0</v>
      </c>
      <c r="G1237" s="474"/>
      <c r="H1237" s="451" t="s">
        <v>1237</v>
      </c>
      <c r="I1237" s="452" t="s">
        <v>4534</v>
      </c>
      <c r="J1237" s="453" t="s">
        <v>14</v>
      </c>
      <c r="K1237" s="454"/>
      <c r="L1237" s="455"/>
      <c r="M1237" s="455"/>
      <c r="N1237" s="456">
        <v>1031.2366422264599</v>
      </c>
      <c r="O1237" s="472"/>
      <c r="P1237" s="430"/>
    </row>
    <row r="1238" spans="1:16" ht="13.9" hidden="1" customHeight="1" outlineLevel="3" x14ac:dyDescent="0.2">
      <c r="A1238" s="233">
        <v>0</v>
      </c>
      <c r="B1238" s="233">
        <v>9</v>
      </c>
      <c r="C1238" s="233">
        <v>14</v>
      </c>
      <c r="D1238" s="234">
        <v>2</v>
      </c>
      <c r="E1238" s="234">
        <v>1</v>
      </c>
      <c r="G1238" s="458" t="s">
        <v>18</v>
      </c>
      <c r="H1238" s="459" t="s">
        <v>1238</v>
      </c>
      <c r="I1238" s="460" t="s">
        <v>4535</v>
      </c>
      <c r="J1238" s="461" t="s">
        <v>1258</v>
      </c>
      <c r="K1238" s="462" t="s">
        <v>1129</v>
      </c>
      <c r="L1238" s="463">
        <v>1</v>
      </c>
      <c r="M1238" s="463">
        <v>1031.2366422264606</v>
      </c>
      <c r="N1238" s="464">
        <v>1031.2366422264599</v>
      </c>
      <c r="O1238" s="471" t="s">
        <v>3000</v>
      </c>
      <c r="P1238" s="431" t="s">
        <v>6711</v>
      </c>
    </row>
    <row r="1239" spans="1:16" ht="13.9" customHeight="1" collapsed="1" x14ac:dyDescent="0.2">
      <c r="A1239" s="233">
        <v>0</v>
      </c>
      <c r="B1239" s="233">
        <v>10</v>
      </c>
      <c r="C1239" s="233">
        <v>0</v>
      </c>
      <c r="D1239" s="234">
        <v>2</v>
      </c>
      <c r="E1239" s="234">
        <v>1</v>
      </c>
      <c r="F1239" s="237"/>
      <c r="G1239" s="501"/>
      <c r="H1239" s="437" t="s">
        <v>1236</v>
      </c>
      <c r="I1239" s="438" t="s">
        <v>4536</v>
      </c>
      <c r="J1239" s="439" t="s">
        <v>19</v>
      </c>
      <c r="K1239" s="440"/>
      <c r="L1239" s="441"/>
      <c r="M1239" s="441"/>
      <c r="N1239" s="442">
        <v>7315899.7379999999</v>
      </c>
      <c r="O1239" s="480">
        <v>436.778738805003</v>
      </c>
      <c r="P1239" s="434"/>
    </row>
    <row r="1240" spans="1:16" ht="13.9" hidden="1" customHeight="1" outlineLevel="1" x14ac:dyDescent="0.2">
      <c r="A1240" s="233">
        <v>0</v>
      </c>
      <c r="B1240" s="233">
        <v>10</v>
      </c>
      <c r="C1240" s="233">
        <v>1</v>
      </c>
      <c r="D1240" s="234">
        <v>0</v>
      </c>
      <c r="E1240" s="234">
        <v>1</v>
      </c>
      <c r="G1240" s="473"/>
      <c r="H1240" s="444" t="s">
        <v>38</v>
      </c>
      <c r="I1240" s="445" t="s">
        <v>4537</v>
      </c>
      <c r="J1240" s="446" t="s">
        <v>19</v>
      </c>
      <c r="K1240" s="447"/>
      <c r="L1240" s="448"/>
      <c r="M1240" s="448"/>
      <c r="N1240" s="449">
        <v>7315899.7379999999</v>
      </c>
      <c r="O1240" s="432"/>
      <c r="P1240" s="435"/>
    </row>
    <row r="1241" spans="1:16" ht="13.9" hidden="1" customHeight="1" outlineLevel="2" x14ac:dyDescent="0.2">
      <c r="A1241" s="233">
        <v>0</v>
      </c>
      <c r="B1241" s="233">
        <v>10</v>
      </c>
      <c r="C1241" s="233">
        <v>1</v>
      </c>
      <c r="D1241" s="234">
        <v>1</v>
      </c>
      <c r="E1241" s="234">
        <v>0</v>
      </c>
      <c r="G1241" s="474"/>
      <c r="H1241" s="451" t="s">
        <v>1237</v>
      </c>
      <c r="I1241" s="452" t="s">
        <v>4538</v>
      </c>
      <c r="J1241" s="453" t="s">
        <v>2335</v>
      </c>
      <c r="K1241" s="454"/>
      <c r="L1241" s="455"/>
      <c r="M1241" s="455"/>
      <c r="N1241" s="456">
        <v>335622.94799999997</v>
      </c>
      <c r="O1241" s="457"/>
      <c r="P1241" s="430"/>
    </row>
    <row r="1242" spans="1:16" ht="13.9" hidden="1" customHeight="1" outlineLevel="3" x14ac:dyDescent="0.2">
      <c r="A1242" s="233">
        <v>0</v>
      </c>
      <c r="B1242" s="233">
        <v>10</v>
      </c>
      <c r="C1242" s="233">
        <v>1</v>
      </c>
      <c r="D1242" s="234">
        <v>1</v>
      </c>
      <c r="E1242" s="234">
        <v>1</v>
      </c>
      <c r="G1242" s="458" t="s">
        <v>2134</v>
      </c>
      <c r="H1242" s="459" t="s">
        <v>1238</v>
      </c>
      <c r="I1242" s="460" t="s">
        <v>4539</v>
      </c>
      <c r="J1242" s="461" t="s">
        <v>2244</v>
      </c>
      <c r="K1242" s="462" t="s">
        <v>1129</v>
      </c>
      <c r="L1242" s="463">
        <v>1</v>
      </c>
      <c r="M1242" s="463">
        <v>84457.098000000013</v>
      </c>
      <c r="N1242" s="464">
        <v>84457.097999999998</v>
      </c>
      <c r="O1242" s="465"/>
      <c r="P1242" s="431" t="s">
        <v>6711</v>
      </c>
    </row>
    <row r="1243" spans="1:16" ht="13.9" hidden="1" customHeight="1" outlineLevel="3" x14ac:dyDescent="0.2">
      <c r="A1243" s="233">
        <v>0</v>
      </c>
      <c r="B1243" s="233">
        <v>10</v>
      </c>
      <c r="C1243" s="233">
        <v>1</v>
      </c>
      <c r="D1243" s="234">
        <v>1</v>
      </c>
      <c r="E1243" s="234">
        <v>2</v>
      </c>
      <c r="G1243" s="458" t="s">
        <v>2134</v>
      </c>
      <c r="H1243" s="459" t="s">
        <v>1238</v>
      </c>
      <c r="I1243" s="460" t="s">
        <v>4540</v>
      </c>
      <c r="J1243" s="461" t="s">
        <v>2754</v>
      </c>
      <c r="K1243" s="462" t="s">
        <v>1129</v>
      </c>
      <c r="L1243" s="463">
        <v>1</v>
      </c>
      <c r="M1243" s="463">
        <v>251165.85</v>
      </c>
      <c r="N1243" s="464">
        <v>251165.85</v>
      </c>
      <c r="O1243" s="465"/>
      <c r="P1243" s="431" t="s">
        <v>6711</v>
      </c>
    </row>
    <row r="1244" spans="1:16" ht="13.9" hidden="1" customHeight="1" outlineLevel="2" x14ac:dyDescent="0.2">
      <c r="A1244" s="233">
        <v>0</v>
      </c>
      <c r="B1244" s="233">
        <v>10</v>
      </c>
      <c r="C1244" s="233">
        <v>1</v>
      </c>
      <c r="D1244" s="234">
        <v>2</v>
      </c>
      <c r="E1244" s="234">
        <v>0</v>
      </c>
      <c r="G1244" s="474"/>
      <c r="H1244" s="451" t="s">
        <v>1237</v>
      </c>
      <c r="I1244" s="452" t="s">
        <v>4541</v>
      </c>
      <c r="J1244" s="453" t="s">
        <v>20</v>
      </c>
      <c r="K1244" s="454"/>
      <c r="L1244" s="455"/>
      <c r="M1244" s="455"/>
      <c r="N1244" s="456">
        <v>6949076.79</v>
      </c>
      <c r="O1244" s="457"/>
      <c r="P1244" s="430"/>
    </row>
    <row r="1245" spans="1:16" ht="13.9" hidden="1" customHeight="1" outlineLevel="3" x14ac:dyDescent="0.2">
      <c r="A1245" s="233">
        <v>0</v>
      </c>
      <c r="B1245" s="233">
        <v>10</v>
      </c>
      <c r="C1245" s="233">
        <v>1</v>
      </c>
      <c r="D1245" s="234">
        <v>2</v>
      </c>
      <c r="E1245" s="234">
        <v>1</v>
      </c>
      <c r="G1245" s="458" t="s">
        <v>2134</v>
      </c>
      <c r="H1245" s="459" t="s">
        <v>1238</v>
      </c>
      <c r="I1245" s="460" t="s">
        <v>4542</v>
      </c>
      <c r="J1245" s="461" t="s">
        <v>3002</v>
      </c>
      <c r="K1245" s="462" t="s">
        <v>533</v>
      </c>
      <c r="L1245" s="463">
        <v>1</v>
      </c>
      <c r="M1245" s="463">
        <v>72000</v>
      </c>
      <c r="N1245" s="464">
        <v>72000</v>
      </c>
      <c r="O1245" s="471" t="s">
        <v>3004</v>
      </c>
      <c r="P1245" s="431" t="s">
        <v>6711</v>
      </c>
    </row>
    <row r="1246" spans="1:16" ht="13.9" hidden="1" customHeight="1" outlineLevel="3" x14ac:dyDescent="0.2">
      <c r="A1246" s="233">
        <v>0</v>
      </c>
      <c r="B1246" s="233">
        <v>10</v>
      </c>
      <c r="C1246" s="233">
        <v>1</v>
      </c>
      <c r="D1246" s="234">
        <v>2</v>
      </c>
      <c r="E1246" s="234">
        <v>2</v>
      </c>
      <c r="G1246" s="458" t="s">
        <v>2134</v>
      </c>
      <c r="H1246" s="459" t="s">
        <v>1238</v>
      </c>
      <c r="I1246" s="460" t="s">
        <v>4543</v>
      </c>
      <c r="J1246" s="461" t="s">
        <v>3003</v>
      </c>
      <c r="K1246" s="462" t="s">
        <v>533</v>
      </c>
      <c r="L1246" s="463">
        <v>1</v>
      </c>
      <c r="M1246" s="463">
        <v>29342.86</v>
      </c>
      <c r="N1246" s="464">
        <v>29342.86</v>
      </c>
      <c r="O1246" s="471" t="s">
        <v>3004</v>
      </c>
      <c r="P1246" s="431" t="s">
        <v>6711</v>
      </c>
    </row>
    <row r="1247" spans="1:16" ht="13.9" hidden="1" customHeight="1" outlineLevel="3" x14ac:dyDescent="0.2">
      <c r="A1247" s="233">
        <v>0</v>
      </c>
      <c r="B1247" s="233">
        <v>10</v>
      </c>
      <c r="C1247" s="233">
        <v>1</v>
      </c>
      <c r="D1247" s="234">
        <v>2</v>
      </c>
      <c r="E1247" s="234">
        <v>3</v>
      </c>
      <c r="G1247" s="458" t="s">
        <v>2134</v>
      </c>
      <c r="H1247" s="459" t="s">
        <v>1238</v>
      </c>
      <c r="I1247" s="460" t="s">
        <v>4544</v>
      </c>
      <c r="J1247" s="461" t="s">
        <v>2690</v>
      </c>
      <c r="K1247" s="462" t="s">
        <v>533</v>
      </c>
      <c r="L1247" s="463">
        <v>1</v>
      </c>
      <c r="M1247" s="463">
        <v>1175729.5900000001</v>
      </c>
      <c r="N1247" s="464">
        <v>1175729.5900000001</v>
      </c>
      <c r="O1247" s="465" t="s">
        <v>2336</v>
      </c>
      <c r="P1247" s="431" t="s">
        <v>6711</v>
      </c>
    </row>
    <row r="1248" spans="1:16" ht="13.9" hidden="1" customHeight="1" outlineLevel="3" x14ac:dyDescent="0.2">
      <c r="A1248" s="233">
        <v>0</v>
      </c>
      <c r="B1248" s="233">
        <v>10</v>
      </c>
      <c r="C1248" s="233">
        <v>1</v>
      </c>
      <c r="D1248" s="234">
        <v>2</v>
      </c>
      <c r="E1248" s="234">
        <v>4</v>
      </c>
      <c r="G1248" s="458" t="s">
        <v>2134</v>
      </c>
      <c r="H1248" s="459" t="s">
        <v>1238</v>
      </c>
      <c r="I1248" s="460" t="s">
        <v>4545</v>
      </c>
      <c r="J1248" s="461" t="s">
        <v>2691</v>
      </c>
      <c r="K1248" s="462" t="s">
        <v>533</v>
      </c>
      <c r="L1248" s="463">
        <v>2</v>
      </c>
      <c r="M1248" s="463">
        <v>1486002.17</v>
      </c>
      <c r="N1248" s="464">
        <v>2972004.34</v>
      </c>
      <c r="O1248" s="465" t="s">
        <v>2336</v>
      </c>
      <c r="P1248" s="431" t="s">
        <v>6711</v>
      </c>
    </row>
    <row r="1249" spans="1:16" ht="13.9" hidden="1" customHeight="1" outlineLevel="3" x14ac:dyDescent="0.2">
      <c r="A1249" s="233">
        <v>0</v>
      </c>
      <c r="B1249" s="233">
        <v>10</v>
      </c>
      <c r="C1249" s="233">
        <v>1</v>
      </c>
      <c r="D1249" s="234">
        <v>2</v>
      </c>
      <c r="E1249" s="234">
        <v>5</v>
      </c>
      <c r="G1249" s="458" t="s">
        <v>2134</v>
      </c>
      <c r="H1249" s="459" t="s">
        <v>1238</v>
      </c>
      <c r="I1249" s="460" t="s">
        <v>4546</v>
      </c>
      <c r="J1249" s="461" t="s">
        <v>2692</v>
      </c>
      <c r="K1249" s="462" t="s">
        <v>533</v>
      </c>
      <c r="L1249" s="463">
        <v>2</v>
      </c>
      <c r="M1249" s="463">
        <v>1350000</v>
      </c>
      <c r="N1249" s="464">
        <v>2700000</v>
      </c>
      <c r="O1249" s="471" t="s">
        <v>3001</v>
      </c>
      <c r="P1249" s="431" t="s">
        <v>6711</v>
      </c>
    </row>
    <row r="1250" spans="1:16" ht="13.9" hidden="1" customHeight="1" outlineLevel="2" x14ac:dyDescent="0.2">
      <c r="A1250" s="233">
        <v>0</v>
      </c>
      <c r="B1250" s="233">
        <v>10</v>
      </c>
      <c r="C1250" s="233">
        <v>1</v>
      </c>
      <c r="D1250" s="234">
        <v>3</v>
      </c>
      <c r="E1250" s="234">
        <v>0</v>
      </c>
      <c r="G1250" s="474"/>
      <c r="H1250" s="451" t="s">
        <v>1237</v>
      </c>
      <c r="I1250" s="452" t="s">
        <v>4547</v>
      </c>
      <c r="J1250" s="453" t="s">
        <v>2245</v>
      </c>
      <c r="K1250" s="454"/>
      <c r="L1250" s="455"/>
      <c r="M1250" s="455"/>
      <c r="N1250" s="456">
        <v>31200</v>
      </c>
      <c r="O1250" s="457"/>
      <c r="P1250" s="430"/>
    </row>
    <row r="1251" spans="1:16" ht="13.9" hidden="1" customHeight="1" outlineLevel="3" x14ac:dyDescent="0.2">
      <c r="A1251" s="233">
        <v>0</v>
      </c>
      <c r="B1251" s="233">
        <v>10</v>
      </c>
      <c r="C1251" s="233">
        <v>1</v>
      </c>
      <c r="D1251" s="234">
        <v>3</v>
      </c>
      <c r="E1251" s="234">
        <v>1</v>
      </c>
      <c r="G1251" s="458" t="s">
        <v>2134</v>
      </c>
      <c r="H1251" s="459" t="s">
        <v>1238</v>
      </c>
      <c r="I1251" s="460" t="s">
        <v>4548</v>
      </c>
      <c r="J1251" s="461" t="s">
        <v>2245</v>
      </c>
      <c r="K1251" s="462" t="s">
        <v>533</v>
      </c>
      <c r="L1251" s="463">
        <v>48</v>
      </c>
      <c r="M1251" s="463">
        <v>650</v>
      </c>
      <c r="N1251" s="464">
        <v>31200</v>
      </c>
      <c r="O1251" s="475" t="s">
        <v>2800</v>
      </c>
      <c r="P1251" s="431" t="s">
        <v>6711</v>
      </c>
    </row>
    <row r="1252" spans="1:16" ht="13.9" customHeight="1" collapsed="1" x14ac:dyDescent="0.2">
      <c r="A1252" s="233">
        <v>0</v>
      </c>
      <c r="B1252" s="233">
        <v>11</v>
      </c>
      <c r="C1252" s="233">
        <v>0</v>
      </c>
      <c r="D1252" s="234">
        <v>3</v>
      </c>
      <c r="E1252" s="234">
        <v>1</v>
      </c>
      <c r="F1252" s="237"/>
      <c r="G1252" s="501"/>
      <c r="H1252" s="437" t="s">
        <v>1236</v>
      </c>
      <c r="I1252" s="438" t="s">
        <v>4549</v>
      </c>
      <c r="J1252" s="439" t="s">
        <v>2337</v>
      </c>
      <c r="K1252" s="440"/>
      <c r="L1252" s="441"/>
      <c r="M1252" s="441"/>
      <c r="N1252" s="442">
        <v>933451.700000001</v>
      </c>
      <c r="O1252" s="480">
        <v>55.7295576569568</v>
      </c>
      <c r="P1252" s="434"/>
    </row>
    <row r="1253" spans="1:16" ht="13.9" hidden="1" customHeight="1" outlineLevel="1" x14ac:dyDescent="0.2">
      <c r="A1253" s="233">
        <v>0</v>
      </c>
      <c r="B1253" s="233">
        <v>11</v>
      </c>
      <c r="C1253" s="233">
        <v>1</v>
      </c>
      <c r="D1253" s="234">
        <v>0</v>
      </c>
      <c r="E1253" s="234">
        <v>1</v>
      </c>
      <c r="G1253" s="443"/>
      <c r="H1253" s="444" t="s">
        <v>38</v>
      </c>
      <c r="I1253" s="445" t="s">
        <v>4550</v>
      </c>
      <c r="J1253" s="446" t="s">
        <v>3029</v>
      </c>
      <c r="K1253" s="447"/>
      <c r="L1253" s="448"/>
      <c r="M1253" s="448"/>
      <c r="N1253" s="449">
        <v>50951.783772002098</v>
      </c>
      <c r="O1253" s="432"/>
      <c r="P1253" s="435"/>
    </row>
    <row r="1254" spans="1:16" ht="13.9" hidden="1" customHeight="1" outlineLevel="2" x14ac:dyDescent="0.2">
      <c r="A1254" s="233">
        <v>0</v>
      </c>
      <c r="B1254" s="233">
        <v>11</v>
      </c>
      <c r="C1254" s="233">
        <v>1</v>
      </c>
      <c r="D1254" s="234">
        <v>1</v>
      </c>
      <c r="E1254" s="234">
        <v>0</v>
      </c>
      <c r="G1254" s="450"/>
      <c r="H1254" s="451" t="s">
        <v>1237</v>
      </c>
      <c r="I1254" s="452" t="s">
        <v>4551</v>
      </c>
      <c r="J1254" s="453" t="s">
        <v>1285</v>
      </c>
      <c r="K1254" s="454"/>
      <c r="L1254" s="455"/>
      <c r="M1254" s="455"/>
      <c r="N1254" s="456">
        <v>33389.609572922003</v>
      </c>
      <c r="O1254" s="457"/>
      <c r="P1254" s="430"/>
    </row>
    <row r="1255" spans="1:16" ht="33.75" hidden="1" customHeight="1" outlineLevel="3" x14ac:dyDescent="0.2">
      <c r="A1255" s="233">
        <v>0</v>
      </c>
      <c r="B1255" s="233">
        <v>11</v>
      </c>
      <c r="C1255" s="233">
        <v>1</v>
      </c>
      <c r="D1255" s="234">
        <v>1</v>
      </c>
      <c r="E1255" s="234">
        <v>1</v>
      </c>
      <c r="G1255" s="500" t="s">
        <v>2337</v>
      </c>
      <c r="H1255" s="459" t="s">
        <v>1238</v>
      </c>
      <c r="I1255" s="460" t="s">
        <v>4552</v>
      </c>
      <c r="J1255" s="461" t="s">
        <v>1259</v>
      </c>
      <c r="K1255" s="462" t="s">
        <v>1129</v>
      </c>
      <c r="L1255" s="463">
        <v>1</v>
      </c>
      <c r="M1255" s="463">
        <v>25725.178512731374</v>
      </c>
      <c r="N1255" s="464">
        <v>25725.1785127314</v>
      </c>
      <c r="O1255" s="471" t="s">
        <v>3005</v>
      </c>
      <c r="P1255" s="431" t="s">
        <v>6711</v>
      </c>
    </row>
    <row r="1256" spans="1:16" ht="33" hidden="1" customHeight="1" outlineLevel="3" x14ac:dyDescent="0.2">
      <c r="A1256" s="233">
        <v>0</v>
      </c>
      <c r="B1256" s="233">
        <v>11</v>
      </c>
      <c r="C1256" s="233">
        <v>1</v>
      </c>
      <c r="D1256" s="234">
        <v>1</v>
      </c>
      <c r="E1256" s="234">
        <v>2</v>
      </c>
      <c r="G1256" s="500" t="s">
        <v>2337</v>
      </c>
      <c r="H1256" s="459" t="s">
        <v>1238</v>
      </c>
      <c r="I1256" s="460" t="s">
        <v>4553</v>
      </c>
      <c r="J1256" s="461" t="s">
        <v>1260</v>
      </c>
      <c r="K1256" s="462" t="s">
        <v>1129</v>
      </c>
      <c r="L1256" s="463">
        <v>1</v>
      </c>
      <c r="M1256" s="463">
        <v>7664.4310601906218</v>
      </c>
      <c r="N1256" s="464">
        <v>7664.43106019062</v>
      </c>
      <c r="O1256" s="471" t="s">
        <v>3006</v>
      </c>
      <c r="P1256" s="431" t="s">
        <v>6711</v>
      </c>
    </row>
    <row r="1257" spans="1:16" ht="13.9" hidden="1" customHeight="1" outlineLevel="2" x14ac:dyDescent="0.2">
      <c r="A1257" s="233">
        <v>0</v>
      </c>
      <c r="B1257" s="233">
        <v>11</v>
      </c>
      <c r="C1257" s="233">
        <v>1</v>
      </c>
      <c r="D1257" s="234">
        <v>2</v>
      </c>
      <c r="E1257" s="234">
        <v>0</v>
      </c>
      <c r="G1257" s="450"/>
      <c r="H1257" s="451" t="s">
        <v>1237</v>
      </c>
      <c r="I1257" s="452" t="s">
        <v>4554</v>
      </c>
      <c r="J1257" s="453" t="s">
        <v>1615</v>
      </c>
      <c r="K1257" s="454"/>
      <c r="L1257" s="455"/>
      <c r="M1257" s="455"/>
      <c r="N1257" s="456">
        <v>1952.0394081353099</v>
      </c>
      <c r="O1257" s="457"/>
      <c r="P1257" s="430"/>
    </row>
    <row r="1258" spans="1:16" ht="13.9" hidden="1" customHeight="1" outlineLevel="3" x14ac:dyDescent="0.2">
      <c r="A1258" s="233">
        <v>0</v>
      </c>
      <c r="B1258" s="233">
        <v>11</v>
      </c>
      <c r="C1258" s="233">
        <v>1</v>
      </c>
      <c r="D1258" s="234">
        <v>2</v>
      </c>
      <c r="E1258" s="234">
        <v>1</v>
      </c>
      <c r="G1258" s="500" t="s">
        <v>2337</v>
      </c>
      <c r="H1258" s="459" t="s">
        <v>1238</v>
      </c>
      <c r="I1258" s="460" t="s">
        <v>4555</v>
      </c>
      <c r="J1258" s="461" t="s">
        <v>2716</v>
      </c>
      <c r="K1258" s="462" t="s">
        <v>1129</v>
      </c>
      <c r="L1258" s="463">
        <v>1</v>
      </c>
      <c r="M1258" s="463">
        <v>1952.0394081353129</v>
      </c>
      <c r="N1258" s="464">
        <v>1952.0394081353099</v>
      </c>
      <c r="O1258" s="465" t="s">
        <v>2718</v>
      </c>
      <c r="P1258" s="431" t="s">
        <v>6711</v>
      </c>
    </row>
    <row r="1259" spans="1:16" ht="13.9" hidden="1" customHeight="1" outlineLevel="2" x14ac:dyDescent="0.2">
      <c r="A1259" s="233">
        <v>0</v>
      </c>
      <c r="B1259" s="233">
        <v>11</v>
      </c>
      <c r="C1259" s="233">
        <v>1</v>
      </c>
      <c r="D1259" s="234">
        <v>3</v>
      </c>
      <c r="E1259" s="234">
        <v>0</v>
      </c>
      <c r="G1259" s="450"/>
      <c r="H1259" s="451" t="s">
        <v>1237</v>
      </c>
      <c r="I1259" s="452" t="s">
        <v>4556</v>
      </c>
      <c r="J1259" s="453" t="s">
        <v>2715</v>
      </c>
      <c r="K1259" s="454"/>
      <c r="L1259" s="455"/>
      <c r="M1259" s="455"/>
      <c r="N1259" s="456">
        <v>13757.921938028199</v>
      </c>
      <c r="O1259" s="457"/>
      <c r="P1259" s="430"/>
    </row>
    <row r="1260" spans="1:16" ht="13.9" hidden="1" customHeight="1" outlineLevel="3" x14ac:dyDescent="0.2">
      <c r="A1260" s="233">
        <v>0</v>
      </c>
      <c r="B1260" s="233">
        <v>11</v>
      </c>
      <c r="C1260" s="233">
        <v>1</v>
      </c>
      <c r="D1260" s="234">
        <v>3</v>
      </c>
      <c r="E1260" s="234">
        <v>1</v>
      </c>
      <c r="G1260" s="500" t="s">
        <v>2337</v>
      </c>
      <c r="H1260" s="459" t="s">
        <v>1238</v>
      </c>
      <c r="I1260" s="460" t="s">
        <v>4557</v>
      </c>
      <c r="J1260" s="461" t="s">
        <v>2717</v>
      </c>
      <c r="K1260" s="462" t="s">
        <v>1129</v>
      </c>
      <c r="L1260" s="463">
        <v>1</v>
      </c>
      <c r="M1260" s="463">
        <v>123.57732628053333</v>
      </c>
      <c r="N1260" s="464">
        <v>123.577326280533</v>
      </c>
      <c r="O1260" s="465" t="s">
        <v>2784</v>
      </c>
      <c r="P1260" s="431" t="s">
        <v>6711</v>
      </c>
    </row>
    <row r="1261" spans="1:16" ht="13.9" hidden="1" customHeight="1" outlineLevel="3" x14ac:dyDescent="0.2">
      <c r="A1261" s="233">
        <v>0</v>
      </c>
      <c r="B1261" s="233">
        <v>11</v>
      </c>
      <c r="C1261" s="233">
        <v>1</v>
      </c>
      <c r="D1261" s="234">
        <v>3</v>
      </c>
      <c r="E1261" s="234">
        <v>2</v>
      </c>
      <c r="G1261" s="500" t="s">
        <v>2337</v>
      </c>
      <c r="H1261" s="459" t="s">
        <v>1238</v>
      </c>
      <c r="I1261" s="460" t="s">
        <v>4558</v>
      </c>
      <c r="J1261" s="461" t="s">
        <v>3028</v>
      </c>
      <c r="K1261" s="462" t="s">
        <v>1129</v>
      </c>
      <c r="L1261" s="463">
        <v>1</v>
      </c>
      <c r="M1261" s="463">
        <v>13634.344611747627</v>
      </c>
      <c r="N1261" s="464">
        <v>13634.3446117476</v>
      </c>
      <c r="O1261" s="471" t="s">
        <v>3005</v>
      </c>
      <c r="P1261" s="431" t="s">
        <v>6711</v>
      </c>
    </row>
    <row r="1262" spans="1:16" ht="13.9" hidden="1" customHeight="1" outlineLevel="2" x14ac:dyDescent="0.2">
      <c r="A1262" s="233">
        <v>0</v>
      </c>
      <c r="B1262" s="233">
        <v>11</v>
      </c>
      <c r="C1262" s="233">
        <v>1</v>
      </c>
      <c r="D1262" s="234">
        <v>4</v>
      </c>
      <c r="E1262" s="234">
        <v>0</v>
      </c>
      <c r="G1262" s="450"/>
      <c r="H1262" s="451" t="s">
        <v>1237</v>
      </c>
      <c r="I1262" s="452" t="s">
        <v>4559</v>
      </c>
      <c r="J1262" s="453" t="s">
        <v>2338</v>
      </c>
      <c r="K1262" s="454"/>
      <c r="L1262" s="455"/>
      <c r="M1262" s="455"/>
      <c r="N1262" s="456">
        <v>0</v>
      </c>
      <c r="O1262" s="457"/>
      <c r="P1262" s="430"/>
    </row>
    <row r="1263" spans="1:16" ht="13.9" hidden="1" customHeight="1" outlineLevel="3" x14ac:dyDescent="0.2">
      <c r="A1263" s="233">
        <v>0</v>
      </c>
      <c r="B1263" s="233">
        <v>11</v>
      </c>
      <c r="C1263" s="233">
        <v>1</v>
      </c>
      <c r="D1263" s="234">
        <v>4</v>
      </c>
      <c r="E1263" s="234">
        <v>1</v>
      </c>
      <c r="G1263" s="500" t="s">
        <v>2337</v>
      </c>
      <c r="H1263" s="459" t="s">
        <v>1238</v>
      </c>
      <c r="I1263" s="460" t="s">
        <v>4560</v>
      </c>
      <c r="J1263" s="461" t="s">
        <v>2338</v>
      </c>
      <c r="K1263" s="462" t="s">
        <v>533</v>
      </c>
      <c r="L1263" s="463">
        <v>0</v>
      </c>
      <c r="M1263" s="463">
        <v>2262</v>
      </c>
      <c r="N1263" s="464">
        <v>0</v>
      </c>
      <c r="O1263" s="465" t="s">
        <v>2339</v>
      </c>
      <c r="P1263" s="431" t="s">
        <v>6711</v>
      </c>
    </row>
    <row r="1264" spans="1:16" ht="13.9" hidden="1" customHeight="1" outlineLevel="3" x14ac:dyDescent="0.2">
      <c r="A1264" s="233">
        <v>0</v>
      </c>
      <c r="B1264" s="233">
        <v>11</v>
      </c>
      <c r="C1264" s="233">
        <v>1</v>
      </c>
      <c r="D1264" s="234">
        <v>4</v>
      </c>
      <c r="E1264" s="234">
        <v>2</v>
      </c>
      <c r="G1264" s="500" t="s">
        <v>2337</v>
      </c>
      <c r="H1264" s="459" t="s">
        <v>1238</v>
      </c>
      <c r="I1264" s="460" t="s">
        <v>4561</v>
      </c>
      <c r="J1264" s="461" t="s">
        <v>2713</v>
      </c>
      <c r="K1264" s="462" t="s">
        <v>533</v>
      </c>
      <c r="L1264" s="463">
        <v>0</v>
      </c>
      <c r="M1264" s="463">
        <v>1100</v>
      </c>
      <c r="N1264" s="464">
        <v>0</v>
      </c>
      <c r="O1264" s="465" t="s">
        <v>2714</v>
      </c>
      <c r="P1264" s="431" t="s">
        <v>6711</v>
      </c>
    </row>
    <row r="1265" spans="1:16" ht="13.9" hidden="1" customHeight="1" outlineLevel="2" x14ac:dyDescent="0.2">
      <c r="A1265" s="233">
        <v>0</v>
      </c>
      <c r="B1265" s="233">
        <v>11</v>
      </c>
      <c r="C1265" s="233">
        <v>1</v>
      </c>
      <c r="D1265" s="234">
        <v>5</v>
      </c>
      <c r="E1265" s="234">
        <v>0</v>
      </c>
      <c r="G1265" s="450"/>
      <c r="H1265" s="451" t="s">
        <v>1237</v>
      </c>
      <c r="I1265" s="452" t="s">
        <v>4562</v>
      </c>
      <c r="J1265" s="453" t="s">
        <v>14</v>
      </c>
      <c r="K1265" s="454"/>
      <c r="L1265" s="455"/>
      <c r="M1265" s="455"/>
      <c r="N1265" s="456">
        <v>1852.21285291666</v>
      </c>
      <c r="O1265" s="457"/>
      <c r="P1265" s="430"/>
    </row>
    <row r="1266" spans="1:16" ht="13.9" hidden="1" customHeight="1" outlineLevel="3" x14ac:dyDescent="0.2">
      <c r="A1266" s="233">
        <v>0</v>
      </c>
      <c r="B1266" s="233">
        <v>11</v>
      </c>
      <c r="C1266" s="233">
        <v>1</v>
      </c>
      <c r="D1266" s="234">
        <v>5</v>
      </c>
      <c r="E1266" s="234">
        <v>1</v>
      </c>
      <c r="G1266" s="500" t="s">
        <v>2337</v>
      </c>
      <c r="H1266" s="459" t="s">
        <v>1238</v>
      </c>
      <c r="I1266" s="460" t="s">
        <v>4563</v>
      </c>
      <c r="J1266" s="461" t="s">
        <v>2340</v>
      </c>
      <c r="K1266" s="462" t="s">
        <v>1129</v>
      </c>
      <c r="L1266" s="463">
        <v>1</v>
      </c>
      <c r="M1266" s="463">
        <v>1852.2128529166589</v>
      </c>
      <c r="N1266" s="464">
        <v>1852.21285291666</v>
      </c>
      <c r="O1266" s="465" t="s">
        <v>3007</v>
      </c>
      <c r="P1266" s="431" t="s">
        <v>6711</v>
      </c>
    </row>
    <row r="1267" spans="1:16" ht="13.9" hidden="1" customHeight="1" outlineLevel="1" x14ac:dyDescent="0.2">
      <c r="A1267" s="233">
        <v>0</v>
      </c>
      <c r="B1267" s="233">
        <v>11</v>
      </c>
      <c r="C1267" s="233">
        <v>2</v>
      </c>
      <c r="D1267" s="234">
        <v>0</v>
      </c>
      <c r="E1267" s="234">
        <v>1</v>
      </c>
      <c r="G1267" s="443"/>
      <c r="H1267" s="444" t="s">
        <v>38</v>
      </c>
      <c r="I1267" s="445" t="s">
        <v>4564</v>
      </c>
      <c r="J1267" s="446" t="s">
        <v>3030</v>
      </c>
      <c r="K1267" s="447"/>
      <c r="L1267" s="448"/>
      <c r="M1267" s="448"/>
      <c r="N1267" s="449">
        <v>57957.020861254801</v>
      </c>
      <c r="O1267" s="432"/>
      <c r="P1267" s="435"/>
    </row>
    <row r="1268" spans="1:16" ht="13.9" hidden="1" customHeight="1" outlineLevel="2" x14ac:dyDescent="0.2">
      <c r="A1268" s="233">
        <v>0</v>
      </c>
      <c r="B1268" s="233">
        <v>11</v>
      </c>
      <c r="C1268" s="233">
        <v>2</v>
      </c>
      <c r="D1268" s="234">
        <v>1</v>
      </c>
      <c r="E1268" s="234">
        <v>0</v>
      </c>
      <c r="G1268" s="450"/>
      <c r="H1268" s="451" t="s">
        <v>1237</v>
      </c>
      <c r="I1268" s="452" t="s">
        <v>4565</v>
      </c>
      <c r="J1268" s="453" t="s">
        <v>1285</v>
      </c>
      <c r="K1268" s="454"/>
      <c r="L1268" s="455"/>
      <c r="M1268" s="455"/>
      <c r="N1268" s="456">
        <v>37980.2659554848</v>
      </c>
      <c r="O1268" s="457"/>
      <c r="P1268" s="430"/>
    </row>
    <row r="1269" spans="1:16" ht="33.75" hidden="1" customHeight="1" outlineLevel="3" x14ac:dyDescent="0.2">
      <c r="A1269" s="233">
        <v>0</v>
      </c>
      <c r="B1269" s="233">
        <v>11</v>
      </c>
      <c r="C1269" s="233">
        <v>2</v>
      </c>
      <c r="D1269" s="234">
        <v>1</v>
      </c>
      <c r="E1269" s="234">
        <v>1</v>
      </c>
      <c r="G1269" s="500" t="s">
        <v>2337</v>
      </c>
      <c r="H1269" s="459" t="s">
        <v>1238</v>
      </c>
      <c r="I1269" s="460" t="s">
        <v>4566</v>
      </c>
      <c r="J1269" s="461" t="s">
        <v>1259</v>
      </c>
      <c r="K1269" s="462" t="s">
        <v>1129</v>
      </c>
      <c r="L1269" s="463">
        <v>1</v>
      </c>
      <c r="M1269" s="463">
        <v>29262.070870640488</v>
      </c>
      <c r="N1269" s="464">
        <v>29262.070870640498</v>
      </c>
      <c r="O1269" s="471" t="s">
        <v>3005</v>
      </c>
      <c r="P1269" s="431" t="s">
        <v>6711</v>
      </c>
    </row>
    <row r="1270" spans="1:16" ht="33" hidden="1" customHeight="1" outlineLevel="3" x14ac:dyDescent="0.2">
      <c r="A1270" s="233">
        <v>0</v>
      </c>
      <c r="B1270" s="233">
        <v>11</v>
      </c>
      <c r="C1270" s="233">
        <v>2</v>
      </c>
      <c r="D1270" s="234">
        <v>1</v>
      </c>
      <c r="E1270" s="234">
        <v>2</v>
      </c>
      <c r="G1270" s="500" t="s">
        <v>2337</v>
      </c>
      <c r="H1270" s="459" t="s">
        <v>1238</v>
      </c>
      <c r="I1270" s="460" t="s">
        <v>4567</v>
      </c>
      <c r="J1270" s="461" t="s">
        <v>1260</v>
      </c>
      <c r="K1270" s="462" t="s">
        <v>1129</v>
      </c>
      <c r="L1270" s="463">
        <v>1</v>
      </c>
      <c r="M1270" s="463">
        <v>8718.1950848442739</v>
      </c>
      <c r="N1270" s="464">
        <v>8718.1950848442702</v>
      </c>
      <c r="O1270" s="471" t="s">
        <v>3006</v>
      </c>
      <c r="P1270" s="431" t="s">
        <v>6711</v>
      </c>
    </row>
    <row r="1271" spans="1:16" ht="13.9" hidden="1" customHeight="1" outlineLevel="2" x14ac:dyDescent="0.2">
      <c r="A1271" s="233">
        <v>0</v>
      </c>
      <c r="B1271" s="233">
        <v>11</v>
      </c>
      <c r="C1271" s="233">
        <v>2</v>
      </c>
      <c r="D1271" s="234">
        <v>2</v>
      </c>
      <c r="E1271" s="234">
        <v>0</v>
      </c>
      <c r="G1271" s="450"/>
      <c r="H1271" s="451" t="s">
        <v>1237</v>
      </c>
      <c r="I1271" s="452" t="s">
        <v>4568</v>
      </c>
      <c r="J1271" s="453" t="s">
        <v>1615</v>
      </c>
      <c r="K1271" s="454"/>
      <c r="L1271" s="455"/>
      <c r="M1271" s="455"/>
      <c r="N1271" s="456">
        <v>2220.4205686996402</v>
      </c>
      <c r="O1271" s="457"/>
      <c r="P1271" s="430"/>
    </row>
    <row r="1272" spans="1:16" ht="13.9" hidden="1" customHeight="1" outlineLevel="3" x14ac:dyDescent="0.2">
      <c r="A1272" s="233">
        <v>0</v>
      </c>
      <c r="B1272" s="233">
        <v>11</v>
      </c>
      <c r="C1272" s="233">
        <v>2</v>
      </c>
      <c r="D1272" s="234">
        <v>2</v>
      </c>
      <c r="E1272" s="234">
        <v>1</v>
      </c>
      <c r="G1272" s="500" t="s">
        <v>2337</v>
      </c>
      <c r="H1272" s="459" t="s">
        <v>1238</v>
      </c>
      <c r="I1272" s="460" t="s">
        <v>4569</v>
      </c>
      <c r="J1272" s="461" t="s">
        <v>2716</v>
      </c>
      <c r="K1272" s="462" t="s">
        <v>1129</v>
      </c>
      <c r="L1272" s="463">
        <v>1</v>
      </c>
      <c r="M1272" s="463">
        <v>2220.4205686996356</v>
      </c>
      <c r="N1272" s="464">
        <v>2220.4205686996402</v>
      </c>
      <c r="O1272" s="465" t="s">
        <v>2718</v>
      </c>
      <c r="P1272" s="431" t="s">
        <v>6711</v>
      </c>
    </row>
    <row r="1273" spans="1:16" ht="13.9" hidden="1" customHeight="1" outlineLevel="2" x14ac:dyDescent="0.2">
      <c r="A1273" s="233">
        <v>0</v>
      </c>
      <c r="B1273" s="233">
        <v>11</v>
      </c>
      <c r="C1273" s="233">
        <v>2</v>
      </c>
      <c r="D1273" s="234">
        <v>3</v>
      </c>
      <c r="E1273" s="234">
        <v>0</v>
      </c>
      <c r="G1273" s="450"/>
      <c r="H1273" s="451" t="s">
        <v>1237</v>
      </c>
      <c r="I1273" s="452" t="s">
        <v>4570</v>
      </c>
      <c r="J1273" s="453" t="s">
        <v>2715</v>
      </c>
      <c r="K1273" s="454"/>
      <c r="L1273" s="455"/>
      <c r="M1273" s="455"/>
      <c r="N1273" s="456">
        <v>15649.465234384301</v>
      </c>
      <c r="O1273" s="457"/>
      <c r="P1273" s="430"/>
    </row>
    <row r="1274" spans="1:16" ht="13.9" hidden="1" customHeight="1" outlineLevel="3" x14ac:dyDescent="0.2">
      <c r="A1274" s="233">
        <v>0</v>
      </c>
      <c r="B1274" s="233">
        <v>11</v>
      </c>
      <c r="C1274" s="233">
        <v>2</v>
      </c>
      <c r="D1274" s="234">
        <v>3</v>
      </c>
      <c r="E1274" s="234">
        <v>1</v>
      </c>
      <c r="G1274" s="500" t="s">
        <v>2337</v>
      </c>
      <c r="H1274" s="459" t="s">
        <v>1238</v>
      </c>
      <c r="I1274" s="460" t="s">
        <v>4571</v>
      </c>
      <c r="J1274" s="461" t="s">
        <v>2717</v>
      </c>
      <c r="K1274" s="462" t="s">
        <v>1129</v>
      </c>
      <c r="L1274" s="463">
        <v>1</v>
      </c>
      <c r="M1274" s="463">
        <v>140.56767294483925</v>
      </c>
      <c r="N1274" s="464">
        <v>140.56767294483899</v>
      </c>
      <c r="O1274" s="465" t="s">
        <v>2784</v>
      </c>
      <c r="P1274" s="431" t="s">
        <v>6711</v>
      </c>
    </row>
    <row r="1275" spans="1:16" ht="13.9" hidden="1" customHeight="1" outlineLevel="3" x14ac:dyDescent="0.2">
      <c r="A1275" s="233">
        <v>0</v>
      </c>
      <c r="B1275" s="233">
        <v>11</v>
      </c>
      <c r="C1275" s="233">
        <v>2</v>
      </c>
      <c r="D1275" s="234">
        <v>3</v>
      </c>
      <c r="E1275" s="234">
        <v>2</v>
      </c>
      <c r="G1275" s="500" t="s">
        <v>2337</v>
      </c>
      <c r="H1275" s="459" t="s">
        <v>1238</v>
      </c>
      <c r="I1275" s="460" t="s">
        <v>4572</v>
      </c>
      <c r="J1275" s="461" t="s">
        <v>3028</v>
      </c>
      <c r="K1275" s="462" t="s">
        <v>1129</v>
      </c>
      <c r="L1275" s="463">
        <v>1</v>
      </c>
      <c r="M1275" s="463">
        <v>15508.897561439459</v>
      </c>
      <c r="N1275" s="464">
        <v>15508.8975614395</v>
      </c>
      <c r="O1275" s="471" t="s">
        <v>3005</v>
      </c>
      <c r="P1275" s="431" t="s">
        <v>6711</v>
      </c>
    </row>
    <row r="1276" spans="1:16" ht="13.9" hidden="1" customHeight="1" outlineLevel="2" x14ac:dyDescent="0.2">
      <c r="A1276" s="233">
        <v>0</v>
      </c>
      <c r="B1276" s="233">
        <v>11</v>
      </c>
      <c r="C1276" s="233">
        <v>2</v>
      </c>
      <c r="D1276" s="234">
        <v>4</v>
      </c>
      <c r="E1276" s="234">
        <v>0</v>
      </c>
      <c r="G1276" s="450"/>
      <c r="H1276" s="451" t="s">
        <v>1237</v>
      </c>
      <c r="I1276" s="452" t="s">
        <v>4573</v>
      </c>
      <c r="J1276" s="453" t="s">
        <v>2338</v>
      </c>
      <c r="K1276" s="454"/>
      <c r="L1276" s="455"/>
      <c r="M1276" s="455"/>
      <c r="N1276" s="456">
        <v>0</v>
      </c>
      <c r="O1276" s="457"/>
      <c r="P1276" s="430"/>
    </row>
    <row r="1277" spans="1:16" ht="13.9" hidden="1" customHeight="1" outlineLevel="3" x14ac:dyDescent="0.2">
      <c r="A1277" s="233">
        <v>0</v>
      </c>
      <c r="B1277" s="233">
        <v>11</v>
      </c>
      <c r="C1277" s="233">
        <v>2</v>
      </c>
      <c r="D1277" s="234">
        <v>4</v>
      </c>
      <c r="E1277" s="234">
        <v>1</v>
      </c>
      <c r="G1277" s="500" t="s">
        <v>2337</v>
      </c>
      <c r="H1277" s="459" t="s">
        <v>1238</v>
      </c>
      <c r="I1277" s="460" t="s">
        <v>4574</v>
      </c>
      <c r="J1277" s="461" t="s">
        <v>2338</v>
      </c>
      <c r="K1277" s="462" t="s">
        <v>533</v>
      </c>
      <c r="L1277" s="463">
        <v>0</v>
      </c>
      <c r="M1277" s="463">
        <v>2262</v>
      </c>
      <c r="N1277" s="464">
        <v>0</v>
      </c>
      <c r="O1277" s="465" t="s">
        <v>2339</v>
      </c>
      <c r="P1277" s="431" t="s">
        <v>6711</v>
      </c>
    </row>
    <row r="1278" spans="1:16" ht="13.9" hidden="1" customHeight="1" outlineLevel="3" x14ac:dyDescent="0.2">
      <c r="A1278" s="233">
        <v>0</v>
      </c>
      <c r="B1278" s="233">
        <v>11</v>
      </c>
      <c r="C1278" s="233">
        <v>2</v>
      </c>
      <c r="D1278" s="234">
        <v>4</v>
      </c>
      <c r="E1278" s="234">
        <v>2</v>
      </c>
      <c r="G1278" s="500" t="s">
        <v>2337</v>
      </c>
      <c r="H1278" s="459" t="s">
        <v>1238</v>
      </c>
      <c r="I1278" s="460" t="s">
        <v>4575</v>
      </c>
      <c r="J1278" s="461" t="s">
        <v>2713</v>
      </c>
      <c r="K1278" s="462" t="s">
        <v>533</v>
      </c>
      <c r="L1278" s="463">
        <v>0</v>
      </c>
      <c r="M1278" s="463">
        <v>1100</v>
      </c>
      <c r="N1278" s="464">
        <v>0</v>
      </c>
      <c r="O1278" s="465" t="s">
        <v>2714</v>
      </c>
      <c r="P1278" s="431" t="s">
        <v>6711</v>
      </c>
    </row>
    <row r="1279" spans="1:16" ht="13.9" hidden="1" customHeight="1" outlineLevel="2" x14ac:dyDescent="0.2">
      <c r="A1279" s="233">
        <v>0</v>
      </c>
      <c r="B1279" s="233">
        <v>11</v>
      </c>
      <c r="C1279" s="233">
        <v>2</v>
      </c>
      <c r="D1279" s="234">
        <v>5</v>
      </c>
      <c r="E1279" s="234">
        <v>0</v>
      </c>
      <c r="G1279" s="450"/>
      <c r="H1279" s="451" t="s">
        <v>1237</v>
      </c>
      <c r="I1279" s="452" t="s">
        <v>4576</v>
      </c>
      <c r="J1279" s="453" t="s">
        <v>14</v>
      </c>
      <c r="K1279" s="454"/>
      <c r="L1279" s="455"/>
      <c r="M1279" s="455"/>
      <c r="N1279" s="456">
        <v>2106.8691026861202</v>
      </c>
      <c r="O1279" s="457"/>
      <c r="P1279" s="430"/>
    </row>
    <row r="1280" spans="1:16" ht="13.9" hidden="1" customHeight="1" outlineLevel="3" x14ac:dyDescent="0.2">
      <c r="A1280" s="233">
        <v>0</v>
      </c>
      <c r="B1280" s="233">
        <v>11</v>
      </c>
      <c r="C1280" s="233">
        <v>2</v>
      </c>
      <c r="D1280" s="234">
        <v>5</v>
      </c>
      <c r="E1280" s="234">
        <v>1</v>
      </c>
      <c r="G1280" s="500" t="s">
        <v>2337</v>
      </c>
      <c r="H1280" s="459" t="s">
        <v>1238</v>
      </c>
      <c r="I1280" s="460" t="s">
        <v>4577</v>
      </c>
      <c r="J1280" s="461" t="s">
        <v>2340</v>
      </c>
      <c r="K1280" s="462" t="s">
        <v>1129</v>
      </c>
      <c r="L1280" s="463">
        <v>1</v>
      </c>
      <c r="M1280" s="463">
        <v>2106.8691026861152</v>
      </c>
      <c r="N1280" s="464">
        <v>2106.8691026861202</v>
      </c>
      <c r="O1280" s="465" t="s">
        <v>3007</v>
      </c>
      <c r="P1280" s="431" t="s">
        <v>6711</v>
      </c>
    </row>
    <row r="1281" spans="1:16" ht="13.9" hidden="1" customHeight="1" outlineLevel="1" x14ac:dyDescent="0.2">
      <c r="A1281" s="233">
        <v>0</v>
      </c>
      <c r="B1281" s="233">
        <v>11</v>
      </c>
      <c r="C1281" s="233">
        <v>3</v>
      </c>
      <c r="D1281" s="234">
        <v>0</v>
      </c>
      <c r="E1281" s="234">
        <v>1</v>
      </c>
      <c r="G1281" s="443"/>
      <c r="H1281" s="444" t="s">
        <v>38</v>
      </c>
      <c r="I1281" s="445" t="s">
        <v>4578</v>
      </c>
      <c r="J1281" s="446" t="s">
        <v>3031</v>
      </c>
      <c r="K1281" s="447"/>
      <c r="L1281" s="448"/>
      <c r="M1281" s="448"/>
      <c r="N1281" s="449">
        <v>35785.331061010402</v>
      </c>
      <c r="O1281" s="432"/>
      <c r="P1281" s="435"/>
    </row>
    <row r="1282" spans="1:16" ht="13.9" hidden="1" customHeight="1" outlineLevel="2" x14ac:dyDescent="0.2">
      <c r="A1282" s="233">
        <v>0</v>
      </c>
      <c r="B1282" s="233">
        <v>11</v>
      </c>
      <c r="C1282" s="233">
        <v>3</v>
      </c>
      <c r="D1282" s="234">
        <v>1</v>
      </c>
      <c r="E1282" s="234">
        <v>0</v>
      </c>
      <c r="G1282" s="450"/>
      <c r="H1282" s="451" t="s">
        <v>1237</v>
      </c>
      <c r="I1282" s="452" t="s">
        <v>4579</v>
      </c>
      <c r="J1282" s="453" t="s">
        <v>1285</v>
      </c>
      <c r="K1282" s="454"/>
      <c r="L1282" s="455"/>
      <c r="M1282" s="455"/>
      <c r="N1282" s="456">
        <v>21247.585168463102</v>
      </c>
      <c r="O1282" s="457"/>
      <c r="P1282" s="430"/>
    </row>
    <row r="1283" spans="1:16" ht="33.75" hidden="1" customHeight="1" outlineLevel="3" x14ac:dyDescent="0.2">
      <c r="A1283" s="233">
        <v>0</v>
      </c>
      <c r="B1283" s="233">
        <v>11</v>
      </c>
      <c r="C1283" s="233">
        <v>3</v>
      </c>
      <c r="D1283" s="234">
        <v>1</v>
      </c>
      <c r="E1283" s="234">
        <v>1</v>
      </c>
      <c r="G1283" s="500" t="s">
        <v>2337</v>
      </c>
      <c r="H1283" s="459" t="s">
        <v>1238</v>
      </c>
      <c r="I1283" s="460" t="s">
        <v>4580</v>
      </c>
      <c r="J1283" s="461" t="s">
        <v>1259</v>
      </c>
      <c r="K1283" s="462" t="s">
        <v>1129</v>
      </c>
      <c r="L1283" s="463">
        <v>1</v>
      </c>
      <c r="M1283" s="463">
        <v>16370.299875157909</v>
      </c>
      <c r="N1283" s="464">
        <v>16370.2998751579</v>
      </c>
      <c r="O1283" s="471" t="s">
        <v>3005</v>
      </c>
      <c r="P1283" s="431" t="s">
        <v>6711</v>
      </c>
    </row>
    <row r="1284" spans="1:16" ht="33" hidden="1" customHeight="1" outlineLevel="3" x14ac:dyDescent="0.2">
      <c r="A1284" s="233">
        <v>0</v>
      </c>
      <c r="B1284" s="233">
        <v>11</v>
      </c>
      <c r="C1284" s="233">
        <v>3</v>
      </c>
      <c r="D1284" s="234">
        <v>1</v>
      </c>
      <c r="E1284" s="234">
        <v>2</v>
      </c>
      <c r="G1284" s="500" t="s">
        <v>2337</v>
      </c>
      <c r="H1284" s="459" t="s">
        <v>1238</v>
      </c>
      <c r="I1284" s="460" t="s">
        <v>4581</v>
      </c>
      <c r="J1284" s="461" t="s">
        <v>1260</v>
      </c>
      <c r="K1284" s="462" t="s">
        <v>1129</v>
      </c>
      <c r="L1284" s="463">
        <v>1</v>
      </c>
      <c r="M1284" s="463">
        <v>4877.2852933051718</v>
      </c>
      <c r="N1284" s="464">
        <v>4877.2852933051699</v>
      </c>
      <c r="O1284" s="471" t="s">
        <v>3006</v>
      </c>
      <c r="P1284" s="431" t="s">
        <v>6711</v>
      </c>
    </row>
    <row r="1285" spans="1:16" ht="13.9" hidden="1" customHeight="1" outlineLevel="2" x14ac:dyDescent="0.2">
      <c r="A1285" s="233">
        <v>0</v>
      </c>
      <c r="B1285" s="233">
        <v>11</v>
      </c>
      <c r="C1285" s="233">
        <v>3</v>
      </c>
      <c r="D1285" s="234">
        <v>2</v>
      </c>
      <c r="E1285" s="234">
        <v>0</v>
      </c>
      <c r="G1285" s="450"/>
      <c r="H1285" s="451" t="s">
        <v>1237</v>
      </c>
      <c r="I1285" s="452" t="s">
        <v>4582</v>
      </c>
      <c r="J1285" s="453" t="s">
        <v>1615</v>
      </c>
      <c r="K1285" s="454"/>
      <c r="L1285" s="455"/>
      <c r="M1285" s="455"/>
      <c r="N1285" s="456">
        <v>1242.1865396769199</v>
      </c>
      <c r="O1285" s="457"/>
      <c r="P1285" s="430"/>
    </row>
    <row r="1286" spans="1:16" ht="13.9" hidden="1" customHeight="1" outlineLevel="3" x14ac:dyDescent="0.2">
      <c r="A1286" s="233">
        <v>0</v>
      </c>
      <c r="B1286" s="233">
        <v>11</v>
      </c>
      <c r="C1286" s="233">
        <v>3</v>
      </c>
      <c r="D1286" s="234">
        <v>2</v>
      </c>
      <c r="E1286" s="234">
        <v>1</v>
      </c>
      <c r="G1286" s="500" t="s">
        <v>2337</v>
      </c>
      <c r="H1286" s="459" t="s">
        <v>1238</v>
      </c>
      <c r="I1286" s="460" t="s">
        <v>4583</v>
      </c>
      <c r="J1286" s="461" t="s">
        <v>2716</v>
      </c>
      <c r="K1286" s="462" t="s">
        <v>1129</v>
      </c>
      <c r="L1286" s="463">
        <v>1</v>
      </c>
      <c r="M1286" s="463">
        <v>1242.1865396769197</v>
      </c>
      <c r="N1286" s="464">
        <v>1242.1865396769199</v>
      </c>
      <c r="O1286" s="465" t="s">
        <v>2718</v>
      </c>
      <c r="P1286" s="431" t="s">
        <v>6711</v>
      </c>
    </row>
    <row r="1287" spans="1:16" ht="13.9" hidden="1" customHeight="1" outlineLevel="2" x14ac:dyDescent="0.2">
      <c r="A1287" s="233">
        <v>0</v>
      </c>
      <c r="B1287" s="233">
        <v>11</v>
      </c>
      <c r="C1287" s="233">
        <v>3</v>
      </c>
      <c r="D1287" s="234">
        <v>3</v>
      </c>
      <c r="E1287" s="234">
        <v>0</v>
      </c>
      <c r="G1287" s="450"/>
      <c r="H1287" s="451" t="s">
        <v>1237</v>
      </c>
      <c r="I1287" s="452" t="s">
        <v>4584</v>
      </c>
      <c r="J1287" s="453" t="s">
        <v>2715</v>
      </c>
      <c r="K1287" s="454"/>
      <c r="L1287" s="455"/>
      <c r="M1287" s="455"/>
      <c r="N1287" s="456">
        <v>8754.8977618589797</v>
      </c>
      <c r="O1287" s="457"/>
      <c r="P1287" s="430"/>
    </row>
    <row r="1288" spans="1:16" ht="13.9" hidden="1" customHeight="1" outlineLevel="3" x14ac:dyDescent="0.2">
      <c r="A1288" s="233">
        <v>0</v>
      </c>
      <c r="B1288" s="233">
        <v>11</v>
      </c>
      <c r="C1288" s="233">
        <v>3</v>
      </c>
      <c r="D1288" s="234">
        <v>3</v>
      </c>
      <c r="E1288" s="234">
        <v>1</v>
      </c>
      <c r="G1288" s="500" t="s">
        <v>2337</v>
      </c>
      <c r="H1288" s="459" t="s">
        <v>1238</v>
      </c>
      <c r="I1288" s="460" t="s">
        <v>4585</v>
      </c>
      <c r="J1288" s="461" t="s">
        <v>2717</v>
      </c>
      <c r="K1288" s="462" t="s">
        <v>1129</v>
      </c>
      <c r="L1288" s="463">
        <v>1</v>
      </c>
      <c r="M1288" s="463">
        <v>78.638828025289811</v>
      </c>
      <c r="N1288" s="464">
        <v>78.638828025289797</v>
      </c>
      <c r="O1288" s="465" t="s">
        <v>2784</v>
      </c>
      <c r="P1288" s="431" t="s">
        <v>6711</v>
      </c>
    </row>
    <row r="1289" spans="1:16" ht="13.9" hidden="1" customHeight="1" outlineLevel="3" x14ac:dyDescent="0.2">
      <c r="A1289" s="233">
        <v>0</v>
      </c>
      <c r="B1289" s="233">
        <v>11</v>
      </c>
      <c r="C1289" s="233">
        <v>3</v>
      </c>
      <c r="D1289" s="234">
        <v>3</v>
      </c>
      <c r="E1289" s="234">
        <v>2</v>
      </c>
      <c r="G1289" s="500" t="s">
        <v>2337</v>
      </c>
      <c r="H1289" s="459" t="s">
        <v>1238</v>
      </c>
      <c r="I1289" s="460" t="s">
        <v>4586</v>
      </c>
      <c r="J1289" s="461" t="s">
        <v>3028</v>
      </c>
      <c r="K1289" s="462" t="s">
        <v>1129</v>
      </c>
      <c r="L1289" s="463">
        <v>1</v>
      </c>
      <c r="M1289" s="463">
        <v>8676.2589338336911</v>
      </c>
      <c r="N1289" s="464">
        <v>8676.2589338336893</v>
      </c>
      <c r="O1289" s="471" t="s">
        <v>3005</v>
      </c>
      <c r="P1289" s="431" t="s">
        <v>6711</v>
      </c>
    </row>
    <row r="1290" spans="1:16" ht="13.9" hidden="1" customHeight="1" outlineLevel="2" x14ac:dyDescent="0.2">
      <c r="A1290" s="233">
        <v>0</v>
      </c>
      <c r="B1290" s="233">
        <v>11</v>
      </c>
      <c r="C1290" s="233">
        <v>3</v>
      </c>
      <c r="D1290" s="234">
        <v>4</v>
      </c>
      <c r="E1290" s="234">
        <v>0</v>
      </c>
      <c r="G1290" s="450"/>
      <c r="H1290" s="451" t="s">
        <v>1237</v>
      </c>
      <c r="I1290" s="452" t="s">
        <v>4587</v>
      </c>
      <c r="J1290" s="453" t="s">
        <v>2338</v>
      </c>
      <c r="K1290" s="454"/>
      <c r="L1290" s="455"/>
      <c r="M1290" s="455"/>
      <c r="N1290" s="456">
        <v>3362</v>
      </c>
      <c r="O1290" s="457"/>
      <c r="P1290" s="430"/>
    </row>
    <row r="1291" spans="1:16" ht="13.9" hidden="1" customHeight="1" outlineLevel="3" x14ac:dyDescent="0.2">
      <c r="A1291" s="233">
        <v>0</v>
      </c>
      <c r="B1291" s="233">
        <v>11</v>
      </c>
      <c r="C1291" s="233">
        <v>3</v>
      </c>
      <c r="D1291" s="234">
        <v>4</v>
      </c>
      <c r="E1291" s="234">
        <v>1</v>
      </c>
      <c r="G1291" s="500" t="s">
        <v>2337</v>
      </c>
      <c r="H1291" s="459" t="s">
        <v>1238</v>
      </c>
      <c r="I1291" s="460" t="s">
        <v>4588</v>
      </c>
      <c r="J1291" s="461" t="s">
        <v>2338</v>
      </c>
      <c r="K1291" s="462" t="s">
        <v>533</v>
      </c>
      <c r="L1291" s="463">
        <v>1</v>
      </c>
      <c r="M1291" s="463">
        <v>2262</v>
      </c>
      <c r="N1291" s="464">
        <v>2262</v>
      </c>
      <c r="O1291" s="465" t="s">
        <v>2339</v>
      </c>
      <c r="P1291" s="431" t="s">
        <v>6711</v>
      </c>
    </row>
    <row r="1292" spans="1:16" ht="13.9" hidden="1" customHeight="1" outlineLevel="3" x14ac:dyDescent="0.2">
      <c r="A1292" s="233">
        <v>0</v>
      </c>
      <c r="B1292" s="233">
        <v>11</v>
      </c>
      <c r="C1292" s="233">
        <v>3</v>
      </c>
      <c r="D1292" s="234">
        <v>4</v>
      </c>
      <c r="E1292" s="234">
        <v>2</v>
      </c>
      <c r="G1292" s="500" t="s">
        <v>2337</v>
      </c>
      <c r="H1292" s="459" t="s">
        <v>1238</v>
      </c>
      <c r="I1292" s="460" t="s">
        <v>4589</v>
      </c>
      <c r="J1292" s="461" t="s">
        <v>2713</v>
      </c>
      <c r="K1292" s="462" t="s">
        <v>533</v>
      </c>
      <c r="L1292" s="463">
        <v>1</v>
      </c>
      <c r="M1292" s="463">
        <v>1100</v>
      </c>
      <c r="N1292" s="464">
        <v>1100</v>
      </c>
      <c r="O1292" s="465" t="s">
        <v>2714</v>
      </c>
      <c r="P1292" s="431" t="s">
        <v>6711</v>
      </c>
    </row>
    <row r="1293" spans="1:16" ht="13.9" hidden="1" customHeight="1" outlineLevel="2" x14ac:dyDescent="0.2">
      <c r="A1293" s="233">
        <v>0</v>
      </c>
      <c r="B1293" s="233">
        <v>11</v>
      </c>
      <c r="C1293" s="233">
        <v>3</v>
      </c>
      <c r="D1293" s="234">
        <v>5</v>
      </c>
      <c r="E1293" s="234">
        <v>0</v>
      </c>
      <c r="G1293" s="450"/>
      <c r="H1293" s="451" t="s">
        <v>1237</v>
      </c>
      <c r="I1293" s="452" t="s">
        <v>4590</v>
      </c>
      <c r="J1293" s="453" t="s">
        <v>14</v>
      </c>
      <c r="K1293" s="454"/>
      <c r="L1293" s="455"/>
      <c r="M1293" s="455"/>
      <c r="N1293" s="456">
        <v>1178.6615910113701</v>
      </c>
      <c r="O1293" s="457"/>
      <c r="P1293" s="430"/>
    </row>
    <row r="1294" spans="1:16" ht="13.9" hidden="1" customHeight="1" outlineLevel="3" x14ac:dyDescent="0.2">
      <c r="A1294" s="233">
        <v>0</v>
      </c>
      <c r="B1294" s="233">
        <v>11</v>
      </c>
      <c r="C1294" s="233">
        <v>3</v>
      </c>
      <c r="D1294" s="234">
        <v>5</v>
      </c>
      <c r="E1294" s="234">
        <v>1</v>
      </c>
      <c r="G1294" s="500" t="s">
        <v>2337</v>
      </c>
      <c r="H1294" s="459" t="s">
        <v>1238</v>
      </c>
      <c r="I1294" s="460" t="s">
        <v>4591</v>
      </c>
      <c r="J1294" s="461" t="s">
        <v>2340</v>
      </c>
      <c r="K1294" s="462" t="s">
        <v>1129</v>
      </c>
      <c r="L1294" s="463">
        <v>1</v>
      </c>
      <c r="M1294" s="463">
        <v>1178.6615910113694</v>
      </c>
      <c r="N1294" s="464">
        <v>1178.6615910113701</v>
      </c>
      <c r="O1294" s="465" t="s">
        <v>3007</v>
      </c>
      <c r="P1294" s="431" t="s">
        <v>6711</v>
      </c>
    </row>
    <row r="1295" spans="1:16" ht="13.9" hidden="1" customHeight="1" outlineLevel="1" x14ac:dyDescent="0.2">
      <c r="A1295" s="233">
        <v>0</v>
      </c>
      <c r="B1295" s="233">
        <v>11</v>
      </c>
      <c r="C1295" s="233">
        <v>4</v>
      </c>
      <c r="D1295" s="234">
        <v>0</v>
      </c>
      <c r="E1295" s="234">
        <v>1</v>
      </c>
      <c r="G1295" s="443"/>
      <c r="H1295" s="444" t="s">
        <v>38</v>
      </c>
      <c r="I1295" s="445" t="s">
        <v>4592</v>
      </c>
      <c r="J1295" s="446" t="s">
        <v>3032</v>
      </c>
      <c r="K1295" s="447"/>
      <c r="L1295" s="448"/>
      <c r="M1295" s="448"/>
      <c r="N1295" s="449">
        <v>29163.228436539201</v>
      </c>
      <c r="O1295" s="432"/>
      <c r="P1295" s="435"/>
    </row>
    <row r="1296" spans="1:16" ht="13.9" hidden="1" customHeight="1" outlineLevel="2" x14ac:dyDescent="0.2">
      <c r="A1296" s="233">
        <v>0</v>
      </c>
      <c r="B1296" s="233">
        <v>11</v>
      </c>
      <c r="C1296" s="233">
        <v>4</v>
      </c>
      <c r="D1296" s="234">
        <v>1</v>
      </c>
      <c r="E1296" s="234">
        <v>0</v>
      </c>
      <c r="G1296" s="450"/>
      <c r="H1296" s="451" t="s">
        <v>1237</v>
      </c>
      <c r="I1296" s="452" t="s">
        <v>4593</v>
      </c>
      <c r="J1296" s="453" t="s">
        <v>1285</v>
      </c>
      <c r="K1296" s="454"/>
      <c r="L1296" s="455"/>
      <c r="M1296" s="455"/>
      <c r="N1296" s="456">
        <v>14704.8252513851</v>
      </c>
      <c r="O1296" s="457"/>
      <c r="P1296" s="430"/>
    </row>
    <row r="1297" spans="1:16" ht="33.75" hidden="1" customHeight="1" outlineLevel="3" x14ac:dyDescent="0.2">
      <c r="A1297" s="233">
        <v>0</v>
      </c>
      <c r="B1297" s="233">
        <v>11</v>
      </c>
      <c r="C1297" s="233">
        <v>4</v>
      </c>
      <c r="D1297" s="234">
        <v>1</v>
      </c>
      <c r="E1297" s="234">
        <v>1</v>
      </c>
      <c r="G1297" s="500" t="s">
        <v>2337</v>
      </c>
      <c r="H1297" s="459" t="s">
        <v>1238</v>
      </c>
      <c r="I1297" s="460" t="s">
        <v>4594</v>
      </c>
      <c r="J1297" s="461" t="s">
        <v>1259</v>
      </c>
      <c r="K1297" s="462" t="s">
        <v>1129</v>
      </c>
      <c r="L1297" s="463">
        <v>1</v>
      </c>
      <c r="M1297" s="463">
        <v>11329.400356246744</v>
      </c>
      <c r="N1297" s="464">
        <v>11329.400356246701</v>
      </c>
      <c r="O1297" s="471" t="s">
        <v>3005</v>
      </c>
      <c r="P1297" s="431" t="s">
        <v>6711</v>
      </c>
    </row>
    <row r="1298" spans="1:16" ht="33" hidden="1" customHeight="1" outlineLevel="3" x14ac:dyDescent="0.2">
      <c r="A1298" s="233">
        <v>0</v>
      </c>
      <c r="B1298" s="233">
        <v>11</v>
      </c>
      <c r="C1298" s="233">
        <v>4</v>
      </c>
      <c r="D1298" s="234">
        <v>1</v>
      </c>
      <c r="E1298" s="234">
        <v>2</v>
      </c>
      <c r="G1298" s="500" t="s">
        <v>2337</v>
      </c>
      <c r="H1298" s="459" t="s">
        <v>1238</v>
      </c>
      <c r="I1298" s="460" t="s">
        <v>4595</v>
      </c>
      <c r="J1298" s="461" t="s">
        <v>1260</v>
      </c>
      <c r="K1298" s="462" t="s">
        <v>1129</v>
      </c>
      <c r="L1298" s="463">
        <v>1</v>
      </c>
      <c r="M1298" s="463">
        <v>3375.4248951383738</v>
      </c>
      <c r="N1298" s="464">
        <v>3375.4248951383702</v>
      </c>
      <c r="O1298" s="471" t="s">
        <v>3006</v>
      </c>
      <c r="P1298" s="431" t="s">
        <v>6711</v>
      </c>
    </row>
    <row r="1299" spans="1:16" ht="13.9" hidden="1" customHeight="1" outlineLevel="2" x14ac:dyDescent="0.2">
      <c r="A1299" s="233">
        <v>0</v>
      </c>
      <c r="B1299" s="233">
        <v>11</v>
      </c>
      <c r="C1299" s="233">
        <v>4</v>
      </c>
      <c r="D1299" s="234">
        <v>2</v>
      </c>
      <c r="E1299" s="234">
        <v>0</v>
      </c>
      <c r="G1299" s="450"/>
      <c r="H1299" s="451" t="s">
        <v>1237</v>
      </c>
      <c r="I1299" s="452" t="s">
        <v>4596</v>
      </c>
      <c r="J1299" s="453" t="s">
        <v>1615</v>
      </c>
      <c r="K1299" s="454"/>
      <c r="L1299" s="455"/>
      <c r="M1299" s="455"/>
      <c r="N1299" s="456">
        <v>859.68056373218099</v>
      </c>
      <c r="O1299" s="457"/>
      <c r="P1299" s="430"/>
    </row>
    <row r="1300" spans="1:16" ht="13.9" hidden="1" customHeight="1" outlineLevel="3" x14ac:dyDescent="0.2">
      <c r="A1300" s="233">
        <v>0</v>
      </c>
      <c r="B1300" s="233">
        <v>11</v>
      </c>
      <c r="C1300" s="233">
        <v>4</v>
      </c>
      <c r="D1300" s="234">
        <v>2</v>
      </c>
      <c r="E1300" s="234">
        <v>1</v>
      </c>
      <c r="G1300" s="500" t="s">
        <v>2337</v>
      </c>
      <c r="H1300" s="459" t="s">
        <v>1238</v>
      </c>
      <c r="I1300" s="460" t="s">
        <v>4597</v>
      </c>
      <c r="J1300" s="461" t="s">
        <v>2716</v>
      </c>
      <c r="K1300" s="462" t="s">
        <v>1129</v>
      </c>
      <c r="L1300" s="463">
        <v>1</v>
      </c>
      <c r="M1300" s="463">
        <v>859.6805637321811</v>
      </c>
      <c r="N1300" s="464">
        <v>859.68056373218099</v>
      </c>
      <c r="O1300" s="465" t="s">
        <v>2718</v>
      </c>
      <c r="P1300" s="431" t="s">
        <v>6711</v>
      </c>
    </row>
    <row r="1301" spans="1:16" ht="13.9" hidden="1" customHeight="1" outlineLevel="2" x14ac:dyDescent="0.2">
      <c r="A1301" s="233">
        <v>0</v>
      </c>
      <c r="B1301" s="233">
        <v>11</v>
      </c>
      <c r="C1301" s="233">
        <v>4</v>
      </c>
      <c r="D1301" s="234">
        <v>3</v>
      </c>
      <c r="E1301" s="234">
        <v>0</v>
      </c>
      <c r="G1301" s="450"/>
      <c r="H1301" s="451" t="s">
        <v>1237</v>
      </c>
      <c r="I1301" s="452" t="s">
        <v>4598</v>
      </c>
      <c r="J1301" s="453" t="s">
        <v>2715</v>
      </c>
      <c r="K1301" s="454"/>
      <c r="L1301" s="455"/>
      <c r="M1301" s="455"/>
      <c r="N1301" s="456">
        <v>6059.0057957720901</v>
      </c>
      <c r="O1301" s="457"/>
      <c r="P1301" s="430"/>
    </row>
    <row r="1302" spans="1:16" ht="13.9" hidden="1" customHeight="1" outlineLevel="3" x14ac:dyDescent="0.2">
      <c r="A1302" s="233">
        <v>0</v>
      </c>
      <c r="B1302" s="233">
        <v>11</v>
      </c>
      <c r="C1302" s="233">
        <v>4</v>
      </c>
      <c r="D1302" s="234">
        <v>3</v>
      </c>
      <c r="E1302" s="234">
        <v>1</v>
      </c>
      <c r="G1302" s="500" t="s">
        <v>2337</v>
      </c>
      <c r="H1302" s="459" t="s">
        <v>1238</v>
      </c>
      <c r="I1302" s="460" t="s">
        <v>4599</v>
      </c>
      <c r="J1302" s="461" t="s">
        <v>2717</v>
      </c>
      <c r="K1302" s="462" t="s">
        <v>1129</v>
      </c>
      <c r="L1302" s="463">
        <v>1</v>
      </c>
      <c r="M1302" s="463">
        <v>54.423606961320296</v>
      </c>
      <c r="N1302" s="464">
        <v>54.423606961320303</v>
      </c>
      <c r="O1302" s="465" t="s">
        <v>2784</v>
      </c>
      <c r="P1302" s="431" t="s">
        <v>6711</v>
      </c>
    </row>
    <row r="1303" spans="1:16" ht="13.9" hidden="1" customHeight="1" outlineLevel="3" x14ac:dyDescent="0.2">
      <c r="A1303" s="233">
        <v>0</v>
      </c>
      <c r="B1303" s="233">
        <v>11</v>
      </c>
      <c r="C1303" s="233">
        <v>4</v>
      </c>
      <c r="D1303" s="234">
        <v>3</v>
      </c>
      <c r="E1303" s="234">
        <v>2</v>
      </c>
      <c r="G1303" s="500" t="s">
        <v>2337</v>
      </c>
      <c r="H1303" s="459" t="s">
        <v>1238</v>
      </c>
      <c r="I1303" s="460" t="s">
        <v>4600</v>
      </c>
      <c r="J1303" s="461" t="s">
        <v>3028</v>
      </c>
      <c r="K1303" s="462" t="s">
        <v>1129</v>
      </c>
      <c r="L1303" s="463">
        <v>1</v>
      </c>
      <c r="M1303" s="463">
        <v>6004.5821888107739</v>
      </c>
      <c r="N1303" s="464">
        <v>6004.5821888107703</v>
      </c>
      <c r="O1303" s="471" t="s">
        <v>3005</v>
      </c>
      <c r="P1303" s="431" t="s">
        <v>6711</v>
      </c>
    </row>
    <row r="1304" spans="1:16" ht="13.9" hidden="1" customHeight="1" outlineLevel="2" x14ac:dyDescent="0.2">
      <c r="A1304" s="233">
        <v>0</v>
      </c>
      <c r="B1304" s="233">
        <v>11</v>
      </c>
      <c r="C1304" s="233">
        <v>4</v>
      </c>
      <c r="D1304" s="234">
        <v>4</v>
      </c>
      <c r="E1304" s="234">
        <v>0</v>
      </c>
      <c r="G1304" s="450"/>
      <c r="H1304" s="451" t="s">
        <v>1237</v>
      </c>
      <c r="I1304" s="452" t="s">
        <v>4601</v>
      </c>
      <c r="J1304" s="453" t="s">
        <v>2338</v>
      </c>
      <c r="K1304" s="454"/>
      <c r="L1304" s="455"/>
      <c r="M1304" s="455"/>
      <c r="N1304" s="456">
        <v>6724</v>
      </c>
      <c r="O1304" s="457"/>
      <c r="P1304" s="430"/>
    </row>
    <row r="1305" spans="1:16" ht="13.9" hidden="1" customHeight="1" outlineLevel="3" x14ac:dyDescent="0.2">
      <c r="A1305" s="233">
        <v>0</v>
      </c>
      <c r="B1305" s="233">
        <v>11</v>
      </c>
      <c r="C1305" s="233">
        <v>4</v>
      </c>
      <c r="D1305" s="234">
        <v>4</v>
      </c>
      <c r="E1305" s="234">
        <v>1</v>
      </c>
      <c r="G1305" s="500" t="s">
        <v>2337</v>
      </c>
      <c r="H1305" s="459" t="s">
        <v>1238</v>
      </c>
      <c r="I1305" s="460" t="s">
        <v>4602</v>
      </c>
      <c r="J1305" s="461" t="s">
        <v>2338</v>
      </c>
      <c r="K1305" s="462" t="s">
        <v>533</v>
      </c>
      <c r="L1305" s="463">
        <v>2</v>
      </c>
      <c r="M1305" s="463">
        <v>2262</v>
      </c>
      <c r="N1305" s="464">
        <v>4524</v>
      </c>
      <c r="O1305" s="465" t="s">
        <v>2339</v>
      </c>
      <c r="P1305" s="431" t="s">
        <v>6711</v>
      </c>
    </row>
    <row r="1306" spans="1:16" ht="13.9" hidden="1" customHeight="1" outlineLevel="3" x14ac:dyDescent="0.2">
      <c r="A1306" s="233">
        <v>0</v>
      </c>
      <c r="B1306" s="233">
        <v>11</v>
      </c>
      <c r="C1306" s="233">
        <v>4</v>
      </c>
      <c r="D1306" s="234">
        <v>4</v>
      </c>
      <c r="E1306" s="234">
        <v>2</v>
      </c>
      <c r="G1306" s="500" t="s">
        <v>2337</v>
      </c>
      <c r="H1306" s="459" t="s">
        <v>1238</v>
      </c>
      <c r="I1306" s="460" t="s">
        <v>4603</v>
      </c>
      <c r="J1306" s="461" t="s">
        <v>2713</v>
      </c>
      <c r="K1306" s="462" t="s">
        <v>533</v>
      </c>
      <c r="L1306" s="463">
        <v>2</v>
      </c>
      <c r="M1306" s="463">
        <v>1100</v>
      </c>
      <c r="N1306" s="464">
        <v>2200</v>
      </c>
      <c r="O1306" s="465" t="s">
        <v>2714</v>
      </c>
      <c r="P1306" s="431" t="s">
        <v>6711</v>
      </c>
    </row>
    <row r="1307" spans="1:16" ht="13.9" hidden="1" customHeight="1" outlineLevel="2" x14ac:dyDescent="0.2">
      <c r="A1307" s="233">
        <v>0</v>
      </c>
      <c r="B1307" s="233">
        <v>11</v>
      </c>
      <c r="C1307" s="233">
        <v>4</v>
      </c>
      <c r="D1307" s="234">
        <v>5</v>
      </c>
      <c r="E1307" s="234">
        <v>0</v>
      </c>
      <c r="G1307" s="450"/>
      <c r="H1307" s="451" t="s">
        <v>1237</v>
      </c>
      <c r="I1307" s="452" t="s">
        <v>4604</v>
      </c>
      <c r="J1307" s="453" t="s">
        <v>14</v>
      </c>
      <c r="K1307" s="454"/>
      <c r="L1307" s="455"/>
      <c r="M1307" s="455"/>
      <c r="N1307" s="456">
        <v>815.71682564976504</v>
      </c>
      <c r="O1307" s="457"/>
      <c r="P1307" s="430"/>
    </row>
    <row r="1308" spans="1:16" ht="13.9" hidden="1" customHeight="1" outlineLevel="3" x14ac:dyDescent="0.2">
      <c r="A1308" s="233">
        <v>0</v>
      </c>
      <c r="B1308" s="233">
        <v>11</v>
      </c>
      <c r="C1308" s="233">
        <v>4</v>
      </c>
      <c r="D1308" s="234">
        <v>5</v>
      </c>
      <c r="E1308" s="234">
        <v>1</v>
      </c>
      <c r="G1308" s="500" t="s">
        <v>2337</v>
      </c>
      <c r="H1308" s="459" t="s">
        <v>1238</v>
      </c>
      <c r="I1308" s="460" t="s">
        <v>4605</v>
      </c>
      <c r="J1308" s="461" t="s">
        <v>2340</v>
      </c>
      <c r="K1308" s="462" t="s">
        <v>1129</v>
      </c>
      <c r="L1308" s="463">
        <v>1</v>
      </c>
      <c r="M1308" s="463">
        <v>815.7168256497655</v>
      </c>
      <c r="N1308" s="464">
        <v>815.71682564976504</v>
      </c>
      <c r="O1308" s="465" t="s">
        <v>3007</v>
      </c>
      <c r="P1308" s="431" t="s">
        <v>6711</v>
      </c>
    </row>
    <row r="1309" spans="1:16" ht="13.9" hidden="1" customHeight="1" outlineLevel="1" x14ac:dyDescent="0.2">
      <c r="A1309" s="233">
        <v>0</v>
      </c>
      <c r="B1309" s="233">
        <v>11</v>
      </c>
      <c r="C1309" s="233">
        <v>5</v>
      </c>
      <c r="D1309" s="234">
        <v>0</v>
      </c>
      <c r="E1309" s="234">
        <v>1</v>
      </c>
      <c r="G1309" s="443"/>
      <c r="H1309" s="444" t="s">
        <v>38</v>
      </c>
      <c r="I1309" s="445" t="s">
        <v>4606</v>
      </c>
      <c r="J1309" s="446" t="s">
        <v>3033</v>
      </c>
      <c r="K1309" s="447"/>
      <c r="L1309" s="448"/>
      <c r="M1309" s="448"/>
      <c r="N1309" s="449">
        <v>211423.147510904</v>
      </c>
      <c r="O1309" s="432"/>
      <c r="P1309" s="435"/>
    </row>
    <row r="1310" spans="1:16" ht="13.9" hidden="1" customHeight="1" outlineLevel="2" x14ac:dyDescent="0.2">
      <c r="A1310" s="233">
        <v>0</v>
      </c>
      <c r="B1310" s="233">
        <v>11</v>
      </c>
      <c r="C1310" s="233">
        <v>5</v>
      </c>
      <c r="D1310" s="234">
        <v>1</v>
      </c>
      <c r="E1310" s="234">
        <v>0</v>
      </c>
      <c r="G1310" s="450"/>
      <c r="H1310" s="451" t="s">
        <v>1237</v>
      </c>
      <c r="I1310" s="452" t="s">
        <v>4607</v>
      </c>
      <c r="J1310" s="453" t="s">
        <v>1285</v>
      </c>
      <c r="K1310" s="454"/>
      <c r="L1310" s="455"/>
      <c r="M1310" s="455"/>
      <c r="N1310" s="456">
        <v>103298.492854982</v>
      </c>
      <c r="O1310" s="457"/>
      <c r="P1310" s="430"/>
    </row>
    <row r="1311" spans="1:16" ht="33.75" hidden="1" customHeight="1" outlineLevel="3" x14ac:dyDescent="0.2">
      <c r="A1311" s="233">
        <v>0</v>
      </c>
      <c r="B1311" s="233">
        <v>11</v>
      </c>
      <c r="C1311" s="233">
        <v>5</v>
      </c>
      <c r="D1311" s="234">
        <v>1</v>
      </c>
      <c r="E1311" s="234">
        <v>1</v>
      </c>
      <c r="G1311" s="500" t="s">
        <v>2337</v>
      </c>
      <c r="H1311" s="459" t="s">
        <v>1238</v>
      </c>
      <c r="I1311" s="460" t="s">
        <v>4608</v>
      </c>
      <c r="J1311" s="461" t="s">
        <v>1259</v>
      </c>
      <c r="K1311" s="462" t="s">
        <v>1129</v>
      </c>
      <c r="L1311" s="463">
        <v>1</v>
      </c>
      <c r="M1311" s="463">
        <v>79586.799689493244</v>
      </c>
      <c r="N1311" s="464">
        <v>79586.7996894932</v>
      </c>
      <c r="O1311" s="471" t="s">
        <v>3005</v>
      </c>
      <c r="P1311" s="431" t="s">
        <v>6711</v>
      </c>
    </row>
    <row r="1312" spans="1:16" ht="33" hidden="1" customHeight="1" outlineLevel="3" x14ac:dyDescent="0.2">
      <c r="A1312" s="233">
        <v>0</v>
      </c>
      <c r="B1312" s="233">
        <v>11</v>
      </c>
      <c r="C1312" s="233">
        <v>5</v>
      </c>
      <c r="D1312" s="234">
        <v>1</v>
      </c>
      <c r="E1312" s="234">
        <v>2</v>
      </c>
      <c r="G1312" s="500" t="s">
        <v>2337</v>
      </c>
      <c r="H1312" s="459" t="s">
        <v>1238</v>
      </c>
      <c r="I1312" s="460" t="s">
        <v>4609</v>
      </c>
      <c r="J1312" s="461" t="s">
        <v>1260</v>
      </c>
      <c r="K1312" s="462" t="s">
        <v>1129</v>
      </c>
      <c r="L1312" s="463">
        <v>1</v>
      </c>
      <c r="M1312" s="463">
        <v>23711.693165489174</v>
      </c>
      <c r="N1312" s="464">
        <v>23711.6931654892</v>
      </c>
      <c r="O1312" s="471" t="s">
        <v>3006</v>
      </c>
      <c r="P1312" s="431" t="s">
        <v>6711</v>
      </c>
    </row>
    <row r="1313" spans="1:16" ht="13.9" hidden="1" customHeight="1" outlineLevel="2" x14ac:dyDescent="0.2">
      <c r="A1313" s="233">
        <v>0</v>
      </c>
      <c r="B1313" s="233">
        <v>11</v>
      </c>
      <c r="C1313" s="233">
        <v>5</v>
      </c>
      <c r="D1313" s="234">
        <v>2</v>
      </c>
      <c r="E1313" s="234">
        <v>0</v>
      </c>
      <c r="G1313" s="450"/>
      <c r="H1313" s="451" t="s">
        <v>1237</v>
      </c>
      <c r="I1313" s="452" t="s">
        <v>4610</v>
      </c>
      <c r="J1313" s="453" t="s">
        <v>1615</v>
      </c>
      <c r="K1313" s="454"/>
      <c r="L1313" s="455"/>
      <c r="M1313" s="455"/>
      <c r="N1313" s="456">
        <v>6039.0861538385898</v>
      </c>
      <c r="O1313" s="457"/>
      <c r="P1313" s="430"/>
    </row>
    <row r="1314" spans="1:16" ht="13.9" hidden="1" customHeight="1" outlineLevel="3" x14ac:dyDescent="0.2">
      <c r="A1314" s="233">
        <v>0</v>
      </c>
      <c r="B1314" s="233">
        <v>11</v>
      </c>
      <c r="C1314" s="233">
        <v>5</v>
      </c>
      <c r="D1314" s="234">
        <v>2</v>
      </c>
      <c r="E1314" s="234">
        <v>1</v>
      </c>
      <c r="G1314" s="500" t="s">
        <v>2337</v>
      </c>
      <c r="H1314" s="459" t="s">
        <v>1238</v>
      </c>
      <c r="I1314" s="460" t="s">
        <v>4611</v>
      </c>
      <c r="J1314" s="461" t="s">
        <v>2716</v>
      </c>
      <c r="K1314" s="462" t="s">
        <v>1129</v>
      </c>
      <c r="L1314" s="463">
        <v>1</v>
      </c>
      <c r="M1314" s="463">
        <v>6039.0861538385934</v>
      </c>
      <c r="N1314" s="464">
        <v>6039.0861538385898</v>
      </c>
      <c r="O1314" s="465" t="s">
        <v>2718</v>
      </c>
      <c r="P1314" s="431" t="s">
        <v>6711</v>
      </c>
    </row>
    <row r="1315" spans="1:16" ht="13.9" hidden="1" customHeight="1" outlineLevel="2" x14ac:dyDescent="0.2">
      <c r="A1315" s="233">
        <v>0</v>
      </c>
      <c r="B1315" s="233">
        <v>11</v>
      </c>
      <c r="C1315" s="233">
        <v>5</v>
      </c>
      <c r="D1315" s="234">
        <v>3</v>
      </c>
      <c r="E1315" s="234">
        <v>0</v>
      </c>
      <c r="G1315" s="450"/>
      <c r="H1315" s="451" t="s">
        <v>1237</v>
      </c>
      <c r="I1315" s="452" t="s">
        <v>4612</v>
      </c>
      <c r="J1315" s="453" t="s">
        <v>2715</v>
      </c>
      <c r="K1315" s="454"/>
      <c r="L1315" s="455"/>
      <c r="M1315" s="455"/>
      <c r="N1315" s="456">
        <v>42563.318924439802</v>
      </c>
      <c r="O1315" s="457"/>
      <c r="P1315" s="430"/>
    </row>
    <row r="1316" spans="1:16" ht="13.9" hidden="1" customHeight="1" outlineLevel="3" x14ac:dyDescent="0.2">
      <c r="A1316" s="233">
        <v>0</v>
      </c>
      <c r="B1316" s="233">
        <v>11</v>
      </c>
      <c r="C1316" s="233">
        <v>5</v>
      </c>
      <c r="D1316" s="234">
        <v>3</v>
      </c>
      <c r="E1316" s="234">
        <v>1</v>
      </c>
      <c r="G1316" s="500" t="s">
        <v>2337</v>
      </c>
      <c r="H1316" s="459" t="s">
        <v>1238</v>
      </c>
      <c r="I1316" s="460" t="s">
        <v>4613</v>
      </c>
      <c r="J1316" s="461" t="s">
        <v>2717</v>
      </c>
      <c r="K1316" s="462" t="s">
        <v>1129</v>
      </c>
      <c r="L1316" s="463">
        <v>1</v>
      </c>
      <c r="M1316" s="463">
        <v>382.31508900840322</v>
      </c>
      <c r="N1316" s="464">
        <v>382.31508900840299</v>
      </c>
      <c r="O1316" s="465" t="s">
        <v>2784</v>
      </c>
      <c r="P1316" s="431" t="s">
        <v>6711</v>
      </c>
    </row>
    <row r="1317" spans="1:16" ht="13.9" hidden="1" customHeight="1" outlineLevel="3" x14ac:dyDescent="0.2">
      <c r="A1317" s="233">
        <v>0</v>
      </c>
      <c r="B1317" s="233">
        <v>11</v>
      </c>
      <c r="C1317" s="233">
        <v>5</v>
      </c>
      <c r="D1317" s="234">
        <v>3</v>
      </c>
      <c r="E1317" s="234">
        <v>2</v>
      </c>
      <c r="G1317" s="500" t="s">
        <v>2337</v>
      </c>
      <c r="H1317" s="459" t="s">
        <v>1238</v>
      </c>
      <c r="I1317" s="460" t="s">
        <v>4614</v>
      </c>
      <c r="J1317" s="461" t="s">
        <v>3028</v>
      </c>
      <c r="K1317" s="462" t="s">
        <v>1129</v>
      </c>
      <c r="L1317" s="463">
        <v>1</v>
      </c>
      <c r="M1317" s="463">
        <v>42181.003835431424</v>
      </c>
      <c r="N1317" s="464">
        <v>42181.003835431402</v>
      </c>
      <c r="O1317" s="471" t="s">
        <v>3005</v>
      </c>
      <c r="P1317" s="431" t="s">
        <v>6711</v>
      </c>
    </row>
    <row r="1318" spans="1:16" ht="13.9" hidden="1" customHeight="1" outlineLevel="2" x14ac:dyDescent="0.2">
      <c r="A1318" s="233">
        <v>0</v>
      </c>
      <c r="B1318" s="233">
        <v>11</v>
      </c>
      <c r="C1318" s="233">
        <v>5</v>
      </c>
      <c r="D1318" s="234">
        <v>4</v>
      </c>
      <c r="E1318" s="234">
        <v>0</v>
      </c>
      <c r="G1318" s="450"/>
      <c r="H1318" s="451" t="s">
        <v>1237</v>
      </c>
      <c r="I1318" s="452" t="s">
        <v>4615</v>
      </c>
      <c r="J1318" s="453" t="s">
        <v>2338</v>
      </c>
      <c r="K1318" s="454"/>
      <c r="L1318" s="455"/>
      <c r="M1318" s="455"/>
      <c r="N1318" s="456">
        <v>53792</v>
      </c>
      <c r="O1318" s="457"/>
      <c r="P1318" s="430"/>
    </row>
    <row r="1319" spans="1:16" ht="13.9" hidden="1" customHeight="1" outlineLevel="3" x14ac:dyDescent="0.2">
      <c r="A1319" s="233">
        <v>0</v>
      </c>
      <c r="B1319" s="233">
        <v>11</v>
      </c>
      <c r="C1319" s="233">
        <v>5</v>
      </c>
      <c r="D1319" s="234">
        <v>4</v>
      </c>
      <c r="E1319" s="234">
        <v>1</v>
      </c>
      <c r="G1319" s="500" t="s">
        <v>2337</v>
      </c>
      <c r="H1319" s="459" t="s">
        <v>1238</v>
      </c>
      <c r="I1319" s="460" t="s">
        <v>4616</v>
      </c>
      <c r="J1319" s="461" t="s">
        <v>2338</v>
      </c>
      <c r="K1319" s="462" t="s">
        <v>533</v>
      </c>
      <c r="L1319" s="463">
        <v>16</v>
      </c>
      <c r="M1319" s="463">
        <v>2262</v>
      </c>
      <c r="N1319" s="464">
        <v>36192</v>
      </c>
      <c r="O1319" s="465" t="s">
        <v>2339</v>
      </c>
      <c r="P1319" s="431" t="s">
        <v>6711</v>
      </c>
    </row>
    <row r="1320" spans="1:16" ht="13.9" hidden="1" customHeight="1" outlineLevel="3" x14ac:dyDescent="0.2">
      <c r="A1320" s="233">
        <v>0</v>
      </c>
      <c r="B1320" s="233">
        <v>11</v>
      </c>
      <c r="C1320" s="233">
        <v>5</v>
      </c>
      <c r="D1320" s="234">
        <v>4</v>
      </c>
      <c r="E1320" s="234">
        <v>2</v>
      </c>
      <c r="G1320" s="500" t="s">
        <v>2337</v>
      </c>
      <c r="H1320" s="459" t="s">
        <v>1238</v>
      </c>
      <c r="I1320" s="460" t="s">
        <v>4617</v>
      </c>
      <c r="J1320" s="461" t="s">
        <v>2713</v>
      </c>
      <c r="K1320" s="462" t="s">
        <v>533</v>
      </c>
      <c r="L1320" s="463">
        <v>16</v>
      </c>
      <c r="M1320" s="463">
        <v>1100</v>
      </c>
      <c r="N1320" s="464">
        <v>17600</v>
      </c>
      <c r="O1320" s="465" t="s">
        <v>2714</v>
      </c>
      <c r="P1320" s="431" t="s">
        <v>6711</v>
      </c>
    </row>
    <row r="1321" spans="1:16" ht="13.9" hidden="1" customHeight="1" outlineLevel="2" x14ac:dyDescent="0.2">
      <c r="A1321" s="233">
        <v>0</v>
      </c>
      <c r="B1321" s="233">
        <v>11</v>
      </c>
      <c r="C1321" s="233">
        <v>5</v>
      </c>
      <c r="D1321" s="234">
        <v>5</v>
      </c>
      <c r="E1321" s="234">
        <v>0</v>
      </c>
      <c r="G1321" s="450"/>
      <c r="H1321" s="451" t="s">
        <v>1237</v>
      </c>
      <c r="I1321" s="452" t="s">
        <v>4618</v>
      </c>
      <c r="J1321" s="453" t="s">
        <v>14</v>
      </c>
      <c r="K1321" s="454"/>
      <c r="L1321" s="455"/>
      <c r="M1321" s="455"/>
      <c r="N1321" s="456">
        <v>5730.2495776435098</v>
      </c>
      <c r="O1321" s="457"/>
      <c r="P1321" s="430"/>
    </row>
    <row r="1322" spans="1:16" ht="13.9" hidden="1" customHeight="1" outlineLevel="3" x14ac:dyDescent="0.2">
      <c r="A1322" s="233">
        <v>0</v>
      </c>
      <c r="B1322" s="233">
        <v>11</v>
      </c>
      <c r="C1322" s="233">
        <v>5</v>
      </c>
      <c r="D1322" s="234">
        <v>5</v>
      </c>
      <c r="E1322" s="234">
        <v>1</v>
      </c>
      <c r="G1322" s="500" t="s">
        <v>2337</v>
      </c>
      <c r="H1322" s="459" t="s">
        <v>1238</v>
      </c>
      <c r="I1322" s="460" t="s">
        <v>4619</v>
      </c>
      <c r="J1322" s="461" t="s">
        <v>2340</v>
      </c>
      <c r="K1322" s="462" t="s">
        <v>1129</v>
      </c>
      <c r="L1322" s="463">
        <v>1</v>
      </c>
      <c r="M1322" s="463">
        <v>5730.2495776435135</v>
      </c>
      <c r="N1322" s="464">
        <v>5730.2495776435098</v>
      </c>
      <c r="O1322" s="465" t="s">
        <v>3007</v>
      </c>
      <c r="P1322" s="431" t="s">
        <v>6711</v>
      </c>
    </row>
    <row r="1323" spans="1:16" ht="13.9" hidden="1" customHeight="1" outlineLevel="1" x14ac:dyDescent="0.2">
      <c r="A1323" s="233">
        <v>0</v>
      </c>
      <c r="B1323" s="233">
        <v>11</v>
      </c>
      <c r="C1323" s="233">
        <v>6</v>
      </c>
      <c r="D1323" s="234">
        <v>0</v>
      </c>
      <c r="E1323" s="234">
        <v>1</v>
      </c>
      <c r="G1323" s="443"/>
      <c r="H1323" s="444" t="s">
        <v>38</v>
      </c>
      <c r="I1323" s="445" t="s">
        <v>4620</v>
      </c>
      <c r="J1323" s="446" t="s">
        <v>3034</v>
      </c>
      <c r="K1323" s="447"/>
      <c r="L1323" s="448"/>
      <c r="M1323" s="448"/>
      <c r="N1323" s="449">
        <v>507678.24965289299</v>
      </c>
      <c r="O1323" s="432"/>
      <c r="P1323" s="435"/>
    </row>
    <row r="1324" spans="1:16" ht="13.9" hidden="1" customHeight="1" outlineLevel="2" x14ac:dyDescent="0.2">
      <c r="A1324" s="233">
        <v>0</v>
      </c>
      <c r="B1324" s="233">
        <v>11</v>
      </c>
      <c r="C1324" s="233">
        <v>6</v>
      </c>
      <c r="D1324" s="234">
        <v>1</v>
      </c>
      <c r="E1324" s="234">
        <v>0</v>
      </c>
      <c r="G1324" s="450"/>
      <c r="H1324" s="451" t="s">
        <v>1237</v>
      </c>
      <c r="I1324" s="452" t="s">
        <v>4621</v>
      </c>
      <c r="J1324" s="453" t="s">
        <v>1285</v>
      </c>
      <c r="K1324" s="454"/>
      <c r="L1324" s="455"/>
      <c r="M1324" s="455"/>
      <c r="N1324" s="456">
        <v>284220.657061284</v>
      </c>
      <c r="O1324" s="457"/>
      <c r="P1324" s="430"/>
    </row>
    <row r="1325" spans="1:16" ht="33.75" hidden="1" customHeight="1" outlineLevel="3" x14ac:dyDescent="0.2">
      <c r="A1325" s="233">
        <v>0</v>
      </c>
      <c r="B1325" s="233">
        <v>11</v>
      </c>
      <c r="C1325" s="233">
        <v>6</v>
      </c>
      <c r="D1325" s="234">
        <v>1</v>
      </c>
      <c r="E1325" s="234">
        <v>1</v>
      </c>
      <c r="G1325" s="500" t="s">
        <v>2337</v>
      </c>
      <c r="H1325" s="459" t="s">
        <v>1238</v>
      </c>
      <c r="I1325" s="460" t="s">
        <v>4622</v>
      </c>
      <c r="J1325" s="461" t="s">
        <v>1259</v>
      </c>
      <c r="K1325" s="462" t="s">
        <v>1129</v>
      </c>
      <c r="L1325" s="463">
        <v>1</v>
      </c>
      <c r="M1325" s="463">
        <v>218979.11456373721</v>
      </c>
      <c r="N1325" s="464">
        <v>218979.11456373701</v>
      </c>
      <c r="O1325" s="471" t="s">
        <v>3005</v>
      </c>
      <c r="P1325" s="431" t="s">
        <v>6711</v>
      </c>
    </row>
    <row r="1326" spans="1:16" ht="33" hidden="1" customHeight="1" outlineLevel="3" x14ac:dyDescent="0.2">
      <c r="A1326" s="233">
        <v>0</v>
      </c>
      <c r="B1326" s="233">
        <v>11</v>
      </c>
      <c r="C1326" s="233">
        <v>6</v>
      </c>
      <c r="D1326" s="234">
        <v>1</v>
      </c>
      <c r="E1326" s="234">
        <v>2</v>
      </c>
      <c r="G1326" s="500" t="s">
        <v>2337</v>
      </c>
      <c r="H1326" s="459" t="s">
        <v>1238</v>
      </c>
      <c r="I1326" s="460" t="s">
        <v>4623</v>
      </c>
      <c r="J1326" s="461" t="s">
        <v>1260</v>
      </c>
      <c r="K1326" s="462" t="s">
        <v>1129</v>
      </c>
      <c r="L1326" s="463">
        <v>1</v>
      </c>
      <c r="M1326" s="463">
        <v>65241.542497547052</v>
      </c>
      <c r="N1326" s="464">
        <v>65241.542497547103</v>
      </c>
      <c r="O1326" s="471" t="s">
        <v>3006</v>
      </c>
      <c r="P1326" s="431" t="s">
        <v>6711</v>
      </c>
    </row>
    <row r="1327" spans="1:16" ht="13.9" hidden="1" customHeight="1" outlineLevel="2" x14ac:dyDescent="0.2">
      <c r="A1327" s="233">
        <v>0</v>
      </c>
      <c r="B1327" s="233">
        <v>11</v>
      </c>
      <c r="C1327" s="233">
        <v>6</v>
      </c>
      <c r="D1327" s="234">
        <v>2</v>
      </c>
      <c r="E1327" s="234">
        <v>0</v>
      </c>
      <c r="G1327" s="450"/>
      <c r="H1327" s="451" t="s">
        <v>1237</v>
      </c>
      <c r="I1327" s="452" t="s">
        <v>4624</v>
      </c>
      <c r="J1327" s="453" t="s">
        <v>1615</v>
      </c>
      <c r="K1327" s="454"/>
      <c r="L1327" s="455"/>
      <c r="M1327" s="455"/>
      <c r="N1327" s="456">
        <v>16616.244702653701</v>
      </c>
      <c r="O1327" s="457"/>
      <c r="P1327" s="430"/>
    </row>
    <row r="1328" spans="1:16" ht="13.9" hidden="1" customHeight="1" outlineLevel="3" x14ac:dyDescent="0.2">
      <c r="A1328" s="233">
        <v>0</v>
      </c>
      <c r="B1328" s="233">
        <v>11</v>
      </c>
      <c r="C1328" s="233">
        <v>6</v>
      </c>
      <c r="D1328" s="234">
        <v>2</v>
      </c>
      <c r="E1328" s="234">
        <v>1</v>
      </c>
      <c r="G1328" s="500" t="s">
        <v>2337</v>
      </c>
      <c r="H1328" s="459" t="s">
        <v>1238</v>
      </c>
      <c r="I1328" s="460" t="s">
        <v>4625</v>
      </c>
      <c r="J1328" s="461" t="s">
        <v>2716</v>
      </c>
      <c r="K1328" s="462" t="s">
        <v>1129</v>
      </c>
      <c r="L1328" s="463">
        <v>1</v>
      </c>
      <c r="M1328" s="463">
        <v>16616.244702653657</v>
      </c>
      <c r="N1328" s="464">
        <v>16616.244702653701</v>
      </c>
      <c r="O1328" s="465" t="s">
        <v>2718</v>
      </c>
      <c r="P1328" s="431" t="s">
        <v>6711</v>
      </c>
    </row>
    <row r="1329" spans="1:16" ht="13.9" hidden="1" customHeight="1" outlineLevel="2" x14ac:dyDescent="0.2">
      <c r="A1329" s="233">
        <v>0</v>
      </c>
      <c r="B1329" s="233">
        <v>11</v>
      </c>
      <c r="C1329" s="233">
        <v>6</v>
      </c>
      <c r="D1329" s="234">
        <v>3</v>
      </c>
      <c r="E1329" s="234">
        <v>0</v>
      </c>
      <c r="G1329" s="450"/>
      <c r="H1329" s="451" t="s">
        <v>1237</v>
      </c>
      <c r="I1329" s="452" t="s">
        <v>4626</v>
      </c>
      <c r="J1329" s="453" t="s">
        <v>2715</v>
      </c>
      <c r="K1329" s="454"/>
      <c r="L1329" s="455"/>
      <c r="M1329" s="455"/>
      <c r="N1329" s="456">
        <v>117110.851640366</v>
      </c>
      <c r="O1329" s="457"/>
      <c r="P1329" s="430"/>
    </row>
    <row r="1330" spans="1:16" ht="13.9" hidden="1" customHeight="1" outlineLevel="3" x14ac:dyDescent="0.2">
      <c r="A1330" s="233">
        <v>0</v>
      </c>
      <c r="B1330" s="233">
        <v>11</v>
      </c>
      <c r="C1330" s="233">
        <v>6</v>
      </c>
      <c r="D1330" s="234">
        <v>3</v>
      </c>
      <c r="E1330" s="234">
        <v>1</v>
      </c>
      <c r="G1330" s="500" t="s">
        <v>2337</v>
      </c>
      <c r="H1330" s="459" t="s">
        <v>1238</v>
      </c>
      <c r="I1330" s="460" t="s">
        <v>4627</v>
      </c>
      <c r="J1330" s="461" t="s">
        <v>2717</v>
      </c>
      <c r="K1330" s="462" t="s">
        <v>1129</v>
      </c>
      <c r="L1330" s="463">
        <v>1</v>
      </c>
      <c r="M1330" s="463">
        <v>1051.9209215855526</v>
      </c>
      <c r="N1330" s="464">
        <v>1051.9209215855501</v>
      </c>
      <c r="O1330" s="465" t="s">
        <v>2784</v>
      </c>
      <c r="P1330" s="431" t="s">
        <v>6711</v>
      </c>
    </row>
    <row r="1331" spans="1:16" ht="13.9" hidden="1" customHeight="1" outlineLevel="3" x14ac:dyDescent="0.2">
      <c r="A1331" s="233">
        <v>0</v>
      </c>
      <c r="B1331" s="233">
        <v>11</v>
      </c>
      <c r="C1331" s="233">
        <v>6</v>
      </c>
      <c r="D1331" s="234">
        <v>3</v>
      </c>
      <c r="E1331" s="234">
        <v>2</v>
      </c>
      <c r="G1331" s="500" t="s">
        <v>2337</v>
      </c>
      <c r="H1331" s="459" t="s">
        <v>1238</v>
      </c>
      <c r="I1331" s="460" t="s">
        <v>4628</v>
      </c>
      <c r="J1331" s="461" t="s">
        <v>3028</v>
      </c>
      <c r="K1331" s="462" t="s">
        <v>1129</v>
      </c>
      <c r="L1331" s="463">
        <v>1</v>
      </c>
      <c r="M1331" s="463">
        <v>116058.9307187807</v>
      </c>
      <c r="N1331" s="464">
        <v>116058.930718781</v>
      </c>
      <c r="O1331" s="471" t="s">
        <v>3005</v>
      </c>
      <c r="P1331" s="431" t="s">
        <v>6711</v>
      </c>
    </row>
    <row r="1332" spans="1:16" ht="13.9" hidden="1" customHeight="1" outlineLevel="2" x14ac:dyDescent="0.2">
      <c r="A1332" s="233">
        <v>0</v>
      </c>
      <c r="B1332" s="233">
        <v>11</v>
      </c>
      <c r="C1332" s="233">
        <v>6</v>
      </c>
      <c r="D1332" s="234">
        <v>4</v>
      </c>
      <c r="E1332" s="234">
        <v>0</v>
      </c>
      <c r="G1332" s="450"/>
      <c r="H1332" s="451" t="s">
        <v>1237</v>
      </c>
      <c r="I1332" s="452" t="s">
        <v>4629</v>
      </c>
      <c r="J1332" s="453" t="s">
        <v>2338</v>
      </c>
      <c r="K1332" s="454"/>
      <c r="L1332" s="455"/>
      <c r="M1332" s="455"/>
      <c r="N1332" s="456">
        <v>73964</v>
      </c>
      <c r="O1332" s="457"/>
      <c r="P1332" s="430"/>
    </row>
    <row r="1333" spans="1:16" ht="13.9" hidden="1" customHeight="1" outlineLevel="3" x14ac:dyDescent="0.2">
      <c r="A1333" s="233">
        <v>0</v>
      </c>
      <c r="B1333" s="233">
        <v>11</v>
      </c>
      <c r="C1333" s="233">
        <v>6</v>
      </c>
      <c r="D1333" s="234">
        <v>4</v>
      </c>
      <c r="E1333" s="234">
        <v>1</v>
      </c>
      <c r="G1333" s="500" t="s">
        <v>2337</v>
      </c>
      <c r="H1333" s="459" t="s">
        <v>1238</v>
      </c>
      <c r="I1333" s="460" t="s">
        <v>4630</v>
      </c>
      <c r="J1333" s="461" t="s">
        <v>2338</v>
      </c>
      <c r="K1333" s="462" t="s">
        <v>533</v>
      </c>
      <c r="L1333" s="463">
        <v>22</v>
      </c>
      <c r="M1333" s="463">
        <v>2262</v>
      </c>
      <c r="N1333" s="464">
        <v>49764</v>
      </c>
      <c r="O1333" s="465" t="s">
        <v>2339</v>
      </c>
      <c r="P1333" s="431" t="s">
        <v>6711</v>
      </c>
    </row>
    <row r="1334" spans="1:16" ht="13.9" hidden="1" customHeight="1" outlineLevel="3" x14ac:dyDescent="0.2">
      <c r="A1334" s="233">
        <v>0</v>
      </c>
      <c r="B1334" s="233">
        <v>11</v>
      </c>
      <c r="C1334" s="233">
        <v>6</v>
      </c>
      <c r="D1334" s="234">
        <v>4</v>
      </c>
      <c r="E1334" s="234">
        <v>2</v>
      </c>
      <c r="G1334" s="500" t="s">
        <v>2337</v>
      </c>
      <c r="H1334" s="459" t="s">
        <v>1238</v>
      </c>
      <c r="I1334" s="460" t="s">
        <v>4631</v>
      </c>
      <c r="J1334" s="461" t="s">
        <v>2713</v>
      </c>
      <c r="K1334" s="462" t="s">
        <v>533</v>
      </c>
      <c r="L1334" s="463">
        <v>22</v>
      </c>
      <c r="M1334" s="463">
        <v>1100</v>
      </c>
      <c r="N1334" s="464">
        <v>24200</v>
      </c>
      <c r="O1334" s="465" t="s">
        <v>2714</v>
      </c>
      <c r="P1334" s="431" t="s">
        <v>6711</v>
      </c>
    </row>
    <row r="1335" spans="1:16" ht="13.9" hidden="1" customHeight="1" outlineLevel="2" x14ac:dyDescent="0.2">
      <c r="A1335" s="233">
        <v>0</v>
      </c>
      <c r="B1335" s="233">
        <v>11</v>
      </c>
      <c r="C1335" s="233">
        <v>6</v>
      </c>
      <c r="D1335" s="234">
        <v>5</v>
      </c>
      <c r="E1335" s="234">
        <v>0</v>
      </c>
      <c r="G1335" s="450"/>
      <c r="H1335" s="451" t="s">
        <v>1237</v>
      </c>
      <c r="I1335" s="452" t="s">
        <v>4632</v>
      </c>
      <c r="J1335" s="453" t="s">
        <v>14</v>
      </c>
      <c r="K1335" s="454"/>
      <c r="L1335" s="455"/>
      <c r="M1335" s="455"/>
      <c r="N1335" s="456">
        <v>15766.496248589099</v>
      </c>
      <c r="O1335" s="457"/>
      <c r="P1335" s="430"/>
    </row>
    <row r="1336" spans="1:16" ht="13.9" hidden="1" customHeight="1" outlineLevel="3" x14ac:dyDescent="0.2">
      <c r="A1336" s="233">
        <v>0</v>
      </c>
      <c r="B1336" s="233">
        <v>11</v>
      </c>
      <c r="C1336" s="233">
        <v>6</v>
      </c>
      <c r="D1336" s="234">
        <v>5</v>
      </c>
      <c r="E1336" s="234">
        <v>1</v>
      </c>
      <c r="G1336" s="500" t="s">
        <v>2337</v>
      </c>
      <c r="H1336" s="459" t="s">
        <v>1238</v>
      </c>
      <c r="I1336" s="460" t="s">
        <v>4633</v>
      </c>
      <c r="J1336" s="461" t="s">
        <v>2340</v>
      </c>
      <c r="K1336" s="462" t="s">
        <v>1129</v>
      </c>
      <c r="L1336" s="463">
        <v>1</v>
      </c>
      <c r="M1336" s="463">
        <v>15766.496248589088</v>
      </c>
      <c r="N1336" s="464">
        <v>15766.496248589099</v>
      </c>
      <c r="O1336" s="465" t="s">
        <v>3007</v>
      </c>
      <c r="P1336" s="431" t="s">
        <v>6711</v>
      </c>
    </row>
    <row r="1337" spans="1:16" ht="13.9" hidden="1" customHeight="1" outlineLevel="1" x14ac:dyDescent="0.2">
      <c r="A1337" s="233">
        <v>0</v>
      </c>
      <c r="B1337" s="233">
        <v>11</v>
      </c>
      <c r="C1337" s="233">
        <v>7</v>
      </c>
      <c r="D1337" s="234">
        <v>0</v>
      </c>
      <c r="E1337" s="234">
        <v>1</v>
      </c>
      <c r="G1337" s="443"/>
      <c r="H1337" s="444" t="s">
        <v>38</v>
      </c>
      <c r="I1337" s="445" t="s">
        <v>4634</v>
      </c>
      <c r="J1337" s="446" t="s">
        <v>3035</v>
      </c>
      <c r="K1337" s="447"/>
      <c r="L1337" s="448"/>
      <c r="M1337" s="448"/>
      <c r="N1337" s="449">
        <v>22387.255007578198</v>
      </c>
      <c r="O1337" s="432"/>
      <c r="P1337" s="435"/>
    </row>
    <row r="1338" spans="1:16" ht="13.9" hidden="1" customHeight="1" outlineLevel="2" x14ac:dyDescent="0.2">
      <c r="A1338" s="233">
        <v>0</v>
      </c>
      <c r="B1338" s="233">
        <v>11</v>
      </c>
      <c r="C1338" s="233">
        <v>7</v>
      </c>
      <c r="D1338" s="234">
        <v>1</v>
      </c>
      <c r="E1338" s="234">
        <v>0</v>
      </c>
      <c r="G1338" s="450"/>
      <c r="H1338" s="451" t="s">
        <v>1237</v>
      </c>
      <c r="I1338" s="452" t="s">
        <v>4635</v>
      </c>
      <c r="J1338" s="453" t="s">
        <v>1285</v>
      </c>
      <c r="K1338" s="454"/>
      <c r="L1338" s="455"/>
      <c r="M1338" s="455"/>
      <c r="N1338" s="456">
        <v>12467.5877800648</v>
      </c>
      <c r="O1338" s="457"/>
      <c r="P1338" s="430"/>
    </row>
    <row r="1339" spans="1:16" ht="33.75" hidden="1" customHeight="1" outlineLevel="3" x14ac:dyDescent="0.2">
      <c r="A1339" s="233">
        <v>0</v>
      </c>
      <c r="B1339" s="233">
        <v>11</v>
      </c>
      <c r="C1339" s="233">
        <v>7</v>
      </c>
      <c r="D1339" s="234">
        <v>1</v>
      </c>
      <c r="E1339" s="234">
        <v>1</v>
      </c>
      <c r="G1339" s="500" t="s">
        <v>2337</v>
      </c>
      <c r="H1339" s="459" t="s">
        <v>1238</v>
      </c>
      <c r="I1339" s="460" t="s">
        <v>4636</v>
      </c>
      <c r="J1339" s="461" t="s">
        <v>1259</v>
      </c>
      <c r="K1339" s="462" t="s">
        <v>1129</v>
      </c>
      <c r="L1339" s="463">
        <v>1</v>
      </c>
      <c r="M1339" s="463">
        <v>9605.7104400950611</v>
      </c>
      <c r="N1339" s="464">
        <v>9605.7104400950593</v>
      </c>
      <c r="O1339" s="471" t="s">
        <v>3005</v>
      </c>
      <c r="P1339" s="431" t="s">
        <v>6711</v>
      </c>
    </row>
    <row r="1340" spans="1:16" ht="33" hidden="1" customHeight="1" outlineLevel="3" x14ac:dyDescent="0.2">
      <c r="A1340" s="233">
        <v>0</v>
      </c>
      <c r="B1340" s="233">
        <v>11</v>
      </c>
      <c r="C1340" s="233">
        <v>7</v>
      </c>
      <c r="D1340" s="234">
        <v>1</v>
      </c>
      <c r="E1340" s="234">
        <v>2</v>
      </c>
      <c r="G1340" s="500" t="s">
        <v>2337</v>
      </c>
      <c r="H1340" s="459" t="s">
        <v>1238</v>
      </c>
      <c r="I1340" s="460" t="s">
        <v>4637</v>
      </c>
      <c r="J1340" s="461" t="s">
        <v>1260</v>
      </c>
      <c r="K1340" s="462" t="s">
        <v>1129</v>
      </c>
      <c r="L1340" s="463">
        <v>1</v>
      </c>
      <c r="M1340" s="463">
        <v>2861.877339969722</v>
      </c>
      <c r="N1340" s="464">
        <v>2861.8773399697202</v>
      </c>
      <c r="O1340" s="471" t="s">
        <v>3006</v>
      </c>
      <c r="P1340" s="431" t="s">
        <v>6711</v>
      </c>
    </row>
    <row r="1341" spans="1:16" ht="13.9" hidden="1" customHeight="1" outlineLevel="2" x14ac:dyDescent="0.2">
      <c r="A1341" s="233">
        <v>0</v>
      </c>
      <c r="B1341" s="233">
        <v>11</v>
      </c>
      <c r="C1341" s="233">
        <v>7</v>
      </c>
      <c r="D1341" s="234">
        <v>2</v>
      </c>
      <c r="E1341" s="234">
        <v>0</v>
      </c>
      <c r="G1341" s="450"/>
      <c r="H1341" s="451" t="s">
        <v>1237</v>
      </c>
      <c r="I1341" s="452" t="s">
        <v>4638</v>
      </c>
      <c r="J1341" s="453" t="s">
        <v>1615</v>
      </c>
      <c r="K1341" s="454"/>
      <c r="L1341" s="455"/>
      <c r="M1341" s="455"/>
      <c r="N1341" s="456">
        <v>728.88611104963297</v>
      </c>
      <c r="O1341" s="457"/>
      <c r="P1341" s="430"/>
    </row>
    <row r="1342" spans="1:16" ht="13.9" hidden="1" customHeight="1" outlineLevel="3" x14ac:dyDescent="0.2">
      <c r="A1342" s="233">
        <v>0</v>
      </c>
      <c r="B1342" s="233">
        <v>11</v>
      </c>
      <c r="C1342" s="233">
        <v>7</v>
      </c>
      <c r="D1342" s="234">
        <v>2</v>
      </c>
      <c r="E1342" s="234">
        <v>1</v>
      </c>
      <c r="G1342" s="500" t="s">
        <v>2337</v>
      </c>
      <c r="H1342" s="459" t="s">
        <v>1238</v>
      </c>
      <c r="I1342" s="460" t="s">
        <v>4639</v>
      </c>
      <c r="J1342" s="461" t="s">
        <v>2716</v>
      </c>
      <c r="K1342" s="462" t="s">
        <v>1129</v>
      </c>
      <c r="L1342" s="463">
        <v>1</v>
      </c>
      <c r="M1342" s="463">
        <v>728.88611104963331</v>
      </c>
      <c r="N1342" s="464">
        <v>728.88611104963297</v>
      </c>
      <c r="O1342" s="465" t="s">
        <v>2718</v>
      </c>
      <c r="P1342" s="431" t="s">
        <v>6711</v>
      </c>
    </row>
    <row r="1343" spans="1:16" ht="13.9" hidden="1" customHeight="1" outlineLevel="2" x14ac:dyDescent="0.2">
      <c r="A1343" s="233">
        <v>0</v>
      </c>
      <c r="B1343" s="233">
        <v>11</v>
      </c>
      <c r="C1343" s="233">
        <v>7</v>
      </c>
      <c r="D1343" s="234">
        <v>3</v>
      </c>
      <c r="E1343" s="234">
        <v>0</v>
      </c>
      <c r="G1343" s="450"/>
      <c r="H1343" s="451" t="s">
        <v>1237</v>
      </c>
      <c r="I1343" s="452" t="s">
        <v>4640</v>
      </c>
      <c r="J1343" s="453" t="s">
        <v>2715</v>
      </c>
      <c r="K1343" s="454"/>
      <c r="L1343" s="455"/>
      <c r="M1343" s="455"/>
      <c r="N1343" s="456">
        <v>5137.1699647769901</v>
      </c>
      <c r="O1343" s="457"/>
      <c r="P1343" s="430"/>
    </row>
    <row r="1344" spans="1:16" ht="13.9" hidden="1" customHeight="1" outlineLevel="3" x14ac:dyDescent="0.2">
      <c r="A1344" s="233">
        <v>0</v>
      </c>
      <c r="B1344" s="233">
        <v>11</v>
      </c>
      <c r="C1344" s="233">
        <v>7</v>
      </c>
      <c r="D1344" s="234">
        <v>3</v>
      </c>
      <c r="E1344" s="234">
        <v>1</v>
      </c>
      <c r="G1344" s="500" t="s">
        <v>2337</v>
      </c>
      <c r="H1344" s="459" t="s">
        <v>1238</v>
      </c>
      <c r="I1344" s="460" t="s">
        <v>4641</v>
      </c>
      <c r="J1344" s="461" t="s">
        <v>2717</v>
      </c>
      <c r="K1344" s="462" t="s">
        <v>1129</v>
      </c>
      <c r="L1344" s="463">
        <v>1</v>
      </c>
      <c r="M1344" s="463">
        <v>46.143431526606648</v>
      </c>
      <c r="N1344" s="464">
        <v>46.143431526606598</v>
      </c>
      <c r="O1344" s="465" t="s">
        <v>2784</v>
      </c>
      <c r="P1344" s="431" t="s">
        <v>6711</v>
      </c>
    </row>
    <row r="1345" spans="1:16" ht="13.9" hidden="1" customHeight="1" outlineLevel="3" x14ac:dyDescent="0.2">
      <c r="A1345" s="233">
        <v>0</v>
      </c>
      <c r="B1345" s="233">
        <v>11</v>
      </c>
      <c r="C1345" s="233">
        <v>7</v>
      </c>
      <c r="D1345" s="234">
        <v>3</v>
      </c>
      <c r="E1345" s="234">
        <v>2</v>
      </c>
      <c r="G1345" s="500" t="s">
        <v>2337</v>
      </c>
      <c r="H1345" s="459" t="s">
        <v>1238</v>
      </c>
      <c r="I1345" s="460" t="s">
        <v>4642</v>
      </c>
      <c r="J1345" s="461" t="s">
        <v>3028</v>
      </c>
      <c r="K1345" s="462" t="s">
        <v>1129</v>
      </c>
      <c r="L1345" s="463">
        <v>1</v>
      </c>
      <c r="M1345" s="463">
        <v>5091.0265332503823</v>
      </c>
      <c r="N1345" s="464">
        <v>5091.0265332503805</v>
      </c>
      <c r="O1345" s="471" t="s">
        <v>3005</v>
      </c>
      <c r="P1345" s="431" t="s">
        <v>6711</v>
      </c>
    </row>
    <row r="1346" spans="1:16" ht="13.9" hidden="1" customHeight="1" outlineLevel="2" x14ac:dyDescent="0.2">
      <c r="A1346" s="233">
        <v>0</v>
      </c>
      <c r="B1346" s="233">
        <v>11</v>
      </c>
      <c r="C1346" s="233">
        <v>7</v>
      </c>
      <c r="D1346" s="234">
        <v>4</v>
      </c>
      <c r="E1346" s="234">
        <v>0</v>
      </c>
      <c r="G1346" s="450"/>
      <c r="H1346" s="451" t="s">
        <v>1237</v>
      </c>
      <c r="I1346" s="452" t="s">
        <v>4643</v>
      </c>
      <c r="J1346" s="453" t="s">
        <v>2338</v>
      </c>
      <c r="K1346" s="454"/>
      <c r="L1346" s="455"/>
      <c r="M1346" s="455"/>
      <c r="N1346" s="456">
        <v>3362</v>
      </c>
      <c r="O1346" s="457"/>
      <c r="P1346" s="430"/>
    </row>
    <row r="1347" spans="1:16" ht="13.9" hidden="1" customHeight="1" outlineLevel="3" x14ac:dyDescent="0.2">
      <c r="A1347" s="233">
        <v>0</v>
      </c>
      <c r="B1347" s="233">
        <v>11</v>
      </c>
      <c r="C1347" s="233">
        <v>7</v>
      </c>
      <c r="D1347" s="234">
        <v>4</v>
      </c>
      <c r="E1347" s="234">
        <v>1</v>
      </c>
      <c r="G1347" s="500" t="s">
        <v>2337</v>
      </c>
      <c r="H1347" s="459" t="s">
        <v>1238</v>
      </c>
      <c r="I1347" s="460" t="s">
        <v>4644</v>
      </c>
      <c r="J1347" s="461" t="s">
        <v>2338</v>
      </c>
      <c r="K1347" s="462" t="s">
        <v>533</v>
      </c>
      <c r="L1347" s="463">
        <v>1</v>
      </c>
      <c r="M1347" s="463">
        <v>2262</v>
      </c>
      <c r="N1347" s="464">
        <v>2262</v>
      </c>
      <c r="O1347" s="465" t="s">
        <v>2339</v>
      </c>
      <c r="P1347" s="431" t="s">
        <v>6711</v>
      </c>
    </row>
    <row r="1348" spans="1:16" ht="13.9" hidden="1" customHeight="1" outlineLevel="3" x14ac:dyDescent="0.2">
      <c r="A1348" s="233">
        <v>0</v>
      </c>
      <c r="B1348" s="233">
        <v>11</v>
      </c>
      <c r="C1348" s="233">
        <v>7</v>
      </c>
      <c r="D1348" s="234">
        <v>4</v>
      </c>
      <c r="E1348" s="234">
        <v>2</v>
      </c>
      <c r="G1348" s="500" t="s">
        <v>2337</v>
      </c>
      <c r="H1348" s="459" t="s">
        <v>1238</v>
      </c>
      <c r="I1348" s="460" t="s">
        <v>4645</v>
      </c>
      <c r="J1348" s="461" t="s">
        <v>2713</v>
      </c>
      <c r="K1348" s="462" t="s">
        <v>533</v>
      </c>
      <c r="L1348" s="463">
        <v>1</v>
      </c>
      <c r="M1348" s="463">
        <v>1100</v>
      </c>
      <c r="N1348" s="464">
        <v>1100</v>
      </c>
      <c r="O1348" s="465" t="s">
        <v>2714</v>
      </c>
      <c r="P1348" s="431" t="s">
        <v>6711</v>
      </c>
    </row>
    <row r="1349" spans="1:16" ht="13.9" hidden="1" customHeight="1" outlineLevel="2" x14ac:dyDescent="0.2">
      <c r="A1349" s="233">
        <v>0</v>
      </c>
      <c r="B1349" s="233">
        <v>11</v>
      </c>
      <c r="C1349" s="233">
        <v>7</v>
      </c>
      <c r="D1349" s="234">
        <v>5</v>
      </c>
      <c r="E1349" s="234">
        <v>0</v>
      </c>
      <c r="G1349" s="450"/>
      <c r="H1349" s="451" t="s">
        <v>1237</v>
      </c>
      <c r="I1349" s="452" t="s">
        <v>4646</v>
      </c>
      <c r="J1349" s="453" t="s">
        <v>14</v>
      </c>
      <c r="K1349" s="454"/>
      <c r="L1349" s="455"/>
      <c r="M1349" s="455"/>
      <c r="N1349" s="456">
        <v>691.61115168684398</v>
      </c>
      <c r="O1349" s="457"/>
      <c r="P1349" s="430"/>
    </row>
    <row r="1350" spans="1:16" ht="13.9" hidden="1" customHeight="1" outlineLevel="3" x14ac:dyDescent="0.2">
      <c r="A1350" s="233">
        <v>0</v>
      </c>
      <c r="B1350" s="233">
        <v>11</v>
      </c>
      <c r="C1350" s="233">
        <v>7</v>
      </c>
      <c r="D1350" s="234">
        <v>5</v>
      </c>
      <c r="E1350" s="234">
        <v>1</v>
      </c>
      <c r="G1350" s="500" t="s">
        <v>2337</v>
      </c>
      <c r="H1350" s="459" t="s">
        <v>1238</v>
      </c>
      <c r="I1350" s="460" t="s">
        <v>4647</v>
      </c>
      <c r="J1350" s="461" t="s">
        <v>2340</v>
      </c>
      <c r="K1350" s="462" t="s">
        <v>1129</v>
      </c>
      <c r="L1350" s="463">
        <v>1</v>
      </c>
      <c r="M1350" s="463">
        <v>691.61115168684444</v>
      </c>
      <c r="N1350" s="464">
        <v>691.61115168684398</v>
      </c>
      <c r="O1350" s="465" t="s">
        <v>3007</v>
      </c>
      <c r="P1350" s="431" t="s">
        <v>6711</v>
      </c>
    </row>
    <row r="1351" spans="1:16" ht="13.9" hidden="1" customHeight="1" outlineLevel="1" x14ac:dyDescent="0.2">
      <c r="A1351" s="233">
        <v>0</v>
      </c>
      <c r="B1351" s="233">
        <v>11</v>
      </c>
      <c r="C1351" s="233">
        <v>8</v>
      </c>
      <c r="D1351" s="234">
        <v>0</v>
      </c>
      <c r="E1351" s="234">
        <v>1</v>
      </c>
      <c r="G1351" s="443"/>
      <c r="H1351" s="444" t="s">
        <v>38</v>
      </c>
      <c r="I1351" s="445" t="s">
        <v>4648</v>
      </c>
      <c r="J1351" s="446" t="s">
        <v>3036</v>
      </c>
      <c r="K1351" s="447"/>
      <c r="L1351" s="448"/>
      <c r="M1351" s="448"/>
      <c r="N1351" s="449">
        <v>18105.6836978182</v>
      </c>
      <c r="O1351" s="432"/>
      <c r="P1351" s="435"/>
    </row>
    <row r="1352" spans="1:16" ht="13.9" hidden="1" customHeight="1" outlineLevel="2" x14ac:dyDescent="0.2">
      <c r="A1352" s="233">
        <v>0</v>
      </c>
      <c r="B1352" s="233">
        <v>11</v>
      </c>
      <c r="C1352" s="233">
        <v>8</v>
      </c>
      <c r="D1352" s="234">
        <v>1</v>
      </c>
      <c r="E1352" s="234">
        <v>0</v>
      </c>
      <c r="G1352" s="450"/>
      <c r="H1352" s="451" t="s">
        <v>1237</v>
      </c>
      <c r="I1352" s="452" t="s">
        <v>4649</v>
      </c>
      <c r="J1352" s="453" t="s">
        <v>1285</v>
      </c>
      <c r="K1352" s="454"/>
      <c r="L1352" s="455"/>
      <c r="M1352" s="455"/>
      <c r="N1352" s="456">
        <v>11864.976355413901</v>
      </c>
      <c r="O1352" s="457"/>
      <c r="P1352" s="430"/>
    </row>
    <row r="1353" spans="1:16" ht="33.75" hidden="1" customHeight="1" outlineLevel="3" x14ac:dyDescent="0.2">
      <c r="A1353" s="233">
        <v>0</v>
      </c>
      <c r="B1353" s="233">
        <v>11</v>
      </c>
      <c r="C1353" s="233">
        <v>8</v>
      </c>
      <c r="D1353" s="234">
        <v>1</v>
      </c>
      <c r="E1353" s="234">
        <v>1</v>
      </c>
      <c r="G1353" s="500" t="s">
        <v>2337</v>
      </c>
      <c r="H1353" s="459" t="s">
        <v>1238</v>
      </c>
      <c r="I1353" s="460" t="s">
        <v>4650</v>
      </c>
      <c r="J1353" s="461" t="s">
        <v>1259</v>
      </c>
      <c r="K1353" s="462" t="s">
        <v>1129</v>
      </c>
      <c r="L1353" s="463">
        <v>1</v>
      </c>
      <c r="M1353" s="463">
        <v>9141.4256918982228</v>
      </c>
      <c r="N1353" s="464">
        <v>9141.4256918982192</v>
      </c>
      <c r="O1353" s="471" t="s">
        <v>3005</v>
      </c>
      <c r="P1353" s="431" t="s">
        <v>6711</v>
      </c>
    </row>
    <row r="1354" spans="1:16" ht="33" hidden="1" customHeight="1" outlineLevel="3" x14ac:dyDescent="0.2">
      <c r="A1354" s="233">
        <v>0</v>
      </c>
      <c r="B1354" s="233">
        <v>11</v>
      </c>
      <c r="C1354" s="233">
        <v>8</v>
      </c>
      <c r="D1354" s="234">
        <v>1</v>
      </c>
      <c r="E1354" s="234">
        <v>2</v>
      </c>
      <c r="G1354" s="500" t="s">
        <v>2337</v>
      </c>
      <c r="H1354" s="459" t="s">
        <v>1238</v>
      </c>
      <c r="I1354" s="460" t="s">
        <v>4651</v>
      </c>
      <c r="J1354" s="461" t="s">
        <v>1260</v>
      </c>
      <c r="K1354" s="462" t="s">
        <v>1129</v>
      </c>
      <c r="L1354" s="463">
        <v>1</v>
      </c>
      <c r="M1354" s="463">
        <v>2723.5506635156967</v>
      </c>
      <c r="N1354" s="464">
        <v>2723.5506635156999</v>
      </c>
      <c r="O1354" s="471" t="s">
        <v>3006</v>
      </c>
      <c r="P1354" s="431" t="s">
        <v>6711</v>
      </c>
    </row>
    <row r="1355" spans="1:16" ht="13.9" hidden="1" customHeight="1" outlineLevel="2" x14ac:dyDescent="0.2">
      <c r="A1355" s="233">
        <v>0</v>
      </c>
      <c r="B1355" s="233">
        <v>11</v>
      </c>
      <c r="C1355" s="233">
        <v>8</v>
      </c>
      <c r="D1355" s="234">
        <v>2</v>
      </c>
      <c r="E1355" s="234">
        <v>0</v>
      </c>
      <c r="G1355" s="450"/>
      <c r="H1355" s="451" t="s">
        <v>1237</v>
      </c>
      <c r="I1355" s="452" t="s">
        <v>4652</v>
      </c>
      <c r="J1355" s="453" t="s">
        <v>1615</v>
      </c>
      <c r="K1355" s="454"/>
      <c r="L1355" s="455"/>
      <c r="M1355" s="455"/>
      <c r="N1355" s="456">
        <v>693.65595221408296</v>
      </c>
      <c r="O1355" s="457"/>
      <c r="P1355" s="430"/>
    </row>
    <row r="1356" spans="1:16" ht="13.9" hidden="1" customHeight="1" outlineLevel="3" x14ac:dyDescent="0.2">
      <c r="A1356" s="233">
        <v>0</v>
      </c>
      <c r="B1356" s="233">
        <v>11</v>
      </c>
      <c r="C1356" s="233">
        <v>8</v>
      </c>
      <c r="D1356" s="234">
        <v>2</v>
      </c>
      <c r="E1356" s="234">
        <v>1</v>
      </c>
      <c r="G1356" s="500" t="s">
        <v>2337</v>
      </c>
      <c r="H1356" s="459" t="s">
        <v>1238</v>
      </c>
      <c r="I1356" s="460" t="s">
        <v>4653</v>
      </c>
      <c r="J1356" s="461" t="s">
        <v>2716</v>
      </c>
      <c r="K1356" s="462" t="s">
        <v>1129</v>
      </c>
      <c r="L1356" s="463">
        <v>1</v>
      </c>
      <c r="M1356" s="463">
        <v>693.65595221408307</v>
      </c>
      <c r="N1356" s="464">
        <v>693.65595221408296</v>
      </c>
      <c r="O1356" s="465" t="s">
        <v>2718</v>
      </c>
      <c r="P1356" s="431" t="s">
        <v>6711</v>
      </c>
    </row>
    <row r="1357" spans="1:16" ht="13.9" hidden="1" customHeight="1" outlineLevel="2" x14ac:dyDescent="0.2">
      <c r="A1357" s="233">
        <v>0</v>
      </c>
      <c r="B1357" s="233">
        <v>11</v>
      </c>
      <c r="C1357" s="233">
        <v>8</v>
      </c>
      <c r="D1357" s="234">
        <v>3</v>
      </c>
      <c r="E1357" s="234">
        <v>0</v>
      </c>
      <c r="G1357" s="450"/>
      <c r="H1357" s="451" t="s">
        <v>1237</v>
      </c>
      <c r="I1357" s="452" t="s">
        <v>4654</v>
      </c>
      <c r="J1357" s="453" t="s">
        <v>2715</v>
      </c>
      <c r="K1357" s="454"/>
      <c r="L1357" s="455"/>
      <c r="M1357" s="455"/>
      <c r="N1357" s="456">
        <v>4888.8687403735103</v>
      </c>
      <c r="O1357" s="457"/>
      <c r="P1357" s="430"/>
    </row>
    <row r="1358" spans="1:16" ht="13.9" hidden="1" customHeight="1" outlineLevel="3" x14ac:dyDescent="0.2">
      <c r="A1358" s="233">
        <v>0</v>
      </c>
      <c r="B1358" s="233">
        <v>11</v>
      </c>
      <c r="C1358" s="233">
        <v>8</v>
      </c>
      <c r="D1358" s="234">
        <v>3</v>
      </c>
      <c r="E1358" s="234">
        <v>1</v>
      </c>
      <c r="G1358" s="500" t="s">
        <v>2337</v>
      </c>
      <c r="H1358" s="459" t="s">
        <v>1238</v>
      </c>
      <c r="I1358" s="460" t="s">
        <v>4655</v>
      </c>
      <c r="J1358" s="461" t="s">
        <v>2717</v>
      </c>
      <c r="K1358" s="462" t="s">
        <v>1129</v>
      </c>
      <c r="L1358" s="463">
        <v>1</v>
      </c>
      <c r="M1358" s="463">
        <v>43.913123667456084</v>
      </c>
      <c r="N1358" s="464">
        <v>43.913123667456098</v>
      </c>
      <c r="O1358" s="465" t="s">
        <v>2784</v>
      </c>
      <c r="P1358" s="431" t="s">
        <v>6711</v>
      </c>
    </row>
    <row r="1359" spans="1:16" ht="13.9" hidden="1" customHeight="1" outlineLevel="3" x14ac:dyDescent="0.2">
      <c r="A1359" s="233">
        <v>0</v>
      </c>
      <c r="B1359" s="233">
        <v>11</v>
      </c>
      <c r="C1359" s="233">
        <v>8</v>
      </c>
      <c r="D1359" s="234">
        <v>3</v>
      </c>
      <c r="E1359" s="234">
        <v>2</v>
      </c>
      <c r="G1359" s="500" t="s">
        <v>2337</v>
      </c>
      <c r="H1359" s="459" t="s">
        <v>1238</v>
      </c>
      <c r="I1359" s="460" t="s">
        <v>4656</v>
      </c>
      <c r="J1359" s="461" t="s">
        <v>3028</v>
      </c>
      <c r="K1359" s="462" t="s">
        <v>1129</v>
      </c>
      <c r="L1359" s="463">
        <v>1</v>
      </c>
      <c r="M1359" s="463">
        <v>4844.9556167060582</v>
      </c>
      <c r="N1359" s="464">
        <v>4844.95561670606</v>
      </c>
      <c r="O1359" s="471" t="s">
        <v>3005</v>
      </c>
      <c r="P1359" s="431" t="s">
        <v>6711</v>
      </c>
    </row>
    <row r="1360" spans="1:16" ht="13.9" hidden="1" customHeight="1" outlineLevel="2" x14ac:dyDescent="0.2">
      <c r="A1360" s="233">
        <v>0</v>
      </c>
      <c r="B1360" s="233">
        <v>11</v>
      </c>
      <c r="C1360" s="233">
        <v>8</v>
      </c>
      <c r="D1360" s="234">
        <v>4</v>
      </c>
      <c r="E1360" s="234">
        <v>0</v>
      </c>
      <c r="G1360" s="450"/>
      <c r="H1360" s="451" t="s">
        <v>1237</v>
      </c>
      <c r="I1360" s="452" t="s">
        <v>4657</v>
      </c>
      <c r="J1360" s="453" t="s">
        <v>2338</v>
      </c>
      <c r="K1360" s="454"/>
      <c r="L1360" s="455"/>
      <c r="M1360" s="455"/>
      <c r="N1360" s="456">
        <v>0</v>
      </c>
      <c r="O1360" s="457"/>
      <c r="P1360" s="430"/>
    </row>
    <row r="1361" spans="1:16" ht="13.9" hidden="1" customHeight="1" outlineLevel="3" x14ac:dyDescent="0.2">
      <c r="A1361" s="233">
        <v>0</v>
      </c>
      <c r="B1361" s="233">
        <v>11</v>
      </c>
      <c r="C1361" s="233">
        <v>8</v>
      </c>
      <c r="D1361" s="234">
        <v>4</v>
      </c>
      <c r="E1361" s="234">
        <v>1</v>
      </c>
      <c r="G1361" s="500" t="s">
        <v>2337</v>
      </c>
      <c r="H1361" s="459" t="s">
        <v>1238</v>
      </c>
      <c r="I1361" s="460" t="s">
        <v>4658</v>
      </c>
      <c r="J1361" s="461" t="s">
        <v>2338</v>
      </c>
      <c r="K1361" s="462" t="s">
        <v>533</v>
      </c>
      <c r="L1361" s="463">
        <v>0</v>
      </c>
      <c r="M1361" s="463">
        <v>2262</v>
      </c>
      <c r="N1361" s="464">
        <v>0</v>
      </c>
      <c r="O1361" s="465" t="s">
        <v>2339</v>
      </c>
      <c r="P1361" s="431" t="s">
        <v>6711</v>
      </c>
    </row>
    <row r="1362" spans="1:16" ht="13.9" hidden="1" customHeight="1" outlineLevel="3" x14ac:dyDescent="0.2">
      <c r="A1362" s="233">
        <v>0</v>
      </c>
      <c r="B1362" s="233">
        <v>11</v>
      </c>
      <c r="C1362" s="233">
        <v>8</v>
      </c>
      <c r="D1362" s="234">
        <v>4</v>
      </c>
      <c r="E1362" s="234">
        <v>2</v>
      </c>
      <c r="G1362" s="500" t="s">
        <v>2337</v>
      </c>
      <c r="H1362" s="459" t="s">
        <v>1238</v>
      </c>
      <c r="I1362" s="460" t="s">
        <v>4659</v>
      </c>
      <c r="J1362" s="461" t="s">
        <v>2713</v>
      </c>
      <c r="K1362" s="462" t="s">
        <v>533</v>
      </c>
      <c r="L1362" s="463">
        <v>0</v>
      </c>
      <c r="M1362" s="463">
        <v>1100</v>
      </c>
      <c r="N1362" s="464">
        <v>0</v>
      </c>
      <c r="O1362" s="465" t="s">
        <v>2714</v>
      </c>
      <c r="P1362" s="431" t="s">
        <v>6711</v>
      </c>
    </row>
    <row r="1363" spans="1:16" ht="13.9" hidden="1" customHeight="1" outlineLevel="2" x14ac:dyDescent="0.2">
      <c r="A1363" s="233">
        <v>0</v>
      </c>
      <c r="B1363" s="233">
        <v>11</v>
      </c>
      <c r="C1363" s="233">
        <v>8</v>
      </c>
      <c r="D1363" s="234">
        <v>5</v>
      </c>
      <c r="E1363" s="234">
        <v>0</v>
      </c>
      <c r="G1363" s="450"/>
      <c r="H1363" s="451" t="s">
        <v>1237</v>
      </c>
      <c r="I1363" s="452" t="s">
        <v>4660</v>
      </c>
      <c r="J1363" s="453" t="s">
        <v>14</v>
      </c>
      <c r="K1363" s="454"/>
      <c r="L1363" s="455"/>
      <c r="M1363" s="455"/>
      <c r="N1363" s="456">
        <v>658.18264981667198</v>
      </c>
      <c r="O1363" s="457"/>
      <c r="P1363" s="430"/>
    </row>
    <row r="1364" spans="1:16" ht="13.9" hidden="1" customHeight="1" outlineLevel="3" x14ac:dyDescent="0.2">
      <c r="A1364" s="233">
        <v>0</v>
      </c>
      <c r="B1364" s="233">
        <v>11</v>
      </c>
      <c r="C1364" s="233">
        <v>8</v>
      </c>
      <c r="D1364" s="234">
        <v>5</v>
      </c>
      <c r="E1364" s="234">
        <v>1</v>
      </c>
      <c r="G1364" s="500" t="s">
        <v>2337</v>
      </c>
      <c r="H1364" s="459" t="s">
        <v>1238</v>
      </c>
      <c r="I1364" s="460" t="s">
        <v>4661</v>
      </c>
      <c r="J1364" s="461" t="s">
        <v>2340</v>
      </c>
      <c r="K1364" s="462" t="s">
        <v>1129</v>
      </c>
      <c r="L1364" s="463">
        <v>1</v>
      </c>
      <c r="M1364" s="463">
        <v>658.18264981667198</v>
      </c>
      <c r="N1364" s="464">
        <v>658.18264981667198</v>
      </c>
      <c r="O1364" s="465" t="s">
        <v>3007</v>
      </c>
      <c r="P1364" s="431" t="s">
        <v>6711</v>
      </c>
    </row>
    <row r="1365" spans="1:16" ht="13.9" customHeight="1" collapsed="1" x14ac:dyDescent="0.2">
      <c r="A1365" s="233">
        <v>0</v>
      </c>
      <c r="B1365" s="233">
        <v>12</v>
      </c>
      <c r="C1365" s="233">
        <v>0</v>
      </c>
      <c r="D1365" s="234">
        <v>5</v>
      </c>
      <c r="E1365" s="234">
        <v>1</v>
      </c>
      <c r="F1365" s="237"/>
      <c r="G1365" s="501"/>
      <c r="H1365" s="437" t="s">
        <v>1236</v>
      </c>
      <c r="I1365" s="438" t="s">
        <v>4662</v>
      </c>
      <c r="J1365" s="439" t="s">
        <v>21</v>
      </c>
      <c r="K1365" s="440"/>
      <c r="L1365" s="441"/>
      <c r="M1365" s="441"/>
      <c r="N1365" s="442"/>
      <c r="O1365" s="480"/>
      <c r="P1365" s="434"/>
    </row>
    <row r="1366" spans="1:16" ht="13.9" hidden="1" customHeight="1" outlineLevel="1" x14ac:dyDescent="0.2">
      <c r="A1366" s="233">
        <v>0</v>
      </c>
      <c r="B1366" s="233">
        <v>12</v>
      </c>
      <c r="C1366" s="233">
        <v>1</v>
      </c>
      <c r="D1366" s="234">
        <v>0</v>
      </c>
      <c r="E1366" s="234">
        <v>1</v>
      </c>
      <c r="G1366" s="473"/>
      <c r="H1366" s="444" t="s">
        <v>38</v>
      </c>
      <c r="I1366" s="445" t="s">
        <v>4663</v>
      </c>
      <c r="J1366" s="446" t="s">
        <v>2770</v>
      </c>
      <c r="K1366" s="447"/>
      <c r="L1366" s="448"/>
      <c r="M1366" s="448"/>
      <c r="N1366" s="449"/>
      <c r="O1366" s="432"/>
      <c r="P1366" s="435"/>
    </row>
    <row r="1367" spans="1:16" ht="13.5" hidden="1" customHeight="1" outlineLevel="2" x14ac:dyDescent="0.2">
      <c r="A1367" s="233">
        <v>0</v>
      </c>
      <c r="B1367" s="233">
        <v>12</v>
      </c>
      <c r="C1367" s="233">
        <v>1</v>
      </c>
      <c r="D1367" s="234">
        <v>1</v>
      </c>
      <c r="E1367" s="234">
        <v>0</v>
      </c>
      <c r="G1367" s="474"/>
      <c r="H1367" s="451" t="s">
        <v>1237</v>
      </c>
      <c r="I1367" s="452" t="s">
        <v>4664</v>
      </c>
      <c r="J1367" s="453" t="s">
        <v>2341</v>
      </c>
      <c r="K1367" s="454"/>
      <c r="L1367" s="455"/>
      <c r="M1367" s="455"/>
      <c r="N1367" s="456">
        <v>2800</v>
      </c>
      <c r="O1367" s="457"/>
      <c r="P1367" s="430"/>
    </row>
    <row r="1368" spans="1:16" ht="13.5" hidden="1" customHeight="1" outlineLevel="3" x14ac:dyDescent="0.2">
      <c r="A1368" s="233">
        <v>0</v>
      </c>
      <c r="B1368" s="233">
        <v>12</v>
      </c>
      <c r="C1368" s="233">
        <v>1</v>
      </c>
      <c r="D1368" s="234">
        <v>1</v>
      </c>
      <c r="E1368" s="234">
        <v>1</v>
      </c>
      <c r="F1368" s="125"/>
      <c r="G1368" s="458" t="s">
        <v>2134</v>
      </c>
      <c r="H1368" s="459" t="s">
        <v>1238</v>
      </c>
      <c r="I1368" s="460" t="s">
        <v>4665</v>
      </c>
      <c r="J1368" s="461" t="s">
        <v>2341</v>
      </c>
      <c r="K1368" s="462" t="s">
        <v>1129</v>
      </c>
      <c r="L1368" s="463">
        <v>1</v>
      </c>
      <c r="M1368" s="463">
        <v>2800</v>
      </c>
      <c r="N1368" s="464">
        <v>2800</v>
      </c>
      <c r="O1368" s="465" t="s">
        <v>1261</v>
      </c>
      <c r="P1368" s="431" t="s">
        <v>6711</v>
      </c>
    </row>
    <row r="1369" spans="1:16" ht="13.5" hidden="1" customHeight="1" outlineLevel="2" x14ac:dyDescent="0.2">
      <c r="A1369" s="233">
        <v>0</v>
      </c>
      <c r="B1369" s="233">
        <v>12</v>
      </c>
      <c r="C1369" s="233">
        <v>1</v>
      </c>
      <c r="D1369" s="234">
        <v>2</v>
      </c>
      <c r="E1369" s="234">
        <v>0</v>
      </c>
      <c r="F1369" s="125"/>
      <c r="G1369" s="474"/>
      <c r="H1369" s="451" t="s">
        <v>1237</v>
      </c>
      <c r="I1369" s="452" t="s">
        <v>4666</v>
      </c>
      <c r="J1369" s="453" t="s">
        <v>2342</v>
      </c>
      <c r="K1369" s="454"/>
      <c r="L1369" s="455"/>
      <c r="M1369" s="455"/>
      <c r="N1369" s="456"/>
      <c r="O1369" s="503"/>
      <c r="P1369" s="430"/>
    </row>
    <row r="1370" spans="1:16" ht="13.5" hidden="1" customHeight="1" outlineLevel="3" x14ac:dyDescent="0.2">
      <c r="A1370" s="233">
        <v>0</v>
      </c>
      <c r="B1370" s="233">
        <v>12</v>
      </c>
      <c r="C1370" s="233">
        <v>1</v>
      </c>
      <c r="D1370" s="234">
        <v>2</v>
      </c>
      <c r="E1370" s="234">
        <v>1</v>
      </c>
      <c r="F1370" s="125"/>
      <c r="G1370" s="458" t="s">
        <v>2134</v>
      </c>
      <c r="H1370" s="459" t="s">
        <v>1238</v>
      </c>
      <c r="I1370" s="460" t="s">
        <v>4667</v>
      </c>
      <c r="J1370" s="461" t="s">
        <v>2342</v>
      </c>
      <c r="K1370" s="462" t="s">
        <v>1129</v>
      </c>
      <c r="L1370" s="463">
        <v>1</v>
      </c>
      <c r="M1370" s="463" t="e">
        <v>#REF!</v>
      </c>
      <c r="N1370" s="464"/>
      <c r="O1370" s="471" t="s">
        <v>3008</v>
      </c>
      <c r="P1370" s="431" t="s">
        <v>6711</v>
      </c>
    </row>
    <row r="1371" spans="1:16" ht="13.9" hidden="1" customHeight="1" outlineLevel="1" x14ac:dyDescent="0.2">
      <c r="A1371" s="233">
        <v>0</v>
      </c>
      <c r="B1371" s="233">
        <v>12</v>
      </c>
      <c r="C1371" s="233">
        <v>2</v>
      </c>
      <c r="D1371" s="234">
        <v>0</v>
      </c>
      <c r="E1371" s="234">
        <v>1</v>
      </c>
      <c r="G1371" s="473"/>
      <c r="H1371" s="444" t="s">
        <v>38</v>
      </c>
      <c r="I1371" s="445" t="s">
        <v>4668</v>
      </c>
      <c r="J1371" s="446" t="s">
        <v>2772</v>
      </c>
      <c r="K1371" s="447"/>
      <c r="L1371" s="448"/>
      <c r="M1371" s="448"/>
      <c r="N1371" s="449"/>
      <c r="O1371" s="432"/>
      <c r="P1371" s="435"/>
    </row>
    <row r="1372" spans="1:16" ht="13.5" hidden="1" customHeight="1" outlineLevel="2" x14ac:dyDescent="0.2">
      <c r="A1372" s="233">
        <v>0</v>
      </c>
      <c r="B1372" s="233">
        <v>12</v>
      </c>
      <c r="C1372" s="233">
        <v>2</v>
      </c>
      <c r="D1372" s="234">
        <v>1</v>
      </c>
      <c r="E1372" s="234">
        <v>0</v>
      </c>
      <c r="F1372" s="125"/>
      <c r="G1372" s="474"/>
      <c r="H1372" s="451" t="s">
        <v>1237</v>
      </c>
      <c r="I1372" s="452" t="s">
        <v>4669</v>
      </c>
      <c r="J1372" s="453" t="s">
        <v>2342</v>
      </c>
      <c r="K1372" s="454"/>
      <c r="L1372" s="455"/>
      <c r="M1372" s="455"/>
      <c r="N1372" s="456"/>
      <c r="O1372" s="503"/>
      <c r="P1372" s="430"/>
    </row>
    <row r="1373" spans="1:16" ht="13.5" hidden="1" customHeight="1" outlineLevel="3" x14ac:dyDescent="0.2">
      <c r="A1373" s="233">
        <v>0</v>
      </c>
      <c r="B1373" s="233">
        <v>12</v>
      </c>
      <c r="C1373" s="233">
        <v>2</v>
      </c>
      <c r="D1373" s="234">
        <v>1</v>
      </c>
      <c r="E1373" s="234">
        <v>1</v>
      </c>
      <c r="F1373" s="125"/>
      <c r="G1373" s="458" t="s">
        <v>2134</v>
      </c>
      <c r="H1373" s="459" t="s">
        <v>1238</v>
      </c>
      <c r="I1373" s="460" t="s">
        <v>4670</v>
      </c>
      <c r="J1373" s="461" t="s">
        <v>2342</v>
      </c>
      <c r="K1373" s="462" t="s">
        <v>1129</v>
      </c>
      <c r="L1373" s="463">
        <v>1</v>
      </c>
      <c r="M1373" s="463" t="e">
        <v>#REF!</v>
      </c>
      <c r="N1373" s="464"/>
      <c r="O1373" s="471" t="s">
        <v>3008</v>
      </c>
      <c r="P1373" s="431" t="s">
        <v>6711</v>
      </c>
    </row>
    <row r="1374" spans="1:16" ht="13.9" hidden="1" customHeight="1" outlineLevel="1" x14ac:dyDescent="0.2">
      <c r="A1374" s="233">
        <v>0</v>
      </c>
      <c r="B1374" s="233">
        <v>12</v>
      </c>
      <c r="C1374" s="233">
        <v>3</v>
      </c>
      <c r="D1374" s="234">
        <v>0</v>
      </c>
      <c r="E1374" s="234">
        <v>1</v>
      </c>
      <c r="G1374" s="473"/>
      <c r="H1374" s="444" t="s">
        <v>38</v>
      </c>
      <c r="I1374" s="445" t="s">
        <v>4671</v>
      </c>
      <c r="J1374" s="446" t="s">
        <v>2773</v>
      </c>
      <c r="K1374" s="447"/>
      <c r="L1374" s="448"/>
      <c r="M1374" s="448"/>
      <c r="N1374" s="449"/>
      <c r="O1374" s="432"/>
      <c r="P1374" s="435"/>
    </row>
    <row r="1375" spans="1:16" ht="13.5" hidden="1" customHeight="1" outlineLevel="2" x14ac:dyDescent="0.2">
      <c r="A1375" s="233">
        <v>0</v>
      </c>
      <c r="B1375" s="233">
        <v>12</v>
      </c>
      <c r="C1375" s="233">
        <v>3</v>
      </c>
      <c r="D1375" s="234">
        <v>1</v>
      </c>
      <c r="E1375" s="234">
        <v>0</v>
      </c>
      <c r="F1375" s="125"/>
      <c r="G1375" s="474"/>
      <c r="H1375" s="451" t="s">
        <v>1237</v>
      </c>
      <c r="I1375" s="452" t="s">
        <v>4672</v>
      </c>
      <c r="J1375" s="453" t="s">
        <v>2342</v>
      </c>
      <c r="K1375" s="454"/>
      <c r="L1375" s="455"/>
      <c r="M1375" s="455"/>
      <c r="N1375" s="456"/>
      <c r="O1375" s="503"/>
      <c r="P1375" s="430"/>
    </row>
    <row r="1376" spans="1:16" ht="13.5" hidden="1" customHeight="1" outlineLevel="3" x14ac:dyDescent="0.2">
      <c r="A1376" s="233">
        <v>0</v>
      </c>
      <c r="B1376" s="233">
        <v>12</v>
      </c>
      <c r="C1376" s="233">
        <v>3</v>
      </c>
      <c r="D1376" s="234">
        <v>1</v>
      </c>
      <c r="E1376" s="234">
        <v>1</v>
      </c>
      <c r="F1376" s="125"/>
      <c r="G1376" s="458" t="s">
        <v>2134</v>
      </c>
      <c r="H1376" s="459" t="s">
        <v>1238</v>
      </c>
      <c r="I1376" s="460" t="s">
        <v>4673</v>
      </c>
      <c r="J1376" s="461" t="s">
        <v>2342</v>
      </c>
      <c r="K1376" s="462" t="s">
        <v>1129</v>
      </c>
      <c r="L1376" s="463">
        <v>1</v>
      </c>
      <c r="M1376" s="463" t="e">
        <v>#REF!</v>
      </c>
      <c r="N1376" s="464"/>
      <c r="O1376" s="465" t="s">
        <v>2771</v>
      </c>
      <c r="P1376" s="431" t="s">
        <v>6711</v>
      </c>
    </row>
    <row r="1377" spans="1:16" ht="13.9" hidden="1" customHeight="1" outlineLevel="1" x14ac:dyDescent="0.2">
      <c r="A1377" s="233">
        <v>0</v>
      </c>
      <c r="B1377" s="233">
        <v>12</v>
      </c>
      <c r="C1377" s="233">
        <v>4</v>
      </c>
      <c r="D1377" s="234">
        <v>0</v>
      </c>
      <c r="E1377" s="234">
        <v>1</v>
      </c>
      <c r="G1377" s="473"/>
      <c r="H1377" s="444" t="s">
        <v>38</v>
      </c>
      <c r="I1377" s="445" t="s">
        <v>4674</v>
      </c>
      <c r="J1377" s="446" t="s">
        <v>2774</v>
      </c>
      <c r="K1377" s="447"/>
      <c r="L1377" s="448"/>
      <c r="M1377" s="448"/>
      <c r="N1377" s="449"/>
      <c r="O1377" s="432"/>
      <c r="P1377" s="435"/>
    </row>
    <row r="1378" spans="1:16" ht="13.5" hidden="1" customHeight="1" outlineLevel="2" x14ac:dyDescent="0.2">
      <c r="A1378" s="233">
        <v>0</v>
      </c>
      <c r="B1378" s="233">
        <v>12</v>
      </c>
      <c r="C1378" s="233">
        <v>4</v>
      </c>
      <c r="D1378" s="234">
        <v>1</v>
      </c>
      <c r="E1378" s="234">
        <v>0</v>
      </c>
      <c r="F1378" s="125"/>
      <c r="G1378" s="474"/>
      <c r="H1378" s="451" t="s">
        <v>1237</v>
      </c>
      <c r="I1378" s="452" t="s">
        <v>4675</v>
      </c>
      <c r="J1378" s="453" t="s">
        <v>2342</v>
      </c>
      <c r="K1378" s="454"/>
      <c r="L1378" s="455"/>
      <c r="M1378" s="455"/>
      <c r="N1378" s="456"/>
      <c r="O1378" s="503"/>
      <c r="P1378" s="430"/>
    </row>
    <row r="1379" spans="1:16" ht="13.5" hidden="1" customHeight="1" outlineLevel="3" x14ac:dyDescent="0.2">
      <c r="A1379" s="233">
        <v>0</v>
      </c>
      <c r="B1379" s="233">
        <v>12</v>
      </c>
      <c r="C1379" s="233">
        <v>4</v>
      </c>
      <c r="D1379" s="234">
        <v>1</v>
      </c>
      <c r="E1379" s="234">
        <v>1</v>
      </c>
      <c r="F1379" s="125"/>
      <c r="G1379" s="458" t="s">
        <v>2134</v>
      </c>
      <c r="H1379" s="459" t="s">
        <v>1238</v>
      </c>
      <c r="I1379" s="460" t="s">
        <v>4676</v>
      </c>
      <c r="J1379" s="461" t="s">
        <v>2342</v>
      </c>
      <c r="K1379" s="462" t="s">
        <v>1129</v>
      </c>
      <c r="L1379" s="463">
        <v>1</v>
      </c>
      <c r="M1379" s="463" t="e">
        <v>#REF!</v>
      </c>
      <c r="N1379" s="464"/>
      <c r="O1379" s="465" t="s">
        <v>2771</v>
      </c>
      <c r="P1379" s="431" t="s">
        <v>6711</v>
      </c>
    </row>
    <row r="1380" spans="1:16" ht="13.9" hidden="1" customHeight="1" outlineLevel="1" x14ac:dyDescent="0.2">
      <c r="A1380" s="233">
        <v>0</v>
      </c>
      <c r="B1380" s="233">
        <v>12</v>
      </c>
      <c r="C1380" s="233">
        <v>5</v>
      </c>
      <c r="D1380" s="234">
        <v>0</v>
      </c>
      <c r="E1380" s="234">
        <v>1</v>
      </c>
      <c r="G1380" s="473"/>
      <c r="H1380" s="444" t="s">
        <v>38</v>
      </c>
      <c r="I1380" s="445" t="s">
        <v>4677</v>
      </c>
      <c r="J1380" s="446" t="s">
        <v>2775</v>
      </c>
      <c r="K1380" s="447"/>
      <c r="L1380" s="448"/>
      <c r="M1380" s="448"/>
      <c r="N1380" s="449"/>
      <c r="O1380" s="432"/>
      <c r="P1380" s="435"/>
    </row>
    <row r="1381" spans="1:16" ht="13.5" hidden="1" customHeight="1" outlineLevel="2" x14ac:dyDescent="0.2">
      <c r="A1381" s="233">
        <v>0</v>
      </c>
      <c r="B1381" s="233">
        <v>12</v>
      </c>
      <c r="C1381" s="233">
        <v>5</v>
      </c>
      <c r="D1381" s="234">
        <v>1</v>
      </c>
      <c r="E1381" s="234">
        <v>0</v>
      </c>
      <c r="F1381" s="125"/>
      <c r="G1381" s="474"/>
      <c r="H1381" s="451" t="s">
        <v>1237</v>
      </c>
      <c r="I1381" s="452" t="s">
        <v>4678</v>
      </c>
      <c r="J1381" s="453" t="s">
        <v>2342</v>
      </c>
      <c r="K1381" s="454"/>
      <c r="L1381" s="455"/>
      <c r="M1381" s="455"/>
      <c r="N1381" s="456"/>
      <c r="O1381" s="503"/>
      <c r="P1381" s="430"/>
    </row>
    <row r="1382" spans="1:16" ht="13.5" hidden="1" customHeight="1" outlineLevel="3" x14ac:dyDescent="0.2">
      <c r="A1382" s="233">
        <v>0</v>
      </c>
      <c r="B1382" s="233">
        <v>12</v>
      </c>
      <c r="C1382" s="233">
        <v>5</v>
      </c>
      <c r="D1382" s="234">
        <v>1</v>
      </c>
      <c r="E1382" s="234">
        <v>1</v>
      </c>
      <c r="F1382" s="125"/>
      <c r="G1382" s="458" t="s">
        <v>2134</v>
      </c>
      <c r="H1382" s="459" t="s">
        <v>1238</v>
      </c>
      <c r="I1382" s="460" t="s">
        <v>4679</v>
      </c>
      <c r="J1382" s="461" t="s">
        <v>2342</v>
      </c>
      <c r="K1382" s="462" t="s">
        <v>1129</v>
      </c>
      <c r="L1382" s="463">
        <v>1</v>
      </c>
      <c r="M1382" s="463" t="e">
        <v>#REF!</v>
      </c>
      <c r="N1382" s="464"/>
      <c r="O1382" s="465" t="s">
        <v>2771</v>
      </c>
      <c r="P1382" s="431" t="s">
        <v>6711</v>
      </c>
    </row>
    <row r="1383" spans="1:16" ht="13.9" hidden="1" customHeight="1" outlineLevel="1" x14ac:dyDescent="0.2">
      <c r="A1383" s="233">
        <v>0</v>
      </c>
      <c r="B1383" s="233">
        <v>12</v>
      </c>
      <c r="C1383" s="233">
        <v>6</v>
      </c>
      <c r="D1383" s="234">
        <v>0</v>
      </c>
      <c r="E1383" s="234">
        <v>1</v>
      </c>
      <c r="G1383" s="473"/>
      <c r="H1383" s="444" t="s">
        <v>38</v>
      </c>
      <c r="I1383" s="445" t="s">
        <v>4680</v>
      </c>
      <c r="J1383" s="446" t="s">
        <v>2776</v>
      </c>
      <c r="K1383" s="447"/>
      <c r="L1383" s="448"/>
      <c r="M1383" s="448"/>
      <c r="N1383" s="449"/>
      <c r="O1383" s="432"/>
      <c r="P1383" s="435"/>
    </row>
    <row r="1384" spans="1:16" ht="13.5" hidden="1" customHeight="1" outlineLevel="2" x14ac:dyDescent="0.2">
      <c r="A1384" s="233">
        <v>0</v>
      </c>
      <c r="B1384" s="233">
        <v>12</v>
      </c>
      <c r="C1384" s="233">
        <v>6</v>
      </c>
      <c r="D1384" s="234">
        <v>1</v>
      </c>
      <c r="E1384" s="234">
        <v>0</v>
      </c>
      <c r="F1384" s="125"/>
      <c r="G1384" s="474"/>
      <c r="H1384" s="451" t="s">
        <v>1237</v>
      </c>
      <c r="I1384" s="452" t="s">
        <v>4681</v>
      </c>
      <c r="J1384" s="453" t="s">
        <v>2342</v>
      </c>
      <c r="K1384" s="454"/>
      <c r="L1384" s="455"/>
      <c r="M1384" s="455"/>
      <c r="N1384" s="456"/>
      <c r="O1384" s="503"/>
      <c r="P1384" s="430"/>
    </row>
    <row r="1385" spans="1:16" ht="13.5" hidden="1" customHeight="1" outlineLevel="3" x14ac:dyDescent="0.2">
      <c r="A1385" s="233">
        <v>0</v>
      </c>
      <c r="B1385" s="233">
        <v>12</v>
      </c>
      <c r="C1385" s="233">
        <v>6</v>
      </c>
      <c r="D1385" s="234">
        <v>1</v>
      </c>
      <c r="E1385" s="234">
        <v>1</v>
      </c>
      <c r="F1385" s="125"/>
      <c r="G1385" s="458" t="s">
        <v>2134</v>
      </c>
      <c r="H1385" s="459" t="s">
        <v>1238</v>
      </c>
      <c r="I1385" s="460" t="s">
        <v>4682</v>
      </c>
      <c r="J1385" s="461" t="s">
        <v>2342</v>
      </c>
      <c r="K1385" s="462" t="s">
        <v>1129</v>
      </c>
      <c r="L1385" s="463">
        <v>1</v>
      </c>
      <c r="M1385" s="463" t="e">
        <v>#REF!</v>
      </c>
      <c r="N1385" s="464"/>
      <c r="O1385" s="465" t="s">
        <v>2771</v>
      </c>
      <c r="P1385" s="431" t="s">
        <v>6711</v>
      </c>
    </row>
    <row r="1386" spans="1:16" ht="13.9" hidden="1" customHeight="1" outlineLevel="1" x14ac:dyDescent="0.2">
      <c r="A1386" s="233">
        <v>0</v>
      </c>
      <c r="B1386" s="233">
        <v>12</v>
      </c>
      <c r="C1386" s="233">
        <v>7</v>
      </c>
      <c r="D1386" s="234">
        <v>0</v>
      </c>
      <c r="E1386" s="234">
        <v>1</v>
      </c>
      <c r="G1386" s="473"/>
      <c r="H1386" s="444" t="s">
        <v>38</v>
      </c>
      <c r="I1386" s="445" t="s">
        <v>4683</v>
      </c>
      <c r="J1386" s="446" t="s">
        <v>2777</v>
      </c>
      <c r="K1386" s="447"/>
      <c r="L1386" s="448"/>
      <c r="M1386" s="448"/>
      <c r="N1386" s="449"/>
      <c r="O1386" s="432"/>
      <c r="P1386" s="435"/>
    </row>
    <row r="1387" spans="1:16" ht="13.5" hidden="1" customHeight="1" outlineLevel="2" x14ac:dyDescent="0.2">
      <c r="A1387" s="233">
        <v>0</v>
      </c>
      <c r="B1387" s="233">
        <v>12</v>
      </c>
      <c r="C1387" s="233">
        <v>7</v>
      </c>
      <c r="D1387" s="234">
        <v>1</v>
      </c>
      <c r="E1387" s="234">
        <v>0</v>
      </c>
      <c r="G1387" s="474"/>
      <c r="H1387" s="451" t="s">
        <v>1237</v>
      </c>
      <c r="I1387" s="452" t="s">
        <v>4684</v>
      </c>
      <c r="J1387" s="453" t="s">
        <v>2341</v>
      </c>
      <c r="K1387" s="454"/>
      <c r="L1387" s="455"/>
      <c r="M1387" s="455"/>
      <c r="N1387" s="456">
        <v>14910</v>
      </c>
      <c r="O1387" s="457"/>
      <c r="P1387" s="430"/>
    </row>
    <row r="1388" spans="1:16" ht="13.5" hidden="1" customHeight="1" outlineLevel="3" x14ac:dyDescent="0.2">
      <c r="A1388" s="233">
        <v>0</v>
      </c>
      <c r="B1388" s="233">
        <v>12</v>
      </c>
      <c r="C1388" s="233">
        <v>7</v>
      </c>
      <c r="D1388" s="234">
        <v>1</v>
      </c>
      <c r="E1388" s="234">
        <v>1</v>
      </c>
      <c r="F1388" s="125"/>
      <c r="G1388" s="458" t="s">
        <v>2134</v>
      </c>
      <c r="H1388" s="459" t="s">
        <v>1238</v>
      </c>
      <c r="I1388" s="460" t="s">
        <v>4685</v>
      </c>
      <c r="J1388" s="461" t="s">
        <v>2341</v>
      </c>
      <c r="K1388" s="462" t="s">
        <v>1129</v>
      </c>
      <c r="L1388" s="463">
        <v>1</v>
      </c>
      <c r="M1388" s="463">
        <v>14910</v>
      </c>
      <c r="N1388" s="464">
        <v>14910</v>
      </c>
      <c r="O1388" s="465" t="s">
        <v>1261</v>
      </c>
      <c r="P1388" s="431" t="s">
        <v>6711</v>
      </c>
    </row>
    <row r="1389" spans="1:16" ht="13.5" hidden="1" customHeight="1" outlineLevel="2" x14ac:dyDescent="0.2">
      <c r="A1389" s="233">
        <v>0</v>
      </c>
      <c r="B1389" s="233">
        <v>12</v>
      </c>
      <c r="C1389" s="233">
        <v>7</v>
      </c>
      <c r="D1389" s="234">
        <v>2</v>
      </c>
      <c r="E1389" s="234">
        <v>0</v>
      </c>
      <c r="F1389" s="125"/>
      <c r="G1389" s="474"/>
      <c r="H1389" s="451" t="s">
        <v>1237</v>
      </c>
      <c r="I1389" s="452" t="s">
        <v>4686</v>
      </c>
      <c r="J1389" s="453" t="s">
        <v>2342</v>
      </c>
      <c r="K1389" s="454"/>
      <c r="L1389" s="455"/>
      <c r="M1389" s="455"/>
      <c r="N1389" s="456"/>
      <c r="O1389" s="503"/>
      <c r="P1389" s="430"/>
    </row>
    <row r="1390" spans="1:16" ht="13.5" hidden="1" customHeight="1" outlineLevel="3" x14ac:dyDescent="0.2">
      <c r="A1390" s="233">
        <v>0</v>
      </c>
      <c r="B1390" s="233">
        <v>12</v>
      </c>
      <c r="C1390" s="233">
        <v>7</v>
      </c>
      <c r="D1390" s="234">
        <v>2</v>
      </c>
      <c r="E1390" s="234">
        <v>1</v>
      </c>
      <c r="F1390" s="125"/>
      <c r="G1390" s="458" t="s">
        <v>2134</v>
      </c>
      <c r="H1390" s="459" t="s">
        <v>1238</v>
      </c>
      <c r="I1390" s="460" t="s">
        <v>4687</v>
      </c>
      <c r="J1390" s="461" t="s">
        <v>2342</v>
      </c>
      <c r="K1390" s="462" t="s">
        <v>1129</v>
      </c>
      <c r="L1390" s="463">
        <v>1</v>
      </c>
      <c r="M1390" s="463" t="e">
        <v>#REF!</v>
      </c>
      <c r="N1390" s="464"/>
      <c r="O1390" s="465" t="s">
        <v>2771</v>
      </c>
      <c r="P1390" s="431" t="s">
        <v>6711</v>
      </c>
    </row>
    <row r="1391" spans="1:16" ht="13.5" hidden="1" customHeight="1" outlineLevel="2" x14ac:dyDescent="0.2">
      <c r="A1391" s="233">
        <v>0</v>
      </c>
      <c r="B1391" s="233">
        <v>12</v>
      </c>
      <c r="C1391" s="233">
        <v>7</v>
      </c>
      <c r="D1391" s="234">
        <v>3</v>
      </c>
      <c r="E1391" s="234">
        <v>0</v>
      </c>
      <c r="F1391" s="125"/>
      <c r="G1391" s="474"/>
      <c r="H1391" s="451" t="s">
        <v>1237</v>
      </c>
      <c r="I1391" s="452" t="s">
        <v>4688</v>
      </c>
      <c r="J1391" s="453" t="s">
        <v>2242</v>
      </c>
      <c r="K1391" s="454"/>
      <c r="L1391" s="455"/>
      <c r="M1391" s="455"/>
      <c r="N1391" s="456">
        <v>42992.695764557197</v>
      </c>
      <c r="O1391" s="457"/>
      <c r="P1391" s="430"/>
    </row>
    <row r="1392" spans="1:16" ht="13.5" hidden="1" customHeight="1" outlineLevel="3" x14ac:dyDescent="0.2">
      <c r="A1392" s="233">
        <v>0</v>
      </c>
      <c r="B1392" s="233">
        <v>12</v>
      </c>
      <c r="C1392" s="233">
        <v>7</v>
      </c>
      <c r="D1392" s="234">
        <v>3</v>
      </c>
      <c r="E1392" s="234">
        <v>1</v>
      </c>
      <c r="F1392" s="125"/>
      <c r="G1392" s="458" t="s">
        <v>2134</v>
      </c>
      <c r="H1392" s="459" t="s">
        <v>1238</v>
      </c>
      <c r="I1392" s="460" t="s">
        <v>4689</v>
      </c>
      <c r="J1392" s="461" t="s">
        <v>2343</v>
      </c>
      <c r="K1392" s="462" t="s">
        <v>1129</v>
      </c>
      <c r="L1392" s="463">
        <v>1</v>
      </c>
      <c r="M1392" s="463">
        <v>42992.695764557211</v>
      </c>
      <c r="N1392" s="464">
        <v>42992.695764557197</v>
      </c>
      <c r="O1392" s="465" t="s">
        <v>1261</v>
      </c>
      <c r="P1392" s="431" t="s">
        <v>6711</v>
      </c>
    </row>
    <row r="1393" spans="1:16" ht="13.9" hidden="1" customHeight="1" outlineLevel="1" x14ac:dyDescent="0.2">
      <c r="A1393" s="233">
        <v>0</v>
      </c>
      <c r="B1393" s="233">
        <v>12</v>
      </c>
      <c r="C1393" s="233">
        <v>8</v>
      </c>
      <c r="D1393" s="234">
        <v>0</v>
      </c>
      <c r="E1393" s="234">
        <v>1</v>
      </c>
      <c r="G1393" s="473"/>
      <c r="H1393" s="444" t="s">
        <v>38</v>
      </c>
      <c r="I1393" s="445" t="s">
        <v>4690</v>
      </c>
      <c r="J1393" s="446" t="s">
        <v>2778</v>
      </c>
      <c r="K1393" s="447"/>
      <c r="L1393" s="448"/>
      <c r="M1393" s="448"/>
      <c r="N1393" s="449"/>
      <c r="O1393" s="432"/>
      <c r="P1393" s="435"/>
    </row>
    <row r="1394" spans="1:16" ht="13.5" hidden="1" customHeight="1" outlineLevel="2" x14ac:dyDescent="0.2">
      <c r="A1394" s="233">
        <v>0</v>
      </c>
      <c r="B1394" s="233">
        <v>12</v>
      </c>
      <c r="C1394" s="233">
        <v>8</v>
      </c>
      <c r="D1394" s="234">
        <v>1</v>
      </c>
      <c r="E1394" s="234">
        <v>0</v>
      </c>
      <c r="G1394" s="474"/>
      <c r="H1394" s="451" t="s">
        <v>1237</v>
      </c>
      <c r="I1394" s="452" t="s">
        <v>4691</v>
      </c>
      <c r="J1394" s="453" t="s">
        <v>2341</v>
      </c>
      <c r="K1394" s="454"/>
      <c r="L1394" s="455"/>
      <c r="M1394" s="455"/>
      <c r="N1394" s="456">
        <v>13700</v>
      </c>
      <c r="O1394" s="457"/>
      <c r="P1394" s="430"/>
    </row>
    <row r="1395" spans="1:16" ht="13.5" hidden="1" customHeight="1" outlineLevel="3" x14ac:dyDescent="0.2">
      <c r="A1395" s="233">
        <v>0</v>
      </c>
      <c r="B1395" s="233">
        <v>12</v>
      </c>
      <c r="C1395" s="233">
        <v>8</v>
      </c>
      <c r="D1395" s="234">
        <v>1</v>
      </c>
      <c r="E1395" s="234">
        <v>1</v>
      </c>
      <c r="F1395" s="125"/>
      <c r="G1395" s="458" t="s">
        <v>2134</v>
      </c>
      <c r="H1395" s="459" t="s">
        <v>1238</v>
      </c>
      <c r="I1395" s="460" t="s">
        <v>4692</v>
      </c>
      <c r="J1395" s="461" t="s">
        <v>2341</v>
      </c>
      <c r="K1395" s="462" t="s">
        <v>1129</v>
      </c>
      <c r="L1395" s="463">
        <v>1</v>
      </c>
      <c r="M1395" s="463">
        <v>13700</v>
      </c>
      <c r="N1395" s="464">
        <v>13700</v>
      </c>
      <c r="O1395" s="465" t="s">
        <v>1261</v>
      </c>
      <c r="P1395" s="431" t="s">
        <v>6711</v>
      </c>
    </row>
    <row r="1396" spans="1:16" ht="13.5" hidden="1" customHeight="1" outlineLevel="2" x14ac:dyDescent="0.2">
      <c r="A1396" s="233">
        <v>0</v>
      </c>
      <c r="B1396" s="233">
        <v>12</v>
      </c>
      <c r="C1396" s="233">
        <v>8</v>
      </c>
      <c r="D1396" s="234">
        <v>2</v>
      </c>
      <c r="E1396" s="234">
        <v>0</v>
      </c>
      <c r="F1396" s="125"/>
      <c r="G1396" s="474"/>
      <c r="H1396" s="451" t="s">
        <v>1237</v>
      </c>
      <c r="I1396" s="452" t="s">
        <v>4693</v>
      </c>
      <c r="J1396" s="453" t="s">
        <v>2342</v>
      </c>
      <c r="K1396" s="454"/>
      <c r="L1396" s="455"/>
      <c r="M1396" s="455"/>
      <c r="N1396" s="456"/>
      <c r="O1396" s="503"/>
      <c r="P1396" s="430"/>
    </row>
    <row r="1397" spans="1:16" ht="13.5" hidden="1" customHeight="1" outlineLevel="3" x14ac:dyDescent="0.2">
      <c r="A1397" s="233">
        <v>0</v>
      </c>
      <c r="B1397" s="233">
        <v>12</v>
      </c>
      <c r="C1397" s="233">
        <v>8</v>
      </c>
      <c r="D1397" s="234">
        <v>2</v>
      </c>
      <c r="E1397" s="234">
        <v>1</v>
      </c>
      <c r="F1397" s="125"/>
      <c r="G1397" s="458" t="s">
        <v>2134</v>
      </c>
      <c r="H1397" s="459" t="s">
        <v>1238</v>
      </c>
      <c r="I1397" s="460" t="s">
        <v>4694</v>
      </c>
      <c r="J1397" s="461" t="s">
        <v>2342</v>
      </c>
      <c r="K1397" s="462" t="s">
        <v>1129</v>
      </c>
      <c r="L1397" s="463">
        <v>1</v>
      </c>
      <c r="M1397" s="463" t="e">
        <v>#REF!</v>
      </c>
      <c r="N1397" s="464"/>
      <c r="O1397" s="465" t="s">
        <v>2771</v>
      </c>
      <c r="P1397" s="431" t="s">
        <v>6711</v>
      </c>
    </row>
    <row r="1398" spans="1:16" ht="13.5" hidden="1" customHeight="1" outlineLevel="2" x14ac:dyDescent="0.2">
      <c r="A1398" s="233">
        <v>0</v>
      </c>
      <c r="B1398" s="233">
        <v>12</v>
      </c>
      <c r="C1398" s="233">
        <v>8</v>
      </c>
      <c r="D1398" s="234">
        <v>3</v>
      </c>
      <c r="E1398" s="234">
        <v>0</v>
      </c>
      <c r="F1398" s="125"/>
      <c r="G1398" s="474"/>
      <c r="H1398" s="451" t="s">
        <v>1237</v>
      </c>
      <c r="I1398" s="452" t="s">
        <v>4695</v>
      </c>
      <c r="J1398" s="453" t="s">
        <v>2242</v>
      </c>
      <c r="K1398" s="454"/>
      <c r="L1398" s="455"/>
      <c r="M1398" s="455"/>
      <c r="N1398" s="456">
        <v>42992.695764557197</v>
      </c>
      <c r="O1398" s="457"/>
      <c r="P1398" s="430"/>
    </row>
    <row r="1399" spans="1:16" ht="13.5" hidden="1" customHeight="1" outlineLevel="3" x14ac:dyDescent="0.2">
      <c r="A1399" s="233">
        <v>0</v>
      </c>
      <c r="B1399" s="233">
        <v>12</v>
      </c>
      <c r="C1399" s="233">
        <v>8</v>
      </c>
      <c r="D1399" s="234">
        <v>3</v>
      </c>
      <c r="E1399" s="234">
        <v>1</v>
      </c>
      <c r="F1399" s="125"/>
      <c r="G1399" s="458" t="s">
        <v>2134</v>
      </c>
      <c r="H1399" s="459" t="s">
        <v>1238</v>
      </c>
      <c r="I1399" s="460" t="s">
        <v>4696</v>
      </c>
      <c r="J1399" s="461" t="s">
        <v>2343</v>
      </c>
      <c r="K1399" s="462" t="s">
        <v>1129</v>
      </c>
      <c r="L1399" s="463">
        <v>1</v>
      </c>
      <c r="M1399" s="463">
        <v>42992.695764557211</v>
      </c>
      <c r="N1399" s="464">
        <v>42992.695764557197</v>
      </c>
      <c r="O1399" s="465" t="s">
        <v>1261</v>
      </c>
      <c r="P1399" s="431" t="s">
        <v>6711</v>
      </c>
    </row>
    <row r="1400" spans="1:16" ht="13.9" hidden="1" customHeight="1" outlineLevel="1" x14ac:dyDescent="0.2">
      <c r="A1400" s="233">
        <v>0</v>
      </c>
      <c r="B1400" s="233">
        <v>12</v>
      </c>
      <c r="C1400" s="233">
        <v>9</v>
      </c>
      <c r="D1400" s="234">
        <v>0</v>
      </c>
      <c r="E1400" s="234">
        <v>1</v>
      </c>
      <c r="G1400" s="473"/>
      <c r="H1400" s="444" t="s">
        <v>38</v>
      </c>
      <c r="I1400" s="445" t="s">
        <v>4697</v>
      </c>
      <c r="J1400" s="446" t="s">
        <v>2779</v>
      </c>
      <c r="K1400" s="447"/>
      <c r="L1400" s="448"/>
      <c r="M1400" s="448"/>
      <c r="N1400" s="449"/>
      <c r="O1400" s="432"/>
      <c r="P1400" s="435"/>
    </row>
    <row r="1401" spans="1:16" ht="13.5" hidden="1" customHeight="1" outlineLevel="2" x14ac:dyDescent="0.2">
      <c r="A1401" s="233">
        <v>0</v>
      </c>
      <c r="B1401" s="233">
        <v>12</v>
      </c>
      <c r="C1401" s="233">
        <v>9</v>
      </c>
      <c r="D1401" s="234">
        <v>1</v>
      </c>
      <c r="E1401" s="234">
        <v>0</v>
      </c>
      <c r="G1401" s="474"/>
      <c r="H1401" s="451" t="s">
        <v>1237</v>
      </c>
      <c r="I1401" s="452" t="s">
        <v>4698</v>
      </c>
      <c r="J1401" s="453" t="s">
        <v>2341</v>
      </c>
      <c r="K1401" s="454"/>
      <c r="L1401" s="455"/>
      <c r="M1401" s="455"/>
      <c r="N1401" s="456">
        <v>1720</v>
      </c>
      <c r="O1401" s="457"/>
      <c r="P1401" s="430"/>
    </row>
    <row r="1402" spans="1:16" ht="13.5" hidden="1" customHeight="1" outlineLevel="3" x14ac:dyDescent="0.2">
      <c r="A1402" s="233">
        <v>0</v>
      </c>
      <c r="B1402" s="233">
        <v>12</v>
      </c>
      <c r="C1402" s="233">
        <v>9</v>
      </c>
      <c r="D1402" s="234">
        <v>1</v>
      </c>
      <c r="E1402" s="234">
        <v>1</v>
      </c>
      <c r="F1402" s="125"/>
      <c r="G1402" s="458" t="s">
        <v>2134</v>
      </c>
      <c r="H1402" s="459" t="s">
        <v>1238</v>
      </c>
      <c r="I1402" s="460" t="s">
        <v>4699</v>
      </c>
      <c r="J1402" s="461" t="s">
        <v>2341</v>
      </c>
      <c r="K1402" s="462" t="s">
        <v>1129</v>
      </c>
      <c r="L1402" s="463">
        <v>1</v>
      </c>
      <c r="M1402" s="463">
        <v>1720</v>
      </c>
      <c r="N1402" s="464">
        <v>1720</v>
      </c>
      <c r="O1402" s="465" t="s">
        <v>1261</v>
      </c>
      <c r="P1402" s="431" t="s">
        <v>6711</v>
      </c>
    </row>
    <row r="1403" spans="1:16" ht="13.5" hidden="1" customHeight="1" outlineLevel="2" x14ac:dyDescent="0.2">
      <c r="A1403" s="233">
        <v>0</v>
      </c>
      <c r="B1403" s="233">
        <v>12</v>
      </c>
      <c r="C1403" s="233">
        <v>9</v>
      </c>
      <c r="D1403" s="234">
        <v>2</v>
      </c>
      <c r="E1403" s="234">
        <v>0</v>
      </c>
      <c r="F1403" s="125"/>
      <c r="G1403" s="474"/>
      <c r="H1403" s="451" t="s">
        <v>1237</v>
      </c>
      <c r="I1403" s="452" t="s">
        <v>4700</v>
      </c>
      <c r="J1403" s="453" t="s">
        <v>2342</v>
      </c>
      <c r="K1403" s="454"/>
      <c r="L1403" s="455"/>
      <c r="M1403" s="455"/>
      <c r="N1403" s="456"/>
      <c r="O1403" s="503"/>
      <c r="P1403" s="430"/>
    </row>
    <row r="1404" spans="1:16" ht="13.5" hidden="1" customHeight="1" outlineLevel="3" x14ac:dyDescent="0.2">
      <c r="A1404" s="233">
        <v>0</v>
      </c>
      <c r="B1404" s="233">
        <v>12</v>
      </c>
      <c r="C1404" s="233">
        <v>9</v>
      </c>
      <c r="D1404" s="234">
        <v>2</v>
      </c>
      <c r="E1404" s="234">
        <v>1</v>
      </c>
      <c r="F1404" s="125"/>
      <c r="G1404" s="458" t="s">
        <v>2134</v>
      </c>
      <c r="H1404" s="459" t="s">
        <v>1238</v>
      </c>
      <c r="I1404" s="460" t="s">
        <v>4701</v>
      </c>
      <c r="J1404" s="461" t="s">
        <v>2342</v>
      </c>
      <c r="K1404" s="462" t="s">
        <v>1129</v>
      </c>
      <c r="L1404" s="463">
        <v>1</v>
      </c>
      <c r="M1404" s="463" t="e">
        <v>#REF!</v>
      </c>
      <c r="N1404" s="464"/>
      <c r="O1404" s="471" t="s">
        <v>3009</v>
      </c>
      <c r="P1404" s="431" t="s">
        <v>6711</v>
      </c>
    </row>
    <row r="1405" spans="1:16" ht="13.9" hidden="1" customHeight="1" outlineLevel="1" x14ac:dyDescent="0.2">
      <c r="A1405" s="233">
        <v>0</v>
      </c>
      <c r="B1405" s="233">
        <v>12</v>
      </c>
      <c r="C1405" s="233">
        <v>10</v>
      </c>
      <c r="D1405" s="234">
        <v>0</v>
      </c>
      <c r="E1405" s="234">
        <v>1</v>
      </c>
      <c r="G1405" s="473"/>
      <c r="H1405" s="444" t="s">
        <v>38</v>
      </c>
      <c r="I1405" s="445" t="s">
        <v>4702</v>
      </c>
      <c r="J1405" s="446" t="s">
        <v>2780</v>
      </c>
      <c r="K1405" s="447"/>
      <c r="L1405" s="448"/>
      <c r="M1405" s="448"/>
      <c r="N1405" s="449"/>
      <c r="O1405" s="432"/>
      <c r="P1405" s="435"/>
    </row>
    <row r="1406" spans="1:16" ht="13.5" hidden="1" customHeight="1" outlineLevel="2" x14ac:dyDescent="0.2">
      <c r="A1406" s="233">
        <v>0</v>
      </c>
      <c r="B1406" s="233">
        <v>12</v>
      </c>
      <c r="C1406" s="233">
        <v>10</v>
      </c>
      <c r="D1406" s="234">
        <v>1</v>
      </c>
      <c r="E1406" s="234">
        <v>0</v>
      </c>
      <c r="G1406" s="474"/>
      <c r="H1406" s="451" t="s">
        <v>1237</v>
      </c>
      <c r="I1406" s="452" t="s">
        <v>4703</v>
      </c>
      <c r="J1406" s="453" t="s">
        <v>2341</v>
      </c>
      <c r="K1406" s="454"/>
      <c r="L1406" s="455"/>
      <c r="M1406" s="455"/>
      <c r="N1406" s="456">
        <v>2560</v>
      </c>
      <c r="O1406" s="457"/>
      <c r="P1406" s="430"/>
    </row>
    <row r="1407" spans="1:16" ht="13.5" hidden="1" customHeight="1" outlineLevel="3" x14ac:dyDescent="0.2">
      <c r="A1407" s="233">
        <v>0</v>
      </c>
      <c r="B1407" s="233">
        <v>12</v>
      </c>
      <c r="C1407" s="233">
        <v>10</v>
      </c>
      <c r="D1407" s="234">
        <v>1</v>
      </c>
      <c r="E1407" s="234">
        <v>1</v>
      </c>
      <c r="F1407" s="125"/>
      <c r="G1407" s="458" t="s">
        <v>2134</v>
      </c>
      <c r="H1407" s="459" t="s">
        <v>1238</v>
      </c>
      <c r="I1407" s="460" t="s">
        <v>4704</v>
      </c>
      <c r="J1407" s="461" t="s">
        <v>2341</v>
      </c>
      <c r="K1407" s="462" t="s">
        <v>1129</v>
      </c>
      <c r="L1407" s="463">
        <v>1</v>
      </c>
      <c r="M1407" s="463">
        <v>2560</v>
      </c>
      <c r="N1407" s="464">
        <v>2560</v>
      </c>
      <c r="O1407" s="471" t="s">
        <v>3009</v>
      </c>
      <c r="P1407" s="431" t="s">
        <v>6711</v>
      </c>
    </row>
    <row r="1408" spans="1:16" ht="13.5" hidden="1" customHeight="1" outlineLevel="2" x14ac:dyDescent="0.2">
      <c r="A1408" s="233">
        <v>0</v>
      </c>
      <c r="B1408" s="233">
        <v>12</v>
      </c>
      <c r="C1408" s="233">
        <v>10</v>
      </c>
      <c r="D1408" s="234">
        <v>2</v>
      </c>
      <c r="E1408" s="234">
        <v>0</v>
      </c>
      <c r="F1408" s="125"/>
      <c r="G1408" s="474"/>
      <c r="H1408" s="451" t="s">
        <v>1237</v>
      </c>
      <c r="I1408" s="452" t="s">
        <v>4705</v>
      </c>
      <c r="J1408" s="453" t="s">
        <v>2342</v>
      </c>
      <c r="K1408" s="454"/>
      <c r="L1408" s="455"/>
      <c r="M1408" s="455"/>
      <c r="N1408" s="456"/>
      <c r="O1408" s="503"/>
      <c r="P1408" s="430"/>
    </row>
    <row r="1409" spans="1:16" ht="13.5" hidden="1" customHeight="1" outlineLevel="3" x14ac:dyDescent="0.2">
      <c r="A1409" s="233">
        <v>0</v>
      </c>
      <c r="B1409" s="233">
        <v>12</v>
      </c>
      <c r="C1409" s="233">
        <v>10</v>
      </c>
      <c r="D1409" s="234">
        <v>2</v>
      </c>
      <c r="E1409" s="234">
        <v>1</v>
      </c>
      <c r="F1409" s="125"/>
      <c r="G1409" s="458" t="s">
        <v>2134</v>
      </c>
      <c r="H1409" s="459" t="s">
        <v>1238</v>
      </c>
      <c r="I1409" s="460" t="s">
        <v>4706</v>
      </c>
      <c r="J1409" s="461" t="s">
        <v>2342</v>
      </c>
      <c r="K1409" s="462" t="s">
        <v>1129</v>
      </c>
      <c r="L1409" s="463">
        <v>1</v>
      </c>
      <c r="M1409" s="463" t="e">
        <v>#REF!</v>
      </c>
      <c r="N1409" s="464"/>
      <c r="O1409" s="465" t="s">
        <v>2771</v>
      </c>
      <c r="P1409" s="431" t="s">
        <v>6711</v>
      </c>
    </row>
    <row r="1410" spans="1:16" ht="13.9" hidden="1" customHeight="1" outlineLevel="1" x14ac:dyDescent="0.2">
      <c r="A1410" s="233">
        <v>0</v>
      </c>
      <c r="B1410" s="233">
        <v>12</v>
      </c>
      <c r="C1410" s="233">
        <v>11</v>
      </c>
      <c r="D1410" s="234">
        <v>0</v>
      </c>
      <c r="E1410" s="234">
        <v>1</v>
      </c>
      <c r="G1410" s="473"/>
      <c r="H1410" s="444" t="s">
        <v>38</v>
      </c>
      <c r="I1410" s="445" t="s">
        <v>4707</v>
      </c>
      <c r="J1410" s="446" t="s">
        <v>2781</v>
      </c>
      <c r="K1410" s="447"/>
      <c r="L1410" s="448"/>
      <c r="M1410" s="448"/>
      <c r="N1410" s="449"/>
      <c r="O1410" s="432"/>
      <c r="P1410" s="435"/>
    </row>
    <row r="1411" spans="1:16" ht="13.5" hidden="1" customHeight="1" outlineLevel="2" x14ac:dyDescent="0.2">
      <c r="A1411" s="233">
        <v>0</v>
      </c>
      <c r="B1411" s="233">
        <v>12</v>
      </c>
      <c r="C1411" s="233">
        <v>11</v>
      </c>
      <c r="D1411" s="234">
        <v>1</v>
      </c>
      <c r="E1411" s="234">
        <v>0</v>
      </c>
      <c r="G1411" s="474"/>
      <c r="H1411" s="451" t="s">
        <v>1237</v>
      </c>
      <c r="I1411" s="452" t="s">
        <v>4708</v>
      </c>
      <c r="J1411" s="453" t="s">
        <v>2341</v>
      </c>
      <c r="K1411" s="454"/>
      <c r="L1411" s="455"/>
      <c r="M1411" s="455"/>
      <c r="N1411" s="456">
        <v>3520</v>
      </c>
      <c r="O1411" s="457"/>
      <c r="P1411" s="430"/>
    </row>
    <row r="1412" spans="1:16" ht="13.5" hidden="1" customHeight="1" outlineLevel="3" x14ac:dyDescent="0.2">
      <c r="A1412" s="233">
        <v>0</v>
      </c>
      <c r="B1412" s="233">
        <v>12</v>
      </c>
      <c r="C1412" s="233">
        <v>11</v>
      </c>
      <c r="D1412" s="234">
        <v>1</v>
      </c>
      <c r="E1412" s="234">
        <v>1</v>
      </c>
      <c r="F1412" s="125"/>
      <c r="G1412" s="458" t="s">
        <v>2134</v>
      </c>
      <c r="H1412" s="459" t="s">
        <v>1238</v>
      </c>
      <c r="I1412" s="460" t="s">
        <v>4709</v>
      </c>
      <c r="J1412" s="461" t="s">
        <v>2341</v>
      </c>
      <c r="K1412" s="462" t="s">
        <v>1129</v>
      </c>
      <c r="L1412" s="463">
        <v>1</v>
      </c>
      <c r="M1412" s="463">
        <v>3520</v>
      </c>
      <c r="N1412" s="464">
        <v>3520</v>
      </c>
      <c r="O1412" s="465" t="s">
        <v>1261</v>
      </c>
      <c r="P1412" s="431" t="s">
        <v>6711</v>
      </c>
    </row>
    <row r="1413" spans="1:16" ht="13.5" hidden="1" customHeight="1" outlineLevel="2" x14ac:dyDescent="0.2">
      <c r="A1413" s="233">
        <v>0</v>
      </c>
      <c r="B1413" s="233">
        <v>12</v>
      </c>
      <c r="C1413" s="233">
        <v>11</v>
      </c>
      <c r="D1413" s="234">
        <v>2</v>
      </c>
      <c r="E1413" s="234">
        <v>0</v>
      </c>
      <c r="F1413" s="125"/>
      <c r="G1413" s="474"/>
      <c r="H1413" s="451" t="s">
        <v>1237</v>
      </c>
      <c r="I1413" s="452" t="s">
        <v>4710</v>
      </c>
      <c r="J1413" s="453" t="s">
        <v>2342</v>
      </c>
      <c r="K1413" s="454"/>
      <c r="L1413" s="455"/>
      <c r="M1413" s="455"/>
      <c r="N1413" s="456"/>
      <c r="O1413" s="503"/>
      <c r="P1413" s="430"/>
    </row>
    <row r="1414" spans="1:16" ht="13.5" hidden="1" customHeight="1" outlineLevel="3" x14ac:dyDescent="0.2">
      <c r="A1414" s="233">
        <v>0</v>
      </c>
      <c r="B1414" s="233">
        <v>12</v>
      </c>
      <c r="C1414" s="233">
        <v>11</v>
      </c>
      <c r="D1414" s="234">
        <v>2</v>
      </c>
      <c r="E1414" s="234">
        <v>1</v>
      </c>
      <c r="F1414" s="125"/>
      <c r="G1414" s="458" t="s">
        <v>2134</v>
      </c>
      <c r="H1414" s="459" t="s">
        <v>1238</v>
      </c>
      <c r="I1414" s="460" t="s">
        <v>4711</v>
      </c>
      <c r="J1414" s="461" t="s">
        <v>2342</v>
      </c>
      <c r="K1414" s="462" t="s">
        <v>1129</v>
      </c>
      <c r="L1414" s="463">
        <v>1</v>
      </c>
      <c r="M1414" s="463" t="e">
        <v>#REF!</v>
      </c>
      <c r="N1414" s="464"/>
      <c r="O1414" s="471" t="s">
        <v>3009</v>
      </c>
      <c r="P1414" s="431" t="s">
        <v>6711</v>
      </c>
    </row>
    <row r="1415" spans="1:16" ht="13.9" hidden="1" customHeight="1" outlineLevel="1" x14ac:dyDescent="0.2">
      <c r="A1415" s="233">
        <v>0</v>
      </c>
      <c r="B1415" s="233">
        <v>12</v>
      </c>
      <c r="C1415" s="233">
        <v>12</v>
      </c>
      <c r="D1415" s="234">
        <v>0</v>
      </c>
      <c r="E1415" s="234">
        <v>1</v>
      </c>
      <c r="G1415" s="473"/>
      <c r="H1415" s="444" t="s">
        <v>38</v>
      </c>
      <c r="I1415" s="445" t="s">
        <v>4712</v>
      </c>
      <c r="J1415" s="446" t="s">
        <v>2782</v>
      </c>
      <c r="K1415" s="447"/>
      <c r="L1415" s="448"/>
      <c r="M1415" s="448"/>
      <c r="N1415" s="449"/>
      <c r="O1415" s="432"/>
      <c r="P1415" s="435"/>
    </row>
    <row r="1416" spans="1:16" ht="13.5" hidden="1" customHeight="1" outlineLevel="2" x14ac:dyDescent="0.2">
      <c r="A1416" s="233">
        <v>0</v>
      </c>
      <c r="B1416" s="233">
        <v>12</v>
      </c>
      <c r="C1416" s="233">
        <v>12</v>
      </c>
      <c r="D1416" s="234">
        <v>1</v>
      </c>
      <c r="E1416" s="234">
        <v>0</v>
      </c>
      <c r="G1416" s="474"/>
      <c r="H1416" s="451" t="s">
        <v>1237</v>
      </c>
      <c r="I1416" s="452" t="s">
        <v>4713</v>
      </c>
      <c r="J1416" s="453" t="s">
        <v>2341</v>
      </c>
      <c r="K1416" s="454"/>
      <c r="L1416" s="455"/>
      <c r="M1416" s="455"/>
      <c r="N1416" s="456">
        <v>320</v>
      </c>
      <c r="O1416" s="457"/>
      <c r="P1416" s="430"/>
    </row>
    <row r="1417" spans="1:16" ht="13.5" hidden="1" customHeight="1" outlineLevel="3" x14ac:dyDescent="0.2">
      <c r="A1417" s="233">
        <v>0</v>
      </c>
      <c r="B1417" s="233">
        <v>12</v>
      </c>
      <c r="C1417" s="233">
        <v>12</v>
      </c>
      <c r="D1417" s="234">
        <v>1</v>
      </c>
      <c r="E1417" s="234">
        <v>1</v>
      </c>
      <c r="F1417" s="125"/>
      <c r="G1417" s="458" t="s">
        <v>2134</v>
      </c>
      <c r="H1417" s="459" t="s">
        <v>1238</v>
      </c>
      <c r="I1417" s="460" t="s">
        <v>4714</v>
      </c>
      <c r="J1417" s="461" t="s">
        <v>2341</v>
      </c>
      <c r="K1417" s="462" t="s">
        <v>1129</v>
      </c>
      <c r="L1417" s="463">
        <v>1</v>
      </c>
      <c r="M1417" s="463">
        <v>320</v>
      </c>
      <c r="N1417" s="464">
        <v>320</v>
      </c>
      <c r="O1417" s="465" t="s">
        <v>1261</v>
      </c>
      <c r="P1417" s="431" t="s">
        <v>6711</v>
      </c>
    </row>
    <row r="1418" spans="1:16" ht="13.5" hidden="1" customHeight="1" outlineLevel="2" x14ac:dyDescent="0.2">
      <c r="A1418" s="233">
        <v>0</v>
      </c>
      <c r="B1418" s="233">
        <v>12</v>
      </c>
      <c r="C1418" s="233">
        <v>12</v>
      </c>
      <c r="D1418" s="234">
        <v>2</v>
      </c>
      <c r="E1418" s="234">
        <v>0</v>
      </c>
      <c r="F1418" s="125"/>
      <c r="G1418" s="474"/>
      <c r="H1418" s="451" t="s">
        <v>1237</v>
      </c>
      <c r="I1418" s="452" t="s">
        <v>4715</v>
      </c>
      <c r="J1418" s="453" t="s">
        <v>2342</v>
      </c>
      <c r="K1418" s="454"/>
      <c r="L1418" s="455"/>
      <c r="M1418" s="455"/>
      <c r="N1418" s="456"/>
      <c r="O1418" s="503"/>
      <c r="P1418" s="430"/>
    </row>
    <row r="1419" spans="1:16" ht="13.5" hidden="1" customHeight="1" outlineLevel="3" x14ac:dyDescent="0.2">
      <c r="A1419" s="233">
        <v>0</v>
      </c>
      <c r="B1419" s="233">
        <v>12</v>
      </c>
      <c r="C1419" s="233">
        <v>12</v>
      </c>
      <c r="D1419" s="234">
        <v>2</v>
      </c>
      <c r="E1419" s="234">
        <v>1</v>
      </c>
      <c r="F1419" s="125"/>
      <c r="G1419" s="458" t="s">
        <v>2134</v>
      </c>
      <c r="H1419" s="459" t="s">
        <v>1238</v>
      </c>
      <c r="I1419" s="460" t="s">
        <v>4716</v>
      </c>
      <c r="J1419" s="461" t="s">
        <v>2342</v>
      </c>
      <c r="K1419" s="462" t="s">
        <v>1129</v>
      </c>
      <c r="L1419" s="463">
        <v>1</v>
      </c>
      <c r="M1419" s="463" t="e">
        <v>#REF!</v>
      </c>
      <c r="N1419" s="464"/>
      <c r="O1419" s="471" t="s">
        <v>3009</v>
      </c>
      <c r="P1419" s="431" t="s">
        <v>6711</v>
      </c>
    </row>
    <row r="1420" spans="1:16" ht="13.9" hidden="1" customHeight="1" outlineLevel="1" x14ac:dyDescent="0.2">
      <c r="A1420" s="233">
        <v>0</v>
      </c>
      <c r="B1420" s="233">
        <v>12</v>
      </c>
      <c r="C1420" s="233">
        <v>13</v>
      </c>
      <c r="D1420" s="234">
        <v>0</v>
      </c>
      <c r="E1420" s="234">
        <v>1</v>
      </c>
      <c r="G1420" s="473"/>
      <c r="H1420" s="444" t="s">
        <v>38</v>
      </c>
      <c r="I1420" s="445" t="s">
        <v>4717</v>
      </c>
      <c r="J1420" s="446" t="s">
        <v>2783</v>
      </c>
      <c r="K1420" s="447"/>
      <c r="L1420" s="448"/>
      <c r="M1420" s="448"/>
      <c r="N1420" s="449"/>
      <c r="O1420" s="432"/>
      <c r="P1420" s="435"/>
    </row>
    <row r="1421" spans="1:16" ht="13.5" hidden="1" customHeight="1" outlineLevel="2" x14ac:dyDescent="0.2">
      <c r="A1421" s="233">
        <v>0</v>
      </c>
      <c r="B1421" s="233">
        <v>12</v>
      </c>
      <c r="C1421" s="233">
        <v>13</v>
      </c>
      <c r="D1421" s="234">
        <v>1</v>
      </c>
      <c r="E1421" s="234">
        <v>0</v>
      </c>
      <c r="F1421" s="125"/>
      <c r="G1421" s="474"/>
      <c r="H1421" s="451" t="s">
        <v>1237</v>
      </c>
      <c r="I1421" s="452" t="s">
        <v>4718</v>
      </c>
      <c r="J1421" s="453" t="s">
        <v>2342</v>
      </c>
      <c r="K1421" s="454"/>
      <c r="L1421" s="455"/>
      <c r="M1421" s="455"/>
      <c r="N1421" s="456"/>
      <c r="O1421" s="503"/>
      <c r="P1421" s="430"/>
    </row>
    <row r="1422" spans="1:16" ht="13.5" hidden="1" customHeight="1" outlineLevel="3" x14ac:dyDescent="0.2">
      <c r="A1422" s="233">
        <v>0</v>
      </c>
      <c r="B1422" s="233">
        <v>12</v>
      </c>
      <c r="C1422" s="233">
        <v>13</v>
      </c>
      <c r="D1422" s="234">
        <v>1</v>
      </c>
      <c r="E1422" s="234">
        <v>1</v>
      </c>
      <c r="F1422" s="125"/>
      <c r="G1422" s="458" t="s">
        <v>2134</v>
      </c>
      <c r="H1422" s="459" t="s">
        <v>1238</v>
      </c>
      <c r="I1422" s="460" t="s">
        <v>4719</v>
      </c>
      <c r="J1422" s="461" t="s">
        <v>2342</v>
      </c>
      <c r="K1422" s="462" t="s">
        <v>1129</v>
      </c>
      <c r="L1422" s="463">
        <v>1</v>
      </c>
      <c r="M1422" s="463" t="e">
        <v>#REF!</v>
      </c>
      <c r="N1422" s="464"/>
      <c r="O1422" s="471" t="s">
        <v>3009</v>
      </c>
      <c r="P1422" s="431" t="s">
        <v>6711</v>
      </c>
    </row>
    <row r="1423" spans="1:16" ht="13.5" customHeight="1" collapsed="1" x14ac:dyDescent="0.2">
      <c r="A1423" s="233">
        <v>0</v>
      </c>
      <c r="B1423" s="233">
        <v>13</v>
      </c>
      <c r="C1423" s="233">
        <v>0</v>
      </c>
      <c r="D1423" s="234">
        <v>1</v>
      </c>
      <c r="E1423" s="234">
        <v>1</v>
      </c>
      <c r="F1423" s="237"/>
      <c r="G1423" s="504"/>
      <c r="H1423" s="476" t="s">
        <v>1236</v>
      </c>
      <c r="I1423" s="438" t="s">
        <v>4720</v>
      </c>
      <c r="J1423" s="505" t="s">
        <v>440</v>
      </c>
      <c r="K1423" s="478"/>
      <c r="L1423" s="479"/>
      <c r="M1423" s="479"/>
      <c r="N1423" s="442">
        <v>1076652.81713433</v>
      </c>
      <c r="O1423" s="480">
        <v>64.279046520578206</v>
      </c>
      <c r="P1423" s="428"/>
    </row>
    <row r="1424" spans="1:16" ht="13.5" hidden="1" customHeight="1" outlineLevel="1" x14ac:dyDescent="0.2">
      <c r="A1424" s="233">
        <v>0</v>
      </c>
      <c r="B1424" s="233">
        <v>13</v>
      </c>
      <c r="C1424" s="233">
        <v>1</v>
      </c>
      <c r="D1424" s="234">
        <v>0</v>
      </c>
      <c r="E1424" s="234">
        <v>1</v>
      </c>
      <c r="G1424" s="506"/>
      <c r="H1424" s="481" t="s">
        <v>38</v>
      </c>
      <c r="I1424" s="445" t="s">
        <v>4721</v>
      </c>
      <c r="J1424" s="483" t="s">
        <v>2320</v>
      </c>
      <c r="K1424" s="484"/>
      <c r="L1424" s="485"/>
      <c r="M1424" s="485"/>
      <c r="N1424" s="449">
        <v>67700.351232000001</v>
      </c>
      <c r="O1424" s="486">
        <v>4.04189164514883</v>
      </c>
      <c r="P1424" s="429"/>
    </row>
    <row r="1425" spans="1:16" ht="13.5" hidden="1" customHeight="1" outlineLevel="2" x14ac:dyDescent="0.2">
      <c r="A1425" s="233">
        <v>0</v>
      </c>
      <c r="B1425" s="233">
        <v>13</v>
      </c>
      <c r="C1425" s="233">
        <v>1</v>
      </c>
      <c r="D1425" s="234">
        <v>1</v>
      </c>
      <c r="E1425" s="234">
        <v>0</v>
      </c>
      <c r="G1425" s="507"/>
      <c r="H1425" s="487" t="s">
        <v>1237</v>
      </c>
      <c r="I1425" s="452" t="s">
        <v>4722</v>
      </c>
      <c r="J1425" s="489" t="s">
        <v>24</v>
      </c>
      <c r="K1425" s="490"/>
      <c r="L1425" s="491"/>
      <c r="M1425" s="491"/>
      <c r="N1425" s="456">
        <v>2052.6453320000001</v>
      </c>
      <c r="O1425" s="492">
        <v>0.12254840435662299</v>
      </c>
      <c r="P1425" s="430"/>
    </row>
    <row r="1426" spans="1:16" ht="13.5" hidden="1" customHeight="1" outlineLevel="3" x14ac:dyDescent="0.2">
      <c r="A1426" s="233">
        <v>0</v>
      </c>
      <c r="B1426" s="233">
        <v>13</v>
      </c>
      <c r="C1426" s="233">
        <v>1</v>
      </c>
      <c r="D1426" s="234">
        <v>1</v>
      </c>
      <c r="E1426" s="234">
        <v>1</v>
      </c>
      <c r="G1426" s="508" t="s">
        <v>23</v>
      </c>
      <c r="H1426" s="493" t="s">
        <v>1238</v>
      </c>
      <c r="I1426" s="460" t="s">
        <v>4723</v>
      </c>
      <c r="J1426" s="495" t="s">
        <v>441</v>
      </c>
      <c r="K1426" s="496" t="s">
        <v>641</v>
      </c>
      <c r="L1426" s="497">
        <v>242.57999999999998</v>
      </c>
      <c r="M1426" s="497">
        <v>7.0658999999999992</v>
      </c>
      <c r="N1426" s="464">
        <v>1714.046022</v>
      </c>
      <c r="O1426" s="498" t="s">
        <v>2928</v>
      </c>
      <c r="P1426" s="431" t="s">
        <v>6711</v>
      </c>
    </row>
    <row r="1427" spans="1:16" ht="13.5" hidden="1" customHeight="1" outlineLevel="3" x14ac:dyDescent="0.2">
      <c r="A1427" s="233">
        <v>0</v>
      </c>
      <c r="B1427" s="233">
        <v>13</v>
      </c>
      <c r="C1427" s="233">
        <v>1</v>
      </c>
      <c r="D1427" s="234">
        <v>1</v>
      </c>
      <c r="E1427" s="234">
        <v>2</v>
      </c>
      <c r="G1427" s="508" t="s">
        <v>23</v>
      </c>
      <c r="H1427" s="493" t="s">
        <v>1238</v>
      </c>
      <c r="I1427" s="460" t="s">
        <v>4724</v>
      </c>
      <c r="J1427" s="495" t="s">
        <v>443</v>
      </c>
      <c r="K1427" s="496" t="s">
        <v>641</v>
      </c>
      <c r="L1427" s="497">
        <v>6.86</v>
      </c>
      <c r="M1427" s="497">
        <v>49.358499999999999</v>
      </c>
      <c r="N1427" s="464">
        <v>338.59931</v>
      </c>
      <c r="O1427" s="498" t="s">
        <v>2929</v>
      </c>
      <c r="P1427" s="431" t="s">
        <v>6711</v>
      </c>
    </row>
    <row r="1428" spans="1:16" ht="13.5" hidden="1" customHeight="1" outlineLevel="2" x14ac:dyDescent="0.2">
      <c r="A1428" s="233">
        <v>0</v>
      </c>
      <c r="B1428" s="233">
        <v>13</v>
      </c>
      <c r="C1428" s="233">
        <v>1</v>
      </c>
      <c r="D1428" s="234">
        <v>2</v>
      </c>
      <c r="E1428" s="234">
        <v>0</v>
      </c>
      <c r="G1428" s="507"/>
      <c r="H1428" s="487" t="s">
        <v>1237</v>
      </c>
      <c r="I1428" s="452" t="s">
        <v>4725</v>
      </c>
      <c r="J1428" s="489" t="s">
        <v>2246</v>
      </c>
      <c r="K1428" s="490"/>
      <c r="L1428" s="491"/>
      <c r="M1428" s="491"/>
      <c r="N1428" s="456">
        <v>20378.466</v>
      </c>
      <c r="O1428" s="492"/>
      <c r="P1428" s="430"/>
    </row>
    <row r="1429" spans="1:16" ht="13.5" hidden="1" customHeight="1" outlineLevel="3" x14ac:dyDescent="0.2">
      <c r="A1429" s="233">
        <v>0</v>
      </c>
      <c r="B1429" s="233">
        <v>13</v>
      </c>
      <c r="C1429" s="233">
        <v>1</v>
      </c>
      <c r="D1429" s="234">
        <v>2</v>
      </c>
      <c r="E1429" s="234">
        <v>1</v>
      </c>
      <c r="G1429" s="508" t="s">
        <v>23</v>
      </c>
      <c r="H1429" s="493" t="s">
        <v>1238</v>
      </c>
      <c r="I1429" s="460" t="s">
        <v>2904</v>
      </c>
      <c r="J1429" s="495" t="s">
        <v>446</v>
      </c>
      <c r="K1429" s="496" t="s">
        <v>641</v>
      </c>
      <c r="L1429" s="497">
        <v>698.84999999999991</v>
      </c>
      <c r="M1429" s="497">
        <v>29.160000000000004</v>
      </c>
      <c r="N1429" s="464">
        <v>20378.466</v>
      </c>
      <c r="O1429" s="498"/>
      <c r="P1429" s="431" t="s">
        <v>6711</v>
      </c>
    </row>
    <row r="1430" spans="1:16" ht="13.5" hidden="1" customHeight="1" outlineLevel="2" x14ac:dyDescent="0.2">
      <c r="A1430" s="233">
        <v>0</v>
      </c>
      <c r="B1430" s="233">
        <v>13</v>
      </c>
      <c r="C1430" s="233">
        <v>1</v>
      </c>
      <c r="D1430" s="234">
        <v>3</v>
      </c>
      <c r="E1430" s="234">
        <v>0</v>
      </c>
      <c r="G1430" s="507"/>
      <c r="H1430" s="487" t="s">
        <v>1237</v>
      </c>
      <c r="I1430" s="452" t="s">
        <v>4726</v>
      </c>
      <c r="J1430" s="489" t="s">
        <v>2924</v>
      </c>
      <c r="K1430" s="490"/>
      <c r="L1430" s="491"/>
      <c r="M1430" s="491"/>
      <c r="N1430" s="456">
        <v>6753.1912739999998</v>
      </c>
      <c r="O1430" s="492"/>
      <c r="P1430" s="430"/>
    </row>
    <row r="1431" spans="1:16" ht="13.5" hidden="1" customHeight="1" outlineLevel="3" x14ac:dyDescent="0.2">
      <c r="A1431" s="233">
        <v>0</v>
      </c>
      <c r="B1431" s="233">
        <v>13</v>
      </c>
      <c r="C1431" s="233">
        <v>1</v>
      </c>
      <c r="D1431" s="234">
        <v>3</v>
      </c>
      <c r="E1431" s="234">
        <v>1</v>
      </c>
      <c r="G1431" s="508" t="s">
        <v>23</v>
      </c>
      <c r="H1431" s="493" t="s">
        <v>1238</v>
      </c>
      <c r="I1431" s="460" t="s">
        <v>4727</v>
      </c>
      <c r="J1431" s="495" t="s">
        <v>2908</v>
      </c>
      <c r="K1431" s="496" t="s">
        <v>641</v>
      </c>
      <c r="L1431" s="497">
        <v>97.67</v>
      </c>
      <c r="M1431" s="497">
        <v>46.211799999999997</v>
      </c>
      <c r="N1431" s="464">
        <v>4513.5065059999997</v>
      </c>
      <c r="O1431" s="498" t="s">
        <v>2915</v>
      </c>
      <c r="P1431" s="431" t="s">
        <v>6711</v>
      </c>
    </row>
    <row r="1432" spans="1:16" ht="13.5" hidden="1" customHeight="1" outlineLevel="3" x14ac:dyDescent="0.2">
      <c r="A1432" s="233">
        <v>0</v>
      </c>
      <c r="B1432" s="233">
        <v>13</v>
      </c>
      <c r="C1432" s="233">
        <v>1</v>
      </c>
      <c r="D1432" s="234">
        <v>3</v>
      </c>
      <c r="E1432" s="234">
        <v>2</v>
      </c>
      <c r="G1432" s="508" t="s">
        <v>23</v>
      </c>
      <c r="H1432" s="493" t="s">
        <v>1238</v>
      </c>
      <c r="I1432" s="460" t="s">
        <v>4728</v>
      </c>
      <c r="J1432" s="495" t="s">
        <v>2907</v>
      </c>
      <c r="K1432" s="496" t="s">
        <v>641</v>
      </c>
      <c r="L1432" s="497">
        <v>65.759999999999991</v>
      </c>
      <c r="M1432" s="497">
        <v>34.058466666666661</v>
      </c>
      <c r="N1432" s="464">
        <v>2239.6847680000001</v>
      </c>
      <c r="O1432" s="498" t="s">
        <v>2916</v>
      </c>
      <c r="P1432" s="431" t="s">
        <v>6711</v>
      </c>
    </row>
    <row r="1433" spans="1:16" ht="13.5" hidden="1" customHeight="1" outlineLevel="2" x14ac:dyDescent="0.2">
      <c r="A1433" s="233">
        <v>0</v>
      </c>
      <c r="B1433" s="233">
        <v>13</v>
      </c>
      <c r="C1433" s="233">
        <v>1</v>
      </c>
      <c r="D1433" s="234">
        <v>4</v>
      </c>
      <c r="E1433" s="234">
        <v>0</v>
      </c>
      <c r="G1433" s="507"/>
      <c r="H1433" s="487" t="s">
        <v>1237</v>
      </c>
      <c r="I1433" s="452" t="s">
        <v>4729</v>
      </c>
      <c r="J1433" s="489" t="s">
        <v>2318</v>
      </c>
      <c r="K1433" s="490"/>
      <c r="L1433" s="491"/>
      <c r="M1433" s="491"/>
      <c r="N1433" s="456">
        <v>19.413326000000001</v>
      </c>
      <c r="O1433" s="492"/>
      <c r="P1433" s="430"/>
    </row>
    <row r="1434" spans="1:16" ht="13.5" hidden="1" customHeight="1" outlineLevel="3" x14ac:dyDescent="0.2">
      <c r="A1434" s="233">
        <v>0</v>
      </c>
      <c r="B1434" s="233">
        <v>13</v>
      </c>
      <c r="C1434" s="233">
        <v>1</v>
      </c>
      <c r="D1434" s="234">
        <v>4</v>
      </c>
      <c r="E1434" s="234">
        <v>1</v>
      </c>
      <c r="G1434" s="508" t="s">
        <v>23</v>
      </c>
      <c r="H1434" s="493" t="s">
        <v>1238</v>
      </c>
      <c r="I1434" s="460" t="s">
        <v>4730</v>
      </c>
      <c r="J1434" s="495" t="s">
        <v>2907</v>
      </c>
      <c r="K1434" s="496" t="s">
        <v>641</v>
      </c>
      <c r="L1434" s="497">
        <v>0.56999999999999995</v>
      </c>
      <c r="M1434" s="497">
        <v>34.058466666666661</v>
      </c>
      <c r="N1434" s="464">
        <v>19.413326000000001</v>
      </c>
      <c r="O1434" s="498"/>
      <c r="P1434" s="431" t="s">
        <v>6711</v>
      </c>
    </row>
    <row r="1435" spans="1:16" ht="13.5" hidden="1" customHeight="1" outlineLevel="2" x14ac:dyDescent="0.2">
      <c r="A1435" s="233">
        <v>0</v>
      </c>
      <c r="B1435" s="233">
        <v>13</v>
      </c>
      <c r="C1435" s="233">
        <v>1</v>
      </c>
      <c r="D1435" s="234">
        <v>5</v>
      </c>
      <c r="E1435" s="234">
        <v>0</v>
      </c>
      <c r="G1435" s="507"/>
      <c r="H1435" s="487" t="s">
        <v>1237</v>
      </c>
      <c r="I1435" s="452" t="s">
        <v>4731</v>
      </c>
      <c r="J1435" s="489" t="s">
        <v>2319</v>
      </c>
      <c r="K1435" s="490"/>
      <c r="L1435" s="491"/>
      <c r="M1435" s="491"/>
      <c r="N1435" s="456">
        <v>70.080119999999994</v>
      </c>
      <c r="O1435" s="492"/>
      <c r="P1435" s="430"/>
    </row>
    <row r="1436" spans="1:16" ht="13.5" hidden="1" customHeight="1" outlineLevel="3" x14ac:dyDescent="0.2">
      <c r="A1436" s="233">
        <v>0</v>
      </c>
      <c r="B1436" s="233">
        <v>13</v>
      </c>
      <c r="C1436" s="233">
        <v>1</v>
      </c>
      <c r="D1436" s="234">
        <v>5</v>
      </c>
      <c r="E1436" s="234">
        <v>1</v>
      </c>
      <c r="G1436" s="508" t="s">
        <v>23</v>
      </c>
      <c r="H1436" s="493" t="s">
        <v>1238</v>
      </c>
      <c r="I1436" s="460" t="s">
        <v>4732</v>
      </c>
      <c r="J1436" s="495" t="s">
        <v>1616</v>
      </c>
      <c r="K1436" s="496" t="s">
        <v>533</v>
      </c>
      <c r="L1436" s="497">
        <v>8</v>
      </c>
      <c r="M1436" s="497">
        <v>8.760015000000001</v>
      </c>
      <c r="N1436" s="464">
        <v>70.080119999999994</v>
      </c>
      <c r="O1436" s="498" t="s">
        <v>2943</v>
      </c>
      <c r="P1436" s="431" t="s">
        <v>6711</v>
      </c>
    </row>
    <row r="1437" spans="1:16" ht="13.5" hidden="1" customHeight="1" outlineLevel="2" x14ac:dyDescent="0.2">
      <c r="A1437" s="233">
        <v>0</v>
      </c>
      <c r="B1437" s="233">
        <v>13</v>
      </c>
      <c r="C1437" s="233">
        <v>1</v>
      </c>
      <c r="D1437" s="234">
        <v>6</v>
      </c>
      <c r="E1437" s="234">
        <v>0</v>
      </c>
      <c r="G1437" s="507"/>
      <c r="H1437" s="487" t="s">
        <v>1237</v>
      </c>
      <c r="I1437" s="452" t="s">
        <v>4733</v>
      </c>
      <c r="J1437" s="489" t="s">
        <v>2922</v>
      </c>
      <c r="K1437" s="490"/>
      <c r="L1437" s="491"/>
      <c r="M1437" s="491"/>
      <c r="N1437" s="456">
        <v>6660.1951799999997</v>
      </c>
      <c r="O1437" s="492"/>
      <c r="P1437" s="430"/>
    </row>
    <row r="1438" spans="1:16" ht="13.5" hidden="1" customHeight="1" outlineLevel="3" x14ac:dyDescent="0.2">
      <c r="A1438" s="233">
        <v>0</v>
      </c>
      <c r="B1438" s="233">
        <v>13</v>
      </c>
      <c r="C1438" s="233">
        <v>1</v>
      </c>
      <c r="D1438" s="234">
        <v>6</v>
      </c>
      <c r="E1438" s="234">
        <v>1</v>
      </c>
      <c r="G1438" s="508" t="s">
        <v>23</v>
      </c>
      <c r="H1438" s="493" t="s">
        <v>1238</v>
      </c>
      <c r="I1438" s="460" t="s">
        <v>4734</v>
      </c>
      <c r="J1438" s="495" t="s">
        <v>2913</v>
      </c>
      <c r="K1438" s="496" t="s">
        <v>641</v>
      </c>
      <c r="L1438" s="497">
        <v>36.76</v>
      </c>
      <c r="M1438" s="497">
        <v>181.18049999999999</v>
      </c>
      <c r="N1438" s="464">
        <v>6660.1951799999997</v>
      </c>
      <c r="O1438" s="498" t="s">
        <v>2923</v>
      </c>
      <c r="P1438" s="431" t="s">
        <v>6711</v>
      </c>
    </row>
    <row r="1439" spans="1:16" ht="13.5" hidden="1" customHeight="1" outlineLevel="2" x14ac:dyDescent="0.2">
      <c r="A1439" s="233">
        <v>0</v>
      </c>
      <c r="B1439" s="233">
        <v>13</v>
      </c>
      <c r="C1439" s="233">
        <v>1</v>
      </c>
      <c r="D1439" s="234">
        <v>7</v>
      </c>
      <c r="E1439" s="234">
        <v>0</v>
      </c>
      <c r="G1439" s="507"/>
      <c r="H1439" s="487" t="s">
        <v>1237</v>
      </c>
      <c r="I1439" s="452" t="s">
        <v>4735</v>
      </c>
      <c r="J1439" s="489" t="s">
        <v>1247</v>
      </c>
      <c r="K1439" s="490"/>
      <c r="L1439" s="491"/>
      <c r="M1439" s="491"/>
      <c r="N1439" s="456">
        <v>31766.36</v>
      </c>
      <c r="O1439" s="492"/>
      <c r="P1439" s="430"/>
    </row>
    <row r="1440" spans="1:16" ht="13.5" hidden="1" customHeight="1" outlineLevel="3" x14ac:dyDescent="0.2">
      <c r="A1440" s="233">
        <v>0</v>
      </c>
      <c r="B1440" s="233">
        <v>13</v>
      </c>
      <c r="C1440" s="233">
        <v>1</v>
      </c>
      <c r="D1440" s="234">
        <v>7</v>
      </c>
      <c r="E1440" s="234">
        <v>1</v>
      </c>
      <c r="G1440" s="508" t="s">
        <v>23</v>
      </c>
      <c r="H1440" s="493" t="s">
        <v>1238</v>
      </c>
      <c r="I1440" s="460" t="s">
        <v>4736</v>
      </c>
      <c r="J1440" s="495" t="s">
        <v>469</v>
      </c>
      <c r="K1440" s="496" t="s">
        <v>641</v>
      </c>
      <c r="L1440" s="497">
        <v>242.57999999999998</v>
      </c>
      <c r="M1440" s="497">
        <v>20</v>
      </c>
      <c r="N1440" s="464">
        <v>4851.6000000000004</v>
      </c>
      <c r="O1440" s="498"/>
      <c r="P1440" s="431" t="s">
        <v>6711</v>
      </c>
    </row>
    <row r="1441" spans="1:16" ht="13.5" hidden="1" customHeight="1" outlineLevel="3" x14ac:dyDescent="0.2">
      <c r="A1441" s="233">
        <v>0</v>
      </c>
      <c r="B1441" s="233">
        <v>13</v>
      </c>
      <c r="C1441" s="233">
        <v>1</v>
      </c>
      <c r="D1441" s="234">
        <v>7</v>
      </c>
      <c r="E1441" s="234">
        <v>2</v>
      </c>
      <c r="G1441" s="508" t="s">
        <v>23</v>
      </c>
      <c r="H1441" s="493" t="s">
        <v>1238</v>
      </c>
      <c r="I1441" s="460" t="s">
        <v>4737</v>
      </c>
      <c r="J1441" s="495" t="s">
        <v>470</v>
      </c>
      <c r="K1441" s="496" t="s">
        <v>641</v>
      </c>
      <c r="L1441" s="497">
        <v>6.86</v>
      </c>
      <c r="M1441" s="497">
        <v>35</v>
      </c>
      <c r="N1441" s="464">
        <v>240.1</v>
      </c>
      <c r="O1441" s="498"/>
      <c r="P1441" s="431" t="s">
        <v>6711</v>
      </c>
    </row>
    <row r="1442" spans="1:16" ht="13.5" hidden="1" customHeight="1" outlineLevel="3" x14ac:dyDescent="0.2">
      <c r="A1442" s="233">
        <v>0</v>
      </c>
      <c r="B1442" s="233">
        <v>13</v>
      </c>
      <c r="C1442" s="233">
        <v>1</v>
      </c>
      <c r="D1442" s="234">
        <v>7</v>
      </c>
      <c r="E1442" s="234">
        <v>3</v>
      </c>
      <c r="G1442" s="508" t="s">
        <v>23</v>
      </c>
      <c r="H1442" s="493" t="s">
        <v>1238</v>
      </c>
      <c r="I1442" s="460" t="s">
        <v>4738</v>
      </c>
      <c r="J1442" s="495" t="s">
        <v>475</v>
      </c>
      <c r="K1442" s="496" t="s">
        <v>641</v>
      </c>
      <c r="L1442" s="497">
        <v>698.84999999999991</v>
      </c>
      <c r="M1442" s="497">
        <v>28</v>
      </c>
      <c r="N1442" s="464">
        <v>19567.8</v>
      </c>
      <c r="O1442" s="498"/>
      <c r="P1442" s="431" t="s">
        <v>6711</v>
      </c>
    </row>
    <row r="1443" spans="1:16" ht="13.5" hidden="1" customHeight="1" outlineLevel="3" x14ac:dyDescent="0.2">
      <c r="A1443" s="233">
        <v>0</v>
      </c>
      <c r="B1443" s="233">
        <v>13</v>
      </c>
      <c r="C1443" s="233">
        <v>1</v>
      </c>
      <c r="D1443" s="234">
        <v>7</v>
      </c>
      <c r="E1443" s="234">
        <v>4</v>
      </c>
      <c r="G1443" s="508" t="s">
        <v>23</v>
      </c>
      <c r="H1443" s="493" t="s">
        <v>1238</v>
      </c>
      <c r="I1443" s="460" t="s">
        <v>4739</v>
      </c>
      <c r="J1443" s="495" t="s">
        <v>2930</v>
      </c>
      <c r="K1443" s="496" t="s">
        <v>641</v>
      </c>
      <c r="L1443" s="497">
        <v>97.67</v>
      </c>
      <c r="M1443" s="497">
        <v>30</v>
      </c>
      <c r="N1443" s="464">
        <v>2930.1</v>
      </c>
      <c r="O1443" s="498"/>
      <c r="P1443" s="431" t="s">
        <v>6711</v>
      </c>
    </row>
    <row r="1444" spans="1:16" ht="13.5" hidden="1" customHeight="1" outlineLevel="3" x14ac:dyDescent="0.2">
      <c r="A1444" s="233">
        <v>0</v>
      </c>
      <c r="B1444" s="233">
        <v>13</v>
      </c>
      <c r="C1444" s="233">
        <v>1</v>
      </c>
      <c r="D1444" s="234">
        <v>7</v>
      </c>
      <c r="E1444" s="234">
        <v>5</v>
      </c>
      <c r="G1444" s="508" t="s">
        <v>23</v>
      </c>
      <c r="H1444" s="493" t="s">
        <v>1238</v>
      </c>
      <c r="I1444" s="460" t="s">
        <v>4740</v>
      </c>
      <c r="J1444" s="495" t="s">
        <v>2931</v>
      </c>
      <c r="K1444" s="496" t="s">
        <v>641</v>
      </c>
      <c r="L1444" s="497">
        <v>66.329999999999984</v>
      </c>
      <c r="M1444" s="497">
        <v>32</v>
      </c>
      <c r="N1444" s="464">
        <v>2122.56</v>
      </c>
      <c r="O1444" s="498" t="s">
        <v>2933</v>
      </c>
      <c r="P1444" s="431" t="s">
        <v>6711</v>
      </c>
    </row>
    <row r="1445" spans="1:16" ht="13.5" hidden="1" customHeight="1" outlineLevel="3" x14ac:dyDescent="0.2">
      <c r="A1445" s="233">
        <v>0</v>
      </c>
      <c r="B1445" s="233">
        <v>13</v>
      </c>
      <c r="C1445" s="233">
        <v>1</v>
      </c>
      <c r="D1445" s="234">
        <v>7</v>
      </c>
      <c r="E1445" s="234">
        <v>6</v>
      </c>
      <c r="G1445" s="508" t="s">
        <v>23</v>
      </c>
      <c r="H1445" s="493" t="s">
        <v>1238</v>
      </c>
      <c r="I1445" s="460" t="s">
        <v>4741</v>
      </c>
      <c r="J1445" s="495" t="s">
        <v>2932</v>
      </c>
      <c r="K1445" s="496" t="s">
        <v>641</v>
      </c>
      <c r="L1445" s="497">
        <v>36.76</v>
      </c>
      <c r="M1445" s="497">
        <v>45</v>
      </c>
      <c r="N1445" s="464">
        <v>1654.2</v>
      </c>
      <c r="O1445" s="498" t="s">
        <v>2939</v>
      </c>
      <c r="P1445" s="431" t="s">
        <v>6711</v>
      </c>
    </row>
    <row r="1446" spans="1:16" ht="13.5" hidden="1" customHeight="1" outlineLevel="3" x14ac:dyDescent="0.2">
      <c r="A1446" s="233">
        <v>0</v>
      </c>
      <c r="B1446" s="233">
        <v>13</v>
      </c>
      <c r="C1446" s="233">
        <v>1</v>
      </c>
      <c r="D1446" s="234">
        <v>7</v>
      </c>
      <c r="E1446" s="234">
        <v>7</v>
      </c>
      <c r="G1446" s="508" t="s">
        <v>23</v>
      </c>
      <c r="H1446" s="493" t="s">
        <v>1238</v>
      </c>
      <c r="I1446" s="460" t="s">
        <v>4742</v>
      </c>
      <c r="J1446" s="461" t="s">
        <v>477</v>
      </c>
      <c r="K1446" s="496" t="s">
        <v>533</v>
      </c>
      <c r="L1446" s="497">
        <v>8</v>
      </c>
      <c r="M1446" s="497">
        <v>50</v>
      </c>
      <c r="N1446" s="464">
        <v>400</v>
      </c>
      <c r="O1446" s="498"/>
      <c r="P1446" s="431" t="s">
        <v>6711</v>
      </c>
    </row>
    <row r="1447" spans="1:16" ht="13.5" hidden="1" customHeight="1" outlineLevel="1" x14ac:dyDescent="0.2">
      <c r="A1447" s="233">
        <v>0</v>
      </c>
      <c r="B1447" s="233">
        <v>13</v>
      </c>
      <c r="C1447" s="233">
        <v>2</v>
      </c>
      <c r="D1447" s="234">
        <v>0</v>
      </c>
      <c r="E1447" s="234">
        <v>7</v>
      </c>
      <c r="G1447" s="506"/>
      <c r="H1447" s="481" t="s">
        <v>38</v>
      </c>
      <c r="I1447" s="445" t="s">
        <v>4743</v>
      </c>
      <c r="J1447" s="483" t="s">
        <v>2360</v>
      </c>
      <c r="K1447" s="484"/>
      <c r="L1447" s="485"/>
      <c r="M1447" s="485"/>
      <c r="N1447" s="449">
        <v>840.60852466666699</v>
      </c>
      <c r="O1447" s="486">
        <v>5.01865723125689E-2</v>
      </c>
      <c r="P1447" s="429"/>
    </row>
    <row r="1448" spans="1:16" ht="13.5" hidden="1" customHeight="1" outlineLevel="2" x14ac:dyDescent="0.2">
      <c r="A1448" s="233">
        <v>0</v>
      </c>
      <c r="B1448" s="233">
        <v>13</v>
      </c>
      <c r="C1448" s="233">
        <v>2</v>
      </c>
      <c r="D1448" s="234">
        <v>1</v>
      </c>
      <c r="E1448" s="234">
        <v>0</v>
      </c>
      <c r="G1448" s="507"/>
      <c r="H1448" s="487" t="s">
        <v>1237</v>
      </c>
      <c r="I1448" s="452" t="s">
        <v>4744</v>
      </c>
      <c r="J1448" s="489" t="s">
        <v>2318</v>
      </c>
      <c r="K1448" s="490"/>
      <c r="L1448" s="491"/>
      <c r="M1448" s="491"/>
      <c r="N1448" s="456">
        <v>424.368494666667</v>
      </c>
      <c r="O1448" s="492"/>
      <c r="P1448" s="430"/>
    </row>
    <row r="1449" spans="1:16" ht="13.5" hidden="1" customHeight="1" outlineLevel="3" x14ac:dyDescent="0.2">
      <c r="A1449" s="233">
        <v>0</v>
      </c>
      <c r="B1449" s="233">
        <v>13</v>
      </c>
      <c r="C1449" s="233">
        <v>2</v>
      </c>
      <c r="D1449" s="234">
        <v>1</v>
      </c>
      <c r="E1449" s="234">
        <v>1</v>
      </c>
      <c r="G1449" s="508" t="s">
        <v>23</v>
      </c>
      <c r="H1449" s="493" t="s">
        <v>1238</v>
      </c>
      <c r="I1449" s="460" t="s">
        <v>4745</v>
      </c>
      <c r="J1449" s="495" t="s">
        <v>2907</v>
      </c>
      <c r="K1449" s="496" t="s">
        <v>641</v>
      </c>
      <c r="L1449" s="497">
        <v>12.46</v>
      </c>
      <c r="M1449" s="497">
        <v>34.058466666666661</v>
      </c>
      <c r="N1449" s="464">
        <v>424.368494666667</v>
      </c>
      <c r="O1449" s="498"/>
      <c r="P1449" s="431" t="s">
        <v>6711</v>
      </c>
    </row>
    <row r="1450" spans="1:16" ht="13.5" hidden="1" customHeight="1" outlineLevel="2" x14ac:dyDescent="0.2">
      <c r="A1450" s="233">
        <v>0</v>
      </c>
      <c r="B1450" s="233">
        <v>13</v>
      </c>
      <c r="C1450" s="233">
        <v>2</v>
      </c>
      <c r="D1450" s="234">
        <v>2</v>
      </c>
      <c r="E1450" s="234">
        <v>0</v>
      </c>
      <c r="G1450" s="507"/>
      <c r="H1450" s="487" t="s">
        <v>1237</v>
      </c>
      <c r="I1450" s="452" t="s">
        <v>4746</v>
      </c>
      <c r="J1450" s="489" t="s">
        <v>2319</v>
      </c>
      <c r="K1450" s="490"/>
      <c r="L1450" s="491"/>
      <c r="M1450" s="491"/>
      <c r="N1450" s="456">
        <v>17.520029999999998</v>
      </c>
      <c r="O1450" s="492"/>
      <c r="P1450" s="430"/>
    </row>
    <row r="1451" spans="1:16" ht="13.5" hidden="1" customHeight="1" outlineLevel="3" x14ac:dyDescent="0.2">
      <c r="A1451" s="233">
        <v>0</v>
      </c>
      <c r="B1451" s="233">
        <v>13</v>
      </c>
      <c r="C1451" s="233">
        <v>2</v>
      </c>
      <c r="D1451" s="234">
        <v>2</v>
      </c>
      <c r="E1451" s="234">
        <v>1</v>
      </c>
      <c r="G1451" s="508" t="s">
        <v>23</v>
      </c>
      <c r="H1451" s="493" t="s">
        <v>1238</v>
      </c>
      <c r="I1451" s="460" t="s">
        <v>4747</v>
      </c>
      <c r="J1451" s="495" t="s">
        <v>1616</v>
      </c>
      <c r="K1451" s="496" t="s">
        <v>533</v>
      </c>
      <c r="L1451" s="497">
        <v>2</v>
      </c>
      <c r="M1451" s="497">
        <v>8.760015000000001</v>
      </c>
      <c r="N1451" s="464">
        <v>17.520029999999998</v>
      </c>
      <c r="O1451" s="498" t="s">
        <v>2943</v>
      </c>
      <c r="P1451" s="431" t="s">
        <v>6711</v>
      </c>
    </row>
    <row r="1452" spans="1:16" ht="13.5" hidden="1" customHeight="1" outlineLevel="2" x14ac:dyDescent="0.2">
      <c r="A1452" s="233">
        <v>0</v>
      </c>
      <c r="B1452" s="233">
        <v>13</v>
      </c>
      <c r="C1452" s="233">
        <v>2</v>
      </c>
      <c r="D1452" s="234">
        <v>3</v>
      </c>
      <c r="E1452" s="234">
        <v>0</v>
      </c>
      <c r="G1452" s="507"/>
      <c r="H1452" s="487" t="s">
        <v>1237</v>
      </c>
      <c r="I1452" s="452" t="s">
        <v>4748</v>
      </c>
      <c r="J1452" s="489" t="s">
        <v>1247</v>
      </c>
      <c r="K1452" s="490"/>
      <c r="L1452" s="491"/>
      <c r="M1452" s="491"/>
      <c r="N1452" s="456">
        <v>398.72</v>
      </c>
      <c r="O1452" s="492"/>
      <c r="P1452" s="430"/>
    </row>
    <row r="1453" spans="1:16" ht="13.5" hidden="1" customHeight="1" outlineLevel="3" x14ac:dyDescent="0.2">
      <c r="A1453" s="233">
        <v>0</v>
      </c>
      <c r="B1453" s="233">
        <v>13</v>
      </c>
      <c r="C1453" s="233">
        <v>2</v>
      </c>
      <c r="D1453" s="234">
        <v>3</v>
      </c>
      <c r="E1453" s="234">
        <v>1</v>
      </c>
      <c r="G1453" s="508" t="s">
        <v>23</v>
      </c>
      <c r="H1453" s="493" t="s">
        <v>1238</v>
      </c>
      <c r="I1453" s="460" t="s">
        <v>4749</v>
      </c>
      <c r="J1453" s="495" t="s">
        <v>2931</v>
      </c>
      <c r="K1453" s="496" t="s">
        <v>641</v>
      </c>
      <c r="L1453" s="497">
        <v>12.46</v>
      </c>
      <c r="M1453" s="497">
        <v>32</v>
      </c>
      <c r="N1453" s="464">
        <v>398.72</v>
      </c>
      <c r="O1453" s="498"/>
      <c r="P1453" s="431" t="s">
        <v>6711</v>
      </c>
    </row>
    <row r="1454" spans="1:16" ht="13.5" hidden="1" customHeight="1" outlineLevel="1" x14ac:dyDescent="0.2">
      <c r="A1454" s="233">
        <v>0</v>
      </c>
      <c r="B1454" s="233">
        <v>13</v>
      </c>
      <c r="C1454" s="233">
        <v>3</v>
      </c>
      <c r="D1454" s="234">
        <v>0</v>
      </c>
      <c r="E1454" s="234">
        <v>1</v>
      </c>
      <c r="G1454" s="506"/>
      <c r="H1454" s="481" t="s">
        <v>38</v>
      </c>
      <c r="I1454" s="445" t="s">
        <v>4750</v>
      </c>
      <c r="J1454" s="483" t="s">
        <v>2361</v>
      </c>
      <c r="K1454" s="484"/>
      <c r="L1454" s="485"/>
      <c r="M1454" s="485"/>
      <c r="N1454" s="449">
        <v>2061.3689886666698</v>
      </c>
      <c r="O1454" s="486">
        <v>0.12306922994104801</v>
      </c>
      <c r="P1454" s="429"/>
    </row>
    <row r="1455" spans="1:16" ht="13.5" hidden="1" customHeight="1" outlineLevel="2" x14ac:dyDescent="0.2">
      <c r="A1455" s="233">
        <v>0</v>
      </c>
      <c r="B1455" s="233">
        <v>13</v>
      </c>
      <c r="C1455" s="233">
        <v>3</v>
      </c>
      <c r="D1455" s="234">
        <v>1</v>
      </c>
      <c r="E1455" s="234">
        <v>0</v>
      </c>
      <c r="G1455" s="507"/>
      <c r="H1455" s="487" t="s">
        <v>1237</v>
      </c>
      <c r="I1455" s="452" t="s">
        <v>4751</v>
      </c>
      <c r="J1455" s="489" t="s">
        <v>2318</v>
      </c>
      <c r="K1455" s="490"/>
      <c r="L1455" s="491"/>
      <c r="M1455" s="491"/>
      <c r="N1455" s="456">
        <v>1053.76895866667</v>
      </c>
      <c r="O1455" s="492"/>
      <c r="P1455" s="430"/>
    </row>
    <row r="1456" spans="1:16" ht="13.5" hidden="1" customHeight="1" outlineLevel="3" x14ac:dyDescent="0.2">
      <c r="A1456" s="233">
        <v>0</v>
      </c>
      <c r="B1456" s="233">
        <v>13</v>
      </c>
      <c r="C1456" s="233">
        <v>3</v>
      </c>
      <c r="D1456" s="234">
        <v>1</v>
      </c>
      <c r="E1456" s="234">
        <v>1</v>
      </c>
      <c r="G1456" s="508" t="s">
        <v>23</v>
      </c>
      <c r="H1456" s="493" t="s">
        <v>1238</v>
      </c>
      <c r="I1456" s="460" t="s">
        <v>4752</v>
      </c>
      <c r="J1456" s="495" t="s">
        <v>2907</v>
      </c>
      <c r="K1456" s="496" t="s">
        <v>641</v>
      </c>
      <c r="L1456" s="497">
        <v>30.94</v>
      </c>
      <c r="M1456" s="497">
        <v>34.058466666666661</v>
      </c>
      <c r="N1456" s="464">
        <v>1053.76895866667</v>
      </c>
      <c r="O1456" s="498"/>
      <c r="P1456" s="431" t="s">
        <v>6711</v>
      </c>
    </row>
    <row r="1457" spans="1:16" ht="13.5" hidden="1" customHeight="1" outlineLevel="2" x14ac:dyDescent="0.2">
      <c r="A1457" s="233">
        <v>0</v>
      </c>
      <c r="B1457" s="233">
        <v>13</v>
      </c>
      <c r="C1457" s="233">
        <v>3</v>
      </c>
      <c r="D1457" s="234">
        <v>2</v>
      </c>
      <c r="E1457" s="234">
        <v>0</v>
      </c>
      <c r="G1457" s="507"/>
      <c r="H1457" s="487" t="s">
        <v>1237</v>
      </c>
      <c r="I1457" s="452" t="s">
        <v>4753</v>
      </c>
      <c r="J1457" s="489" t="s">
        <v>2319</v>
      </c>
      <c r="K1457" s="490"/>
      <c r="L1457" s="491"/>
      <c r="M1457" s="491"/>
      <c r="N1457" s="456">
        <v>17.520029999999998</v>
      </c>
      <c r="O1457" s="492"/>
      <c r="P1457" s="430"/>
    </row>
    <row r="1458" spans="1:16" ht="13.5" hidden="1" customHeight="1" outlineLevel="3" x14ac:dyDescent="0.2">
      <c r="A1458" s="233">
        <v>0</v>
      </c>
      <c r="B1458" s="233">
        <v>13</v>
      </c>
      <c r="C1458" s="233">
        <v>3</v>
      </c>
      <c r="D1458" s="234">
        <v>2</v>
      </c>
      <c r="E1458" s="234">
        <v>1</v>
      </c>
      <c r="G1458" s="508" t="s">
        <v>23</v>
      </c>
      <c r="H1458" s="493" t="s">
        <v>1238</v>
      </c>
      <c r="I1458" s="460" t="s">
        <v>4754</v>
      </c>
      <c r="J1458" s="495" t="s">
        <v>1616</v>
      </c>
      <c r="K1458" s="496" t="s">
        <v>533</v>
      </c>
      <c r="L1458" s="497">
        <v>2</v>
      </c>
      <c r="M1458" s="497">
        <v>8.760015000000001</v>
      </c>
      <c r="N1458" s="464">
        <v>17.520029999999998</v>
      </c>
      <c r="O1458" s="498" t="s">
        <v>2943</v>
      </c>
      <c r="P1458" s="431" t="s">
        <v>6711</v>
      </c>
    </row>
    <row r="1459" spans="1:16" ht="13.5" hidden="1" customHeight="1" outlineLevel="2" x14ac:dyDescent="0.2">
      <c r="A1459" s="233">
        <v>0</v>
      </c>
      <c r="B1459" s="233">
        <v>13</v>
      </c>
      <c r="C1459" s="233">
        <v>3</v>
      </c>
      <c r="D1459" s="234">
        <v>3</v>
      </c>
      <c r="E1459" s="234">
        <v>0</v>
      </c>
      <c r="G1459" s="507"/>
      <c r="H1459" s="487" t="s">
        <v>1237</v>
      </c>
      <c r="I1459" s="452" t="s">
        <v>4755</v>
      </c>
      <c r="J1459" s="489" t="s">
        <v>1247</v>
      </c>
      <c r="K1459" s="490"/>
      <c r="L1459" s="491"/>
      <c r="M1459" s="491"/>
      <c r="N1459" s="456">
        <v>990.08</v>
      </c>
      <c r="O1459" s="492"/>
      <c r="P1459" s="430"/>
    </row>
    <row r="1460" spans="1:16" ht="13.5" hidden="1" customHeight="1" outlineLevel="3" x14ac:dyDescent="0.2">
      <c r="A1460" s="233">
        <v>0</v>
      </c>
      <c r="B1460" s="233">
        <v>13</v>
      </c>
      <c r="C1460" s="233">
        <v>3</v>
      </c>
      <c r="D1460" s="234">
        <v>3</v>
      </c>
      <c r="E1460" s="234">
        <v>1</v>
      </c>
      <c r="G1460" s="508" t="s">
        <v>23</v>
      </c>
      <c r="H1460" s="493" t="s">
        <v>1238</v>
      </c>
      <c r="I1460" s="460" t="s">
        <v>4756</v>
      </c>
      <c r="J1460" s="495" t="s">
        <v>2931</v>
      </c>
      <c r="K1460" s="496" t="s">
        <v>641</v>
      </c>
      <c r="L1460" s="497">
        <v>30.94</v>
      </c>
      <c r="M1460" s="497">
        <v>32</v>
      </c>
      <c r="N1460" s="464">
        <v>990.08</v>
      </c>
      <c r="O1460" s="498"/>
      <c r="P1460" s="431" t="s">
        <v>6711</v>
      </c>
    </row>
    <row r="1461" spans="1:16" ht="13.5" hidden="1" customHeight="1" outlineLevel="1" x14ac:dyDescent="0.2">
      <c r="A1461" s="233">
        <v>0</v>
      </c>
      <c r="B1461" s="233">
        <v>13</v>
      </c>
      <c r="C1461" s="233">
        <v>4</v>
      </c>
      <c r="D1461" s="234">
        <v>0</v>
      </c>
      <c r="E1461" s="234">
        <v>1</v>
      </c>
      <c r="G1461" s="506"/>
      <c r="H1461" s="481" t="s">
        <v>38</v>
      </c>
      <c r="I1461" s="445" t="s">
        <v>4757</v>
      </c>
      <c r="J1461" s="483" t="s">
        <v>2362</v>
      </c>
      <c r="K1461" s="484"/>
      <c r="L1461" s="485"/>
      <c r="M1461" s="485"/>
      <c r="N1461" s="449">
        <v>1688.7992366666699</v>
      </c>
      <c r="O1461" s="486">
        <v>0.10082582144404401</v>
      </c>
      <c r="P1461" s="429"/>
    </row>
    <row r="1462" spans="1:16" ht="13.5" hidden="1" customHeight="1" outlineLevel="2" x14ac:dyDescent="0.2">
      <c r="A1462" s="233">
        <v>0</v>
      </c>
      <c r="B1462" s="233">
        <v>13</v>
      </c>
      <c r="C1462" s="233">
        <v>4</v>
      </c>
      <c r="D1462" s="234">
        <v>1</v>
      </c>
      <c r="E1462" s="234">
        <v>0</v>
      </c>
      <c r="G1462" s="507"/>
      <c r="H1462" s="487" t="s">
        <v>1237</v>
      </c>
      <c r="I1462" s="452" t="s">
        <v>4758</v>
      </c>
      <c r="J1462" s="489" t="s">
        <v>2318</v>
      </c>
      <c r="K1462" s="490"/>
      <c r="L1462" s="491"/>
      <c r="M1462" s="491"/>
      <c r="N1462" s="456">
        <v>861.67920666666703</v>
      </c>
      <c r="O1462" s="492"/>
      <c r="P1462" s="430"/>
    </row>
    <row r="1463" spans="1:16" ht="13.5" hidden="1" customHeight="1" outlineLevel="3" x14ac:dyDescent="0.2">
      <c r="A1463" s="233">
        <v>0</v>
      </c>
      <c r="B1463" s="233">
        <v>13</v>
      </c>
      <c r="C1463" s="233">
        <v>4</v>
      </c>
      <c r="D1463" s="234">
        <v>1</v>
      </c>
      <c r="E1463" s="234">
        <v>1</v>
      </c>
      <c r="G1463" s="508" t="s">
        <v>23</v>
      </c>
      <c r="H1463" s="493" t="s">
        <v>1238</v>
      </c>
      <c r="I1463" s="460" t="s">
        <v>4759</v>
      </c>
      <c r="J1463" s="495" t="s">
        <v>2907</v>
      </c>
      <c r="K1463" s="496" t="s">
        <v>641</v>
      </c>
      <c r="L1463" s="497">
        <v>25.3</v>
      </c>
      <c r="M1463" s="497">
        <v>34.058466666666661</v>
      </c>
      <c r="N1463" s="464">
        <v>861.67920666666703</v>
      </c>
      <c r="O1463" s="498"/>
      <c r="P1463" s="431" t="s">
        <v>6711</v>
      </c>
    </row>
    <row r="1464" spans="1:16" ht="13.5" hidden="1" customHeight="1" outlineLevel="2" x14ac:dyDescent="0.2">
      <c r="A1464" s="233">
        <v>0</v>
      </c>
      <c r="B1464" s="233">
        <v>13</v>
      </c>
      <c r="C1464" s="233">
        <v>4</v>
      </c>
      <c r="D1464" s="234">
        <v>2</v>
      </c>
      <c r="E1464" s="234">
        <v>0</v>
      </c>
      <c r="G1464" s="507"/>
      <c r="H1464" s="487" t="s">
        <v>1237</v>
      </c>
      <c r="I1464" s="452" t="s">
        <v>4760</v>
      </c>
      <c r="J1464" s="489" t="s">
        <v>2319</v>
      </c>
      <c r="K1464" s="490"/>
      <c r="L1464" s="491"/>
      <c r="M1464" s="491"/>
      <c r="N1464" s="456">
        <v>17.520029999999998</v>
      </c>
      <c r="O1464" s="492"/>
      <c r="P1464" s="430"/>
    </row>
    <row r="1465" spans="1:16" ht="13.5" hidden="1" customHeight="1" outlineLevel="3" x14ac:dyDescent="0.2">
      <c r="A1465" s="233">
        <v>0</v>
      </c>
      <c r="B1465" s="233">
        <v>13</v>
      </c>
      <c r="C1465" s="233">
        <v>4</v>
      </c>
      <c r="D1465" s="234">
        <v>2</v>
      </c>
      <c r="E1465" s="234">
        <v>1</v>
      </c>
      <c r="G1465" s="508" t="s">
        <v>23</v>
      </c>
      <c r="H1465" s="493" t="s">
        <v>1238</v>
      </c>
      <c r="I1465" s="460" t="s">
        <v>4761</v>
      </c>
      <c r="J1465" s="495" t="s">
        <v>1616</v>
      </c>
      <c r="K1465" s="496" t="s">
        <v>533</v>
      </c>
      <c r="L1465" s="497">
        <v>2</v>
      </c>
      <c r="M1465" s="497">
        <v>8.760015000000001</v>
      </c>
      <c r="N1465" s="464">
        <v>17.520029999999998</v>
      </c>
      <c r="O1465" s="498" t="s">
        <v>2943</v>
      </c>
      <c r="P1465" s="431" t="s">
        <v>6711</v>
      </c>
    </row>
    <row r="1466" spans="1:16" ht="13.5" hidden="1" customHeight="1" outlineLevel="2" x14ac:dyDescent="0.2">
      <c r="A1466" s="233">
        <v>0</v>
      </c>
      <c r="B1466" s="233">
        <v>13</v>
      </c>
      <c r="C1466" s="233">
        <v>4</v>
      </c>
      <c r="D1466" s="234">
        <v>3</v>
      </c>
      <c r="E1466" s="234">
        <v>0</v>
      </c>
      <c r="G1466" s="507"/>
      <c r="H1466" s="487" t="s">
        <v>1237</v>
      </c>
      <c r="I1466" s="452" t="s">
        <v>4762</v>
      </c>
      <c r="J1466" s="489" t="s">
        <v>1247</v>
      </c>
      <c r="K1466" s="490"/>
      <c r="L1466" s="491"/>
      <c r="M1466" s="491"/>
      <c r="N1466" s="456">
        <v>809.6</v>
      </c>
      <c r="O1466" s="492"/>
      <c r="P1466" s="430"/>
    </row>
    <row r="1467" spans="1:16" ht="13.5" hidden="1" customHeight="1" outlineLevel="3" x14ac:dyDescent="0.2">
      <c r="A1467" s="233">
        <v>0</v>
      </c>
      <c r="B1467" s="233">
        <v>13</v>
      </c>
      <c r="C1467" s="233">
        <v>4</v>
      </c>
      <c r="D1467" s="234">
        <v>3</v>
      </c>
      <c r="E1467" s="234">
        <v>1</v>
      </c>
      <c r="G1467" s="508" t="s">
        <v>23</v>
      </c>
      <c r="H1467" s="493" t="s">
        <v>1238</v>
      </c>
      <c r="I1467" s="460" t="s">
        <v>4763</v>
      </c>
      <c r="J1467" s="495" t="s">
        <v>2931</v>
      </c>
      <c r="K1467" s="496" t="s">
        <v>641</v>
      </c>
      <c r="L1467" s="497">
        <v>25.3</v>
      </c>
      <c r="M1467" s="497">
        <v>32</v>
      </c>
      <c r="N1467" s="464">
        <v>809.6</v>
      </c>
      <c r="O1467" s="498"/>
      <c r="P1467" s="431" t="s">
        <v>6711</v>
      </c>
    </row>
    <row r="1468" spans="1:16" ht="13.5" hidden="1" customHeight="1" outlineLevel="1" x14ac:dyDescent="0.2">
      <c r="A1468" s="233">
        <v>0</v>
      </c>
      <c r="B1468" s="233">
        <v>13</v>
      </c>
      <c r="C1468" s="233">
        <v>5</v>
      </c>
      <c r="D1468" s="234">
        <v>0</v>
      </c>
      <c r="E1468" s="234">
        <v>1</v>
      </c>
      <c r="G1468" s="506"/>
      <c r="H1468" s="481" t="s">
        <v>38</v>
      </c>
      <c r="I1468" s="445" t="s">
        <v>4764</v>
      </c>
      <c r="J1468" s="483" t="s">
        <v>2363</v>
      </c>
      <c r="K1468" s="484"/>
      <c r="L1468" s="485"/>
      <c r="M1468" s="485"/>
      <c r="N1468" s="449">
        <v>5211.5835686666696</v>
      </c>
      <c r="O1468" s="486">
        <v>0.31114544756205098</v>
      </c>
      <c r="P1468" s="429"/>
    </row>
    <row r="1469" spans="1:16" ht="13.5" hidden="1" customHeight="1" outlineLevel="2" x14ac:dyDescent="0.2">
      <c r="A1469" s="233">
        <v>0</v>
      </c>
      <c r="B1469" s="233">
        <v>13</v>
      </c>
      <c r="C1469" s="233">
        <v>5</v>
      </c>
      <c r="D1469" s="234">
        <v>1</v>
      </c>
      <c r="E1469" s="234">
        <v>0</v>
      </c>
      <c r="G1469" s="507"/>
      <c r="H1469" s="487" t="s">
        <v>1237</v>
      </c>
      <c r="I1469" s="452" t="s">
        <v>4765</v>
      </c>
      <c r="J1469" s="489" t="s">
        <v>24</v>
      </c>
      <c r="K1469" s="490"/>
      <c r="L1469" s="491"/>
      <c r="M1469" s="491"/>
      <c r="N1469" s="456">
        <v>281.55775599999998</v>
      </c>
      <c r="O1469" s="492">
        <v>1.6809749445809999E-2</v>
      </c>
      <c r="P1469" s="430"/>
    </row>
    <row r="1470" spans="1:16" ht="13.5" hidden="1" customHeight="1" outlineLevel="3" x14ac:dyDescent="0.2">
      <c r="A1470" s="233">
        <v>0</v>
      </c>
      <c r="B1470" s="233">
        <v>13</v>
      </c>
      <c r="C1470" s="233">
        <v>5</v>
      </c>
      <c r="D1470" s="234">
        <v>1</v>
      </c>
      <c r="E1470" s="234">
        <v>1</v>
      </c>
      <c r="G1470" s="508" t="s">
        <v>23</v>
      </c>
      <c r="H1470" s="493" t="s">
        <v>1238</v>
      </c>
      <c r="I1470" s="460" t="s">
        <v>4766</v>
      </c>
      <c r="J1470" s="495" t="s">
        <v>441</v>
      </c>
      <c r="K1470" s="496" t="s">
        <v>641</v>
      </c>
      <c r="L1470" s="497">
        <v>4.99</v>
      </c>
      <c r="M1470" s="497">
        <v>7.0658999999999992</v>
      </c>
      <c r="N1470" s="464">
        <v>35.258840999999997</v>
      </c>
      <c r="O1470" s="498" t="s">
        <v>2928</v>
      </c>
      <c r="P1470" s="431" t="s">
        <v>6711</v>
      </c>
    </row>
    <row r="1471" spans="1:16" ht="13.5" hidden="1" customHeight="1" outlineLevel="3" x14ac:dyDescent="0.2">
      <c r="A1471" s="233">
        <v>0</v>
      </c>
      <c r="B1471" s="233">
        <v>13</v>
      </c>
      <c r="C1471" s="233">
        <v>5</v>
      </c>
      <c r="D1471" s="234">
        <v>1</v>
      </c>
      <c r="E1471" s="234">
        <v>2</v>
      </c>
      <c r="G1471" s="508" t="s">
        <v>23</v>
      </c>
      <c r="H1471" s="493" t="s">
        <v>1238</v>
      </c>
      <c r="I1471" s="460" t="s">
        <v>4767</v>
      </c>
      <c r="J1471" s="495" t="s">
        <v>443</v>
      </c>
      <c r="K1471" s="496" t="s">
        <v>641</v>
      </c>
      <c r="L1471" s="497">
        <v>4.99</v>
      </c>
      <c r="M1471" s="497">
        <v>49.358499999999999</v>
      </c>
      <c r="N1471" s="464">
        <v>246.29891499999999</v>
      </c>
      <c r="O1471" s="498" t="s">
        <v>2929</v>
      </c>
      <c r="P1471" s="431" t="s">
        <v>6711</v>
      </c>
    </row>
    <row r="1472" spans="1:16" ht="13.5" hidden="1" customHeight="1" outlineLevel="2" x14ac:dyDescent="0.2">
      <c r="A1472" s="233">
        <v>0</v>
      </c>
      <c r="B1472" s="233">
        <v>13</v>
      </c>
      <c r="C1472" s="233">
        <v>5</v>
      </c>
      <c r="D1472" s="234">
        <v>2</v>
      </c>
      <c r="E1472" s="234">
        <v>0</v>
      </c>
      <c r="G1472" s="507"/>
      <c r="H1472" s="487" t="s">
        <v>1237</v>
      </c>
      <c r="I1472" s="452" t="s">
        <v>4768</v>
      </c>
      <c r="J1472" s="489" t="s">
        <v>2318</v>
      </c>
      <c r="K1472" s="490"/>
      <c r="L1472" s="491"/>
      <c r="M1472" s="491"/>
      <c r="N1472" s="456">
        <v>861.67920666666703</v>
      </c>
      <c r="O1472" s="492"/>
      <c r="P1472" s="430"/>
    </row>
    <row r="1473" spans="1:16" ht="13.5" hidden="1" customHeight="1" outlineLevel="3" x14ac:dyDescent="0.2">
      <c r="A1473" s="233">
        <v>0</v>
      </c>
      <c r="B1473" s="233">
        <v>13</v>
      </c>
      <c r="C1473" s="233">
        <v>5</v>
      </c>
      <c r="D1473" s="234">
        <v>2</v>
      </c>
      <c r="E1473" s="234">
        <v>1</v>
      </c>
      <c r="G1473" s="508" t="s">
        <v>23</v>
      </c>
      <c r="H1473" s="493" t="s">
        <v>1238</v>
      </c>
      <c r="I1473" s="460" t="s">
        <v>4769</v>
      </c>
      <c r="J1473" s="495" t="s">
        <v>2907</v>
      </c>
      <c r="K1473" s="496" t="s">
        <v>641</v>
      </c>
      <c r="L1473" s="497">
        <v>25.3</v>
      </c>
      <c r="M1473" s="497">
        <v>34.058466666666661</v>
      </c>
      <c r="N1473" s="464">
        <v>861.67920666666703</v>
      </c>
      <c r="O1473" s="498"/>
      <c r="P1473" s="431" t="s">
        <v>6711</v>
      </c>
    </row>
    <row r="1474" spans="1:16" ht="13.5" hidden="1" customHeight="1" outlineLevel="2" x14ac:dyDescent="0.2">
      <c r="A1474" s="233">
        <v>0</v>
      </c>
      <c r="B1474" s="233">
        <v>13</v>
      </c>
      <c r="C1474" s="233">
        <v>5</v>
      </c>
      <c r="D1474" s="234">
        <v>3</v>
      </c>
      <c r="E1474" s="234">
        <v>0</v>
      </c>
      <c r="G1474" s="507"/>
      <c r="H1474" s="487" t="s">
        <v>1237</v>
      </c>
      <c r="I1474" s="452" t="s">
        <v>4770</v>
      </c>
      <c r="J1474" s="489" t="s">
        <v>2319</v>
      </c>
      <c r="K1474" s="490"/>
      <c r="L1474" s="491"/>
      <c r="M1474" s="491"/>
      <c r="N1474" s="456">
        <v>17.520029999999998</v>
      </c>
      <c r="O1474" s="492"/>
      <c r="P1474" s="430"/>
    </row>
    <row r="1475" spans="1:16" ht="13.5" hidden="1" customHeight="1" outlineLevel="3" x14ac:dyDescent="0.2">
      <c r="A1475" s="233">
        <v>0</v>
      </c>
      <c r="B1475" s="233">
        <v>13</v>
      </c>
      <c r="C1475" s="233">
        <v>5</v>
      </c>
      <c r="D1475" s="234">
        <v>3</v>
      </c>
      <c r="E1475" s="234">
        <v>1</v>
      </c>
      <c r="G1475" s="508" t="s">
        <v>23</v>
      </c>
      <c r="H1475" s="493" t="s">
        <v>1238</v>
      </c>
      <c r="I1475" s="460" t="s">
        <v>4771</v>
      </c>
      <c r="J1475" s="495" t="s">
        <v>1616</v>
      </c>
      <c r="K1475" s="496" t="s">
        <v>533</v>
      </c>
      <c r="L1475" s="497">
        <v>2</v>
      </c>
      <c r="M1475" s="497">
        <v>8.760015000000001</v>
      </c>
      <c r="N1475" s="464">
        <v>17.520029999999998</v>
      </c>
      <c r="O1475" s="498" t="s">
        <v>2943</v>
      </c>
      <c r="P1475" s="431" t="s">
        <v>6711</v>
      </c>
    </row>
    <row r="1476" spans="1:16" ht="13.5" hidden="1" customHeight="1" outlineLevel="2" x14ac:dyDescent="0.2">
      <c r="A1476" s="233">
        <v>0</v>
      </c>
      <c r="B1476" s="233">
        <v>13</v>
      </c>
      <c r="C1476" s="233">
        <v>5</v>
      </c>
      <c r="D1476" s="234">
        <v>4</v>
      </c>
      <c r="E1476" s="234">
        <v>0</v>
      </c>
      <c r="G1476" s="507"/>
      <c r="H1476" s="487" t="s">
        <v>1237</v>
      </c>
      <c r="I1476" s="452" t="s">
        <v>4772</v>
      </c>
      <c r="J1476" s="489" t="s">
        <v>2926</v>
      </c>
      <c r="K1476" s="490"/>
      <c r="L1476" s="491"/>
      <c r="M1476" s="491"/>
      <c r="N1476" s="456">
        <v>1900.5865759999999</v>
      </c>
      <c r="O1476" s="492"/>
      <c r="P1476" s="430"/>
    </row>
    <row r="1477" spans="1:16" ht="13.5" hidden="1" customHeight="1" outlineLevel="3" x14ac:dyDescent="0.2">
      <c r="A1477" s="233">
        <v>0</v>
      </c>
      <c r="B1477" s="233">
        <v>13</v>
      </c>
      <c r="C1477" s="233">
        <v>5</v>
      </c>
      <c r="D1477" s="234">
        <v>4</v>
      </c>
      <c r="E1477" s="234">
        <v>1</v>
      </c>
      <c r="G1477" s="508" t="s">
        <v>23</v>
      </c>
      <c r="H1477" s="493" t="s">
        <v>1238</v>
      </c>
      <c r="I1477" s="460" t="s">
        <v>4773</v>
      </c>
      <c r="J1477" s="495" t="s">
        <v>2909</v>
      </c>
      <c r="K1477" s="496" t="s">
        <v>641</v>
      </c>
      <c r="L1477" s="497">
        <v>4.99</v>
      </c>
      <c r="M1477" s="497">
        <v>74.891800000000003</v>
      </c>
      <c r="N1477" s="464">
        <v>373.710082</v>
      </c>
      <c r="O1477" s="498" t="s">
        <v>2921</v>
      </c>
      <c r="P1477" s="431" t="s">
        <v>6711</v>
      </c>
    </row>
    <row r="1478" spans="1:16" ht="13.5" hidden="1" customHeight="1" outlineLevel="3" x14ac:dyDescent="0.2">
      <c r="A1478" s="233">
        <v>0</v>
      </c>
      <c r="B1478" s="233">
        <v>13</v>
      </c>
      <c r="C1478" s="233">
        <v>5</v>
      </c>
      <c r="D1478" s="234">
        <v>4</v>
      </c>
      <c r="E1478" s="234">
        <v>2</v>
      </c>
      <c r="G1478" s="508" t="s">
        <v>23</v>
      </c>
      <c r="H1478" s="493" t="s">
        <v>1238</v>
      </c>
      <c r="I1478" s="460" t="s">
        <v>4774</v>
      </c>
      <c r="J1478" s="495" t="s">
        <v>2911</v>
      </c>
      <c r="K1478" s="496" t="s">
        <v>641</v>
      </c>
      <c r="L1478" s="497">
        <v>20.83</v>
      </c>
      <c r="M1478" s="497">
        <v>73.3018</v>
      </c>
      <c r="N1478" s="464">
        <v>1526.8764940000001</v>
      </c>
      <c r="O1478" s="498" t="s">
        <v>2921</v>
      </c>
      <c r="P1478" s="431" t="s">
        <v>6711</v>
      </c>
    </row>
    <row r="1479" spans="1:16" ht="13.5" hidden="1" customHeight="1" outlineLevel="2" x14ac:dyDescent="0.2">
      <c r="A1479" s="233">
        <v>0</v>
      </c>
      <c r="B1479" s="233">
        <v>13</v>
      </c>
      <c r="C1479" s="233">
        <v>5</v>
      </c>
      <c r="D1479" s="234">
        <v>5</v>
      </c>
      <c r="E1479" s="234">
        <v>0</v>
      </c>
      <c r="G1479" s="507"/>
      <c r="H1479" s="487" t="s">
        <v>1237</v>
      </c>
      <c r="I1479" s="452" t="s">
        <v>4775</v>
      </c>
      <c r="J1479" s="489" t="s">
        <v>1247</v>
      </c>
      <c r="K1479" s="490"/>
      <c r="L1479" s="491"/>
      <c r="M1479" s="491"/>
      <c r="N1479" s="456">
        <v>2150.2399999999998</v>
      </c>
      <c r="O1479" s="492"/>
      <c r="P1479" s="430"/>
    </row>
    <row r="1480" spans="1:16" ht="13.5" hidden="1" customHeight="1" outlineLevel="3" x14ac:dyDescent="0.2">
      <c r="A1480" s="233">
        <v>0</v>
      </c>
      <c r="B1480" s="233">
        <v>13</v>
      </c>
      <c r="C1480" s="233">
        <v>5</v>
      </c>
      <c r="D1480" s="234">
        <v>5</v>
      </c>
      <c r="E1480" s="234">
        <v>1</v>
      </c>
      <c r="G1480" s="508" t="s">
        <v>23</v>
      </c>
      <c r="H1480" s="493" t="s">
        <v>1238</v>
      </c>
      <c r="I1480" s="460" t="s">
        <v>4776</v>
      </c>
      <c r="J1480" s="495" t="s">
        <v>469</v>
      </c>
      <c r="K1480" s="496" t="s">
        <v>641</v>
      </c>
      <c r="L1480" s="497">
        <v>4.99</v>
      </c>
      <c r="M1480" s="497">
        <v>20</v>
      </c>
      <c r="N1480" s="464">
        <v>99.8</v>
      </c>
      <c r="O1480" s="498"/>
      <c r="P1480" s="431" t="s">
        <v>6711</v>
      </c>
    </row>
    <row r="1481" spans="1:16" ht="13.5" hidden="1" customHeight="1" outlineLevel="3" x14ac:dyDescent="0.2">
      <c r="A1481" s="233">
        <v>0</v>
      </c>
      <c r="B1481" s="233">
        <v>13</v>
      </c>
      <c r="C1481" s="233">
        <v>5</v>
      </c>
      <c r="D1481" s="234">
        <v>5</v>
      </c>
      <c r="E1481" s="234">
        <v>2</v>
      </c>
      <c r="G1481" s="508" t="s">
        <v>23</v>
      </c>
      <c r="H1481" s="493" t="s">
        <v>1238</v>
      </c>
      <c r="I1481" s="460" t="s">
        <v>4777</v>
      </c>
      <c r="J1481" s="495" t="s">
        <v>470</v>
      </c>
      <c r="K1481" s="496" t="s">
        <v>641</v>
      </c>
      <c r="L1481" s="497">
        <v>4.99</v>
      </c>
      <c r="M1481" s="497">
        <v>35</v>
      </c>
      <c r="N1481" s="464">
        <v>174.65</v>
      </c>
      <c r="O1481" s="498"/>
      <c r="P1481" s="431" t="s">
        <v>6711</v>
      </c>
    </row>
    <row r="1482" spans="1:16" ht="13.5" hidden="1" customHeight="1" outlineLevel="3" x14ac:dyDescent="0.2">
      <c r="A1482" s="233">
        <v>0</v>
      </c>
      <c r="B1482" s="233">
        <v>13</v>
      </c>
      <c r="C1482" s="233">
        <v>5</v>
      </c>
      <c r="D1482" s="234">
        <v>5</v>
      </c>
      <c r="E1482" s="234">
        <v>3</v>
      </c>
      <c r="G1482" s="508" t="s">
        <v>23</v>
      </c>
      <c r="H1482" s="493" t="s">
        <v>1238</v>
      </c>
      <c r="I1482" s="460" t="s">
        <v>4778</v>
      </c>
      <c r="J1482" s="495" t="s">
        <v>2934</v>
      </c>
      <c r="K1482" s="496" t="s">
        <v>641</v>
      </c>
      <c r="L1482" s="497">
        <v>20.83</v>
      </c>
      <c r="M1482" s="497">
        <v>38</v>
      </c>
      <c r="N1482" s="464">
        <v>791.54</v>
      </c>
      <c r="O1482" s="498"/>
      <c r="P1482" s="431" t="s">
        <v>6711</v>
      </c>
    </row>
    <row r="1483" spans="1:16" ht="13.5" hidden="1" customHeight="1" outlineLevel="3" x14ac:dyDescent="0.2">
      <c r="A1483" s="233">
        <v>0</v>
      </c>
      <c r="B1483" s="233">
        <v>13</v>
      </c>
      <c r="C1483" s="233">
        <v>5</v>
      </c>
      <c r="D1483" s="234">
        <v>5</v>
      </c>
      <c r="E1483" s="234">
        <v>4</v>
      </c>
      <c r="G1483" s="508" t="s">
        <v>23</v>
      </c>
      <c r="H1483" s="493" t="s">
        <v>1238</v>
      </c>
      <c r="I1483" s="460" t="s">
        <v>4779</v>
      </c>
      <c r="J1483" s="495" t="s">
        <v>2931</v>
      </c>
      <c r="K1483" s="496" t="s">
        <v>641</v>
      </c>
      <c r="L1483" s="497">
        <v>25.3</v>
      </c>
      <c r="M1483" s="497">
        <v>32</v>
      </c>
      <c r="N1483" s="464">
        <v>809.6</v>
      </c>
      <c r="O1483" s="498"/>
      <c r="P1483" s="431" t="s">
        <v>6711</v>
      </c>
    </row>
    <row r="1484" spans="1:16" ht="13.5" hidden="1" customHeight="1" outlineLevel="3" x14ac:dyDescent="0.2">
      <c r="A1484" s="233">
        <v>0</v>
      </c>
      <c r="B1484" s="233">
        <v>13</v>
      </c>
      <c r="C1484" s="233">
        <v>5</v>
      </c>
      <c r="D1484" s="234">
        <v>5</v>
      </c>
      <c r="E1484" s="234">
        <v>5</v>
      </c>
      <c r="G1484" s="508" t="s">
        <v>23</v>
      </c>
      <c r="H1484" s="493" t="s">
        <v>1238</v>
      </c>
      <c r="I1484" s="460" t="s">
        <v>4780</v>
      </c>
      <c r="J1484" s="495" t="s">
        <v>2937</v>
      </c>
      <c r="K1484" s="496" t="s">
        <v>641</v>
      </c>
      <c r="L1484" s="497">
        <v>4.99</v>
      </c>
      <c r="M1484" s="497">
        <v>35</v>
      </c>
      <c r="N1484" s="464">
        <v>174.65</v>
      </c>
      <c r="O1484" s="498"/>
      <c r="P1484" s="431" t="s">
        <v>6711</v>
      </c>
    </row>
    <row r="1485" spans="1:16" ht="13.5" hidden="1" customHeight="1" outlineLevel="3" x14ac:dyDescent="0.2">
      <c r="A1485" s="233">
        <v>0</v>
      </c>
      <c r="B1485" s="233">
        <v>13</v>
      </c>
      <c r="C1485" s="233">
        <v>5</v>
      </c>
      <c r="D1485" s="234">
        <v>5</v>
      </c>
      <c r="E1485" s="234">
        <v>6</v>
      </c>
      <c r="G1485" s="508" t="s">
        <v>23</v>
      </c>
      <c r="H1485" s="493" t="s">
        <v>1238</v>
      </c>
      <c r="I1485" s="460" t="s">
        <v>4781</v>
      </c>
      <c r="J1485" s="461" t="s">
        <v>477</v>
      </c>
      <c r="K1485" s="496" t="s">
        <v>533</v>
      </c>
      <c r="L1485" s="497">
        <v>2</v>
      </c>
      <c r="M1485" s="497">
        <v>50</v>
      </c>
      <c r="N1485" s="464">
        <v>100</v>
      </c>
      <c r="O1485" s="498"/>
      <c r="P1485" s="431" t="s">
        <v>6711</v>
      </c>
    </row>
    <row r="1486" spans="1:16" ht="13.5" hidden="1" customHeight="1" outlineLevel="1" x14ac:dyDescent="0.2">
      <c r="A1486" s="233">
        <v>0</v>
      </c>
      <c r="B1486" s="233">
        <v>13</v>
      </c>
      <c r="C1486" s="233">
        <v>6</v>
      </c>
      <c r="D1486" s="234">
        <v>0</v>
      </c>
      <c r="E1486" s="234">
        <v>6</v>
      </c>
      <c r="G1486" s="506"/>
      <c r="H1486" s="481" t="s">
        <v>38</v>
      </c>
      <c r="I1486" s="445" t="s">
        <v>4782</v>
      </c>
      <c r="J1486" s="483" t="s">
        <v>2364</v>
      </c>
      <c r="K1486" s="484"/>
      <c r="L1486" s="485"/>
      <c r="M1486" s="485"/>
      <c r="N1486" s="449">
        <v>2131.6426786666698</v>
      </c>
      <c r="O1486" s="486">
        <v>0.12726475677829299</v>
      </c>
      <c r="P1486" s="429"/>
    </row>
    <row r="1487" spans="1:16" ht="13.5" hidden="1" customHeight="1" outlineLevel="2" x14ac:dyDescent="0.2">
      <c r="A1487" s="233">
        <v>0</v>
      </c>
      <c r="B1487" s="233">
        <v>13</v>
      </c>
      <c r="C1487" s="233">
        <v>6</v>
      </c>
      <c r="D1487" s="234">
        <v>1</v>
      </c>
      <c r="E1487" s="234">
        <v>0</v>
      </c>
      <c r="G1487" s="507"/>
      <c r="H1487" s="487" t="s">
        <v>1237</v>
      </c>
      <c r="I1487" s="452" t="s">
        <v>4783</v>
      </c>
      <c r="J1487" s="489" t="s">
        <v>2318</v>
      </c>
      <c r="K1487" s="490"/>
      <c r="L1487" s="491"/>
      <c r="M1487" s="491"/>
      <c r="N1487" s="456">
        <v>1038.44264866667</v>
      </c>
      <c r="O1487" s="492"/>
      <c r="P1487" s="430"/>
    </row>
    <row r="1488" spans="1:16" ht="13.5" hidden="1" customHeight="1" outlineLevel="3" x14ac:dyDescent="0.2">
      <c r="A1488" s="233">
        <v>0</v>
      </c>
      <c r="B1488" s="233">
        <v>13</v>
      </c>
      <c r="C1488" s="233">
        <v>6</v>
      </c>
      <c r="D1488" s="234">
        <v>1</v>
      </c>
      <c r="E1488" s="234">
        <v>1</v>
      </c>
      <c r="G1488" s="508" t="s">
        <v>23</v>
      </c>
      <c r="H1488" s="493" t="s">
        <v>1238</v>
      </c>
      <c r="I1488" s="460" t="s">
        <v>4784</v>
      </c>
      <c r="J1488" s="495" t="s">
        <v>2907</v>
      </c>
      <c r="K1488" s="496" t="s">
        <v>641</v>
      </c>
      <c r="L1488" s="497">
        <v>30.490000000000002</v>
      </c>
      <c r="M1488" s="497">
        <v>34.058466666666661</v>
      </c>
      <c r="N1488" s="464">
        <v>1038.44264866667</v>
      </c>
      <c r="O1488" s="498"/>
      <c r="P1488" s="431" t="s">
        <v>6711</v>
      </c>
    </row>
    <row r="1489" spans="1:16" ht="13.5" hidden="1" customHeight="1" outlineLevel="2" x14ac:dyDescent="0.2">
      <c r="A1489" s="233">
        <v>0</v>
      </c>
      <c r="B1489" s="233">
        <v>13</v>
      </c>
      <c r="C1489" s="233">
        <v>6</v>
      </c>
      <c r="D1489" s="234">
        <v>2</v>
      </c>
      <c r="E1489" s="234">
        <v>0</v>
      </c>
      <c r="G1489" s="507"/>
      <c r="H1489" s="487" t="s">
        <v>1237</v>
      </c>
      <c r="I1489" s="452" t="s">
        <v>4785</v>
      </c>
      <c r="J1489" s="489" t="s">
        <v>2319</v>
      </c>
      <c r="K1489" s="490"/>
      <c r="L1489" s="491"/>
      <c r="M1489" s="491"/>
      <c r="N1489" s="456">
        <v>17.520029999999998</v>
      </c>
      <c r="O1489" s="492"/>
      <c r="P1489" s="430"/>
    </row>
    <row r="1490" spans="1:16" ht="13.5" hidden="1" customHeight="1" outlineLevel="3" x14ac:dyDescent="0.2">
      <c r="A1490" s="233">
        <v>0</v>
      </c>
      <c r="B1490" s="233">
        <v>13</v>
      </c>
      <c r="C1490" s="233">
        <v>6</v>
      </c>
      <c r="D1490" s="234">
        <v>2</v>
      </c>
      <c r="E1490" s="234">
        <v>1</v>
      </c>
      <c r="G1490" s="508" t="s">
        <v>23</v>
      </c>
      <c r="H1490" s="493" t="s">
        <v>1238</v>
      </c>
      <c r="I1490" s="460" t="s">
        <v>4786</v>
      </c>
      <c r="J1490" s="495" t="s">
        <v>1616</v>
      </c>
      <c r="K1490" s="496" t="s">
        <v>533</v>
      </c>
      <c r="L1490" s="497">
        <v>2</v>
      </c>
      <c r="M1490" s="497">
        <v>8.760015000000001</v>
      </c>
      <c r="N1490" s="464">
        <v>17.520029999999998</v>
      </c>
      <c r="O1490" s="498" t="s">
        <v>2943</v>
      </c>
      <c r="P1490" s="431" t="s">
        <v>6711</v>
      </c>
    </row>
    <row r="1491" spans="1:16" ht="13.5" hidden="1" customHeight="1" outlineLevel="2" x14ac:dyDescent="0.2">
      <c r="A1491" s="233">
        <v>0</v>
      </c>
      <c r="B1491" s="233">
        <v>13</v>
      </c>
      <c r="C1491" s="233">
        <v>6</v>
      </c>
      <c r="D1491" s="234">
        <v>3</v>
      </c>
      <c r="E1491" s="234">
        <v>0</v>
      </c>
      <c r="G1491" s="507"/>
      <c r="H1491" s="487" t="s">
        <v>1237</v>
      </c>
      <c r="I1491" s="452" t="s">
        <v>4787</v>
      </c>
      <c r="J1491" s="489" t="s">
        <v>1247</v>
      </c>
      <c r="K1491" s="490"/>
      <c r="L1491" s="491"/>
      <c r="M1491" s="491"/>
      <c r="N1491" s="456">
        <v>1075.68</v>
      </c>
      <c r="O1491" s="492"/>
      <c r="P1491" s="430"/>
    </row>
    <row r="1492" spans="1:16" ht="13.5" hidden="1" customHeight="1" outlineLevel="3" x14ac:dyDescent="0.2">
      <c r="A1492" s="233">
        <v>0</v>
      </c>
      <c r="B1492" s="233">
        <v>13</v>
      </c>
      <c r="C1492" s="233">
        <v>6</v>
      </c>
      <c r="D1492" s="234">
        <v>3</v>
      </c>
      <c r="E1492" s="234">
        <v>1</v>
      </c>
      <c r="G1492" s="508" t="s">
        <v>23</v>
      </c>
      <c r="H1492" s="493" t="s">
        <v>1238</v>
      </c>
      <c r="I1492" s="460" t="s">
        <v>4788</v>
      </c>
      <c r="J1492" s="495" t="s">
        <v>2931</v>
      </c>
      <c r="K1492" s="496" t="s">
        <v>641</v>
      </c>
      <c r="L1492" s="497">
        <v>30.490000000000002</v>
      </c>
      <c r="M1492" s="497">
        <v>32</v>
      </c>
      <c r="N1492" s="464">
        <v>975.68</v>
      </c>
      <c r="O1492" s="498"/>
      <c r="P1492" s="431" t="s">
        <v>6711</v>
      </c>
    </row>
    <row r="1493" spans="1:16" ht="13.5" hidden="1" customHeight="1" outlineLevel="3" x14ac:dyDescent="0.2">
      <c r="A1493" s="233">
        <v>0</v>
      </c>
      <c r="B1493" s="233">
        <v>13</v>
      </c>
      <c r="C1493" s="233">
        <v>6</v>
      </c>
      <c r="D1493" s="234">
        <v>3</v>
      </c>
      <c r="E1493" s="234">
        <v>2</v>
      </c>
      <c r="G1493" s="508" t="s">
        <v>23</v>
      </c>
      <c r="H1493" s="493" t="s">
        <v>1238</v>
      </c>
      <c r="I1493" s="460" t="s">
        <v>4789</v>
      </c>
      <c r="J1493" s="461" t="s">
        <v>477</v>
      </c>
      <c r="K1493" s="496" t="s">
        <v>533</v>
      </c>
      <c r="L1493" s="497">
        <v>2</v>
      </c>
      <c r="M1493" s="497">
        <v>50</v>
      </c>
      <c r="N1493" s="464">
        <v>100</v>
      </c>
      <c r="O1493" s="498"/>
      <c r="P1493" s="431" t="s">
        <v>6711</v>
      </c>
    </row>
    <row r="1494" spans="1:16" ht="13.5" hidden="1" customHeight="1" outlineLevel="1" x14ac:dyDescent="0.2">
      <c r="A1494" s="233">
        <v>0</v>
      </c>
      <c r="B1494" s="233">
        <v>13</v>
      </c>
      <c r="C1494" s="233">
        <v>7</v>
      </c>
      <c r="D1494" s="234">
        <v>0</v>
      </c>
      <c r="E1494" s="234">
        <v>2</v>
      </c>
      <c r="G1494" s="506"/>
      <c r="H1494" s="481" t="s">
        <v>38</v>
      </c>
      <c r="I1494" s="445" t="s">
        <v>4790</v>
      </c>
      <c r="J1494" s="483" t="s">
        <v>2365</v>
      </c>
      <c r="K1494" s="484"/>
      <c r="L1494" s="485"/>
      <c r="M1494" s="485"/>
      <c r="N1494" s="449">
        <v>157022.473058667</v>
      </c>
      <c r="O1494" s="486">
        <v>9.3746606983102705</v>
      </c>
      <c r="P1494" s="429"/>
    </row>
    <row r="1495" spans="1:16" ht="13.5" hidden="1" customHeight="1" outlineLevel="2" x14ac:dyDescent="0.2">
      <c r="A1495" s="233">
        <v>0</v>
      </c>
      <c r="B1495" s="233">
        <v>13</v>
      </c>
      <c r="C1495" s="233">
        <v>7</v>
      </c>
      <c r="D1495" s="234">
        <v>1</v>
      </c>
      <c r="E1495" s="234">
        <v>0</v>
      </c>
      <c r="G1495" s="507"/>
      <c r="H1495" s="487" t="s">
        <v>1237</v>
      </c>
      <c r="I1495" s="452" t="s">
        <v>4791</v>
      </c>
      <c r="J1495" s="489" t="s">
        <v>24</v>
      </c>
      <c r="K1495" s="490"/>
      <c r="L1495" s="491"/>
      <c r="M1495" s="491"/>
      <c r="N1495" s="456">
        <v>16197.604813</v>
      </c>
      <c r="O1495" s="492">
        <v>0.96704023500164504</v>
      </c>
      <c r="P1495" s="430"/>
    </row>
    <row r="1496" spans="1:16" ht="13.5" hidden="1" customHeight="1" outlineLevel="3" x14ac:dyDescent="0.2">
      <c r="A1496" s="233">
        <v>0</v>
      </c>
      <c r="B1496" s="233">
        <v>13</v>
      </c>
      <c r="C1496" s="233">
        <v>7</v>
      </c>
      <c r="D1496" s="234">
        <v>1</v>
      </c>
      <c r="E1496" s="234">
        <v>1</v>
      </c>
      <c r="G1496" s="508" t="s">
        <v>23</v>
      </c>
      <c r="H1496" s="493" t="s">
        <v>1238</v>
      </c>
      <c r="I1496" s="460" t="s">
        <v>4792</v>
      </c>
      <c r="J1496" s="495" t="s">
        <v>441</v>
      </c>
      <c r="K1496" s="496" t="s">
        <v>641</v>
      </c>
      <c r="L1496" s="497">
        <v>301.02000000000004</v>
      </c>
      <c r="M1496" s="497">
        <v>7.0658999999999992</v>
      </c>
      <c r="N1496" s="464">
        <v>2126.977218</v>
      </c>
      <c r="O1496" s="498" t="s">
        <v>2928</v>
      </c>
      <c r="P1496" s="431" t="s">
        <v>6711</v>
      </c>
    </row>
    <row r="1497" spans="1:16" ht="13.5" hidden="1" customHeight="1" outlineLevel="3" x14ac:dyDescent="0.2">
      <c r="A1497" s="233">
        <v>0</v>
      </c>
      <c r="B1497" s="233">
        <v>13</v>
      </c>
      <c r="C1497" s="233">
        <v>7</v>
      </c>
      <c r="D1497" s="234">
        <v>1</v>
      </c>
      <c r="E1497" s="234">
        <v>2</v>
      </c>
      <c r="G1497" s="508" t="s">
        <v>23</v>
      </c>
      <c r="H1497" s="493" t="s">
        <v>1238</v>
      </c>
      <c r="I1497" s="460" t="s">
        <v>4793</v>
      </c>
      <c r="J1497" s="495" t="s">
        <v>443</v>
      </c>
      <c r="K1497" s="496" t="s">
        <v>641</v>
      </c>
      <c r="L1497" s="497">
        <v>285.07</v>
      </c>
      <c r="M1497" s="497">
        <v>49.358499999999999</v>
      </c>
      <c r="N1497" s="464">
        <v>14070.627595</v>
      </c>
      <c r="O1497" s="498" t="s">
        <v>2929</v>
      </c>
      <c r="P1497" s="431" t="s">
        <v>6711</v>
      </c>
    </row>
    <row r="1498" spans="1:16" ht="13.5" hidden="1" customHeight="1" outlineLevel="2" x14ac:dyDescent="0.2">
      <c r="A1498" s="233">
        <v>0</v>
      </c>
      <c r="B1498" s="233">
        <v>13</v>
      </c>
      <c r="C1498" s="233">
        <v>7</v>
      </c>
      <c r="D1498" s="234">
        <v>2</v>
      </c>
      <c r="E1498" s="234">
        <v>0</v>
      </c>
      <c r="G1498" s="507"/>
      <c r="H1498" s="487" t="s">
        <v>1237</v>
      </c>
      <c r="I1498" s="452" t="s">
        <v>4794</v>
      </c>
      <c r="J1498" s="489" t="s">
        <v>2317</v>
      </c>
      <c r="K1498" s="490"/>
      <c r="L1498" s="491"/>
      <c r="M1498" s="491"/>
      <c r="N1498" s="456">
        <v>64619.94644</v>
      </c>
      <c r="O1498" s="492"/>
      <c r="P1498" s="430"/>
    </row>
    <row r="1499" spans="1:16" ht="13.5" hidden="1" customHeight="1" outlineLevel="3" x14ac:dyDescent="0.2">
      <c r="A1499" s="233">
        <v>0</v>
      </c>
      <c r="B1499" s="233">
        <v>13</v>
      </c>
      <c r="C1499" s="233">
        <v>7</v>
      </c>
      <c r="D1499" s="234">
        <v>2</v>
      </c>
      <c r="E1499" s="234">
        <v>1</v>
      </c>
      <c r="G1499" s="508" t="s">
        <v>23</v>
      </c>
      <c r="H1499" s="493" t="s">
        <v>1238</v>
      </c>
      <c r="I1499" s="460" t="s">
        <v>4795</v>
      </c>
      <c r="J1499" s="495" t="s">
        <v>2927</v>
      </c>
      <c r="K1499" s="496" t="s">
        <v>641</v>
      </c>
      <c r="L1499" s="497">
        <v>241.13</v>
      </c>
      <c r="M1499" s="497">
        <v>267.988</v>
      </c>
      <c r="N1499" s="464">
        <v>64619.94644</v>
      </c>
      <c r="O1499" s="498" t="s">
        <v>2083</v>
      </c>
      <c r="P1499" s="431" t="s">
        <v>6711</v>
      </c>
    </row>
    <row r="1500" spans="1:16" ht="13.5" hidden="1" customHeight="1" outlineLevel="2" x14ac:dyDescent="0.2">
      <c r="A1500" s="233">
        <v>0</v>
      </c>
      <c r="B1500" s="233">
        <v>13</v>
      </c>
      <c r="C1500" s="233">
        <v>7</v>
      </c>
      <c r="D1500" s="234">
        <v>3</v>
      </c>
      <c r="E1500" s="234">
        <v>0</v>
      </c>
      <c r="G1500" s="507"/>
      <c r="H1500" s="487" t="s">
        <v>1237</v>
      </c>
      <c r="I1500" s="452" t="s">
        <v>4796</v>
      </c>
      <c r="J1500" s="489" t="s">
        <v>2924</v>
      </c>
      <c r="K1500" s="490"/>
      <c r="L1500" s="491"/>
      <c r="M1500" s="491"/>
      <c r="N1500" s="456">
        <v>30639.501863666701</v>
      </c>
      <c r="O1500" s="492"/>
      <c r="P1500" s="430"/>
    </row>
    <row r="1501" spans="1:16" ht="13.5" hidden="1" customHeight="1" outlineLevel="3" x14ac:dyDescent="0.2">
      <c r="A1501" s="233">
        <v>0</v>
      </c>
      <c r="B1501" s="233">
        <v>13</v>
      </c>
      <c r="C1501" s="233">
        <v>7</v>
      </c>
      <c r="D1501" s="234">
        <v>3</v>
      </c>
      <c r="E1501" s="234">
        <v>1</v>
      </c>
      <c r="G1501" s="508" t="s">
        <v>23</v>
      </c>
      <c r="H1501" s="493" t="s">
        <v>1238</v>
      </c>
      <c r="I1501" s="460" t="s">
        <v>4797</v>
      </c>
      <c r="J1501" s="495" t="s">
        <v>2907</v>
      </c>
      <c r="K1501" s="496" t="s">
        <v>641</v>
      </c>
      <c r="L1501" s="497">
        <v>26.41</v>
      </c>
      <c r="M1501" s="497">
        <v>34.058466666666661</v>
      </c>
      <c r="N1501" s="464">
        <v>899.48410466666701</v>
      </c>
      <c r="O1501" s="498" t="s">
        <v>2916</v>
      </c>
      <c r="P1501" s="431" t="s">
        <v>6711</v>
      </c>
    </row>
    <row r="1502" spans="1:16" ht="13.5" hidden="1" customHeight="1" outlineLevel="3" x14ac:dyDescent="0.2">
      <c r="A1502" s="233">
        <v>0</v>
      </c>
      <c r="B1502" s="233">
        <v>13</v>
      </c>
      <c r="C1502" s="233">
        <v>7</v>
      </c>
      <c r="D1502" s="234">
        <v>3</v>
      </c>
      <c r="E1502" s="234">
        <v>2</v>
      </c>
      <c r="G1502" s="508" t="s">
        <v>23</v>
      </c>
      <c r="H1502" s="493" t="s">
        <v>1238</v>
      </c>
      <c r="I1502" s="460" t="s">
        <v>4798</v>
      </c>
      <c r="J1502" s="495" t="s">
        <v>2910</v>
      </c>
      <c r="K1502" s="496" t="s">
        <v>641</v>
      </c>
      <c r="L1502" s="497">
        <v>48.03</v>
      </c>
      <c r="M1502" s="497">
        <v>148.89179999999999</v>
      </c>
      <c r="N1502" s="464">
        <v>7151.2731540000004</v>
      </c>
      <c r="O1502" s="498" t="s">
        <v>2917</v>
      </c>
      <c r="P1502" s="431" t="s">
        <v>6711</v>
      </c>
    </row>
    <row r="1503" spans="1:16" ht="13.5" hidden="1" customHeight="1" outlineLevel="3" x14ac:dyDescent="0.2">
      <c r="A1503" s="233">
        <v>0</v>
      </c>
      <c r="B1503" s="233">
        <v>13</v>
      </c>
      <c r="C1503" s="233">
        <v>7</v>
      </c>
      <c r="D1503" s="234">
        <v>3</v>
      </c>
      <c r="E1503" s="234">
        <v>3</v>
      </c>
      <c r="G1503" s="508" t="s">
        <v>23</v>
      </c>
      <c r="H1503" s="493" t="s">
        <v>1238</v>
      </c>
      <c r="I1503" s="460" t="s">
        <v>4799</v>
      </c>
      <c r="J1503" s="495" t="s">
        <v>2912</v>
      </c>
      <c r="K1503" s="496" t="s">
        <v>641</v>
      </c>
      <c r="L1503" s="497">
        <v>169.60999999999999</v>
      </c>
      <c r="M1503" s="497">
        <v>133.18049999999999</v>
      </c>
      <c r="N1503" s="464">
        <v>22588.744605</v>
      </c>
      <c r="O1503" s="498" t="s">
        <v>2920</v>
      </c>
      <c r="P1503" s="431" t="s">
        <v>6711</v>
      </c>
    </row>
    <row r="1504" spans="1:16" ht="13.5" hidden="1" customHeight="1" outlineLevel="2" x14ac:dyDescent="0.2">
      <c r="A1504" s="233">
        <v>0</v>
      </c>
      <c r="B1504" s="233">
        <v>13</v>
      </c>
      <c r="C1504" s="233">
        <v>7</v>
      </c>
      <c r="D1504" s="234">
        <v>4</v>
      </c>
      <c r="E1504" s="234">
        <v>0</v>
      </c>
      <c r="G1504" s="507"/>
      <c r="H1504" s="487" t="s">
        <v>1237</v>
      </c>
      <c r="I1504" s="452" t="s">
        <v>4800</v>
      </c>
      <c r="J1504" s="489" t="s">
        <v>2318</v>
      </c>
      <c r="K1504" s="490"/>
      <c r="L1504" s="491"/>
      <c r="M1504" s="491"/>
      <c r="N1504" s="456">
        <v>1213.843752</v>
      </c>
      <c r="O1504" s="492"/>
      <c r="P1504" s="430"/>
    </row>
    <row r="1505" spans="1:16" ht="13.5" hidden="1" customHeight="1" outlineLevel="3" x14ac:dyDescent="0.2">
      <c r="A1505" s="233">
        <v>0</v>
      </c>
      <c r="B1505" s="233">
        <v>13</v>
      </c>
      <c r="C1505" s="233">
        <v>7</v>
      </c>
      <c r="D1505" s="234">
        <v>4</v>
      </c>
      <c r="E1505" s="234">
        <v>1</v>
      </c>
      <c r="G1505" s="508" t="s">
        <v>23</v>
      </c>
      <c r="H1505" s="493" t="s">
        <v>1238</v>
      </c>
      <c r="I1505" s="460" t="s">
        <v>4801</v>
      </c>
      <c r="J1505" s="495" t="s">
        <v>2907</v>
      </c>
      <c r="K1505" s="496" t="s">
        <v>641</v>
      </c>
      <c r="L1505" s="497">
        <v>35.64</v>
      </c>
      <c r="M1505" s="497">
        <v>34.058466666666661</v>
      </c>
      <c r="N1505" s="464">
        <v>1213.843752</v>
      </c>
      <c r="O1505" s="498"/>
      <c r="P1505" s="431" t="s">
        <v>6711</v>
      </c>
    </row>
    <row r="1506" spans="1:16" ht="13.5" hidden="1" customHeight="1" outlineLevel="2" x14ac:dyDescent="0.2">
      <c r="A1506" s="233">
        <v>0</v>
      </c>
      <c r="B1506" s="233">
        <v>13</v>
      </c>
      <c r="C1506" s="233">
        <v>7</v>
      </c>
      <c r="D1506" s="234">
        <v>5</v>
      </c>
      <c r="E1506" s="234">
        <v>0</v>
      </c>
      <c r="G1506" s="507"/>
      <c r="H1506" s="487" t="s">
        <v>1237</v>
      </c>
      <c r="I1506" s="452" t="s">
        <v>4802</v>
      </c>
      <c r="J1506" s="489" t="s">
        <v>2319</v>
      </c>
      <c r="K1506" s="490"/>
      <c r="L1506" s="491"/>
      <c r="M1506" s="491"/>
      <c r="N1506" s="456">
        <v>70.080119999999994</v>
      </c>
      <c r="O1506" s="492"/>
      <c r="P1506" s="430"/>
    </row>
    <row r="1507" spans="1:16" ht="13.5" hidden="1" customHeight="1" outlineLevel="3" x14ac:dyDescent="0.2">
      <c r="A1507" s="233">
        <v>0</v>
      </c>
      <c r="B1507" s="233">
        <v>13</v>
      </c>
      <c r="C1507" s="233">
        <v>7</v>
      </c>
      <c r="D1507" s="234">
        <v>5</v>
      </c>
      <c r="E1507" s="234">
        <v>1</v>
      </c>
      <c r="G1507" s="508" t="s">
        <v>23</v>
      </c>
      <c r="H1507" s="493" t="s">
        <v>1238</v>
      </c>
      <c r="I1507" s="460" t="s">
        <v>4803</v>
      </c>
      <c r="J1507" s="495" t="s">
        <v>1616</v>
      </c>
      <c r="K1507" s="496" t="s">
        <v>533</v>
      </c>
      <c r="L1507" s="497">
        <v>8</v>
      </c>
      <c r="M1507" s="497">
        <v>8.760015000000001</v>
      </c>
      <c r="N1507" s="464">
        <v>70.080119999999994</v>
      </c>
      <c r="O1507" s="498" t="s">
        <v>2943</v>
      </c>
      <c r="P1507" s="431" t="s">
        <v>6711</v>
      </c>
    </row>
    <row r="1508" spans="1:16" ht="13.5" hidden="1" customHeight="1" outlineLevel="2" x14ac:dyDescent="0.2">
      <c r="A1508" s="233">
        <v>0</v>
      </c>
      <c r="B1508" s="233">
        <v>13</v>
      </c>
      <c r="C1508" s="233">
        <v>7</v>
      </c>
      <c r="D1508" s="234">
        <v>6</v>
      </c>
      <c r="E1508" s="234">
        <v>0</v>
      </c>
      <c r="G1508" s="507"/>
      <c r="H1508" s="487" t="s">
        <v>1237</v>
      </c>
      <c r="I1508" s="452" t="s">
        <v>4804</v>
      </c>
      <c r="J1508" s="489" t="s">
        <v>2922</v>
      </c>
      <c r="K1508" s="490"/>
      <c r="L1508" s="491"/>
      <c r="M1508" s="491"/>
      <c r="N1508" s="456">
        <v>1039.9760699999999</v>
      </c>
      <c r="O1508" s="492"/>
      <c r="P1508" s="430"/>
    </row>
    <row r="1509" spans="1:16" ht="13.5" hidden="1" customHeight="1" outlineLevel="3" x14ac:dyDescent="0.2">
      <c r="A1509" s="233">
        <v>0</v>
      </c>
      <c r="B1509" s="233">
        <v>13</v>
      </c>
      <c r="C1509" s="233">
        <v>7</v>
      </c>
      <c r="D1509" s="234">
        <v>6</v>
      </c>
      <c r="E1509" s="234">
        <v>1</v>
      </c>
      <c r="G1509" s="508" t="s">
        <v>23</v>
      </c>
      <c r="H1509" s="493" t="s">
        <v>1238</v>
      </c>
      <c r="I1509" s="460" t="s">
        <v>4805</v>
      </c>
      <c r="J1509" s="495" t="s">
        <v>2913</v>
      </c>
      <c r="K1509" s="496" t="s">
        <v>641</v>
      </c>
      <c r="L1509" s="497">
        <v>5.7399999999999993</v>
      </c>
      <c r="M1509" s="497">
        <v>181.18049999999999</v>
      </c>
      <c r="N1509" s="464">
        <v>1039.9760699999999</v>
      </c>
      <c r="O1509" s="498" t="s">
        <v>2923</v>
      </c>
      <c r="P1509" s="431" t="s">
        <v>6711</v>
      </c>
    </row>
    <row r="1510" spans="1:16" ht="13.5" hidden="1" customHeight="1" outlineLevel="2" x14ac:dyDescent="0.2">
      <c r="A1510" s="233">
        <v>0</v>
      </c>
      <c r="B1510" s="233">
        <v>13</v>
      </c>
      <c r="C1510" s="233">
        <v>7</v>
      </c>
      <c r="D1510" s="234">
        <v>7</v>
      </c>
      <c r="E1510" s="234">
        <v>0</v>
      </c>
      <c r="G1510" s="507"/>
      <c r="H1510" s="487" t="s">
        <v>1237</v>
      </c>
      <c r="I1510" s="452" t="s">
        <v>4806</v>
      </c>
      <c r="J1510" s="489" t="s">
        <v>1247</v>
      </c>
      <c r="K1510" s="490"/>
      <c r="L1510" s="491"/>
      <c r="M1510" s="491"/>
      <c r="N1510" s="456">
        <v>43241.52</v>
      </c>
      <c r="O1510" s="492"/>
      <c r="P1510" s="430"/>
    </row>
    <row r="1511" spans="1:16" ht="13.5" hidden="1" customHeight="1" outlineLevel="3" x14ac:dyDescent="0.2">
      <c r="A1511" s="233">
        <v>0</v>
      </c>
      <c r="B1511" s="233">
        <v>13</v>
      </c>
      <c r="C1511" s="233">
        <v>7</v>
      </c>
      <c r="D1511" s="234">
        <v>7</v>
      </c>
      <c r="E1511" s="234">
        <v>1</v>
      </c>
      <c r="G1511" s="508" t="s">
        <v>23</v>
      </c>
      <c r="H1511" s="493" t="s">
        <v>1238</v>
      </c>
      <c r="I1511" s="460" t="s">
        <v>4807</v>
      </c>
      <c r="J1511" s="495" t="s">
        <v>469</v>
      </c>
      <c r="K1511" s="496" t="s">
        <v>641</v>
      </c>
      <c r="L1511" s="497">
        <v>301.02000000000004</v>
      </c>
      <c r="M1511" s="497">
        <v>20</v>
      </c>
      <c r="N1511" s="464">
        <v>6020.4</v>
      </c>
      <c r="O1511" s="498"/>
      <c r="P1511" s="431" t="s">
        <v>6711</v>
      </c>
    </row>
    <row r="1512" spans="1:16" ht="13.5" hidden="1" customHeight="1" outlineLevel="3" x14ac:dyDescent="0.2">
      <c r="A1512" s="233">
        <v>0</v>
      </c>
      <c r="B1512" s="233">
        <v>13</v>
      </c>
      <c r="C1512" s="233">
        <v>7</v>
      </c>
      <c r="D1512" s="234">
        <v>7</v>
      </c>
      <c r="E1512" s="234">
        <v>2</v>
      </c>
      <c r="G1512" s="508" t="s">
        <v>23</v>
      </c>
      <c r="H1512" s="493" t="s">
        <v>1238</v>
      </c>
      <c r="I1512" s="460" t="s">
        <v>4808</v>
      </c>
      <c r="J1512" s="495" t="s">
        <v>470</v>
      </c>
      <c r="K1512" s="496" t="s">
        <v>641</v>
      </c>
      <c r="L1512" s="497">
        <v>285.07</v>
      </c>
      <c r="M1512" s="497">
        <v>35</v>
      </c>
      <c r="N1512" s="464">
        <v>9977.4500000000007</v>
      </c>
      <c r="O1512" s="498"/>
      <c r="P1512" s="431" t="s">
        <v>6711</v>
      </c>
    </row>
    <row r="1513" spans="1:16" ht="13.5" hidden="1" customHeight="1" outlineLevel="3" x14ac:dyDescent="0.2">
      <c r="A1513" s="233">
        <v>0</v>
      </c>
      <c r="B1513" s="233">
        <v>13</v>
      </c>
      <c r="C1513" s="233">
        <v>7</v>
      </c>
      <c r="D1513" s="234">
        <v>7</v>
      </c>
      <c r="E1513" s="234">
        <v>3</v>
      </c>
      <c r="G1513" s="508" t="s">
        <v>23</v>
      </c>
      <c r="H1513" s="493" t="s">
        <v>1238</v>
      </c>
      <c r="I1513" s="460" t="s">
        <v>4809</v>
      </c>
      <c r="J1513" s="495" t="s">
        <v>2931</v>
      </c>
      <c r="K1513" s="496" t="s">
        <v>641</v>
      </c>
      <c r="L1513" s="497">
        <v>62.05</v>
      </c>
      <c r="M1513" s="497">
        <v>32</v>
      </c>
      <c r="N1513" s="464">
        <v>1985.6</v>
      </c>
      <c r="O1513" s="498"/>
      <c r="P1513" s="431" t="s">
        <v>6711</v>
      </c>
    </row>
    <row r="1514" spans="1:16" ht="13.5" hidden="1" customHeight="1" outlineLevel="3" x14ac:dyDescent="0.2">
      <c r="A1514" s="233">
        <v>0</v>
      </c>
      <c r="B1514" s="233">
        <v>13</v>
      </c>
      <c r="C1514" s="233">
        <v>7</v>
      </c>
      <c r="D1514" s="234">
        <v>7</v>
      </c>
      <c r="E1514" s="234">
        <v>4</v>
      </c>
      <c r="G1514" s="508" t="s">
        <v>23</v>
      </c>
      <c r="H1514" s="493" t="s">
        <v>1238</v>
      </c>
      <c r="I1514" s="460" t="s">
        <v>4810</v>
      </c>
      <c r="J1514" s="495" t="s">
        <v>2935</v>
      </c>
      <c r="K1514" s="496" t="s">
        <v>641</v>
      </c>
      <c r="L1514" s="497">
        <v>169.60999999999999</v>
      </c>
      <c r="M1514" s="497">
        <v>45</v>
      </c>
      <c r="N1514" s="464">
        <v>7632.45</v>
      </c>
      <c r="O1514" s="498"/>
      <c r="P1514" s="431" t="s">
        <v>6711</v>
      </c>
    </row>
    <row r="1515" spans="1:16" ht="13.5" hidden="1" customHeight="1" outlineLevel="3" x14ac:dyDescent="0.2">
      <c r="A1515" s="233">
        <v>0</v>
      </c>
      <c r="B1515" s="233">
        <v>13</v>
      </c>
      <c r="C1515" s="233">
        <v>7</v>
      </c>
      <c r="D1515" s="234">
        <v>7</v>
      </c>
      <c r="E1515" s="234">
        <v>5</v>
      </c>
      <c r="G1515" s="508" t="s">
        <v>23</v>
      </c>
      <c r="H1515" s="493" t="s">
        <v>1238</v>
      </c>
      <c r="I1515" s="460" t="s">
        <v>4811</v>
      </c>
      <c r="J1515" s="495" t="s">
        <v>2932</v>
      </c>
      <c r="K1515" s="496" t="s">
        <v>641</v>
      </c>
      <c r="L1515" s="497">
        <v>5.7399999999999993</v>
      </c>
      <c r="M1515" s="497">
        <v>45</v>
      </c>
      <c r="N1515" s="464">
        <v>258.3</v>
      </c>
      <c r="O1515" s="498"/>
      <c r="P1515" s="431" t="s">
        <v>6711</v>
      </c>
    </row>
    <row r="1516" spans="1:16" ht="13.5" hidden="1" customHeight="1" outlineLevel="3" x14ac:dyDescent="0.2">
      <c r="A1516" s="233">
        <v>0</v>
      </c>
      <c r="B1516" s="233">
        <v>13</v>
      </c>
      <c r="C1516" s="233">
        <v>7</v>
      </c>
      <c r="D1516" s="234">
        <v>7</v>
      </c>
      <c r="E1516" s="234">
        <v>6</v>
      </c>
      <c r="G1516" s="508" t="s">
        <v>23</v>
      </c>
      <c r="H1516" s="493" t="s">
        <v>1238</v>
      </c>
      <c r="I1516" s="460" t="s">
        <v>4812</v>
      </c>
      <c r="J1516" s="495" t="s">
        <v>2936</v>
      </c>
      <c r="K1516" s="496" t="s">
        <v>641</v>
      </c>
      <c r="L1516" s="497">
        <v>241.13</v>
      </c>
      <c r="M1516" s="497">
        <v>62</v>
      </c>
      <c r="N1516" s="464">
        <v>14950.06</v>
      </c>
      <c r="O1516" s="498"/>
      <c r="P1516" s="431" t="s">
        <v>6711</v>
      </c>
    </row>
    <row r="1517" spans="1:16" ht="13.5" hidden="1" customHeight="1" outlineLevel="3" x14ac:dyDescent="0.2">
      <c r="A1517" s="233">
        <v>0</v>
      </c>
      <c r="B1517" s="233">
        <v>13</v>
      </c>
      <c r="C1517" s="233">
        <v>7</v>
      </c>
      <c r="D1517" s="234">
        <v>7</v>
      </c>
      <c r="E1517" s="234">
        <v>7</v>
      </c>
      <c r="G1517" s="508" t="s">
        <v>23</v>
      </c>
      <c r="H1517" s="493" t="s">
        <v>1238</v>
      </c>
      <c r="I1517" s="460" t="s">
        <v>4813</v>
      </c>
      <c r="J1517" s="495" t="s">
        <v>2938</v>
      </c>
      <c r="K1517" s="496" t="s">
        <v>641</v>
      </c>
      <c r="L1517" s="497">
        <v>48.03</v>
      </c>
      <c r="M1517" s="497">
        <v>42</v>
      </c>
      <c r="N1517" s="464">
        <v>2017.26</v>
      </c>
      <c r="O1517" s="498"/>
      <c r="P1517" s="431" t="s">
        <v>6711</v>
      </c>
    </row>
    <row r="1518" spans="1:16" ht="13.5" hidden="1" customHeight="1" outlineLevel="3" x14ac:dyDescent="0.2">
      <c r="A1518" s="233">
        <v>0</v>
      </c>
      <c r="B1518" s="233">
        <v>13</v>
      </c>
      <c r="C1518" s="233">
        <v>7</v>
      </c>
      <c r="D1518" s="234">
        <v>7</v>
      </c>
      <c r="E1518" s="234">
        <v>8</v>
      </c>
      <c r="G1518" s="508" t="s">
        <v>23</v>
      </c>
      <c r="H1518" s="493" t="s">
        <v>1238</v>
      </c>
      <c r="I1518" s="460" t="s">
        <v>4814</v>
      </c>
      <c r="J1518" s="461" t="s">
        <v>477</v>
      </c>
      <c r="K1518" s="496" t="s">
        <v>533</v>
      </c>
      <c r="L1518" s="497">
        <v>8</v>
      </c>
      <c r="M1518" s="497">
        <v>50</v>
      </c>
      <c r="N1518" s="464">
        <v>400</v>
      </c>
      <c r="O1518" s="498"/>
      <c r="P1518" s="431" t="s">
        <v>6711</v>
      </c>
    </row>
    <row r="1519" spans="1:16" ht="13.5" hidden="1" customHeight="1" outlineLevel="1" x14ac:dyDescent="0.2">
      <c r="A1519" s="233">
        <v>0</v>
      </c>
      <c r="B1519" s="233">
        <v>13</v>
      </c>
      <c r="C1519" s="233">
        <v>8</v>
      </c>
      <c r="D1519" s="234">
        <v>0</v>
      </c>
      <c r="E1519" s="234">
        <v>8</v>
      </c>
      <c r="G1519" s="506"/>
      <c r="H1519" s="481" t="s">
        <v>38</v>
      </c>
      <c r="I1519" s="445" t="s">
        <v>4815</v>
      </c>
      <c r="J1519" s="483" t="s">
        <v>2366</v>
      </c>
      <c r="K1519" s="484"/>
      <c r="L1519" s="485"/>
      <c r="M1519" s="485"/>
      <c r="N1519" s="449">
        <v>131918.56087433299</v>
      </c>
      <c r="O1519" s="486">
        <v>7.8758901443630398</v>
      </c>
      <c r="P1519" s="429"/>
    </row>
    <row r="1520" spans="1:16" ht="13.5" hidden="1" customHeight="1" outlineLevel="2" x14ac:dyDescent="0.2">
      <c r="A1520" s="233">
        <v>0</v>
      </c>
      <c r="B1520" s="233">
        <v>13</v>
      </c>
      <c r="C1520" s="233">
        <v>8</v>
      </c>
      <c r="D1520" s="234">
        <v>1</v>
      </c>
      <c r="E1520" s="234">
        <v>0</v>
      </c>
      <c r="G1520" s="507"/>
      <c r="H1520" s="487" t="s">
        <v>1237</v>
      </c>
      <c r="I1520" s="452" t="s">
        <v>4816</v>
      </c>
      <c r="J1520" s="489" t="s">
        <v>24</v>
      </c>
      <c r="K1520" s="490"/>
      <c r="L1520" s="491"/>
      <c r="M1520" s="491"/>
      <c r="N1520" s="456">
        <v>19906.993666999999</v>
      </c>
      <c r="O1520" s="492">
        <v>1.1885006490874099</v>
      </c>
      <c r="P1520" s="430"/>
    </row>
    <row r="1521" spans="1:16" ht="13.5" hidden="1" customHeight="1" outlineLevel="3" x14ac:dyDescent="0.2">
      <c r="A1521" s="233">
        <v>0</v>
      </c>
      <c r="B1521" s="233">
        <v>13</v>
      </c>
      <c r="C1521" s="233">
        <v>8</v>
      </c>
      <c r="D1521" s="234">
        <v>1</v>
      </c>
      <c r="E1521" s="234">
        <v>1</v>
      </c>
      <c r="G1521" s="508" t="s">
        <v>23</v>
      </c>
      <c r="H1521" s="493" t="s">
        <v>1238</v>
      </c>
      <c r="I1521" s="460" t="s">
        <v>4817</v>
      </c>
      <c r="J1521" s="495" t="s">
        <v>441</v>
      </c>
      <c r="K1521" s="496" t="s">
        <v>641</v>
      </c>
      <c r="L1521" s="497">
        <v>360.48</v>
      </c>
      <c r="M1521" s="497">
        <v>7.0658999999999992</v>
      </c>
      <c r="N1521" s="464">
        <v>2547.115632</v>
      </c>
      <c r="O1521" s="498" t="s">
        <v>2928</v>
      </c>
      <c r="P1521" s="431" t="s">
        <v>6711</v>
      </c>
    </row>
    <row r="1522" spans="1:16" ht="13.5" hidden="1" customHeight="1" outlineLevel="3" x14ac:dyDescent="0.2">
      <c r="A1522" s="233">
        <v>0</v>
      </c>
      <c r="B1522" s="233">
        <v>13</v>
      </c>
      <c r="C1522" s="233">
        <v>8</v>
      </c>
      <c r="D1522" s="234">
        <v>1</v>
      </c>
      <c r="E1522" s="234">
        <v>2</v>
      </c>
      <c r="G1522" s="508" t="s">
        <v>23</v>
      </c>
      <c r="H1522" s="493" t="s">
        <v>1238</v>
      </c>
      <c r="I1522" s="460" t="s">
        <v>4818</v>
      </c>
      <c r="J1522" s="495" t="s">
        <v>443</v>
      </c>
      <c r="K1522" s="496" t="s">
        <v>641</v>
      </c>
      <c r="L1522" s="497">
        <v>351.71000000000004</v>
      </c>
      <c r="M1522" s="497">
        <v>49.358499999999999</v>
      </c>
      <c r="N1522" s="464">
        <v>17359.878035000002</v>
      </c>
      <c r="O1522" s="498" t="s">
        <v>2929</v>
      </c>
      <c r="P1522" s="431" t="s">
        <v>6711</v>
      </c>
    </row>
    <row r="1523" spans="1:16" ht="13.5" hidden="1" customHeight="1" outlineLevel="2" x14ac:dyDescent="0.2">
      <c r="A1523" s="233">
        <v>0</v>
      </c>
      <c r="B1523" s="233">
        <v>13</v>
      </c>
      <c r="C1523" s="233">
        <v>8</v>
      </c>
      <c r="D1523" s="234">
        <v>2</v>
      </c>
      <c r="E1523" s="234">
        <v>0</v>
      </c>
      <c r="G1523" s="507"/>
      <c r="H1523" s="487" t="s">
        <v>1237</v>
      </c>
      <c r="I1523" s="452" t="s">
        <v>4819</v>
      </c>
      <c r="J1523" s="489" t="s">
        <v>2924</v>
      </c>
      <c r="K1523" s="490"/>
      <c r="L1523" s="491"/>
      <c r="M1523" s="491"/>
      <c r="N1523" s="456">
        <v>16717.790313666701</v>
      </c>
      <c r="O1523" s="492"/>
      <c r="P1523" s="430"/>
    </row>
    <row r="1524" spans="1:16" ht="13.5" hidden="1" customHeight="1" outlineLevel="3" x14ac:dyDescent="0.2">
      <c r="A1524" s="233">
        <v>0</v>
      </c>
      <c r="B1524" s="233">
        <v>13</v>
      </c>
      <c r="C1524" s="233">
        <v>8</v>
      </c>
      <c r="D1524" s="234">
        <v>2</v>
      </c>
      <c r="E1524" s="234">
        <v>1</v>
      </c>
      <c r="G1524" s="508" t="s">
        <v>23</v>
      </c>
      <c r="H1524" s="493" t="s">
        <v>1238</v>
      </c>
      <c r="I1524" s="460" t="s">
        <v>4820</v>
      </c>
      <c r="J1524" s="495" t="s">
        <v>2907</v>
      </c>
      <c r="K1524" s="496" t="s">
        <v>641</v>
      </c>
      <c r="L1524" s="497">
        <v>21.34</v>
      </c>
      <c r="M1524" s="497">
        <v>34.058466666666661</v>
      </c>
      <c r="N1524" s="464">
        <v>726.80767866666702</v>
      </c>
      <c r="O1524" s="498" t="s">
        <v>2916</v>
      </c>
      <c r="P1524" s="431" t="s">
        <v>6711</v>
      </c>
    </row>
    <row r="1525" spans="1:16" ht="13.5" hidden="1" customHeight="1" outlineLevel="3" x14ac:dyDescent="0.2">
      <c r="A1525" s="233">
        <v>0</v>
      </c>
      <c r="B1525" s="233">
        <v>13</v>
      </c>
      <c r="C1525" s="233">
        <v>8</v>
      </c>
      <c r="D1525" s="234">
        <v>2</v>
      </c>
      <c r="E1525" s="234">
        <v>2</v>
      </c>
      <c r="G1525" s="508" t="s">
        <v>23</v>
      </c>
      <c r="H1525" s="493" t="s">
        <v>1238</v>
      </c>
      <c r="I1525" s="460" t="s">
        <v>4821</v>
      </c>
      <c r="J1525" s="495" t="s">
        <v>2912</v>
      </c>
      <c r="K1525" s="496" t="s">
        <v>641</v>
      </c>
      <c r="L1525" s="497">
        <v>120.07000000000001</v>
      </c>
      <c r="M1525" s="497">
        <v>133.18049999999999</v>
      </c>
      <c r="N1525" s="464">
        <v>15990.982635</v>
      </c>
      <c r="O1525" s="498" t="s">
        <v>2920</v>
      </c>
      <c r="P1525" s="431" t="s">
        <v>6711</v>
      </c>
    </row>
    <row r="1526" spans="1:16" ht="13.5" hidden="1" customHeight="1" outlineLevel="2" x14ac:dyDescent="0.2">
      <c r="A1526" s="233">
        <v>0</v>
      </c>
      <c r="B1526" s="233">
        <v>13</v>
      </c>
      <c r="C1526" s="233">
        <v>8</v>
      </c>
      <c r="D1526" s="234">
        <v>3</v>
      </c>
      <c r="E1526" s="234">
        <v>0</v>
      </c>
      <c r="G1526" s="507"/>
      <c r="H1526" s="487" t="s">
        <v>1237</v>
      </c>
      <c r="I1526" s="452" t="s">
        <v>4822</v>
      </c>
      <c r="J1526" s="489" t="s">
        <v>2318</v>
      </c>
      <c r="K1526" s="490"/>
      <c r="L1526" s="491"/>
      <c r="M1526" s="491"/>
      <c r="N1526" s="456">
        <v>777.89537866666603</v>
      </c>
      <c r="O1526" s="492"/>
      <c r="P1526" s="430"/>
    </row>
    <row r="1527" spans="1:16" ht="13.5" hidden="1" customHeight="1" outlineLevel="3" x14ac:dyDescent="0.2">
      <c r="A1527" s="233">
        <v>0</v>
      </c>
      <c r="B1527" s="233">
        <v>13</v>
      </c>
      <c r="C1527" s="233">
        <v>8</v>
      </c>
      <c r="D1527" s="234">
        <v>3</v>
      </c>
      <c r="E1527" s="234">
        <v>1</v>
      </c>
      <c r="G1527" s="508" t="s">
        <v>23</v>
      </c>
      <c r="H1527" s="493" t="s">
        <v>1238</v>
      </c>
      <c r="I1527" s="460" t="s">
        <v>4823</v>
      </c>
      <c r="J1527" s="495" t="s">
        <v>2907</v>
      </c>
      <c r="K1527" s="496" t="s">
        <v>641</v>
      </c>
      <c r="L1527" s="497">
        <v>22.84</v>
      </c>
      <c r="M1527" s="497">
        <v>34.058466666666661</v>
      </c>
      <c r="N1527" s="464">
        <v>777.89537866666603</v>
      </c>
      <c r="O1527" s="498"/>
      <c r="P1527" s="431" t="s">
        <v>6711</v>
      </c>
    </row>
    <row r="1528" spans="1:16" ht="13.5" hidden="1" customHeight="1" outlineLevel="2" x14ac:dyDescent="0.2">
      <c r="A1528" s="233">
        <v>0</v>
      </c>
      <c r="B1528" s="233">
        <v>13</v>
      </c>
      <c r="C1528" s="233">
        <v>8</v>
      </c>
      <c r="D1528" s="234">
        <v>4</v>
      </c>
      <c r="E1528" s="234">
        <v>0</v>
      </c>
      <c r="G1528" s="507"/>
      <c r="H1528" s="487" t="s">
        <v>1237</v>
      </c>
      <c r="I1528" s="452" t="s">
        <v>4824</v>
      </c>
      <c r="J1528" s="489" t="s">
        <v>2319</v>
      </c>
      <c r="K1528" s="490"/>
      <c r="L1528" s="491"/>
      <c r="M1528" s="491"/>
      <c r="N1528" s="456">
        <v>61.320104999999998</v>
      </c>
      <c r="O1528" s="492"/>
      <c r="P1528" s="430"/>
    </row>
    <row r="1529" spans="1:16" ht="13.5" hidden="1" customHeight="1" outlineLevel="3" x14ac:dyDescent="0.2">
      <c r="A1529" s="233">
        <v>0</v>
      </c>
      <c r="B1529" s="233">
        <v>13</v>
      </c>
      <c r="C1529" s="233">
        <v>8</v>
      </c>
      <c r="D1529" s="234">
        <v>4</v>
      </c>
      <c r="E1529" s="234">
        <v>1</v>
      </c>
      <c r="G1529" s="508" t="s">
        <v>23</v>
      </c>
      <c r="H1529" s="493" t="s">
        <v>1238</v>
      </c>
      <c r="I1529" s="460" t="s">
        <v>4825</v>
      </c>
      <c r="J1529" s="495" t="s">
        <v>1616</v>
      </c>
      <c r="K1529" s="496" t="s">
        <v>533</v>
      </c>
      <c r="L1529" s="497">
        <v>7</v>
      </c>
      <c r="M1529" s="497">
        <v>8.760015000000001</v>
      </c>
      <c r="N1529" s="464">
        <v>61.320104999999998</v>
      </c>
      <c r="O1529" s="498" t="s">
        <v>2943</v>
      </c>
      <c r="P1529" s="431" t="s">
        <v>6711</v>
      </c>
    </row>
    <row r="1530" spans="1:16" ht="13.5" hidden="1" customHeight="1" outlineLevel="2" x14ac:dyDescent="0.2">
      <c r="A1530" s="233">
        <v>0</v>
      </c>
      <c r="B1530" s="233">
        <v>13</v>
      </c>
      <c r="C1530" s="233">
        <v>8</v>
      </c>
      <c r="D1530" s="234">
        <v>5</v>
      </c>
      <c r="E1530" s="234">
        <v>0</v>
      </c>
      <c r="G1530" s="507"/>
      <c r="H1530" s="487" t="s">
        <v>1237</v>
      </c>
      <c r="I1530" s="452" t="s">
        <v>4826</v>
      </c>
      <c r="J1530" s="489" t="s">
        <v>2922</v>
      </c>
      <c r="K1530" s="490"/>
      <c r="L1530" s="491"/>
      <c r="M1530" s="491"/>
      <c r="N1530" s="456">
        <v>54285.30141</v>
      </c>
      <c r="O1530" s="492"/>
      <c r="P1530" s="430"/>
    </row>
    <row r="1531" spans="1:16" ht="13.5" hidden="1" customHeight="1" outlineLevel="3" x14ac:dyDescent="0.2">
      <c r="A1531" s="233">
        <v>0</v>
      </c>
      <c r="B1531" s="233">
        <v>13</v>
      </c>
      <c r="C1531" s="233">
        <v>8</v>
      </c>
      <c r="D1531" s="234">
        <v>5</v>
      </c>
      <c r="E1531" s="234">
        <v>1</v>
      </c>
      <c r="G1531" s="508" t="s">
        <v>23</v>
      </c>
      <c r="H1531" s="493" t="s">
        <v>1238</v>
      </c>
      <c r="I1531" s="460" t="s">
        <v>4827</v>
      </c>
      <c r="J1531" s="495" t="s">
        <v>2913</v>
      </c>
      <c r="K1531" s="496" t="s">
        <v>641</v>
      </c>
      <c r="L1531" s="497">
        <v>299.62</v>
      </c>
      <c r="M1531" s="497">
        <v>181.18049999999999</v>
      </c>
      <c r="N1531" s="464">
        <v>54285.30141</v>
      </c>
      <c r="O1531" s="498" t="s">
        <v>2923</v>
      </c>
      <c r="P1531" s="431" t="s">
        <v>6711</v>
      </c>
    </row>
    <row r="1532" spans="1:16" ht="13.5" hidden="1" customHeight="1" outlineLevel="2" x14ac:dyDescent="0.2">
      <c r="A1532" s="233">
        <v>0</v>
      </c>
      <c r="B1532" s="233">
        <v>13</v>
      </c>
      <c r="C1532" s="233">
        <v>8</v>
      </c>
      <c r="D1532" s="234">
        <v>6</v>
      </c>
      <c r="E1532" s="234">
        <v>0</v>
      </c>
      <c r="G1532" s="507"/>
      <c r="H1532" s="487" t="s">
        <v>1237</v>
      </c>
      <c r="I1532" s="452" t="s">
        <v>4828</v>
      </c>
      <c r="J1532" s="489" t="s">
        <v>1247</v>
      </c>
      <c r="K1532" s="490"/>
      <c r="L1532" s="491"/>
      <c r="M1532" s="491"/>
      <c r="N1532" s="456">
        <v>40169.26</v>
      </c>
      <c r="O1532" s="492"/>
      <c r="P1532" s="430"/>
    </row>
    <row r="1533" spans="1:16" ht="13.5" hidden="1" customHeight="1" outlineLevel="3" x14ac:dyDescent="0.2">
      <c r="A1533" s="233">
        <v>0</v>
      </c>
      <c r="B1533" s="233">
        <v>13</v>
      </c>
      <c r="C1533" s="233">
        <v>8</v>
      </c>
      <c r="D1533" s="234">
        <v>6</v>
      </c>
      <c r="E1533" s="234">
        <v>1</v>
      </c>
      <c r="G1533" s="508" t="s">
        <v>23</v>
      </c>
      <c r="H1533" s="493" t="s">
        <v>1238</v>
      </c>
      <c r="I1533" s="460" t="s">
        <v>4829</v>
      </c>
      <c r="J1533" s="495" t="s">
        <v>469</v>
      </c>
      <c r="K1533" s="496" t="s">
        <v>641</v>
      </c>
      <c r="L1533" s="497">
        <v>360.48</v>
      </c>
      <c r="M1533" s="497">
        <v>20</v>
      </c>
      <c r="N1533" s="464">
        <v>7209.6</v>
      </c>
      <c r="O1533" s="498"/>
      <c r="P1533" s="431" t="s">
        <v>6711</v>
      </c>
    </row>
    <row r="1534" spans="1:16" ht="13.5" hidden="1" customHeight="1" outlineLevel="3" x14ac:dyDescent="0.2">
      <c r="A1534" s="233">
        <v>0</v>
      </c>
      <c r="B1534" s="233">
        <v>13</v>
      </c>
      <c r="C1534" s="233">
        <v>8</v>
      </c>
      <c r="D1534" s="234">
        <v>6</v>
      </c>
      <c r="E1534" s="234">
        <v>2</v>
      </c>
      <c r="G1534" s="508" t="s">
        <v>23</v>
      </c>
      <c r="H1534" s="493" t="s">
        <v>1238</v>
      </c>
      <c r="I1534" s="460" t="s">
        <v>4830</v>
      </c>
      <c r="J1534" s="495" t="s">
        <v>470</v>
      </c>
      <c r="K1534" s="496" t="s">
        <v>641</v>
      </c>
      <c r="L1534" s="497">
        <v>351.71000000000004</v>
      </c>
      <c r="M1534" s="497">
        <v>35</v>
      </c>
      <c r="N1534" s="464">
        <v>12309.85</v>
      </c>
      <c r="O1534" s="498"/>
      <c r="P1534" s="431" t="s">
        <v>6711</v>
      </c>
    </row>
    <row r="1535" spans="1:16" ht="13.5" hidden="1" customHeight="1" outlineLevel="3" x14ac:dyDescent="0.2">
      <c r="A1535" s="233">
        <v>0</v>
      </c>
      <c r="B1535" s="233">
        <v>13</v>
      </c>
      <c r="C1535" s="233">
        <v>8</v>
      </c>
      <c r="D1535" s="234">
        <v>6</v>
      </c>
      <c r="E1535" s="234">
        <v>3</v>
      </c>
      <c r="G1535" s="508" t="s">
        <v>23</v>
      </c>
      <c r="H1535" s="493" t="s">
        <v>1238</v>
      </c>
      <c r="I1535" s="460" t="s">
        <v>4831</v>
      </c>
      <c r="J1535" s="495" t="s">
        <v>2931</v>
      </c>
      <c r="K1535" s="496" t="s">
        <v>641</v>
      </c>
      <c r="L1535" s="497">
        <v>44.18</v>
      </c>
      <c r="M1535" s="497">
        <v>32</v>
      </c>
      <c r="N1535" s="464">
        <v>1413.76</v>
      </c>
      <c r="O1535" s="498"/>
      <c r="P1535" s="431" t="s">
        <v>6711</v>
      </c>
    </row>
    <row r="1536" spans="1:16" ht="13.5" hidden="1" customHeight="1" outlineLevel="3" x14ac:dyDescent="0.2">
      <c r="A1536" s="233">
        <v>0</v>
      </c>
      <c r="B1536" s="233">
        <v>13</v>
      </c>
      <c r="C1536" s="233">
        <v>8</v>
      </c>
      <c r="D1536" s="234">
        <v>6</v>
      </c>
      <c r="E1536" s="234">
        <v>4</v>
      </c>
      <c r="G1536" s="508" t="s">
        <v>23</v>
      </c>
      <c r="H1536" s="493" t="s">
        <v>1238</v>
      </c>
      <c r="I1536" s="460" t="s">
        <v>4832</v>
      </c>
      <c r="J1536" s="495" t="s">
        <v>2935</v>
      </c>
      <c r="K1536" s="496" t="s">
        <v>641</v>
      </c>
      <c r="L1536" s="497">
        <v>120.07000000000001</v>
      </c>
      <c r="M1536" s="497">
        <v>45</v>
      </c>
      <c r="N1536" s="464">
        <v>5403.15</v>
      </c>
      <c r="O1536" s="498"/>
      <c r="P1536" s="431" t="s">
        <v>6711</v>
      </c>
    </row>
    <row r="1537" spans="1:16" ht="13.5" hidden="1" customHeight="1" outlineLevel="3" x14ac:dyDescent="0.2">
      <c r="A1537" s="233">
        <v>0</v>
      </c>
      <c r="B1537" s="233">
        <v>13</v>
      </c>
      <c r="C1537" s="233">
        <v>8</v>
      </c>
      <c r="D1537" s="234">
        <v>6</v>
      </c>
      <c r="E1537" s="234">
        <v>5</v>
      </c>
      <c r="G1537" s="508" t="s">
        <v>23</v>
      </c>
      <c r="H1537" s="493" t="s">
        <v>1238</v>
      </c>
      <c r="I1537" s="460" t="s">
        <v>4833</v>
      </c>
      <c r="J1537" s="495" t="s">
        <v>2932</v>
      </c>
      <c r="K1537" s="496" t="s">
        <v>641</v>
      </c>
      <c r="L1537" s="497">
        <v>299.62</v>
      </c>
      <c r="M1537" s="497">
        <v>45</v>
      </c>
      <c r="N1537" s="464">
        <v>13482.9</v>
      </c>
      <c r="O1537" s="498"/>
      <c r="P1537" s="431" t="s">
        <v>6711</v>
      </c>
    </row>
    <row r="1538" spans="1:16" ht="13.5" hidden="1" customHeight="1" outlineLevel="3" x14ac:dyDescent="0.2">
      <c r="A1538" s="233">
        <v>0</v>
      </c>
      <c r="B1538" s="233">
        <v>13</v>
      </c>
      <c r="C1538" s="233">
        <v>8</v>
      </c>
      <c r="D1538" s="234">
        <v>6</v>
      </c>
      <c r="E1538" s="234">
        <v>6</v>
      </c>
      <c r="G1538" s="508" t="s">
        <v>23</v>
      </c>
      <c r="H1538" s="493" t="s">
        <v>1238</v>
      </c>
      <c r="I1538" s="460" t="s">
        <v>4834</v>
      </c>
      <c r="J1538" s="461" t="s">
        <v>477</v>
      </c>
      <c r="K1538" s="496" t="s">
        <v>533</v>
      </c>
      <c r="L1538" s="497">
        <v>7</v>
      </c>
      <c r="M1538" s="497">
        <v>50</v>
      </c>
      <c r="N1538" s="464">
        <v>350</v>
      </c>
      <c r="O1538" s="498"/>
      <c r="P1538" s="431" t="s">
        <v>6711</v>
      </c>
    </row>
    <row r="1539" spans="1:16" ht="13.5" hidden="1" customHeight="1" outlineLevel="1" x14ac:dyDescent="0.2">
      <c r="A1539" s="233">
        <v>0</v>
      </c>
      <c r="B1539" s="233">
        <v>13</v>
      </c>
      <c r="C1539" s="233">
        <v>9</v>
      </c>
      <c r="D1539" s="234">
        <v>0</v>
      </c>
      <c r="E1539" s="234">
        <v>6</v>
      </c>
      <c r="G1539" s="506"/>
      <c r="H1539" s="481" t="s">
        <v>38</v>
      </c>
      <c r="I1539" s="445" t="s">
        <v>4835</v>
      </c>
      <c r="J1539" s="483" t="s">
        <v>2367</v>
      </c>
      <c r="K1539" s="484"/>
      <c r="L1539" s="485"/>
      <c r="M1539" s="485"/>
      <c r="N1539" s="449">
        <v>35844.704781</v>
      </c>
      <c r="O1539" s="486">
        <v>2.1400245366625099</v>
      </c>
      <c r="P1539" s="429"/>
    </row>
    <row r="1540" spans="1:16" ht="13.5" hidden="1" customHeight="1" outlineLevel="2" x14ac:dyDescent="0.2">
      <c r="A1540" s="233">
        <v>0</v>
      </c>
      <c r="B1540" s="233">
        <v>13</v>
      </c>
      <c r="C1540" s="233">
        <v>9</v>
      </c>
      <c r="D1540" s="234">
        <v>1</v>
      </c>
      <c r="E1540" s="234">
        <v>0</v>
      </c>
      <c r="G1540" s="507"/>
      <c r="H1540" s="487" t="s">
        <v>1237</v>
      </c>
      <c r="I1540" s="452" t="s">
        <v>4836</v>
      </c>
      <c r="J1540" s="489" t="s">
        <v>24</v>
      </c>
      <c r="K1540" s="490"/>
      <c r="L1540" s="491"/>
      <c r="M1540" s="491"/>
      <c r="N1540" s="456">
        <v>3086.7944130000001</v>
      </c>
      <c r="O1540" s="492">
        <v>0.184289864397328</v>
      </c>
      <c r="P1540" s="430"/>
    </row>
    <row r="1541" spans="1:16" ht="13.5" hidden="1" customHeight="1" outlineLevel="3" x14ac:dyDescent="0.2">
      <c r="A1541" s="233">
        <v>0</v>
      </c>
      <c r="B1541" s="233">
        <v>13</v>
      </c>
      <c r="C1541" s="233">
        <v>9</v>
      </c>
      <c r="D1541" s="234">
        <v>1</v>
      </c>
      <c r="E1541" s="234">
        <v>1</v>
      </c>
      <c r="G1541" s="508" t="s">
        <v>23</v>
      </c>
      <c r="H1541" s="493" t="s">
        <v>1238</v>
      </c>
      <c r="I1541" s="460" t="s">
        <v>4837</v>
      </c>
      <c r="J1541" s="495" t="s">
        <v>441</v>
      </c>
      <c r="K1541" s="496" t="s">
        <v>641</v>
      </c>
      <c r="L1541" s="497">
        <v>123.76999999999998</v>
      </c>
      <c r="M1541" s="497">
        <v>7.0658999999999992</v>
      </c>
      <c r="N1541" s="464">
        <v>874.54644299999995</v>
      </c>
      <c r="O1541" s="498" t="s">
        <v>2928</v>
      </c>
      <c r="P1541" s="431" t="s">
        <v>6711</v>
      </c>
    </row>
    <row r="1542" spans="1:16" ht="13.5" hidden="1" customHeight="1" outlineLevel="3" x14ac:dyDescent="0.2">
      <c r="A1542" s="233">
        <v>0</v>
      </c>
      <c r="B1542" s="233">
        <v>13</v>
      </c>
      <c r="C1542" s="233">
        <v>9</v>
      </c>
      <c r="D1542" s="234">
        <v>1</v>
      </c>
      <c r="E1542" s="234">
        <v>2</v>
      </c>
      <c r="G1542" s="508" t="s">
        <v>23</v>
      </c>
      <c r="H1542" s="493" t="s">
        <v>1238</v>
      </c>
      <c r="I1542" s="460" t="s">
        <v>4838</v>
      </c>
      <c r="J1542" s="495" t="s">
        <v>443</v>
      </c>
      <c r="K1542" s="496" t="s">
        <v>641</v>
      </c>
      <c r="L1542" s="497">
        <v>44.82</v>
      </c>
      <c r="M1542" s="497">
        <v>49.358499999999999</v>
      </c>
      <c r="N1542" s="464">
        <v>2212.2479699999999</v>
      </c>
      <c r="O1542" s="498" t="s">
        <v>2929</v>
      </c>
      <c r="P1542" s="431" t="s">
        <v>6711</v>
      </c>
    </row>
    <row r="1543" spans="1:16" ht="13.5" hidden="1" customHeight="1" outlineLevel="2" x14ac:dyDescent="0.2">
      <c r="A1543" s="233">
        <v>0</v>
      </c>
      <c r="B1543" s="233">
        <v>13</v>
      </c>
      <c r="C1543" s="233">
        <v>9</v>
      </c>
      <c r="D1543" s="234">
        <v>2</v>
      </c>
      <c r="E1543" s="234">
        <v>0</v>
      </c>
      <c r="G1543" s="507"/>
      <c r="H1543" s="487" t="s">
        <v>1237</v>
      </c>
      <c r="I1543" s="452" t="s">
        <v>4839</v>
      </c>
      <c r="J1543" s="489" t="s">
        <v>2925</v>
      </c>
      <c r="K1543" s="490"/>
      <c r="L1543" s="491"/>
      <c r="M1543" s="491"/>
      <c r="N1543" s="456">
        <v>5714.4672840000003</v>
      </c>
      <c r="O1543" s="492"/>
      <c r="P1543" s="430"/>
    </row>
    <row r="1544" spans="1:16" ht="13.5" hidden="1" customHeight="1" outlineLevel="3" x14ac:dyDescent="0.2">
      <c r="A1544" s="233">
        <v>0</v>
      </c>
      <c r="B1544" s="233">
        <v>13</v>
      </c>
      <c r="C1544" s="233">
        <v>9</v>
      </c>
      <c r="D1544" s="234">
        <v>2</v>
      </c>
      <c r="E1544" s="234">
        <v>1</v>
      </c>
      <c r="G1544" s="508" t="s">
        <v>23</v>
      </c>
      <c r="H1544" s="493" t="s">
        <v>1238</v>
      </c>
      <c r="I1544" s="460" t="s">
        <v>4840</v>
      </c>
      <c r="J1544" s="495" t="s">
        <v>2912</v>
      </c>
      <c r="K1544" s="496" t="s">
        <v>641</v>
      </c>
      <c r="L1544" s="497"/>
      <c r="M1544" s="497">
        <v>133.18049999999999</v>
      </c>
      <c r="N1544" s="464">
        <v>0</v>
      </c>
      <c r="O1544" s="498" t="s">
        <v>2914</v>
      </c>
      <c r="P1544" s="431" t="s">
        <v>6711</v>
      </c>
    </row>
    <row r="1545" spans="1:16" ht="13.5" hidden="1" customHeight="1" outlineLevel="3" x14ac:dyDescent="0.2">
      <c r="A1545" s="233">
        <v>0</v>
      </c>
      <c r="B1545" s="233">
        <v>13</v>
      </c>
      <c r="C1545" s="233">
        <v>9</v>
      </c>
      <c r="D1545" s="234">
        <v>2</v>
      </c>
      <c r="E1545" s="234">
        <v>2</v>
      </c>
      <c r="G1545" s="508" t="s">
        <v>23</v>
      </c>
      <c r="H1545" s="493" t="s">
        <v>1238</v>
      </c>
      <c r="I1545" s="460" t="s">
        <v>4841</v>
      </c>
      <c r="J1545" s="495" t="s">
        <v>2910</v>
      </c>
      <c r="K1545" s="496" t="s">
        <v>641</v>
      </c>
      <c r="L1545" s="497">
        <v>38.380000000000003</v>
      </c>
      <c r="M1545" s="497">
        <v>148.89179999999999</v>
      </c>
      <c r="N1545" s="464">
        <v>5714.4672840000003</v>
      </c>
      <c r="O1545" s="498" t="s">
        <v>2918</v>
      </c>
      <c r="P1545" s="431" t="s">
        <v>6711</v>
      </c>
    </row>
    <row r="1546" spans="1:16" ht="13.5" hidden="1" customHeight="1" outlineLevel="2" x14ac:dyDescent="0.2">
      <c r="A1546" s="233">
        <v>0</v>
      </c>
      <c r="B1546" s="233">
        <v>13</v>
      </c>
      <c r="C1546" s="233">
        <v>9</v>
      </c>
      <c r="D1546" s="234">
        <v>3</v>
      </c>
      <c r="E1546" s="234">
        <v>0</v>
      </c>
      <c r="G1546" s="507"/>
      <c r="H1546" s="487" t="s">
        <v>1237</v>
      </c>
      <c r="I1546" s="452" t="s">
        <v>4842</v>
      </c>
      <c r="J1546" s="489" t="s">
        <v>2924</v>
      </c>
      <c r="K1546" s="490"/>
      <c r="L1546" s="491"/>
      <c r="M1546" s="491"/>
      <c r="N1546" s="456">
        <v>11127.6923133333</v>
      </c>
      <c r="O1546" s="492"/>
      <c r="P1546" s="430"/>
    </row>
    <row r="1547" spans="1:16" ht="13.5" hidden="1" customHeight="1" outlineLevel="3" x14ac:dyDescent="0.2">
      <c r="A1547" s="233">
        <v>0</v>
      </c>
      <c r="B1547" s="233">
        <v>13</v>
      </c>
      <c r="C1547" s="233">
        <v>9</v>
      </c>
      <c r="D1547" s="234">
        <v>3</v>
      </c>
      <c r="E1547" s="234">
        <v>1</v>
      </c>
      <c r="G1547" s="508" t="s">
        <v>23</v>
      </c>
      <c r="H1547" s="493" t="s">
        <v>1238</v>
      </c>
      <c r="I1547" s="460" t="s">
        <v>4843</v>
      </c>
      <c r="J1547" s="495" t="s">
        <v>2907</v>
      </c>
      <c r="K1547" s="496" t="s">
        <v>641</v>
      </c>
      <c r="L1547" s="497">
        <v>103.00999999999999</v>
      </c>
      <c r="M1547" s="497">
        <v>34.058466666666661</v>
      </c>
      <c r="N1547" s="464">
        <v>3508.3626513333302</v>
      </c>
      <c r="O1547" s="498" t="s">
        <v>2916</v>
      </c>
      <c r="P1547" s="431" t="s">
        <v>6711</v>
      </c>
    </row>
    <row r="1548" spans="1:16" ht="13.5" hidden="1" customHeight="1" outlineLevel="3" x14ac:dyDescent="0.2">
      <c r="A1548" s="233">
        <v>0</v>
      </c>
      <c r="B1548" s="233">
        <v>13</v>
      </c>
      <c r="C1548" s="233">
        <v>9</v>
      </c>
      <c r="D1548" s="234">
        <v>3</v>
      </c>
      <c r="E1548" s="234">
        <v>2</v>
      </c>
      <c r="G1548" s="508" t="s">
        <v>23</v>
      </c>
      <c r="H1548" s="493" t="s">
        <v>1238</v>
      </c>
      <c r="I1548" s="460" t="s">
        <v>4844</v>
      </c>
      <c r="J1548" s="495" t="s">
        <v>2910</v>
      </c>
      <c r="K1548" s="496" t="s">
        <v>641</v>
      </c>
      <c r="L1548" s="497">
        <v>8.99</v>
      </c>
      <c r="M1548" s="497">
        <v>148.89179999999999</v>
      </c>
      <c r="N1548" s="464">
        <v>1338.537282</v>
      </c>
      <c r="O1548" s="498" t="s">
        <v>2917</v>
      </c>
      <c r="P1548" s="431" t="s">
        <v>6711</v>
      </c>
    </row>
    <row r="1549" spans="1:16" ht="13.5" hidden="1" customHeight="1" outlineLevel="3" x14ac:dyDescent="0.2">
      <c r="A1549" s="233">
        <v>0</v>
      </c>
      <c r="B1549" s="233">
        <v>13</v>
      </c>
      <c r="C1549" s="233">
        <v>9</v>
      </c>
      <c r="D1549" s="234">
        <v>3</v>
      </c>
      <c r="E1549" s="234">
        <v>3</v>
      </c>
      <c r="G1549" s="508" t="s">
        <v>23</v>
      </c>
      <c r="H1549" s="493" t="s">
        <v>1238</v>
      </c>
      <c r="I1549" s="460" t="s">
        <v>4845</v>
      </c>
      <c r="J1549" s="495" t="s">
        <v>2912</v>
      </c>
      <c r="K1549" s="496" t="s">
        <v>641</v>
      </c>
      <c r="L1549" s="497">
        <v>47.16</v>
      </c>
      <c r="M1549" s="497">
        <v>133.18049999999999</v>
      </c>
      <c r="N1549" s="464">
        <v>6280.7923799999999</v>
      </c>
      <c r="O1549" s="498" t="s">
        <v>2920</v>
      </c>
      <c r="P1549" s="431" t="s">
        <v>6711</v>
      </c>
    </row>
    <row r="1550" spans="1:16" ht="13.5" hidden="1" customHeight="1" outlineLevel="2" x14ac:dyDescent="0.2">
      <c r="A1550" s="233">
        <v>0</v>
      </c>
      <c r="B1550" s="233">
        <v>13</v>
      </c>
      <c r="C1550" s="233">
        <v>9</v>
      </c>
      <c r="D1550" s="234">
        <v>4</v>
      </c>
      <c r="E1550" s="234">
        <v>0</v>
      </c>
      <c r="G1550" s="507"/>
      <c r="H1550" s="487" t="s">
        <v>1237</v>
      </c>
      <c r="I1550" s="452" t="s">
        <v>4846</v>
      </c>
      <c r="J1550" s="489" t="s">
        <v>2318</v>
      </c>
      <c r="K1550" s="490"/>
      <c r="L1550" s="491"/>
      <c r="M1550" s="491"/>
      <c r="N1550" s="456">
        <v>1695.4304706666701</v>
      </c>
      <c r="O1550" s="492"/>
      <c r="P1550" s="430"/>
    </row>
    <row r="1551" spans="1:16" ht="13.5" hidden="1" customHeight="1" outlineLevel="3" x14ac:dyDescent="0.2">
      <c r="A1551" s="233">
        <v>0</v>
      </c>
      <c r="B1551" s="233">
        <v>13</v>
      </c>
      <c r="C1551" s="233">
        <v>9</v>
      </c>
      <c r="D1551" s="234">
        <v>4</v>
      </c>
      <c r="E1551" s="234">
        <v>1</v>
      </c>
      <c r="G1551" s="508" t="s">
        <v>23</v>
      </c>
      <c r="H1551" s="493" t="s">
        <v>1238</v>
      </c>
      <c r="I1551" s="460" t="s">
        <v>4847</v>
      </c>
      <c r="J1551" s="495" t="s">
        <v>2907</v>
      </c>
      <c r="K1551" s="496" t="s">
        <v>641</v>
      </c>
      <c r="L1551" s="497">
        <v>49.78</v>
      </c>
      <c r="M1551" s="497">
        <v>34.058466666666661</v>
      </c>
      <c r="N1551" s="464">
        <v>1695.4304706666701</v>
      </c>
      <c r="O1551" s="498"/>
      <c r="P1551" s="431" t="s">
        <v>6711</v>
      </c>
    </row>
    <row r="1552" spans="1:16" ht="13.5" hidden="1" customHeight="1" outlineLevel="2" x14ac:dyDescent="0.2">
      <c r="A1552" s="233">
        <v>0</v>
      </c>
      <c r="B1552" s="233">
        <v>13</v>
      </c>
      <c r="C1552" s="233">
        <v>9</v>
      </c>
      <c r="D1552" s="234">
        <v>5</v>
      </c>
      <c r="E1552" s="234">
        <v>0</v>
      </c>
      <c r="G1552" s="507"/>
      <c r="H1552" s="487" t="s">
        <v>1237</v>
      </c>
      <c r="I1552" s="452" t="s">
        <v>4848</v>
      </c>
      <c r="J1552" s="489" t="s">
        <v>2319</v>
      </c>
      <c r="K1552" s="490"/>
      <c r="L1552" s="491"/>
      <c r="M1552" s="491"/>
      <c r="N1552" s="456">
        <v>175.2003</v>
      </c>
      <c r="O1552" s="492"/>
      <c r="P1552" s="430"/>
    </row>
    <row r="1553" spans="1:16" ht="13.5" hidden="1" customHeight="1" outlineLevel="3" x14ac:dyDescent="0.2">
      <c r="A1553" s="233">
        <v>0</v>
      </c>
      <c r="B1553" s="233">
        <v>13</v>
      </c>
      <c r="C1553" s="233">
        <v>9</v>
      </c>
      <c r="D1553" s="234">
        <v>5</v>
      </c>
      <c r="E1553" s="234">
        <v>1</v>
      </c>
      <c r="G1553" s="508" t="s">
        <v>23</v>
      </c>
      <c r="H1553" s="493" t="s">
        <v>1238</v>
      </c>
      <c r="I1553" s="460" t="s">
        <v>4849</v>
      </c>
      <c r="J1553" s="495" t="s">
        <v>1616</v>
      </c>
      <c r="K1553" s="496" t="s">
        <v>533</v>
      </c>
      <c r="L1553" s="497">
        <v>20</v>
      </c>
      <c r="M1553" s="497">
        <v>8.760015000000001</v>
      </c>
      <c r="N1553" s="464">
        <v>175.2003</v>
      </c>
      <c r="O1553" s="498" t="s">
        <v>2943</v>
      </c>
      <c r="P1553" s="431" t="s">
        <v>6711</v>
      </c>
    </row>
    <row r="1554" spans="1:16" ht="13.5" hidden="1" customHeight="1" outlineLevel="2" x14ac:dyDescent="0.2">
      <c r="A1554" s="233">
        <v>0</v>
      </c>
      <c r="B1554" s="233">
        <v>13</v>
      </c>
      <c r="C1554" s="233">
        <v>9</v>
      </c>
      <c r="D1554" s="234">
        <v>6</v>
      </c>
      <c r="E1554" s="234">
        <v>0</v>
      </c>
      <c r="G1554" s="507"/>
      <c r="H1554" s="487" t="s">
        <v>1237</v>
      </c>
      <c r="I1554" s="452" t="s">
        <v>4850</v>
      </c>
      <c r="J1554" s="489" t="s">
        <v>1247</v>
      </c>
      <c r="K1554" s="490"/>
      <c r="L1554" s="491"/>
      <c r="M1554" s="491"/>
      <c r="N1554" s="456">
        <v>14045.12</v>
      </c>
      <c r="O1554" s="492"/>
      <c r="P1554" s="430"/>
    </row>
    <row r="1555" spans="1:16" ht="13.5" hidden="1" customHeight="1" outlineLevel="3" x14ac:dyDescent="0.2">
      <c r="A1555" s="233">
        <v>0</v>
      </c>
      <c r="B1555" s="233">
        <v>13</v>
      </c>
      <c r="C1555" s="233">
        <v>9</v>
      </c>
      <c r="D1555" s="234">
        <v>6</v>
      </c>
      <c r="E1555" s="234">
        <v>1</v>
      </c>
      <c r="G1555" s="508" t="s">
        <v>23</v>
      </c>
      <c r="H1555" s="493" t="s">
        <v>1238</v>
      </c>
      <c r="I1555" s="460" t="s">
        <v>4851</v>
      </c>
      <c r="J1555" s="495" t="s">
        <v>469</v>
      </c>
      <c r="K1555" s="496" t="s">
        <v>641</v>
      </c>
      <c r="L1555" s="497">
        <v>123.76999999999998</v>
      </c>
      <c r="M1555" s="497">
        <v>20</v>
      </c>
      <c r="N1555" s="464">
        <v>2475.4</v>
      </c>
      <c r="O1555" s="498"/>
      <c r="P1555" s="431" t="s">
        <v>6711</v>
      </c>
    </row>
    <row r="1556" spans="1:16" ht="13.5" hidden="1" customHeight="1" outlineLevel="3" x14ac:dyDescent="0.2">
      <c r="A1556" s="233">
        <v>0</v>
      </c>
      <c r="B1556" s="233">
        <v>13</v>
      </c>
      <c r="C1556" s="233">
        <v>9</v>
      </c>
      <c r="D1556" s="234">
        <v>6</v>
      </c>
      <c r="E1556" s="234">
        <v>2</v>
      </c>
      <c r="G1556" s="508" t="s">
        <v>23</v>
      </c>
      <c r="H1556" s="493" t="s">
        <v>1238</v>
      </c>
      <c r="I1556" s="460" t="s">
        <v>4852</v>
      </c>
      <c r="J1556" s="495" t="s">
        <v>470</v>
      </c>
      <c r="K1556" s="496" t="s">
        <v>641</v>
      </c>
      <c r="L1556" s="497">
        <v>44.82</v>
      </c>
      <c r="M1556" s="497">
        <v>35</v>
      </c>
      <c r="N1556" s="464">
        <v>1568.7</v>
      </c>
      <c r="O1556" s="498"/>
      <c r="P1556" s="431" t="s">
        <v>6711</v>
      </c>
    </row>
    <row r="1557" spans="1:16" ht="13.5" hidden="1" customHeight="1" outlineLevel="3" x14ac:dyDescent="0.2">
      <c r="A1557" s="233">
        <v>0</v>
      </c>
      <c r="B1557" s="233">
        <v>13</v>
      </c>
      <c r="C1557" s="233">
        <v>9</v>
      </c>
      <c r="D1557" s="234">
        <v>6</v>
      </c>
      <c r="E1557" s="234">
        <v>3</v>
      </c>
      <c r="G1557" s="508" t="s">
        <v>23</v>
      </c>
      <c r="H1557" s="493" t="s">
        <v>1238</v>
      </c>
      <c r="I1557" s="460" t="s">
        <v>4853</v>
      </c>
      <c r="J1557" s="495" t="s">
        <v>2931</v>
      </c>
      <c r="K1557" s="496" t="s">
        <v>641</v>
      </c>
      <c r="L1557" s="497">
        <v>152.79</v>
      </c>
      <c r="M1557" s="497">
        <v>32</v>
      </c>
      <c r="N1557" s="464">
        <v>4889.28</v>
      </c>
      <c r="O1557" s="498"/>
      <c r="P1557" s="431" t="s">
        <v>6711</v>
      </c>
    </row>
    <row r="1558" spans="1:16" ht="13.5" hidden="1" customHeight="1" outlineLevel="3" x14ac:dyDescent="0.2">
      <c r="A1558" s="233">
        <v>0</v>
      </c>
      <c r="B1558" s="233">
        <v>13</v>
      </c>
      <c r="C1558" s="233">
        <v>9</v>
      </c>
      <c r="D1558" s="234">
        <v>6</v>
      </c>
      <c r="E1558" s="234">
        <v>4</v>
      </c>
      <c r="G1558" s="508" t="s">
        <v>23</v>
      </c>
      <c r="H1558" s="493" t="s">
        <v>1238</v>
      </c>
      <c r="I1558" s="460" t="s">
        <v>4854</v>
      </c>
      <c r="J1558" s="495" t="s">
        <v>2935</v>
      </c>
      <c r="K1558" s="496" t="s">
        <v>641</v>
      </c>
      <c r="L1558" s="497">
        <v>47.16</v>
      </c>
      <c r="M1558" s="497">
        <v>45</v>
      </c>
      <c r="N1558" s="464">
        <v>2122.1999999999998</v>
      </c>
      <c r="O1558" s="498"/>
      <c r="P1558" s="431" t="s">
        <v>6711</v>
      </c>
    </row>
    <row r="1559" spans="1:16" ht="13.5" hidden="1" customHeight="1" outlineLevel="3" x14ac:dyDescent="0.2">
      <c r="A1559" s="233">
        <v>0</v>
      </c>
      <c r="B1559" s="233">
        <v>13</v>
      </c>
      <c r="C1559" s="233">
        <v>9</v>
      </c>
      <c r="D1559" s="234">
        <v>6</v>
      </c>
      <c r="E1559" s="234">
        <v>5</v>
      </c>
      <c r="G1559" s="508" t="s">
        <v>23</v>
      </c>
      <c r="H1559" s="493" t="s">
        <v>1238</v>
      </c>
      <c r="I1559" s="460" t="s">
        <v>4855</v>
      </c>
      <c r="J1559" s="495" t="s">
        <v>2938</v>
      </c>
      <c r="K1559" s="496" t="s">
        <v>641</v>
      </c>
      <c r="L1559" s="497">
        <v>47.370000000000005</v>
      </c>
      <c r="M1559" s="497">
        <v>42</v>
      </c>
      <c r="N1559" s="464">
        <v>1989.54</v>
      </c>
      <c r="O1559" s="498"/>
      <c r="P1559" s="431" t="s">
        <v>6711</v>
      </c>
    </row>
    <row r="1560" spans="1:16" ht="13.5" hidden="1" customHeight="1" outlineLevel="3" x14ac:dyDescent="0.2">
      <c r="A1560" s="233">
        <v>0</v>
      </c>
      <c r="B1560" s="233">
        <v>13</v>
      </c>
      <c r="C1560" s="233">
        <v>9</v>
      </c>
      <c r="D1560" s="234">
        <v>6</v>
      </c>
      <c r="E1560" s="234">
        <v>6</v>
      </c>
      <c r="G1560" s="508" t="s">
        <v>23</v>
      </c>
      <c r="H1560" s="493" t="s">
        <v>1238</v>
      </c>
      <c r="I1560" s="460" t="s">
        <v>4856</v>
      </c>
      <c r="J1560" s="461" t="s">
        <v>477</v>
      </c>
      <c r="K1560" s="496" t="s">
        <v>533</v>
      </c>
      <c r="L1560" s="497">
        <v>20</v>
      </c>
      <c r="M1560" s="497">
        <v>50</v>
      </c>
      <c r="N1560" s="464">
        <v>1000</v>
      </c>
      <c r="O1560" s="498"/>
      <c r="P1560" s="431" t="s">
        <v>6711</v>
      </c>
    </row>
    <row r="1561" spans="1:16" ht="13.5" hidden="1" customHeight="1" outlineLevel="1" x14ac:dyDescent="0.2">
      <c r="A1561" s="233">
        <v>0</v>
      </c>
      <c r="B1561" s="233">
        <v>13</v>
      </c>
      <c r="C1561" s="233">
        <v>10</v>
      </c>
      <c r="D1561" s="234">
        <v>0</v>
      </c>
      <c r="E1561" s="234">
        <v>6</v>
      </c>
      <c r="G1561" s="506"/>
      <c r="H1561" s="481" t="s">
        <v>38</v>
      </c>
      <c r="I1561" s="445" t="s">
        <v>4857</v>
      </c>
      <c r="J1561" s="483" t="s">
        <v>2368</v>
      </c>
      <c r="K1561" s="484"/>
      <c r="L1561" s="485"/>
      <c r="M1561" s="485"/>
      <c r="N1561" s="449">
        <v>161272.162232</v>
      </c>
      <c r="O1561" s="486">
        <v>9.6283784833969897</v>
      </c>
      <c r="P1561" s="429"/>
    </row>
    <row r="1562" spans="1:16" ht="13.5" hidden="1" customHeight="1" outlineLevel="2" x14ac:dyDescent="0.2">
      <c r="A1562" s="233">
        <v>0</v>
      </c>
      <c r="B1562" s="233">
        <v>13</v>
      </c>
      <c r="C1562" s="233">
        <v>10</v>
      </c>
      <c r="D1562" s="234">
        <v>1</v>
      </c>
      <c r="E1562" s="234">
        <v>0</v>
      </c>
      <c r="G1562" s="507"/>
      <c r="H1562" s="487" t="s">
        <v>1237</v>
      </c>
      <c r="I1562" s="452" t="s">
        <v>4858</v>
      </c>
      <c r="J1562" s="489" t="s">
        <v>24</v>
      </c>
      <c r="K1562" s="490"/>
      <c r="L1562" s="491"/>
      <c r="M1562" s="491"/>
      <c r="N1562" s="456">
        <v>3499.5989519999998</v>
      </c>
      <c r="O1562" s="492">
        <v>0.208935397055584</v>
      </c>
      <c r="P1562" s="430"/>
    </row>
    <row r="1563" spans="1:16" ht="13.5" hidden="1" customHeight="1" outlineLevel="3" x14ac:dyDescent="0.2">
      <c r="A1563" s="233">
        <v>0</v>
      </c>
      <c r="B1563" s="233">
        <v>13</v>
      </c>
      <c r="C1563" s="233">
        <v>10</v>
      </c>
      <c r="D1563" s="234">
        <v>1</v>
      </c>
      <c r="E1563" s="234">
        <v>1</v>
      </c>
      <c r="G1563" s="508" t="s">
        <v>23</v>
      </c>
      <c r="H1563" s="493" t="s">
        <v>1238</v>
      </c>
      <c r="I1563" s="460" t="s">
        <v>4859</v>
      </c>
      <c r="J1563" s="495" t="s">
        <v>441</v>
      </c>
      <c r="K1563" s="496" t="s">
        <v>641</v>
      </c>
      <c r="L1563" s="497">
        <v>495.28000000000003</v>
      </c>
      <c r="M1563" s="497">
        <v>7.0658999999999992</v>
      </c>
      <c r="N1563" s="464">
        <v>3499.5989519999998</v>
      </c>
      <c r="O1563" s="498" t="s">
        <v>2928</v>
      </c>
      <c r="P1563" s="431" t="s">
        <v>6711</v>
      </c>
    </row>
    <row r="1564" spans="1:16" ht="13.5" hidden="1" customHeight="1" outlineLevel="2" x14ac:dyDescent="0.2">
      <c r="A1564" s="233">
        <v>0</v>
      </c>
      <c r="B1564" s="233">
        <v>13</v>
      </c>
      <c r="C1564" s="233">
        <v>10</v>
      </c>
      <c r="D1564" s="234">
        <v>2</v>
      </c>
      <c r="E1564" s="234">
        <v>0</v>
      </c>
      <c r="G1564" s="507"/>
      <c r="H1564" s="487" t="s">
        <v>1237</v>
      </c>
      <c r="I1564" s="452" t="s">
        <v>4860</v>
      </c>
      <c r="J1564" s="489" t="s">
        <v>2925</v>
      </c>
      <c r="K1564" s="490"/>
      <c r="L1564" s="491"/>
      <c r="M1564" s="491"/>
      <c r="N1564" s="456">
        <v>23858.422031999999</v>
      </c>
      <c r="O1564" s="492"/>
      <c r="P1564" s="430"/>
    </row>
    <row r="1565" spans="1:16" ht="13.5" hidden="1" customHeight="1" outlineLevel="3" x14ac:dyDescent="0.2">
      <c r="A1565" s="233">
        <v>0</v>
      </c>
      <c r="B1565" s="233">
        <v>13</v>
      </c>
      <c r="C1565" s="233">
        <v>10</v>
      </c>
      <c r="D1565" s="234">
        <v>2</v>
      </c>
      <c r="E1565" s="234">
        <v>1</v>
      </c>
      <c r="G1565" s="508" t="s">
        <v>23</v>
      </c>
      <c r="H1565" s="493" t="s">
        <v>1238</v>
      </c>
      <c r="I1565" s="460" t="s">
        <v>4861</v>
      </c>
      <c r="J1565" s="495" t="s">
        <v>2910</v>
      </c>
      <c r="K1565" s="496" t="s">
        <v>641</v>
      </c>
      <c r="L1565" s="497">
        <v>160.24</v>
      </c>
      <c r="M1565" s="497">
        <v>148.89179999999999</v>
      </c>
      <c r="N1565" s="464">
        <v>23858.422031999999</v>
      </c>
      <c r="O1565" s="498" t="s">
        <v>2918</v>
      </c>
      <c r="P1565" s="431" t="s">
        <v>6711</v>
      </c>
    </row>
    <row r="1566" spans="1:16" ht="13.5" hidden="1" customHeight="1" outlineLevel="2" x14ac:dyDescent="0.2">
      <c r="A1566" s="233">
        <v>0</v>
      </c>
      <c r="B1566" s="233">
        <v>13</v>
      </c>
      <c r="C1566" s="233">
        <v>10</v>
      </c>
      <c r="D1566" s="234">
        <v>3</v>
      </c>
      <c r="E1566" s="234">
        <v>0</v>
      </c>
      <c r="G1566" s="507"/>
      <c r="H1566" s="487" t="s">
        <v>1237</v>
      </c>
      <c r="I1566" s="452" t="s">
        <v>4862</v>
      </c>
      <c r="J1566" s="489" t="s">
        <v>2924</v>
      </c>
      <c r="K1566" s="490"/>
      <c r="L1566" s="491"/>
      <c r="M1566" s="491"/>
      <c r="N1566" s="456">
        <v>47660.958997333299</v>
      </c>
      <c r="O1566" s="492"/>
      <c r="P1566" s="430"/>
    </row>
    <row r="1567" spans="1:16" ht="13.5" hidden="1" customHeight="1" outlineLevel="3" x14ac:dyDescent="0.2">
      <c r="A1567" s="233">
        <v>0</v>
      </c>
      <c r="B1567" s="233">
        <v>13</v>
      </c>
      <c r="C1567" s="233">
        <v>10</v>
      </c>
      <c r="D1567" s="234">
        <v>3</v>
      </c>
      <c r="E1567" s="234">
        <v>1</v>
      </c>
      <c r="G1567" s="508" t="s">
        <v>23</v>
      </c>
      <c r="H1567" s="493" t="s">
        <v>1238</v>
      </c>
      <c r="I1567" s="460" t="s">
        <v>4863</v>
      </c>
      <c r="J1567" s="495" t="s">
        <v>2907</v>
      </c>
      <c r="K1567" s="496" t="s">
        <v>641</v>
      </c>
      <c r="L1567" s="497">
        <v>794.00000000000011</v>
      </c>
      <c r="M1567" s="497">
        <v>34.058466666666661</v>
      </c>
      <c r="N1567" s="464">
        <v>27042.422533333302</v>
      </c>
      <c r="O1567" s="498" t="s">
        <v>2916</v>
      </c>
      <c r="P1567" s="431" t="s">
        <v>6711</v>
      </c>
    </row>
    <row r="1568" spans="1:16" ht="13.5" hidden="1" customHeight="1" outlineLevel="3" x14ac:dyDescent="0.2">
      <c r="A1568" s="233">
        <v>0</v>
      </c>
      <c r="B1568" s="233">
        <v>13</v>
      </c>
      <c r="C1568" s="233">
        <v>10</v>
      </c>
      <c r="D1568" s="234">
        <v>3</v>
      </c>
      <c r="E1568" s="234">
        <v>2</v>
      </c>
      <c r="G1568" s="508" t="s">
        <v>23</v>
      </c>
      <c r="H1568" s="493" t="s">
        <v>1238</v>
      </c>
      <c r="I1568" s="460" t="s">
        <v>4864</v>
      </c>
      <c r="J1568" s="495" t="s">
        <v>2910</v>
      </c>
      <c r="K1568" s="496" t="s">
        <v>641</v>
      </c>
      <c r="L1568" s="497">
        <v>138.47999999999999</v>
      </c>
      <c r="M1568" s="497">
        <v>148.89179999999999</v>
      </c>
      <c r="N1568" s="464">
        <v>20618.536464000001</v>
      </c>
      <c r="O1568" s="498" t="s">
        <v>2917</v>
      </c>
      <c r="P1568" s="431" t="s">
        <v>6711</v>
      </c>
    </row>
    <row r="1569" spans="1:16" ht="13.5" hidden="1" customHeight="1" outlineLevel="2" x14ac:dyDescent="0.2">
      <c r="A1569" s="233">
        <v>0</v>
      </c>
      <c r="B1569" s="233">
        <v>13</v>
      </c>
      <c r="C1569" s="233">
        <v>10</v>
      </c>
      <c r="D1569" s="234">
        <v>4</v>
      </c>
      <c r="E1569" s="234">
        <v>0</v>
      </c>
      <c r="G1569" s="507"/>
      <c r="H1569" s="487" t="s">
        <v>1237</v>
      </c>
      <c r="I1569" s="452" t="s">
        <v>4865</v>
      </c>
      <c r="J1569" s="489" t="s">
        <v>2318</v>
      </c>
      <c r="K1569" s="490"/>
      <c r="L1569" s="491"/>
      <c r="M1569" s="491"/>
      <c r="N1569" s="456">
        <v>14947.5798506667</v>
      </c>
      <c r="O1569" s="492"/>
      <c r="P1569" s="430"/>
    </row>
    <row r="1570" spans="1:16" ht="13.5" hidden="1" customHeight="1" outlineLevel="3" x14ac:dyDescent="0.2">
      <c r="A1570" s="233">
        <v>0</v>
      </c>
      <c r="B1570" s="233">
        <v>13</v>
      </c>
      <c r="C1570" s="233">
        <v>10</v>
      </c>
      <c r="D1570" s="234">
        <v>4</v>
      </c>
      <c r="E1570" s="234">
        <v>1</v>
      </c>
      <c r="G1570" s="508" t="s">
        <v>23</v>
      </c>
      <c r="H1570" s="493" t="s">
        <v>1238</v>
      </c>
      <c r="I1570" s="460" t="s">
        <v>4866</v>
      </c>
      <c r="J1570" s="495" t="s">
        <v>2907</v>
      </c>
      <c r="K1570" s="496" t="s">
        <v>641</v>
      </c>
      <c r="L1570" s="497">
        <v>438.88</v>
      </c>
      <c r="M1570" s="497">
        <v>34.058466666666661</v>
      </c>
      <c r="N1570" s="464">
        <v>14947.5798506667</v>
      </c>
      <c r="O1570" s="498"/>
      <c r="P1570" s="431" t="s">
        <v>6711</v>
      </c>
    </row>
    <row r="1571" spans="1:16" ht="13.5" hidden="1" customHeight="1" outlineLevel="2" x14ac:dyDescent="0.2">
      <c r="A1571" s="233">
        <v>0</v>
      </c>
      <c r="B1571" s="233">
        <v>13</v>
      </c>
      <c r="C1571" s="233">
        <v>10</v>
      </c>
      <c r="D1571" s="234">
        <v>5</v>
      </c>
      <c r="E1571" s="234">
        <v>0</v>
      </c>
      <c r="G1571" s="507"/>
      <c r="H1571" s="487" t="s">
        <v>1237</v>
      </c>
      <c r="I1571" s="452" t="s">
        <v>4867</v>
      </c>
      <c r="J1571" s="489" t="s">
        <v>2319</v>
      </c>
      <c r="K1571" s="490"/>
      <c r="L1571" s="491"/>
      <c r="M1571" s="491"/>
      <c r="N1571" s="456">
        <v>1401.6024</v>
      </c>
      <c r="O1571" s="492"/>
      <c r="P1571" s="430"/>
    </row>
    <row r="1572" spans="1:16" ht="13.5" hidden="1" customHeight="1" outlineLevel="3" x14ac:dyDescent="0.2">
      <c r="A1572" s="233">
        <v>0</v>
      </c>
      <c r="B1572" s="233">
        <v>13</v>
      </c>
      <c r="C1572" s="233">
        <v>10</v>
      </c>
      <c r="D1572" s="234">
        <v>5</v>
      </c>
      <c r="E1572" s="234">
        <v>1</v>
      </c>
      <c r="G1572" s="508" t="s">
        <v>23</v>
      </c>
      <c r="H1572" s="493" t="s">
        <v>1238</v>
      </c>
      <c r="I1572" s="460" t="s">
        <v>4868</v>
      </c>
      <c r="J1572" s="495" t="s">
        <v>1616</v>
      </c>
      <c r="K1572" s="496" t="s">
        <v>533</v>
      </c>
      <c r="L1572" s="497">
        <v>160</v>
      </c>
      <c r="M1572" s="497">
        <v>8.760015000000001</v>
      </c>
      <c r="N1572" s="464">
        <v>1401.6024</v>
      </c>
      <c r="O1572" s="498" t="s">
        <v>2943</v>
      </c>
      <c r="P1572" s="431" t="s">
        <v>6711</v>
      </c>
    </row>
    <row r="1573" spans="1:16" ht="13.5" hidden="1" customHeight="1" outlineLevel="2" x14ac:dyDescent="0.2">
      <c r="A1573" s="233">
        <v>0</v>
      </c>
      <c r="B1573" s="233">
        <v>13</v>
      </c>
      <c r="C1573" s="233">
        <v>10</v>
      </c>
      <c r="D1573" s="234">
        <v>6</v>
      </c>
      <c r="E1573" s="234">
        <v>0</v>
      </c>
      <c r="G1573" s="507"/>
      <c r="H1573" s="487" t="s">
        <v>1237</v>
      </c>
      <c r="I1573" s="452" t="s">
        <v>4869</v>
      </c>
      <c r="J1573" s="489" t="s">
        <v>1247</v>
      </c>
      <c r="K1573" s="490"/>
      <c r="L1573" s="491"/>
      <c r="M1573" s="491"/>
      <c r="N1573" s="456">
        <v>69904</v>
      </c>
      <c r="O1573" s="492"/>
      <c r="P1573" s="430"/>
    </row>
    <row r="1574" spans="1:16" ht="13.5" hidden="1" customHeight="1" outlineLevel="3" x14ac:dyDescent="0.2">
      <c r="A1574" s="233">
        <v>0</v>
      </c>
      <c r="B1574" s="233">
        <v>13</v>
      </c>
      <c r="C1574" s="233">
        <v>10</v>
      </c>
      <c r="D1574" s="234">
        <v>6</v>
      </c>
      <c r="E1574" s="234">
        <v>1</v>
      </c>
      <c r="G1574" s="508" t="s">
        <v>23</v>
      </c>
      <c r="H1574" s="493" t="s">
        <v>1238</v>
      </c>
      <c r="I1574" s="460" t="s">
        <v>4870</v>
      </c>
      <c r="J1574" s="495" t="s">
        <v>469</v>
      </c>
      <c r="K1574" s="496" t="s">
        <v>641</v>
      </c>
      <c r="L1574" s="497">
        <v>495.28000000000003</v>
      </c>
      <c r="M1574" s="497">
        <v>20</v>
      </c>
      <c r="N1574" s="464">
        <v>9905.6</v>
      </c>
      <c r="O1574" s="498"/>
      <c r="P1574" s="431" t="s">
        <v>6711</v>
      </c>
    </row>
    <row r="1575" spans="1:16" ht="13.5" hidden="1" customHeight="1" outlineLevel="3" x14ac:dyDescent="0.2">
      <c r="A1575" s="233">
        <v>0</v>
      </c>
      <c r="B1575" s="233">
        <v>13</v>
      </c>
      <c r="C1575" s="233">
        <v>10</v>
      </c>
      <c r="D1575" s="234">
        <v>6</v>
      </c>
      <c r="E1575" s="234">
        <v>2</v>
      </c>
      <c r="G1575" s="508" t="s">
        <v>23</v>
      </c>
      <c r="H1575" s="493" t="s">
        <v>1238</v>
      </c>
      <c r="I1575" s="460" t="s">
        <v>4871</v>
      </c>
      <c r="J1575" s="495" t="s">
        <v>2931</v>
      </c>
      <c r="K1575" s="496" t="s">
        <v>641</v>
      </c>
      <c r="L1575" s="497">
        <v>1232.8800000000001</v>
      </c>
      <c r="M1575" s="497">
        <v>32</v>
      </c>
      <c r="N1575" s="464">
        <v>39452.160000000003</v>
      </c>
      <c r="O1575" s="498"/>
      <c r="P1575" s="431" t="s">
        <v>6711</v>
      </c>
    </row>
    <row r="1576" spans="1:16" ht="13.5" hidden="1" customHeight="1" outlineLevel="3" x14ac:dyDescent="0.2">
      <c r="A1576" s="233">
        <v>0</v>
      </c>
      <c r="B1576" s="233">
        <v>13</v>
      </c>
      <c r="C1576" s="233">
        <v>10</v>
      </c>
      <c r="D1576" s="234">
        <v>6</v>
      </c>
      <c r="E1576" s="234">
        <v>3</v>
      </c>
      <c r="G1576" s="508" t="s">
        <v>23</v>
      </c>
      <c r="H1576" s="493" t="s">
        <v>1238</v>
      </c>
      <c r="I1576" s="460" t="s">
        <v>4872</v>
      </c>
      <c r="J1576" s="495" t="s">
        <v>2938</v>
      </c>
      <c r="K1576" s="496" t="s">
        <v>641</v>
      </c>
      <c r="L1576" s="497">
        <v>298.72000000000003</v>
      </c>
      <c r="M1576" s="497">
        <v>42</v>
      </c>
      <c r="N1576" s="464">
        <v>12546.24</v>
      </c>
      <c r="O1576" s="498"/>
      <c r="P1576" s="431" t="s">
        <v>6711</v>
      </c>
    </row>
    <row r="1577" spans="1:16" ht="13.5" hidden="1" customHeight="1" outlineLevel="3" x14ac:dyDescent="0.2">
      <c r="A1577" s="233">
        <v>0</v>
      </c>
      <c r="B1577" s="233">
        <v>13</v>
      </c>
      <c r="C1577" s="233">
        <v>10</v>
      </c>
      <c r="D1577" s="234">
        <v>6</v>
      </c>
      <c r="E1577" s="234">
        <v>4</v>
      </c>
      <c r="G1577" s="508" t="s">
        <v>23</v>
      </c>
      <c r="H1577" s="493" t="s">
        <v>1238</v>
      </c>
      <c r="I1577" s="460" t="s">
        <v>4873</v>
      </c>
      <c r="J1577" s="461" t="s">
        <v>477</v>
      </c>
      <c r="K1577" s="496" t="s">
        <v>533</v>
      </c>
      <c r="L1577" s="497">
        <v>160</v>
      </c>
      <c r="M1577" s="497">
        <v>50</v>
      </c>
      <c r="N1577" s="464">
        <v>8000</v>
      </c>
      <c r="O1577" s="498"/>
      <c r="P1577" s="431" t="s">
        <v>6711</v>
      </c>
    </row>
    <row r="1578" spans="1:16" ht="13.5" hidden="1" customHeight="1" outlineLevel="1" x14ac:dyDescent="0.2">
      <c r="A1578" s="233">
        <v>0</v>
      </c>
      <c r="B1578" s="233">
        <v>13</v>
      </c>
      <c r="C1578" s="233">
        <v>11</v>
      </c>
      <c r="D1578" s="234">
        <v>0</v>
      </c>
      <c r="E1578" s="234">
        <v>4</v>
      </c>
      <c r="G1578" s="506"/>
      <c r="H1578" s="481" t="s">
        <v>38</v>
      </c>
      <c r="I1578" s="445" t="s">
        <v>4874</v>
      </c>
      <c r="J1578" s="483" t="s">
        <v>2369</v>
      </c>
      <c r="K1578" s="484"/>
      <c r="L1578" s="485"/>
      <c r="M1578" s="485"/>
      <c r="N1578" s="449">
        <v>345442.800552</v>
      </c>
      <c r="O1578" s="486">
        <v>20.623857099990602</v>
      </c>
      <c r="P1578" s="429"/>
    </row>
    <row r="1579" spans="1:16" ht="13.5" hidden="1" customHeight="1" outlineLevel="2" x14ac:dyDescent="0.2">
      <c r="A1579" s="233">
        <v>0</v>
      </c>
      <c r="B1579" s="233">
        <v>13</v>
      </c>
      <c r="C1579" s="233">
        <v>11</v>
      </c>
      <c r="D1579" s="234">
        <v>1</v>
      </c>
      <c r="E1579" s="234">
        <v>0</v>
      </c>
      <c r="G1579" s="507"/>
      <c r="H1579" s="487" t="s">
        <v>1237</v>
      </c>
      <c r="I1579" s="452" t="s">
        <v>4875</v>
      </c>
      <c r="J1579" s="489" t="s">
        <v>24</v>
      </c>
      <c r="K1579" s="490"/>
      <c r="L1579" s="491"/>
      <c r="M1579" s="491"/>
      <c r="N1579" s="456">
        <v>12669.457634</v>
      </c>
      <c r="O1579" s="492">
        <v>0.75640043260553802</v>
      </c>
      <c r="P1579" s="430"/>
    </row>
    <row r="1580" spans="1:16" ht="13.5" hidden="1" customHeight="1" outlineLevel="3" x14ac:dyDescent="0.2">
      <c r="A1580" s="233">
        <v>0</v>
      </c>
      <c r="B1580" s="233">
        <v>13</v>
      </c>
      <c r="C1580" s="233">
        <v>11</v>
      </c>
      <c r="D1580" s="234">
        <v>1</v>
      </c>
      <c r="E1580" s="234">
        <v>1</v>
      </c>
      <c r="G1580" s="508" t="s">
        <v>23</v>
      </c>
      <c r="H1580" s="493" t="s">
        <v>1238</v>
      </c>
      <c r="I1580" s="460" t="s">
        <v>4876</v>
      </c>
      <c r="J1580" s="495" t="s">
        <v>441</v>
      </c>
      <c r="K1580" s="496" t="s">
        <v>641</v>
      </c>
      <c r="L1580" s="497">
        <v>977.90999999999985</v>
      </c>
      <c r="M1580" s="497">
        <v>7.0658999999999992</v>
      </c>
      <c r="N1580" s="464">
        <v>6909.8142690000004</v>
      </c>
      <c r="O1580" s="498" t="s">
        <v>2928</v>
      </c>
      <c r="P1580" s="431" t="s">
        <v>6711</v>
      </c>
    </row>
    <row r="1581" spans="1:16" ht="13.5" hidden="1" customHeight="1" outlineLevel="3" x14ac:dyDescent="0.2">
      <c r="A1581" s="233">
        <v>0</v>
      </c>
      <c r="B1581" s="233">
        <v>13</v>
      </c>
      <c r="C1581" s="233">
        <v>11</v>
      </c>
      <c r="D1581" s="234">
        <v>1</v>
      </c>
      <c r="E1581" s="234">
        <v>2</v>
      </c>
      <c r="G1581" s="508" t="s">
        <v>23</v>
      </c>
      <c r="H1581" s="493" t="s">
        <v>1238</v>
      </c>
      <c r="I1581" s="460" t="s">
        <v>4877</v>
      </c>
      <c r="J1581" s="495" t="s">
        <v>443</v>
      </c>
      <c r="K1581" s="496" t="s">
        <v>641</v>
      </c>
      <c r="L1581" s="497">
        <v>116.68999999999996</v>
      </c>
      <c r="M1581" s="497">
        <v>49.358499999999999</v>
      </c>
      <c r="N1581" s="464">
        <v>5759.6433649999999</v>
      </c>
      <c r="O1581" s="498" t="s">
        <v>2929</v>
      </c>
      <c r="P1581" s="431" t="s">
        <v>6711</v>
      </c>
    </row>
    <row r="1582" spans="1:16" ht="13.5" hidden="1" customHeight="1" outlineLevel="2" x14ac:dyDescent="0.2">
      <c r="A1582" s="233">
        <v>0</v>
      </c>
      <c r="B1582" s="233">
        <v>13</v>
      </c>
      <c r="C1582" s="233">
        <v>11</v>
      </c>
      <c r="D1582" s="234">
        <v>2</v>
      </c>
      <c r="E1582" s="234">
        <v>0</v>
      </c>
      <c r="G1582" s="507"/>
      <c r="H1582" s="487" t="s">
        <v>1237</v>
      </c>
      <c r="I1582" s="452" t="s">
        <v>4878</v>
      </c>
      <c r="J1582" s="489" t="s">
        <v>2925</v>
      </c>
      <c r="K1582" s="490"/>
      <c r="L1582" s="491"/>
      <c r="M1582" s="491"/>
      <c r="N1582" s="456">
        <v>16247.073216000001</v>
      </c>
      <c r="O1582" s="492"/>
      <c r="P1582" s="430"/>
    </row>
    <row r="1583" spans="1:16" ht="13.5" hidden="1" customHeight="1" outlineLevel="3" x14ac:dyDescent="0.2">
      <c r="A1583" s="233">
        <v>0</v>
      </c>
      <c r="B1583" s="233">
        <v>13</v>
      </c>
      <c r="C1583" s="233">
        <v>11</v>
      </c>
      <c r="D1583" s="234">
        <v>2</v>
      </c>
      <c r="E1583" s="234">
        <v>1</v>
      </c>
      <c r="G1583" s="508" t="s">
        <v>23</v>
      </c>
      <c r="H1583" s="493" t="s">
        <v>1238</v>
      </c>
      <c r="I1583" s="460" t="s">
        <v>4879</v>
      </c>
      <c r="J1583" s="495" t="s">
        <v>2910</v>
      </c>
      <c r="K1583" s="496" t="s">
        <v>641</v>
      </c>
      <c r="L1583" s="497">
        <v>109.12</v>
      </c>
      <c r="M1583" s="497">
        <v>148.89179999999999</v>
      </c>
      <c r="N1583" s="464">
        <v>16247.073216000001</v>
      </c>
      <c r="O1583" s="498" t="s">
        <v>2918</v>
      </c>
      <c r="P1583" s="431" t="s">
        <v>6711</v>
      </c>
    </row>
    <row r="1584" spans="1:16" ht="13.5" hidden="1" customHeight="1" outlineLevel="2" x14ac:dyDescent="0.2">
      <c r="A1584" s="233">
        <v>0</v>
      </c>
      <c r="B1584" s="233">
        <v>13</v>
      </c>
      <c r="C1584" s="233">
        <v>11</v>
      </c>
      <c r="D1584" s="234">
        <v>3</v>
      </c>
      <c r="E1584" s="234">
        <v>0</v>
      </c>
      <c r="G1584" s="507"/>
      <c r="H1584" s="487" t="s">
        <v>1237</v>
      </c>
      <c r="I1584" s="452" t="s">
        <v>4880</v>
      </c>
      <c r="J1584" s="489" t="s">
        <v>2924</v>
      </c>
      <c r="K1584" s="490"/>
      <c r="L1584" s="491"/>
      <c r="M1584" s="491"/>
      <c r="N1584" s="456">
        <v>116469.79429933301</v>
      </c>
      <c r="O1584" s="492"/>
      <c r="P1584" s="430"/>
    </row>
    <row r="1585" spans="1:16" ht="13.5" hidden="1" customHeight="1" outlineLevel="3" x14ac:dyDescent="0.2">
      <c r="A1585" s="233">
        <v>0</v>
      </c>
      <c r="B1585" s="233">
        <v>13</v>
      </c>
      <c r="C1585" s="233">
        <v>11</v>
      </c>
      <c r="D1585" s="234">
        <v>3</v>
      </c>
      <c r="E1585" s="234">
        <v>1</v>
      </c>
      <c r="G1585" s="508" t="s">
        <v>23</v>
      </c>
      <c r="H1585" s="493" t="s">
        <v>1238</v>
      </c>
      <c r="I1585" s="460" t="s">
        <v>4881</v>
      </c>
      <c r="J1585" s="495" t="s">
        <v>2907</v>
      </c>
      <c r="K1585" s="496" t="s">
        <v>641</v>
      </c>
      <c r="L1585" s="497">
        <v>1936.1899999999998</v>
      </c>
      <c r="M1585" s="497">
        <v>34.058466666666661</v>
      </c>
      <c r="N1585" s="464">
        <v>65943.662575333306</v>
      </c>
      <c r="O1585" s="498" t="s">
        <v>2916</v>
      </c>
      <c r="P1585" s="431" t="s">
        <v>6711</v>
      </c>
    </row>
    <row r="1586" spans="1:16" ht="13.5" hidden="1" customHeight="1" outlineLevel="3" x14ac:dyDescent="0.2">
      <c r="A1586" s="233">
        <v>0</v>
      </c>
      <c r="B1586" s="233">
        <v>13</v>
      </c>
      <c r="C1586" s="233">
        <v>11</v>
      </c>
      <c r="D1586" s="234">
        <v>3</v>
      </c>
      <c r="E1586" s="234">
        <v>2</v>
      </c>
      <c r="G1586" s="508" t="s">
        <v>23</v>
      </c>
      <c r="H1586" s="493" t="s">
        <v>1238</v>
      </c>
      <c r="I1586" s="460" t="s">
        <v>4882</v>
      </c>
      <c r="J1586" s="495" t="s">
        <v>2910</v>
      </c>
      <c r="K1586" s="496" t="s">
        <v>641</v>
      </c>
      <c r="L1586" s="497">
        <v>199.37999999999997</v>
      </c>
      <c r="M1586" s="497">
        <v>148.89179999999999</v>
      </c>
      <c r="N1586" s="464">
        <v>29686.047084000002</v>
      </c>
      <c r="O1586" s="498" t="s">
        <v>2917</v>
      </c>
      <c r="P1586" s="431" t="s">
        <v>6711</v>
      </c>
    </row>
    <row r="1587" spans="1:16" ht="13.5" hidden="1" customHeight="1" outlineLevel="3" x14ac:dyDescent="0.2">
      <c r="A1587" s="233">
        <v>0</v>
      </c>
      <c r="B1587" s="233">
        <v>13</v>
      </c>
      <c r="C1587" s="233">
        <v>11</v>
      </c>
      <c r="D1587" s="234">
        <v>3</v>
      </c>
      <c r="E1587" s="234">
        <v>3</v>
      </c>
      <c r="G1587" s="508" t="s">
        <v>23</v>
      </c>
      <c r="H1587" s="493" t="s">
        <v>1238</v>
      </c>
      <c r="I1587" s="460" t="s">
        <v>4883</v>
      </c>
      <c r="J1587" s="495" t="s">
        <v>2912</v>
      </c>
      <c r="K1587" s="496" t="s">
        <v>641</v>
      </c>
      <c r="L1587" s="497">
        <v>156.47999999999996</v>
      </c>
      <c r="M1587" s="497">
        <v>133.18049999999999</v>
      </c>
      <c r="N1587" s="464">
        <v>20840.084640000001</v>
      </c>
      <c r="O1587" s="498" t="s">
        <v>2920</v>
      </c>
      <c r="P1587" s="431" t="s">
        <v>6711</v>
      </c>
    </row>
    <row r="1588" spans="1:16" ht="13.5" hidden="1" customHeight="1" outlineLevel="2" x14ac:dyDescent="0.2">
      <c r="A1588" s="233">
        <v>0</v>
      </c>
      <c r="B1588" s="233">
        <v>13</v>
      </c>
      <c r="C1588" s="233">
        <v>11</v>
      </c>
      <c r="D1588" s="234">
        <v>4</v>
      </c>
      <c r="E1588" s="234">
        <v>0</v>
      </c>
      <c r="G1588" s="507"/>
      <c r="H1588" s="487" t="s">
        <v>1237</v>
      </c>
      <c r="I1588" s="452" t="s">
        <v>4884</v>
      </c>
      <c r="J1588" s="489" t="s">
        <v>2318</v>
      </c>
      <c r="K1588" s="490"/>
      <c r="L1588" s="491"/>
      <c r="M1588" s="491"/>
      <c r="N1588" s="456">
        <v>35370.398802666699</v>
      </c>
      <c r="O1588" s="492"/>
      <c r="P1588" s="430"/>
    </row>
    <row r="1589" spans="1:16" ht="13.5" hidden="1" customHeight="1" outlineLevel="3" x14ac:dyDescent="0.2">
      <c r="A1589" s="233">
        <v>0</v>
      </c>
      <c r="B1589" s="233">
        <v>13</v>
      </c>
      <c r="C1589" s="233">
        <v>11</v>
      </c>
      <c r="D1589" s="234">
        <v>4</v>
      </c>
      <c r="E1589" s="234">
        <v>1</v>
      </c>
      <c r="G1589" s="508" t="s">
        <v>23</v>
      </c>
      <c r="H1589" s="493" t="s">
        <v>1238</v>
      </c>
      <c r="I1589" s="460" t="s">
        <v>4885</v>
      </c>
      <c r="J1589" s="495" t="s">
        <v>2907</v>
      </c>
      <c r="K1589" s="496" t="s">
        <v>641</v>
      </c>
      <c r="L1589" s="497">
        <v>1038.52</v>
      </c>
      <c r="M1589" s="497">
        <v>34.058466666666661</v>
      </c>
      <c r="N1589" s="464">
        <v>35370.398802666699</v>
      </c>
      <c r="O1589" s="498"/>
      <c r="P1589" s="431" t="s">
        <v>6711</v>
      </c>
    </row>
    <row r="1590" spans="1:16" ht="13.5" hidden="1" customHeight="1" outlineLevel="2" x14ac:dyDescent="0.2">
      <c r="A1590" s="233">
        <v>0</v>
      </c>
      <c r="B1590" s="233">
        <v>13</v>
      </c>
      <c r="C1590" s="233">
        <v>11</v>
      </c>
      <c r="D1590" s="234">
        <v>5</v>
      </c>
      <c r="E1590" s="234">
        <v>0</v>
      </c>
      <c r="G1590" s="507"/>
      <c r="H1590" s="487" t="s">
        <v>1237</v>
      </c>
      <c r="I1590" s="452" t="s">
        <v>4886</v>
      </c>
      <c r="J1590" s="489" t="s">
        <v>2319</v>
      </c>
      <c r="K1590" s="490"/>
      <c r="L1590" s="491"/>
      <c r="M1590" s="491"/>
      <c r="N1590" s="456">
        <v>3854.4065999999998</v>
      </c>
      <c r="O1590" s="492"/>
      <c r="P1590" s="430"/>
    </row>
    <row r="1591" spans="1:16" ht="13.5" hidden="1" customHeight="1" outlineLevel="3" x14ac:dyDescent="0.2">
      <c r="A1591" s="233">
        <v>0</v>
      </c>
      <c r="B1591" s="233">
        <v>13</v>
      </c>
      <c r="C1591" s="233">
        <v>11</v>
      </c>
      <c r="D1591" s="234">
        <v>5</v>
      </c>
      <c r="E1591" s="234">
        <v>1</v>
      </c>
      <c r="G1591" s="508" t="s">
        <v>23</v>
      </c>
      <c r="H1591" s="493" t="s">
        <v>1238</v>
      </c>
      <c r="I1591" s="460" t="s">
        <v>4887</v>
      </c>
      <c r="J1591" s="495" t="s">
        <v>1616</v>
      </c>
      <c r="K1591" s="496" t="s">
        <v>533</v>
      </c>
      <c r="L1591" s="497">
        <v>440</v>
      </c>
      <c r="M1591" s="497">
        <v>8.760015000000001</v>
      </c>
      <c r="N1591" s="464">
        <v>3854.4065999999998</v>
      </c>
      <c r="O1591" s="498" t="s">
        <v>2943</v>
      </c>
      <c r="P1591" s="431" t="s">
        <v>6711</v>
      </c>
    </row>
    <row r="1592" spans="1:16" ht="13.5" hidden="1" customHeight="1" outlineLevel="2" x14ac:dyDescent="0.2">
      <c r="A1592" s="233">
        <v>0</v>
      </c>
      <c r="B1592" s="233">
        <v>13</v>
      </c>
      <c r="C1592" s="233">
        <v>11</v>
      </c>
      <c r="D1592" s="234">
        <v>6</v>
      </c>
      <c r="E1592" s="234">
        <v>0</v>
      </c>
      <c r="G1592" s="507"/>
      <c r="H1592" s="487" t="s">
        <v>1237</v>
      </c>
      <c r="I1592" s="452" t="s">
        <v>4888</v>
      </c>
      <c r="J1592" s="489" t="s">
        <v>1247</v>
      </c>
      <c r="K1592" s="490"/>
      <c r="L1592" s="491"/>
      <c r="M1592" s="491"/>
      <c r="N1592" s="456">
        <v>160831.67000000001</v>
      </c>
      <c r="O1592" s="492"/>
      <c r="P1592" s="430"/>
    </row>
    <row r="1593" spans="1:16" ht="13.5" hidden="1" customHeight="1" outlineLevel="3" x14ac:dyDescent="0.2">
      <c r="A1593" s="233">
        <v>0</v>
      </c>
      <c r="B1593" s="233">
        <v>13</v>
      </c>
      <c r="C1593" s="233">
        <v>11</v>
      </c>
      <c r="D1593" s="234">
        <v>6</v>
      </c>
      <c r="E1593" s="234">
        <v>1</v>
      </c>
      <c r="G1593" s="508" t="s">
        <v>23</v>
      </c>
      <c r="H1593" s="493" t="s">
        <v>1238</v>
      </c>
      <c r="I1593" s="460" t="s">
        <v>4889</v>
      </c>
      <c r="J1593" s="495" t="s">
        <v>469</v>
      </c>
      <c r="K1593" s="496" t="s">
        <v>641</v>
      </c>
      <c r="L1593" s="497">
        <v>977.90999999999985</v>
      </c>
      <c r="M1593" s="497">
        <v>20</v>
      </c>
      <c r="N1593" s="464">
        <v>19558.2</v>
      </c>
      <c r="O1593" s="498"/>
      <c r="P1593" s="431" t="s">
        <v>6711</v>
      </c>
    </row>
    <row r="1594" spans="1:16" ht="13.5" hidden="1" customHeight="1" outlineLevel="3" x14ac:dyDescent="0.2">
      <c r="A1594" s="233">
        <v>0</v>
      </c>
      <c r="B1594" s="233">
        <v>13</v>
      </c>
      <c r="C1594" s="233">
        <v>11</v>
      </c>
      <c r="D1594" s="234">
        <v>6</v>
      </c>
      <c r="E1594" s="234">
        <v>2</v>
      </c>
      <c r="G1594" s="508" t="s">
        <v>23</v>
      </c>
      <c r="H1594" s="493" t="s">
        <v>1238</v>
      </c>
      <c r="I1594" s="460" t="s">
        <v>4890</v>
      </c>
      <c r="J1594" s="495" t="s">
        <v>470</v>
      </c>
      <c r="K1594" s="496" t="s">
        <v>641</v>
      </c>
      <c r="L1594" s="497">
        <v>116.68999999999996</v>
      </c>
      <c r="M1594" s="497">
        <v>35</v>
      </c>
      <c r="N1594" s="464">
        <v>4084.15</v>
      </c>
      <c r="O1594" s="498"/>
      <c r="P1594" s="431" t="s">
        <v>6711</v>
      </c>
    </row>
    <row r="1595" spans="1:16" ht="13.5" hidden="1" customHeight="1" outlineLevel="3" x14ac:dyDescent="0.2">
      <c r="A1595" s="233">
        <v>0</v>
      </c>
      <c r="B1595" s="233">
        <v>13</v>
      </c>
      <c r="C1595" s="233">
        <v>11</v>
      </c>
      <c r="D1595" s="234">
        <v>6</v>
      </c>
      <c r="E1595" s="234">
        <v>3</v>
      </c>
      <c r="G1595" s="508" t="s">
        <v>23</v>
      </c>
      <c r="H1595" s="493" t="s">
        <v>1238</v>
      </c>
      <c r="I1595" s="460" t="s">
        <v>4891</v>
      </c>
      <c r="J1595" s="495" t="s">
        <v>2931</v>
      </c>
      <c r="K1595" s="496" t="s">
        <v>641</v>
      </c>
      <c r="L1595" s="497">
        <v>2974.71</v>
      </c>
      <c r="M1595" s="497">
        <v>32</v>
      </c>
      <c r="N1595" s="464">
        <v>95190.720000000001</v>
      </c>
      <c r="O1595" s="498"/>
      <c r="P1595" s="431" t="s">
        <v>6711</v>
      </c>
    </row>
    <row r="1596" spans="1:16" ht="13.5" hidden="1" customHeight="1" outlineLevel="3" x14ac:dyDescent="0.2">
      <c r="A1596" s="233">
        <v>0</v>
      </c>
      <c r="B1596" s="233">
        <v>13</v>
      </c>
      <c r="C1596" s="233">
        <v>11</v>
      </c>
      <c r="D1596" s="234">
        <v>6</v>
      </c>
      <c r="E1596" s="234">
        <v>4</v>
      </c>
      <c r="G1596" s="508" t="s">
        <v>23</v>
      </c>
      <c r="H1596" s="493" t="s">
        <v>1238</v>
      </c>
      <c r="I1596" s="460" t="s">
        <v>4892</v>
      </c>
      <c r="J1596" s="495" t="s">
        <v>2935</v>
      </c>
      <c r="K1596" s="496" t="s">
        <v>641</v>
      </c>
      <c r="L1596" s="497">
        <v>156.47999999999996</v>
      </c>
      <c r="M1596" s="497">
        <v>45</v>
      </c>
      <c r="N1596" s="464">
        <v>7041.6</v>
      </c>
      <c r="O1596" s="498"/>
      <c r="P1596" s="431" t="s">
        <v>6711</v>
      </c>
    </row>
    <row r="1597" spans="1:16" ht="13.5" hidden="1" customHeight="1" outlineLevel="3" x14ac:dyDescent="0.2">
      <c r="A1597" s="233">
        <v>0</v>
      </c>
      <c r="B1597" s="233">
        <v>13</v>
      </c>
      <c r="C1597" s="233">
        <v>11</v>
      </c>
      <c r="D1597" s="234">
        <v>6</v>
      </c>
      <c r="E1597" s="234">
        <v>5</v>
      </c>
      <c r="G1597" s="508" t="s">
        <v>23</v>
      </c>
      <c r="H1597" s="493" t="s">
        <v>1238</v>
      </c>
      <c r="I1597" s="460" t="s">
        <v>4893</v>
      </c>
      <c r="J1597" s="495" t="s">
        <v>2938</v>
      </c>
      <c r="K1597" s="496" t="s">
        <v>641</v>
      </c>
      <c r="L1597" s="497">
        <v>308.5</v>
      </c>
      <c r="M1597" s="497">
        <v>42</v>
      </c>
      <c r="N1597" s="464">
        <v>12957</v>
      </c>
      <c r="O1597" s="498"/>
      <c r="P1597" s="431" t="s">
        <v>6711</v>
      </c>
    </row>
    <row r="1598" spans="1:16" ht="13.5" hidden="1" customHeight="1" outlineLevel="3" x14ac:dyDescent="0.2">
      <c r="A1598" s="233">
        <v>0</v>
      </c>
      <c r="B1598" s="233">
        <v>13</v>
      </c>
      <c r="C1598" s="233">
        <v>11</v>
      </c>
      <c r="D1598" s="234">
        <v>6</v>
      </c>
      <c r="E1598" s="234">
        <v>6</v>
      </c>
      <c r="G1598" s="508" t="s">
        <v>23</v>
      </c>
      <c r="H1598" s="493" t="s">
        <v>1238</v>
      </c>
      <c r="I1598" s="460" t="s">
        <v>4894</v>
      </c>
      <c r="J1598" s="461" t="s">
        <v>477</v>
      </c>
      <c r="K1598" s="496" t="s">
        <v>533</v>
      </c>
      <c r="L1598" s="497">
        <v>440</v>
      </c>
      <c r="M1598" s="497">
        <v>50</v>
      </c>
      <c r="N1598" s="464">
        <v>22000</v>
      </c>
      <c r="O1598" s="498"/>
      <c r="P1598" s="431" t="s">
        <v>6711</v>
      </c>
    </row>
    <row r="1599" spans="1:16" ht="13.5" hidden="1" customHeight="1" outlineLevel="1" x14ac:dyDescent="0.2">
      <c r="A1599" s="233">
        <v>0</v>
      </c>
      <c r="B1599" s="233">
        <v>13</v>
      </c>
      <c r="C1599" s="233">
        <v>12</v>
      </c>
      <c r="D1599" s="234">
        <v>0</v>
      </c>
      <c r="E1599" s="234">
        <v>6</v>
      </c>
      <c r="G1599" s="506"/>
      <c r="H1599" s="481" t="s">
        <v>38</v>
      </c>
      <c r="I1599" s="445" t="s">
        <v>4895</v>
      </c>
      <c r="J1599" s="483" t="s">
        <v>2370</v>
      </c>
      <c r="K1599" s="484"/>
      <c r="L1599" s="485"/>
      <c r="M1599" s="485"/>
      <c r="N1599" s="449">
        <v>29621.327888</v>
      </c>
      <c r="O1599" s="486">
        <v>1.76847232739511</v>
      </c>
      <c r="P1599" s="429"/>
    </row>
    <row r="1600" spans="1:16" ht="13.5" hidden="1" customHeight="1" outlineLevel="2" x14ac:dyDescent="0.2">
      <c r="A1600" s="233">
        <v>0</v>
      </c>
      <c r="B1600" s="233">
        <v>13</v>
      </c>
      <c r="C1600" s="233">
        <v>12</v>
      </c>
      <c r="D1600" s="234">
        <v>1</v>
      </c>
      <c r="E1600" s="234">
        <v>0</v>
      </c>
      <c r="G1600" s="507"/>
      <c r="H1600" s="487" t="s">
        <v>1237</v>
      </c>
      <c r="I1600" s="452" t="s">
        <v>4896</v>
      </c>
      <c r="J1600" s="489" t="s">
        <v>24</v>
      </c>
      <c r="K1600" s="490"/>
      <c r="L1600" s="491"/>
      <c r="M1600" s="491"/>
      <c r="N1600" s="456">
        <v>1327.886107</v>
      </c>
      <c r="O1600" s="492">
        <v>7.9278344409173404E-2</v>
      </c>
      <c r="P1600" s="430"/>
    </row>
    <row r="1601" spans="1:16" ht="13.5" hidden="1" customHeight="1" outlineLevel="3" x14ac:dyDescent="0.2">
      <c r="A1601" s="233">
        <v>0</v>
      </c>
      <c r="B1601" s="233">
        <v>13</v>
      </c>
      <c r="C1601" s="233">
        <v>12</v>
      </c>
      <c r="D1601" s="234">
        <v>1</v>
      </c>
      <c r="E1601" s="234">
        <v>1</v>
      </c>
      <c r="G1601" s="508" t="s">
        <v>23</v>
      </c>
      <c r="H1601" s="493" t="s">
        <v>1238</v>
      </c>
      <c r="I1601" s="460" t="s">
        <v>4897</v>
      </c>
      <c r="J1601" s="495" t="s">
        <v>441</v>
      </c>
      <c r="K1601" s="496" t="s">
        <v>641</v>
      </c>
      <c r="L1601" s="497">
        <v>110.52999999999999</v>
      </c>
      <c r="M1601" s="497">
        <v>7.0658999999999992</v>
      </c>
      <c r="N1601" s="464">
        <v>780.99392699999999</v>
      </c>
      <c r="O1601" s="498" t="s">
        <v>2928</v>
      </c>
      <c r="P1601" s="431" t="s">
        <v>6711</v>
      </c>
    </row>
    <row r="1602" spans="1:16" ht="13.5" hidden="1" customHeight="1" outlineLevel="3" x14ac:dyDescent="0.2">
      <c r="A1602" s="233">
        <v>0</v>
      </c>
      <c r="B1602" s="233">
        <v>13</v>
      </c>
      <c r="C1602" s="233">
        <v>12</v>
      </c>
      <c r="D1602" s="234">
        <v>1</v>
      </c>
      <c r="E1602" s="234">
        <v>2</v>
      </c>
      <c r="G1602" s="508" t="s">
        <v>23</v>
      </c>
      <c r="H1602" s="493" t="s">
        <v>1238</v>
      </c>
      <c r="I1602" s="460" t="s">
        <v>4898</v>
      </c>
      <c r="J1602" s="495" t="s">
        <v>443</v>
      </c>
      <c r="K1602" s="496" t="s">
        <v>641</v>
      </c>
      <c r="L1602" s="497">
        <v>11.08</v>
      </c>
      <c r="M1602" s="497">
        <v>49.358499999999999</v>
      </c>
      <c r="N1602" s="464">
        <v>546.89218000000005</v>
      </c>
      <c r="O1602" s="498" t="s">
        <v>2929</v>
      </c>
      <c r="P1602" s="431" t="s">
        <v>6711</v>
      </c>
    </row>
    <row r="1603" spans="1:16" ht="13.5" hidden="1" customHeight="1" outlineLevel="2" x14ac:dyDescent="0.2">
      <c r="A1603" s="233">
        <v>0</v>
      </c>
      <c r="B1603" s="233">
        <v>13</v>
      </c>
      <c r="C1603" s="233">
        <v>12</v>
      </c>
      <c r="D1603" s="234">
        <v>2</v>
      </c>
      <c r="E1603" s="234">
        <v>0</v>
      </c>
      <c r="G1603" s="507"/>
      <c r="H1603" s="487" t="s">
        <v>1237</v>
      </c>
      <c r="I1603" s="452" t="s">
        <v>4899</v>
      </c>
      <c r="J1603" s="489" t="s">
        <v>2925</v>
      </c>
      <c r="K1603" s="490"/>
      <c r="L1603" s="491"/>
      <c r="M1603" s="491"/>
      <c r="N1603" s="456">
        <v>9561.8313959999996</v>
      </c>
      <c r="O1603" s="492"/>
      <c r="P1603" s="430"/>
    </row>
    <row r="1604" spans="1:16" ht="13.5" hidden="1" customHeight="1" outlineLevel="3" x14ac:dyDescent="0.2">
      <c r="A1604" s="233">
        <v>0</v>
      </c>
      <c r="B1604" s="233">
        <v>13</v>
      </c>
      <c r="C1604" s="233">
        <v>12</v>
      </c>
      <c r="D1604" s="234">
        <v>2</v>
      </c>
      <c r="E1604" s="234">
        <v>1</v>
      </c>
      <c r="G1604" s="508" t="s">
        <v>23</v>
      </c>
      <c r="H1604" s="493" t="s">
        <v>1238</v>
      </c>
      <c r="I1604" s="460" t="s">
        <v>4900</v>
      </c>
      <c r="J1604" s="495" t="s">
        <v>2910</v>
      </c>
      <c r="K1604" s="496" t="s">
        <v>641</v>
      </c>
      <c r="L1604" s="497">
        <v>64.22</v>
      </c>
      <c r="M1604" s="497">
        <v>148.89179999999999</v>
      </c>
      <c r="N1604" s="464">
        <v>9561.8313959999996</v>
      </c>
      <c r="O1604" s="498" t="s">
        <v>2918</v>
      </c>
      <c r="P1604" s="431" t="s">
        <v>6711</v>
      </c>
    </row>
    <row r="1605" spans="1:16" ht="13.5" hidden="1" customHeight="1" outlineLevel="2" x14ac:dyDescent="0.2">
      <c r="A1605" s="233">
        <v>0</v>
      </c>
      <c r="B1605" s="233">
        <v>13</v>
      </c>
      <c r="C1605" s="233">
        <v>12</v>
      </c>
      <c r="D1605" s="234">
        <v>3</v>
      </c>
      <c r="E1605" s="234">
        <v>0</v>
      </c>
      <c r="G1605" s="507"/>
      <c r="H1605" s="487" t="s">
        <v>1237</v>
      </c>
      <c r="I1605" s="452" t="s">
        <v>4901</v>
      </c>
      <c r="J1605" s="489" t="s">
        <v>2924</v>
      </c>
      <c r="K1605" s="490"/>
      <c r="L1605" s="491"/>
      <c r="M1605" s="491"/>
      <c r="N1605" s="456">
        <v>5521.3217616666698</v>
      </c>
      <c r="O1605" s="492"/>
      <c r="P1605" s="430"/>
    </row>
    <row r="1606" spans="1:16" ht="13.5" hidden="1" customHeight="1" outlineLevel="3" x14ac:dyDescent="0.2">
      <c r="A1606" s="233">
        <v>0</v>
      </c>
      <c r="B1606" s="233">
        <v>13</v>
      </c>
      <c r="C1606" s="233">
        <v>12</v>
      </c>
      <c r="D1606" s="234">
        <v>3</v>
      </c>
      <c r="E1606" s="234">
        <v>1</v>
      </c>
      <c r="G1606" s="508" t="s">
        <v>23</v>
      </c>
      <c r="H1606" s="493" t="s">
        <v>1238</v>
      </c>
      <c r="I1606" s="460" t="s">
        <v>4902</v>
      </c>
      <c r="J1606" s="495" t="s">
        <v>2907</v>
      </c>
      <c r="K1606" s="496" t="s">
        <v>641</v>
      </c>
      <c r="L1606" s="497">
        <v>93.61</v>
      </c>
      <c r="M1606" s="497">
        <v>34.058466666666661</v>
      </c>
      <c r="N1606" s="464">
        <v>3188.2130646666701</v>
      </c>
      <c r="O1606" s="498" t="s">
        <v>2916</v>
      </c>
      <c r="P1606" s="431" t="s">
        <v>6711</v>
      </c>
    </row>
    <row r="1607" spans="1:16" ht="13.5" hidden="1" customHeight="1" outlineLevel="3" x14ac:dyDescent="0.2">
      <c r="A1607" s="233">
        <v>0</v>
      </c>
      <c r="B1607" s="233">
        <v>13</v>
      </c>
      <c r="C1607" s="233">
        <v>12</v>
      </c>
      <c r="D1607" s="234">
        <v>3</v>
      </c>
      <c r="E1607" s="234">
        <v>2</v>
      </c>
      <c r="G1607" s="508" t="s">
        <v>23</v>
      </c>
      <c r="H1607" s="493" t="s">
        <v>1238</v>
      </c>
      <c r="I1607" s="460" t="s">
        <v>4903</v>
      </c>
      <c r="J1607" s="495" t="s">
        <v>2910</v>
      </c>
      <c r="K1607" s="496" t="s">
        <v>641</v>
      </c>
      <c r="L1607" s="497">
        <v>4.1400000000000006</v>
      </c>
      <c r="M1607" s="497">
        <v>148.89179999999999</v>
      </c>
      <c r="N1607" s="464">
        <v>616.41205200000002</v>
      </c>
      <c r="O1607" s="498" t="s">
        <v>2917</v>
      </c>
      <c r="P1607" s="431" t="s">
        <v>6711</v>
      </c>
    </row>
    <row r="1608" spans="1:16" ht="13.5" hidden="1" customHeight="1" outlineLevel="3" x14ac:dyDescent="0.2">
      <c r="A1608" s="233">
        <v>0</v>
      </c>
      <c r="B1608" s="233">
        <v>13</v>
      </c>
      <c r="C1608" s="233">
        <v>12</v>
      </c>
      <c r="D1608" s="234">
        <v>3</v>
      </c>
      <c r="E1608" s="234">
        <v>3</v>
      </c>
      <c r="G1608" s="508" t="s">
        <v>23</v>
      </c>
      <c r="H1608" s="493" t="s">
        <v>1238</v>
      </c>
      <c r="I1608" s="460" t="s">
        <v>4904</v>
      </c>
      <c r="J1608" s="495" t="s">
        <v>2912</v>
      </c>
      <c r="K1608" s="496" t="s">
        <v>641</v>
      </c>
      <c r="L1608" s="497">
        <v>12.89</v>
      </c>
      <c r="M1608" s="497">
        <v>133.18049999999999</v>
      </c>
      <c r="N1608" s="464">
        <v>1716.696645</v>
      </c>
      <c r="O1608" s="498" t="s">
        <v>2920</v>
      </c>
      <c r="P1608" s="431" t="s">
        <v>6711</v>
      </c>
    </row>
    <row r="1609" spans="1:16" ht="13.5" hidden="1" customHeight="1" outlineLevel="2" x14ac:dyDescent="0.2">
      <c r="A1609" s="233">
        <v>0</v>
      </c>
      <c r="B1609" s="233">
        <v>13</v>
      </c>
      <c r="C1609" s="233">
        <v>12</v>
      </c>
      <c r="D1609" s="234">
        <v>4</v>
      </c>
      <c r="E1609" s="234">
        <v>0</v>
      </c>
      <c r="G1609" s="507"/>
      <c r="H1609" s="487" t="s">
        <v>1237</v>
      </c>
      <c r="I1609" s="452" t="s">
        <v>4905</v>
      </c>
      <c r="J1609" s="489" t="s">
        <v>2318</v>
      </c>
      <c r="K1609" s="490"/>
      <c r="L1609" s="491"/>
      <c r="M1609" s="491"/>
      <c r="N1609" s="456">
        <v>1723.35841333333</v>
      </c>
      <c r="O1609" s="492"/>
      <c r="P1609" s="430"/>
    </row>
    <row r="1610" spans="1:16" ht="13.5" hidden="1" customHeight="1" outlineLevel="3" x14ac:dyDescent="0.2">
      <c r="A1610" s="233">
        <v>0</v>
      </c>
      <c r="B1610" s="233">
        <v>13</v>
      </c>
      <c r="C1610" s="233">
        <v>12</v>
      </c>
      <c r="D1610" s="234">
        <v>4</v>
      </c>
      <c r="E1610" s="234">
        <v>1</v>
      </c>
      <c r="G1610" s="508" t="s">
        <v>23</v>
      </c>
      <c r="H1610" s="493" t="s">
        <v>1238</v>
      </c>
      <c r="I1610" s="460" t="s">
        <v>4906</v>
      </c>
      <c r="J1610" s="495" t="s">
        <v>2907</v>
      </c>
      <c r="K1610" s="496" t="s">
        <v>641</v>
      </c>
      <c r="L1610" s="497">
        <v>50.6</v>
      </c>
      <c r="M1610" s="497">
        <v>34.058466666666661</v>
      </c>
      <c r="N1610" s="464">
        <v>1723.35841333333</v>
      </c>
      <c r="O1610" s="498"/>
      <c r="P1610" s="431" t="s">
        <v>6711</v>
      </c>
    </row>
    <row r="1611" spans="1:16" ht="13.5" hidden="1" customHeight="1" outlineLevel="2" x14ac:dyDescent="0.2">
      <c r="A1611" s="233">
        <v>0</v>
      </c>
      <c r="B1611" s="233">
        <v>13</v>
      </c>
      <c r="C1611" s="233">
        <v>12</v>
      </c>
      <c r="D1611" s="234">
        <v>5</v>
      </c>
      <c r="E1611" s="234">
        <v>0</v>
      </c>
      <c r="G1611" s="507"/>
      <c r="H1611" s="487" t="s">
        <v>1237</v>
      </c>
      <c r="I1611" s="452" t="s">
        <v>4907</v>
      </c>
      <c r="J1611" s="489" t="s">
        <v>2319</v>
      </c>
      <c r="K1611" s="490"/>
      <c r="L1611" s="491"/>
      <c r="M1611" s="491"/>
      <c r="N1611" s="456">
        <v>122.64021</v>
      </c>
      <c r="O1611" s="492"/>
      <c r="P1611" s="430"/>
    </row>
    <row r="1612" spans="1:16" ht="13.5" hidden="1" customHeight="1" outlineLevel="3" x14ac:dyDescent="0.2">
      <c r="A1612" s="233">
        <v>0</v>
      </c>
      <c r="B1612" s="233">
        <v>13</v>
      </c>
      <c r="C1612" s="233">
        <v>12</v>
      </c>
      <c r="D1612" s="234">
        <v>5</v>
      </c>
      <c r="E1612" s="234">
        <v>1</v>
      </c>
      <c r="G1612" s="508" t="s">
        <v>23</v>
      </c>
      <c r="H1612" s="493" t="s">
        <v>1238</v>
      </c>
      <c r="I1612" s="460" t="s">
        <v>4908</v>
      </c>
      <c r="J1612" s="495" t="s">
        <v>1616</v>
      </c>
      <c r="K1612" s="496" t="s">
        <v>533</v>
      </c>
      <c r="L1612" s="497">
        <v>14</v>
      </c>
      <c r="M1612" s="497">
        <v>8.760015000000001</v>
      </c>
      <c r="N1612" s="464">
        <v>122.64021</v>
      </c>
      <c r="O1612" s="498"/>
      <c r="P1612" s="431" t="s">
        <v>6711</v>
      </c>
    </row>
    <row r="1613" spans="1:16" ht="13.5" hidden="1" customHeight="1" outlineLevel="2" x14ac:dyDescent="0.2">
      <c r="A1613" s="233">
        <v>0</v>
      </c>
      <c r="B1613" s="233">
        <v>13</v>
      </c>
      <c r="C1613" s="233">
        <v>12</v>
      </c>
      <c r="D1613" s="234">
        <v>6</v>
      </c>
      <c r="E1613" s="234">
        <v>0</v>
      </c>
      <c r="G1613" s="507"/>
      <c r="H1613" s="487" t="s">
        <v>1237</v>
      </c>
      <c r="I1613" s="452" t="s">
        <v>4909</v>
      </c>
      <c r="J1613" s="489" t="s">
        <v>1247</v>
      </c>
      <c r="K1613" s="490"/>
      <c r="L1613" s="491"/>
      <c r="M1613" s="491"/>
      <c r="N1613" s="456">
        <v>11364.29</v>
      </c>
      <c r="O1613" s="492"/>
      <c r="P1613" s="430"/>
    </row>
    <row r="1614" spans="1:16" ht="13.5" hidden="1" customHeight="1" outlineLevel="3" x14ac:dyDescent="0.2">
      <c r="A1614" s="233">
        <v>0</v>
      </c>
      <c r="B1614" s="233">
        <v>13</v>
      </c>
      <c r="C1614" s="233">
        <v>12</v>
      </c>
      <c r="D1614" s="234">
        <v>6</v>
      </c>
      <c r="E1614" s="234">
        <v>1</v>
      </c>
      <c r="G1614" s="508" t="s">
        <v>23</v>
      </c>
      <c r="H1614" s="493" t="s">
        <v>1238</v>
      </c>
      <c r="I1614" s="460" t="s">
        <v>4910</v>
      </c>
      <c r="J1614" s="495" t="s">
        <v>469</v>
      </c>
      <c r="K1614" s="496" t="s">
        <v>641</v>
      </c>
      <c r="L1614" s="497">
        <v>110.52999999999999</v>
      </c>
      <c r="M1614" s="497">
        <v>20</v>
      </c>
      <c r="N1614" s="464">
        <v>2210.6</v>
      </c>
      <c r="O1614" s="498"/>
      <c r="P1614" s="431" t="s">
        <v>6711</v>
      </c>
    </row>
    <row r="1615" spans="1:16" ht="13.5" hidden="1" customHeight="1" outlineLevel="3" x14ac:dyDescent="0.2">
      <c r="A1615" s="233">
        <v>0</v>
      </c>
      <c r="B1615" s="233">
        <v>13</v>
      </c>
      <c r="C1615" s="233">
        <v>12</v>
      </c>
      <c r="D1615" s="234">
        <v>6</v>
      </c>
      <c r="E1615" s="234">
        <v>2</v>
      </c>
      <c r="G1615" s="508" t="s">
        <v>23</v>
      </c>
      <c r="H1615" s="493" t="s">
        <v>1238</v>
      </c>
      <c r="I1615" s="460" t="s">
        <v>4911</v>
      </c>
      <c r="J1615" s="495" t="s">
        <v>470</v>
      </c>
      <c r="K1615" s="496" t="s">
        <v>641</v>
      </c>
      <c r="L1615" s="497">
        <v>11.08</v>
      </c>
      <c r="M1615" s="497">
        <v>35</v>
      </c>
      <c r="N1615" s="464">
        <v>387.8</v>
      </c>
      <c r="O1615" s="498"/>
      <c r="P1615" s="431" t="s">
        <v>6711</v>
      </c>
    </row>
    <row r="1616" spans="1:16" ht="13.5" hidden="1" customHeight="1" outlineLevel="3" x14ac:dyDescent="0.2">
      <c r="A1616" s="233">
        <v>0</v>
      </c>
      <c r="B1616" s="233">
        <v>13</v>
      </c>
      <c r="C1616" s="233">
        <v>12</v>
      </c>
      <c r="D1616" s="234">
        <v>6</v>
      </c>
      <c r="E1616" s="234">
        <v>3</v>
      </c>
      <c r="G1616" s="508" t="s">
        <v>23</v>
      </c>
      <c r="H1616" s="493" t="s">
        <v>1238</v>
      </c>
      <c r="I1616" s="460" t="s">
        <v>4912</v>
      </c>
      <c r="J1616" s="495" t="s">
        <v>2931</v>
      </c>
      <c r="K1616" s="496" t="s">
        <v>641</v>
      </c>
      <c r="L1616" s="497">
        <v>144.21</v>
      </c>
      <c r="M1616" s="497">
        <v>32</v>
      </c>
      <c r="N1616" s="464">
        <v>4614.72</v>
      </c>
      <c r="O1616" s="498"/>
      <c r="P1616" s="431" t="s">
        <v>6711</v>
      </c>
    </row>
    <row r="1617" spans="1:16" ht="13.5" hidden="1" customHeight="1" outlineLevel="3" x14ac:dyDescent="0.2">
      <c r="A1617" s="233">
        <v>0</v>
      </c>
      <c r="B1617" s="233">
        <v>13</v>
      </c>
      <c r="C1617" s="233">
        <v>12</v>
      </c>
      <c r="D1617" s="234">
        <v>6</v>
      </c>
      <c r="E1617" s="234">
        <v>4</v>
      </c>
      <c r="G1617" s="508" t="s">
        <v>23</v>
      </c>
      <c r="H1617" s="493" t="s">
        <v>1238</v>
      </c>
      <c r="I1617" s="460" t="s">
        <v>4913</v>
      </c>
      <c r="J1617" s="495" t="s">
        <v>2935</v>
      </c>
      <c r="K1617" s="496" t="s">
        <v>641</v>
      </c>
      <c r="L1617" s="497">
        <v>12.89</v>
      </c>
      <c r="M1617" s="497">
        <v>45</v>
      </c>
      <c r="N1617" s="464">
        <v>580.04999999999995</v>
      </c>
      <c r="O1617" s="498"/>
      <c r="P1617" s="431" t="s">
        <v>6711</v>
      </c>
    </row>
    <row r="1618" spans="1:16" ht="13.5" hidden="1" customHeight="1" outlineLevel="3" x14ac:dyDescent="0.2">
      <c r="A1618" s="233">
        <v>0</v>
      </c>
      <c r="B1618" s="233">
        <v>13</v>
      </c>
      <c r="C1618" s="233">
        <v>12</v>
      </c>
      <c r="D1618" s="234">
        <v>6</v>
      </c>
      <c r="E1618" s="234">
        <v>5</v>
      </c>
      <c r="G1618" s="508" t="s">
        <v>23</v>
      </c>
      <c r="H1618" s="493" t="s">
        <v>1238</v>
      </c>
      <c r="I1618" s="460" t="s">
        <v>4914</v>
      </c>
      <c r="J1618" s="495" t="s">
        <v>2938</v>
      </c>
      <c r="K1618" s="496" t="s">
        <v>641</v>
      </c>
      <c r="L1618" s="497">
        <v>68.36</v>
      </c>
      <c r="M1618" s="497">
        <v>42</v>
      </c>
      <c r="N1618" s="464">
        <v>2871.12</v>
      </c>
      <c r="O1618" s="498"/>
      <c r="P1618" s="431" t="s">
        <v>6711</v>
      </c>
    </row>
    <row r="1619" spans="1:16" ht="13.5" hidden="1" customHeight="1" outlineLevel="3" x14ac:dyDescent="0.2">
      <c r="A1619" s="233">
        <v>0</v>
      </c>
      <c r="B1619" s="233">
        <v>13</v>
      </c>
      <c r="C1619" s="233">
        <v>12</v>
      </c>
      <c r="D1619" s="234">
        <v>6</v>
      </c>
      <c r="E1619" s="234">
        <v>6</v>
      </c>
      <c r="G1619" s="508" t="s">
        <v>23</v>
      </c>
      <c r="H1619" s="493" t="s">
        <v>1238</v>
      </c>
      <c r="I1619" s="460" t="s">
        <v>4915</v>
      </c>
      <c r="J1619" s="461" t="s">
        <v>477</v>
      </c>
      <c r="K1619" s="496" t="s">
        <v>533</v>
      </c>
      <c r="L1619" s="497">
        <v>14</v>
      </c>
      <c r="M1619" s="497">
        <v>50</v>
      </c>
      <c r="N1619" s="464">
        <v>700</v>
      </c>
      <c r="O1619" s="498"/>
      <c r="P1619" s="431" t="s">
        <v>6711</v>
      </c>
    </row>
    <row r="1620" spans="1:16" ht="13.5" hidden="1" customHeight="1" outlineLevel="1" x14ac:dyDescent="0.2">
      <c r="A1620" s="233">
        <v>0</v>
      </c>
      <c r="B1620" s="233">
        <v>13</v>
      </c>
      <c r="C1620" s="233">
        <v>13</v>
      </c>
      <c r="D1620" s="234">
        <v>0</v>
      </c>
      <c r="E1620" s="234">
        <v>6</v>
      </c>
      <c r="G1620" s="506"/>
      <c r="H1620" s="481" t="s">
        <v>38</v>
      </c>
      <c r="I1620" s="445" t="s">
        <v>4916</v>
      </c>
      <c r="J1620" s="483" t="s">
        <v>2371</v>
      </c>
      <c r="K1620" s="484"/>
      <c r="L1620" s="485"/>
      <c r="M1620" s="485"/>
      <c r="N1620" s="449">
        <v>36625.202243333297</v>
      </c>
      <c r="O1620" s="486">
        <v>2.1866223181312399</v>
      </c>
      <c r="P1620" s="429"/>
    </row>
    <row r="1621" spans="1:16" ht="13.5" hidden="1" customHeight="1" outlineLevel="2" x14ac:dyDescent="0.2">
      <c r="A1621" s="233">
        <v>0</v>
      </c>
      <c r="B1621" s="233">
        <v>13</v>
      </c>
      <c r="C1621" s="233">
        <v>13</v>
      </c>
      <c r="D1621" s="234">
        <v>1</v>
      </c>
      <c r="E1621" s="234">
        <v>0</v>
      </c>
      <c r="G1621" s="507"/>
      <c r="H1621" s="487" t="s">
        <v>1237</v>
      </c>
      <c r="I1621" s="452" t="s">
        <v>4917</v>
      </c>
      <c r="J1621" s="489" t="s">
        <v>24</v>
      </c>
      <c r="K1621" s="490"/>
      <c r="L1621" s="491"/>
      <c r="M1621" s="491"/>
      <c r="N1621" s="456">
        <v>3218.1447720000001</v>
      </c>
      <c r="O1621" s="492">
        <v>0.19213183137339401</v>
      </c>
      <c r="P1621" s="430"/>
    </row>
    <row r="1622" spans="1:16" ht="13.5" hidden="1" customHeight="1" outlineLevel="3" x14ac:dyDescent="0.2">
      <c r="A1622" s="233">
        <v>0</v>
      </c>
      <c r="B1622" s="233">
        <v>13</v>
      </c>
      <c r="C1622" s="233">
        <v>13</v>
      </c>
      <c r="D1622" s="234">
        <v>1</v>
      </c>
      <c r="E1622" s="234">
        <v>1</v>
      </c>
      <c r="G1622" s="508" t="s">
        <v>23</v>
      </c>
      <c r="H1622" s="493" t="s">
        <v>1238</v>
      </c>
      <c r="I1622" s="460" t="s">
        <v>4918</v>
      </c>
      <c r="J1622" s="495" t="s">
        <v>441</v>
      </c>
      <c r="K1622" s="496" t="s">
        <v>641</v>
      </c>
      <c r="L1622" s="497">
        <v>113.23</v>
      </c>
      <c r="M1622" s="497">
        <v>7.0658999999999992</v>
      </c>
      <c r="N1622" s="464">
        <v>800.07185700000002</v>
      </c>
      <c r="O1622" s="498" t="s">
        <v>2928</v>
      </c>
      <c r="P1622" s="431" t="s">
        <v>6711</v>
      </c>
    </row>
    <row r="1623" spans="1:16" ht="13.5" hidden="1" customHeight="1" outlineLevel="3" x14ac:dyDescent="0.2">
      <c r="A1623" s="233">
        <v>0</v>
      </c>
      <c r="B1623" s="233">
        <v>13</v>
      </c>
      <c r="C1623" s="233">
        <v>13</v>
      </c>
      <c r="D1623" s="234">
        <v>1</v>
      </c>
      <c r="E1623" s="234">
        <v>2</v>
      </c>
      <c r="G1623" s="508" t="s">
        <v>23</v>
      </c>
      <c r="H1623" s="493" t="s">
        <v>1238</v>
      </c>
      <c r="I1623" s="460" t="s">
        <v>4919</v>
      </c>
      <c r="J1623" s="495" t="s">
        <v>443</v>
      </c>
      <c r="K1623" s="496" t="s">
        <v>641</v>
      </c>
      <c r="L1623" s="497">
        <v>48.99</v>
      </c>
      <c r="M1623" s="497">
        <v>49.358499999999999</v>
      </c>
      <c r="N1623" s="464">
        <v>2418.0729150000002</v>
      </c>
      <c r="O1623" s="498" t="s">
        <v>2929</v>
      </c>
      <c r="P1623" s="431" t="s">
        <v>6711</v>
      </c>
    </row>
    <row r="1624" spans="1:16" ht="13.5" hidden="1" customHeight="1" outlineLevel="2" x14ac:dyDescent="0.2">
      <c r="A1624" s="233">
        <v>0</v>
      </c>
      <c r="B1624" s="233">
        <v>13</v>
      </c>
      <c r="C1624" s="233">
        <v>13</v>
      </c>
      <c r="D1624" s="234">
        <v>2</v>
      </c>
      <c r="E1624" s="234">
        <v>0</v>
      </c>
      <c r="G1624" s="507"/>
      <c r="H1624" s="487" t="s">
        <v>1237</v>
      </c>
      <c r="I1624" s="452" t="s">
        <v>4920</v>
      </c>
      <c r="J1624" s="489" t="s">
        <v>2925</v>
      </c>
      <c r="K1624" s="490"/>
      <c r="L1624" s="491"/>
      <c r="M1624" s="491"/>
      <c r="N1624" s="456">
        <v>13811.860182</v>
      </c>
      <c r="O1624" s="492"/>
      <c r="P1624" s="430"/>
    </row>
    <row r="1625" spans="1:16" ht="13.5" hidden="1" customHeight="1" outlineLevel="3" x14ac:dyDescent="0.2">
      <c r="A1625" s="233">
        <v>0</v>
      </c>
      <c r="B1625" s="233">
        <v>13</v>
      </c>
      <c r="C1625" s="233">
        <v>13</v>
      </c>
      <c r="D1625" s="234">
        <v>2</v>
      </c>
      <c r="E1625" s="234">
        <v>1</v>
      </c>
      <c r="G1625" s="508" t="s">
        <v>23</v>
      </c>
      <c r="H1625" s="493" t="s">
        <v>1238</v>
      </c>
      <c r="I1625" s="460" t="s">
        <v>4921</v>
      </c>
      <c r="J1625" s="495" t="s">
        <v>2912</v>
      </c>
      <c r="K1625" s="496" t="s">
        <v>641</v>
      </c>
      <c r="L1625" s="497">
        <v>48.1</v>
      </c>
      <c r="M1625" s="497">
        <v>133.18049999999999</v>
      </c>
      <c r="N1625" s="464">
        <v>6405.9820499999996</v>
      </c>
      <c r="O1625" s="498" t="s">
        <v>2914</v>
      </c>
      <c r="P1625" s="431" t="s">
        <v>6711</v>
      </c>
    </row>
    <row r="1626" spans="1:16" ht="13.5" hidden="1" customHeight="1" outlineLevel="3" x14ac:dyDescent="0.2">
      <c r="A1626" s="233">
        <v>0</v>
      </c>
      <c r="B1626" s="233">
        <v>13</v>
      </c>
      <c r="C1626" s="233">
        <v>13</v>
      </c>
      <c r="D1626" s="234">
        <v>2</v>
      </c>
      <c r="E1626" s="234">
        <v>2</v>
      </c>
      <c r="G1626" s="508" t="s">
        <v>23</v>
      </c>
      <c r="H1626" s="493" t="s">
        <v>1238</v>
      </c>
      <c r="I1626" s="460" t="s">
        <v>4922</v>
      </c>
      <c r="J1626" s="495" t="s">
        <v>2910</v>
      </c>
      <c r="K1626" s="496" t="s">
        <v>641</v>
      </c>
      <c r="L1626" s="497">
        <v>49.74</v>
      </c>
      <c r="M1626" s="497">
        <v>148.89179999999999</v>
      </c>
      <c r="N1626" s="464">
        <v>7405.8781319999998</v>
      </c>
      <c r="O1626" s="498" t="s">
        <v>2918</v>
      </c>
      <c r="P1626" s="431" t="s">
        <v>6711</v>
      </c>
    </row>
    <row r="1627" spans="1:16" ht="13.5" hidden="1" customHeight="1" outlineLevel="2" x14ac:dyDescent="0.2">
      <c r="A1627" s="233">
        <v>0</v>
      </c>
      <c r="B1627" s="233">
        <v>13</v>
      </c>
      <c r="C1627" s="233">
        <v>13</v>
      </c>
      <c r="D1627" s="234">
        <v>3</v>
      </c>
      <c r="E1627" s="234">
        <v>0</v>
      </c>
      <c r="G1627" s="507"/>
      <c r="H1627" s="487" t="s">
        <v>1237</v>
      </c>
      <c r="I1627" s="452" t="s">
        <v>4923</v>
      </c>
      <c r="J1627" s="489" t="s">
        <v>2317</v>
      </c>
      <c r="K1627" s="490"/>
      <c r="L1627" s="491"/>
      <c r="M1627" s="491"/>
      <c r="N1627" s="456">
        <v>3346.825965</v>
      </c>
      <c r="O1627" s="492"/>
      <c r="P1627" s="430"/>
    </row>
    <row r="1628" spans="1:16" ht="13.5" hidden="1" customHeight="1" outlineLevel="3" x14ac:dyDescent="0.2">
      <c r="A1628" s="233">
        <v>0</v>
      </c>
      <c r="B1628" s="233">
        <v>13</v>
      </c>
      <c r="C1628" s="233">
        <v>13</v>
      </c>
      <c r="D1628" s="234">
        <v>3</v>
      </c>
      <c r="E1628" s="234">
        <v>1</v>
      </c>
      <c r="G1628" s="508" t="s">
        <v>23</v>
      </c>
      <c r="H1628" s="493" t="s">
        <v>1238</v>
      </c>
      <c r="I1628" s="460" t="s">
        <v>4924</v>
      </c>
      <c r="J1628" s="495" t="s">
        <v>2912</v>
      </c>
      <c r="K1628" s="496" t="s">
        <v>641</v>
      </c>
      <c r="L1628" s="497">
        <v>25.130000000000003</v>
      </c>
      <c r="M1628" s="497">
        <v>133.18049999999999</v>
      </c>
      <c r="N1628" s="464">
        <v>3346.825965</v>
      </c>
      <c r="O1628" s="498" t="s">
        <v>2083</v>
      </c>
      <c r="P1628" s="431" t="s">
        <v>6711</v>
      </c>
    </row>
    <row r="1629" spans="1:16" ht="13.5" hidden="1" customHeight="1" outlineLevel="2" x14ac:dyDescent="0.2">
      <c r="A1629" s="233">
        <v>0</v>
      </c>
      <c r="B1629" s="233">
        <v>13</v>
      </c>
      <c r="C1629" s="233">
        <v>13</v>
      </c>
      <c r="D1629" s="234">
        <v>4</v>
      </c>
      <c r="E1629" s="234">
        <v>0</v>
      </c>
      <c r="G1629" s="507"/>
      <c r="H1629" s="487" t="s">
        <v>1237</v>
      </c>
      <c r="I1629" s="452" t="s">
        <v>4925</v>
      </c>
      <c r="J1629" s="489" t="s">
        <v>2924</v>
      </c>
      <c r="K1629" s="490"/>
      <c r="L1629" s="491"/>
      <c r="M1629" s="491"/>
      <c r="N1629" s="456">
        <v>2361.25691166667</v>
      </c>
      <c r="O1629" s="492"/>
      <c r="P1629" s="430"/>
    </row>
    <row r="1630" spans="1:16" ht="13.5" hidden="1" customHeight="1" outlineLevel="3" x14ac:dyDescent="0.2">
      <c r="A1630" s="233">
        <v>0</v>
      </c>
      <c r="B1630" s="233">
        <v>13</v>
      </c>
      <c r="C1630" s="233">
        <v>13</v>
      </c>
      <c r="D1630" s="234">
        <v>4</v>
      </c>
      <c r="E1630" s="234">
        <v>1</v>
      </c>
      <c r="G1630" s="508" t="s">
        <v>23</v>
      </c>
      <c r="H1630" s="493" t="s">
        <v>1238</v>
      </c>
      <c r="I1630" s="460" t="s">
        <v>4926</v>
      </c>
      <c r="J1630" s="495" t="s">
        <v>2907</v>
      </c>
      <c r="K1630" s="496" t="s">
        <v>641</v>
      </c>
      <c r="L1630" s="497">
        <v>34.660000000000004</v>
      </c>
      <c r="M1630" s="497">
        <v>34.058466666666661</v>
      </c>
      <c r="N1630" s="464">
        <v>1180.46645466667</v>
      </c>
      <c r="O1630" s="498" t="s">
        <v>2916</v>
      </c>
      <c r="P1630" s="431" t="s">
        <v>6711</v>
      </c>
    </row>
    <row r="1631" spans="1:16" ht="13.5" hidden="1" customHeight="1" outlineLevel="3" x14ac:dyDescent="0.2">
      <c r="A1631" s="233">
        <v>0</v>
      </c>
      <c r="B1631" s="233">
        <v>13</v>
      </c>
      <c r="C1631" s="233">
        <v>13</v>
      </c>
      <c r="D1631" s="234">
        <v>4</v>
      </c>
      <c r="E1631" s="234">
        <v>2</v>
      </c>
      <c r="G1631" s="508" t="s">
        <v>23</v>
      </c>
      <c r="H1631" s="493" t="s">
        <v>1238</v>
      </c>
      <c r="I1631" s="460" t="s">
        <v>4927</v>
      </c>
      <c r="J1631" s="495" t="s">
        <v>2910</v>
      </c>
      <c r="K1631" s="496" t="s">
        <v>641</v>
      </c>
      <c r="L1631" s="497">
        <v>4.29</v>
      </c>
      <c r="M1631" s="497">
        <v>148.89179999999999</v>
      </c>
      <c r="N1631" s="464">
        <v>638.74582199999998</v>
      </c>
      <c r="O1631" s="498" t="s">
        <v>2917</v>
      </c>
      <c r="P1631" s="431" t="s">
        <v>6711</v>
      </c>
    </row>
    <row r="1632" spans="1:16" ht="13.5" hidden="1" customHeight="1" outlineLevel="3" x14ac:dyDescent="0.2">
      <c r="A1632" s="233">
        <v>0</v>
      </c>
      <c r="B1632" s="233">
        <v>13</v>
      </c>
      <c r="C1632" s="233">
        <v>13</v>
      </c>
      <c r="D1632" s="234">
        <v>4</v>
      </c>
      <c r="E1632" s="234">
        <v>3</v>
      </c>
      <c r="G1632" s="508" t="s">
        <v>23</v>
      </c>
      <c r="H1632" s="493" t="s">
        <v>1238</v>
      </c>
      <c r="I1632" s="460" t="s">
        <v>4928</v>
      </c>
      <c r="J1632" s="495" t="s">
        <v>2912</v>
      </c>
      <c r="K1632" s="496" t="s">
        <v>641</v>
      </c>
      <c r="L1632" s="497">
        <v>4.07</v>
      </c>
      <c r="M1632" s="497">
        <v>133.18049999999999</v>
      </c>
      <c r="N1632" s="464">
        <v>542.04463499999997</v>
      </c>
      <c r="O1632" s="498" t="s">
        <v>2920</v>
      </c>
      <c r="P1632" s="431" t="s">
        <v>6711</v>
      </c>
    </row>
    <row r="1633" spans="1:16" ht="13.5" hidden="1" customHeight="1" outlineLevel="2" x14ac:dyDescent="0.2">
      <c r="A1633" s="233">
        <v>0</v>
      </c>
      <c r="B1633" s="233">
        <v>13</v>
      </c>
      <c r="C1633" s="233">
        <v>13</v>
      </c>
      <c r="D1633" s="234">
        <v>5</v>
      </c>
      <c r="E1633" s="234">
        <v>0</v>
      </c>
      <c r="G1633" s="507"/>
      <c r="H1633" s="487" t="s">
        <v>1237</v>
      </c>
      <c r="I1633" s="452" t="s">
        <v>4929</v>
      </c>
      <c r="J1633" s="489" t="s">
        <v>2318</v>
      </c>
      <c r="K1633" s="490"/>
      <c r="L1633" s="491"/>
      <c r="M1633" s="491"/>
      <c r="N1633" s="456">
        <v>1330.66429266667</v>
      </c>
      <c r="O1633" s="492"/>
      <c r="P1633" s="430"/>
    </row>
    <row r="1634" spans="1:16" ht="13.5" hidden="1" customHeight="1" outlineLevel="3" x14ac:dyDescent="0.2">
      <c r="A1634" s="233">
        <v>0</v>
      </c>
      <c r="B1634" s="233">
        <v>13</v>
      </c>
      <c r="C1634" s="233">
        <v>13</v>
      </c>
      <c r="D1634" s="234">
        <v>5</v>
      </c>
      <c r="E1634" s="234">
        <v>1</v>
      </c>
      <c r="G1634" s="508" t="s">
        <v>23</v>
      </c>
      <c r="H1634" s="493" t="s">
        <v>1238</v>
      </c>
      <c r="I1634" s="460" t="s">
        <v>4930</v>
      </c>
      <c r="J1634" s="495" t="s">
        <v>2907</v>
      </c>
      <c r="K1634" s="496" t="s">
        <v>641</v>
      </c>
      <c r="L1634" s="497">
        <v>39.07</v>
      </c>
      <c r="M1634" s="497">
        <v>34.058466666666661</v>
      </c>
      <c r="N1634" s="464">
        <v>1330.66429266667</v>
      </c>
      <c r="O1634" s="498"/>
      <c r="P1634" s="431" t="s">
        <v>6711</v>
      </c>
    </row>
    <row r="1635" spans="1:16" ht="13.5" hidden="1" customHeight="1" outlineLevel="2" x14ac:dyDescent="0.2">
      <c r="A1635" s="233">
        <v>0</v>
      </c>
      <c r="B1635" s="233">
        <v>13</v>
      </c>
      <c r="C1635" s="233">
        <v>13</v>
      </c>
      <c r="D1635" s="234">
        <v>6</v>
      </c>
      <c r="E1635" s="234">
        <v>0</v>
      </c>
      <c r="G1635" s="507"/>
      <c r="H1635" s="487" t="s">
        <v>1237</v>
      </c>
      <c r="I1635" s="452" t="s">
        <v>4931</v>
      </c>
      <c r="J1635" s="489" t="s">
        <v>2319</v>
      </c>
      <c r="K1635" s="490"/>
      <c r="L1635" s="491"/>
      <c r="M1635" s="491"/>
      <c r="N1635" s="456">
        <v>70.080119999999994</v>
      </c>
      <c r="O1635" s="492"/>
      <c r="P1635" s="430"/>
    </row>
    <row r="1636" spans="1:16" ht="13.5" hidden="1" customHeight="1" outlineLevel="3" x14ac:dyDescent="0.2">
      <c r="A1636" s="233">
        <v>0</v>
      </c>
      <c r="B1636" s="233">
        <v>13</v>
      </c>
      <c r="C1636" s="233">
        <v>13</v>
      </c>
      <c r="D1636" s="234">
        <v>6</v>
      </c>
      <c r="E1636" s="234">
        <v>1</v>
      </c>
      <c r="G1636" s="508" t="s">
        <v>23</v>
      </c>
      <c r="H1636" s="493" t="s">
        <v>1238</v>
      </c>
      <c r="I1636" s="460" t="s">
        <v>4932</v>
      </c>
      <c r="J1636" s="495" t="s">
        <v>1616</v>
      </c>
      <c r="K1636" s="496" t="s">
        <v>533</v>
      </c>
      <c r="L1636" s="497">
        <v>8</v>
      </c>
      <c r="M1636" s="497">
        <v>8.760015000000001</v>
      </c>
      <c r="N1636" s="464">
        <v>70.080119999999994</v>
      </c>
      <c r="O1636" s="498"/>
      <c r="P1636" s="431" t="s">
        <v>6711</v>
      </c>
    </row>
    <row r="1637" spans="1:16" ht="13.5" hidden="1" customHeight="1" outlineLevel="2" x14ac:dyDescent="0.2">
      <c r="A1637" s="233">
        <v>0</v>
      </c>
      <c r="B1637" s="233">
        <v>13</v>
      </c>
      <c r="C1637" s="233">
        <v>13</v>
      </c>
      <c r="D1637" s="234">
        <v>7</v>
      </c>
      <c r="E1637" s="234">
        <v>0</v>
      </c>
      <c r="G1637" s="507"/>
      <c r="H1637" s="487" t="s">
        <v>1237</v>
      </c>
      <c r="I1637" s="452" t="s">
        <v>4933</v>
      </c>
      <c r="J1637" s="489" t="s">
        <v>1247</v>
      </c>
      <c r="K1637" s="490"/>
      <c r="L1637" s="491"/>
      <c r="M1637" s="491"/>
      <c r="N1637" s="456">
        <v>12486.37</v>
      </c>
      <c r="O1637" s="492"/>
      <c r="P1637" s="430"/>
    </row>
    <row r="1638" spans="1:16" ht="13.5" hidden="1" customHeight="1" outlineLevel="3" x14ac:dyDescent="0.2">
      <c r="A1638" s="233">
        <v>0</v>
      </c>
      <c r="B1638" s="233">
        <v>13</v>
      </c>
      <c r="C1638" s="233">
        <v>13</v>
      </c>
      <c r="D1638" s="234">
        <v>7</v>
      </c>
      <c r="E1638" s="234">
        <v>1</v>
      </c>
      <c r="G1638" s="508" t="s">
        <v>23</v>
      </c>
      <c r="H1638" s="493" t="s">
        <v>1238</v>
      </c>
      <c r="I1638" s="460" t="s">
        <v>4934</v>
      </c>
      <c r="J1638" s="495" t="s">
        <v>469</v>
      </c>
      <c r="K1638" s="496" t="s">
        <v>641</v>
      </c>
      <c r="L1638" s="497">
        <v>113.23</v>
      </c>
      <c r="M1638" s="497">
        <v>20</v>
      </c>
      <c r="N1638" s="464">
        <v>2264.6</v>
      </c>
      <c r="O1638" s="498"/>
      <c r="P1638" s="431" t="s">
        <v>6711</v>
      </c>
    </row>
    <row r="1639" spans="1:16" ht="13.5" hidden="1" customHeight="1" outlineLevel="3" x14ac:dyDescent="0.2">
      <c r="A1639" s="233">
        <v>0</v>
      </c>
      <c r="B1639" s="233">
        <v>13</v>
      </c>
      <c r="C1639" s="233">
        <v>13</v>
      </c>
      <c r="D1639" s="234">
        <v>7</v>
      </c>
      <c r="E1639" s="234">
        <v>2</v>
      </c>
      <c r="G1639" s="508" t="s">
        <v>23</v>
      </c>
      <c r="H1639" s="493" t="s">
        <v>1238</v>
      </c>
      <c r="I1639" s="460" t="s">
        <v>4935</v>
      </c>
      <c r="J1639" s="495" t="s">
        <v>470</v>
      </c>
      <c r="K1639" s="496" t="s">
        <v>641</v>
      </c>
      <c r="L1639" s="497">
        <v>48.99</v>
      </c>
      <c r="M1639" s="497">
        <v>35</v>
      </c>
      <c r="N1639" s="464">
        <v>1714.65</v>
      </c>
      <c r="O1639" s="498"/>
      <c r="P1639" s="431" t="s">
        <v>6711</v>
      </c>
    </row>
    <row r="1640" spans="1:16" ht="13.5" hidden="1" customHeight="1" outlineLevel="3" x14ac:dyDescent="0.2">
      <c r="A1640" s="233">
        <v>0</v>
      </c>
      <c r="B1640" s="233">
        <v>13</v>
      </c>
      <c r="C1640" s="233">
        <v>13</v>
      </c>
      <c r="D1640" s="234">
        <v>7</v>
      </c>
      <c r="E1640" s="234">
        <v>3</v>
      </c>
      <c r="G1640" s="508" t="s">
        <v>23</v>
      </c>
      <c r="H1640" s="493" t="s">
        <v>1238</v>
      </c>
      <c r="I1640" s="460" t="s">
        <v>4936</v>
      </c>
      <c r="J1640" s="495" t="s">
        <v>2931</v>
      </c>
      <c r="K1640" s="496" t="s">
        <v>641</v>
      </c>
      <c r="L1640" s="497">
        <v>73.73</v>
      </c>
      <c r="M1640" s="497">
        <v>32</v>
      </c>
      <c r="N1640" s="464">
        <v>2359.36</v>
      </c>
      <c r="O1640" s="498"/>
      <c r="P1640" s="431" t="s">
        <v>6711</v>
      </c>
    </row>
    <row r="1641" spans="1:16" ht="13.5" hidden="1" customHeight="1" outlineLevel="3" x14ac:dyDescent="0.2">
      <c r="A1641" s="233">
        <v>0</v>
      </c>
      <c r="B1641" s="233">
        <v>13</v>
      </c>
      <c r="C1641" s="233">
        <v>13</v>
      </c>
      <c r="D1641" s="234">
        <v>7</v>
      </c>
      <c r="E1641" s="234">
        <v>4</v>
      </c>
      <c r="G1641" s="508" t="s">
        <v>23</v>
      </c>
      <c r="H1641" s="493" t="s">
        <v>1238</v>
      </c>
      <c r="I1641" s="460" t="s">
        <v>4937</v>
      </c>
      <c r="J1641" s="495" t="s">
        <v>2935</v>
      </c>
      <c r="K1641" s="496" t="s">
        <v>641</v>
      </c>
      <c r="L1641" s="497">
        <v>77.300000000000011</v>
      </c>
      <c r="M1641" s="497">
        <v>45</v>
      </c>
      <c r="N1641" s="464">
        <v>3478.5</v>
      </c>
      <c r="O1641" s="498"/>
      <c r="P1641" s="431" t="s">
        <v>6711</v>
      </c>
    </row>
    <row r="1642" spans="1:16" ht="13.5" hidden="1" customHeight="1" outlineLevel="3" x14ac:dyDescent="0.2">
      <c r="A1642" s="233">
        <v>0</v>
      </c>
      <c r="B1642" s="233">
        <v>13</v>
      </c>
      <c r="C1642" s="233">
        <v>13</v>
      </c>
      <c r="D1642" s="234">
        <v>7</v>
      </c>
      <c r="E1642" s="234">
        <v>5</v>
      </c>
      <c r="G1642" s="508" t="s">
        <v>23</v>
      </c>
      <c r="H1642" s="493" t="s">
        <v>1238</v>
      </c>
      <c r="I1642" s="460" t="s">
        <v>4938</v>
      </c>
      <c r="J1642" s="495" t="s">
        <v>2938</v>
      </c>
      <c r="K1642" s="496" t="s">
        <v>641</v>
      </c>
      <c r="L1642" s="497">
        <v>54.03</v>
      </c>
      <c r="M1642" s="497">
        <v>42</v>
      </c>
      <c r="N1642" s="464">
        <v>2269.2600000000002</v>
      </c>
      <c r="O1642" s="498"/>
      <c r="P1642" s="431" t="s">
        <v>6711</v>
      </c>
    </row>
    <row r="1643" spans="1:16" ht="13.5" hidden="1" customHeight="1" outlineLevel="3" x14ac:dyDescent="0.2">
      <c r="A1643" s="233">
        <v>0</v>
      </c>
      <c r="B1643" s="233">
        <v>13</v>
      </c>
      <c r="C1643" s="233">
        <v>13</v>
      </c>
      <c r="D1643" s="234">
        <v>7</v>
      </c>
      <c r="E1643" s="234">
        <v>6</v>
      </c>
      <c r="G1643" s="508" t="s">
        <v>23</v>
      </c>
      <c r="H1643" s="493" t="s">
        <v>1238</v>
      </c>
      <c r="I1643" s="460" t="s">
        <v>4939</v>
      </c>
      <c r="J1643" s="461" t="s">
        <v>477</v>
      </c>
      <c r="K1643" s="496" t="s">
        <v>533</v>
      </c>
      <c r="L1643" s="497">
        <v>8</v>
      </c>
      <c r="M1643" s="497">
        <v>50</v>
      </c>
      <c r="N1643" s="464">
        <v>400</v>
      </c>
      <c r="O1643" s="498"/>
      <c r="P1643" s="431" t="s">
        <v>6711</v>
      </c>
    </row>
    <row r="1644" spans="1:16" ht="13.5" hidden="1" customHeight="1" outlineLevel="1" x14ac:dyDescent="0.2">
      <c r="A1644" s="233">
        <v>0</v>
      </c>
      <c r="B1644" s="233">
        <v>13</v>
      </c>
      <c r="C1644" s="233">
        <v>14</v>
      </c>
      <c r="D1644" s="234">
        <v>0</v>
      </c>
      <c r="E1644" s="234">
        <v>6</v>
      </c>
      <c r="G1644" s="506"/>
      <c r="H1644" s="481" t="s">
        <v>38</v>
      </c>
      <c r="I1644" s="445" t="s">
        <v>4940</v>
      </c>
      <c r="J1644" s="483" t="s">
        <v>2372</v>
      </c>
      <c r="K1644" s="484"/>
      <c r="L1644" s="485"/>
      <c r="M1644" s="485"/>
      <c r="N1644" s="449">
        <v>52519.731890666699</v>
      </c>
      <c r="O1644" s="486">
        <v>3.1355681569049798</v>
      </c>
      <c r="P1644" s="429"/>
    </row>
    <row r="1645" spans="1:16" ht="13.5" hidden="1" customHeight="1" outlineLevel="2" x14ac:dyDescent="0.2">
      <c r="A1645" s="233">
        <v>0</v>
      </c>
      <c r="B1645" s="233">
        <v>13</v>
      </c>
      <c r="C1645" s="233">
        <v>14</v>
      </c>
      <c r="D1645" s="234">
        <v>1</v>
      </c>
      <c r="E1645" s="234">
        <v>0</v>
      </c>
      <c r="G1645" s="507"/>
      <c r="H1645" s="487" t="s">
        <v>1237</v>
      </c>
      <c r="I1645" s="452" t="s">
        <v>4941</v>
      </c>
      <c r="J1645" s="489" t="s">
        <v>24</v>
      </c>
      <c r="K1645" s="490"/>
      <c r="L1645" s="491"/>
      <c r="M1645" s="491"/>
      <c r="N1645" s="456">
        <v>8242.1708909999998</v>
      </c>
      <c r="O1645" s="492">
        <v>0.49207959864283901</v>
      </c>
      <c r="P1645" s="430"/>
    </row>
    <row r="1646" spans="1:16" ht="13.5" hidden="1" customHeight="1" outlineLevel="3" x14ac:dyDescent="0.2">
      <c r="A1646" s="233">
        <v>0</v>
      </c>
      <c r="B1646" s="233">
        <v>13</v>
      </c>
      <c r="C1646" s="233">
        <v>14</v>
      </c>
      <c r="D1646" s="234">
        <v>1</v>
      </c>
      <c r="E1646" s="234">
        <v>1</v>
      </c>
      <c r="G1646" s="508" t="s">
        <v>23</v>
      </c>
      <c r="H1646" s="493" t="s">
        <v>1238</v>
      </c>
      <c r="I1646" s="460" t="s">
        <v>4942</v>
      </c>
      <c r="J1646" s="495" t="s">
        <v>441</v>
      </c>
      <c r="K1646" s="496" t="s">
        <v>641</v>
      </c>
      <c r="L1646" s="497">
        <v>158.89000000000001</v>
      </c>
      <c r="M1646" s="497">
        <v>7.0658999999999992</v>
      </c>
      <c r="N1646" s="464">
        <v>1122.7008510000001</v>
      </c>
      <c r="O1646" s="498" t="s">
        <v>2928</v>
      </c>
      <c r="P1646" s="431" t="s">
        <v>6711</v>
      </c>
    </row>
    <row r="1647" spans="1:16" ht="13.5" hidden="1" customHeight="1" outlineLevel="3" x14ac:dyDescent="0.2">
      <c r="A1647" s="233">
        <v>0</v>
      </c>
      <c r="B1647" s="233">
        <v>13</v>
      </c>
      <c r="C1647" s="233">
        <v>14</v>
      </c>
      <c r="D1647" s="234">
        <v>1</v>
      </c>
      <c r="E1647" s="234">
        <v>2</v>
      </c>
      <c r="G1647" s="508" t="s">
        <v>23</v>
      </c>
      <c r="H1647" s="493" t="s">
        <v>1238</v>
      </c>
      <c r="I1647" s="460" t="s">
        <v>4943</v>
      </c>
      <c r="J1647" s="495" t="s">
        <v>443</v>
      </c>
      <c r="K1647" s="496" t="s">
        <v>641</v>
      </c>
      <c r="L1647" s="497">
        <v>144.24</v>
      </c>
      <c r="M1647" s="497">
        <v>49.358499999999999</v>
      </c>
      <c r="N1647" s="464">
        <v>7119.4700400000002</v>
      </c>
      <c r="O1647" s="498" t="s">
        <v>2929</v>
      </c>
      <c r="P1647" s="431" t="s">
        <v>6711</v>
      </c>
    </row>
    <row r="1648" spans="1:16" ht="13.5" hidden="1" customHeight="1" outlineLevel="2" x14ac:dyDescent="0.2">
      <c r="A1648" s="233">
        <v>0</v>
      </c>
      <c r="B1648" s="233">
        <v>13</v>
      </c>
      <c r="C1648" s="233">
        <v>14</v>
      </c>
      <c r="D1648" s="234">
        <v>2</v>
      </c>
      <c r="E1648" s="234">
        <v>0</v>
      </c>
      <c r="G1648" s="507"/>
      <c r="H1648" s="487" t="s">
        <v>1237</v>
      </c>
      <c r="I1648" s="452" t="s">
        <v>4944</v>
      </c>
      <c r="J1648" s="489" t="s">
        <v>2925</v>
      </c>
      <c r="K1648" s="490"/>
      <c r="L1648" s="491"/>
      <c r="M1648" s="491"/>
      <c r="N1648" s="456">
        <v>24517.525449000001</v>
      </c>
      <c r="O1648" s="492"/>
      <c r="P1648" s="430"/>
    </row>
    <row r="1649" spans="1:16" ht="13.5" hidden="1" customHeight="1" outlineLevel="3" x14ac:dyDescent="0.2">
      <c r="A1649" s="233">
        <v>0</v>
      </c>
      <c r="B1649" s="233">
        <v>13</v>
      </c>
      <c r="C1649" s="233">
        <v>14</v>
      </c>
      <c r="D1649" s="234">
        <v>2</v>
      </c>
      <c r="E1649" s="234">
        <v>1</v>
      </c>
      <c r="G1649" s="508" t="s">
        <v>23</v>
      </c>
      <c r="H1649" s="493" t="s">
        <v>1238</v>
      </c>
      <c r="I1649" s="460" t="s">
        <v>4945</v>
      </c>
      <c r="J1649" s="495" t="s">
        <v>2912</v>
      </c>
      <c r="K1649" s="496" t="s">
        <v>641</v>
      </c>
      <c r="L1649" s="497">
        <v>173.55</v>
      </c>
      <c r="M1649" s="497">
        <v>133.18049999999999</v>
      </c>
      <c r="N1649" s="464">
        <v>23113.475774999999</v>
      </c>
      <c r="O1649" s="498" t="s">
        <v>2914</v>
      </c>
      <c r="P1649" s="431" t="s">
        <v>6711</v>
      </c>
    </row>
    <row r="1650" spans="1:16" ht="13.5" hidden="1" customHeight="1" outlineLevel="3" x14ac:dyDescent="0.2">
      <c r="A1650" s="233">
        <v>0</v>
      </c>
      <c r="B1650" s="233">
        <v>13</v>
      </c>
      <c r="C1650" s="233">
        <v>14</v>
      </c>
      <c r="D1650" s="234">
        <v>2</v>
      </c>
      <c r="E1650" s="234">
        <v>2</v>
      </c>
      <c r="G1650" s="508" t="s">
        <v>23</v>
      </c>
      <c r="H1650" s="493" t="s">
        <v>1238</v>
      </c>
      <c r="I1650" s="460" t="s">
        <v>4946</v>
      </c>
      <c r="J1650" s="495" t="s">
        <v>2910</v>
      </c>
      <c r="K1650" s="496" t="s">
        <v>641</v>
      </c>
      <c r="L1650" s="497">
        <v>9.43</v>
      </c>
      <c r="M1650" s="497">
        <v>148.89179999999999</v>
      </c>
      <c r="N1650" s="464">
        <v>1404.0496740000001</v>
      </c>
      <c r="O1650" s="498" t="s">
        <v>2918</v>
      </c>
      <c r="P1650" s="431" t="s">
        <v>6711</v>
      </c>
    </row>
    <row r="1651" spans="1:16" ht="13.5" hidden="1" customHeight="1" outlineLevel="2" x14ac:dyDescent="0.2">
      <c r="A1651" s="233">
        <v>0</v>
      </c>
      <c r="B1651" s="233">
        <v>13</v>
      </c>
      <c r="C1651" s="233">
        <v>14</v>
      </c>
      <c r="D1651" s="234">
        <v>3</v>
      </c>
      <c r="E1651" s="234">
        <v>0</v>
      </c>
      <c r="G1651" s="507"/>
      <c r="H1651" s="487" t="s">
        <v>1237</v>
      </c>
      <c r="I1651" s="452" t="s">
        <v>4947</v>
      </c>
      <c r="J1651" s="489" t="s">
        <v>2924</v>
      </c>
      <c r="K1651" s="490"/>
      <c r="L1651" s="491"/>
      <c r="M1651" s="491"/>
      <c r="N1651" s="456">
        <v>1663.7560966666699</v>
      </c>
      <c r="O1651" s="492"/>
      <c r="P1651" s="430"/>
    </row>
    <row r="1652" spans="1:16" ht="13.5" hidden="1" customHeight="1" outlineLevel="3" x14ac:dyDescent="0.2">
      <c r="A1652" s="233">
        <v>0</v>
      </c>
      <c r="B1652" s="233">
        <v>13</v>
      </c>
      <c r="C1652" s="233">
        <v>14</v>
      </c>
      <c r="D1652" s="234">
        <v>3</v>
      </c>
      <c r="E1652" s="234">
        <v>1</v>
      </c>
      <c r="G1652" s="508" t="s">
        <v>23</v>
      </c>
      <c r="H1652" s="493" t="s">
        <v>1238</v>
      </c>
      <c r="I1652" s="460" t="s">
        <v>4948</v>
      </c>
      <c r="J1652" s="495" t="s">
        <v>2907</v>
      </c>
      <c r="K1652" s="496" t="s">
        <v>641</v>
      </c>
      <c r="L1652" s="497">
        <v>48.849999999999994</v>
      </c>
      <c r="M1652" s="497">
        <v>34.058466666666661</v>
      </c>
      <c r="N1652" s="464">
        <v>1663.7560966666699</v>
      </c>
      <c r="O1652" s="498" t="s">
        <v>2916</v>
      </c>
      <c r="P1652" s="431" t="s">
        <v>6711</v>
      </c>
    </row>
    <row r="1653" spans="1:16" ht="13.5" hidden="1" customHeight="1" outlineLevel="2" x14ac:dyDescent="0.2">
      <c r="A1653" s="233">
        <v>0</v>
      </c>
      <c r="B1653" s="233">
        <v>13</v>
      </c>
      <c r="C1653" s="233">
        <v>14</v>
      </c>
      <c r="D1653" s="234">
        <v>4</v>
      </c>
      <c r="E1653" s="234">
        <v>0</v>
      </c>
      <c r="G1653" s="507"/>
      <c r="H1653" s="487" t="s">
        <v>1237</v>
      </c>
      <c r="I1653" s="452" t="s">
        <v>4949</v>
      </c>
      <c r="J1653" s="489" t="s">
        <v>2318</v>
      </c>
      <c r="K1653" s="490"/>
      <c r="L1653" s="491"/>
      <c r="M1653" s="491"/>
      <c r="N1653" s="456">
        <v>52.109453999999999</v>
      </c>
      <c r="O1653" s="492"/>
      <c r="P1653" s="430"/>
    </row>
    <row r="1654" spans="1:16" ht="13.5" hidden="1" customHeight="1" outlineLevel="3" x14ac:dyDescent="0.2">
      <c r="A1654" s="233">
        <v>0</v>
      </c>
      <c r="B1654" s="233">
        <v>13</v>
      </c>
      <c r="C1654" s="233">
        <v>14</v>
      </c>
      <c r="D1654" s="234">
        <v>4</v>
      </c>
      <c r="E1654" s="234">
        <v>1</v>
      </c>
      <c r="G1654" s="508" t="s">
        <v>23</v>
      </c>
      <c r="H1654" s="493" t="s">
        <v>1238</v>
      </c>
      <c r="I1654" s="460" t="s">
        <v>4950</v>
      </c>
      <c r="J1654" s="495" t="s">
        <v>2907</v>
      </c>
      <c r="K1654" s="496" t="s">
        <v>641</v>
      </c>
      <c r="L1654" s="497">
        <v>1.53</v>
      </c>
      <c r="M1654" s="497">
        <v>34.058466666666661</v>
      </c>
      <c r="N1654" s="464">
        <v>52.109453999999999</v>
      </c>
      <c r="O1654" s="498"/>
      <c r="P1654" s="431" t="s">
        <v>6711</v>
      </c>
    </row>
    <row r="1655" spans="1:16" ht="13.5" hidden="1" customHeight="1" outlineLevel="2" x14ac:dyDescent="0.2">
      <c r="A1655" s="233">
        <v>0</v>
      </c>
      <c r="B1655" s="233">
        <v>13</v>
      </c>
      <c r="C1655" s="233">
        <v>14</v>
      </c>
      <c r="D1655" s="234">
        <v>5</v>
      </c>
      <c r="E1655" s="234">
        <v>0</v>
      </c>
      <c r="G1655" s="507"/>
      <c r="H1655" s="487" t="s">
        <v>1237</v>
      </c>
      <c r="I1655" s="452" t="s">
        <v>4951</v>
      </c>
      <c r="J1655" s="489" t="s">
        <v>1247</v>
      </c>
      <c r="K1655" s="490"/>
      <c r="L1655" s="491"/>
      <c r="M1655" s="491"/>
      <c r="N1655" s="456">
        <v>18044.169999999998</v>
      </c>
      <c r="O1655" s="492"/>
      <c r="P1655" s="430"/>
    </row>
    <row r="1656" spans="1:16" ht="13.5" hidden="1" customHeight="1" outlineLevel="3" x14ac:dyDescent="0.2">
      <c r="A1656" s="233">
        <v>0</v>
      </c>
      <c r="B1656" s="233">
        <v>13</v>
      </c>
      <c r="C1656" s="233">
        <v>14</v>
      </c>
      <c r="D1656" s="234">
        <v>5</v>
      </c>
      <c r="E1656" s="234">
        <v>1</v>
      </c>
      <c r="G1656" s="508" t="s">
        <v>23</v>
      </c>
      <c r="H1656" s="493" t="s">
        <v>1238</v>
      </c>
      <c r="I1656" s="460" t="s">
        <v>4952</v>
      </c>
      <c r="J1656" s="495" t="s">
        <v>469</v>
      </c>
      <c r="K1656" s="496" t="s">
        <v>641</v>
      </c>
      <c r="L1656" s="497">
        <v>158.89000000000001</v>
      </c>
      <c r="M1656" s="497">
        <v>20</v>
      </c>
      <c r="N1656" s="464">
        <v>3177.8</v>
      </c>
      <c r="O1656" s="498"/>
      <c r="P1656" s="431" t="s">
        <v>6711</v>
      </c>
    </row>
    <row r="1657" spans="1:16" ht="13.5" hidden="1" customHeight="1" outlineLevel="3" x14ac:dyDescent="0.2">
      <c r="A1657" s="233">
        <v>0</v>
      </c>
      <c r="B1657" s="233">
        <v>13</v>
      </c>
      <c r="C1657" s="233">
        <v>14</v>
      </c>
      <c r="D1657" s="234">
        <v>5</v>
      </c>
      <c r="E1657" s="234">
        <v>2</v>
      </c>
      <c r="G1657" s="508" t="s">
        <v>23</v>
      </c>
      <c r="H1657" s="493" t="s">
        <v>1238</v>
      </c>
      <c r="I1657" s="460" t="s">
        <v>4953</v>
      </c>
      <c r="J1657" s="495" t="s">
        <v>470</v>
      </c>
      <c r="K1657" s="496" t="s">
        <v>641</v>
      </c>
      <c r="L1657" s="497">
        <v>144.24</v>
      </c>
      <c r="M1657" s="497">
        <v>35</v>
      </c>
      <c r="N1657" s="464">
        <v>5048.3999999999996</v>
      </c>
      <c r="O1657" s="498"/>
      <c r="P1657" s="431" t="s">
        <v>6711</v>
      </c>
    </row>
    <row r="1658" spans="1:16" ht="13.5" hidden="1" customHeight="1" outlineLevel="3" x14ac:dyDescent="0.2">
      <c r="A1658" s="233">
        <v>0</v>
      </c>
      <c r="B1658" s="233">
        <v>13</v>
      </c>
      <c r="C1658" s="233">
        <v>14</v>
      </c>
      <c r="D1658" s="234">
        <v>5</v>
      </c>
      <c r="E1658" s="234">
        <v>3</v>
      </c>
      <c r="G1658" s="508" t="s">
        <v>23</v>
      </c>
      <c r="H1658" s="493" t="s">
        <v>1238</v>
      </c>
      <c r="I1658" s="460" t="s">
        <v>4954</v>
      </c>
      <c r="J1658" s="495" t="s">
        <v>2931</v>
      </c>
      <c r="K1658" s="496" t="s">
        <v>641</v>
      </c>
      <c r="L1658" s="497">
        <v>50.379999999999995</v>
      </c>
      <c r="M1658" s="497">
        <v>32</v>
      </c>
      <c r="N1658" s="464">
        <v>1612.16</v>
      </c>
      <c r="O1658" s="498"/>
      <c r="P1658" s="431" t="s">
        <v>6711</v>
      </c>
    </row>
    <row r="1659" spans="1:16" ht="13.5" hidden="1" customHeight="1" outlineLevel="3" x14ac:dyDescent="0.2">
      <c r="A1659" s="233">
        <v>0</v>
      </c>
      <c r="B1659" s="233">
        <v>13</v>
      </c>
      <c r="C1659" s="233">
        <v>14</v>
      </c>
      <c r="D1659" s="234">
        <v>5</v>
      </c>
      <c r="E1659" s="234">
        <v>4</v>
      </c>
      <c r="G1659" s="508" t="s">
        <v>23</v>
      </c>
      <c r="H1659" s="493" t="s">
        <v>1238</v>
      </c>
      <c r="I1659" s="460" t="s">
        <v>4955</v>
      </c>
      <c r="J1659" s="495" t="s">
        <v>2935</v>
      </c>
      <c r="K1659" s="496" t="s">
        <v>641</v>
      </c>
      <c r="L1659" s="497">
        <v>173.55</v>
      </c>
      <c r="M1659" s="497">
        <v>45</v>
      </c>
      <c r="N1659" s="464">
        <v>7809.75</v>
      </c>
      <c r="O1659" s="498"/>
      <c r="P1659" s="431" t="s">
        <v>6711</v>
      </c>
    </row>
    <row r="1660" spans="1:16" ht="13.5" hidden="1" customHeight="1" outlineLevel="3" x14ac:dyDescent="0.2">
      <c r="A1660" s="233">
        <v>0</v>
      </c>
      <c r="B1660" s="233">
        <v>13</v>
      </c>
      <c r="C1660" s="233">
        <v>14</v>
      </c>
      <c r="D1660" s="234">
        <v>5</v>
      </c>
      <c r="E1660" s="234">
        <v>5</v>
      </c>
      <c r="G1660" s="508" t="s">
        <v>23</v>
      </c>
      <c r="H1660" s="493" t="s">
        <v>1238</v>
      </c>
      <c r="I1660" s="460" t="s">
        <v>4956</v>
      </c>
      <c r="J1660" s="495" t="s">
        <v>2938</v>
      </c>
      <c r="K1660" s="496" t="s">
        <v>641</v>
      </c>
      <c r="L1660" s="497">
        <v>9.43</v>
      </c>
      <c r="M1660" s="497">
        <v>42</v>
      </c>
      <c r="N1660" s="464">
        <v>396.06</v>
      </c>
      <c r="O1660" s="498"/>
      <c r="P1660" s="431" t="s">
        <v>6711</v>
      </c>
    </row>
    <row r="1661" spans="1:16" ht="13.5" hidden="1" customHeight="1" outlineLevel="1" x14ac:dyDescent="0.2">
      <c r="A1661" s="233">
        <v>0</v>
      </c>
      <c r="B1661" s="233">
        <v>13</v>
      </c>
      <c r="C1661" s="233">
        <v>15</v>
      </c>
      <c r="D1661" s="234">
        <v>0</v>
      </c>
      <c r="E1661" s="234">
        <v>5</v>
      </c>
      <c r="G1661" s="506"/>
      <c r="H1661" s="481" t="s">
        <v>38</v>
      </c>
      <c r="I1661" s="445" t="s">
        <v>4957</v>
      </c>
      <c r="J1661" s="483" t="s">
        <v>2373</v>
      </c>
      <c r="K1661" s="484"/>
      <c r="L1661" s="485"/>
      <c r="M1661" s="485"/>
      <c r="N1661" s="449">
        <v>46751.499385000003</v>
      </c>
      <c r="O1661" s="486">
        <v>2.7911892822366</v>
      </c>
      <c r="P1661" s="429"/>
    </row>
    <row r="1662" spans="1:16" ht="13.5" hidden="1" customHeight="1" outlineLevel="2" x14ac:dyDescent="0.2">
      <c r="A1662" s="233">
        <v>0</v>
      </c>
      <c r="B1662" s="233">
        <v>13</v>
      </c>
      <c r="C1662" s="233">
        <v>15</v>
      </c>
      <c r="D1662" s="234">
        <v>1</v>
      </c>
      <c r="E1662" s="234">
        <v>0</v>
      </c>
      <c r="G1662" s="507"/>
      <c r="H1662" s="487" t="s">
        <v>1237</v>
      </c>
      <c r="I1662" s="452" t="s">
        <v>4958</v>
      </c>
      <c r="J1662" s="489" t="s">
        <v>24</v>
      </c>
      <c r="K1662" s="490"/>
      <c r="L1662" s="491"/>
      <c r="M1662" s="491"/>
      <c r="N1662" s="456">
        <v>916.51788899999997</v>
      </c>
      <c r="O1662" s="492">
        <v>5.4718563947827002E-2</v>
      </c>
      <c r="P1662" s="430"/>
    </row>
    <row r="1663" spans="1:16" ht="13.5" hidden="1" customHeight="1" outlineLevel="3" x14ac:dyDescent="0.2">
      <c r="A1663" s="233">
        <v>0</v>
      </c>
      <c r="B1663" s="233">
        <v>13</v>
      </c>
      <c r="C1663" s="233">
        <v>15</v>
      </c>
      <c r="D1663" s="234">
        <v>1</v>
      </c>
      <c r="E1663" s="234">
        <v>1</v>
      </c>
      <c r="G1663" s="508" t="s">
        <v>23</v>
      </c>
      <c r="H1663" s="493" t="s">
        <v>1238</v>
      </c>
      <c r="I1663" s="460" t="s">
        <v>4959</v>
      </c>
      <c r="J1663" s="495" t="s">
        <v>441</v>
      </c>
      <c r="K1663" s="496" t="s">
        <v>641</v>
      </c>
      <c r="L1663" s="497">
        <v>129.71</v>
      </c>
      <c r="M1663" s="497">
        <v>7.0658999999999992</v>
      </c>
      <c r="N1663" s="464">
        <v>916.51788899999997</v>
      </c>
      <c r="O1663" s="498" t="s">
        <v>2928</v>
      </c>
      <c r="P1663" s="431" t="s">
        <v>6711</v>
      </c>
    </row>
    <row r="1664" spans="1:16" ht="13.5" hidden="1" customHeight="1" outlineLevel="2" x14ac:dyDescent="0.2">
      <c r="A1664" s="233">
        <v>0</v>
      </c>
      <c r="B1664" s="233">
        <v>13</v>
      </c>
      <c r="C1664" s="233">
        <v>15</v>
      </c>
      <c r="D1664" s="234">
        <v>2</v>
      </c>
      <c r="E1664" s="234">
        <v>0</v>
      </c>
      <c r="G1664" s="507"/>
      <c r="H1664" s="487" t="s">
        <v>1237</v>
      </c>
      <c r="I1664" s="452" t="s">
        <v>4960</v>
      </c>
      <c r="J1664" s="489" t="s">
        <v>2926</v>
      </c>
      <c r="K1664" s="490"/>
      <c r="L1664" s="491"/>
      <c r="M1664" s="491"/>
      <c r="N1664" s="456">
        <v>30162.691495999999</v>
      </c>
      <c r="O1664" s="492"/>
      <c r="P1664" s="430"/>
    </row>
    <row r="1665" spans="1:16" ht="13.5" hidden="1" customHeight="1" outlineLevel="3" x14ac:dyDescent="0.2">
      <c r="A1665" s="233">
        <v>0</v>
      </c>
      <c r="B1665" s="233">
        <v>13</v>
      </c>
      <c r="C1665" s="233">
        <v>15</v>
      </c>
      <c r="D1665" s="234">
        <v>2</v>
      </c>
      <c r="E1665" s="234">
        <v>1</v>
      </c>
      <c r="G1665" s="508" t="s">
        <v>23</v>
      </c>
      <c r="H1665" s="493" t="s">
        <v>1238</v>
      </c>
      <c r="I1665" s="460" t="s">
        <v>4961</v>
      </c>
      <c r="J1665" s="495" t="s">
        <v>2910</v>
      </c>
      <c r="K1665" s="496" t="s">
        <v>641</v>
      </c>
      <c r="L1665" s="497">
        <v>65.84</v>
      </c>
      <c r="M1665" s="497">
        <v>148.89179999999999</v>
      </c>
      <c r="N1665" s="464">
        <v>9803.0361119999998</v>
      </c>
      <c r="O1665" s="498" t="s">
        <v>2919</v>
      </c>
      <c r="P1665" s="431" t="s">
        <v>6711</v>
      </c>
    </row>
    <row r="1666" spans="1:16" ht="13.5" hidden="1" customHeight="1" outlineLevel="3" x14ac:dyDescent="0.2">
      <c r="A1666" s="233">
        <v>0</v>
      </c>
      <c r="B1666" s="233">
        <v>13</v>
      </c>
      <c r="C1666" s="233">
        <v>15</v>
      </c>
      <c r="D1666" s="234">
        <v>2</v>
      </c>
      <c r="E1666" s="234">
        <v>2</v>
      </c>
      <c r="G1666" s="508" t="s">
        <v>23</v>
      </c>
      <c r="H1666" s="493" t="s">
        <v>1238</v>
      </c>
      <c r="I1666" s="460" t="s">
        <v>4962</v>
      </c>
      <c r="J1666" s="495" t="s">
        <v>2909</v>
      </c>
      <c r="K1666" s="496" t="s">
        <v>641</v>
      </c>
      <c r="L1666" s="497">
        <v>63.21</v>
      </c>
      <c r="M1666" s="497">
        <v>74.891800000000003</v>
      </c>
      <c r="N1666" s="464">
        <v>4733.9106780000002</v>
      </c>
      <c r="O1666" s="498" t="s">
        <v>2921</v>
      </c>
      <c r="P1666" s="431" t="s">
        <v>6711</v>
      </c>
    </row>
    <row r="1667" spans="1:16" ht="13.5" hidden="1" customHeight="1" outlineLevel="3" x14ac:dyDescent="0.2">
      <c r="A1667" s="233">
        <v>0</v>
      </c>
      <c r="B1667" s="233">
        <v>13</v>
      </c>
      <c r="C1667" s="233">
        <v>15</v>
      </c>
      <c r="D1667" s="234">
        <v>2</v>
      </c>
      <c r="E1667" s="234">
        <v>3</v>
      </c>
      <c r="G1667" s="508" t="s">
        <v>23</v>
      </c>
      <c r="H1667" s="493" t="s">
        <v>1238</v>
      </c>
      <c r="I1667" s="460" t="s">
        <v>4963</v>
      </c>
      <c r="J1667" s="495" t="s">
        <v>2911</v>
      </c>
      <c r="K1667" s="496" t="s">
        <v>641</v>
      </c>
      <c r="L1667" s="497">
        <v>213.17000000000002</v>
      </c>
      <c r="M1667" s="497">
        <v>73.3018</v>
      </c>
      <c r="N1667" s="464">
        <v>15625.744705999999</v>
      </c>
      <c r="O1667" s="498" t="s">
        <v>2921</v>
      </c>
      <c r="P1667" s="431" t="s">
        <v>6711</v>
      </c>
    </row>
    <row r="1668" spans="1:16" ht="13.5" hidden="1" customHeight="1" outlineLevel="2" x14ac:dyDescent="0.2">
      <c r="A1668" s="233">
        <v>0</v>
      </c>
      <c r="B1668" s="233">
        <v>13</v>
      </c>
      <c r="C1668" s="233">
        <v>15</v>
      </c>
      <c r="D1668" s="234">
        <v>3</v>
      </c>
      <c r="E1668" s="234">
        <v>0</v>
      </c>
      <c r="G1668" s="507"/>
      <c r="H1668" s="487" t="s">
        <v>1237</v>
      </c>
      <c r="I1668" s="452" t="s">
        <v>4964</v>
      </c>
      <c r="J1668" s="489" t="s">
        <v>1247</v>
      </c>
      <c r="K1668" s="490"/>
      <c r="L1668" s="491"/>
      <c r="M1668" s="491"/>
      <c r="N1668" s="456">
        <v>15672.29</v>
      </c>
      <c r="O1668" s="492"/>
      <c r="P1668" s="430"/>
    </row>
    <row r="1669" spans="1:16" ht="13.5" hidden="1" customHeight="1" outlineLevel="3" x14ac:dyDescent="0.2">
      <c r="A1669" s="233">
        <v>0</v>
      </c>
      <c r="B1669" s="233">
        <v>13</v>
      </c>
      <c r="C1669" s="233">
        <v>15</v>
      </c>
      <c r="D1669" s="234">
        <v>3</v>
      </c>
      <c r="E1669" s="234">
        <v>1</v>
      </c>
      <c r="G1669" s="508" t="s">
        <v>23</v>
      </c>
      <c r="H1669" s="493" t="s">
        <v>1238</v>
      </c>
      <c r="I1669" s="460" t="s">
        <v>4965</v>
      </c>
      <c r="J1669" s="495" t="s">
        <v>469</v>
      </c>
      <c r="K1669" s="496" t="s">
        <v>641</v>
      </c>
      <c r="L1669" s="497">
        <v>129.71</v>
      </c>
      <c r="M1669" s="497">
        <v>20</v>
      </c>
      <c r="N1669" s="464">
        <v>2594.1999999999998</v>
      </c>
      <c r="O1669" s="498"/>
      <c r="P1669" s="431" t="s">
        <v>6711</v>
      </c>
    </row>
    <row r="1670" spans="1:16" ht="13.5" hidden="1" customHeight="1" outlineLevel="3" x14ac:dyDescent="0.2">
      <c r="A1670" s="233">
        <v>0</v>
      </c>
      <c r="B1670" s="233">
        <v>13</v>
      </c>
      <c r="C1670" s="233">
        <v>15</v>
      </c>
      <c r="D1670" s="234">
        <v>3</v>
      </c>
      <c r="E1670" s="234">
        <v>2</v>
      </c>
      <c r="G1670" s="508" t="s">
        <v>23</v>
      </c>
      <c r="H1670" s="493" t="s">
        <v>1238</v>
      </c>
      <c r="I1670" s="460" t="s">
        <v>4966</v>
      </c>
      <c r="J1670" s="495" t="s">
        <v>2934</v>
      </c>
      <c r="K1670" s="496" t="s">
        <v>641</v>
      </c>
      <c r="L1670" s="497">
        <v>213.17000000000002</v>
      </c>
      <c r="M1670" s="497">
        <v>38</v>
      </c>
      <c r="N1670" s="464">
        <v>8100.46</v>
      </c>
      <c r="O1670" s="498"/>
      <c r="P1670" s="431" t="s">
        <v>6711</v>
      </c>
    </row>
    <row r="1671" spans="1:16" ht="13.5" hidden="1" customHeight="1" outlineLevel="3" x14ac:dyDescent="0.2">
      <c r="A1671" s="233">
        <v>0</v>
      </c>
      <c r="B1671" s="233">
        <v>13</v>
      </c>
      <c r="C1671" s="233">
        <v>15</v>
      </c>
      <c r="D1671" s="234">
        <v>3</v>
      </c>
      <c r="E1671" s="234">
        <v>3</v>
      </c>
      <c r="G1671" s="508" t="s">
        <v>23</v>
      </c>
      <c r="H1671" s="493" t="s">
        <v>1238</v>
      </c>
      <c r="I1671" s="460" t="s">
        <v>4967</v>
      </c>
      <c r="J1671" s="495" t="s">
        <v>2937</v>
      </c>
      <c r="K1671" s="496" t="s">
        <v>641</v>
      </c>
      <c r="L1671" s="497">
        <v>63.21</v>
      </c>
      <c r="M1671" s="497">
        <v>35</v>
      </c>
      <c r="N1671" s="464">
        <v>2212.35</v>
      </c>
      <c r="O1671" s="498"/>
      <c r="P1671" s="431" t="s">
        <v>6711</v>
      </c>
    </row>
    <row r="1672" spans="1:16" ht="13.5" hidden="1" customHeight="1" outlineLevel="3" x14ac:dyDescent="0.2">
      <c r="A1672" s="233">
        <v>0</v>
      </c>
      <c r="B1672" s="233">
        <v>13</v>
      </c>
      <c r="C1672" s="233">
        <v>15</v>
      </c>
      <c r="D1672" s="234">
        <v>3</v>
      </c>
      <c r="E1672" s="234">
        <v>4</v>
      </c>
      <c r="G1672" s="508" t="s">
        <v>23</v>
      </c>
      <c r="H1672" s="493" t="s">
        <v>1238</v>
      </c>
      <c r="I1672" s="460" t="s">
        <v>4968</v>
      </c>
      <c r="J1672" s="495" t="s">
        <v>2938</v>
      </c>
      <c r="K1672" s="496" t="s">
        <v>641</v>
      </c>
      <c r="L1672" s="497">
        <v>65.84</v>
      </c>
      <c r="M1672" s="497">
        <v>42</v>
      </c>
      <c r="N1672" s="464">
        <v>2765.28</v>
      </c>
      <c r="O1672" s="498"/>
      <c r="P1672" s="431" t="s">
        <v>6711</v>
      </c>
    </row>
    <row r="1673" spans="1:16" ht="13.5" customHeight="1" collapsed="1" x14ac:dyDescent="0.2">
      <c r="A1673" s="233">
        <v>0</v>
      </c>
      <c r="B1673" s="233">
        <v>14</v>
      </c>
      <c r="C1673" s="233">
        <v>0</v>
      </c>
      <c r="D1673" s="234">
        <v>3</v>
      </c>
      <c r="E1673" s="234">
        <v>4</v>
      </c>
      <c r="F1673" s="237"/>
      <c r="G1673" s="504"/>
      <c r="H1673" s="476" t="s">
        <v>1236</v>
      </c>
      <c r="I1673" s="438" t="s">
        <v>4969</v>
      </c>
      <c r="J1673" s="505" t="s">
        <v>478</v>
      </c>
      <c r="K1673" s="478"/>
      <c r="L1673" s="479"/>
      <c r="M1673" s="479"/>
      <c r="N1673" s="442"/>
      <c r="O1673" s="480"/>
      <c r="P1673" s="428"/>
    </row>
    <row r="1674" spans="1:16" ht="13.5" hidden="1" customHeight="1" outlineLevel="1" x14ac:dyDescent="0.2">
      <c r="A1674" s="233">
        <v>0</v>
      </c>
      <c r="B1674" s="233">
        <v>14</v>
      </c>
      <c r="C1674" s="233">
        <v>1</v>
      </c>
      <c r="D1674" s="234">
        <v>0</v>
      </c>
      <c r="E1674" s="234">
        <v>4</v>
      </c>
      <c r="G1674" s="506"/>
      <c r="H1674" s="481" t="s">
        <v>38</v>
      </c>
      <c r="I1674" s="445" t="s">
        <v>4970</v>
      </c>
      <c r="J1674" s="483" t="s">
        <v>2425</v>
      </c>
      <c r="K1674" s="484"/>
      <c r="L1674" s="485"/>
      <c r="M1674" s="485"/>
      <c r="N1674" s="449"/>
      <c r="O1674" s="486"/>
      <c r="P1674" s="429"/>
    </row>
    <row r="1675" spans="1:16" ht="13.5" hidden="1" customHeight="1" outlineLevel="2" x14ac:dyDescent="0.2">
      <c r="A1675" s="233">
        <v>0</v>
      </c>
      <c r="B1675" s="233">
        <v>14</v>
      </c>
      <c r="C1675" s="233">
        <v>1</v>
      </c>
      <c r="D1675" s="234">
        <v>1</v>
      </c>
      <c r="E1675" s="234">
        <v>0</v>
      </c>
      <c r="G1675" s="507"/>
      <c r="H1675" s="487" t="s">
        <v>1237</v>
      </c>
      <c r="I1675" s="452" t="s">
        <v>4971</v>
      </c>
      <c r="J1675" s="489" t="s">
        <v>2344</v>
      </c>
      <c r="K1675" s="490"/>
      <c r="L1675" s="491"/>
      <c r="M1675" s="491"/>
      <c r="N1675" s="456"/>
      <c r="O1675" s="492"/>
      <c r="P1675" s="430"/>
    </row>
    <row r="1676" spans="1:16" ht="13.5" hidden="1" customHeight="1" outlineLevel="3" x14ac:dyDescent="0.2">
      <c r="A1676" s="233">
        <v>0</v>
      </c>
      <c r="B1676" s="233">
        <v>14</v>
      </c>
      <c r="C1676" s="233">
        <v>1</v>
      </c>
      <c r="D1676" s="234">
        <v>1</v>
      </c>
      <c r="E1676" s="234">
        <v>1</v>
      </c>
      <c r="G1676" s="508" t="s">
        <v>45</v>
      </c>
      <c r="H1676" s="493" t="s">
        <v>1238</v>
      </c>
      <c r="I1676" s="460" t="s">
        <v>4972</v>
      </c>
      <c r="J1676" s="495" t="s">
        <v>481</v>
      </c>
      <c r="K1676" s="496" t="s">
        <v>641</v>
      </c>
      <c r="L1676" s="497" t="e">
        <v>#REF!</v>
      </c>
      <c r="M1676" s="497">
        <v>10.11778</v>
      </c>
      <c r="N1676" s="464"/>
      <c r="O1676" s="498"/>
      <c r="P1676" s="431" t="s">
        <v>6711</v>
      </c>
    </row>
    <row r="1677" spans="1:16" ht="13.5" hidden="1" customHeight="1" outlineLevel="3" x14ac:dyDescent="0.2">
      <c r="A1677" s="233">
        <v>0</v>
      </c>
      <c r="B1677" s="233">
        <v>14</v>
      </c>
      <c r="C1677" s="233">
        <v>1</v>
      </c>
      <c r="D1677" s="234">
        <v>1</v>
      </c>
      <c r="E1677" s="234">
        <v>2</v>
      </c>
      <c r="G1677" s="508" t="s">
        <v>45</v>
      </c>
      <c r="H1677" s="493" t="s">
        <v>1238</v>
      </c>
      <c r="I1677" s="460" t="s">
        <v>4973</v>
      </c>
      <c r="J1677" s="495" t="s">
        <v>490</v>
      </c>
      <c r="K1677" s="496" t="s">
        <v>641</v>
      </c>
      <c r="L1677" s="497" t="e">
        <v>#REF!</v>
      </c>
      <c r="M1677" s="497">
        <v>3.28945</v>
      </c>
      <c r="N1677" s="464"/>
      <c r="O1677" s="498"/>
      <c r="P1677" s="431" t="s">
        <v>6711</v>
      </c>
    </row>
    <row r="1678" spans="1:16" ht="13.5" hidden="1" customHeight="1" outlineLevel="3" x14ac:dyDescent="0.2">
      <c r="A1678" s="233">
        <v>0</v>
      </c>
      <c r="B1678" s="233">
        <v>14</v>
      </c>
      <c r="C1678" s="233">
        <v>1</v>
      </c>
      <c r="D1678" s="234">
        <v>1</v>
      </c>
      <c r="E1678" s="234">
        <v>3</v>
      </c>
      <c r="G1678" s="508" t="s">
        <v>45</v>
      </c>
      <c r="H1678" s="493" t="s">
        <v>1238</v>
      </c>
      <c r="I1678" s="460" t="s">
        <v>4974</v>
      </c>
      <c r="J1678" s="495" t="s">
        <v>496</v>
      </c>
      <c r="K1678" s="496" t="s">
        <v>641</v>
      </c>
      <c r="L1678" s="497" t="e">
        <v>#REF!</v>
      </c>
      <c r="M1678" s="497">
        <v>12.075000000000001</v>
      </c>
      <c r="N1678" s="464"/>
      <c r="O1678" s="471" t="s">
        <v>3012</v>
      </c>
      <c r="P1678" s="431" t="s">
        <v>6711</v>
      </c>
    </row>
    <row r="1679" spans="1:16" ht="13.5" hidden="1" customHeight="1" outlineLevel="3" x14ac:dyDescent="0.2">
      <c r="A1679" s="233">
        <v>0</v>
      </c>
      <c r="B1679" s="233">
        <v>14</v>
      </c>
      <c r="C1679" s="233">
        <v>1</v>
      </c>
      <c r="D1679" s="234">
        <v>1</v>
      </c>
      <c r="E1679" s="234">
        <v>4</v>
      </c>
      <c r="G1679" s="508" t="s">
        <v>45</v>
      </c>
      <c r="H1679" s="493" t="s">
        <v>1238</v>
      </c>
      <c r="I1679" s="460" t="s">
        <v>4975</v>
      </c>
      <c r="J1679" s="495" t="s">
        <v>497</v>
      </c>
      <c r="K1679" s="496" t="s">
        <v>641</v>
      </c>
      <c r="L1679" s="497" t="e">
        <v>#REF!</v>
      </c>
      <c r="M1679" s="497">
        <v>5.1029166666666663</v>
      </c>
      <c r="N1679" s="464"/>
      <c r="O1679" s="498"/>
      <c r="P1679" s="431" t="s">
        <v>6711</v>
      </c>
    </row>
    <row r="1680" spans="1:16" ht="13.5" hidden="1" customHeight="1" outlineLevel="2" x14ac:dyDescent="0.2">
      <c r="A1680" s="233">
        <v>0</v>
      </c>
      <c r="B1680" s="233">
        <v>14</v>
      </c>
      <c r="C1680" s="233">
        <v>1</v>
      </c>
      <c r="D1680" s="234">
        <v>2</v>
      </c>
      <c r="E1680" s="234">
        <v>0</v>
      </c>
      <c r="G1680" s="507"/>
      <c r="H1680" s="487" t="s">
        <v>1237</v>
      </c>
      <c r="I1680" s="452" t="s">
        <v>4976</v>
      </c>
      <c r="J1680" s="489" t="s">
        <v>2345</v>
      </c>
      <c r="K1680" s="490"/>
      <c r="L1680" s="491"/>
      <c r="M1680" s="491"/>
      <c r="N1680" s="456"/>
      <c r="O1680" s="492"/>
      <c r="P1680" s="430"/>
    </row>
    <row r="1681" spans="1:16" ht="13.5" hidden="1" customHeight="1" outlineLevel="3" x14ac:dyDescent="0.2">
      <c r="A1681" s="233">
        <v>0</v>
      </c>
      <c r="B1681" s="233">
        <v>14</v>
      </c>
      <c r="C1681" s="233">
        <v>1</v>
      </c>
      <c r="D1681" s="234">
        <v>2</v>
      </c>
      <c r="E1681" s="234">
        <v>1</v>
      </c>
      <c r="G1681" s="508" t="s">
        <v>47</v>
      </c>
      <c r="H1681" s="493" t="s">
        <v>1238</v>
      </c>
      <c r="I1681" s="460" t="s">
        <v>4977</v>
      </c>
      <c r="J1681" s="495" t="s">
        <v>1729</v>
      </c>
      <c r="K1681" s="496" t="s">
        <v>641</v>
      </c>
      <c r="L1681" s="497" t="e">
        <v>#REF!</v>
      </c>
      <c r="M1681" s="497">
        <v>79.119000000000014</v>
      </c>
      <c r="N1681" s="464"/>
      <c r="O1681" s="498" t="s">
        <v>2374</v>
      </c>
      <c r="P1681" s="431" t="s">
        <v>6711</v>
      </c>
    </row>
    <row r="1682" spans="1:16" ht="13.5" hidden="1" customHeight="1" outlineLevel="3" x14ac:dyDescent="0.2">
      <c r="A1682" s="233">
        <v>0</v>
      </c>
      <c r="B1682" s="233">
        <v>14</v>
      </c>
      <c r="C1682" s="233">
        <v>1</v>
      </c>
      <c r="D1682" s="234">
        <v>2</v>
      </c>
      <c r="E1682" s="234">
        <v>2</v>
      </c>
      <c r="G1682" s="508" t="s">
        <v>47</v>
      </c>
      <c r="H1682" s="493" t="s">
        <v>1238</v>
      </c>
      <c r="I1682" s="460" t="s">
        <v>4978</v>
      </c>
      <c r="J1682" s="461" t="s">
        <v>1766</v>
      </c>
      <c r="K1682" s="496" t="s">
        <v>641</v>
      </c>
      <c r="L1682" s="497" t="e">
        <v>#REF!</v>
      </c>
      <c r="M1682" s="497">
        <v>61.780600000000007</v>
      </c>
      <c r="N1682" s="464"/>
      <c r="O1682" s="498" t="s">
        <v>2375</v>
      </c>
      <c r="P1682" s="431" t="s">
        <v>6711</v>
      </c>
    </row>
    <row r="1683" spans="1:16" ht="13.5" hidden="1" customHeight="1" outlineLevel="2" x14ac:dyDescent="0.2">
      <c r="A1683" s="233">
        <v>0</v>
      </c>
      <c r="B1683" s="233">
        <v>14</v>
      </c>
      <c r="C1683" s="233">
        <v>1</v>
      </c>
      <c r="D1683" s="234">
        <v>3</v>
      </c>
      <c r="E1683" s="234">
        <v>0</v>
      </c>
      <c r="G1683" s="507"/>
      <c r="H1683" s="487" t="s">
        <v>1237</v>
      </c>
      <c r="I1683" s="452" t="s">
        <v>4979</v>
      </c>
      <c r="J1683" s="489" t="s">
        <v>2349</v>
      </c>
      <c r="K1683" s="490"/>
      <c r="L1683" s="491"/>
      <c r="M1683" s="491"/>
      <c r="N1683" s="456"/>
      <c r="O1683" s="492"/>
      <c r="P1683" s="430"/>
    </row>
    <row r="1684" spans="1:16" ht="13.5" hidden="1" customHeight="1" outlineLevel="3" x14ac:dyDescent="0.2">
      <c r="A1684" s="233">
        <v>0</v>
      </c>
      <c r="B1684" s="233">
        <v>14</v>
      </c>
      <c r="C1684" s="233">
        <v>1</v>
      </c>
      <c r="D1684" s="234">
        <v>3</v>
      </c>
      <c r="E1684" s="234">
        <v>1</v>
      </c>
      <c r="G1684" s="508" t="s">
        <v>47</v>
      </c>
      <c r="H1684" s="493" t="s">
        <v>1238</v>
      </c>
      <c r="I1684" s="460" t="s">
        <v>4980</v>
      </c>
      <c r="J1684" s="495" t="s">
        <v>2408</v>
      </c>
      <c r="K1684" s="496" t="s">
        <v>641</v>
      </c>
      <c r="L1684" s="497" t="e">
        <v>#REF!</v>
      </c>
      <c r="M1684" s="497">
        <v>1448.2455000000002</v>
      </c>
      <c r="N1684" s="464"/>
      <c r="O1684" s="498" t="s">
        <v>2693</v>
      </c>
      <c r="P1684" s="431" t="s">
        <v>6711</v>
      </c>
    </row>
    <row r="1685" spans="1:16" ht="13.5" hidden="1" customHeight="1" outlineLevel="3" x14ac:dyDescent="0.2">
      <c r="A1685" s="233">
        <v>0</v>
      </c>
      <c r="B1685" s="233">
        <v>14</v>
      </c>
      <c r="C1685" s="233">
        <v>1</v>
      </c>
      <c r="D1685" s="234">
        <v>3</v>
      </c>
      <c r="E1685" s="234">
        <v>2</v>
      </c>
      <c r="G1685" s="508" t="s">
        <v>47</v>
      </c>
      <c r="H1685" s="493" t="s">
        <v>1238</v>
      </c>
      <c r="I1685" s="460" t="s">
        <v>4981</v>
      </c>
      <c r="J1685" s="495" t="s">
        <v>2421</v>
      </c>
      <c r="K1685" s="496" t="s">
        <v>641</v>
      </c>
      <c r="L1685" s="497" t="e">
        <v>#REF!</v>
      </c>
      <c r="M1685" s="497">
        <v>3538.2455000000004</v>
      </c>
      <c r="N1685" s="464"/>
      <c r="O1685" s="498"/>
      <c r="P1685" s="431" t="s">
        <v>6711</v>
      </c>
    </row>
    <row r="1686" spans="1:16" ht="13.5" hidden="1" customHeight="1" outlineLevel="2" x14ac:dyDescent="0.2">
      <c r="A1686" s="233">
        <v>0</v>
      </c>
      <c r="B1686" s="233">
        <v>14</v>
      </c>
      <c r="C1686" s="233">
        <v>1</v>
      </c>
      <c r="D1686" s="234">
        <v>4</v>
      </c>
      <c r="E1686" s="234">
        <v>0</v>
      </c>
      <c r="G1686" s="507"/>
      <c r="H1686" s="487" t="s">
        <v>1237</v>
      </c>
      <c r="I1686" s="452" t="s">
        <v>4982</v>
      </c>
      <c r="J1686" s="489" t="s">
        <v>2273</v>
      </c>
      <c r="K1686" s="490"/>
      <c r="L1686" s="491"/>
      <c r="M1686" s="491"/>
      <c r="N1686" s="456"/>
      <c r="O1686" s="492"/>
      <c r="P1686" s="430"/>
    </row>
    <row r="1687" spans="1:16" ht="13.5" hidden="1" customHeight="1" outlineLevel="3" x14ac:dyDescent="0.2">
      <c r="A1687" s="233">
        <v>0</v>
      </c>
      <c r="B1687" s="233">
        <v>14</v>
      </c>
      <c r="C1687" s="233">
        <v>1</v>
      </c>
      <c r="D1687" s="234">
        <v>4</v>
      </c>
      <c r="E1687" s="234">
        <v>1</v>
      </c>
      <c r="G1687" s="508" t="s">
        <v>47</v>
      </c>
      <c r="H1687" s="493" t="s">
        <v>1238</v>
      </c>
      <c r="I1687" s="460" t="s">
        <v>4983</v>
      </c>
      <c r="J1687" s="495" t="s">
        <v>529</v>
      </c>
      <c r="K1687" s="496" t="s">
        <v>641</v>
      </c>
      <c r="L1687" s="497" t="e">
        <v>#REF!</v>
      </c>
      <c r="M1687" s="497">
        <v>849.15470000000005</v>
      </c>
      <c r="N1687" s="464"/>
      <c r="O1687" s="498"/>
      <c r="P1687" s="431" t="s">
        <v>6711</v>
      </c>
    </row>
    <row r="1688" spans="1:16" ht="13.5" hidden="1" customHeight="1" outlineLevel="2" x14ac:dyDescent="0.2">
      <c r="A1688" s="233">
        <v>0</v>
      </c>
      <c r="B1688" s="233">
        <v>14</v>
      </c>
      <c r="C1688" s="233">
        <v>1</v>
      </c>
      <c r="D1688" s="234">
        <v>5</v>
      </c>
      <c r="E1688" s="234">
        <v>0</v>
      </c>
      <c r="G1688" s="507"/>
      <c r="H1688" s="487" t="s">
        <v>1237</v>
      </c>
      <c r="I1688" s="452" t="s">
        <v>4984</v>
      </c>
      <c r="J1688" s="489" t="s">
        <v>1262</v>
      </c>
      <c r="K1688" s="490"/>
      <c r="L1688" s="491"/>
      <c r="M1688" s="491"/>
      <c r="N1688" s="456"/>
      <c r="O1688" s="492"/>
      <c r="P1688" s="430"/>
    </row>
    <row r="1689" spans="1:16" ht="13.5" hidden="1" customHeight="1" outlineLevel="3" x14ac:dyDescent="0.2">
      <c r="A1689" s="233">
        <v>0</v>
      </c>
      <c r="B1689" s="233">
        <v>14</v>
      </c>
      <c r="C1689" s="233">
        <v>1</v>
      </c>
      <c r="D1689" s="234">
        <v>5</v>
      </c>
      <c r="E1689" s="234">
        <v>1</v>
      </c>
      <c r="G1689" s="508" t="s">
        <v>45</v>
      </c>
      <c r="H1689" s="493" t="s">
        <v>1238</v>
      </c>
      <c r="I1689" s="460" t="s">
        <v>4985</v>
      </c>
      <c r="J1689" s="495" t="s">
        <v>541</v>
      </c>
      <c r="K1689" s="496" t="s">
        <v>641</v>
      </c>
      <c r="L1689" s="497" t="e">
        <v>#REF!</v>
      </c>
      <c r="M1689" s="497">
        <v>42</v>
      </c>
      <c r="N1689" s="464"/>
      <c r="O1689" s="498"/>
      <c r="P1689" s="431" t="s">
        <v>6711</v>
      </c>
    </row>
    <row r="1690" spans="1:16" ht="13.5" hidden="1" customHeight="1" outlineLevel="3" x14ac:dyDescent="0.2">
      <c r="A1690" s="233">
        <v>0</v>
      </c>
      <c r="B1690" s="233">
        <v>14</v>
      </c>
      <c r="C1690" s="233">
        <v>1</v>
      </c>
      <c r="D1690" s="234">
        <v>5</v>
      </c>
      <c r="E1690" s="234">
        <v>2</v>
      </c>
      <c r="G1690" s="508" t="s">
        <v>45</v>
      </c>
      <c r="H1690" s="493" t="s">
        <v>1238</v>
      </c>
      <c r="I1690" s="460" t="s">
        <v>4986</v>
      </c>
      <c r="J1690" s="495" t="s">
        <v>542</v>
      </c>
      <c r="K1690" s="496" t="s">
        <v>641</v>
      </c>
      <c r="L1690" s="497" t="e">
        <v>#REF!</v>
      </c>
      <c r="M1690" s="497">
        <v>30</v>
      </c>
      <c r="N1690" s="464"/>
      <c r="O1690" s="498"/>
      <c r="P1690" s="431" t="s">
        <v>6711</v>
      </c>
    </row>
    <row r="1691" spans="1:16" ht="13.5" hidden="1" customHeight="1" outlineLevel="3" x14ac:dyDescent="0.2">
      <c r="A1691" s="233">
        <v>0</v>
      </c>
      <c r="B1691" s="233">
        <v>14</v>
      </c>
      <c r="C1691" s="233">
        <v>1</v>
      </c>
      <c r="D1691" s="234">
        <v>5</v>
      </c>
      <c r="E1691" s="234">
        <v>3</v>
      </c>
      <c r="G1691" s="508" t="s">
        <v>47</v>
      </c>
      <c r="H1691" s="493" t="s">
        <v>1238</v>
      </c>
      <c r="I1691" s="460" t="s">
        <v>4987</v>
      </c>
      <c r="J1691" s="495" t="s">
        <v>545</v>
      </c>
      <c r="K1691" s="496" t="s">
        <v>641</v>
      </c>
      <c r="L1691" s="497" t="e">
        <v>#REF!</v>
      </c>
      <c r="M1691" s="497">
        <v>75</v>
      </c>
      <c r="N1691" s="464"/>
      <c r="O1691" s="498"/>
      <c r="P1691" s="431" t="s">
        <v>6711</v>
      </c>
    </row>
    <row r="1692" spans="1:16" ht="13.5" hidden="1" customHeight="1" outlineLevel="3" x14ac:dyDescent="0.2">
      <c r="A1692" s="233">
        <v>0</v>
      </c>
      <c r="B1692" s="233">
        <v>14</v>
      </c>
      <c r="C1692" s="233">
        <v>1</v>
      </c>
      <c r="D1692" s="234">
        <v>5</v>
      </c>
      <c r="E1692" s="234">
        <v>4</v>
      </c>
      <c r="G1692" s="508" t="s">
        <v>47</v>
      </c>
      <c r="H1692" s="493" t="s">
        <v>1238</v>
      </c>
      <c r="I1692" s="460" t="s">
        <v>4988</v>
      </c>
      <c r="J1692" s="495" t="s">
        <v>544</v>
      </c>
      <c r="K1692" s="496" t="s">
        <v>641</v>
      </c>
      <c r="L1692" s="497" t="e">
        <v>#REF!</v>
      </c>
      <c r="M1692" s="497">
        <v>75</v>
      </c>
      <c r="N1692" s="464"/>
      <c r="O1692" s="498"/>
      <c r="P1692" s="431" t="s">
        <v>6711</v>
      </c>
    </row>
    <row r="1693" spans="1:16" ht="13.5" hidden="1" customHeight="1" outlineLevel="3" x14ac:dyDescent="0.2">
      <c r="A1693" s="233">
        <v>0</v>
      </c>
      <c r="B1693" s="233">
        <v>14</v>
      </c>
      <c r="C1693" s="233">
        <v>1</v>
      </c>
      <c r="D1693" s="234">
        <v>5</v>
      </c>
      <c r="E1693" s="234">
        <v>5</v>
      </c>
      <c r="G1693" s="508" t="s">
        <v>47</v>
      </c>
      <c r="H1693" s="493" t="s">
        <v>1238</v>
      </c>
      <c r="I1693" s="460" t="s">
        <v>4989</v>
      </c>
      <c r="J1693" s="495" t="s">
        <v>546</v>
      </c>
      <c r="K1693" s="496" t="s">
        <v>641</v>
      </c>
      <c r="L1693" s="497" t="e">
        <v>#REF!</v>
      </c>
      <c r="M1693" s="497">
        <v>50</v>
      </c>
      <c r="N1693" s="464"/>
      <c r="O1693" s="498"/>
      <c r="P1693" s="431" t="s">
        <v>6711</v>
      </c>
    </row>
    <row r="1694" spans="1:16" ht="13.5" hidden="1" customHeight="1" outlineLevel="1" x14ac:dyDescent="0.2">
      <c r="A1694" s="233">
        <v>0</v>
      </c>
      <c r="B1694" s="233">
        <v>14</v>
      </c>
      <c r="C1694" s="233">
        <v>2</v>
      </c>
      <c r="D1694" s="234">
        <v>0</v>
      </c>
      <c r="E1694" s="234">
        <v>5</v>
      </c>
      <c r="G1694" s="506"/>
      <c r="H1694" s="481" t="s">
        <v>38</v>
      </c>
      <c r="I1694" s="445" t="s">
        <v>4990</v>
      </c>
      <c r="J1694" s="483" t="s">
        <v>2426</v>
      </c>
      <c r="K1694" s="484"/>
      <c r="L1694" s="485"/>
      <c r="M1694" s="485"/>
      <c r="N1694" s="449"/>
      <c r="O1694" s="486"/>
      <c r="P1694" s="429"/>
    </row>
    <row r="1695" spans="1:16" ht="13.5" hidden="1" customHeight="1" outlineLevel="2" x14ac:dyDescent="0.2">
      <c r="A1695" s="233">
        <v>0</v>
      </c>
      <c r="B1695" s="233">
        <v>14</v>
      </c>
      <c r="C1695" s="233">
        <v>2</v>
      </c>
      <c r="D1695" s="234">
        <v>1</v>
      </c>
      <c r="E1695" s="234">
        <v>0</v>
      </c>
      <c r="G1695" s="507"/>
      <c r="H1695" s="487" t="s">
        <v>1237</v>
      </c>
      <c r="I1695" s="452" t="s">
        <v>4991</v>
      </c>
      <c r="J1695" s="489" t="s">
        <v>2344</v>
      </c>
      <c r="K1695" s="490"/>
      <c r="L1695" s="491"/>
      <c r="M1695" s="491"/>
      <c r="N1695" s="456"/>
      <c r="O1695" s="492"/>
      <c r="P1695" s="430"/>
    </row>
    <row r="1696" spans="1:16" ht="13.5" hidden="1" customHeight="1" outlineLevel="3" x14ac:dyDescent="0.2">
      <c r="A1696" s="233">
        <v>0</v>
      </c>
      <c r="B1696" s="233">
        <v>14</v>
      </c>
      <c r="C1696" s="233">
        <v>2</v>
      </c>
      <c r="D1696" s="234">
        <v>1</v>
      </c>
      <c r="E1696" s="234">
        <v>1</v>
      </c>
      <c r="G1696" s="508" t="s">
        <v>45</v>
      </c>
      <c r="H1696" s="493" t="s">
        <v>1238</v>
      </c>
      <c r="I1696" s="460" t="s">
        <v>4992</v>
      </c>
      <c r="J1696" s="495" t="s">
        <v>481</v>
      </c>
      <c r="K1696" s="496" t="s">
        <v>641</v>
      </c>
      <c r="L1696" s="497" t="e">
        <v>#REF!</v>
      </c>
      <c r="M1696" s="497">
        <v>10.11778</v>
      </c>
      <c r="N1696" s="464"/>
      <c r="O1696" s="498"/>
      <c r="P1696" s="431" t="s">
        <v>6711</v>
      </c>
    </row>
    <row r="1697" spans="1:16" ht="13.5" hidden="1" customHeight="1" outlineLevel="3" x14ac:dyDescent="0.2">
      <c r="A1697" s="233">
        <v>0</v>
      </c>
      <c r="B1697" s="233">
        <v>14</v>
      </c>
      <c r="C1697" s="233">
        <v>2</v>
      </c>
      <c r="D1697" s="234">
        <v>1</v>
      </c>
      <c r="E1697" s="234">
        <v>2</v>
      </c>
      <c r="G1697" s="508" t="s">
        <v>45</v>
      </c>
      <c r="H1697" s="493" t="s">
        <v>1238</v>
      </c>
      <c r="I1697" s="460" t="s">
        <v>4993</v>
      </c>
      <c r="J1697" s="495" t="s">
        <v>490</v>
      </c>
      <c r="K1697" s="496" t="s">
        <v>641</v>
      </c>
      <c r="L1697" s="497" t="e">
        <v>#REF!</v>
      </c>
      <c r="M1697" s="497">
        <v>3.28945</v>
      </c>
      <c r="N1697" s="464"/>
      <c r="O1697" s="498"/>
      <c r="P1697" s="431" t="s">
        <v>6711</v>
      </c>
    </row>
    <row r="1698" spans="1:16" ht="13.5" hidden="1" customHeight="1" outlineLevel="3" x14ac:dyDescent="0.2">
      <c r="A1698" s="233">
        <v>0</v>
      </c>
      <c r="B1698" s="233">
        <v>14</v>
      </c>
      <c r="C1698" s="233">
        <v>2</v>
      </c>
      <c r="D1698" s="234">
        <v>1</v>
      </c>
      <c r="E1698" s="234">
        <v>3</v>
      </c>
      <c r="G1698" s="508" t="s">
        <v>45</v>
      </c>
      <c r="H1698" s="493" t="s">
        <v>1238</v>
      </c>
      <c r="I1698" s="460" t="s">
        <v>4994</v>
      </c>
      <c r="J1698" s="495" t="s">
        <v>496</v>
      </c>
      <c r="K1698" s="496" t="s">
        <v>641</v>
      </c>
      <c r="L1698" s="497" t="e">
        <v>#REF!</v>
      </c>
      <c r="M1698" s="497">
        <v>12.075000000000001</v>
      </c>
      <c r="N1698" s="464"/>
      <c r="O1698" s="498"/>
      <c r="P1698" s="431" t="s">
        <v>6711</v>
      </c>
    </row>
    <row r="1699" spans="1:16" ht="13.5" hidden="1" customHeight="1" outlineLevel="3" x14ac:dyDescent="0.2">
      <c r="A1699" s="233">
        <v>0</v>
      </c>
      <c r="B1699" s="233">
        <v>14</v>
      </c>
      <c r="C1699" s="233">
        <v>2</v>
      </c>
      <c r="D1699" s="234">
        <v>1</v>
      </c>
      <c r="E1699" s="234">
        <v>4</v>
      </c>
      <c r="G1699" s="508" t="s">
        <v>45</v>
      </c>
      <c r="H1699" s="493" t="s">
        <v>1238</v>
      </c>
      <c r="I1699" s="460" t="s">
        <v>4995</v>
      </c>
      <c r="J1699" s="495" t="s">
        <v>497</v>
      </c>
      <c r="K1699" s="496" t="s">
        <v>641</v>
      </c>
      <c r="L1699" s="497" t="e">
        <v>#REF!</v>
      </c>
      <c r="M1699" s="497">
        <v>5.1029166666666663</v>
      </c>
      <c r="N1699" s="464"/>
      <c r="O1699" s="498"/>
      <c r="P1699" s="431" t="s">
        <v>6711</v>
      </c>
    </row>
    <row r="1700" spans="1:16" ht="13.5" hidden="1" customHeight="1" outlineLevel="2" x14ac:dyDescent="0.2">
      <c r="A1700" s="233">
        <v>0</v>
      </c>
      <c r="B1700" s="233">
        <v>14</v>
      </c>
      <c r="C1700" s="233">
        <v>2</v>
      </c>
      <c r="D1700" s="234">
        <v>2</v>
      </c>
      <c r="E1700" s="234">
        <v>0</v>
      </c>
      <c r="G1700" s="507"/>
      <c r="H1700" s="487" t="s">
        <v>1237</v>
      </c>
      <c r="I1700" s="452" t="s">
        <v>4996</v>
      </c>
      <c r="J1700" s="489" t="s">
        <v>2349</v>
      </c>
      <c r="K1700" s="490"/>
      <c r="L1700" s="491"/>
      <c r="M1700" s="491"/>
      <c r="N1700" s="456"/>
      <c r="O1700" s="492"/>
      <c r="P1700" s="430"/>
    </row>
    <row r="1701" spans="1:16" ht="13.5" hidden="1" customHeight="1" outlineLevel="3" x14ac:dyDescent="0.2">
      <c r="A1701" s="233">
        <v>0</v>
      </c>
      <c r="B1701" s="233">
        <v>14</v>
      </c>
      <c r="C1701" s="233">
        <v>2</v>
      </c>
      <c r="D1701" s="234">
        <v>2</v>
      </c>
      <c r="E1701" s="234">
        <v>1</v>
      </c>
      <c r="G1701" s="508" t="s">
        <v>47</v>
      </c>
      <c r="H1701" s="493" t="s">
        <v>1238</v>
      </c>
      <c r="I1701" s="460" t="s">
        <v>4997</v>
      </c>
      <c r="J1701" s="495" t="s">
        <v>2408</v>
      </c>
      <c r="K1701" s="496" t="s">
        <v>641</v>
      </c>
      <c r="L1701" s="497" t="e">
        <v>#REF!</v>
      </c>
      <c r="M1701" s="497">
        <v>1448.2455000000002</v>
      </c>
      <c r="N1701" s="464"/>
      <c r="O1701" s="498" t="s">
        <v>2693</v>
      </c>
      <c r="P1701" s="431" t="s">
        <v>6711</v>
      </c>
    </row>
    <row r="1702" spans="1:16" ht="13.5" hidden="1" customHeight="1" outlineLevel="3" x14ac:dyDescent="0.2">
      <c r="A1702" s="233">
        <v>0</v>
      </c>
      <c r="B1702" s="233">
        <v>14</v>
      </c>
      <c r="C1702" s="233">
        <v>2</v>
      </c>
      <c r="D1702" s="234">
        <v>2</v>
      </c>
      <c r="E1702" s="234">
        <v>2</v>
      </c>
      <c r="G1702" s="508" t="s">
        <v>47</v>
      </c>
      <c r="H1702" s="493" t="s">
        <v>1238</v>
      </c>
      <c r="I1702" s="460" t="s">
        <v>4998</v>
      </c>
      <c r="J1702" s="495" t="s">
        <v>2421</v>
      </c>
      <c r="K1702" s="496" t="s">
        <v>641</v>
      </c>
      <c r="L1702" s="497" t="e">
        <v>#REF!</v>
      </c>
      <c r="M1702" s="497">
        <v>3538.2455000000004</v>
      </c>
      <c r="N1702" s="464"/>
      <c r="O1702" s="498"/>
      <c r="P1702" s="431" t="s">
        <v>6711</v>
      </c>
    </row>
    <row r="1703" spans="1:16" ht="13.5" hidden="1" customHeight="1" outlineLevel="2" x14ac:dyDescent="0.2">
      <c r="A1703" s="233">
        <v>0</v>
      </c>
      <c r="B1703" s="233">
        <v>14</v>
      </c>
      <c r="C1703" s="233">
        <v>2</v>
      </c>
      <c r="D1703" s="234">
        <v>3</v>
      </c>
      <c r="E1703" s="234">
        <v>0</v>
      </c>
      <c r="G1703" s="507"/>
      <c r="H1703" s="487" t="s">
        <v>1237</v>
      </c>
      <c r="I1703" s="452" t="s">
        <v>4999</v>
      </c>
      <c r="J1703" s="489" t="s">
        <v>2273</v>
      </c>
      <c r="K1703" s="490"/>
      <c r="L1703" s="491"/>
      <c r="M1703" s="491"/>
      <c r="N1703" s="456"/>
      <c r="O1703" s="492"/>
      <c r="P1703" s="430"/>
    </row>
    <row r="1704" spans="1:16" ht="13.5" hidden="1" customHeight="1" outlineLevel="3" x14ac:dyDescent="0.2">
      <c r="A1704" s="233">
        <v>0</v>
      </c>
      <c r="B1704" s="233">
        <v>14</v>
      </c>
      <c r="C1704" s="233">
        <v>2</v>
      </c>
      <c r="D1704" s="234">
        <v>3</v>
      </c>
      <c r="E1704" s="234">
        <v>1</v>
      </c>
      <c r="G1704" s="508" t="s">
        <v>47</v>
      </c>
      <c r="H1704" s="493" t="s">
        <v>1238</v>
      </c>
      <c r="I1704" s="460" t="s">
        <v>5000</v>
      </c>
      <c r="J1704" s="495" t="s">
        <v>529</v>
      </c>
      <c r="K1704" s="496" t="s">
        <v>641</v>
      </c>
      <c r="L1704" s="497" t="e">
        <v>#REF!</v>
      </c>
      <c r="M1704" s="497">
        <v>849.15470000000005</v>
      </c>
      <c r="N1704" s="464"/>
      <c r="O1704" s="498"/>
      <c r="P1704" s="431" t="s">
        <v>6711</v>
      </c>
    </row>
    <row r="1705" spans="1:16" ht="13.5" hidden="1" customHeight="1" outlineLevel="2" x14ac:dyDescent="0.2">
      <c r="A1705" s="233">
        <v>0</v>
      </c>
      <c r="B1705" s="233">
        <v>14</v>
      </c>
      <c r="C1705" s="233">
        <v>2</v>
      </c>
      <c r="D1705" s="234">
        <v>4</v>
      </c>
      <c r="E1705" s="234">
        <v>0</v>
      </c>
      <c r="G1705" s="507"/>
      <c r="H1705" s="487" t="s">
        <v>1237</v>
      </c>
      <c r="I1705" s="452" t="s">
        <v>5001</v>
      </c>
      <c r="J1705" s="489" t="s">
        <v>1262</v>
      </c>
      <c r="K1705" s="490"/>
      <c r="L1705" s="491"/>
      <c r="M1705" s="491"/>
      <c r="N1705" s="456"/>
      <c r="O1705" s="492"/>
      <c r="P1705" s="430"/>
    </row>
    <row r="1706" spans="1:16" ht="13.5" hidden="1" customHeight="1" outlineLevel="3" x14ac:dyDescent="0.2">
      <c r="A1706" s="233">
        <v>0</v>
      </c>
      <c r="B1706" s="233">
        <v>14</v>
      </c>
      <c r="C1706" s="233">
        <v>2</v>
      </c>
      <c r="D1706" s="234">
        <v>4</v>
      </c>
      <c r="E1706" s="234">
        <v>1</v>
      </c>
      <c r="G1706" s="508" t="s">
        <v>45</v>
      </c>
      <c r="H1706" s="493" t="s">
        <v>1238</v>
      </c>
      <c r="I1706" s="460" t="s">
        <v>5002</v>
      </c>
      <c r="J1706" s="495" t="s">
        <v>541</v>
      </c>
      <c r="K1706" s="496" t="s">
        <v>641</v>
      </c>
      <c r="L1706" s="497" t="e">
        <v>#REF!</v>
      </c>
      <c r="M1706" s="497">
        <v>42</v>
      </c>
      <c r="N1706" s="464"/>
      <c r="O1706" s="498"/>
      <c r="P1706" s="431" t="s">
        <v>6711</v>
      </c>
    </row>
    <row r="1707" spans="1:16" ht="13.5" hidden="1" customHeight="1" outlineLevel="3" x14ac:dyDescent="0.2">
      <c r="A1707" s="233">
        <v>0</v>
      </c>
      <c r="B1707" s="233">
        <v>14</v>
      </c>
      <c r="C1707" s="233">
        <v>2</v>
      </c>
      <c r="D1707" s="234">
        <v>4</v>
      </c>
      <c r="E1707" s="234">
        <v>2</v>
      </c>
      <c r="G1707" s="508" t="s">
        <v>45</v>
      </c>
      <c r="H1707" s="493" t="s">
        <v>1238</v>
      </c>
      <c r="I1707" s="460" t="s">
        <v>5003</v>
      </c>
      <c r="J1707" s="495" t="s">
        <v>542</v>
      </c>
      <c r="K1707" s="496" t="s">
        <v>641</v>
      </c>
      <c r="L1707" s="497" t="e">
        <v>#REF!</v>
      </c>
      <c r="M1707" s="497">
        <v>30</v>
      </c>
      <c r="N1707" s="464"/>
      <c r="O1707" s="498"/>
      <c r="P1707" s="431" t="s">
        <v>6711</v>
      </c>
    </row>
    <row r="1708" spans="1:16" ht="13.5" hidden="1" customHeight="1" outlineLevel="3" x14ac:dyDescent="0.2">
      <c r="A1708" s="233">
        <v>0</v>
      </c>
      <c r="B1708" s="233">
        <v>14</v>
      </c>
      <c r="C1708" s="233">
        <v>2</v>
      </c>
      <c r="D1708" s="234">
        <v>4</v>
      </c>
      <c r="E1708" s="234">
        <v>3</v>
      </c>
      <c r="G1708" s="508" t="s">
        <v>47</v>
      </c>
      <c r="H1708" s="493" t="s">
        <v>1238</v>
      </c>
      <c r="I1708" s="460" t="s">
        <v>5004</v>
      </c>
      <c r="J1708" s="495" t="s">
        <v>544</v>
      </c>
      <c r="K1708" s="496" t="s">
        <v>641</v>
      </c>
      <c r="L1708" s="497" t="e">
        <v>#REF!</v>
      </c>
      <c r="M1708" s="497">
        <v>75</v>
      </c>
      <c r="N1708" s="464"/>
      <c r="O1708" s="498"/>
      <c r="P1708" s="431" t="s">
        <v>6711</v>
      </c>
    </row>
    <row r="1709" spans="1:16" ht="13.5" hidden="1" customHeight="1" outlineLevel="3" x14ac:dyDescent="0.2">
      <c r="A1709" s="233">
        <v>0</v>
      </c>
      <c r="B1709" s="233">
        <v>14</v>
      </c>
      <c r="C1709" s="233">
        <v>2</v>
      </c>
      <c r="D1709" s="234">
        <v>4</v>
      </c>
      <c r="E1709" s="234">
        <v>4</v>
      </c>
      <c r="G1709" s="508" t="s">
        <v>47</v>
      </c>
      <c r="H1709" s="493" t="s">
        <v>1238</v>
      </c>
      <c r="I1709" s="460" t="s">
        <v>5005</v>
      </c>
      <c r="J1709" s="495" t="s">
        <v>546</v>
      </c>
      <c r="K1709" s="496" t="s">
        <v>641</v>
      </c>
      <c r="L1709" s="497" t="e">
        <v>#REF!</v>
      </c>
      <c r="M1709" s="497">
        <v>50</v>
      </c>
      <c r="N1709" s="464"/>
      <c r="O1709" s="498"/>
      <c r="P1709" s="431" t="s">
        <v>6711</v>
      </c>
    </row>
    <row r="1710" spans="1:16" ht="13.5" hidden="1" customHeight="1" outlineLevel="1" x14ac:dyDescent="0.2">
      <c r="A1710" s="233">
        <v>0</v>
      </c>
      <c r="B1710" s="233">
        <v>14</v>
      </c>
      <c r="C1710" s="233">
        <v>3</v>
      </c>
      <c r="D1710" s="234">
        <v>0</v>
      </c>
      <c r="E1710" s="234">
        <v>4</v>
      </c>
      <c r="G1710" s="506"/>
      <c r="H1710" s="481" t="s">
        <v>38</v>
      </c>
      <c r="I1710" s="445" t="s">
        <v>5006</v>
      </c>
      <c r="J1710" s="483" t="s">
        <v>2427</v>
      </c>
      <c r="K1710" s="484"/>
      <c r="L1710" s="485"/>
      <c r="M1710" s="485"/>
      <c r="N1710" s="449"/>
      <c r="O1710" s="486"/>
      <c r="P1710" s="429"/>
    </row>
    <row r="1711" spans="1:16" ht="13.5" hidden="1" customHeight="1" outlineLevel="2" x14ac:dyDescent="0.2">
      <c r="A1711" s="233">
        <v>0</v>
      </c>
      <c r="B1711" s="233">
        <v>14</v>
      </c>
      <c r="C1711" s="233">
        <v>3</v>
      </c>
      <c r="D1711" s="234">
        <v>1</v>
      </c>
      <c r="E1711" s="234">
        <v>0</v>
      </c>
      <c r="G1711" s="507"/>
      <c r="H1711" s="487" t="s">
        <v>1237</v>
      </c>
      <c r="I1711" s="452" t="s">
        <v>5007</v>
      </c>
      <c r="J1711" s="489" t="s">
        <v>2344</v>
      </c>
      <c r="K1711" s="490"/>
      <c r="L1711" s="491"/>
      <c r="M1711" s="491"/>
      <c r="N1711" s="456"/>
      <c r="O1711" s="492"/>
      <c r="P1711" s="430"/>
    </row>
    <row r="1712" spans="1:16" ht="13.5" hidden="1" customHeight="1" outlineLevel="3" x14ac:dyDescent="0.2">
      <c r="A1712" s="233">
        <v>0</v>
      </c>
      <c r="B1712" s="233">
        <v>14</v>
      </c>
      <c r="C1712" s="233">
        <v>3</v>
      </c>
      <c r="D1712" s="234">
        <v>1</v>
      </c>
      <c r="E1712" s="234">
        <v>1</v>
      </c>
      <c r="G1712" s="508" t="s">
        <v>45</v>
      </c>
      <c r="H1712" s="493" t="s">
        <v>1238</v>
      </c>
      <c r="I1712" s="460" t="s">
        <v>5008</v>
      </c>
      <c r="J1712" s="495" t="s">
        <v>481</v>
      </c>
      <c r="K1712" s="496" t="s">
        <v>641</v>
      </c>
      <c r="L1712" s="497" t="e">
        <v>#REF!</v>
      </c>
      <c r="M1712" s="497">
        <v>10.11778</v>
      </c>
      <c r="N1712" s="464"/>
      <c r="O1712" s="498"/>
      <c r="P1712" s="431" t="s">
        <v>6711</v>
      </c>
    </row>
    <row r="1713" spans="1:16" ht="13.5" hidden="1" customHeight="1" outlineLevel="3" x14ac:dyDescent="0.2">
      <c r="A1713" s="233">
        <v>0</v>
      </c>
      <c r="B1713" s="233">
        <v>14</v>
      </c>
      <c r="C1713" s="233">
        <v>3</v>
      </c>
      <c r="D1713" s="234">
        <v>1</v>
      </c>
      <c r="E1713" s="234">
        <v>2</v>
      </c>
      <c r="G1713" s="508" t="s">
        <v>45</v>
      </c>
      <c r="H1713" s="493" t="s">
        <v>1238</v>
      </c>
      <c r="I1713" s="460" t="s">
        <v>5009</v>
      </c>
      <c r="J1713" s="495" t="s">
        <v>490</v>
      </c>
      <c r="K1713" s="496" t="s">
        <v>641</v>
      </c>
      <c r="L1713" s="497" t="e">
        <v>#REF!</v>
      </c>
      <c r="M1713" s="497">
        <v>3.28945</v>
      </c>
      <c r="N1713" s="464"/>
      <c r="O1713" s="498"/>
      <c r="P1713" s="431" t="s">
        <v>6711</v>
      </c>
    </row>
    <row r="1714" spans="1:16" ht="13.5" hidden="1" customHeight="1" outlineLevel="3" x14ac:dyDescent="0.2">
      <c r="A1714" s="233">
        <v>0</v>
      </c>
      <c r="B1714" s="233">
        <v>14</v>
      </c>
      <c r="C1714" s="233">
        <v>3</v>
      </c>
      <c r="D1714" s="234">
        <v>1</v>
      </c>
      <c r="E1714" s="234">
        <v>3</v>
      </c>
      <c r="G1714" s="508" t="s">
        <v>45</v>
      </c>
      <c r="H1714" s="493" t="s">
        <v>1238</v>
      </c>
      <c r="I1714" s="460" t="s">
        <v>5010</v>
      </c>
      <c r="J1714" s="495" t="s">
        <v>496</v>
      </c>
      <c r="K1714" s="496" t="s">
        <v>641</v>
      </c>
      <c r="L1714" s="497" t="e">
        <v>#REF!</v>
      </c>
      <c r="M1714" s="497">
        <v>12.075000000000001</v>
      </c>
      <c r="N1714" s="464"/>
      <c r="O1714" s="498"/>
      <c r="P1714" s="431" t="s">
        <v>6711</v>
      </c>
    </row>
    <row r="1715" spans="1:16" ht="13.5" hidden="1" customHeight="1" outlineLevel="3" x14ac:dyDescent="0.2">
      <c r="A1715" s="233">
        <v>0</v>
      </c>
      <c r="B1715" s="233">
        <v>14</v>
      </c>
      <c r="C1715" s="233">
        <v>3</v>
      </c>
      <c r="D1715" s="234">
        <v>1</v>
      </c>
      <c r="E1715" s="234">
        <v>4</v>
      </c>
      <c r="G1715" s="508" t="s">
        <v>45</v>
      </c>
      <c r="H1715" s="493" t="s">
        <v>1238</v>
      </c>
      <c r="I1715" s="460" t="s">
        <v>5011</v>
      </c>
      <c r="J1715" s="495" t="s">
        <v>497</v>
      </c>
      <c r="K1715" s="496" t="s">
        <v>641</v>
      </c>
      <c r="L1715" s="497" t="e">
        <v>#REF!</v>
      </c>
      <c r="M1715" s="497">
        <v>5.1029166666666663</v>
      </c>
      <c r="N1715" s="464"/>
      <c r="O1715" s="498"/>
      <c r="P1715" s="431" t="s">
        <v>6711</v>
      </c>
    </row>
    <row r="1716" spans="1:16" ht="13.5" hidden="1" customHeight="1" outlineLevel="2" x14ac:dyDescent="0.2">
      <c r="A1716" s="233">
        <v>0</v>
      </c>
      <c r="B1716" s="233">
        <v>14</v>
      </c>
      <c r="C1716" s="233">
        <v>3</v>
      </c>
      <c r="D1716" s="234">
        <v>2</v>
      </c>
      <c r="E1716" s="234">
        <v>0</v>
      </c>
      <c r="G1716" s="507"/>
      <c r="H1716" s="487" t="s">
        <v>1237</v>
      </c>
      <c r="I1716" s="452" t="s">
        <v>5012</v>
      </c>
      <c r="J1716" s="489" t="s">
        <v>2349</v>
      </c>
      <c r="K1716" s="490"/>
      <c r="L1716" s="491"/>
      <c r="M1716" s="491"/>
      <c r="N1716" s="456"/>
      <c r="O1716" s="492"/>
      <c r="P1716" s="430"/>
    </row>
    <row r="1717" spans="1:16" ht="13.5" hidden="1" customHeight="1" outlineLevel="3" x14ac:dyDescent="0.2">
      <c r="A1717" s="233">
        <v>0</v>
      </c>
      <c r="B1717" s="233">
        <v>14</v>
      </c>
      <c r="C1717" s="233">
        <v>3</v>
      </c>
      <c r="D1717" s="234">
        <v>2</v>
      </c>
      <c r="E1717" s="234">
        <v>1</v>
      </c>
      <c r="G1717" s="508" t="s">
        <v>47</v>
      </c>
      <c r="H1717" s="493" t="s">
        <v>1238</v>
      </c>
      <c r="I1717" s="460" t="s">
        <v>5013</v>
      </c>
      <c r="J1717" s="495" t="s">
        <v>2408</v>
      </c>
      <c r="K1717" s="496" t="s">
        <v>641</v>
      </c>
      <c r="L1717" s="497" t="e">
        <v>#REF!</v>
      </c>
      <c r="M1717" s="497">
        <v>1448.2455000000002</v>
      </c>
      <c r="N1717" s="464"/>
      <c r="O1717" s="498" t="s">
        <v>2693</v>
      </c>
      <c r="P1717" s="431" t="s">
        <v>6711</v>
      </c>
    </row>
    <row r="1718" spans="1:16" ht="13.5" hidden="1" customHeight="1" outlineLevel="2" x14ac:dyDescent="0.2">
      <c r="A1718" s="233">
        <v>0</v>
      </c>
      <c r="B1718" s="233">
        <v>14</v>
      </c>
      <c r="C1718" s="233">
        <v>3</v>
      </c>
      <c r="D1718" s="234">
        <v>3</v>
      </c>
      <c r="E1718" s="234">
        <v>0</v>
      </c>
      <c r="G1718" s="507"/>
      <c r="H1718" s="487" t="s">
        <v>1237</v>
      </c>
      <c r="I1718" s="452" t="s">
        <v>5014</v>
      </c>
      <c r="J1718" s="489" t="s">
        <v>2273</v>
      </c>
      <c r="K1718" s="490"/>
      <c r="L1718" s="491"/>
      <c r="M1718" s="491"/>
      <c r="N1718" s="456"/>
      <c r="O1718" s="492"/>
      <c r="P1718" s="430"/>
    </row>
    <row r="1719" spans="1:16" ht="13.5" hidden="1" customHeight="1" outlineLevel="3" x14ac:dyDescent="0.2">
      <c r="A1719" s="233">
        <v>0</v>
      </c>
      <c r="B1719" s="233">
        <v>14</v>
      </c>
      <c r="C1719" s="233">
        <v>3</v>
      </c>
      <c r="D1719" s="234">
        <v>3</v>
      </c>
      <c r="E1719" s="234">
        <v>1</v>
      </c>
      <c r="G1719" s="508" t="s">
        <v>47</v>
      </c>
      <c r="H1719" s="493" t="s">
        <v>1238</v>
      </c>
      <c r="I1719" s="460" t="s">
        <v>5015</v>
      </c>
      <c r="J1719" s="495" t="s">
        <v>529</v>
      </c>
      <c r="K1719" s="496" t="s">
        <v>641</v>
      </c>
      <c r="L1719" s="497" t="e">
        <v>#REF!</v>
      </c>
      <c r="M1719" s="497">
        <v>849.15470000000005</v>
      </c>
      <c r="N1719" s="464"/>
      <c r="O1719" s="498"/>
      <c r="P1719" s="431" t="s">
        <v>6711</v>
      </c>
    </row>
    <row r="1720" spans="1:16" ht="13.5" hidden="1" customHeight="1" outlineLevel="2" x14ac:dyDescent="0.2">
      <c r="A1720" s="233">
        <v>0</v>
      </c>
      <c r="B1720" s="233">
        <v>14</v>
      </c>
      <c r="C1720" s="233">
        <v>3</v>
      </c>
      <c r="D1720" s="234">
        <v>4</v>
      </c>
      <c r="E1720" s="234">
        <v>0</v>
      </c>
      <c r="G1720" s="507"/>
      <c r="H1720" s="487" t="s">
        <v>1237</v>
      </c>
      <c r="I1720" s="452" t="s">
        <v>5016</v>
      </c>
      <c r="J1720" s="489" t="s">
        <v>1262</v>
      </c>
      <c r="K1720" s="490"/>
      <c r="L1720" s="491"/>
      <c r="M1720" s="491"/>
      <c r="N1720" s="456"/>
      <c r="O1720" s="492"/>
      <c r="P1720" s="430"/>
    </row>
    <row r="1721" spans="1:16" ht="13.5" hidden="1" customHeight="1" outlineLevel="3" x14ac:dyDescent="0.2">
      <c r="A1721" s="233">
        <v>0</v>
      </c>
      <c r="B1721" s="233">
        <v>14</v>
      </c>
      <c r="C1721" s="233">
        <v>3</v>
      </c>
      <c r="D1721" s="234">
        <v>4</v>
      </c>
      <c r="E1721" s="234">
        <v>1</v>
      </c>
      <c r="G1721" s="508" t="s">
        <v>45</v>
      </c>
      <c r="H1721" s="493" t="s">
        <v>1238</v>
      </c>
      <c r="I1721" s="460" t="s">
        <v>5017</v>
      </c>
      <c r="J1721" s="495" t="s">
        <v>541</v>
      </c>
      <c r="K1721" s="496" t="s">
        <v>641</v>
      </c>
      <c r="L1721" s="497" t="e">
        <v>#REF!</v>
      </c>
      <c r="M1721" s="497">
        <v>42</v>
      </c>
      <c r="N1721" s="464"/>
      <c r="O1721" s="498"/>
      <c r="P1721" s="431" t="s">
        <v>6711</v>
      </c>
    </row>
    <row r="1722" spans="1:16" ht="13.5" hidden="1" customHeight="1" outlineLevel="3" x14ac:dyDescent="0.2">
      <c r="A1722" s="233">
        <v>0</v>
      </c>
      <c r="B1722" s="233">
        <v>14</v>
      </c>
      <c r="C1722" s="233">
        <v>3</v>
      </c>
      <c r="D1722" s="234">
        <v>4</v>
      </c>
      <c r="E1722" s="234">
        <v>2</v>
      </c>
      <c r="G1722" s="508" t="s">
        <v>45</v>
      </c>
      <c r="H1722" s="493" t="s">
        <v>1238</v>
      </c>
      <c r="I1722" s="460" t="s">
        <v>5018</v>
      </c>
      <c r="J1722" s="495" t="s">
        <v>542</v>
      </c>
      <c r="K1722" s="496" t="s">
        <v>641</v>
      </c>
      <c r="L1722" s="497" t="e">
        <v>#REF!</v>
      </c>
      <c r="M1722" s="497">
        <v>30</v>
      </c>
      <c r="N1722" s="464"/>
      <c r="O1722" s="498"/>
      <c r="P1722" s="431" t="s">
        <v>6711</v>
      </c>
    </row>
    <row r="1723" spans="1:16" ht="13.5" hidden="1" customHeight="1" outlineLevel="3" x14ac:dyDescent="0.2">
      <c r="A1723" s="233">
        <v>0</v>
      </c>
      <c r="B1723" s="233">
        <v>14</v>
      </c>
      <c r="C1723" s="233">
        <v>3</v>
      </c>
      <c r="D1723" s="234">
        <v>4</v>
      </c>
      <c r="E1723" s="234">
        <v>3</v>
      </c>
      <c r="G1723" s="508" t="s">
        <v>47</v>
      </c>
      <c r="H1723" s="493" t="s">
        <v>1238</v>
      </c>
      <c r="I1723" s="460" t="s">
        <v>5019</v>
      </c>
      <c r="J1723" s="495" t="s">
        <v>544</v>
      </c>
      <c r="K1723" s="496" t="s">
        <v>641</v>
      </c>
      <c r="L1723" s="497" t="e">
        <v>#REF!</v>
      </c>
      <c r="M1723" s="497">
        <v>75</v>
      </c>
      <c r="N1723" s="464"/>
      <c r="O1723" s="498"/>
      <c r="P1723" s="431" t="s">
        <v>6711</v>
      </c>
    </row>
    <row r="1724" spans="1:16" ht="13.5" hidden="1" customHeight="1" outlineLevel="3" x14ac:dyDescent="0.2">
      <c r="A1724" s="233">
        <v>0</v>
      </c>
      <c r="B1724" s="233">
        <v>14</v>
      </c>
      <c r="C1724" s="233">
        <v>3</v>
      </c>
      <c r="D1724" s="234">
        <v>4</v>
      </c>
      <c r="E1724" s="234">
        <v>4</v>
      </c>
      <c r="G1724" s="508" t="s">
        <v>47</v>
      </c>
      <c r="H1724" s="493" t="s">
        <v>1238</v>
      </c>
      <c r="I1724" s="460" t="s">
        <v>5020</v>
      </c>
      <c r="J1724" s="495" t="s">
        <v>546</v>
      </c>
      <c r="K1724" s="496" t="s">
        <v>641</v>
      </c>
      <c r="L1724" s="497" t="e">
        <v>#REF!</v>
      </c>
      <c r="M1724" s="497">
        <v>50</v>
      </c>
      <c r="N1724" s="464"/>
      <c r="O1724" s="498"/>
      <c r="P1724" s="431" t="s">
        <v>6711</v>
      </c>
    </row>
    <row r="1725" spans="1:16" ht="13.5" hidden="1" customHeight="1" outlineLevel="1" x14ac:dyDescent="0.2">
      <c r="A1725" s="233">
        <v>0</v>
      </c>
      <c r="B1725" s="233">
        <v>14</v>
      </c>
      <c r="C1725" s="233">
        <v>4</v>
      </c>
      <c r="D1725" s="234">
        <v>0</v>
      </c>
      <c r="E1725" s="234">
        <v>4</v>
      </c>
      <c r="G1725" s="506"/>
      <c r="H1725" s="481" t="s">
        <v>38</v>
      </c>
      <c r="I1725" s="445" t="s">
        <v>5021</v>
      </c>
      <c r="J1725" s="483" t="s">
        <v>2428</v>
      </c>
      <c r="K1725" s="484"/>
      <c r="L1725" s="485"/>
      <c r="M1725" s="485"/>
      <c r="N1725" s="449"/>
      <c r="O1725" s="486"/>
      <c r="P1725" s="429"/>
    </row>
    <row r="1726" spans="1:16" ht="13.5" hidden="1" customHeight="1" outlineLevel="2" x14ac:dyDescent="0.2">
      <c r="A1726" s="233">
        <v>0</v>
      </c>
      <c r="B1726" s="233">
        <v>14</v>
      </c>
      <c r="C1726" s="233">
        <v>4</v>
      </c>
      <c r="D1726" s="234">
        <v>1</v>
      </c>
      <c r="E1726" s="234">
        <v>0</v>
      </c>
      <c r="G1726" s="507"/>
      <c r="H1726" s="487" t="s">
        <v>1237</v>
      </c>
      <c r="I1726" s="452" t="s">
        <v>5022</v>
      </c>
      <c r="J1726" s="489" t="s">
        <v>2344</v>
      </c>
      <c r="K1726" s="490"/>
      <c r="L1726" s="491"/>
      <c r="M1726" s="491"/>
      <c r="N1726" s="456"/>
      <c r="O1726" s="492"/>
      <c r="P1726" s="430"/>
    </row>
    <row r="1727" spans="1:16" ht="13.5" hidden="1" customHeight="1" outlineLevel="3" x14ac:dyDescent="0.2">
      <c r="A1727" s="233">
        <v>0</v>
      </c>
      <c r="B1727" s="233">
        <v>14</v>
      </c>
      <c r="C1727" s="233">
        <v>4</v>
      </c>
      <c r="D1727" s="234">
        <v>1</v>
      </c>
      <c r="E1727" s="234">
        <v>1</v>
      </c>
      <c r="G1727" s="508" t="s">
        <v>45</v>
      </c>
      <c r="H1727" s="493" t="s">
        <v>1238</v>
      </c>
      <c r="I1727" s="460" t="s">
        <v>5023</v>
      </c>
      <c r="J1727" s="495" t="s">
        <v>481</v>
      </c>
      <c r="K1727" s="496" t="s">
        <v>641</v>
      </c>
      <c r="L1727" s="497" t="e">
        <v>#REF!</v>
      </c>
      <c r="M1727" s="497">
        <v>10.11778</v>
      </c>
      <c r="N1727" s="464"/>
      <c r="O1727" s="498"/>
      <c r="P1727" s="431" t="s">
        <v>6711</v>
      </c>
    </row>
    <row r="1728" spans="1:16" ht="13.5" hidden="1" customHeight="1" outlineLevel="3" x14ac:dyDescent="0.2">
      <c r="A1728" s="233">
        <v>0</v>
      </c>
      <c r="B1728" s="233">
        <v>14</v>
      </c>
      <c r="C1728" s="233">
        <v>4</v>
      </c>
      <c r="D1728" s="234">
        <v>1</v>
      </c>
      <c r="E1728" s="234">
        <v>2</v>
      </c>
      <c r="G1728" s="508" t="s">
        <v>45</v>
      </c>
      <c r="H1728" s="493" t="s">
        <v>1238</v>
      </c>
      <c r="I1728" s="460" t="s">
        <v>5024</v>
      </c>
      <c r="J1728" s="495" t="s">
        <v>490</v>
      </c>
      <c r="K1728" s="496" t="s">
        <v>641</v>
      </c>
      <c r="L1728" s="497" t="e">
        <v>#REF!</v>
      </c>
      <c r="M1728" s="497">
        <v>3.28945</v>
      </c>
      <c r="N1728" s="464"/>
      <c r="O1728" s="498"/>
      <c r="P1728" s="431" t="s">
        <v>6711</v>
      </c>
    </row>
    <row r="1729" spans="1:16" ht="13.5" hidden="1" customHeight="1" outlineLevel="3" x14ac:dyDescent="0.2">
      <c r="A1729" s="233">
        <v>0</v>
      </c>
      <c r="B1729" s="233">
        <v>14</v>
      </c>
      <c r="C1729" s="233">
        <v>4</v>
      </c>
      <c r="D1729" s="234">
        <v>1</v>
      </c>
      <c r="E1729" s="234">
        <v>3</v>
      </c>
      <c r="G1729" s="508" t="s">
        <v>45</v>
      </c>
      <c r="H1729" s="493" t="s">
        <v>1238</v>
      </c>
      <c r="I1729" s="460" t="s">
        <v>5025</v>
      </c>
      <c r="J1729" s="495" t="s">
        <v>496</v>
      </c>
      <c r="K1729" s="496" t="s">
        <v>641</v>
      </c>
      <c r="L1729" s="497" t="e">
        <v>#REF!</v>
      </c>
      <c r="M1729" s="497">
        <v>12.075000000000001</v>
      </c>
      <c r="N1729" s="464"/>
      <c r="O1729" s="498"/>
      <c r="P1729" s="431" t="s">
        <v>6711</v>
      </c>
    </row>
    <row r="1730" spans="1:16" ht="13.5" hidden="1" customHeight="1" outlineLevel="3" x14ac:dyDescent="0.2">
      <c r="A1730" s="233">
        <v>0</v>
      </c>
      <c r="B1730" s="233">
        <v>14</v>
      </c>
      <c r="C1730" s="233">
        <v>4</v>
      </c>
      <c r="D1730" s="234">
        <v>1</v>
      </c>
      <c r="E1730" s="234">
        <v>4</v>
      </c>
      <c r="G1730" s="508" t="s">
        <v>45</v>
      </c>
      <c r="H1730" s="493" t="s">
        <v>1238</v>
      </c>
      <c r="I1730" s="460" t="s">
        <v>5026</v>
      </c>
      <c r="J1730" s="495" t="s">
        <v>497</v>
      </c>
      <c r="K1730" s="496" t="s">
        <v>641</v>
      </c>
      <c r="L1730" s="497" t="e">
        <v>#REF!</v>
      </c>
      <c r="M1730" s="497">
        <v>5.1029166666666663</v>
      </c>
      <c r="N1730" s="464"/>
      <c r="O1730" s="498"/>
      <c r="P1730" s="431" t="s">
        <v>6711</v>
      </c>
    </row>
    <row r="1731" spans="1:16" ht="13.5" hidden="1" customHeight="1" outlineLevel="2" x14ac:dyDescent="0.2">
      <c r="A1731" s="233">
        <v>0</v>
      </c>
      <c r="B1731" s="233">
        <v>14</v>
      </c>
      <c r="C1731" s="233">
        <v>4</v>
      </c>
      <c r="D1731" s="234">
        <v>2</v>
      </c>
      <c r="E1731" s="234">
        <v>0</v>
      </c>
      <c r="G1731" s="507"/>
      <c r="H1731" s="487" t="s">
        <v>1237</v>
      </c>
      <c r="I1731" s="452" t="s">
        <v>5027</v>
      </c>
      <c r="J1731" s="489" t="s">
        <v>2349</v>
      </c>
      <c r="K1731" s="490"/>
      <c r="L1731" s="491"/>
      <c r="M1731" s="491"/>
      <c r="N1731" s="456"/>
      <c r="O1731" s="492"/>
      <c r="P1731" s="430"/>
    </row>
    <row r="1732" spans="1:16" ht="13.5" hidden="1" customHeight="1" outlineLevel="3" x14ac:dyDescent="0.2">
      <c r="A1732" s="233">
        <v>0</v>
      </c>
      <c r="B1732" s="233">
        <v>14</v>
      </c>
      <c r="C1732" s="233">
        <v>4</v>
      </c>
      <c r="D1732" s="234">
        <v>2</v>
      </c>
      <c r="E1732" s="234">
        <v>1</v>
      </c>
      <c r="G1732" s="508" t="s">
        <v>47</v>
      </c>
      <c r="H1732" s="493" t="s">
        <v>1238</v>
      </c>
      <c r="I1732" s="460" t="s">
        <v>5028</v>
      </c>
      <c r="J1732" s="495" t="s">
        <v>2408</v>
      </c>
      <c r="K1732" s="496" t="s">
        <v>641</v>
      </c>
      <c r="L1732" s="497" t="e">
        <v>#REF!</v>
      </c>
      <c r="M1732" s="497">
        <v>1448.2455000000002</v>
      </c>
      <c r="N1732" s="464"/>
      <c r="O1732" s="498" t="s">
        <v>2693</v>
      </c>
      <c r="P1732" s="431" t="s">
        <v>6711</v>
      </c>
    </row>
    <row r="1733" spans="1:16" ht="13.5" hidden="1" customHeight="1" outlineLevel="2" x14ac:dyDescent="0.2">
      <c r="A1733" s="233">
        <v>0</v>
      </c>
      <c r="B1733" s="233">
        <v>14</v>
      </c>
      <c r="C1733" s="233">
        <v>4</v>
      </c>
      <c r="D1733" s="234">
        <v>3</v>
      </c>
      <c r="E1733" s="234">
        <v>0</v>
      </c>
      <c r="G1733" s="507"/>
      <c r="H1733" s="487" t="s">
        <v>1237</v>
      </c>
      <c r="I1733" s="452" t="s">
        <v>5029</v>
      </c>
      <c r="J1733" s="489" t="s">
        <v>1262</v>
      </c>
      <c r="K1733" s="490"/>
      <c r="L1733" s="491"/>
      <c r="M1733" s="491"/>
      <c r="N1733" s="456"/>
      <c r="O1733" s="492"/>
      <c r="P1733" s="430"/>
    </row>
    <row r="1734" spans="1:16" ht="13.5" hidden="1" customHeight="1" outlineLevel="3" x14ac:dyDescent="0.2">
      <c r="A1734" s="233">
        <v>0</v>
      </c>
      <c r="B1734" s="233">
        <v>14</v>
      </c>
      <c r="C1734" s="233">
        <v>4</v>
      </c>
      <c r="D1734" s="234">
        <v>3</v>
      </c>
      <c r="E1734" s="234">
        <v>1</v>
      </c>
      <c r="G1734" s="508" t="s">
        <v>45</v>
      </c>
      <c r="H1734" s="493" t="s">
        <v>1238</v>
      </c>
      <c r="I1734" s="460" t="s">
        <v>5030</v>
      </c>
      <c r="J1734" s="495" t="s">
        <v>541</v>
      </c>
      <c r="K1734" s="496" t="s">
        <v>641</v>
      </c>
      <c r="L1734" s="497" t="e">
        <v>#REF!</v>
      </c>
      <c r="M1734" s="497">
        <v>42</v>
      </c>
      <c r="N1734" s="464"/>
      <c r="O1734" s="498"/>
      <c r="P1734" s="431" t="s">
        <v>6711</v>
      </c>
    </row>
    <row r="1735" spans="1:16" ht="13.5" hidden="1" customHeight="1" outlineLevel="3" x14ac:dyDescent="0.2">
      <c r="A1735" s="233">
        <v>0</v>
      </c>
      <c r="B1735" s="233">
        <v>14</v>
      </c>
      <c r="C1735" s="233">
        <v>4</v>
      </c>
      <c r="D1735" s="234">
        <v>3</v>
      </c>
      <c r="E1735" s="234">
        <v>2</v>
      </c>
      <c r="G1735" s="508" t="s">
        <v>45</v>
      </c>
      <c r="H1735" s="493" t="s">
        <v>1238</v>
      </c>
      <c r="I1735" s="460" t="s">
        <v>5031</v>
      </c>
      <c r="J1735" s="495" t="s">
        <v>542</v>
      </c>
      <c r="K1735" s="496" t="s">
        <v>641</v>
      </c>
      <c r="L1735" s="497" t="e">
        <v>#REF!</v>
      </c>
      <c r="M1735" s="497">
        <v>30</v>
      </c>
      <c r="N1735" s="464"/>
      <c r="O1735" s="498"/>
      <c r="P1735" s="431" t="s">
        <v>6711</v>
      </c>
    </row>
    <row r="1736" spans="1:16" ht="13.5" hidden="1" customHeight="1" outlineLevel="3" x14ac:dyDescent="0.2">
      <c r="A1736" s="233">
        <v>0</v>
      </c>
      <c r="B1736" s="233">
        <v>14</v>
      </c>
      <c r="C1736" s="233">
        <v>4</v>
      </c>
      <c r="D1736" s="234">
        <v>3</v>
      </c>
      <c r="E1736" s="234">
        <v>3</v>
      </c>
      <c r="G1736" s="508" t="s">
        <v>47</v>
      </c>
      <c r="H1736" s="493" t="s">
        <v>1238</v>
      </c>
      <c r="I1736" s="460" t="s">
        <v>5032</v>
      </c>
      <c r="J1736" s="495" t="s">
        <v>544</v>
      </c>
      <c r="K1736" s="496" t="s">
        <v>641</v>
      </c>
      <c r="L1736" s="497" t="e">
        <v>#REF!</v>
      </c>
      <c r="M1736" s="497">
        <v>75</v>
      </c>
      <c r="N1736" s="464"/>
      <c r="O1736" s="498"/>
      <c r="P1736" s="431" t="s">
        <v>6711</v>
      </c>
    </row>
    <row r="1737" spans="1:16" ht="13.5" hidden="1" customHeight="1" outlineLevel="1" x14ac:dyDescent="0.2">
      <c r="A1737" s="233">
        <v>0</v>
      </c>
      <c r="B1737" s="233">
        <v>14</v>
      </c>
      <c r="C1737" s="233">
        <v>5</v>
      </c>
      <c r="D1737" s="234">
        <v>0</v>
      </c>
      <c r="E1737" s="234">
        <v>3</v>
      </c>
      <c r="G1737" s="506"/>
      <c r="H1737" s="481" t="s">
        <v>38</v>
      </c>
      <c r="I1737" s="445" t="s">
        <v>5033</v>
      </c>
      <c r="J1737" s="483" t="s">
        <v>2429</v>
      </c>
      <c r="K1737" s="484"/>
      <c r="L1737" s="485"/>
      <c r="M1737" s="485"/>
      <c r="N1737" s="449"/>
      <c r="O1737" s="486"/>
      <c r="P1737" s="429"/>
    </row>
    <row r="1738" spans="1:16" ht="13.5" hidden="1" customHeight="1" outlineLevel="2" x14ac:dyDescent="0.2">
      <c r="A1738" s="233">
        <v>0</v>
      </c>
      <c r="B1738" s="233">
        <v>14</v>
      </c>
      <c r="C1738" s="233">
        <v>5</v>
      </c>
      <c r="D1738" s="234">
        <v>1</v>
      </c>
      <c r="E1738" s="234">
        <v>0</v>
      </c>
      <c r="G1738" s="507"/>
      <c r="H1738" s="487" t="s">
        <v>1237</v>
      </c>
      <c r="I1738" s="452" t="s">
        <v>5034</v>
      </c>
      <c r="J1738" s="489" t="s">
        <v>2344</v>
      </c>
      <c r="K1738" s="490"/>
      <c r="L1738" s="491"/>
      <c r="M1738" s="491"/>
      <c r="N1738" s="456"/>
      <c r="O1738" s="492"/>
      <c r="P1738" s="430"/>
    </row>
    <row r="1739" spans="1:16" ht="13.5" hidden="1" customHeight="1" outlineLevel="3" x14ac:dyDescent="0.2">
      <c r="A1739" s="233">
        <v>0</v>
      </c>
      <c r="B1739" s="233">
        <v>14</v>
      </c>
      <c r="C1739" s="233">
        <v>5</v>
      </c>
      <c r="D1739" s="234">
        <v>1</v>
      </c>
      <c r="E1739" s="234">
        <v>1</v>
      </c>
      <c r="G1739" s="508" t="s">
        <v>45</v>
      </c>
      <c r="H1739" s="493" t="s">
        <v>1238</v>
      </c>
      <c r="I1739" s="460" t="s">
        <v>5035</v>
      </c>
      <c r="J1739" s="495" t="s">
        <v>481</v>
      </c>
      <c r="K1739" s="496" t="s">
        <v>641</v>
      </c>
      <c r="L1739" s="497" t="e">
        <v>#REF!</v>
      </c>
      <c r="M1739" s="497">
        <v>10.11778</v>
      </c>
      <c r="N1739" s="464"/>
      <c r="O1739" s="498"/>
      <c r="P1739" s="431" t="s">
        <v>6711</v>
      </c>
    </row>
    <row r="1740" spans="1:16" ht="13.5" hidden="1" customHeight="1" outlineLevel="3" x14ac:dyDescent="0.2">
      <c r="A1740" s="233">
        <v>0</v>
      </c>
      <c r="B1740" s="233">
        <v>14</v>
      </c>
      <c r="C1740" s="233">
        <v>5</v>
      </c>
      <c r="D1740" s="234">
        <v>1</v>
      </c>
      <c r="E1740" s="234">
        <v>2</v>
      </c>
      <c r="G1740" s="508" t="s">
        <v>45</v>
      </c>
      <c r="H1740" s="493" t="s">
        <v>1238</v>
      </c>
      <c r="I1740" s="460" t="s">
        <v>5036</v>
      </c>
      <c r="J1740" s="495" t="s">
        <v>490</v>
      </c>
      <c r="K1740" s="496" t="s">
        <v>641</v>
      </c>
      <c r="L1740" s="497" t="e">
        <v>#REF!</v>
      </c>
      <c r="M1740" s="497">
        <v>3.28945</v>
      </c>
      <c r="N1740" s="464"/>
      <c r="O1740" s="498"/>
      <c r="P1740" s="431" t="s">
        <v>6711</v>
      </c>
    </row>
    <row r="1741" spans="1:16" ht="13.5" hidden="1" customHeight="1" outlineLevel="3" x14ac:dyDescent="0.2">
      <c r="A1741" s="233">
        <v>0</v>
      </c>
      <c r="B1741" s="233">
        <v>14</v>
      </c>
      <c r="C1741" s="233">
        <v>5</v>
      </c>
      <c r="D1741" s="234">
        <v>1</v>
      </c>
      <c r="E1741" s="234">
        <v>3</v>
      </c>
      <c r="G1741" s="508" t="s">
        <v>45</v>
      </c>
      <c r="H1741" s="493" t="s">
        <v>1238</v>
      </c>
      <c r="I1741" s="460" t="s">
        <v>5037</v>
      </c>
      <c r="J1741" s="495" t="s">
        <v>496</v>
      </c>
      <c r="K1741" s="496" t="s">
        <v>641</v>
      </c>
      <c r="L1741" s="497" t="e">
        <v>#REF!</v>
      </c>
      <c r="M1741" s="497">
        <v>12.075000000000001</v>
      </c>
      <c r="N1741" s="464"/>
      <c r="O1741" s="498"/>
      <c r="P1741" s="431" t="s">
        <v>6711</v>
      </c>
    </row>
    <row r="1742" spans="1:16" ht="13.5" hidden="1" customHeight="1" outlineLevel="3" x14ac:dyDescent="0.2">
      <c r="A1742" s="233">
        <v>0</v>
      </c>
      <c r="B1742" s="233">
        <v>14</v>
      </c>
      <c r="C1742" s="233">
        <v>5</v>
      </c>
      <c r="D1742" s="234">
        <v>1</v>
      </c>
      <c r="E1742" s="234">
        <v>4</v>
      </c>
      <c r="G1742" s="508" t="s">
        <v>45</v>
      </c>
      <c r="H1742" s="493" t="s">
        <v>1238</v>
      </c>
      <c r="I1742" s="460" t="s">
        <v>5038</v>
      </c>
      <c r="J1742" s="495" t="s">
        <v>497</v>
      </c>
      <c r="K1742" s="496" t="s">
        <v>641</v>
      </c>
      <c r="L1742" s="497" t="e">
        <v>#REF!</v>
      </c>
      <c r="M1742" s="497">
        <v>5.1029166666666663</v>
      </c>
      <c r="N1742" s="464"/>
      <c r="O1742" s="498"/>
      <c r="P1742" s="431" t="s">
        <v>6711</v>
      </c>
    </row>
    <row r="1743" spans="1:16" ht="13.5" hidden="1" customHeight="1" outlineLevel="2" x14ac:dyDescent="0.2">
      <c r="A1743" s="233">
        <v>0</v>
      </c>
      <c r="B1743" s="233">
        <v>14</v>
      </c>
      <c r="C1743" s="233">
        <v>5</v>
      </c>
      <c r="D1743" s="234">
        <v>2</v>
      </c>
      <c r="E1743" s="234">
        <v>0</v>
      </c>
      <c r="G1743" s="507"/>
      <c r="H1743" s="487" t="s">
        <v>1237</v>
      </c>
      <c r="I1743" s="452" t="s">
        <v>5039</v>
      </c>
      <c r="J1743" s="489" t="s">
        <v>2349</v>
      </c>
      <c r="K1743" s="490"/>
      <c r="L1743" s="491"/>
      <c r="M1743" s="491"/>
      <c r="N1743" s="456"/>
      <c r="O1743" s="492"/>
      <c r="P1743" s="430"/>
    </row>
    <row r="1744" spans="1:16" ht="13.5" hidden="1" customHeight="1" outlineLevel="3" x14ac:dyDescent="0.2">
      <c r="A1744" s="233">
        <v>0</v>
      </c>
      <c r="B1744" s="233">
        <v>14</v>
      </c>
      <c r="C1744" s="233">
        <v>5</v>
      </c>
      <c r="D1744" s="234">
        <v>2</v>
      </c>
      <c r="E1744" s="234">
        <v>1</v>
      </c>
      <c r="G1744" s="508" t="s">
        <v>47</v>
      </c>
      <c r="H1744" s="493" t="s">
        <v>1238</v>
      </c>
      <c r="I1744" s="460" t="s">
        <v>5040</v>
      </c>
      <c r="J1744" s="495" t="s">
        <v>2408</v>
      </c>
      <c r="K1744" s="496" t="s">
        <v>641</v>
      </c>
      <c r="L1744" s="497" t="e">
        <v>#REF!</v>
      </c>
      <c r="M1744" s="497">
        <v>1448.2455000000002</v>
      </c>
      <c r="N1744" s="464"/>
      <c r="O1744" s="498" t="s">
        <v>2693</v>
      </c>
      <c r="P1744" s="431" t="s">
        <v>6711</v>
      </c>
    </row>
    <row r="1745" spans="1:16" ht="13.5" hidden="1" customHeight="1" outlineLevel="2" x14ac:dyDescent="0.2">
      <c r="A1745" s="233">
        <v>0</v>
      </c>
      <c r="B1745" s="233">
        <v>14</v>
      </c>
      <c r="C1745" s="233">
        <v>5</v>
      </c>
      <c r="D1745" s="234">
        <v>3</v>
      </c>
      <c r="E1745" s="234">
        <v>0</v>
      </c>
      <c r="G1745" s="507"/>
      <c r="H1745" s="487" t="s">
        <v>1237</v>
      </c>
      <c r="I1745" s="452" t="s">
        <v>5041</v>
      </c>
      <c r="J1745" s="489" t="s">
        <v>1262</v>
      </c>
      <c r="K1745" s="490"/>
      <c r="L1745" s="491"/>
      <c r="M1745" s="491"/>
      <c r="N1745" s="456"/>
      <c r="O1745" s="492"/>
      <c r="P1745" s="430"/>
    </row>
    <row r="1746" spans="1:16" ht="13.5" hidden="1" customHeight="1" outlineLevel="3" x14ac:dyDescent="0.2">
      <c r="A1746" s="233">
        <v>0</v>
      </c>
      <c r="B1746" s="233">
        <v>14</v>
      </c>
      <c r="C1746" s="233">
        <v>5</v>
      </c>
      <c r="D1746" s="234">
        <v>3</v>
      </c>
      <c r="E1746" s="234">
        <v>1</v>
      </c>
      <c r="G1746" s="508" t="s">
        <v>45</v>
      </c>
      <c r="H1746" s="493" t="s">
        <v>1238</v>
      </c>
      <c r="I1746" s="460" t="s">
        <v>5042</v>
      </c>
      <c r="J1746" s="495" t="s">
        <v>541</v>
      </c>
      <c r="K1746" s="496" t="s">
        <v>641</v>
      </c>
      <c r="L1746" s="497" t="e">
        <v>#REF!</v>
      </c>
      <c r="M1746" s="497">
        <v>42</v>
      </c>
      <c r="N1746" s="464"/>
      <c r="O1746" s="498"/>
      <c r="P1746" s="431" t="s">
        <v>6711</v>
      </c>
    </row>
    <row r="1747" spans="1:16" ht="13.5" hidden="1" customHeight="1" outlineLevel="3" x14ac:dyDescent="0.2">
      <c r="A1747" s="233">
        <v>0</v>
      </c>
      <c r="B1747" s="233">
        <v>14</v>
      </c>
      <c r="C1747" s="233">
        <v>5</v>
      </c>
      <c r="D1747" s="234">
        <v>3</v>
      </c>
      <c r="E1747" s="234">
        <v>2</v>
      </c>
      <c r="G1747" s="508" t="s">
        <v>45</v>
      </c>
      <c r="H1747" s="493" t="s">
        <v>1238</v>
      </c>
      <c r="I1747" s="460" t="s">
        <v>5043</v>
      </c>
      <c r="J1747" s="495" t="s">
        <v>542</v>
      </c>
      <c r="K1747" s="496" t="s">
        <v>641</v>
      </c>
      <c r="L1747" s="497" t="e">
        <v>#REF!</v>
      </c>
      <c r="M1747" s="497">
        <v>30</v>
      </c>
      <c r="N1747" s="464"/>
      <c r="O1747" s="498"/>
      <c r="P1747" s="431" t="s">
        <v>6711</v>
      </c>
    </row>
    <row r="1748" spans="1:16" ht="13.5" hidden="1" customHeight="1" outlineLevel="3" x14ac:dyDescent="0.2">
      <c r="A1748" s="233">
        <v>0</v>
      </c>
      <c r="B1748" s="233">
        <v>14</v>
      </c>
      <c r="C1748" s="233">
        <v>5</v>
      </c>
      <c r="D1748" s="234">
        <v>3</v>
      </c>
      <c r="E1748" s="234">
        <v>3</v>
      </c>
      <c r="G1748" s="508" t="s">
        <v>47</v>
      </c>
      <c r="H1748" s="493" t="s">
        <v>1238</v>
      </c>
      <c r="I1748" s="460" t="s">
        <v>5044</v>
      </c>
      <c r="J1748" s="495" t="s">
        <v>544</v>
      </c>
      <c r="K1748" s="496" t="s">
        <v>641</v>
      </c>
      <c r="L1748" s="497" t="e">
        <v>#REF!</v>
      </c>
      <c r="M1748" s="497">
        <v>75</v>
      </c>
      <c r="N1748" s="464"/>
      <c r="O1748" s="498"/>
      <c r="P1748" s="431" t="s">
        <v>6711</v>
      </c>
    </row>
    <row r="1749" spans="1:16" ht="13.5" hidden="1" customHeight="1" outlineLevel="1" x14ac:dyDescent="0.2">
      <c r="A1749" s="233">
        <v>0</v>
      </c>
      <c r="B1749" s="233">
        <v>14</v>
      </c>
      <c r="C1749" s="233">
        <v>6</v>
      </c>
      <c r="D1749" s="234">
        <v>0</v>
      </c>
      <c r="E1749" s="234">
        <v>3</v>
      </c>
      <c r="G1749" s="506"/>
      <c r="H1749" s="481" t="s">
        <v>38</v>
      </c>
      <c r="I1749" s="445" t="s">
        <v>5045</v>
      </c>
      <c r="J1749" s="483" t="s">
        <v>2430</v>
      </c>
      <c r="K1749" s="484"/>
      <c r="L1749" s="485"/>
      <c r="M1749" s="485"/>
      <c r="N1749" s="449"/>
      <c r="O1749" s="486"/>
      <c r="P1749" s="429"/>
    </row>
    <row r="1750" spans="1:16" ht="13.5" hidden="1" customHeight="1" outlineLevel="2" x14ac:dyDescent="0.2">
      <c r="A1750" s="233">
        <v>0</v>
      </c>
      <c r="B1750" s="233">
        <v>14</v>
      </c>
      <c r="C1750" s="233">
        <v>6</v>
      </c>
      <c r="D1750" s="234">
        <v>1</v>
      </c>
      <c r="E1750" s="234">
        <v>0</v>
      </c>
      <c r="G1750" s="507"/>
      <c r="H1750" s="487" t="s">
        <v>1237</v>
      </c>
      <c r="I1750" s="452" t="s">
        <v>5046</v>
      </c>
      <c r="J1750" s="489" t="s">
        <v>2344</v>
      </c>
      <c r="K1750" s="490"/>
      <c r="L1750" s="491"/>
      <c r="M1750" s="491"/>
      <c r="N1750" s="456"/>
      <c r="O1750" s="492"/>
      <c r="P1750" s="430"/>
    </row>
    <row r="1751" spans="1:16" ht="13.5" hidden="1" customHeight="1" outlineLevel="3" x14ac:dyDescent="0.2">
      <c r="A1751" s="233">
        <v>0</v>
      </c>
      <c r="B1751" s="233">
        <v>14</v>
      </c>
      <c r="C1751" s="233">
        <v>6</v>
      </c>
      <c r="D1751" s="234">
        <v>1</v>
      </c>
      <c r="E1751" s="234">
        <v>1</v>
      </c>
      <c r="G1751" s="508" t="s">
        <v>45</v>
      </c>
      <c r="H1751" s="493" t="s">
        <v>1238</v>
      </c>
      <c r="I1751" s="460" t="s">
        <v>5047</v>
      </c>
      <c r="J1751" s="495" t="s">
        <v>481</v>
      </c>
      <c r="K1751" s="496" t="s">
        <v>641</v>
      </c>
      <c r="L1751" s="497" t="e">
        <v>#REF!</v>
      </c>
      <c r="M1751" s="497">
        <v>10.11778</v>
      </c>
      <c r="N1751" s="464"/>
      <c r="O1751" s="498"/>
      <c r="P1751" s="431" t="s">
        <v>6711</v>
      </c>
    </row>
    <row r="1752" spans="1:16" ht="13.5" hidden="1" customHeight="1" outlineLevel="3" x14ac:dyDescent="0.2">
      <c r="A1752" s="233">
        <v>0</v>
      </c>
      <c r="B1752" s="233">
        <v>14</v>
      </c>
      <c r="C1752" s="233">
        <v>6</v>
      </c>
      <c r="D1752" s="234">
        <v>1</v>
      </c>
      <c r="E1752" s="234">
        <v>2</v>
      </c>
      <c r="G1752" s="508" t="s">
        <v>45</v>
      </c>
      <c r="H1752" s="493" t="s">
        <v>1238</v>
      </c>
      <c r="I1752" s="460" t="s">
        <v>5048</v>
      </c>
      <c r="J1752" s="495" t="s">
        <v>490</v>
      </c>
      <c r="K1752" s="496" t="s">
        <v>641</v>
      </c>
      <c r="L1752" s="497" t="e">
        <v>#REF!</v>
      </c>
      <c r="M1752" s="497">
        <v>3.28945</v>
      </c>
      <c r="N1752" s="464"/>
      <c r="O1752" s="498"/>
      <c r="P1752" s="431" t="s">
        <v>6711</v>
      </c>
    </row>
    <row r="1753" spans="1:16" ht="13.5" hidden="1" customHeight="1" outlineLevel="3" x14ac:dyDescent="0.2">
      <c r="A1753" s="233">
        <v>0</v>
      </c>
      <c r="B1753" s="233">
        <v>14</v>
      </c>
      <c r="C1753" s="233">
        <v>6</v>
      </c>
      <c r="D1753" s="234">
        <v>1</v>
      </c>
      <c r="E1753" s="234">
        <v>3</v>
      </c>
      <c r="G1753" s="508" t="s">
        <v>45</v>
      </c>
      <c r="H1753" s="493" t="s">
        <v>1238</v>
      </c>
      <c r="I1753" s="460" t="s">
        <v>5049</v>
      </c>
      <c r="J1753" s="495" t="s">
        <v>496</v>
      </c>
      <c r="K1753" s="496" t="s">
        <v>641</v>
      </c>
      <c r="L1753" s="497" t="e">
        <v>#REF!</v>
      </c>
      <c r="M1753" s="497">
        <v>12.075000000000001</v>
      </c>
      <c r="N1753" s="464"/>
      <c r="O1753" s="498"/>
      <c r="P1753" s="431" t="s">
        <v>6711</v>
      </c>
    </row>
    <row r="1754" spans="1:16" ht="13.5" hidden="1" customHeight="1" outlineLevel="3" x14ac:dyDescent="0.2">
      <c r="A1754" s="233">
        <v>0</v>
      </c>
      <c r="B1754" s="233">
        <v>14</v>
      </c>
      <c r="C1754" s="233">
        <v>6</v>
      </c>
      <c r="D1754" s="234">
        <v>1</v>
      </c>
      <c r="E1754" s="234">
        <v>4</v>
      </c>
      <c r="G1754" s="508" t="s">
        <v>45</v>
      </c>
      <c r="H1754" s="493" t="s">
        <v>1238</v>
      </c>
      <c r="I1754" s="460" t="s">
        <v>5050</v>
      </c>
      <c r="J1754" s="495" t="s">
        <v>497</v>
      </c>
      <c r="K1754" s="496" t="s">
        <v>641</v>
      </c>
      <c r="L1754" s="497" t="e">
        <v>#REF!</v>
      </c>
      <c r="M1754" s="497">
        <v>5.1029166666666663</v>
      </c>
      <c r="N1754" s="464"/>
      <c r="O1754" s="498"/>
      <c r="P1754" s="431" t="s">
        <v>6711</v>
      </c>
    </row>
    <row r="1755" spans="1:16" ht="13.5" hidden="1" customHeight="1" outlineLevel="2" x14ac:dyDescent="0.2">
      <c r="A1755" s="233">
        <v>0</v>
      </c>
      <c r="B1755" s="233">
        <v>14</v>
      </c>
      <c r="C1755" s="233">
        <v>6</v>
      </c>
      <c r="D1755" s="234">
        <v>2</v>
      </c>
      <c r="E1755" s="234">
        <v>0</v>
      </c>
      <c r="G1755" s="507"/>
      <c r="H1755" s="487" t="s">
        <v>1237</v>
      </c>
      <c r="I1755" s="452" t="s">
        <v>5051</v>
      </c>
      <c r="J1755" s="489" t="s">
        <v>2349</v>
      </c>
      <c r="K1755" s="490"/>
      <c r="L1755" s="491"/>
      <c r="M1755" s="491"/>
      <c r="N1755" s="456"/>
      <c r="O1755" s="492"/>
      <c r="P1755" s="430"/>
    </row>
    <row r="1756" spans="1:16" ht="13.5" hidden="1" customHeight="1" outlineLevel="3" x14ac:dyDescent="0.2">
      <c r="A1756" s="233">
        <v>0</v>
      </c>
      <c r="B1756" s="233">
        <v>14</v>
      </c>
      <c r="C1756" s="233">
        <v>6</v>
      </c>
      <c r="D1756" s="234">
        <v>2</v>
      </c>
      <c r="E1756" s="234">
        <v>1</v>
      </c>
      <c r="G1756" s="508" t="s">
        <v>47</v>
      </c>
      <c r="H1756" s="493" t="s">
        <v>1238</v>
      </c>
      <c r="I1756" s="460" t="s">
        <v>5052</v>
      </c>
      <c r="J1756" s="495" t="s">
        <v>2408</v>
      </c>
      <c r="K1756" s="496" t="s">
        <v>641</v>
      </c>
      <c r="L1756" s="497" t="e">
        <v>#REF!</v>
      </c>
      <c r="M1756" s="497">
        <v>1448.2455000000002</v>
      </c>
      <c r="N1756" s="464"/>
      <c r="O1756" s="498" t="s">
        <v>2693</v>
      </c>
      <c r="P1756" s="431" t="s">
        <v>6711</v>
      </c>
    </row>
    <row r="1757" spans="1:16" ht="13.5" hidden="1" customHeight="1" outlineLevel="2" x14ac:dyDescent="0.2">
      <c r="A1757" s="233">
        <v>0</v>
      </c>
      <c r="B1757" s="233">
        <v>14</v>
      </c>
      <c r="C1757" s="233">
        <v>6</v>
      </c>
      <c r="D1757" s="234">
        <v>3</v>
      </c>
      <c r="E1757" s="234">
        <v>0</v>
      </c>
      <c r="G1757" s="507"/>
      <c r="H1757" s="487" t="s">
        <v>1237</v>
      </c>
      <c r="I1757" s="452" t="s">
        <v>5053</v>
      </c>
      <c r="J1757" s="489" t="s">
        <v>1262</v>
      </c>
      <c r="K1757" s="490"/>
      <c r="L1757" s="491"/>
      <c r="M1757" s="491"/>
      <c r="N1757" s="456"/>
      <c r="O1757" s="492"/>
      <c r="P1757" s="430"/>
    </row>
    <row r="1758" spans="1:16" ht="13.5" hidden="1" customHeight="1" outlineLevel="3" x14ac:dyDescent="0.2">
      <c r="A1758" s="233">
        <v>0</v>
      </c>
      <c r="B1758" s="233">
        <v>14</v>
      </c>
      <c r="C1758" s="233">
        <v>6</v>
      </c>
      <c r="D1758" s="234">
        <v>3</v>
      </c>
      <c r="E1758" s="234">
        <v>1</v>
      </c>
      <c r="G1758" s="508" t="s">
        <v>45</v>
      </c>
      <c r="H1758" s="493" t="s">
        <v>1238</v>
      </c>
      <c r="I1758" s="460" t="s">
        <v>5054</v>
      </c>
      <c r="J1758" s="495" t="s">
        <v>541</v>
      </c>
      <c r="K1758" s="496" t="s">
        <v>641</v>
      </c>
      <c r="L1758" s="497" t="e">
        <v>#REF!</v>
      </c>
      <c r="M1758" s="497">
        <v>42</v>
      </c>
      <c r="N1758" s="464"/>
      <c r="O1758" s="498"/>
      <c r="P1758" s="431" t="s">
        <v>6711</v>
      </c>
    </row>
    <row r="1759" spans="1:16" ht="13.5" hidden="1" customHeight="1" outlineLevel="3" x14ac:dyDescent="0.2">
      <c r="A1759" s="233">
        <v>0</v>
      </c>
      <c r="B1759" s="233">
        <v>14</v>
      </c>
      <c r="C1759" s="233">
        <v>6</v>
      </c>
      <c r="D1759" s="234">
        <v>3</v>
      </c>
      <c r="E1759" s="234">
        <v>2</v>
      </c>
      <c r="G1759" s="508" t="s">
        <v>45</v>
      </c>
      <c r="H1759" s="493" t="s">
        <v>1238</v>
      </c>
      <c r="I1759" s="460" t="s">
        <v>5055</v>
      </c>
      <c r="J1759" s="495" t="s">
        <v>542</v>
      </c>
      <c r="K1759" s="496" t="s">
        <v>641</v>
      </c>
      <c r="L1759" s="497" t="e">
        <v>#REF!</v>
      </c>
      <c r="M1759" s="497">
        <v>30</v>
      </c>
      <c r="N1759" s="464"/>
      <c r="O1759" s="498"/>
      <c r="P1759" s="431" t="s">
        <v>6711</v>
      </c>
    </row>
    <row r="1760" spans="1:16" ht="13.5" hidden="1" customHeight="1" outlineLevel="3" x14ac:dyDescent="0.2">
      <c r="A1760" s="233">
        <v>0</v>
      </c>
      <c r="B1760" s="233">
        <v>14</v>
      </c>
      <c r="C1760" s="233">
        <v>6</v>
      </c>
      <c r="D1760" s="234">
        <v>3</v>
      </c>
      <c r="E1760" s="234">
        <v>3</v>
      </c>
      <c r="G1760" s="508" t="s">
        <v>47</v>
      </c>
      <c r="H1760" s="493" t="s">
        <v>1238</v>
      </c>
      <c r="I1760" s="460" t="s">
        <v>5056</v>
      </c>
      <c r="J1760" s="495" t="s">
        <v>544</v>
      </c>
      <c r="K1760" s="496" t="s">
        <v>641</v>
      </c>
      <c r="L1760" s="497" t="e">
        <v>#REF!</v>
      </c>
      <c r="M1760" s="497">
        <v>75</v>
      </c>
      <c r="N1760" s="464"/>
      <c r="O1760" s="498"/>
      <c r="P1760" s="431" t="s">
        <v>6711</v>
      </c>
    </row>
    <row r="1761" spans="1:16" ht="13.5" hidden="1" customHeight="1" outlineLevel="1" x14ac:dyDescent="0.2">
      <c r="A1761" s="233">
        <v>0</v>
      </c>
      <c r="B1761" s="233">
        <v>14</v>
      </c>
      <c r="C1761" s="233">
        <v>7</v>
      </c>
      <c r="D1761" s="234">
        <v>0</v>
      </c>
      <c r="E1761" s="234">
        <v>3</v>
      </c>
      <c r="G1761" s="506"/>
      <c r="H1761" s="481" t="s">
        <v>38</v>
      </c>
      <c r="I1761" s="445" t="s">
        <v>5057</v>
      </c>
      <c r="J1761" s="483" t="s">
        <v>2431</v>
      </c>
      <c r="K1761" s="484"/>
      <c r="L1761" s="485"/>
      <c r="M1761" s="485"/>
      <c r="N1761" s="449"/>
      <c r="O1761" s="486"/>
      <c r="P1761" s="429"/>
    </row>
    <row r="1762" spans="1:16" ht="13.5" hidden="1" customHeight="1" outlineLevel="2" x14ac:dyDescent="0.2">
      <c r="A1762" s="233">
        <v>0</v>
      </c>
      <c r="B1762" s="233">
        <v>14</v>
      </c>
      <c r="C1762" s="233">
        <v>7</v>
      </c>
      <c r="D1762" s="234">
        <v>1</v>
      </c>
      <c r="E1762" s="234">
        <v>0</v>
      </c>
      <c r="G1762" s="507"/>
      <c r="H1762" s="487" t="s">
        <v>1237</v>
      </c>
      <c r="I1762" s="452" t="s">
        <v>5058</v>
      </c>
      <c r="J1762" s="489" t="s">
        <v>2344</v>
      </c>
      <c r="K1762" s="490"/>
      <c r="L1762" s="491"/>
      <c r="M1762" s="491"/>
      <c r="N1762" s="456"/>
      <c r="O1762" s="492"/>
      <c r="P1762" s="430"/>
    </row>
    <row r="1763" spans="1:16" ht="13.5" hidden="1" customHeight="1" outlineLevel="3" x14ac:dyDescent="0.2">
      <c r="A1763" s="233">
        <v>0</v>
      </c>
      <c r="B1763" s="233">
        <v>14</v>
      </c>
      <c r="C1763" s="233">
        <v>7</v>
      </c>
      <c r="D1763" s="234">
        <v>1</v>
      </c>
      <c r="E1763" s="234">
        <v>1</v>
      </c>
      <c r="G1763" s="508" t="s">
        <v>45</v>
      </c>
      <c r="H1763" s="493" t="s">
        <v>1238</v>
      </c>
      <c r="I1763" s="460" t="s">
        <v>5059</v>
      </c>
      <c r="J1763" s="495" t="s">
        <v>481</v>
      </c>
      <c r="K1763" s="496" t="s">
        <v>641</v>
      </c>
      <c r="L1763" s="497" t="e">
        <v>#REF!</v>
      </c>
      <c r="M1763" s="497">
        <v>10.11778</v>
      </c>
      <c r="N1763" s="464"/>
      <c r="O1763" s="498"/>
      <c r="P1763" s="431" t="s">
        <v>6711</v>
      </c>
    </row>
    <row r="1764" spans="1:16" ht="13.5" hidden="1" customHeight="1" outlineLevel="3" x14ac:dyDescent="0.2">
      <c r="A1764" s="233">
        <v>0</v>
      </c>
      <c r="B1764" s="233">
        <v>14</v>
      </c>
      <c r="C1764" s="233">
        <v>7</v>
      </c>
      <c r="D1764" s="234">
        <v>1</v>
      </c>
      <c r="E1764" s="234">
        <v>2</v>
      </c>
      <c r="G1764" s="508" t="s">
        <v>45</v>
      </c>
      <c r="H1764" s="493" t="s">
        <v>1238</v>
      </c>
      <c r="I1764" s="460" t="s">
        <v>5060</v>
      </c>
      <c r="J1764" s="495" t="s">
        <v>490</v>
      </c>
      <c r="K1764" s="496" t="s">
        <v>641</v>
      </c>
      <c r="L1764" s="497" t="e">
        <v>#REF!</v>
      </c>
      <c r="M1764" s="497">
        <v>3.28945</v>
      </c>
      <c r="N1764" s="464"/>
      <c r="O1764" s="498"/>
      <c r="P1764" s="431" t="s">
        <v>6711</v>
      </c>
    </row>
    <row r="1765" spans="1:16" ht="13.5" hidden="1" customHeight="1" outlineLevel="3" x14ac:dyDescent="0.2">
      <c r="A1765" s="233">
        <v>0</v>
      </c>
      <c r="B1765" s="233">
        <v>14</v>
      </c>
      <c r="C1765" s="233">
        <v>7</v>
      </c>
      <c r="D1765" s="234">
        <v>1</v>
      </c>
      <c r="E1765" s="234">
        <v>3</v>
      </c>
      <c r="G1765" s="508" t="s">
        <v>45</v>
      </c>
      <c r="H1765" s="493" t="s">
        <v>1238</v>
      </c>
      <c r="I1765" s="460" t="s">
        <v>5061</v>
      </c>
      <c r="J1765" s="495" t="s">
        <v>496</v>
      </c>
      <c r="K1765" s="496" t="s">
        <v>641</v>
      </c>
      <c r="L1765" s="497" t="e">
        <v>#REF!</v>
      </c>
      <c r="M1765" s="497">
        <v>12.075000000000001</v>
      </c>
      <c r="N1765" s="464"/>
      <c r="O1765" s="498"/>
      <c r="P1765" s="431" t="s">
        <v>6711</v>
      </c>
    </row>
    <row r="1766" spans="1:16" ht="13.5" hidden="1" customHeight="1" outlineLevel="3" x14ac:dyDescent="0.2">
      <c r="A1766" s="233">
        <v>0</v>
      </c>
      <c r="B1766" s="233">
        <v>14</v>
      </c>
      <c r="C1766" s="233">
        <v>7</v>
      </c>
      <c r="D1766" s="234">
        <v>1</v>
      </c>
      <c r="E1766" s="234">
        <v>4</v>
      </c>
      <c r="G1766" s="508" t="s">
        <v>45</v>
      </c>
      <c r="H1766" s="493" t="s">
        <v>1238</v>
      </c>
      <c r="I1766" s="460" t="s">
        <v>5062</v>
      </c>
      <c r="J1766" s="495" t="s">
        <v>497</v>
      </c>
      <c r="K1766" s="496" t="s">
        <v>641</v>
      </c>
      <c r="L1766" s="497" t="e">
        <v>#REF!</v>
      </c>
      <c r="M1766" s="497">
        <v>5.1029166666666663</v>
      </c>
      <c r="N1766" s="464"/>
      <c r="O1766" s="498"/>
      <c r="P1766" s="431" t="s">
        <v>6711</v>
      </c>
    </row>
    <row r="1767" spans="1:16" ht="13.5" hidden="1" customHeight="1" outlineLevel="2" x14ac:dyDescent="0.2">
      <c r="A1767" s="233">
        <v>0</v>
      </c>
      <c r="B1767" s="233">
        <v>14</v>
      </c>
      <c r="C1767" s="233">
        <v>7</v>
      </c>
      <c r="D1767" s="234">
        <v>2</v>
      </c>
      <c r="E1767" s="234">
        <v>0</v>
      </c>
      <c r="G1767" s="507"/>
      <c r="H1767" s="487" t="s">
        <v>1237</v>
      </c>
      <c r="I1767" s="452" t="s">
        <v>5063</v>
      </c>
      <c r="J1767" s="489" t="s">
        <v>2345</v>
      </c>
      <c r="K1767" s="490"/>
      <c r="L1767" s="491"/>
      <c r="M1767" s="491"/>
      <c r="N1767" s="456"/>
      <c r="O1767" s="492"/>
      <c r="P1767" s="430"/>
    </row>
    <row r="1768" spans="1:16" ht="13.5" hidden="1" customHeight="1" outlineLevel="3" x14ac:dyDescent="0.2">
      <c r="A1768" s="233">
        <v>0</v>
      </c>
      <c r="B1768" s="233">
        <v>14</v>
      </c>
      <c r="C1768" s="233">
        <v>7</v>
      </c>
      <c r="D1768" s="234">
        <v>2</v>
      </c>
      <c r="E1768" s="234">
        <v>1</v>
      </c>
      <c r="G1768" s="508" t="s">
        <v>47</v>
      </c>
      <c r="H1768" s="493" t="s">
        <v>1238</v>
      </c>
      <c r="I1768" s="460" t="s">
        <v>5064</v>
      </c>
      <c r="J1768" s="461" t="s">
        <v>2376</v>
      </c>
      <c r="K1768" s="496" t="s">
        <v>641</v>
      </c>
      <c r="L1768" s="497" t="e">
        <v>#REF!</v>
      </c>
      <c r="M1768" s="497">
        <v>229.82760000000005</v>
      </c>
      <c r="N1768" s="464"/>
      <c r="O1768" s="498" t="s">
        <v>2253</v>
      </c>
      <c r="P1768" s="431" t="s">
        <v>6711</v>
      </c>
    </row>
    <row r="1769" spans="1:16" ht="13.5" hidden="1" customHeight="1" outlineLevel="3" x14ac:dyDescent="0.2">
      <c r="A1769" s="233">
        <v>0</v>
      </c>
      <c r="B1769" s="233">
        <v>14</v>
      </c>
      <c r="C1769" s="233">
        <v>7</v>
      </c>
      <c r="D1769" s="234">
        <v>2</v>
      </c>
      <c r="E1769" s="234">
        <v>2</v>
      </c>
      <c r="G1769" s="508" t="s">
        <v>47</v>
      </c>
      <c r="H1769" s="493" t="s">
        <v>1238</v>
      </c>
      <c r="I1769" s="460" t="s">
        <v>5065</v>
      </c>
      <c r="J1769" s="495" t="s">
        <v>2387</v>
      </c>
      <c r="K1769" s="496" t="s">
        <v>641</v>
      </c>
      <c r="L1769" s="497" t="e">
        <v>#REF!</v>
      </c>
      <c r="M1769" s="497">
        <v>353.98927499999996</v>
      </c>
      <c r="N1769" s="464"/>
      <c r="O1769" s="498" t="s">
        <v>2385</v>
      </c>
      <c r="P1769" s="431" t="s">
        <v>6711</v>
      </c>
    </row>
    <row r="1770" spans="1:16" ht="13.5" hidden="1" customHeight="1" outlineLevel="3" x14ac:dyDescent="0.2">
      <c r="A1770" s="233">
        <v>0</v>
      </c>
      <c r="B1770" s="233">
        <v>14</v>
      </c>
      <c r="C1770" s="233">
        <v>7</v>
      </c>
      <c r="D1770" s="234">
        <v>2</v>
      </c>
      <c r="E1770" s="234">
        <v>3</v>
      </c>
      <c r="G1770" s="508" t="s">
        <v>47</v>
      </c>
      <c r="H1770" s="493" t="s">
        <v>1238</v>
      </c>
      <c r="I1770" s="460" t="s">
        <v>5066</v>
      </c>
      <c r="J1770" s="495" t="s">
        <v>2394</v>
      </c>
      <c r="K1770" s="496" t="s">
        <v>641</v>
      </c>
      <c r="L1770" s="497" t="e">
        <v>#REF!</v>
      </c>
      <c r="M1770" s="497">
        <v>546.48927500000002</v>
      </c>
      <c r="N1770" s="464"/>
      <c r="O1770" s="498" t="s">
        <v>2395</v>
      </c>
      <c r="P1770" s="431" t="s">
        <v>6711</v>
      </c>
    </row>
    <row r="1771" spans="1:16" ht="13.5" hidden="1" customHeight="1" outlineLevel="2" x14ac:dyDescent="0.2">
      <c r="A1771" s="233">
        <v>0</v>
      </c>
      <c r="B1771" s="233">
        <v>14</v>
      </c>
      <c r="C1771" s="233">
        <v>7</v>
      </c>
      <c r="D1771" s="234">
        <v>3</v>
      </c>
      <c r="E1771" s="234">
        <v>0</v>
      </c>
      <c r="G1771" s="507"/>
      <c r="H1771" s="487" t="s">
        <v>1237</v>
      </c>
      <c r="I1771" s="452" t="s">
        <v>5067</v>
      </c>
      <c r="J1771" s="489" t="s">
        <v>2349</v>
      </c>
      <c r="K1771" s="490"/>
      <c r="L1771" s="491"/>
      <c r="M1771" s="491"/>
      <c r="N1771" s="456"/>
      <c r="O1771" s="492"/>
      <c r="P1771" s="430"/>
    </row>
    <row r="1772" spans="1:16" ht="13.5" hidden="1" customHeight="1" outlineLevel="3" x14ac:dyDescent="0.2">
      <c r="A1772" s="233">
        <v>0</v>
      </c>
      <c r="B1772" s="233">
        <v>14</v>
      </c>
      <c r="C1772" s="233">
        <v>7</v>
      </c>
      <c r="D1772" s="234">
        <v>3</v>
      </c>
      <c r="E1772" s="234">
        <v>1</v>
      </c>
      <c r="G1772" s="508" t="s">
        <v>47</v>
      </c>
      <c r="H1772" s="493" t="s">
        <v>1238</v>
      </c>
      <c r="I1772" s="460" t="s">
        <v>5068</v>
      </c>
      <c r="J1772" s="495" t="s">
        <v>2408</v>
      </c>
      <c r="K1772" s="496" t="s">
        <v>641</v>
      </c>
      <c r="L1772" s="497" t="e">
        <v>#REF!</v>
      </c>
      <c r="M1772" s="497">
        <v>1448.2455000000002</v>
      </c>
      <c r="N1772" s="464"/>
      <c r="O1772" s="498" t="s">
        <v>2478</v>
      </c>
      <c r="P1772" s="431" t="s">
        <v>6711</v>
      </c>
    </row>
    <row r="1773" spans="1:16" ht="13.5" hidden="1" customHeight="1" outlineLevel="2" x14ac:dyDescent="0.2">
      <c r="A1773" s="233">
        <v>0</v>
      </c>
      <c r="B1773" s="233">
        <v>14</v>
      </c>
      <c r="C1773" s="233">
        <v>7</v>
      </c>
      <c r="D1773" s="234">
        <v>4</v>
      </c>
      <c r="E1773" s="234">
        <v>0</v>
      </c>
      <c r="G1773" s="507"/>
      <c r="H1773" s="487" t="s">
        <v>1237</v>
      </c>
      <c r="I1773" s="452" t="s">
        <v>5069</v>
      </c>
      <c r="J1773" s="489" t="s">
        <v>2346</v>
      </c>
      <c r="K1773" s="490"/>
      <c r="L1773" s="491"/>
      <c r="M1773" s="491"/>
      <c r="N1773" s="456"/>
      <c r="O1773" s="492"/>
      <c r="P1773" s="430"/>
    </row>
    <row r="1774" spans="1:16" ht="13.5" hidden="1" customHeight="1" outlineLevel="3" x14ac:dyDescent="0.2">
      <c r="A1774" s="233">
        <v>0</v>
      </c>
      <c r="B1774" s="233">
        <v>14</v>
      </c>
      <c r="C1774" s="233">
        <v>7</v>
      </c>
      <c r="D1774" s="234">
        <v>4</v>
      </c>
      <c r="E1774" s="234">
        <v>1</v>
      </c>
      <c r="G1774" s="508" t="s">
        <v>47</v>
      </c>
      <c r="H1774" s="493" t="s">
        <v>1238</v>
      </c>
      <c r="I1774" s="460" t="s">
        <v>5070</v>
      </c>
      <c r="J1774" s="495" t="s">
        <v>1415</v>
      </c>
      <c r="K1774" s="496" t="s">
        <v>641</v>
      </c>
      <c r="L1774" s="497" t="e">
        <v>#REF!</v>
      </c>
      <c r="M1774" s="497">
        <v>919.5</v>
      </c>
      <c r="N1774" s="464"/>
      <c r="O1774" s="498"/>
      <c r="P1774" s="431" t="s">
        <v>6711</v>
      </c>
    </row>
    <row r="1775" spans="1:16" ht="13.5" hidden="1" customHeight="1" outlineLevel="2" x14ac:dyDescent="0.2">
      <c r="A1775" s="233">
        <v>0</v>
      </c>
      <c r="B1775" s="233">
        <v>14</v>
      </c>
      <c r="C1775" s="233">
        <v>7</v>
      </c>
      <c r="D1775" s="234">
        <v>5</v>
      </c>
      <c r="E1775" s="234">
        <v>0</v>
      </c>
      <c r="G1775" s="507"/>
      <c r="H1775" s="487" t="s">
        <v>1237</v>
      </c>
      <c r="I1775" s="452" t="s">
        <v>5071</v>
      </c>
      <c r="J1775" s="489" t="s">
        <v>2273</v>
      </c>
      <c r="K1775" s="490"/>
      <c r="L1775" s="491"/>
      <c r="M1775" s="491"/>
      <c r="N1775" s="456"/>
      <c r="O1775" s="492"/>
      <c r="P1775" s="430"/>
    </row>
    <row r="1776" spans="1:16" ht="13.5" hidden="1" customHeight="1" outlineLevel="3" x14ac:dyDescent="0.2">
      <c r="A1776" s="233">
        <v>0</v>
      </c>
      <c r="B1776" s="233">
        <v>14</v>
      </c>
      <c r="C1776" s="233">
        <v>7</v>
      </c>
      <c r="D1776" s="234">
        <v>5</v>
      </c>
      <c r="E1776" s="234">
        <v>1</v>
      </c>
      <c r="G1776" s="508" t="s">
        <v>47</v>
      </c>
      <c r="H1776" s="493" t="s">
        <v>1238</v>
      </c>
      <c r="I1776" s="460" t="s">
        <v>5072</v>
      </c>
      <c r="J1776" s="495" t="s">
        <v>529</v>
      </c>
      <c r="K1776" s="496" t="s">
        <v>641</v>
      </c>
      <c r="L1776" s="497" t="e">
        <v>#REF!</v>
      </c>
      <c r="M1776" s="497">
        <v>849.15470000000005</v>
      </c>
      <c r="N1776" s="464"/>
      <c r="O1776" s="498"/>
      <c r="P1776" s="431" t="s">
        <v>6711</v>
      </c>
    </row>
    <row r="1777" spans="1:16" ht="13.5" hidden="1" customHeight="1" outlineLevel="3" x14ac:dyDescent="0.2">
      <c r="A1777" s="233">
        <v>0</v>
      </c>
      <c r="B1777" s="233">
        <v>14</v>
      </c>
      <c r="C1777" s="233">
        <v>7</v>
      </c>
      <c r="D1777" s="234">
        <v>5</v>
      </c>
      <c r="E1777" s="234">
        <v>2</v>
      </c>
      <c r="G1777" s="508" t="s">
        <v>47</v>
      </c>
      <c r="H1777" s="493" t="s">
        <v>1238</v>
      </c>
      <c r="I1777" s="460" t="s">
        <v>5073</v>
      </c>
      <c r="J1777" s="495" t="s">
        <v>2423</v>
      </c>
      <c r="K1777" s="496" t="s">
        <v>641</v>
      </c>
      <c r="L1777" s="497" t="e">
        <v>#REF!</v>
      </c>
      <c r="M1777" s="497">
        <v>1374.1547</v>
      </c>
      <c r="N1777" s="464"/>
      <c r="O1777" s="498"/>
      <c r="P1777" s="431" t="s">
        <v>6711</v>
      </c>
    </row>
    <row r="1778" spans="1:16" ht="13.5" hidden="1" customHeight="1" outlineLevel="2" x14ac:dyDescent="0.2">
      <c r="A1778" s="233">
        <v>0</v>
      </c>
      <c r="B1778" s="233">
        <v>14</v>
      </c>
      <c r="C1778" s="233">
        <v>7</v>
      </c>
      <c r="D1778" s="234">
        <v>6</v>
      </c>
      <c r="E1778" s="234">
        <v>0</v>
      </c>
      <c r="G1778" s="507"/>
      <c r="H1778" s="487" t="s">
        <v>1237</v>
      </c>
      <c r="I1778" s="452" t="s">
        <v>5074</v>
      </c>
      <c r="J1778" s="489" t="s">
        <v>1262</v>
      </c>
      <c r="K1778" s="490"/>
      <c r="L1778" s="491"/>
      <c r="M1778" s="491"/>
      <c r="N1778" s="456"/>
      <c r="O1778" s="492"/>
      <c r="P1778" s="430"/>
    </row>
    <row r="1779" spans="1:16" ht="13.5" hidden="1" customHeight="1" outlineLevel="3" x14ac:dyDescent="0.2">
      <c r="A1779" s="233">
        <v>0</v>
      </c>
      <c r="B1779" s="233">
        <v>14</v>
      </c>
      <c r="C1779" s="233">
        <v>7</v>
      </c>
      <c r="D1779" s="234">
        <v>6</v>
      </c>
      <c r="E1779" s="234">
        <v>1</v>
      </c>
      <c r="G1779" s="508" t="s">
        <v>45</v>
      </c>
      <c r="H1779" s="493" t="s">
        <v>1238</v>
      </c>
      <c r="I1779" s="460" t="s">
        <v>5075</v>
      </c>
      <c r="J1779" s="495" t="s">
        <v>541</v>
      </c>
      <c r="K1779" s="496" t="s">
        <v>641</v>
      </c>
      <c r="L1779" s="497" t="e">
        <v>#REF!</v>
      </c>
      <c r="M1779" s="497">
        <v>42</v>
      </c>
      <c r="N1779" s="464"/>
      <c r="O1779" s="498"/>
      <c r="P1779" s="431" t="s">
        <v>6711</v>
      </c>
    </row>
    <row r="1780" spans="1:16" ht="13.5" hidden="1" customHeight="1" outlineLevel="3" x14ac:dyDescent="0.2">
      <c r="A1780" s="233">
        <v>0</v>
      </c>
      <c r="B1780" s="233">
        <v>14</v>
      </c>
      <c r="C1780" s="233">
        <v>7</v>
      </c>
      <c r="D1780" s="234">
        <v>6</v>
      </c>
      <c r="E1780" s="234">
        <v>2</v>
      </c>
      <c r="G1780" s="508" t="s">
        <v>45</v>
      </c>
      <c r="H1780" s="493" t="s">
        <v>1238</v>
      </c>
      <c r="I1780" s="460" t="s">
        <v>5076</v>
      </c>
      <c r="J1780" s="495" t="s">
        <v>542</v>
      </c>
      <c r="K1780" s="496" t="s">
        <v>641</v>
      </c>
      <c r="L1780" s="497" t="e">
        <v>#REF!</v>
      </c>
      <c r="M1780" s="497">
        <v>30</v>
      </c>
      <c r="N1780" s="464"/>
      <c r="O1780" s="498"/>
      <c r="P1780" s="431" t="s">
        <v>6711</v>
      </c>
    </row>
    <row r="1781" spans="1:16" ht="13.5" hidden="1" customHeight="1" outlineLevel="3" x14ac:dyDescent="0.2">
      <c r="A1781" s="233">
        <v>0</v>
      </c>
      <c r="B1781" s="233">
        <v>14</v>
      </c>
      <c r="C1781" s="233">
        <v>7</v>
      </c>
      <c r="D1781" s="234">
        <v>6</v>
      </c>
      <c r="E1781" s="234">
        <v>3</v>
      </c>
      <c r="G1781" s="508" t="s">
        <v>47</v>
      </c>
      <c r="H1781" s="493" t="s">
        <v>1238</v>
      </c>
      <c r="I1781" s="460" t="s">
        <v>5077</v>
      </c>
      <c r="J1781" s="495" t="s">
        <v>545</v>
      </c>
      <c r="K1781" s="496" t="s">
        <v>641</v>
      </c>
      <c r="L1781" s="497" t="e">
        <v>#REF!</v>
      </c>
      <c r="M1781" s="497">
        <v>75</v>
      </c>
      <c r="N1781" s="464"/>
      <c r="O1781" s="498"/>
      <c r="P1781" s="431" t="s">
        <v>6711</v>
      </c>
    </row>
    <row r="1782" spans="1:16" ht="13.5" hidden="1" customHeight="1" outlineLevel="3" x14ac:dyDescent="0.2">
      <c r="A1782" s="233">
        <v>0</v>
      </c>
      <c r="B1782" s="233">
        <v>14</v>
      </c>
      <c r="C1782" s="233">
        <v>7</v>
      </c>
      <c r="D1782" s="234">
        <v>6</v>
      </c>
      <c r="E1782" s="234">
        <v>4</v>
      </c>
      <c r="G1782" s="508" t="s">
        <v>47</v>
      </c>
      <c r="H1782" s="493" t="s">
        <v>1238</v>
      </c>
      <c r="I1782" s="460" t="s">
        <v>5078</v>
      </c>
      <c r="J1782" s="495" t="s">
        <v>2424</v>
      </c>
      <c r="K1782" s="496" t="s">
        <v>641</v>
      </c>
      <c r="L1782" s="497" t="e">
        <v>#REF!</v>
      </c>
      <c r="M1782" s="497">
        <v>75</v>
      </c>
      <c r="N1782" s="464"/>
      <c r="O1782" s="498"/>
      <c r="P1782" s="431" t="s">
        <v>6711</v>
      </c>
    </row>
    <row r="1783" spans="1:16" ht="13.5" hidden="1" customHeight="1" outlineLevel="3" x14ac:dyDescent="0.2">
      <c r="A1783" s="233">
        <v>0</v>
      </c>
      <c r="B1783" s="233">
        <v>14</v>
      </c>
      <c r="C1783" s="233">
        <v>7</v>
      </c>
      <c r="D1783" s="234">
        <v>6</v>
      </c>
      <c r="E1783" s="234">
        <v>5</v>
      </c>
      <c r="G1783" s="508" t="s">
        <v>47</v>
      </c>
      <c r="H1783" s="493" t="s">
        <v>1238</v>
      </c>
      <c r="I1783" s="460" t="s">
        <v>5079</v>
      </c>
      <c r="J1783" s="495" t="s">
        <v>544</v>
      </c>
      <c r="K1783" s="496" t="s">
        <v>641</v>
      </c>
      <c r="L1783" s="497" t="e">
        <v>#REF!</v>
      </c>
      <c r="M1783" s="497">
        <v>75</v>
      </c>
      <c r="N1783" s="464"/>
      <c r="O1783" s="498"/>
      <c r="P1783" s="431" t="s">
        <v>6711</v>
      </c>
    </row>
    <row r="1784" spans="1:16" ht="13.5" hidden="1" customHeight="1" outlineLevel="3" x14ac:dyDescent="0.2">
      <c r="A1784" s="233">
        <v>0</v>
      </c>
      <c r="B1784" s="233">
        <v>14</v>
      </c>
      <c r="C1784" s="233">
        <v>7</v>
      </c>
      <c r="D1784" s="234">
        <v>6</v>
      </c>
      <c r="E1784" s="234">
        <v>6</v>
      </c>
      <c r="G1784" s="508" t="s">
        <v>47</v>
      </c>
      <c r="H1784" s="493" t="s">
        <v>1238</v>
      </c>
      <c r="I1784" s="460" t="s">
        <v>5080</v>
      </c>
      <c r="J1784" s="495" t="s">
        <v>546</v>
      </c>
      <c r="K1784" s="496" t="s">
        <v>641</v>
      </c>
      <c r="L1784" s="497" t="e">
        <v>#REF!</v>
      </c>
      <c r="M1784" s="497">
        <v>50</v>
      </c>
      <c r="N1784" s="464"/>
      <c r="O1784" s="498"/>
      <c r="P1784" s="431" t="s">
        <v>6711</v>
      </c>
    </row>
    <row r="1785" spans="1:16" ht="13.5" hidden="1" customHeight="1" outlineLevel="1" x14ac:dyDescent="0.2">
      <c r="A1785" s="233">
        <v>0</v>
      </c>
      <c r="B1785" s="233">
        <v>14</v>
      </c>
      <c r="C1785" s="233">
        <v>8</v>
      </c>
      <c r="D1785" s="234">
        <v>0</v>
      </c>
      <c r="E1785" s="234">
        <v>6</v>
      </c>
      <c r="G1785" s="506"/>
      <c r="H1785" s="481" t="s">
        <v>38</v>
      </c>
      <c r="I1785" s="445" t="s">
        <v>5081</v>
      </c>
      <c r="J1785" s="483" t="s">
        <v>2432</v>
      </c>
      <c r="K1785" s="484"/>
      <c r="L1785" s="485"/>
      <c r="M1785" s="485"/>
      <c r="N1785" s="449"/>
      <c r="O1785" s="486"/>
      <c r="P1785" s="429"/>
    </row>
    <row r="1786" spans="1:16" ht="13.5" hidden="1" customHeight="1" outlineLevel="2" x14ac:dyDescent="0.2">
      <c r="A1786" s="233">
        <v>0</v>
      </c>
      <c r="B1786" s="233">
        <v>14</v>
      </c>
      <c r="C1786" s="233">
        <v>8</v>
      </c>
      <c r="D1786" s="234">
        <v>1</v>
      </c>
      <c r="E1786" s="234">
        <v>0</v>
      </c>
      <c r="G1786" s="507"/>
      <c r="H1786" s="487" t="s">
        <v>1237</v>
      </c>
      <c r="I1786" s="452" t="s">
        <v>5082</v>
      </c>
      <c r="J1786" s="489" t="s">
        <v>2344</v>
      </c>
      <c r="K1786" s="490"/>
      <c r="L1786" s="491"/>
      <c r="M1786" s="491"/>
      <c r="N1786" s="456"/>
      <c r="O1786" s="492"/>
      <c r="P1786" s="430"/>
    </row>
    <row r="1787" spans="1:16" ht="13.5" hidden="1" customHeight="1" outlineLevel="3" x14ac:dyDescent="0.2">
      <c r="A1787" s="233">
        <v>0</v>
      </c>
      <c r="B1787" s="233">
        <v>14</v>
      </c>
      <c r="C1787" s="233">
        <v>8</v>
      </c>
      <c r="D1787" s="234">
        <v>1</v>
      </c>
      <c r="E1787" s="234">
        <v>1</v>
      </c>
      <c r="G1787" s="508" t="s">
        <v>45</v>
      </c>
      <c r="H1787" s="493" t="s">
        <v>1238</v>
      </c>
      <c r="I1787" s="460" t="s">
        <v>5083</v>
      </c>
      <c r="J1787" s="495" t="s">
        <v>481</v>
      </c>
      <c r="K1787" s="496" t="s">
        <v>641</v>
      </c>
      <c r="L1787" s="497" t="e">
        <v>#REF!</v>
      </c>
      <c r="M1787" s="497">
        <v>10.11778</v>
      </c>
      <c r="N1787" s="464"/>
      <c r="O1787" s="498"/>
      <c r="P1787" s="431" t="s">
        <v>6711</v>
      </c>
    </row>
    <row r="1788" spans="1:16" ht="13.5" hidden="1" customHeight="1" outlineLevel="3" x14ac:dyDescent="0.2">
      <c r="A1788" s="233">
        <v>0</v>
      </c>
      <c r="B1788" s="233">
        <v>14</v>
      </c>
      <c r="C1788" s="233">
        <v>8</v>
      </c>
      <c r="D1788" s="234">
        <v>1</v>
      </c>
      <c r="E1788" s="234">
        <v>2</v>
      </c>
      <c r="G1788" s="508" t="s">
        <v>45</v>
      </c>
      <c r="H1788" s="493" t="s">
        <v>1238</v>
      </c>
      <c r="I1788" s="460" t="s">
        <v>5084</v>
      </c>
      <c r="J1788" s="495" t="s">
        <v>490</v>
      </c>
      <c r="K1788" s="496" t="s">
        <v>641</v>
      </c>
      <c r="L1788" s="497" t="e">
        <v>#REF!</v>
      </c>
      <c r="M1788" s="497">
        <v>3.28945</v>
      </c>
      <c r="N1788" s="464"/>
      <c r="O1788" s="498"/>
      <c r="P1788" s="431" t="s">
        <v>6711</v>
      </c>
    </row>
    <row r="1789" spans="1:16" ht="13.5" hidden="1" customHeight="1" outlineLevel="3" x14ac:dyDescent="0.2">
      <c r="A1789" s="233">
        <v>0</v>
      </c>
      <c r="B1789" s="233">
        <v>14</v>
      </c>
      <c r="C1789" s="233">
        <v>8</v>
      </c>
      <c r="D1789" s="234">
        <v>1</v>
      </c>
      <c r="E1789" s="234">
        <v>3</v>
      </c>
      <c r="G1789" s="508" t="s">
        <v>45</v>
      </c>
      <c r="H1789" s="493" t="s">
        <v>1238</v>
      </c>
      <c r="I1789" s="460" t="s">
        <v>5085</v>
      </c>
      <c r="J1789" s="495" t="s">
        <v>496</v>
      </c>
      <c r="K1789" s="496" t="s">
        <v>641</v>
      </c>
      <c r="L1789" s="497" t="e">
        <v>#REF!</v>
      </c>
      <c r="M1789" s="497">
        <v>12.075000000000001</v>
      </c>
      <c r="N1789" s="464"/>
      <c r="O1789" s="498"/>
      <c r="P1789" s="431" t="s">
        <v>6711</v>
      </c>
    </row>
    <row r="1790" spans="1:16" ht="13.5" hidden="1" customHeight="1" outlineLevel="3" x14ac:dyDescent="0.2">
      <c r="A1790" s="233">
        <v>0</v>
      </c>
      <c r="B1790" s="233">
        <v>14</v>
      </c>
      <c r="C1790" s="233">
        <v>8</v>
      </c>
      <c r="D1790" s="234">
        <v>1</v>
      </c>
      <c r="E1790" s="234">
        <v>4</v>
      </c>
      <c r="G1790" s="508" t="s">
        <v>45</v>
      </c>
      <c r="H1790" s="493" t="s">
        <v>1238</v>
      </c>
      <c r="I1790" s="460" t="s">
        <v>5086</v>
      </c>
      <c r="J1790" s="495" t="s">
        <v>497</v>
      </c>
      <c r="K1790" s="496" t="s">
        <v>641</v>
      </c>
      <c r="L1790" s="497" t="e">
        <v>#REF!</v>
      </c>
      <c r="M1790" s="497">
        <v>5.1029166666666663</v>
      </c>
      <c r="N1790" s="464"/>
      <c r="O1790" s="498"/>
      <c r="P1790" s="431" t="s">
        <v>6711</v>
      </c>
    </row>
    <row r="1791" spans="1:16" ht="13.5" hidden="1" customHeight="1" outlineLevel="2" x14ac:dyDescent="0.2">
      <c r="A1791" s="233">
        <v>0</v>
      </c>
      <c r="B1791" s="233">
        <v>14</v>
      </c>
      <c r="C1791" s="233">
        <v>8</v>
      </c>
      <c r="D1791" s="234">
        <v>2</v>
      </c>
      <c r="E1791" s="234">
        <v>0</v>
      </c>
      <c r="G1791" s="507"/>
      <c r="H1791" s="487" t="s">
        <v>1237</v>
      </c>
      <c r="I1791" s="452" t="s">
        <v>5087</v>
      </c>
      <c r="J1791" s="489" t="s">
        <v>2345</v>
      </c>
      <c r="K1791" s="490"/>
      <c r="L1791" s="491"/>
      <c r="M1791" s="491"/>
      <c r="N1791" s="456"/>
      <c r="O1791" s="492"/>
      <c r="P1791" s="430"/>
    </row>
    <row r="1792" spans="1:16" ht="13.5" hidden="1" customHeight="1" outlineLevel="3" x14ac:dyDescent="0.2">
      <c r="A1792" s="233">
        <v>0</v>
      </c>
      <c r="B1792" s="233">
        <v>14</v>
      </c>
      <c r="C1792" s="233">
        <v>8</v>
      </c>
      <c r="D1792" s="234">
        <v>2</v>
      </c>
      <c r="E1792" s="234">
        <v>1</v>
      </c>
      <c r="G1792" s="508" t="s">
        <v>47</v>
      </c>
      <c r="H1792" s="493" t="s">
        <v>1238</v>
      </c>
      <c r="I1792" s="460" t="s">
        <v>5088</v>
      </c>
      <c r="J1792" s="495" t="s">
        <v>2387</v>
      </c>
      <c r="K1792" s="496" t="s">
        <v>641</v>
      </c>
      <c r="L1792" s="497" t="e">
        <v>#REF!</v>
      </c>
      <c r="M1792" s="497">
        <v>353.98927499999996</v>
      </c>
      <c r="N1792" s="464"/>
      <c r="O1792" s="498" t="s">
        <v>2385</v>
      </c>
      <c r="P1792" s="431" t="s">
        <v>6711</v>
      </c>
    </row>
    <row r="1793" spans="1:16" ht="13.5" hidden="1" customHeight="1" outlineLevel="2" x14ac:dyDescent="0.2">
      <c r="A1793" s="233">
        <v>0</v>
      </c>
      <c r="B1793" s="233">
        <v>14</v>
      </c>
      <c r="C1793" s="233">
        <v>8</v>
      </c>
      <c r="D1793" s="234">
        <v>3</v>
      </c>
      <c r="E1793" s="234">
        <v>0</v>
      </c>
      <c r="G1793" s="507"/>
      <c r="H1793" s="487" t="s">
        <v>1237</v>
      </c>
      <c r="I1793" s="452" t="s">
        <v>5089</v>
      </c>
      <c r="J1793" s="489" t="s">
        <v>2349</v>
      </c>
      <c r="K1793" s="490"/>
      <c r="L1793" s="491"/>
      <c r="M1793" s="491"/>
      <c r="N1793" s="456"/>
      <c r="O1793" s="492"/>
      <c r="P1793" s="430"/>
    </row>
    <row r="1794" spans="1:16" ht="13.5" hidden="1" customHeight="1" outlineLevel="3" x14ac:dyDescent="0.2">
      <c r="A1794" s="233">
        <v>0</v>
      </c>
      <c r="B1794" s="233">
        <v>14</v>
      </c>
      <c r="C1794" s="233">
        <v>8</v>
      </c>
      <c r="D1794" s="234">
        <v>3</v>
      </c>
      <c r="E1794" s="234">
        <v>1</v>
      </c>
      <c r="G1794" s="508" t="s">
        <v>47</v>
      </c>
      <c r="H1794" s="493" t="s">
        <v>1238</v>
      </c>
      <c r="I1794" s="460" t="s">
        <v>5090</v>
      </c>
      <c r="J1794" s="495" t="s">
        <v>2408</v>
      </c>
      <c r="K1794" s="496" t="s">
        <v>641</v>
      </c>
      <c r="L1794" s="497" t="e">
        <v>#REF!</v>
      </c>
      <c r="M1794" s="497">
        <v>1448.2455000000002</v>
      </c>
      <c r="N1794" s="464"/>
      <c r="O1794" s="498" t="s">
        <v>2694</v>
      </c>
      <c r="P1794" s="431" t="s">
        <v>6711</v>
      </c>
    </row>
    <row r="1795" spans="1:16" ht="13.5" hidden="1" customHeight="1" outlineLevel="2" x14ac:dyDescent="0.2">
      <c r="A1795" s="233">
        <v>0</v>
      </c>
      <c r="B1795" s="233">
        <v>14</v>
      </c>
      <c r="C1795" s="233">
        <v>8</v>
      </c>
      <c r="D1795" s="234">
        <v>4</v>
      </c>
      <c r="E1795" s="234">
        <v>0</v>
      </c>
      <c r="G1795" s="507"/>
      <c r="H1795" s="487" t="s">
        <v>1237</v>
      </c>
      <c r="I1795" s="452" t="s">
        <v>5091</v>
      </c>
      <c r="J1795" s="489" t="s">
        <v>2346</v>
      </c>
      <c r="K1795" s="490"/>
      <c r="L1795" s="491"/>
      <c r="M1795" s="491"/>
      <c r="N1795" s="456"/>
      <c r="O1795" s="492"/>
      <c r="P1795" s="430"/>
    </row>
    <row r="1796" spans="1:16" ht="13.5" hidden="1" customHeight="1" outlineLevel="3" x14ac:dyDescent="0.2">
      <c r="A1796" s="233">
        <v>0</v>
      </c>
      <c r="B1796" s="233">
        <v>14</v>
      </c>
      <c r="C1796" s="233">
        <v>8</v>
      </c>
      <c r="D1796" s="234">
        <v>4</v>
      </c>
      <c r="E1796" s="234">
        <v>1</v>
      </c>
      <c r="G1796" s="508" t="s">
        <v>47</v>
      </c>
      <c r="H1796" s="493" t="s">
        <v>1238</v>
      </c>
      <c r="I1796" s="460" t="s">
        <v>5092</v>
      </c>
      <c r="J1796" s="495" t="s">
        <v>1415</v>
      </c>
      <c r="K1796" s="496" t="s">
        <v>641</v>
      </c>
      <c r="L1796" s="497" t="e">
        <v>#REF!</v>
      </c>
      <c r="M1796" s="497">
        <v>919.5</v>
      </c>
      <c r="N1796" s="464"/>
      <c r="O1796" s="498"/>
      <c r="P1796" s="431" t="s">
        <v>6711</v>
      </c>
    </row>
    <row r="1797" spans="1:16" ht="13.5" hidden="1" customHeight="1" outlineLevel="3" x14ac:dyDescent="0.2">
      <c r="A1797" s="233">
        <v>0</v>
      </c>
      <c r="B1797" s="233">
        <v>14</v>
      </c>
      <c r="C1797" s="233">
        <v>8</v>
      </c>
      <c r="D1797" s="234">
        <v>4</v>
      </c>
      <c r="E1797" s="234">
        <v>2</v>
      </c>
      <c r="G1797" s="508" t="s">
        <v>47</v>
      </c>
      <c r="H1797" s="493" t="s">
        <v>1238</v>
      </c>
      <c r="I1797" s="460" t="s">
        <v>5093</v>
      </c>
      <c r="J1797" s="495" t="s">
        <v>2414</v>
      </c>
      <c r="K1797" s="496" t="s">
        <v>641</v>
      </c>
      <c r="L1797" s="497" t="e">
        <v>#REF!</v>
      </c>
      <c r="M1797" s="497">
        <v>286.60377358490564</v>
      </c>
      <c r="N1797" s="464"/>
      <c r="O1797" s="498" t="s">
        <v>2258</v>
      </c>
      <c r="P1797" s="431" t="s">
        <v>6711</v>
      </c>
    </row>
    <row r="1798" spans="1:16" ht="13.5" hidden="1" customHeight="1" outlineLevel="3" x14ac:dyDescent="0.2">
      <c r="A1798" s="233">
        <v>0</v>
      </c>
      <c r="B1798" s="233">
        <v>14</v>
      </c>
      <c r="C1798" s="233">
        <v>8</v>
      </c>
      <c r="D1798" s="234">
        <v>4</v>
      </c>
      <c r="E1798" s="234">
        <v>3</v>
      </c>
      <c r="G1798" s="508" t="s">
        <v>47</v>
      </c>
      <c r="H1798" s="493" t="s">
        <v>1238</v>
      </c>
      <c r="I1798" s="460" t="s">
        <v>5094</v>
      </c>
      <c r="J1798" s="495" t="s">
        <v>2415</v>
      </c>
      <c r="K1798" s="496" t="s">
        <v>641</v>
      </c>
      <c r="L1798" s="497" t="e">
        <v>#REF!</v>
      </c>
      <c r="M1798" s="497">
        <v>268.61635220125788</v>
      </c>
      <c r="N1798" s="464"/>
      <c r="O1798" s="498" t="s">
        <v>2257</v>
      </c>
      <c r="P1798" s="431" t="s">
        <v>6711</v>
      </c>
    </row>
    <row r="1799" spans="1:16" ht="13.5" hidden="1" customHeight="1" outlineLevel="3" x14ac:dyDescent="0.2">
      <c r="A1799" s="233">
        <v>0</v>
      </c>
      <c r="B1799" s="233">
        <v>14</v>
      </c>
      <c r="C1799" s="233">
        <v>8</v>
      </c>
      <c r="D1799" s="234">
        <v>4</v>
      </c>
      <c r="E1799" s="234">
        <v>4</v>
      </c>
      <c r="G1799" s="508" t="s">
        <v>47</v>
      </c>
      <c r="H1799" s="493" t="s">
        <v>1238</v>
      </c>
      <c r="I1799" s="460" t="s">
        <v>5095</v>
      </c>
      <c r="J1799" s="495" t="s">
        <v>2416</v>
      </c>
      <c r="K1799" s="496" t="s">
        <v>641</v>
      </c>
      <c r="L1799" s="497" t="e">
        <v>#REF!</v>
      </c>
      <c r="M1799" s="497">
        <v>328.11320754716979</v>
      </c>
      <c r="N1799" s="464"/>
      <c r="O1799" s="498" t="s">
        <v>2487</v>
      </c>
      <c r="P1799" s="431" t="s">
        <v>6711</v>
      </c>
    </row>
    <row r="1800" spans="1:16" ht="13.5" hidden="1" customHeight="1" outlineLevel="3" x14ac:dyDescent="0.2">
      <c r="A1800" s="233">
        <v>0</v>
      </c>
      <c r="B1800" s="233">
        <v>14</v>
      </c>
      <c r="C1800" s="233">
        <v>8</v>
      </c>
      <c r="D1800" s="234">
        <v>4</v>
      </c>
      <c r="E1800" s="234">
        <v>5</v>
      </c>
      <c r="G1800" s="508" t="s">
        <v>47</v>
      </c>
      <c r="H1800" s="493" t="s">
        <v>1238</v>
      </c>
      <c r="I1800" s="460" t="s">
        <v>5096</v>
      </c>
      <c r="J1800" s="495" t="s">
        <v>2486</v>
      </c>
      <c r="K1800" s="496" t="s">
        <v>641</v>
      </c>
      <c r="L1800" s="497" t="e">
        <v>#REF!</v>
      </c>
      <c r="M1800" s="497">
        <v>328.01437556154536</v>
      </c>
      <c r="N1800" s="464"/>
      <c r="O1800" s="498" t="s">
        <v>2255</v>
      </c>
      <c r="P1800" s="431" t="s">
        <v>6711</v>
      </c>
    </row>
    <row r="1801" spans="1:16" ht="13.5" hidden="1" customHeight="1" outlineLevel="3" x14ac:dyDescent="0.2">
      <c r="A1801" s="233">
        <v>0</v>
      </c>
      <c r="B1801" s="233">
        <v>14</v>
      </c>
      <c r="C1801" s="233">
        <v>8</v>
      </c>
      <c r="D1801" s="234">
        <v>4</v>
      </c>
      <c r="E1801" s="234">
        <v>6</v>
      </c>
      <c r="G1801" s="508" t="s">
        <v>47</v>
      </c>
      <c r="H1801" s="493" t="s">
        <v>1238</v>
      </c>
      <c r="I1801" s="460" t="s">
        <v>5097</v>
      </c>
      <c r="J1801" s="495" t="s">
        <v>2944</v>
      </c>
      <c r="K1801" s="496" t="s">
        <v>641</v>
      </c>
      <c r="L1801" s="497" t="e">
        <v>#REF!</v>
      </c>
      <c r="M1801" s="497">
        <v>346.7638036809816</v>
      </c>
      <c r="N1801" s="464"/>
      <c r="O1801" s="498" t="s">
        <v>2945</v>
      </c>
      <c r="P1801" s="431" t="s">
        <v>6711</v>
      </c>
    </row>
    <row r="1802" spans="1:16" ht="13.5" hidden="1" customHeight="1" outlineLevel="2" x14ac:dyDescent="0.2">
      <c r="A1802" s="233">
        <v>0</v>
      </c>
      <c r="B1802" s="233">
        <v>14</v>
      </c>
      <c r="C1802" s="233">
        <v>8</v>
      </c>
      <c r="D1802" s="234">
        <v>5</v>
      </c>
      <c r="E1802" s="234">
        <v>0</v>
      </c>
      <c r="G1802" s="507"/>
      <c r="H1802" s="487" t="s">
        <v>1237</v>
      </c>
      <c r="I1802" s="452" t="s">
        <v>5098</v>
      </c>
      <c r="J1802" s="489" t="s">
        <v>2273</v>
      </c>
      <c r="K1802" s="490"/>
      <c r="L1802" s="491"/>
      <c r="M1802" s="491"/>
      <c r="N1802" s="456"/>
      <c r="O1802" s="492"/>
      <c r="P1802" s="430"/>
    </row>
    <row r="1803" spans="1:16" ht="13.5" hidden="1" customHeight="1" outlineLevel="3" x14ac:dyDescent="0.2">
      <c r="A1803" s="233">
        <v>0</v>
      </c>
      <c r="B1803" s="233">
        <v>14</v>
      </c>
      <c r="C1803" s="233">
        <v>8</v>
      </c>
      <c r="D1803" s="234">
        <v>5</v>
      </c>
      <c r="E1803" s="234">
        <v>1</v>
      </c>
      <c r="G1803" s="508" t="s">
        <v>47</v>
      </c>
      <c r="H1803" s="493" t="s">
        <v>1238</v>
      </c>
      <c r="I1803" s="460" t="s">
        <v>5099</v>
      </c>
      <c r="J1803" s="495" t="s">
        <v>529</v>
      </c>
      <c r="K1803" s="496" t="s">
        <v>641</v>
      </c>
      <c r="L1803" s="497" t="e">
        <v>#REF!</v>
      </c>
      <c r="M1803" s="497">
        <v>849.15470000000005</v>
      </c>
      <c r="N1803" s="464"/>
      <c r="O1803" s="498"/>
      <c r="P1803" s="431" t="s">
        <v>6711</v>
      </c>
    </row>
    <row r="1804" spans="1:16" ht="13.5" hidden="1" customHeight="1" outlineLevel="3" x14ac:dyDescent="0.2">
      <c r="A1804" s="233">
        <v>0</v>
      </c>
      <c r="B1804" s="233">
        <v>14</v>
      </c>
      <c r="C1804" s="233">
        <v>8</v>
      </c>
      <c r="D1804" s="234">
        <v>5</v>
      </c>
      <c r="E1804" s="234">
        <v>2</v>
      </c>
      <c r="G1804" s="508" t="s">
        <v>47</v>
      </c>
      <c r="H1804" s="493" t="s">
        <v>1238</v>
      </c>
      <c r="I1804" s="460" t="s">
        <v>5100</v>
      </c>
      <c r="J1804" s="495" t="s">
        <v>2423</v>
      </c>
      <c r="K1804" s="496" t="s">
        <v>641</v>
      </c>
      <c r="L1804" s="497" t="e">
        <v>#REF!</v>
      </c>
      <c r="M1804" s="497">
        <v>1374.1547</v>
      </c>
      <c r="N1804" s="464"/>
      <c r="O1804" s="498"/>
      <c r="P1804" s="431" t="s">
        <v>6711</v>
      </c>
    </row>
    <row r="1805" spans="1:16" ht="13.5" hidden="1" customHeight="1" outlineLevel="2" x14ac:dyDescent="0.2">
      <c r="A1805" s="233">
        <v>0</v>
      </c>
      <c r="B1805" s="233">
        <v>14</v>
      </c>
      <c r="C1805" s="233">
        <v>8</v>
      </c>
      <c r="D1805" s="234">
        <v>6</v>
      </c>
      <c r="E1805" s="234">
        <v>0</v>
      </c>
      <c r="G1805" s="507"/>
      <c r="H1805" s="487" t="s">
        <v>1237</v>
      </c>
      <c r="I1805" s="452" t="s">
        <v>5101</v>
      </c>
      <c r="J1805" s="489" t="s">
        <v>1262</v>
      </c>
      <c r="K1805" s="490"/>
      <c r="L1805" s="491"/>
      <c r="M1805" s="491"/>
      <c r="N1805" s="456"/>
      <c r="O1805" s="492"/>
      <c r="P1805" s="430"/>
    </row>
    <row r="1806" spans="1:16" ht="13.5" hidden="1" customHeight="1" outlineLevel="3" x14ac:dyDescent="0.2">
      <c r="A1806" s="233">
        <v>0</v>
      </c>
      <c r="B1806" s="233">
        <v>14</v>
      </c>
      <c r="C1806" s="233">
        <v>8</v>
      </c>
      <c r="D1806" s="234">
        <v>6</v>
      </c>
      <c r="E1806" s="234">
        <v>1</v>
      </c>
      <c r="G1806" s="508" t="s">
        <v>45</v>
      </c>
      <c r="H1806" s="493" t="s">
        <v>1238</v>
      </c>
      <c r="I1806" s="460" t="s">
        <v>5102</v>
      </c>
      <c r="J1806" s="495" t="s">
        <v>541</v>
      </c>
      <c r="K1806" s="496" t="s">
        <v>641</v>
      </c>
      <c r="L1806" s="497" t="e">
        <v>#REF!</v>
      </c>
      <c r="M1806" s="497">
        <v>42</v>
      </c>
      <c r="N1806" s="464"/>
      <c r="O1806" s="498"/>
      <c r="P1806" s="431" t="s">
        <v>6711</v>
      </c>
    </row>
    <row r="1807" spans="1:16" ht="13.5" hidden="1" customHeight="1" outlineLevel="3" x14ac:dyDescent="0.2">
      <c r="A1807" s="233">
        <v>0</v>
      </c>
      <c r="B1807" s="233">
        <v>14</v>
      </c>
      <c r="C1807" s="233">
        <v>8</v>
      </c>
      <c r="D1807" s="234">
        <v>6</v>
      </c>
      <c r="E1807" s="234">
        <v>2</v>
      </c>
      <c r="G1807" s="508" t="s">
        <v>45</v>
      </c>
      <c r="H1807" s="493" t="s">
        <v>1238</v>
      </c>
      <c r="I1807" s="460" t="s">
        <v>5103</v>
      </c>
      <c r="J1807" s="495" t="s">
        <v>542</v>
      </c>
      <c r="K1807" s="496" t="s">
        <v>641</v>
      </c>
      <c r="L1807" s="497" t="e">
        <v>#REF!</v>
      </c>
      <c r="M1807" s="497">
        <v>30</v>
      </c>
      <c r="N1807" s="464"/>
      <c r="O1807" s="498"/>
      <c r="P1807" s="431" t="s">
        <v>6711</v>
      </c>
    </row>
    <row r="1808" spans="1:16" ht="13.5" hidden="1" customHeight="1" outlineLevel="3" x14ac:dyDescent="0.2">
      <c r="A1808" s="233">
        <v>0</v>
      </c>
      <c r="B1808" s="233">
        <v>14</v>
      </c>
      <c r="C1808" s="233">
        <v>8</v>
      </c>
      <c r="D1808" s="234">
        <v>6</v>
      </c>
      <c r="E1808" s="234">
        <v>3</v>
      </c>
      <c r="G1808" s="508" t="s">
        <v>47</v>
      </c>
      <c r="H1808" s="493" t="s">
        <v>1238</v>
      </c>
      <c r="I1808" s="460" t="s">
        <v>5104</v>
      </c>
      <c r="J1808" s="495" t="s">
        <v>2424</v>
      </c>
      <c r="K1808" s="496" t="s">
        <v>641</v>
      </c>
      <c r="L1808" s="497" t="e">
        <v>#REF!</v>
      </c>
      <c r="M1808" s="497">
        <v>75</v>
      </c>
      <c r="N1808" s="464"/>
      <c r="O1808" s="498"/>
      <c r="P1808" s="431" t="s">
        <v>6711</v>
      </c>
    </row>
    <row r="1809" spans="1:16" ht="13.5" hidden="1" customHeight="1" outlineLevel="3" x14ac:dyDescent="0.2">
      <c r="A1809" s="233">
        <v>0</v>
      </c>
      <c r="B1809" s="233">
        <v>14</v>
      </c>
      <c r="C1809" s="233">
        <v>8</v>
      </c>
      <c r="D1809" s="234">
        <v>6</v>
      </c>
      <c r="E1809" s="234">
        <v>4</v>
      </c>
      <c r="G1809" s="508" t="s">
        <v>47</v>
      </c>
      <c r="H1809" s="493" t="s">
        <v>1238</v>
      </c>
      <c r="I1809" s="460" t="s">
        <v>5105</v>
      </c>
      <c r="J1809" s="495" t="s">
        <v>544</v>
      </c>
      <c r="K1809" s="496" t="s">
        <v>641</v>
      </c>
      <c r="L1809" s="497" t="e">
        <v>#REF!</v>
      </c>
      <c r="M1809" s="497">
        <v>75</v>
      </c>
      <c r="N1809" s="464"/>
      <c r="O1809" s="498"/>
      <c r="P1809" s="431" t="s">
        <v>6711</v>
      </c>
    </row>
    <row r="1810" spans="1:16" ht="13.5" hidden="1" customHeight="1" outlineLevel="3" x14ac:dyDescent="0.2">
      <c r="A1810" s="233">
        <v>0</v>
      </c>
      <c r="B1810" s="233">
        <v>14</v>
      </c>
      <c r="C1810" s="233">
        <v>8</v>
      </c>
      <c r="D1810" s="234">
        <v>6</v>
      </c>
      <c r="E1810" s="234">
        <v>5</v>
      </c>
      <c r="G1810" s="508" t="s">
        <v>47</v>
      </c>
      <c r="H1810" s="493" t="s">
        <v>1238</v>
      </c>
      <c r="I1810" s="460" t="s">
        <v>5106</v>
      </c>
      <c r="J1810" s="495" t="s">
        <v>546</v>
      </c>
      <c r="K1810" s="496" t="s">
        <v>641</v>
      </c>
      <c r="L1810" s="497" t="e">
        <v>#REF!</v>
      </c>
      <c r="M1810" s="497">
        <v>50</v>
      </c>
      <c r="N1810" s="464"/>
      <c r="O1810" s="498"/>
      <c r="P1810" s="431" t="s">
        <v>6711</v>
      </c>
    </row>
    <row r="1811" spans="1:16" ht="13.5" hidden="1" customHeight="1" outlineLevel="1" x14ac:dyDescent="0.2">
      <c r="A1811" s="233">
        <v>0</v>
      </c>
      <c r="B1811" s="233">
        <v>14</v>
      </c>
      <c r="C1811" s="233">
        <v>9</v>
      </c>
      <c r="D1811" s="234">
        <v>0</v>
      </c>
      <c r="E1811" s="234">
        <v>5</v>
      </c>
      <c r="G1811" s="506"/>
      <c r="H1811" s="481" t="s">
        <v>38</v>
      </c>
      <c r="I1811" s="445" t="s">
        <v>5107</v>
      </c>
      <c r="J1811" s="483" t="s">
        <v>2433</v>
      </c>
      <c r="K1811" s="484"/>
      <c r="L1811" s="485"/>
      <c r="M1811" s="485"/>
      <c r="N1811" s="449"/>
      <c r="O1811" s="486"/>
      <c r="P1811" s="429"/>
    </row>
    <row r="1812" spans="1:16" ht="13.5" hidden="1" customHeight="1" outlineLevel="2" x14ac:dyDescent="0.2">
      <c r="A1812" s="233">
        <v>0</v>
      </c>
      <c r="B1812" s="233">
        <v>14</v>
      </c>
      <c r="C1812" s="233">
        <v>9</v>
      </c>
      <c r="D1812" s="234">
        <v>1</v>
      </c>
      <c r="E1812" s="234">
        <v>0</v>
      </c>
      <c r="G1812" s="507"/>
      <c r="H1812" s="487" t="s">
        <v>1237</v>
      </c>
      <c r="I1812" s="452" t="s">
        <v>5108</v>
      </c>
      <c r="J1812" s="489" t="s">
        <v>2344</v>
      </c>
      <c r="K1812" s="490"/>
      <c r="L1812" s="491"/>
      <c r="M1812" s="491"/>
      <c r="N1812" s="456"/>
      <c r="O1812" s="492"/>
      <c r="P1812" s="430"/>
    </row>
    <row r="1813" spans="1:16" ht="13.5" hidden="1" customHeight="1" outlineLevel="3" x14ac:dyDescent="0.2">
      <c r="A1813" s="233">
        <v>0</v>
      </c>
      <c r="B1813" s="233">
        <v>14</v>
      </c>
      <c r="C1813" s="233">
        <v>9</v>
      </c>
      <c r="D1813" s="234">
        <v>1</v>
      </c>
      <c r="E1813" s="234">
        <v>1</v>
      </c>
      <c r="G1813" s="508" t="s">
        <v>45</v>
      </c>
      <c r="H1813" s="493" t="s">
        <v>1238</v>
      </c>
      <c r="I1813" s="460" t="s">
        <v>5109</v>
      </c>
      <c r="J1813" s="495" t="s">
        <v>481</v>
      </c>
      <c r="K1813" s="496" t="s">
        <v>641</v>
      </c>
      <c r="L1813" s="497" t="e">
        <v>#REF!</v>
      </c>
      <c r="M1813" s="497">
        <v>10.11778</v>
      </c>
      <c r="N1813" s="464"/>
      <c r="O1813" s="498"/>
      <c r="P1813" s="431" t="s">
        <v>6711</v>
      </c>
    </row>
    <row r="1814" spans="1:16" ht="13.5" hidden="1" customHeight="1" outlineLevel="3" x14ac:dyDescent="0.2">
      <c r="A1814" s="233">
        <v>0</v>
      </c>
      <c r="B1814" s="233">
        <v>14</v>
      </c>
      <c r="C1814" s="233">
        <v>9</v>
      </c>
      <c r="D1814" s="234">
        <v>1</v>
      </c>
      <c r="E1814" s="234">
        <v>2</v>
      </c>
      <c r="G1814" s="508" t="s">
        <v>45</v>
      </c>
      <c r="H1814" s="493" t="s">
        <v>1238</v>
      </c>
      <c r="I1814" s="460" t="s">
        <v>5110</v>
      </c>
      <c r="J1814" s="495" t="s">
        <v>490</v>
      </c>
      <c r="K1814" s="496" t="s">
        <v>641</v>
      </c>
      <c r="L1814" s="497" t="e">
        <v>#REF!</v>
      </c>
      <c r="M1814" s="497">
        <v>3.28945</v>
      </c>
      <c r="N1814" s="464"/>
      <c r="O1814" s="498"/>
      <c r="P1814" s="431" t="s">
        <v>6711</v>
      </c>
    </row>
    <row r="1815" spans="1:16" ht="13.5" hidden="1" customHeight="1" outlineLevel="3" x14ac:dyDescent="0.2">
      <c r="A1815" s="233">
        <v>0</v>
      </c>
      <c r="B1815" s="233">
        <v>14</v>
      </c>
      <c r="C1815" s="233">
        <v>9</v>
      </c>
      <c r="D1815" s="234">
        <v>1</v>
      </c>
      <c r="E1815" s="234">
        <v>3</v>
      </c>
      <c r="G1815" s="508" t="s">
        <v>45</v>
      </c>
      <c r="H1815" s="493" t="s">
        <v>1238</v>
      </c>
      <c r="I1815" s="460" t="s">
        <v>5111</v>
      </c>
      <c r="J1815" s="495" t="s">
        <v>496</v>
      </c>
      <c r="K1815" s="496" t="s">
        <v>641</v>
      </c>
      <c r="L1815" s="497" t="e">
        <v>#REF!</v>
      </c>
      <c r="M1815" s="497">
        <v>12.075000000000001</v>
      </c>
      <c r="N1815" s="464"/>
      <c r="O1815" s="498"/>
      <c r="P1815" s="431" t="s">
        <v>6711</v>
      </c>
    </row>
    <row r="1816" spans="1:16" ht="13.5" hidden="1" customHeight="1" outlineLevel="2" x14ac:dyDescent="0.2">
      <c r="A1816" s="233">
        <v>0</v>
      </c>
      <c r="B1816" s="233">
        <v>14</v>
      </c>
      <c r="C1816" s="233">
        <v>9</v>
      </c>
      <c r="D1816" s="234">
        <v>2</v>
      </c>
      <c r="E1816" s="234">
        <v>0</v>
      </c>
      <c r="G1816" s="507"/>
      <c r="H1816" s="487" t="s">
        <v>1237</v>
      </c>
      <c r="I1816" s="452" t="s">
        <v>5112</v>
      </c>
      <c r="J1816" s="489" t="s">
        <v>2345</v>
      </c>
      <c r="K1816" s="490"/>
      <c r="L1816" s="491"/>
      <c r="M1816" s="491"/>
      <c r="N1816" s="456"/>
      <c r="O1816" s="492"/>
      <c r="P1816" s="430"/>
    </row>
    <row r="1817" spans="1:16" ht="13.5" hidden="1" customHeight="1" outlineLevel="3" x14ac:dyDescent="0.2">
      <c r="A1817" s="233">
        <v>0</v>
      </c>
      <c r="B1817" s="233">
        <v>14</v>
      </c>
      <c r="C1817" s="233">
        <v>9</v>
      </c>
      <c r="D1817" s="234">
        <v>2</v>
      </c>
      <c r="E1817" s="234">
        <v>1</v>
      </c>
      <c r="G1817" s="508" t="s">
        <v>47</v>
      </c>
      <c r="H1817" s="493" t="s">
        <v>1238</v>
      </c>
      <c r="I1817" s="460" t="s">
        <v>5113</v>
      </c>
      <c r="J1817" s="495" t="s">
        <v>2378</v>
      </c>
      <c r="K1817" s="496" t="s">
        <v>641</v>
      </c>
      <c r="L1817" s="497" t="e">
        <v>#REF!</v>
      </c>
      <c r="M1817" s="497">
        <v>141.82760000000002</v>
      </c>
      <c r="N1817" s="464"/>
      <c r="O1817" s="498" t="s">
        <v>2380</v>
      </c>
      <c r="P1817" s="431" t="s">
        <v>6711</v>
      </c>
    </row>
    <row r="1818" spans="1:16" ht="13.5" hidden="1" customHeight="1" outlineLevel="2" x14ac:dyDescent="0.2">
      <c r="A1818" s="233">
        <v>0</v>
      </c>
      <c r="B1818" s="233">
        <v>14</v>
      </c>
      <c r="C1818" s="233">
        <v>9</v>
      </c>
      <c r="D1818" s="234">
        <v>3</v>
      </c>
      <c r="E1818" s="234">
        <v>0</v>
      </c>
      <c r="G1818" s="507"/>
      <c r="H1818" s="487" t="s">
        <v>1237</v>
      </c>
      <c r="I1818" s="452" t="s">
        <v>5114</v>
      </c>
      <c r="J1818" s="489" t="s">
        <v>2273</v>
      </c>
      <c r="K1818" s="490"/>
      <c r="L1818" s="491"/>
      <c r="M1818" s="491"/>
      <c r="N1818" s="456"/>
      <c r="O1818" s="492"/>
      <c r="P1818" s="430"/>
    </row>
    <row r="1819" spans="1:16" ht="13.5" hidden="1" customHeight="1" outlineLevel="3" x14ac:dyDescent="0.2">
      <c r="A1819" s="233">
        <v>0</v>
      </c>
      <c r="B1819" s="233">
        <v>14</v>
      </c>
      <c r="C1819" s="233">
        <v>9</v>
      </c>
      <c r="D1819" s="234">
        <v>3</v>
      </c>
      <c r="E1819" s="234">
        <v>1</v>
      </c>
      <c r="G1819" s="508" t="s">
        <v>47</v>
      </c>
      <c r="H1819" s="493" t="s">
        <v>1238</v>
      </c>
      <c r="I1819" s="460" t="s">
        <v>5115</v>
      </c>
      <c r="J1819" s="495" t="s">
        <v>529</v>
      </c>
      <c r="K1819" s="496" t="s">
        <v>641</v>
      </c>
      <c r="L1819" s="497" t="e">
        <v>#REF!</v>
      </c>
      <c r="M1819" s="497">
        <v>849.15470000000005</v>
      </c>
      <c r="N1819" s="464"/>
      <c r="O1819" s="498"/>
      <c r="P1819" s="431" t="s">
        <v>6711</v>
      </c>
    </row>
    <row r="1820" spans="1:16" ht="13.5" hidden="1" customHeight="1" outlineLevel="2" x14ac:dyDescent="0.2">
      <c r="A1820" s="233">
        <v>0</v>
      </c>
      <c r="B1820" s="233">
        <v>14</v>
      </c>
      <c r="C1820" s="233">
        <v>9</v>
      </c>
      <c r="D1820" s="234">
        <v>4</v>
      </c>
      <c r="E1820" s="234">
        <v>0</v>
      </c>
      <c r="G1820" s="507"/>
      <c r="H1820" s="487" t="s">
        <v>1237</v>
      </c>
      <c r="I1820" s="452" t="s">
        <v>5116</v>
      </c>
      <c r="J1820" s="489" t="s">
        <v>1262</v>
      </c>
      <c r="K1820" s="490"/>
      <c r="L1820" s="491"/>
      <c r="M1820" s="491"/>
      <c r="N1820" s="456"/>
      <c r="O1820" s="492"/>
      <c r="P1820" s="430"/>
    </row>
    <row r="1821" spans="1:16" ht="13.5" hidden="1" customHeight="1" outlineLevel="3" x14ac:dyDescent="0.2">
      <c r="A1821" s="233">
        <v>0</v>
      </c>
      <c r="B1821" s="233">
        <v>14</v>
      </c>
      <c r="C1821" s="233">
        <v>9</v>
      </c>
      <c r="D1821" s="234">
        <v>4</v>
      </c>
      <c r="E1821" s="234">
        <v>1</v>
      </c>
      <c r="G1821" s="508" t="s">
        <v>45</v>
      </c>
      <c r="H1821" s="493" t="s">
        <v>1238</v>
      </c>
      <c r="I1821" s="460" t="s">
        <v>5117</v>
      </c>
      <c r="J1821" s="495" t="s">
        <v>541</v>
      </c>
      <c r="K1821" s="496" t="s">
        <v>641</v>
      </c>
      <c r="L1821" s="497" t="e">
        <v>#REF!</v>
      </c>
      <c r="M1821" s="497">
        <v>42</v>
      </c>
      <c r="N1821" s="464"/>
      <c r="O1821" s="498"/>
      <c r="P1821" s="431" t="s">
        <v>6711</v>
      </c>
    </row>
    <row r="1822" spans="1:16" ht="13.5" hidden="1" customHeight="1" outlineLevel="3" x14ac:dyDescent="0.2">
      <c r="A1822" s="233">
        <v>0</v>
      </c>
      <c r="B1822" s="233">
        <v>14</v>
      </c>
      <c r="C1822" s="233">
        <v>9</v>
      </c>
      <c r="D1822" s="234">
        <v>4</v>
      </c>
      <c r="E1822" s="234">
        <v>2</v>
      </c>
      <c r="G1822" s="508" t="s">
        <v>47</v>
      </c>
      <c r="H1822" s="493" t="s">
        <v>1238</v>
      </c>
      <c r="I1822" s="460" t="s">
        <v>5118</v>
      </c>
      <c r="J1822" s="495" t="s">
        <v>545</v>
      </c>
      <c r="K1822" s="496" t="s">
        <v>641</v>
      </c>
      <c r="L1822" s="497" t="e">
        <v>#REF!</v>
      </c>
      <c r="M1822" s="497">
        <v>75</v>
      </c>
      <c r="N1822" s="464"/>
      <c r="O1822" s="498"/>
      <c r="P1822" s="431" t="s">
        <v>6711</v>
      </c>
    </row>
    <row r="1823" spans="1:16" ht="13.5" hidden="1" customHeight="1" outlineLevel="3" x14ac:dyDescent="0.2">
      <c r="A1823" s="233">
        <v>0</v>
      </c>
      <c r="B1823" s="233">
        <v>14</v>
      </c>
      <c r="C1823" s="233">
        <v>9</v>
      </c>
      <c r="D1823" s="234">
        <v>4</v>
      </c>
      <c r="E1823" s="234">
        <v>3</v>
      </c>
      <c r="G1823" s="508" t="s">
        <v>47</v>
      </c>
      <c r="H1823" s="493" t="s">
        <v>1238</v>
      </c>
      <c r="I1823" s="460" t="s">
        <v>5119</v>
      </c>
      <c r="J1823" s="495" t="s">
        <v>546</v>
      </c>
      <c r="K1823" s="496" t="s">
        <v>641</v>
      </c>
      <c r="L1823" s="497" t="e">
        <v>#REF!</v>
      </c>
      <c r="M1823" s="497">
        <v>50</v>
      </c>
      <c r="N1823" s="464"/>
      <c r="O1823" s="498"/>
      <c r="P1823" s="431" t="s">
        <v>6711</v>
      </c>
    </row>
    <row r="1824" spans="1:16" ht="13.5" hidden="1" customHeight="1" outlineLevel="1" x14ac:dyDescent="0.2">
      <c r="A1824" s="233">
        <v>0</v>
      </c>
      <c r="B1824" s="233">
        <v>14</v>
      </c>
      <c r="C1824" s="233">
        <v>10</v>
      </c>
      <c r="D1824" s="234">
        <v>0</v>
      </c>
      <c r="E1824" s="234">
        <v>3</v>
      </c>
      <c r="G1824" s="506"/>
      <c r="H1824" s="481" t="s">
        <v>38</v>
      </c>
      <c r="I1824" s="445" t="s">
        <v>5120</v>
      </c>
      <c r="J1824" s="483" t="s">
        <v>2434</v>
      </c>
      <c r="K1824" s="484"/>
      <c r="L1824" s="485"/>
      <c r="M1824" s="485"/>
      <c r="N1824" s="449"/>
      <c r="O1824" s="486"/>
      <c r="P1824" s="429"/>
    </row>
    <row r="1825" spans="1:16" ht="13.5" hidden="1" customHeight="1" outlineLevel="2" x14ac:dyDescent="0.2">
      <c r="A1825" s="233">
        <v>0</v>
      </c>
      <c r="B1825" s="233">
        <v>14</v>
      </c>
      <c r="C1825" s="233">
        <v>10</v>
      </c>
      <c r="D1825" s="234">
        <v>1</v>
      </c>
      <c r="E1825" s="234">
        <v>0</v>
      </c>
      <c r="G1825" s="507"/>
      <c r="H1825" s="487" t="s">
        <v>1237</v>
      </c>
      <c r="I1825" s="452" t="s">
        <v>5121</v>
      </c>
      <c r="J1825" s="489" t="s">
        <v>2344</v>
      </c>
      <c r="K1825" s="490"/>
      <c r="L1825" s="491"/>
      <c r="M1825" s="491"/>
      <c r="N1825" s="456"/>
      <c r="O1825" s="492"/>
      <c r="P1825" s="430"/>
    </row>
    <row r="1826" spans="1:16" ht="13.5" hidden="1" customHeight="1" outlineLevel="3" x14ac:dyDescent="0.2">
      <c r="A1826" s="233">
        <v>0</v>
      </c>
      <c r="B1826" s="233">
        <v>14</v>
      </c>
      <c r="C1826" s="233">
        <v>10</v>
      </c>
      <c r="D1826" s="234">
        <v>1</v>
      </c>
      <c r="E1826" s="234">
        <v>1</v>
      </c>
      <c r="G1826" s="508" t="s">
        <v>45</v>
      </c>
      <c r="H1826" s="493" t="s">
        <v>1238</v>
      </c>
      <c r="I1826" s="460" t="s">
        <v>5122</v>
      </c>
      <c r="J1826" s="495" t="s">
        <v>481</v>
      </c>
      <c r="K1826" s="496" t="s">
        <v>641</v>
      </c>
      <c r="L1826" s="497" t="e">
        <v>#REF!</v>
      </c>
      <c r="M1826" s="497">
        <v>10.11778</v>
      </c>
      <c r="N1826" s="464"/>
      <c r="O1826" s="498"/>
      <c r="P1826" s="431" t="s">
        <v>6711</v>
      </c>
    </row>
    <row r="1827" spans="1:16" ht="13.5" hidden="1" customHeight="1" outlineLevel="3" x14ac:dyDescent="0.2">
      <c r="A1827" s="233">
        <v>0</v>
      </c>
      <c r="B1827" s="233">
        <v>14</v>
      </c>
      <c r="C1827" s="233">
        <v>10</v>
      </c>
      <c r="D1827" s="234">
        <v>1</v>
      </c>
      <c r="E1827" s="234">
        <v>2</v>
      </c>
      <c r="G1827" s="508" t="s">
        <v>45</v>
      </c>
      <c r="H1827" s="493" t="s">
        <v>1238</v>
      </c>
      <c r="I1827" s="460" t="s">
        <v>5123</v>
      </c>
      <c r="J1827" s="495" t="s">
        <v>490</v>
      </c>
      <c r="K1827" s="496" t="s">
        <v>641</v>
      </c>
      <c r="L1827" s="497" t="e">
        <v>#REF!</v>
      </c>
      <c r="M1827" s="497">
        <v>3.28945</v>
      </c>
      <c r="N1827" s="464"/>
      <c r="O1827" s="498"/>
      <c r="P1827" s="431" t="s">
        <v>6711</v>
      </c>
    </row>
    <row r="1828" spans="1:16" ht="13.5" hidden="1" customHeight="1" outlineLevel="3" x14ac:dyDescent="0.2">
      <c r="A1828" s="233">
        <v>0</v>
      </c>
      <c r="B1828" s="233">
        <v>14</v>
      </c>
      <c r="C1828" s="233">
        <v>10</v>
      </c>
      <c r="D1828" s="234">
        <v>1</v>
      </c>
      <c r="E1828" s="234">
        <v>3</v>
      </c>
      <c r="G1828" s="508" t="s">
        <v>45</v>
      </c>
      <c r="H1828" s="493" t="s">
        <v>1238</v>
      </c>
      <c r="I1828" s="460" t="s">
        <v>5124</v>
      </c>
      <c r="J1828" s="495" t="s">
        <v>496</v>
      </c>
      <c r="K1828" s="496" t="s">
        <v>641</v>
      </c>
      <c r="L1828" s="497" t="e">
        <v>#REF!</v>
      </c>
      <c r="M1828" s="497">
        <v>12.075000000000001</v>
      </c>
      <c r="N1828" s="464"/>
      <c r="O1828" s="498"/>
      <c r="P1828" s="431" t="s">
        <v>6711</v>
      </c>
    </row>
    <row r="1829" spans="1:16" ht="13.5" hidden="1" customHeight="1" outlineLevel="2" x14ac:dyDescent="0.2">
      <c r="A1829" s="233">
        <v>0</v>
      </c>
      <c r="B1829" s="233">
        <v>14</v>
      </c>
      <c r="C1829" s="233">
        <v>10</v>
      </c>
      <c r="D1829" s="234">
        <v>2</v>
      </c>
      <c r="E1829" s="234">
        <v>0</v>
      </c>
      <c r="G1829" s="507"/>
      <c r="H1829" s="487" t="s">
        <v>1237</v>
      </c>
      <c r="I1829" s="452" t="s">
        <v>5125</v>
      </c>
      <c r="J1829" s="489" t="s">
        <v>2345</v>
      </c>
      <c r="K1829" s="490"/>
      <c r="L1829" s="491"/>
      <c r="M1829" s="491"/>
      <c r="N1829" s="456"/>
      <c r="O1829" s="492"/>
      <c r="P1829" s="430"/>
    </row>
    <row r="1830" spans="1:16" ht="13.5" hidden="1" customHeight="1" outlineLevel="3" x14ac:dyDescent="0.2">
      <c r="A1830" s="233">
        <v>0</v>
      </c>
      <c r="B1830" s="233">
        <v>14</v>
      </c>
      <c r="C1830" s="233">
        <v>10</v>
      </c>
      <c r="D1830" s="234">
        <v>2</v>
      </c>
      <c r="E1830" s="234">
        <v>1</v>
      </c>
      <c r="G1830" s="508" t="s">
        <v>47</v>
      </c>
      <c r="H1830" s="493" t="s">
        <v>1238</v>
      </c>
      <c r="I1830" s="460" t="s">
        <v>5126</v>
      </c>
      <c r="J1830" s="495" t="s">
        <v>2378</v>
      </c>
      <c r="K1830" s="496" t="s">
        <v>641</v>
      </c>
      <c r="L1830" s="497" t="e">
        <v>#REF!</v>
      </c>
      <c r="M1830" s="497">
        <v>141.82760000000002</v>
      </c>
      <c r="N1830" s="464"/>
      <c r="O1830" s="498" t="s">
        <v>2380</v>
      </c>
      <c r="P1830" s="431" t="s">
        <v>6711</v>
      </c>
    </row>
    <row r="1831" spans="1:16" ht="13.5" hidden="1" customHeight="1" outlineLevel="2" x14ac:dyDescent="0.2">
      <c r="A1831" s="233">
        <v>0</v>
      </c>
      <c r="B1831" s="233">
        <v>14</v>
      </c>
      <c r="C1831" s="233">
        <v>10</v>
      </c>
      <c r="D1831" s="234">
        <v>3</v>
      </c>
      <c r="E1831" s="234">
        <v>0</v>
      </c>
      <c r="G1831" s="507"/>
      <c r="H1831" s="487" t="s">
        <v>1237</v>
      </c>
      <c r="I1831" s="452" t="s">
        <v>5127</v>
      </c>
      <c r="J1831" s="489" t="s">
        <v>2273</v>
      </c>
      <c r="K1831" s="490"/>
      <c r="L1831" s="491"/>
      <c r="M1831" s="491"/>
      <c r="N1831" s="456"/>
      <c r="O1831" s="492"/>
      <c r="P1831" s="430"/>
    </row>
    <row r="1832" spans="1:16" ht="13.5" hidden="1" customHeight="1" outlineLevel="3" x14ac:dyDescent="0.2">
      <c r="A1832" s="233">
        <v>0</v>
      </c>
      <c r="B1832" s="233">
        <v>14</v>
      </c>
      <c r="C1832" s="233">
        <v>10</v>
      </c>
      <c r="D1832" s="234">
        <v>3</v>
      </c>
      <c r="E1832" s="234">
        <v>1</v>
      </c>
      <c r="G1832" s="508" t="s">
        <v>47</v>
      </c>
      <c r="H1832" s="493" t="s">
        <v>1238</v>
      </c>
      <c r="I1832" s="460" t="s">
        <v>5128</v>
      </c>
      <c r="J1832" s="495" t="s">
        <v>529</v>
      </c>
      <c r="K1832" s="496" t="s">
        <v>641</v>
      </c>
      <c r="L1832" s="497" t="e">
        <v>#REF!</v>
      </c>
      <c r="M1832" s="497">
        <v>849.15470000000005</v>
      </c>
      <c r="N1832" s="464"/>
      <c r="O1832" s="498"/>
      <c r="P1832" s="431" t="s">
        <v>6711</v>
      </c>
    </row>
    <row r="1833" spans="1:16" ht="13.5" hidden="1" customHeight="1" outlineLevel="2" x14ac:dyDescent="0.2">
      <c r="A1833" s="233">
        <v>0</v>
      </c>
      <c r="B1833" s="233">
        <v>14</v>
      </c>
      <c r="C1833" s="233">
        <v>10</v>
      </c>
      <c r="D1833" s="234">
        <v>4</v>
      </c>
      <c r="E1833" s="234">
        <v>0</v>
      </c>
      <c r="G1833" s="507"/>
      <c r="H1833" s="487" t="s">
        <v>1237</v>
      </c>
      <c r="I1833" s="452" t="s">
        <v>5129</v>
      </c>
      <c r="J1833" s="489" t="s">
        <v>1262</v>
      </c>
      <c r="K1833" s="490"/>
      <c r="L1833" s="491"/>
      <c r="M1833" s="491"/>
      <c r="N1833" s="456"/>
      <c r="O1833" s="492"/>
      <c r="P1833" s="430"/>
    </row>
    <row r="1834" spans="1:16" ht="13.5" hidden="1" customHeight="1" outlineLevel="3" x14ac:dyDescent="0.2">
      <c r="A1834" s="233">
        <v>0</v>
      </c>
      <c r="B1834" s="233">
        <v>14</v>
      </c>
      <c r="C1834" s="233">
        <v>10</v>
      </c>
      <c r="D1834" s="234">
        <v>4</v>
      </c>
      <c r="E1834" s="234">
        <v>1</v>
      </c>
      <c r="G1834" s="508" t="s">
        <v>45</v>
      </c>
      <c r="H1834" s="493" t="s">
        <v>1238</v>
      </c>
      <c r="I1834" s="460" t="s">
        <v>5130</v>
      </c>
      <c r="J1834" s="495" t="s">
        <v>541</v>
      </c>
      <c r="K1834" s="496" t="s">
        <v>641</v>
      </c>
      <c r="L1834" s="497" t="e">
        <v>#REF!</v>
      </c>
      <c r="M1834" s="497">
        <v>42</v>
      </c>
      <c r="N1834" s="464"/>
      <c r="O1834" s="498"/>
      <c r="P1834" s="431" t="s">
        <v>6711</v>
      </c>
    </row>
    <row r="1835" spans="1:16" ht="13.5" hidden="1" customHeight="1" outlineLevel="3" x14ac:dyDescent="0.2">
      <c r="A1835" s="233">
        <v>0</v>
      </c>
      <c r="B1835" s="233">
        <v>14</v>
      </c>
      <c r="C1835" s="233">
        <v>10</v>
      </c>
      <c r="D1835" s="234">
        <v>4</v>
      </c>
      <c r="E1835" s="234">
        <v>2</v>
      </c>
      <c r="G1835" s="508" t="s">
        <v>47</v>
      </c>
      <c r="H1835" s="493" t="s">
        <v>1238</v>
      </c>
      <c r="I1835" s="460" t="s">
        <v>5131</v>
      </c>
      <c r="J1835" s="495" t="s">
        <v>545</v>
      </c>
      <c r="K1835" s="496" t="s">
        <v>641</v>
      </c>
      <c r="L1835" s="497" t="e">
        <v>#REF!</v>
      </c>
      <c r="M1835" s="497">
        <v>75</v>
      </c>
      <c r="N1835" s="464"/>
      <c r="O1835" s="498"/>
      <c r="P1835" s="431" t="s">
        <v>6711</v>
      </c>
    </row>
    <row r="1836" spans="1:16" ht="13.5" hidden="1" customHeight="1" outlineLevel="3" x14ac:dyDescent="0.2">
      <c r="A1836" s="233">
        <v>0</v>
      </c>
      <c r="B1836" s="233">
        <v>14</v>
      </c>
      <c r="C1836" s="233">
        <v>10</v>
      </c>
      <c r="D1836" s="234">
        <v>4</v>
      </c>
      <c r="E1836" s="234">
        <v>3</v>
      </c>
      <c r="G1836" s="508" t="s">
        <v>47</v>
      </c>
      <c r="H1836" s="493" t="s">
        <v>1238</v>
      </c>
      <c r="I1836" s="460" t="s">
        <v>5132</v>
      </c>
      <c r="J1836" s="495" t="s">
        <v>546</v>
      </c>
      <c r="K1836" s="496" t="s">
        <v>641</v>
      </c>
      <c r="L1836" s="497" t="e">
        <v>#REF!</v>
      </c>
      <c r="M1836" s="497">
        <v>50</v>
      </c>
      <c r="N1836" s="464"/>
      <c r="O1836" s="498"/>
      <c r="P1836" s="431" t="s">
        <v>6711</v>
      </c>
    </row>
    <row r="1837" spans="1:16" ht="13.5" hidden="1" customHeight="1" outlineLevel="1" x14ac:dyDescent="0.2">
      <c r="A1837" s="233">
        <v>0</v>
      </c>
      <c r="B1837" s="233">
        <v>14</v>
      </c>
      <c r="C1837" s="233">
        <v>11</v>
      </c>
      <c r="D1837" s="234">
        <v>0</v>
      </c>
      <c r="E1837" s="234">
        <v>3</v>
      </c>
      <c r="G1837" s="506"/>
      <c r="H1837" s="481" t="s">
        <v>38</v>
      </c>
      <c r="I1837" s="445" t="s">
        <v>5133</v>
      </c>
      <c r="J1837" s="483" t="s">
        <v>2435</v>
      </c>
      <c r="K1837" s="484"/>
      <c r="L1837" s="485"/>
      <c r="M1837" s="485"/>
      <c r="N1837" s="449"/>
      <c r="O1837" s="486"/>
      <c r="P1837" s="429"/>
    </row>
    <row r="1838" spans="1:16" ht="13.5" hidden="1" customHeight="1" outlineLevel="2" x14ac:dyDescent="0.2">
      <c r="A1838" s="233">
        <v>0</v>
      </c>
      <c r="B1838" s="233">
        <v>14</v>
      </c>
      <c r="C1838" s="233">
        <v>11</v>
      </c>
      <c r="D1838" s="234">
        <v>1</v>
      </c>
      <c r="E1838" s="234">
        <v>0</v>
      </c>
      <c r="G1838" s="507"/>
      <c r="H1838" s="487" t="s">
        <v>1237</v>
      </c>
      <c r="I1838" s="452" t="s">
        <v>5134</v>
      </c>
      <c r="J1838" s="489" t="s">
        <v>2344</v>
      </c>
      <c r="K1838" s="490"/>
      <c r="L1838" s="491"/>
      <c r="M1838" s="491"/>
      <c r="N1838" s="456"/>
      <c r="O1838" s="492"/>
      <c r="P1838" s="430"/>
    </row>
    <row r="1839" spans="1:16" ht="13.5" hidden="1" customHeight="1" outlineLevel="3" x14ac:dyDescent="0.2">
      <c r="A1839" s="233">
        <v>0</v>
      </c>
      <c r="B1839" s="233">
        <v>14</v>
      </c>
      <c r="C1839" s="233">
        <v>11</v>
      </c>
      <c r="D1839" s="234">
        <v>1</v>
      </c>
      <c r="E1839" s="234">
        <v>1</v>
      </c>
      <c r="G1839" s="508" t="s">
        <v>45</v>
      </c>
      <c r="H1839" s="493" t="s">
        <v>1238</v>
      </c>
      <c r="I1839" s="460" t="s">
        <v>5135</v>
      </c>
      <c r="J1839" s="495" t="s">
        <v>481</v>
      </c>
      <c r="K1839" s="496" t="s">
        <v>641</v>
      </c>
      <c r="L1839" s="497" t="e">
        <v>#REF!</v>
      </c>
      <c r="M1839" s="497">
        <v>10.11778</v>
      </c>
      <c r="N1839" s="464"/>
      <c r="O1839" s="498"/>
      <c r="P1839" s="431" t="s">
        <v>6711</v>
      </c>
    </row>
    <row r="1840" spans="1:16" ht="13.5" hidden="1" customHeight="1" outlineLevel="3" x14ac:dyDescent="0.2">
      <c r="A1840" s="233">
        <v>0</v>
      </c>
      <c r="B1840" s="233">
        <v>14</v>
      </c>
      <c r="C1840" s="233">
        <v>11</v>
      </c>
      <c r="D1840" s="234">
        <v>1</v>
      </c>
      <c r="E1840" s="234">
        <v>2</v>
      </c>
      <c r="G1840" s="508" t="s">
        <v>45</v>
      </c>
      <c r="H1840" s="493" t="s">
        <v>1238</v>
      </c>
      <c r="I1840" s="460" t="s">
        <v>5136</v>
      </c>
      <c r="J1840" s="495" t="s">
        <v>490</v>
      </c>
      <c r="K1840" s="496" t="s">
        <v>641</v>
      </c>
      <c r="L1840" s="497" t="e">
        <v>#REF!</v>
      </c>
      <c r="M1840" s="497">
        <v>3.28945</v>
      </c>
      <c r="N1840" s="464"/>
      <c r="O1840" s="498"/>
      <c r="P1840" s="431" t="s">
        <v>6711</v>
      </c>
    </row>
    <row r="1841" spans="1:16" ht="13.5" hidden="1" customHeight="1" outlineLevel="3" x14ac:dyDescent="0.2">
      <c r="A1841" s="233">
        <v>0</v>
      </c>
      <c r="B1841" s="233">
        <v>14</v>
      </c>
      <c r="C1841" s="233">
        <v>11</v>
      </c>
      <c r="D1841" s="234">
        <v>1</v>
      </c>
      <c r="E1841" s="234">
        <v>3</v>
      </c>
      <c r="G1841" s="508" t="s">
        <v>45</v>
      </c>
      <c r="H1841" s="493" t="s">
        <v>1238</v>
      </c>
      <c r="I1841" s="460" t="s">
        <v>5137</v>
      </c>
      <c r="J1841" s="495" t="s">
        <v>496</v>
      </c>
      <c r="K1841" s="496" t="s">
        <v>641</v>
      </c>
      <c r="L1841" s="497" t="e">
        <v>#REF!</v>
      </c>
      <c r="M1841" s="497">
        <v>12.075000000000001</v>
      </c>
      <c r="N1841" s="464"/>
      <c r="O1841" s="498"/>
      <c r="P1841" s="431" t="s">
        <v>6711</v>
      </c>
    </row>
    <row r="1842" spans="1:16" ht="13.5" hidden="1" customHeight="1" outlineLevel="2" x14ac:dyDescent="0.2">
      <c r="A1842" s="233">
        <v>0</v>
      </c>
      <c r="B1842" s="233">
        <v>14</v>
      </c>
      <c r="C1842" s="233">
        <v>11</v>
      </c>
      <c r="D1842" s="234">
        <v>2</v>
      </c>
      <c r="E1842" s="234">
        <v>0</v>
      </c>
      <c r="G1842" s="507"/>
      <c r="H1842" s="487" t="s">
        <v>1237</v>
      </c>
      <c r="I1842" s="452" t="s">
        <v>5138</v>
      </c>
      <c r="J1842" s="489" t="s">
        <v>2345</v>
      </c>
      <c r="K1842" s="490"/>
      <c r="L1842" s="491"/>
      <c r="M1842" s="491"/>
      <c r="N1842" s="456"/>
      <c r="O1842" s="492"/>
      <c r="P1842" s="430"/>
    </row>
    <row r="1843" spans="1:16" ht="13.5" hidden="1" customHeight="1" outlineLevel="3" x14ac:dyDescent="0.2">
      <c r="A1843" s="233">
        <v>0</v>
      </c>
      <c r="B1843" s="233">
        <v>14</v>
      </c>
      <c r="C1843" s="233">
        <v>11</v>
      </c>
      <c r="D1843" s="234">
        <v>2</v>
      </c>
      <c r="E1843" s="234">
        <v>1</v>
      </c>
      <c r="G1843" s="508" t="s">
        <v>47</v>
      </c>
      <c r="H1843" s="493" t="s">
        <v>1238</v>
      </c>
      <c r="I1843" s="460" t="s">
        <v>5139</v>
      </c>
      <c r="J1843" s="495" t="s">
        <v>2378</v>
      </c>
      <c r="K1843" s="496" t="s">
        <v>641</v>
      </c>
      <c r="L1843" s="497" t="e">
        <v>#REF!</v>
      </c>
      <c r="M1843" s="497">
        <v>141.82760000000002</v>
      </c>
      <c r="N1843" s="464"/>
      <c r="O1843" s="498" t="s">
        <v>2380</v>
      </c>
      <c r="P1843" s="431" t="s">
        <v>6711</v>
      </c>
    </row>
    <row r="1844" spans="1:16" ht="13.5" hidden="1" customHeight="1" outlineLevel="2" x14ac:dyDescent="0.2">
      <c r="A1844" s="233">
        <v>0</v>
      </c>
      <c r="B1844" s="233">
        <v>14</v>
      </c>
      <c r="C1844" s="233">
        <v>11</v>
      </c>
      <c r="D1844" s="234">
        <v>3</v>
      </c>
      <c r="E1844" s="234">
        <v>0</v>
      </c>
      <c r="G1844" s="507"/>
      <c r="H1844" s="487" t="s">
        <v>1237</v>
      </c>
      <c r="I1844" s="452" t="s">
        <v>5140</v>
      </c>
      <c r="J1844" s="489" t="s">
        <v>2349</v>
      </c>
      <c r="K1844" s="490"/>
      <c r="L1844" s="491"/>
      <c r="M1844" s="491"/>
      <c r="N1844" s="456"/>
      <c r="O1844" s="492"/>
      <c r="P1844" s="430"/>
    </row>
    <row r="1845" spans="1:16" ht="13.5" hidden="1" customHeight="1" outlineLevel="3" x14ac:dyDescent="0.2">
      <c r="A1845" s="233">
        <v>0</v>
      </c>
      <c r="B1845" s="233">
        <v>14</v>
      </c>
      <c r="C1845" s="233">
        <v>11</v>
      </c>
      <c r="D1845" s="234">
        <v>3</v>
      </c>
      <c r="E1845" s="234">
        <v>1</v>
      </c>
      <c r="G1845" s="508" t="s">
        <v>47</v>
      </c>
      <c r="H1845" s="493" t="s">
        <v>1238</v>
      </c>
      <c r="I1845" s="460" t="s">
        <v>5141</v>
      </c>
      <c r="J1845" s="495" t="s">
        <v>2404</v>
      </c>
      <c r="K1845" s="496" t="s">
        <v>641</v>
      </c>
      <c r="L1845" s="497" t="e">
        <v>#REF!</v>
      </c>
      <c r="M1845" s="497">
        <v>898.24550000000011</v>
      </c>
      <c r="N1845" s="464"/>
      <c r="O1845" s="498"/>
      <c r="P1845" s="431" t="s">
        <v>6711</v>
      </c>
    </row>
    <row r="1846" spans="1:16" ht="13.5" hidden="1" customHeight="1" outlineLevel="2" x14ac:dyDescent="0.2">
      <c r="A1846" s="233">
        <v>0</v>
      </c>
      <c r="B1846" s="233">
        <v>14</v>
      </c>
      <c r="C1846" s="233">
        <v>11</v>
      </c>
      <c r="D1846" s="234">
        <v>4</v>
      </c>
      <c r="E1846" s="234">
        <v>0</v>
      </c>
      <c r="G1846" s="507"/>
      <c r="H1846" s="487" t="s">
        <v>1237</v>
      </c>
      <c r="I1846" s="452" t="s">
        <v>5142</v>
      </c>
      <c r="J1846" s="489" t="s">
        <v>2273</v>
      </c>
      <c r="K1846" s="490"/>
      <c r="L1846" s="491"/>
      <c r="M1846" s="491"/>
      <c r="N1846" s="456"/>
      <c r="O1846" s="492"/>
      <c r="P1846" s="430"/>
    </row>
    <row r="1847" spans="1:16" ht="13.5" hidden="1" customHeight="1" outlineLevel="3" x14ac:dyDescent="0.2">
      <c r="A1847" s="233">
        <v>0</v>
      </c>
      <c r="B1847" s="233">
        <v>14</v>
      </c>
      <c r="C1847" s="233">
        <v>11</v>
      </c>
      <c r="D1847" s="234">
        <v>4</v>
      </c>
      <c r="E1847" s="234">
        <v>1</v>
      </c>
      <c r="G1847" s="508" t="s">
        <v>47</v>
      </c>
      <c r="H1847" s="493" t="s">
        <v>1238</v>
      </c>
      <c r="I1847" s="460" t="s">
        <v>5143</v>
      </c>
      <c r="J1847" s="495" t="s">
        <v>529</v>
      </c>
      <c r="K1847" s="496" t="s">
        <v>641</v>
      </c>
      <c r="L1847" s="497" t="e">
        <v>#REF!</v>
      </c>
      <c r="M1847" s="497">
        <v>849.15470000000005</v>
      </c>
      <c r="N1847" s="464"/>
      <c r="O1847" s="498"/>
      <c r="P1847" s="431" t="s">
        <v>6711</v>
      </c>
    </row>
    <row r="1848" spans="1:16" ht="13.5" hidden="1" customHeight="1" outlineLevel="2" x14ac:dyDescent="0.2">
      <c r="A1848" s="233">
        <v>0</v>
      </c>
      <c r="B1848" s="233">
        <v>14</v>
      </c>
      <c r="C1848" s="233">
        <v>11</v>
      </c>
      <c r="D1848" s="234">
        <v>5</v>
      </c>
      <c r="E1848" s="234">
        <v>0</v>
      </c>
      <c r="G1848" s="507"/>
      <c r="H1848" s="487" t="s">
        <v>1237</v>
      </c>
      <c r="I1848" s="452" t="s">
        <v>5144</v>
      </c>
      <c r="J1848" s="489" t="s">
        <v>1262</v>
      </c>
      <c r="K1848" s="490"/>
      <c r="L1848" s="491"/>
      <c r="M1848" s="491"/>
      <c r="N1848" s="456"/>
      <c r="O1848" s="492"/>
      <c r="P1848" s="430"/>
    </row>
    <row r="1849" spans="1:16" ht="13.5" hidden="1" customHeight="1" outlineLevel="3" x14ac:dyDescent="0.2">
      <c r="A1849" s="233">
        <v>0</v>
      </c>
      <c r="B1849" s="233">
        <v>14</v>
      </c>
      <c r="C1849" s="233">
        <v>11</v>
      </c>
      <c r="D1849" s="234">
        <v>5</v>
      </c>
      <c r="E1849" s="234">
        <v>1</v>
      </c>
      <c r="G1849" s="508" t="s">
        <v>45</v>
      </c>
      <c r="H1849" s="493" t="s">
        <v>1238</v>
      </c>
      <c r="I1849" s="460" t="s">
        <v>5145</v>
      </c>
      <c r="J1849" s="495" t="s">
        <v>541</v>
      </c>
      <c r="K1849" s="496" t="s">
        <v>641</v>
      </c>
      <c r="L1849" s="497" t="e">
        <v>#REF!</v>
      </c>
      <c r="M1849" s="497">
        <v>42</v>
      </c>
      <c r="N1849" s="464"/>
      <c r="O1849" s="498"/>
      <c r="P1849" s="431" t="s">
        <v>6711</v>
      </c>
    </row>
    <row r="1850" spans="1:16" ht="13.5" hidden="1" customHeight="1" outlineLevel="3" x14ac:dyDescent="0.2">
      <c r="A1850" s="233">
        <v>0</v>
      </c>
      <c r="B1850" s="233">
        <v>14</v>
      </c>
      <c r="C1850" s="233">
        <v>11</v>
      </c>
      <c r="D1850" s="234">
        <v>5</v>
      </c>
      <c r="E1850" s="234">
        <v>2</v>
      </c>
      <c r="G1850" s="508" t="s">
        <v>47</v>
      </c>
      <c r="H1850" s="493" t="s">
        <v>1238</v>
      </c>
      <c r="I1850" s="460" t="s">
        <v>5146</v>
      </c>
      <c r="J1850" s="495" t="s">
        <v>545</v>
      </c>
      <c r="K1850" s="496" t="s">
        <v>641</v>
      </c>
      <c r="L1850" s="497" t="e">
        <v>#REF!</v>
      </c>
      <c r="M1850" s="497">
        <v>75</v>
      </c>
      <c r="N1850" s="464"/>
      <c r="O1850" s="498"/>
      <c r="P1850" s="431" t="s">
        <v>6711</v>
      </c>
    </row>
    <row r="1851" spans="1:16" ht="13.5" hidden="1" customHeight="1" outlineLevel="3" x14ac:dyDescent="0.2">
      <c r="A1851" s="233">
        <v>0</v>
      </c>
      <c r="B1851" s="233">
        <v>14</v>
      </c>
      <c r="C1851" s="233">
        <v>11</v>
      </c>
      <c r="D1851" s="234">
        <v>5</v>
      </c>
      <c r="E1851" s="234">
        <v>3</v>
      </c>
      <c r="G1851" s="508" t="s">
        <v>47</v>
      </c>
      <c r="H1851" s="493" t="s">
        <v>1238</v>
      </c>
      <c r="I1851" s="460" t="s">
        <v>5147</v>
      </c>
      <c r="J1851" s="495" t="s">
        <v>544</v>
      </c>
      <c r="K1851" s="496" t="s">
        <v>641</v>
      </c>
      <c r="L1851" s="497" t="e">
        <v>#REF!</v>
      </c>
      <c r="M1851" s="497">
        <v>75</v>
      </c>
      <c r="N1851" s="464"/>
      <c r="O1851" s="498"/>
      <c r="P1851" s="431" t="s">
        <v>6711</v>
      </c>
    </row>
    <row r="1852" spans="1:16" ht="13.5" hidden="1" customHeight="1" outlineLevel="3" x14ac:dyDescent="0.2">
      <c r="A1852" s="233">
        <v>0</v>
      </c>
      <c r="B1852" s="233">
        <v>14</v>
      </c>
      <c r="C1852" s="233">
        <v>11</v>
      </c>
      <c r="D1852" s="234">
        <v>5</v>
      </c>
      <c r="E1852" s="234">
        <v>4</v>
      </c>
      <c r="G1852" s="508" t="s">
        <v>47</v>
      </c>
      <c r="H1852" s="493" t="s">
        <v>1238</v>
      </c>
      <c r="I1852" s="460" t="s">
        <v>5148</v>
      </c>
      <c r="J1852" s="495" t="s">
        <v>546</v>
      </c>
      <c r="K1852" s="496" t="s">
        <v>641</v>
      </c>
      <c r="L1852" s="497" t="e">
        <v>#REF!</v>
      </c>
      <c r="M1852" s="497">
        <v>50</v>
      </c>
      <c r="N1852" s="464"/>
      <c r="O1852" s="498"/>
      <c r="P1852" s="431" t="s">
        <v>6711</v>
      </c>
    </row>
    <row r="1853" spans="1:16" ht="13.5" hidden="1" customHeight="1" outlineLevel="1" x14ac:dyDescent="0.2">
      <c r="A1853" s="233">
        <v>0</v>
      </c>
      <c r="B1853" s="233">
        <v>14</v>
      </c>
      <c r="C1853" s="233">
        <v>12</v>
      </c>
      <c r="D1853" s="234">
        <v>0</v>
      </c>
      <c r="E1853" s="234">
        <v>4</v>
      </c>
      <c r="G1853" s="506"/>
      <c r="H1853" s="481" t="s">
        <v>38</v>
      </c>
      <c r="I1853" s="445" t="s">
        <v>5149</v>
      </c>
      <c r="J1853" s="483" t="s">
        <v>2436</v>
      </c>
      <c r="K1853" s="484"/>
      <c r="L1853" s="485"/>
      <c r="M1853" s="485"/>
      <c r="N1853" s="449"/>
      <c r="O1853" s="486"/>
      <c r="P1853" s="429"/>
    </row>
    <row r="1854" spans="1:16" ht="13.5" hidden="1" customHeight="1" outlineLevel="2" x14ac:dyDescent="0.2">
      <c r="A1854" s="233">
        <v>0</v>
      </c>
      <c r="B1854" s="233">
        <v>14</v>
      </c>
      <c r="C1854" s="233">
        <v>12</v>
      </c>
      <c r="D1854" s="234">
        <v>1</v>
      </c>
      <c r="E1854" s="234">
        <v>0</v>
      </c>
      <c r="G1854" s="507"/>
      <c r="H1854" s="487" t="s">
        <v>1237</v>
      </c>
      <c r="I1854" s="452" t="s">
        <v>5150</v>
      </c>
      <c r="J1854" s="489" t="s">
        <v>2344</v>
      </c>
      <c r="K1854" s="490"/>
      <c r="L1854" s="491"/>
      <c r="M1854" s="491"/>
      <c r="N1854" s="456"/>
      <c r="O1854" s="492"/>
      <c r="P1854" s="430"/>
    </row>
    <row r="1855" spans="1:16" ht="13.5" hidden="1" customHeight="1" outlineLevel="3" x14ac:dyDescent="0.2">
      <c r="A1855" s="233">
        <v>0</v>
      </c>
      <c r="B1855" s="233">
        <v>14</v>
      </c>
      <c r="C1855" s="233">
        <v>12</v>
      </c>
      <c r="D1855" s="234">
        <v>1</v>
      </c>
      <c r="E1855" s="234">
        <v>1</v>
      </c>
      <c r="G1855" s="508" t="s">
        <v>45</v>
      </c>
      <c r="H1855" s="493" t="s">
        <v>1238</v>
      </c>
      <c r="I1855" s="460" t="s">
        <v>5151</v>
      </c>
      <c r="J1855" s="495" t="s">
        <v>481</v>
      </c>
      <c r="K1855" s="496" t="s">
        <v>641</v>
      </c>
      <c r="L1855" s="497" t="e">
        <v>#REF!</v>
      </c>
      <c r="M1855" s="497">
        <v>10.11778</v>
      </c>
      <c r="N1855" s="464"/>
      <c r="O1855" s="498"/>
      <c r="P1855" s="431" t="s">
        <v>6711</v>
      </c>
    </row>
    <row r="1856" spans="1:16" ht="13.5" hidden="1" customHeight="1" outlineLevel="3" x14ac:dyDescent="0.2">
      <c r="A1856" s="233">
        <v>0</v>
      </c>
      <c r="B1856" s="233">
        <v>14</v>
      </c>
      <c r="C1856" s="233">
        <v>12</v>
      </c>
      <c r="D1856" s="234">
        <v>1</v>
      </c>
      <c r="E1856" s="234">
        <v>2</v>
      </c>
      <c r="G1856" s="508" t="s">
        <v>45</v>
      </c>
      <c r="H1856" s="493" t="s">
        <v>1238</v>
      </c>
      <c r="I1856" s="460" t="s">
        <v>5152</v>
      </c>
      <c r="J1856" s="495" t="s">
        <v>490</v>
      </c>
      <c r="K1856" s="496" t="s">
        <v>641</v>
      </c>
      <c r="L1856" s="497" t="e">
        <v>#REF!</v>
      </c>
      <c r="M1856" s="497">
        <v>3.28945</v>
      </c>
      <c r="N1856" s="464"/>
      <c r="O1856" s="498"/>
      <c r="P1856" s="431" t="s">
        <v>6711</v>
      </c>
    </row>
    <row r="1857" spans="1:16" ht="13.5" hidden="1" customHeight="1" outlineLevel="3" x14ac:dyDescent="0.2">
      <c r="A1857" s="233">
        <v>0</v>
      </c>
      <c r="B1857" s="233">
        <v>14</v>
      </c>
      <c r="C1857" s="233">
        <v>12</v>
      </c>
      <c r="D1857" s="234">
        <v>1</v>
      </c>
      <c r="E1857" s="234">
        <v>3</v>
      </c>
      <c r="G1857" s="508" t="s">
        <v>45</v>
      </c>
      <c r="H1857" s="493" t="s">
        <v>1238</v>
      </c>
      <c r="I1857" s="460" t="s">
        <v>5153</v>
      </c>
      <c r="J1857" s="495" t="s">
        <v>496</v>
      </c>
      <c r="K1857" s="496" t="s">
        <v>641</v>
      </c>
      <c r="L1857" s="497" t="e">
        <v>#REF!</v>
      </c>
      <c r="M1857" s="497">
        <v>12.075000000000001</v>
      </c>
      <c r="N1857" s="464"/>
      <c r="O1857" s="498"/>
      <c r="P1857" s="431" t="s">
        <v>6711</v>
      </c>
    </row>
    <row r="1858" spans="1:16" ht="13.5" hidden="1" customHeight="1" outlineLevel="2" x14ac:dyDescent="0.2">
      <c r="A1858" s="233">
        <v>0</v>
      </c>
      <c r="B1858" s="233">
        <v>14</v>
      </c>
      <c r="C1858" s="233">
        <v>12</v>
      </c>
      <c r="D1858" s="234">
        <v>2</v>
      </c>
      <c r="E1858" s="234">
        <v>0</v>
      </c>
      <c r="G1858" s="507"/>
      <c r="H1858" s="487" t="s">
        <v>1237</v>
      </c>
      <c r="I1858" s="452" t="s">
        <v>5154</v>
      </c>
      <c r="J1858" s="489" t="s">
        <v>2345</v>
      </c>
      <c r="K1858" s="490"/>
      <c r="L1858" s="491"/>
      <c r="M1858" s="491"/>
      <c r="N1858" s="456"/>
      <c r="O1858" s="492"/>
      <c r="P1858" s="430"/>
    </row>
    <row r="1859" spans="1:16" ht="13.5" hidden="1" customHeight="1" outlineLevel="3" x14ac:dyDescent="0.2">
      <c r="A1859" s="233">
        <v>0</v>
      </c>
      <c r="B1859" s="233">
        <v>14</v>
      </c>
      <c r="C1859" s="233">
        <v>12</v>
      </c>
      <c r="D1859" s="234">
        <v>2</v>
      </c>
      <c r="E1859" s="234">
        <v>1</v>
      </c>
      <c r="G1859" s="508" t="s">
        <v>47</v>
      </c>
      <c r="H1859" s="493" t="s">
        <v>1238</v>
      </c>
      <c r="I1859" s="460" t="s">
        <v>5155</v>
      </c>
      <c r="J1859" s="495" t="s">
        <v>2378</v>
      </c>
      <c r="K1859" s="496" t="s">
        <v>641</v>
      </c>
      <c r="L1859" s="497" t="e">
        <v>#REF!</v>
      </c>
      <c r="M1859" s="497">
        <v>141.82760000000002</v>
      </c>
      <c r="N1859" s="464"/>
      <c r="O1859" s="498" t="s">
        <v>2380</v>
      </c>
      <c r="P1859" s="431" t="s">
        <v>6711</v>
      </c>
    </row>
    <row r="1860" spans="1:16" ht="13.5" hidden="1" customHeight="1" outlineLevel="2" x14ac:dyDescent="0.2">
      <c r="A1860" s="233">
        <v>0</v>
      </c>
      <c r="B1860" s="233">
        <v>14</v>
      </c>
      <c r="C1860" s="233">
        <v>12</v>
      </c>
      <c r="D1860" s="234">
        <v>3</v>
      </c>
      <c r="E1860" s="234">
        <v>0</v>
      </c>
      <c r="G1860" s="507"/>
      <c r="H1860" s="487" t="s">
        <v>1237</v>
      </c>
      <c r="I1860" s="452" t="s">
        <v>5156</v>
      </c>
      <c r="J1860" s="489" t="s">
        <v>2349</v>
      </c>
      <c r="K1860" s="490"/>
      <c r="L1860" s="491"/>
      <c r="M1860" s="491"/>
      <c r="N1860" s="456"/>
      <c r="O1860" s="492"/>
      <c r="P1860" s="430"/>
    </row>
    <row r="1861" spans="1:16" ht="13.5" hidden="1" customHeight="1" outlineLevel="3" x14ac:dyDescent="0.2">
      <c r="A1861" s="233">
        <v>0</v>
      </c>
      <c r="B1861" s="233">
        <v>14</v>
      </c>
      <c r="C1861" s="233">
        <v>12</v>
      </c>
      <c r="D1861" s="234">
        <v>3</v>
      </c>
      <c r="E1861" s="234">
        <v>1</v>
      </c>
      <c r="G1861" s="508" t="s">
        <v>47</v>
      </c>
      <c r="H1861" s="493" t="s">
        <v>1238</v>
      </c>
      <c r="I1861" s="460" t="s">
        <v>5157</v>
      </c>
      <c r="J1861" s="495" t="s">
        <v>2404</v>
      </c>
      <c r="K1861" s="496" t="s">
        <v>641</v>
      </c>
      <c r="L1861" s="497" t="e">
        <v>#REF!</v>
      </c>
      <c r="M1861" s="497">
        <v>898.24550000000011</v>
      </c>
      <c r="N1861" s="464"/>
      <c r="O1861" s="498"/>
      <c r="P1861" s="431" t="s">
        <v>6711</v>
      </c>
    </row>
    <row r="1862" spans="1:16" ht="13.5" hidden="1" customHeight="1" outlineLevel="2" x14ac:dyDescent="0.2">
      <c r="A1862" s="233">
        <v>0</v>
      </c>
      <c r="B1862" s="233">
        <v>14</v>
      </c>
      <c r="C1862" s="233">
        <v>12</v>
      </c>
      <c r="D1862" s="234">
        <v>4</v>
      </c>
      <c r="E1862" s="234">
        <v>0</v>
      </c>
      <c r="G1862" s="507"/>
      <c r="H1862" s="487" t="s">
        <v>1237</v>
      </c>
      <c r="I1862" s="452" t="s">
        <v>5158</v>
      </c>
      <c r="J1862" s="489" t="s">
        <v>2273</v>
      </c>
      <c r="K1862" s="490"/>
      <c r="L1862" s="491"/>
      <c r="M1862" s="491"/>
      <c r="N1862" s="456"/>
      <c r="O1862" s="492"/>
      <c r="P1862" s="430"/>
    </row>
    <row r="1863" spans="1:16" ht="13.5" hidden="1" customHeight="1" outlineLevel="3" x14ac:dyDescent="0.2">
      <c r="A1863" s="233">
        <v>0</v>
      </c>
      <c r="B1863" s="233">
        <v>14</v>
      </c>
      <c r="C1863" s="233">
        <v>12</v>
      </c>
      <c r="D1863" s="234">
        <v>4</v>
      </c>
      <c r="E1863" s="234">
        <v>1</v>
      </c>
      <c r="G1863" s="508" t="s">
        <v>47</v>
      </c>
      <c r="H1863" s="493" t="s">
        <v>1238</v>
      </c>
      <c r="I1863" s="460" t="s">
        <v>5159</v>
      </c>
      <c r="J1863" s="495" t="s">
        <v>529</v>
      </c>
      <c r="K1863" s="496" t="s">
        <v>641</v>
      </c>
      <c r="L1863" s="497" t="e">
        <v>#REF!</v>
      </c>
      <c r="M1863" s="497">
        <v>849.15470000000005</v>
      </c>
      <c r="N1863" s="464"/>
      <c r="O1863" s="498"/>
      <c r="P1863" s="431" t="s">
        <v>6711</v>
      </c>
    </row>
    <row r="1864" spans="1:16" ht="13.5" hidden="1" customHeight="1" outlineLevel="2" x14ac:dyDescent="0.2">
      <c r="A1864" s="233">
        <v>0</v>
      </c>
      <c r="B1864" s="233">
        <v>14</v>
      </c>
      <c r="C1864" s="233">
        <v>12</v>
      </c>
      <c r="D1864" s="234">
        <v>5</v>
      </c>
      <c r="E1864" s="234">
        <v>0</v>
      </c>
      <c r="G1864" s="507"/>
      <c r="H1864" s="487" t="s">
        <v>1237</v>
      </c>
      <c r="I1864" s="452" t="s">
        <v>5160</v>
      </c>
      <c r="J1864" s="489" t="s">
        <v>1262</v>
      </c>
      <c r="K1864" s="490"/>
      <c r="L1864" s="491"/>
      <c r="M1864" s="491"/>
      <c r="N1864" s="456"/>
      <c r="O1864" s="492"/>
      <c r="P1864" s="430"/>
    </row>
    <row r="1865" spans="1:16" ht="13.5" hidden="1" customHeight="1" outlineLevel="3" x14ac:dyDescent="0.2">
      <c r="A1865" s="233">
        <v>0</v>
      </c>
      <c r="B1865" s="233">
        <v>14</v>
      </c>
      <c r="C1865" s="233">
        <v>12</v>
      </c>
      <c r="D1865" s="234">
        <v>5</v>
      </c>
      <c r="E1865" s="234">
        <v>1</v>
      </c>
      <c r="G1865" s="508" t="s">
        <v>45</v>
      </c>
      <c r="H1865" s="493" t="s">
        <v>1238</v>
      </c>
      <c r="I1865" s="460" t="s">
        <v>5161</v>
      </c>
      <c r="J1865" s="495" t="s">
        <v>541</v>
      </c>
      <c r="K1865" s="496" t="s">
        <v>641</v>
      </c>
      <c r="L1865" s="497" t="e">
        <v>#REF!</v>
      </c>
      <c r="M1865" s="497">
        <v>42</v>
      </c>
      <c r="N1865" s="464"/>
      <c r="O1865" s="498"/>
      <c r="P1865" s="431" t="s">
        <v>6711</v>
      </c>
    </row>
    <row r="1866" spans="1:16" ht="13.5" hidden="1" customHeight="1" outlineLevel="3" x14ac:dyDescent="0.2">
      <c r="A1866" s="233">
        <v>0</v>
      </c>
      <c r="B1866" s="233">
        <v>14</v>
      </c>
      <c r="C1866" s="233">
        <v>12</v>
      </c>
      <c r="D1866" s="234">
        <v>5</v>
      </c>
      <c r="E1866" s="234">
        <v>2</v>
      </c>
      <c r="G1866" s="508" t="s">
        <v>47</v>
      </c>
      <c r="H1866" s="493" t="s">
        <v>1238</v>
      </c>
      <c r="I1866" s="460" t="s">
        <v>5162</v>
      </c>
      <c r="J1866" s="495" t="s">
        <v>545</v>
      </c>
      <c r="K1866" s="496" t="s">
        <v>641</v>
      </c>
      <c r="L1866" s="497" t="e">
        <v>#REF!</v>
      </c>
      <c r="M1866" s="497">
        <v>75</v>
      </c>
      <c r="N1866" s="464"/>
      <c r="O1866" s="498"/>
      <c r="P1866" s="431" t="s">
        <v>6711</v>
      </c>
    </row>
    <row r="1867" spans="1:16" ht="13.5" hidden="1" customHeight="1" outlineLevel="3" x14ac:dyDescent="0.2">
      <c r="A1867" s="233">
        <v>0</v>
      </c>
      <c r="B1867" s="233">
        <v>14</v>
      </c>
      <c r="C1867" s="233">
        <v>12</v>
      </c>
      <c r="D1867" s="234">
        <v>5</v>
      </c>
      <c r="E1867" s="234">
        <v>3</v>
      </c>
      <c r="G1867" s="508" t="s">
        <v>47</v>
      </c>
      <c r="H1867" s="493" t="s">
        <v>1238</v>
      </c>
      <c r="I1867" s="460" t="s">
        <v>5163</v>
      </c>
      <c r="J1867" s="495" t="s">
        <v>544</v>
      </c>
      <c r="K1867" s="496" t="s">
        <v>641</v>
      </c>
      <c r="L1867" s="497" t="e">
        <v>#REF!</v>
      </c>
      <c r="M1867" s="497">
        <v>75</v>
      </c>
      <c r="N1867" s="464"/>
      <c r="O1867" s="498"/>
      <c r="P1867" s="431" t="s">
        <v>6711</v>
      </c>
    </row>
    <row r="1868" spans="1:16" ht="13.5" hidden="1" customHeight="1" outlineLevel="3" x14ac:dyDescent="0.2">
      <c r="A1868" s="233">
        <v>0</v>
      </c>
      <c r="B1868" s="233">
        <v>14</v>
      </c>
      <c r="C1868" s="233">
        <v>12</v>
      </c>
      <c r="D1868" s="234">
        <v>5</v>
      </c>
      <c r="E1868" s="234">
        <v>4</v>
      </c>
      <c r="G1868" s="508" t="s">
        <v>47</v>
      </c>
      <c r="H1868" s="493" t="s">
        <v>1238</v>
      </c>
      <c r="I1868" s="460" t="s">
        <v>5164</v>
      </c>
      <c r="J1868" s="495" t="s">
        <v>546</v>
      </c>
      <c r="K1868" s="496" t="s">
        <v>641</v>
      </c>
      <c r="L1868" s="497" t="e">
        <v>#REF!</v>
      </c>
      <c r="M1868" s="497">
        <v>50</v>
      </c>
      <c r="N1868" s="464"/>
      <c r="O1868" s="498"/>
      <c r="P1868" s="431" t="s">
        <v>6711</v>
      </c>
    </row>
    <row r="1869" spans="1:16" ht="13.5" hidden="1" customHeight="1" outlineLevel="1" x14ac:dyDescent="0.2">
      <c r="A1869" s="233">
        <v>0</v>
      </c>
      <c r="B1869" s="233">
        <v>14</v>
      </c>
      <c r="C1869" s="233">
        <v>13</v>
      </c>
      <c r="D1869" s="234">
        <v>0</v>
      </c>
      <c r="E1869" s="234">
        <v>4</v>
      </c>
      <c r="G1869" s="506"/>
      <c r="H1869" s="481" t="s">
        <v>38</v>
      </c>
      <c r="I1869" s="445" t="s">
        <v>5165</v>
      </c>
      <c r="J1869" s="483" t="s">
        <v>2437</v>
      </c>
      <c r="K1869" s="484"/>
      <c r="L1869" s="485"/>
      <c r="M1869" s="485"/>
      <c r="N1869" s="449"/>
      <c r="O1869" s="486"/>
      <c r="P1869" s="429"/>
    </row>
    <row r="1870" spans="1:16" ht="13.5" hidden="1" customHeight="1" outlineLevel="2" x14ac:dyDescent="0.2">
      <c r="A1870" s="233">
        <v>0</v>
      </c>
      <c r="B1870" s="233">
        <v>14</v>
      </c>
      <c r="C1870" s="233">
        <v>13</v>
      </c>
      <c r="D1870" s="234">
        <v>1</v>
      </c>
      <c r="E1870" s="234">
        <v>0</v>
      </c>
      <c r="G1870" s="507"/>
      <c r="H1870" s="487" t="s">
        <v>1237</v>
      </c>
      <c r="I1870" s="452" t="s">
        <v>5166</v>
      </c>
      <c r="J1870" s="489" t="s">
        <v>2344</v>
      </c>
      <c r="K1870" s="490"/>
      <c r="L1870" s="491"/>
      <c r="M1870" s="491"/>
      <c r="N1870" s="456"/>
      <c r="O1870" s="492"/>
      <c r="P1870" s="430"/>
    </row>
    <row r="1871" spans="1:16" ht="13.5" hidden="1" customHeight="1" outlineLevel="3" x14ac:dyDescent="0.2">
      <c r="A1871" s="233">
        <v>0</v>
      </c>
      <c r="B1871" s="233">
        <v>14</v>
      </c>
      <c r="C1871" s="233">
        <v>13</v>
      </c>
      <c r="D1871" s="234">
        <v>1</v>
      </c>
      <c r="E1871" s="234">
        <v>1</v>
      </c>
      <c r="G1871" s="508" t="s">
        <v>45</v>
      </c>
      <c r="H1871" s="493" t="s">
        <v>1238</v>
      </c>
      <c r="I1871" s="460" t="s">
        <v>5167</v>
      </c>
      <c r="J1871" s="495" t="s">
        <v>481</v>
      </c>
      <c r="K1871" s="496" t="s">
        <v>641</v>
      </c>
      <c r="L1871" s="497" t="e">
        <v>#REF!</v>
      </c>
      <c r="M1871" s="497">
        <v>10.11778</v>
      </c>
      <c r="N1871" s="464"/>
      <c r="O1871" s="498"/>
      <c r="P1871" s="431" t="s">
        <v>6711</v>
      </c>
    </row>
    <row r="1872" spans="1:16" ht="13.5" hidden="1" customHeight="1" outlineLevel="3" x14ac:dyDescent="0.2">
      <c r="A1872" s="233">
        <v>0</v>
      </c>
      <c r="B1872" s="233">
        <v>14</v>
      </c>
      <c r="C1872" s="233">
        <v>13</v>
      </c>
      <c r="D1872" s="234">
        <v>1</v>
      </c>
      <c r="E1872" s="234">
        <v>2</v>
      </c>
      <c r="G1872" s="508" t="s">
        <v>45</v>
      </c>
      <c r="H1872" s="493" t="s">
        <v>1238</v>
      </c>
      <c r="I1872" s="460" t="s">
        <v>5168</v>
      </c>
      <c r="J1872" s="495" t="s">
        <v>490</v>
      </c>
      <c r="K1872" s="496" t="s">
        <v>641</v>
      </c>
      <c r="L1872" s="497" t="e">
        <v>#REF!</v>
      </c>
      <c r="M1872" s="497">
        <v>3.28945</v>
      </c>
      <c r="N1872" s="464"/>
      <c r="O1872" s="498"/>
      <c r="P1872" s="431" t="s">
        <v>6711</v>
      </c>
    </row>
    <row r="1873" spans="1:16" ht="13.5" hidden="1" customHeight="1" outlineLevel="3" x14ac:dyDescent="0.2">
      <c r="A1873" s="233">
        <v>0</v>
      </c>
      <c r="B1873" s="233">
        <v>14</v>
      </c>
      <c r="C1873" s="233">
        <v>13</v>
      </c>
      <c r="D1873" s="234">
        <v>1</v>
      </c>
      <c r="E1873" s="234">
        <v>3</v>
      </c>
      <c r="G1873" s="508" t="s">
        <v>45</v>
      </c>
      <c r="H1873" s="493" t="s">
        <v>1238</v>
      </c>
      <c r="I1873" s="460" t="s">
        <v>5169</v>
      </c>
      <c r="J1873" s="495" t="s">
        <v>496</v>
      </c>
      <c r="K1873" s="496" t="s">
        <v>641</v>
      </c>
      <c r="L1873" s="497" t="e">
        <v>#REF!</v>
      </c>
      <c r="M1873" s="497">
        <v>12.075000000000001</v>
      </c>
      <c r="N1873" s="464"/>
      <c r="O1873" s="498"/>
      <c r="P1873" s="431" t="s">
        <v>6711</v>
      </c>
    </row>
    <row r="1874" spans="1:16" ht="13.5" hidden="1" customHeight="1" outlineLevel="2" x14ac:dyDescent="0.2">
      <c r="A1874" s="233">
        <v>0</v>
      </c>
      <c r="B1874" s="233">
        <v>14</v>
      </c>
      <c r="C1874" s="233">
        <v>13</v>
      </c>
      <c r="D1874" s="234">
        <v>2</v>
      </c>
      <c r="E1874" s="234">
        <v>0</v>
      </c>
      <c r="G1874" s="507"/>
      <c r="H1874" s="487" t="s">
        <v>1237</v>
      </c>
      <c r="I1874" s="452" t="s">
        <v>5170</v>
      </c>
      <c r="J1874" s="489" t="s">
        <v>2349</v>
      </c>
      <c r="K1874" s="490"/>
      <c r="L1874" s="491"/>
      <c r="M1874" s="491"/>
      <c r="N1874" s="456"/>
      <c r="O1874" s="492"/>
      <c r="P1874" s="430"/>
    </row>
    <row r="1875" spans="1:16" ht="13.5" hidden="1" customHeight="1" outlineLevel="3" x14ac:dyDescent="0.2">
      <c r="A1875" s="233">
        <v>0</v>
      </c>
      <c r="B1875" s="233">
        <v>14</v>
      </c>
      <c r="C1875" s="233">
        <v>13</v>
      </c>
      <c r="D1875" s="234">
        <v>2</v>
      </c>
      <c r="E1875" s="234">
        <v>1</v>
      </c>
      <c r="G1875" s="508" t="s">
        <v>47</v>
      </c>
      <c r="H1875" s="493" t="s">
        <v>1238</v>
      </c>
      <c r="I1875" s="460" t="s">
        <v>5171</v>
      </c>
      <c r="J1875" s="495" t="s">
        <v>2404</v>
      </c>
      <c r="K1875" s="496" t="s">
        <v>641</v>
      </c>
      <c r="L1875" s="497" t="e">
        <v>#REF!</v>
      </c>
      <c r="M1875" s="497">
        <v>898.24550000000011</v>
      </c>
      <c r="N1875" s="464"/>
      <c r="O1875" s="498"/>
      <c r="P1875" s="431" t="s">
        <v>6711</v>
      </c>
    </row>
    <row r="1876" spans="1:16" ht="13.5" hidden="1" customHeight="1" outlineLevel="2" x14ac:dyDescent="0.2">
      <c r="A1876" s="233">
        <v>0</v>
      </c>
      <c r="B1876" s="233">
        <v>14</v>
      </c>
      <c r="C1876" s="233">
        <v>13</v>
      </c>
      <c r="D1876" s="234">
        <v>3</v>
      </c>
      <c r="E1876" s="234">
        <v>0</v>
      </c>
      <c r="G1876" s="507"/>
      <c r="H1876" s="487" t="s">
        <v>1237</v>
      </c>
      <c r="I1876" s="452" t="s">
        <v>5172</v>
      </c>
      <c r="J1876" s="489" t="s">
        <v>2273</v>
      </c>
      <c r="K1876" s="490"/>
      <c r="L1876" s="491"/>
      <c r="M1876" s="491"/>
      <c r="N1876" s="456"/>
      <c r="O1876" s="492"/>
      <c r="P1876" s="430"/>
    </row>
    <row r="1877" spans="1:16" ht="13.5" hidden="1" customHeight="1" outlineLevel="3" x14ac:dyDescent="0.2">
      <c r="A1877" s="233">
        <v>0</v>
      </c>
      <c r="B1877" s="233">
        <v>14</v>
      </c>
      <c r="C1877" s="233">
        <v>13</v>
      </c>
      <c r="D1877" s="234">
        <v>3</v>
      </c>
      <c r="E1877" s="234">
        <v>1</v>
      </c>
      <c r="G1877" s="508" t="s">
        <v>47</v>
      </c>
      <c r="H1877" s="493" t="s">
        <v>1238</v>
      </c>
      <c r="I1877" s="460" t="s">
        <v>5173</v>
      </c>
      <c r="J1877" s="495" t="s">
        <v>529</v>
      </c>
      <c r="K1877" s="496" t="s">
        <v>641</v>
      </c>
      <c r="L1877" s="497" t="e">
        <v>#REF!</v>
      </c>
      <c r="M1877" s="497">
        <v>849.15470000000005</v>
      </c>
      <c r="N1877" s="464"/>
      <c r="O1877" s="498"/>
      <c r="P1877" s="431" t="s">
        <v>6711</v>
      </c>
    </row>
    <row r="1878" spans="1:16" ht="13.5" hidden="1" customHeight="1" outlineLevel="2" x14ac:dyDescent="0.2">
      <c r="A1878" s="233">
        <v>0</v>
      </c>
      <c r="B1878" s="233">
        <v>14</v>
      </c>
      <c r="C1878" s="233">
        <v>13</v>
      </c>
      <c r="D1878" s="234">
        <v>4</v>
      </c>
      <c r="E1878" s="234">
        <v>0</v>
      </c>
      <c r="G1878" s="507"/>
      <c r="H1878" s="487" t="s">
        <v>1237</v>
      </c>
      <c r="I1878" s="452" t="s">
        <v>5174</v>
      </c>
      <c r="J1878" s="489" t="s">
        <v>1262</v>
      </c>
      <c r="K1878" s="490"/>
      <c r="L1878" s="491"/>
      <c r="M1878" s="491"/>
      <c r="N1878" s="456"/>
      <c r="O1878" s="492"/>
      <c r="P1878" s="430"/>
    </row>
    <row r="1879" spans="1:16" ht="13.5" hidden="1" customHeight="1" outlineLevel="3" x14ac:dyDescent="0.2">
      <c r="A1879" s="233">
        <v>0</v>
      </c>
      <c r="B1879" s="233">
        <v>14</v>
      </c>
      <c r="C1879" s="233">
        <v>13</v>
      </c>
      <c r="D1879" s="234">
        <v>4</v>
      </c>
      <c r="E1879" s="234">
        <v>1</v>
      </c>
      <c r="G1879" s="508" t="s">
        <v>45</v>
      </c>
      <c r="H1879" s="493" t="s">
        <v>1238</v>
      </c>
      <c r="I1879" s="460" t="s">
        <v>5175</v>
      </c>
      <c r="J1879" s="495" t="s">
        <v>541</v>
      </c>
      <c r="K1879" s="496" t="s">
        <v>641</v>
      </c>
      <c r="L1879" s="497" t="e">
        <v>#REF!</v>
      </c>
      <c r="M1879" s="497">
        <v>42</v>
      </c>
      <c r="N1879" s="464"/>
      <c r="O1879" s="498"/>
      <c r="P1879" s="431" t="s">
        <v>6711</v>
      </c>
    </row>
    <row r="1880" spans="1:16" ht="13.5" hidden="1" customHeight="1" outlineLevel="3" x14ac:dyDescent="0.2">
      <c r="A1880" s="233">
        <v>0</v>
      </c>
      <c r="B1880" s="233">
        <v>14</v>
      </c>
      <c r="C1880" s="233">
        <v>13</v>
      </c>
      <c r="D1880" s="234">
        <v>4</v>
      </c>
      <c r="E1880" s="234">
        <v>2</v>
      </c>
      <c r="G1880" s="508" t="s">
        <v>47</v>
      </c>
      <c r="H1880" s="493" t="s">
        <v>1238</v>
      </c>
      <c r="I1880" s="460" t="s">
        <v>5176</v>
      </c>
      <c r="J1880" s="495" t="s">
        <v>544</v>
      </c>
      <c r="K1880" s="496" t="s">
        <v>641</v>
      </c>
      <c r="L1880" s="497" t="e">
        <v>#REF!</v>
      </c>
      <c r="M1880" s="497">
        <v>75</v>
      </c>
      <c r="N1880" s="464"/>
      <c r="O1880" s="498"/>
      <c r="P1880" s="431" t="s">
        <v>6711</v>
      </c>
    </row>
    <row r="1881" spans="1:16" ht="13.5" hidden="1" customHeight="1" outlineLevel="3" x14ac:dyDescent="0.2">
      <c r="A1881" s="233">
        <v>0</v>
      </c>
      <c r="B1881" s="233">
        <v>14</v>
      </c>
      <c r="C1881" s="233">
        <v>13</v>
      </c>
      <c r="D1881" s="234">
        <v>4</v>
      </c>
      <c r="E1881" s="234">
        <v>3</v>
      </c>
      <c r="G1881" s="508" t="s">
        <v>47</v>
      </c>
      <c r="H1881" s="493" t="s">
        <v>1238</v>
      </c>
      <c r="I1881" s="460" t="s">
        <v>5177</v>
      </c>
      <c r="J1881" s="495" t="s">
        <v>546</v>
      </c>
      <c r="K1881" s="496" t="s">
        <v>641</v>
      </c>
      <c r="L1881" s="497" t="e">
        <v>#REF!</v>
      </c>
      <c r="M1881" s="497">
        <v>50</v>
      </c>
      <c r="N1881" s="464"/>
      <c r="O1881" s="498"/>
      <c r="P1881" s="431" t="s">
        <v>6711</v>
      </c>
    </row>
    <row r="1882" spans="1:16" ht="13.5" hidden="1" customHeight="1" outlineLevel="1" x14ac:dyDescent="0.2">
      <c r="A1882" s="233">
        <v>0</v>
      </c>
      <c r="B1882" s="233">
        <v>14</v>
      </c>
      <c r="C1882" s="233">
        <v>14</v>
      </c>
      <c r="D1882" s="234">
        <v>0</v>
      </c>
      <c r="E1882" s="234">
        <v>3</v>
      </c>
      <c r="G1882" s="506"/>
      <c r="H1882" s="481" t="s">
        <v>38</v>
      </c>
      <c r="I1882" s="445" t="s">
        <v>5178</v>
      </c>
      <c r="J1882" s="483" t="s">
        <v>2438</v>
      </c>
      <c r="K1882" s="484"/>
      <c r="L1882" s="485"/>
      <c r="M1882" s="485"/>
      <c r="N1882" s="449"/>
      <c r="O1882" s="486"/>
      <c r="P1882" s="429"/>
    </row>
    <row r="1883" spans="1:16" ht="13.5" hidden="1" customHeight="1" outlineLevel="2" x14ac:dyDescent="0.2">
      <c r="A1883" s="233">
        <v>0</v>
      </c>
      <c r="B1883" s="233">
        <v>14</v>
      </c>
      <c r="C1883" s="233">
        <v>14</v>
      </c>
      <c r="D1883" s="234">
        <v>1</v>
      </c>
      <c r="E1883" s="234">
        <v>0</v>
      </c>
      <c r="G1883" s="507"/>
      <c r="H1883" s="487" t="s">
        <v>1237</v>
      </c>
      <c r="I1883" s="452" t="s">
        <v>5179</v>
      </c>
      <c r="J1883" s="489" t="s">
        <v>2344</v>
      </c>
      <c r="K1883" s="490"/>
      <c r="L1883" s="491"/>
      <c r="M1883" s="491"/>
      <c r="N1883" s="456"/>
      <c r="O1883" s="492"/>
      <c r="P1883" s="430"/>
    </row>
    <row r="1884" spans="1:16" ht="13.5" hidden="1" customHeight="1" outlineLevel="3" x14ac:dyDescent="0.2">
      <c r="A1884" s="233">
        <v>0</v>
      </c>
      <c r="B1884" s="233">
        <v>14</v>
      </c>
      <c r="C1884" s="233">
        <v>14</v>
      </c>
      <c r="D1884" s="234">
        <v>1</v>
      </c>
      <c r="E1884" s="234">
        <v>1</v>
      </c>
      <c r="G1884" s="508" t="s">
        <v>45</v>
      </c>
      <c r="H1884" s="493" t="s">
        <v>1238</v>
      </c>
      <c r="I1884" s="460" t="s">
        <v>5180</v>
      </c>
      <c r="J1884" s="495" t="s">
        <v>481</v>
      </c>
      <c r="K1884" s="496" t="s">
        <v>641</v>
      </c>
      <c r="L1884" s="497" t="e">
        <v>#REF!</v>
      </c>
      <c r="M1884" s="497">
        <v>10.11778</v>
      </c>
      <c r="N1884" s="464"/>
      <c r="O1884" s="498"/>
      <c r="P1884" s="431" t="s">
        <v>6711</v>
      </c>
    </row>
    <row r="1885" spans="1:16" ht="13.5" hidden="1" customHeight="1" outlineLevel="3" x14ac:dyDescent="0.2">
      <c r="A1885" s="233">
        <v>0</v>
      </c>
      <c r="B1885" s="233">
        <v>14</v>
      </c>
      <c r="C1885" s="233">
        <v>14</v>
      </c>
      <c r="D1885" s="234">
        <v>1</v>
      </c>
      <c r="E1885" s="234">
        <v>2</v>
      </c>
      <c r="G1885" s="508" t="s">
        <v>45</v>
      </c>
      <c r="H1885" s="493" t="s">
        <v>1238</v>
      </c>
      <c r="I1885" s="460" t="s">
        <v>5181</v>
      </c>
      <c r="J1885" s="495" t="s">
        <v>490</v>
      </c>
      <c r="K1885" s="496" t="s">
        <v>641</v>
      </c>
      <c r="L1885" s="497" t="e">
        <v>#REF!</v>
      </c>
      <c r="M1885" s="497">
        <v>3.28945</v>
      </c>
      <c r="N1885" s="464"/>
      <c r="O1885" s="498"/>
      <c r="P1885" s="431" t="s">
        <v>6711</v>
      </c>
    </row>
    <row r="1886" spans="1:16" ht="13.5" hidden="1" customHeight="1" outlineLevel="3" x14ac:dyDescent="0.2">
      <c r="A1886" s="233">
        <v>0</v>
      </c>
      <c r="B1886" s="233">
        <v>14</v>
      </c>
      <c r="C1886" s="233">
        <v>14</v>
      </c>
      <c r="D1886" s="234">
        <v>1</v>
      </c>
      <c r="E1886" s="234">
        <v>3</v>
      </c>
      <c r="G1886" s="508" t="s">
        <v>45</v>
      </c>
      <c r="H1886" s="493" t="s">
        <v>1238</v>
      </c>
      <c r="I1886" s="460" t="s">
        <v>5182</v>
      </c>
      <c r="J1886" s="495" t="s">
        <v>496</v>
      </c>
      <c r="K1886" s="496" t="s">
        <v>641</v>
      </c>
      <c r="L1886" s="497" t="e">
        <v>#REF!</v>
      </c>
      <c r="M1886" s="497">
        <v>12.075000000000001</v>
      </c>
      <c r="N1886" s="464"/>
      <c r="O1886" s="498"/>
      <c r="P1886" s="431" t="s">
        <v>6711</v>
      </c>
    </row>
    <row r="1887" spans="1:16" ht="13.5" hidden="1" customHeight="1" outlineLevel="2" x14ac:dyDescent="0.2">
      <c r="A1887" s="233">
        <v>0</v>
      </c>
      <c r="B1887" s="233">
        <v>14</v>
      </c>
      <c r="C1887" s="233">
        <v>14</v>
      </c>
      <c r="D1887" s="234">
        <v>2</v>
      </c>
      <c r="E1887" s="234">
        <v>0</v>
      </c>
      <c r="G1887" s="507"/>
      <c r="H1887" s="487" t="s">
        <v>1237</v>
      </c>
      <c r="I1887" s="452" t="s">
        <v>5183</v>
      </c>
      <c r="J1887" s="489" t="s">
        <v>2273</v>
      </c>
      <c r="K1887" s="490"/>
      <c r="L1887" s="491"/>
      <c r="M1887" s="491"/>
      <c r="N1887" s="456"/>
      <c r="O1887" s="492"/>
      <c r="P1887" s="430"/>
    </row>
    <row r="1888" spans="1:16" ht="13.5" hidden="1" customHeight="1" outlineLevel="3" x14ac:dyDescent="0.2">
      <c r="A1888" s="233">
        <v>0</v>
      </c>
      <c r="B1888" s="233">
        <v>14</v>
      </c>
      <c r="C1888" s="233">
        <v>14</v>
      </c>
      <c r="D1888" s="234">
        <v>2</v>
      </c>
      <c r="E1888" s="234">
        <v>1</v>
      </c>
      <c r="G1888" s="508" t="s">
        <v>47</v>
      </c>
      <c r="H1888" s="493" t="s">
        <v>1238</v>
      </c>
      <c r="I1888" s="460" t="s">
        <v>5184</v>
      </c>
      <c r="J1888" s="495" t="s">
        <v>529</v>
      </c>
      <c r="K1888" s="496" t="s">
        <v>641</v>
      </c>
      <c r="L1888" s="497" t="e">
        <v>#REF!</v>
      </c>
      <c r="M1888" s="497">
        <v>849.15470000000005</v>
      </c>
      <c r="N1888" s="464"/>
      <c r="O1888" s="498"/>
      <c r="P1888" s="431" t="s">
        <v>6711</v>
      </c>
    </row>
    <row r="1889" spans="1:16" ht="13.5" hidden="1" customHeight="1" outlineLevel="2" x14ac:dyDescent="0.2">
      <c r="A1889" s="233">
        <v>0</v>
      </c>
      <c r="B1889" s="233">
        <v>14</v>
      </c>
      <c r="C1889" s="233">
        <v>14</v>
      </c>
      <c r="D1889" s="234">
        <v>3</v>
      </c>
      <c r="E1889" s="234">
        <v>0</v>
      </c>
      <c r="G1889" s="507"/>
      <c r="H1889" s="487" t="s">
        <v>1237</v>
      </c>
      <c r="I1889" s="452" t="s">
        <v>5185</v>
      </c>
      <c r="J1889" s="489" t="s">
        <v>1262</v>
      </c>
      <c r="K1889" s="490"/>
      <c r="L1889" s="491"/>
      <c r="M1889" s="491"/>
      <c r="N1889" s="456"/>
      <c r="O1889" s="492"/>
      <c r="P1889" s="430"/>
    </row>
    <row r="1890" spans="1:16" ht="13.5" hidden="1" customHeight="1" outlineLevel="3" x14ac:dyDescent="0.2">
      <c r="A1890" s="233">
        <v>0</v>
      </c>
      <c r="B1890" s="233">
        <v>14</v>
      </c>
      <c r="C1890" s="233">
        <v>14</v>
      </c>
      <c r="D1890" s="234">
        <v>3</v>
      </c>
      <c r="E1890" s="234">
        <v>1</v>
      </c>
      <c r="G1890" s="508" t="s">
        <v>45</v>
      </c>
      <c r="H1890" s="493" t="s">
        <v>1238</v>
      </c>
      <c r="I1890" s="460" t="s">
        <v>5186</v>
      </c>
      <c r="J1890" s="495" t="s">
        <v>541</v>
      </c>
      <c r="K1890" s="496" t="s">
        <v>641</v>
      </c>
      <c r="L1890" s="497" t="e">
        <v>#REF!</v>
      </c>
      <c r="M1890" s="497">
        <v>42</v>
      </c>
      <c r="N1890" s="464"/>
      <c r="O1890" s="498"/>
      <c r="P1890" s="431" t="s">
        <v>6711</v>
      </c>
    </row>
    <row r="1891" spans="1:16" ht="13.5" hidden="1" customHeight="1" outlineLevel="3" x14ac:dyDescent="0.2">
      <c r="A1891" s="233">
        <v>0</v>
      </c>
      <c r="B1891" s="233">
        <v>14</v>
      </c>
      <c r="C1891" s="233">
        <v>14</v>
      </c>
      <c r="D1891" s="234">
        <v>3</v>
      </c>
      <c r="E1891" s="234">
        <v>2</v>
      </c>
      <c r="G1891" s="508" t="s">
        <v>47</v>
      </c>
      <c r="H1891" s="493" t="s">
        <v>1238</v>
      </c>
      <c r="I1891" s="460" t="s">
        <v>5187</v>
      </c>
      <c r="J1891" s="495" t="s">
        <v>546</v>
      </c>
      <c r="K1891" s="496" t="s">
        <v>641</v>
      </c>
      <c r="L1891" s="497" t="e">
        <v>#REF!</v>
      </c>
      <c r="M1891" s="497">
        <v>50</v>
      </c>
      <c r="N1891" s="464"/>
      <c r="O1891" s="498"/>
      <c r="P1891" s="431" t="s">
        <v>6711</v>
      </c>
    </row>
    <row r="1892" spans="1:16" ht="13.5" hidden="1" customHeight="1" outlineLevel="1" x14ac:dyDescent="0.2">
      <c r="A1892" s="233">
        <v>0</v>
      </c>
      <c r="B1892" s="233">
        <v>14</v>
      </c>
      <c r="C1892" s="233">
        <v>15</v>
      </c>
      <c r="D1892" s="234">
        <v>0</v>
      </c>
      <c r="E1892" s="234">
        <v>2</v>
      </c>
      <c r="G1892" s="506"/>
      <c r="H1892" s="481" t="s">
        <v>38</v>
      </c>
      <c r="I1892" s="445" t="s">
        <v>5188</v>
      </c>
      <c r="J1892" s="483" t="s">
        <v>2439</v>
      </c>
      <c r="K1892" s="484"/>
      <c r="L1892" s="485"/>
      <c r="M1892" s="485"/>
      <c r="N1892" s="449"/>
      <c r="O1892" s="486"/>
      <c r="P1892" s="429"/>
    </row>
    <row r="1893" spans="1:16" ht="13.5" hidden="1" customHeight="1" outlineLevel="2" x14ac:dyDescent="0.2">
      <c r="A1893" s="233">
        <v>0</v>
      </c>
      <c r="B1893" s="233">
        <v>14</v>
      </c>
      <c r="C1893" s="233">
        <v>15</v>
      </c>
      <c r="D1893" s="234">
        <v>1</v>
      </c>
      <c r="E1893" s="234">
        <v>0</v>
      </c>
      <c r="G1893" s="507"/>
      <c r="H1893" s="487" t="s">
        <v>1237</v>
      </c>
      <c r="I1893" s="452" t="s">
        <v>5189</v>
      </c>
      <c r="J1893" s="489" t="s">
        <v>2273</v>
      </c>
      <c r="K1893" s="490"/>
      <c r="L1893" s="491"/>
      <c r="M1893" s="491"/>
      <c r="N1893" s="456"/>
      <c r="O1893" s="492"/>
      <c r="P1893" s="430"/>
    </row>
    <row r="1894" spans="1:16" ht="13.5" hidden="1" customHeight="1" outlineLevel="3" x14ac:dyDescent="0.2">
      <c r="A1894" s="233">
        <v>0</v>
      </c>
      <c r="B1894" s="233">
        <v>14</v>
      </c>
      <c r="C1894" s="233">
        <v>15</v>
      </c>
      <c r="D1894" s="234">
        <v>1</v>
      </c>
      <c r="E1894" s="234">
        <v>1</v>
      </c>
      <c r="G1894" s="508" t="s">
        <v>47</v>
      </c>
      <c r="H1894" s="493" t="s">
        <v>1238</v>
      </c>
      <c r="I1894" s="460" t="s">
        <v>5190</v>
      </c>
      <c r="J1894" s="495" t="s">
        <v>529</v>
      </c>
      <c r="K1894" s="496" t="s">
        <v>641</v>
      </c>
      <c r="L1894" s="497" t="e">
        <v>#REF!</v>
      </c>
      <c r="M1894" s="497">
        <v>849.15470000000005</v>
      </c>
      <c r="N1894" s="464"/>
      <c r="O1894" s="498"/>
      <c r="P1894" s="431" t="s">
        <v>6711</v>
      </c>
    </row>
    <row r="1895" spans="1:16" ht="13.5" hidden="1" customHeight="1" outlineLevel="2" x14ac:dyDescent="0.2">
      <c r="A1895" s="233">
        <v>0</v>
      </c>
      <c r="B1895" s="233">
        <v>14</v>
      </c>
      <c r="C1895" s="233">
        <v>15</v>
      </c>
      <c r="D1895" s="234">
        <v>2</v>
      </c>
      <c r="E1895" s="234">
        <v>0</v>
      </c>
      <c r="G1895" s="507"/>
      <c r="H1895" s="487" t="s">
        <v>1237</v>
      </c>
      <c r="I1895" s="452" t="s">
        <v>5191</v>
      </c>
      <c r="J1895" s="489" t="s">
        <v>1262</v>
      </c>
      <c r="K1895" s="490"/>
      <c r="L1895" s="491"/>
      <c r="M1895" s="491"/>
      <c r="N1895" s="456"/>
      <c r="O1895" s="492"/>
      <c r="P1895" s="430"/>
    </row>
    <row r="1896" spans="1:16" ht="13.5" hidden="1" customHeight="1" outlineLevel="3" x14ac:dyDescent="0.2">
      <c r="A1896" s="233">
        <v>0</v>
      </c>
      <c r="B1896" s="233">
        <v>14</v>
      </c>
      <c r="C1896" s="233">
        <v>15</v>
      </c>
      <c r="D1896" s="234">
        <v>2</v>
      </c>
      <c r="E1896" s="234">
        <v>1</v>
      </c>
      <c r="G1896" s="508" t="s">
        <v>47</v>
      </c>
      <c r="H1896" s="493" t="s">
        <v>1238</v>
      </c>
      <c r="I1896" s="460" t="s">
        <v>5192</v>
      </c>
      <c r="J1896" s="495" t="s">
        <v>546</v>
      </c>
      <c r="K1896" s="496" t="s">
        <v>641</v>
      </c>
      <c r="L1896" s="497" t="e">
        <v>#REF!</v>
      </c>
      <c r="M1896" s="497">
        <v>50</v>
      </c>
      <c r="N1896" s="464"/>
      <c r="O1896" s="498"/>
      <c r="P1896" s="431" t="s">
        <v>6711</v>
      </c>
    </row>
    <row r="1897" spans="1:16" ht="13.5" customHeight="1" collapsed="1" x14ac:dyDescent="0.2">
      <c r="A1897" s="233">
        <v>0</v>
      </c>
      <c r="B1897" s="233">
        <v>15</v>
      </c>
      <c r="C1897" s="233">
        <v>0</v>
      </c>
      <c r="D1897" s="234">
        <v>2</v>
      </c>
      <c r="E1897" s="234">
        <v>1</v>
      </c>
      <c r="F1897" s="237"/>
      <c r="G1897" s="504"/>
      <c r="H1897" s="476" t="s">
        <v>1236</v>
      </c>
      <c r="I1897" s="438" t="s">
        <v>5193</v>
      </c>
      <c r="J1897" s="505" t="s">
        <v>2274</v>
      </c>
      <c r="K1897" s="478"/>
      <c r="L1897" s="479"/>
      <c r="M1897" s="479"/>
      <c r="N1897" s="442"/>
      <c r="O1897" s="480"/>
      <c r="P1897" s="428"/>
    </row>
    <row r="1898" spans="1:16" ht="13.5" hidden="1" customHeight="1" outlineLevel="1" x14ac:dyDescent="0.2">
      <c r="A1898" s="233">
        <v>0</v>
      </c>
      <c r="B1898" s="233">
        <v>15</v>
      </c>
      <c r="C1898" s="233">
        <v>1</v>
      </c>
      <c r="D1898" s="234">
        <v>0</v>
      </c>
      <c r="E1898" s="234">
        <v>1</v>
      </c>
      <c r="G1898" s="506"/>
      <c r="H1898" s="481" t="s">
        <v>38</v>
      </c>
      <c r="I1898" s="445" t="s">
        <v>5194</v>
      </c>
      <c r="J1898" s="483" t="s">
        <v>2440</v>
      </c>
      <c r="K1898" s="484"/>
      <c r="L1898" s="485"/>
      <c r="M1898" s="485"/>
      <c r="N1898" s="449"/>
      <c r="O1898" s="486"/>
      <c r="P1898" s="429"/>
    </row>
    <row r="1899" spans="1:16" ht="13.5" hidden="1" customHeight="1" outlineLevel="2" x14ac:dyDescent="0.2">
      <c r="A1899" s="233">
        <v>0</v>
      </c>
      <c r="B1899" s="233">
        <v>15</v>
      </c>
      <c r="C1899" s="233">
        <v>1</v>
      </c>
      <c r="D1899" s="234">
        <v>1</v>
      </c>
      <c r="E1899" s="234">
        <v>0</v>
      </c>
      <c r="G1899" s="507"/>
      <c r="H1899" s="487" t="s">
        <v>1237</v>
      </c>
      <c r="I1899" s="452" t="s">
        <v>5195</v>
      </c>
      <c r="J1899" s="489" t="s">
        <v>2276</v>
      </c>
      <c r="K1899" s="490"/>
      <c r="L1899" s="491"/>
      <c r="M1899" s="491"/>
      <c r="N1899" s="456"/>
      <c r="O1899" s="492"/>
      <c r="P1899" s="430"/>
    </row>
    <row r="1900" spans="1:16" ht="13.5" hidden="1" customHeight="1" outlineLevel="3" x14ac:dyDescent="0.2">
      <c r="A1900" s="233">
        <v>0</v>
      </c>
      <c r="B1900" s="233">
        <v>15</v>
      </c>
      <c r="C1900" s="233">
        <v>1</v>
      </c>
      <c r="D1900" s="234">
        <v>1</v>
      </c>
      <c r="E1900" s="234">
        <v>1</v>
      </c>
      <c r="G1900" s="508" t="s">
        <v>46</v>
      </c>
      <c r="H1900" s="493" t="s">
        <v>1238</v>
      </c>
      <c r="I1900" s="460" t="s">
        <v>5196</v>
      </c>
      <c r="J1900" s="495" t="s">
        <v>1786</v>
      </c>
      <c r="K1900" s="496" t="s">
        <v>641</v>
      </c>
      <c r="L1900" s="497" t="e">
        <v>#REF!</v>
      </c>
      <c r="M1900" s="497">
        <v>10.11778</v>
      </c>
      <c r="N1900" s="464"/>
      <c r="O1900" s="498"/>
      <c r="P1900" s="431" t="s">
        <v>6711</v>
      </c>
    </row>
    <row r="1901" spans="1:16" ht="13.5" hidden="1" customHeight="1" outlineLevel="3" x14ac:dyDescent="0.2">
      <c r="A1901" s="233">
        <v>0</v>
      </c>
      <c r="B1901" s="233">
        <v>15</v>
      </c>
      <c r="C1901" s="233">
        <v>1</v>
      </c>
      <c r="D1901" s="234">
        <v>1</v>
      </c>
      <c r="E1901" s="234">
        <v>2</v>
      </c>
      <c r="G1901" s="508" t="s">
        <v>46</v>
      </c>
      <c r="H1901" s="493" t="s">
        <v>1238</v>
      </c>
      <c r="I1901" s="460" t="s">
        <v>5197</v>
      </c>
      <c r="J1901" s="495" t="s">
        <v>1424</v>
      </c>
      <c r="K1901" s="496" t="s">
        <v>641</v>
      </c>
      <c r="L1901" s="497" t="e">
        <v>#REF!</v>
      </c>
      <c r="M1901" s="497">
        <v>10.893750000000001</v>
      </c>
      <c r="N1901" s="464"/>
      <c r="O1901" s="498"/>
      <c r="P1901" s="431" t="s">
        <v>6711</v>
      </c>
    </row>
    <row r="1902" spans="1:16" ht="13.5" hidden="1" customHeight="1" outlineLevel="2" x14ac:dyDescent="0.2">
      <c r="A1902" s="233">
        <v>0</v>
      </c>
      <c r="B1902" s="233">
        <v>15</v>
      </c>
      <c r="C1902" s="233">
        <v>1</v>
      </c>
      <c r="D1902" s="234">
        <v>2</v>
      </c>
      <c r="E1902" s="234">
        <v>0</v>
      </c>
      <c r="G1902" s="507"/>
      <c r="H1902" s="487" t="s">
        <v>1237</v>
      </c>
      <c r="I1902" s="452" t="s">
        <v>5198</v>
      </c>
      <c r="J1902" s="489" t="s">
        <v>2275</v>
      </c>
      <c r="K1902" s="490"/>
      <c r="L1902" s="491"/>
      <c r="M1902" s="491"/>
      <c r="N1902" s="456"/>
      <c r="O1902" s="492"/>
      <c r="P1902" s="430"/>
    </row>
    <row r="1903" spans="1:16" ht="12.75" hidden="1" outlineLevel="3" x14ac:dyDescent="0.2">
      <c r="A1903" s="233">
        <v>0</v>
      </c>
      <c r="B1903" s="233">
        <v>15</v>
      </c>
      <c r="C1903" s="233">
        <v>1</v>
      </c>
      <c r="D1903" s="234">
        <v>2</v>
      </c>
      <c r="E1903" s="234">
        <v>1</v>
      </c>
      <c r="G1903" s="508" t="s">
        <v>49</v>
      </c>
      <c r="H1903" s="493" t="s">
        <v>1238</v>
      </c>
      <c r="I1903" s="460" t="s">
        <v>5199</v>
      </c>
      <c r="J1903" s="495" t="s">
        <v>563</v>
      </c>
      <c r="K1903" s="496" t="s">
        <v>641</v>
      </c>
      <c r="L1903" s="497" t="e">
        <v>#REF!</v>
      </c>
      <c r="M1903" s="497">
        <v>137.29</v>
      </c>
      <c r="N1903" s="464"/>
      <c r="O1903" s="498"/>
      <c r="P1903" s="431" t="s">
        <v>6711</v>
      </c>
    </row>
    <row r="1904" spans="1:16" ht="13.5" hidden="1" customHeight="1" outlineLevel="3" x14ac:dyDescent="0.2">
      <c r="A1904" s="233">
        <v>0</v>
      </c>
      <c r="B1904" s="233">
        <v>15</v>
      </c>
      <c r="C1904" s="233">
        <v>1</v>
      </c>
      <c r="D1904" s="234">
        <v>2</v>
      </c>
      <c r="E1904" s="234">
        <v>2</v>
      </c>
      <c r="G1904" s="508" t="s">
        <v>49</v>
      </c>
      <c r="H1904" s="493" t="s">
        <v>1238</v>
      </c>
      <c r="I1904" s="460" t="s">
        <v>5200</v>
      </c>
      <c r="J1904" s="495" t="s">
        <v>565</v>
      </c>
      <c r="K1904" s="496" t="s">
        <v>641</v>
      </c>
      <c r="L1904" s="497" t="e">
        <v>#REF!</v>
      </c>
      <c r="M1904" s="497">
        <v>164.74799999999999</v>
      </c>
      <c r="N1904" s="464"/>
      <c r="O1904" s="498"/>
      <c r="P1904" s="431" t="s">
        <v>6711</v>
      </c>
    </row>
    <row r="1905" spans="1:16" ht="13.5" hidden="1" customHeight="1" outlineLevel="3" x14ac:dyDescent="0.2">
      <c r="A1905" s="233">
        <v>0</v>
      </c>
      <c r="B1905" s="233">
        <v>15</v>
      </c>
      <c r="C1905" s="233">
        <v>1</v>
      </c>
      <c r="D1905" s="234">
        <v>2</v>
      </c>
      <c r="E1905" s="234">
        <v>3</v>
      </c>
      <c r="G1905" s="508" t="s">
        <v>49</v>
      </c>
      <c r="H1905" s="493" t="s">
        <v>1238</v>
      </c>
      <c r="I1905" s="460" t="s">
        <v>5201</v>
      </c>
      <c r="J1905" s="495" t="s">
        <v>566</v>
      </c>
      <c r="K1905" s="496" t="s">
        <v>787</v>
      </c>
      <c r="L1905" s="497" t="e">
        <v>#REF!</v>
      </c>
      <c r="M1905" s="497">
        <v>49.424399999999999</v>
      </c>
      <c r="N1905" s="464"/>
      <c r="O1905" s="498"/>
      <c r="P1905" s="431" t="s">
        <v>6711</v>
      </c>
    </row>
    <row r="1906" spans="1:16" ht="13.5" hidden="1" customHeight="1" outlineLevel="3" x14ac:dyDescent="0.2">
      <c r="A1906" s="233">
        <v>0</v>
      </c>
      <c r="B1906" s="233">
        <v>15</v>
      </c>
      <c r="C1906" s="233">
        <v>1</v>
      </c>
      <c r="D1906" s="234">
        <v>2</v>
      </c>
      <c r="E1906" s="234">
        <v>4</v>
      </c>
      <c r="G1906" s="508" t="s">
        <v>49</v>
      </c>
      <c r="H1906" s="493" t="s">
        <v>1238</v>
      </c>
      <c r="I1906" s="460" t="s">
        <v>5202</v>
      </c>
      <c r="J1906" s="495" t="s">
        <v>564</v>
      </c>
      <c r="K1906" s="496" t="s">
        <v>787</v>
      </c>
      <c r="L1906" s="497" t="e">
        <v>#REF!</v>
      </c>
      <c r="M1906" s="497">
        <v>49.424399999999999</v>
      </c>
      <c r="N1906" s="464"/>
      <c r="O1906" s="498"/>
      <c r="P1906" s="431" t="s">
        <v>6711</v>
      </c>
    </row>
    <row r="1907" spans="1:16" ht="13.5" hidden="1" customHeight="1" outlineLevel="2" x14ac:dyDescent="0.2">
      <c r="A1907" s="233">
        <v>0</v>
      </c>
      <c r="B1907" s="233">
        <v>15</v>
      </c>
      <c r="C1907" s="233">
        <v>1</v>
      </c>
      <c r="D1907" s="234">
        <v>3</v>
      </c>
      <c r="E1907" s="234">
        <v>0</v>
      </c>
      <c r="G1907" s="507"/>
      <c r="H1907" s="487" t="s">
        <v>1237</v>
      </c>
      <c r="I1907" s="452" t="s">
        <v>5203</v>
      </c>
      <c r="J1907" s="489" t="s">
        <v>2469</v>
      </c>
      <c r="K1907" s="490"/>
      <c r="L1907" s="491"/>
      <c r="M1907" s="491"/>
      <c r="N1907" s="456"/>
      <c r="O1907" s="492"/>
      <c r="P1907" s="430"/>
    </row>
    <row r="1908" spans="1:16" ht="13.5" hidden="1" customHeight="1" outlineLevel="3" x14ac:dyDescent="0.2">
      <c r="A1908" s="233">
        <v>0</v>
      </c>
      <c r="B1908" s="233">
        <v>15</v>
      </c>
      <c r="C1908" s="233">
        <v>1</v>
      </c>
      <c r="D1908" s="234">
        <v>3</v>
      </c>
      <c r="E1908" s="234">
        <v>1</v>
      </c>
      <c r="G1908" s="508" t="s">
        <v>49</v>
      </c>
      <c r="H1908" s="493" t="s">
        <v>1238</v>
      </c>
      <c r="I1908" s="460" t="s">
        <v>5204</v>
      </c>
      <c r="J1908" s="495" t="s">
        <v>2489</v>
      </c>
      <c r="K1908" s="496" t="s">
        <v>641</v>
      </c>
      <c r="L1908" s="497" t="e">
        <v>#REF!</v>
      </c>
      <c r="M1908" s="497">
        <v>78.582000000000008</v>
      </c>
      <c r="N1908" s="464"/>
      <c r="O1908" s="498" t="s">
        <v>2374</v>
      </c>
      <c r="P1908" s="431" t="s">
        <v>6711</v>
      </c>
    </row>
    <row r="1909" spans="1:16" ht="13.5" hidden="1" customHeight="1" outlineLevel="3" x14ac:dyDescent="0.2">
      <c r="A1909" s="233">
        <v>0</v>
      </c>
      <c r="B1909" s="233">
        <v>15</v>
      </c>
      <c r="C1909" s="233">
        <v>1</v>
      </c>
      <c r="D1909" s="234">
        <v>3</v>
      </c>
      <c r="E1909" s="234">
        <v>2</v>
      </c>
      <c r="G1909" s="508" t="s">
        <v>49</v>
      </c>
      <c r="H1909" s="493" t="s">
        <v>1238</v>
      </c>
      <c r="I1909" s="460" t="s">
        <v>5205</v>
      </c>
      <c r="J1909" s="461" t="s">
        <v>2488</v>
      </c>
      <c r="K1909" s="496" t="s">
        <v>641</v>
      </c>
      <c r="L1909" s="497" t="e">
        <v>#REF!</v>
      </c>
      <c r="M1909" s="497">
        <v>61.838600000000007</v>
      </c>
      <c r="N1909" s="464"/>
      <c r="O1909" s="498" t="s">
        <v>2375</v>
      </c>
      <c r="P1909" s="431" t="s">
        <v>6711</v>
      </c>
    </row>
    <row r="1910" spans="1:16" ht="13.5" hidden="1" customHeight="1" outlineLevel="2" x14ac:dyDescent="0.2">
      <c r="A1910" s="233">
        <v>0</v>
      </c>
      <c r="B1910" s="233">
        <v>15</v>
      </c>
      <c r="C1910" s="233">
        <v>1</v>
      </c>
      <c r="D1910" s="234">
        <v>4</v>
      </c>
      <c r="E1910" s="234">
        <v>0</v>
      </c>
      <c r="G1910" s="507"/>
      <c r="H1910" s="487" t="s">
        <v>1237</v>
      </c>
      <c r="I1910" s="452" t="s">
        <v>5206</v>
      </c>
      <c r="J1910" s="489" t="s">
        <v>14</v>
      </c>
      <c r="K1910" s="490"/>
      <c r="L1910" s="491"/>
      <c r="M1910" s="491"/>
      <c r="N1910" s="456"/>
      <c r="O1910" s="492"/>
      <c r="P1910" s="430"/>
    </row>
    <row r="1911" spans="1:16" ht="13.5" hidden="1" customHeight="1" outlineLevel="3" x14ac:dyDescent="0.2">
      <c r="A1911" s="233">
        <v>0</v>
      </c>
      <c r="B1911" s="233">
        <v>15</v>
      </c>
      <c r="C1911" s="233">
        <v>1</v>
      </c>
      <c r="D1911" s="234">
        <v>4</v>
      </c>
      <c r="E1911" s="234">
        <v>1</v>
      </c>
      <c r="G1911" s="508" t="s">
        <v>46</v>
      </c>
      <c r="H1911" s="493" t="s">
        <v>1238</v>
      </c>
      <c r="I1911" s="460" t="s">
        <v>5207</v>
      </c>
      <c r="J1911" s="495" t="s">
        <v>1425</v>
      </c>
      <c r="K1911" s="496" t="s">
        <v>641</v>
      </c>
      <c r="L1911" s="497" t="e">
        <v>#REF!</v>
      </c>
      <c r="M1911" s="497">
        <v>40</v>
      </c>
      <c r="N1911" s="464"/>
      <c r="O1911" s="498"/>
      <c r="P1911" s="431" t="s">
        <v>6711</v>
      </c>
    </row>
    <row r="1912" spans="1:16" ht="13.5" hidden="1" customHeight="1" outlineLevel="1" x14ac:dyDescent="0.2">
      <c r="A1912" s="233">
        <v>0</v>
      </c>
      <c r="B1912" s="233">
        <v>15</v>
      </c>
      <c r="C1912" s="233">
        <v>2</v>
      </c>
      <c r="D1912" s="234">
        <v>0</v>
      </c>
      <c r="E1912" s="234">
        <v>1</v>
      </c>
      <c r="G1912" s="506"/>
      <c r="H1912" s="481" t="s">
        <v>38</v>
      </c>
      <c r="I1912" s="445" t="s">
        <v>5208</v>
      </c>
      <c r="J1912" s="483" t="s">
        <v>2491</v>
      </c>
      <c r="K1912" s="484"/>
      <c r="L1912" s="485"/>
      <c r="M1912" s="485"/>
      <c r="N1912" s="449"/>
      <c r="O1912" s="486"/>
      <c r="P1912" s="429"/>
    </row>
    <row r="1913" spans="1:16" ht="13.5" hidden="1" customHeight="1" outlineLevel="2" x14ac:dyDescent="0.2">
      <c r="A1913" s="233">
        <v>0</v>
      </c>
      <c r="B1913" s="233">
        <v>15</v>
      </c>
      <c r="C1913" s="233">
        <v>2</v>
      </c>
      <c r="D1913" s="234">
        <v>1</v>
      </c>
      <c r="E1913" s="234">
        <v>0</v>
      </c>
      <c r="G1913" s="507"/>
      <c r="H1913" s="487" t="s">
        <v>1237</v>
      </c>
      <c r="I1913" s="452" t="s">
        <v>5209</v>
      </c>
      <c r="J1913" s="489" t="s">
        <v>2276</v>
      </c>
      <c r="K1913" s="490"/>
      <c r="L1913" s="491"/>
      <c r="M1913" s="491"/>
      <c r="N1913" s="456"/>
      <c r="O1913" s="492"/>
      <c r="P1913" s="430"/>
    </row>
    <row r="1914" spans="1:16" ht="13.5" hidden="1" customHeight="1" outlineLevel="3" x14ac:dyDescent="0.2">
      <c r="A1914" s="233">
        <v>0</v>
      </c>
      <c r="B1914" s="233">
        <v>15</v>
      </c>
      <c r="C1914" s="233">
        <v>2</v>
      </c>
      <c r="D1914" s="234">
        <v>1</v>
      </c>
      <c r="E1914" s="234">
        <v>1</v>
      </c>
      <c r="G1914" s="508" t="s">
        <v>46</v>
      </c>
      <c r="H1914" s="493" t="s">
        <v>1238</v>
      </c>
      <c r="I1914" s="460" t="s">
        <v>5210</v>
      </c>
      <c r="J1914" s="495" t="s">
        <v>554</v>
      </c>
      <c r="K1914" s="496" t="s">
        <v>641</v>
      </c>
      <c r="L1914" s="497" t="e">
        <v>#REF!</v>
      </c>
      <c r="M1914" s="497">
        <v>5.1029166666666663</v>
      </c>
      <c r="N1914" s="464"/>
      <c r="O1914" s="498"/>
      <c r="P1914" s="431" t="s">
        <v>6711</v>
      </c>
    </row>
    <row r="1915" spans="1:16" ht="13.5" hidden="1" customHeight="1" outlineLevel="2" x14ac:dyDescent="0.2">
      <c r="A1915" s="233">
        <v>0</v>
      </c>
      <c r="B1915" s="233">
        <v>15</v>
      </c>
      <c r="C1915" s="233">
        <v>2</v>
      </c>
      <c r="D1915" s="234">
        <v>2</v>
      </c>
      <c r="E1915" s="234">
        <v>0</v>
      </c>
      <c r="G1915" s="507"/>
      <c r="H1915" s="487" t="s">
        <v>1237</v>
      </c>
      <c r="I1915" s="452" t="s">
        <v>5211</v>
      </c>
      <c r="J1915" s="489" t="s">
        <v>2275</v>
      </c>
      <c r="K1915" s="490"/>
      <c r="L1915" s="491"/>
      <c r="M1915" s="491"/>
      <c r="N1915" s="456"/>
      <c r="O1915" s="492"/>
      <c r="P1915" s="430"/>
    </row>
    <row r="1916" spans="1:16" ht="12.75" hidden="1" outlineLevel="3" x14ac:dyDescent="0.2">
      <c r="A1916" s="233">
        <v>0</v>
      </c>
      <c r="B1916" s="233">
        <v>15</v>
      </c>
      <c r="C1916" s="233">
        <v>2</v>
      </c>
      <c r="D1916" s="234">
        <v>2</v>
      </c>
      <c r="E1916" s="234">
        <v>1</v>
      </c>
      <c r="G1916" s="508" t="s">
        <v>49</v>
      </c>
      <c r="H1916" s="493" t="s">
        <v>1238</v>
      </c>
      <c r="I1916" s="460" t="s">
        <v>5212</v>
      </c>
      <c r="J1916" s="495" t="s">
        <v>563</v>
      </c>
      <c r="K1916" s="496" t="s">
        <v>641</v>
      </c>
      <c r="L1916" s="497" t="e">
        <v>#REF!</v>
      </c>
      <c r="M1916" s="497">
        <v>137.29</v>
      </c>
      <c r="N1916" s="464"/>
      <c r="O1916" s="498"/>
      <c r="P1916" s="431" t="s">
        <v>6711</v>
      </c>
    </row>
    <row r="1917" spans="1:16" ht="13.5" hidden="1" customHeight="1" outlineLevel="3" x14ac:dyDescent="0.2">
      <c r="A1917" s="233">
        <v>0</v>
      </c>
      <c r="B1917" s="233">
        <v>15</v>
      </c>
      <c r="C1917" s="233">
        <v>2</v>
      </c>
      <c r="D1917" s="234">
        <v>2</v>
      </c>
      <c r="E1917" s="234">
        <v>2</v>
      </c>
      <c r="G1917" s="508" t="s">
        <v>49</v>
      </c>
      <c r="H1917" s="493" t="s">
        <v>1238</v>
      </c>
      <c r="I1917" s="460" t="s">
        <v>5213</v>
      </c>
      <c r="J1917" s="495" t="s">
        <v>565</v>
      </c>
      <c r="K1917" s="496" t="s">
        <v>641</v>
      </c>
      <c r="L1917" s="497" t="e">
        <v>#REF!</v>
      </c>
      <c r="M1917" s="497">
        <v>164.74799999999999</v>
      </c>
      <c r="N1917" s="464"/>
      <c r="O1917" s="498"/>
      <c r="P1917" s="431" t="s">
        <v>6711</v>
      </c>
    </row>
    <row r="1918" spans="1:16" ht="13.5" hidden="1" customHeight="1" outlineLevel="3" x14ac:dyDescent="0.2">
      <c r="A1918" s="233">
        <v>0</v>
      </c>
      <c r="B1918" s="233">
        <v>15</v>
      </c>
      <c r="C1918" s="233">
        <v>2</v>
      </c>
      <c r="D1918" s="234">
        <v>2</v>
      </c>
      <c r="E1918" s="234">
        <v>3</v>
      </c>
      <c r="G1918" s="508" t="s">
        <v>49</v>
      </c>
      <c r="H1918" s="493" t="s">
        <v>1238</v>
      </c>
      <c r="I1918" s="460" t="s">
        <v>5214</v>
      </c>
      <c r="J1918" s="495" t="s">
        <v>566</v>
      </c>
      <c r="K1918" s="496" t="s">
        <v>787</v>
      </c>
      <c r="L1918" s="497" t="e">
        <v>#REF!</v>
      </c>
      <c r="M1918" s="497">
        <v>49.424399999999999</v>
      </c>
      <c r="N1918" s="464"/>
      <c r="O1918" s="498"/>
      <c r="P1918" s="431" t="s">
        <v>6711</v>
      </c>
    </row>
    <row r="1919" spans="1:16" ht="13.5" hidden="1" customHeight="1" outlineLevel="3" x14ac:dyDescent="0.2">
      <c r="A1919" s="233">
        <v>0</v>
      </c>
      <c r="B1919" s="233">
        <v>15</v>
      </c>
      <c r="C1919" s="233">
        <v>2</v>
      </c>
      <c r="D1919" s="234">
        <v>2</v>
      </c>
      <c r="E1919" s="234">
        <v>4</v>
      </c>
      <c r="G1919" s="508" t="s">
        <v>49</v>
      </c>
      <c r="H1919" s="493" t="s">
        <v>1238</v>
      </c>
      <c r="I1919" s="460" t="s">
        <v>5215</v>
      </c>
      <c r="J1919" s="495" t="s">
        <v>564</v>
      </c>
      <c r="K1919" s="496" t="s">
        <v>787</v>
      </c>
      <c r="L1919" s="497" t="e">
        <v>#REF!</v>
      </c>
      <c r="M1919" s="497">
        <v>49.424399999999999</v>
      </c>
      <c r="N1919" s="464"/>
      <c r="O1919" s="498"/>
      <c r="P1919" s="431" t="s">
        <v>6711</v>
      </c>
    </row>
    <row r="1920" spans="1:16" ht="13.5" hidden="1" customHeight="1" outlineLevel="3" x14ac:dyDescent="0.2">
      <c r="A1920" s="233">
        <v>0</v>
      </c>
      <c r="B1920" s="233">
        <v>15</v>
      </c>
      <c r="C1920" s="233">
        <v>2</v>
      </c>
      <c r="D1920" s="234">
        <v>2</v>
      </c>
      <c r="E1920" s="234">
        <v>5</v>
      </c>
      <c r="G1920" s="508" t="s">
        <v>49</v>
      </c>
      <c r="H1920" s="493" t="s">
        <v>1238</v>
      </c>
      <c r="I1920" s="460" t="s">
        <v>5216</v>
      </c>
      <c r="J1920" s="495" t="s">
        <v>561</v>
      </c>
      <c r="K1920" s="496" t="s">
        <v>641</v>
      </c>
      <c r="L1920" s="497" t="e">
        <v>#REF!</v>
      </c>
      <c r="M1920" s="497">
        <v>80.542132157776209</v>
      </c>
      <c r="N1920" s="464"/>
      <c r="O1920" s="498"/>
      <c r="P1920" s="431" t="s">
        <v>6711</v>
      </c>
    </row>
    <row r="1921" spans="1:16" ht="13.5" hidden="1" customHeight="1" outlineLevel="2" x14ac:dyDescent="0.2">
      <c r="A1921" s="233">
        <v>0</v>
      </c>
      <c r="B1921" s="233">
        <v>15</v>
      </c>
      <c r="C1921" s="233">
        <v>2</v>
      </c>
      <c r="D1921" s="234">
        <v>3</v>
      </c>
      <c r="E1921" s="234">
        <v>0</v>
      </c>
      <c r="G1921" s="507"/>
      <c r="H1921" s="487" t="s">
        <v>1237</v>
      </c>
      <c r="I1921" s="452" t="s">
        <v>5217</v>
      </c>
      <c r="J1921" s="489" t="s">
        <v>2469</v>
      </c>
      <c r="K1921" s="490"/>
      <c r="L1921" s="491"/>
      <c r="M1921" s="491"/>
      <c r="N1921" s="456"/>
      <c r="O1921" s="492"/>
      <c r="P1921" s="430"/>
    </row>
    <row r="1922" spans="1:16" ht="13.5" hidden="1" customHeight="1" outlineLevel="3" x14ac:dyDescent="0.2">
      <c r="A1922" s="233">
        <v>0</v>
      </c>
      <c r="B1922" s="233">
        <v>15</v>
      </c>
      <c r="C1922" s="233">
        <v>2</v>
      </c>
      <c r="D1922" s="234">
        <v>3</v>
      </c>
      <c r="E1922" s="234">
        <v>1</v>
      </c>
      <c r="G1922" s="508" t="s">
        <v>49</v>
      </c>
      <c r="H1922" s="493" t="s">
        <v>1238</v>
      </c>
      <c r="I1922" s="460" t="s">
        <v>5218</v>
      </c>
      <c r="J1922" s="495" t="s">
        <v>2477</v>
      </c>
      <c r="K1922" s="496" t="s">
        <v>641</v>
      </c>
      <c r="L1922" s="497" t="e">
        <v>#REF!</v>
      </c>
      <c r="M1922" s="497">
        <v>1080</v>
      </c>
      <c r="N1922" s="464"/>
      <c r="O1922" s="498" t="s">
        <v>2478</v>
      </c>
      <c r="P1922" s="431" t="s">
        <v>6711</v>
      </c>
    </row>
    <row r="1923" spans="1:16" ht="13.5" hidden="1" customHeight="1" outlineLevel="2" x14ac:dyDescent="0.2">
      <c r="A1923" s="233">
        <v>0</v>
      </c>
      <c r="B1923" s="233">
        <v>15</v>
      </c>
      <c r="C1923" s="233">
        <v>2</v>
      </c>
      <c r="D1923" s="234">
        <v>4</v>
      </c>
      <c r="E1923" s="234">
        <v>0</v>
      </c>
      <c r="G1923" s="507"/>
      <c r="H1923" s="487" t="s">
        <v>1237</v>
      </c>
      <c r="I1923" s="452" t="s">
        <v>5219</v>
      </c>
      <c r="J1923" s="489" t="s">
        <v>14</v>
      </c>
      <c r="K1923" s="490"/>
      <c r="L1923" s="491"/>
      <c r="M1923" s="491"/>
      <c r="N1923" s="456"/>
      <c r="O1923" s="492"/>
      <c r="P1923" s="430"/>
    </row>
    <row r="1924" spans="1:16" ht="13.5" hidden="1" customHeight="1" outlineLevel="3" x14ac:dyDescent="0.2">
      <c r="A1924" s="233">
        <v>0</v>
      </c>
      <c r="B1924" s="233">
        <v>15</v>
      </c>
      <c r="C1924" s="233">
        <v>2</v>
      </c>
      <c r="D1924" s="234">
        <v>4</v>
      </c>
      <c r="E1924" s="234">
        <v>1</v>
      </c>
      <c r="G1924" s="508" t="s">
        <v>46</v>
      </c>
      <c r="H1924" s="493" t="s">
        <v>1238</v>
      </c>
      <c r="I1924" s="460" t="s">
        <v>5220</v>
      </c>
      <c r="J1924" s="495" t="s">
        <v>574</v>
      </c>
      <c r="K1924" s="496" t="s">
        <v>641</v>
      </c>
      <c r="L1924" s="497" t="e">
        <v>#REF!</v>
      </c>
      <c r="M1924" s="497">
        <v>25</v>
      </c>
      <c r="N1924" s="464"/>
      <c r="O1924" s="498"/>
      <c r="P1924" s="431" t="s">
        <v>6711</v>
      </c>
    </row>
    <row r="1925" spans="1:16" ht="13.5" hidden="1" customHeight="1" outlineLevel="1" x14ac:dyDescent="0.2">
      <c r="A1925" s="233">
        <v>0</v>
      </c>
      <c r="B1925" s="233">
        <v>15</v>
      </c>
      <c r="C1925" s="233">
        <v>3</v>
      </c>
      <c r="D1925" s="234">
        <v>0</v>
      </c>
      <c r="E1925" s="234">
        <v>1</v>
      </c>
      <c r="G1925" s="506"/>
      <c r="H1925" s="481" t="s">
        <v>38</v>
      </c>
      <c r="I1925" s="445" t="s">
        <v>5221</v>
      </c>
      <c r="J1925" s="483" t="s">
        <v>2492</v>
      </c>
      <c r="K1925" s="484"/>
      <c r="L1925" s="485"/>
      <c r="M1925" s="485"/>
      <c r="N1925" s="449"/>
      <c r="O1925" s="486"/>
      <c r="P1925" s="429"/>
    </row>
    <row r="1926" spans="1:16" ht="13.5" hidden="1" customHeight="1" outlineLevel="2" x14ac:dyDescent="0.2">
      <c r="A1926" s="233">
        <v>0</v>
      </c>
      <c r="B1926" s="233">
        <v>15</v>
      </c>
      <c r="C1926" s="233">
        <v>3</v>
      </c>
      <c r="D1926" s="234">
        <v>1</v>
      </c>
      <c r="E1926" s="234">
        <v>0</v>
      </c>
      <c r="G1926" s="507"/>
      <c r="H1926" s="487" t="s">
        <v>1237</v>
      </c>
      <c r="I1926" s="452" t="s">
        <v>5222</v>
      </c>
      <c r="J1926" s="489" t="s">
        <v>2276</v>
      </c>
      <c r="K1926" s="490"/>
      <c r="L1926" s="491"/>
      <c r="M1926" s="491"/>
      <c r="N1926" s="456"/>
      <c r="O1926" s="492"/>
      <c r="P1926" s="430"/>
    </row>
    <row r="1927" spans="1:16" ht="13.5" hidden="1" customHeight="1" outlineLevel="3" x14ac:dyDescent="0.2">
      <c r="A1927" s="233">
        <v>0</v>
      </c>
      <c r="B1927" s="233">
        <v>15</v>
      </c>
      <c r="C1927" s="233">
        <v>3</v>
      </c>
      <c r="D1927" s="234">
        <v>1</v>
      </c>
      <c r="E1927" s="234">
        <v>1</v>
      </c>
      <c r="G1927" s="508" t="s">
        <v>46</v>
      </c>
      <c r="H1927" s="493" t="s">
        <v>1238</v>
      </c>
      <c r="I1927" s="460" t="s">
        <v>5223</v>
      </c>
      <c r="J1927" s="495" t="s">
        <v>554</v>
      </c>
      <c r="K1927" s="496" t="s">
        <v>641</v>
      </c>
      <c r="L1927" s="497" t="e">
        <v>#REF!</v>
      </c>
      <c r="M1927" s="497">
        <v>5.1029166666666663</v>
      </c>
      <c r="N1927" s="464"/>
      <c r="O1927" s="498"/>
      <c r="P1927" s="431" t="s">
        <v>6711</v>
      </c>
    </row>
    <row r="1928" spans="1:16" ht="13.5" hidden="1" customHeight="1" outlineLevel="2" x14ac:dyDescent="0.2">
      <c r="A1928" s="233">
        <v>0</v>
      </c>
      <c r="B1928" s="233">
        <v>15</v>
      </c>
      <c r="C1928" s="233">
        <v>3</v>
      </c>
      <c r="D1928" s="234">
        <v>2</v>
      </c>
      <c r="E1928" s="234">
        <v>0</v>
      </c>
      <c r="G1928" s="507"/>
      <c r="H1928" s="487" t="s">
        <v>1237</v>
      </c>
      <c r="I1928" s="452" t="s">
        <v>5224</v>
      </c>
      <c r="J1928" s="489" t="s">
        <v>2275</v>
      </c>
      <c r="K1928" s="490"/>
      <c r="L1928" s="491"/>
      <c r="M1928" s="491"/>
      <c r="N1928" s="456"/>
      <c r="O1928" s="492"/>
      <c r="P1928" s="430"/>
    </row>
    <row r="1929" spans="1:16" ht="12.75" hidden="1" outlineLevel="3" x14ac:dyDescent="0.2">
      <c r="A1929" s="233">
        <v>0</v>
      </c>
      <c r="B1929" s="233">
        <v>15</v>
      </c>
      <c r="C1929" s="233">
        <v>3</v>
      </c>
      <c r="D1929" s="234">
        <v>2</v>
      </c>
      <c r="E1929" s="234">
        <v>1</v>
      </c>
      <c r="G1929" s="508" t="s">
        <v>49</v>
      </c>
      <c r="H1929" s="493" t="s">
        <v>1238</v>
      </c>
      <c r="I1929" s="460" t="s">
        <v>5225</v>
      </c>
      <c r="J1929" s="495" t="s">
        <v>563</v>
      </c>
      <c r="K1929" s="496" t="s">
        <v>641</v>
      </c>
      <c r="L1929" s="497" t="e">
        <v>#REF!</v>
      </c>
      <c r="M1929" s="497">
        <v>137.29</v>
      </c>
      <c r="N1929" s="464"/>
      <c r="O1929" s="498"/>
      <c r="P1929" s="431" t="s">
        <v>6711</v>
      </c>
    </row>
    <row r="1930" spans="1:16" ht="13.5" hidden="1" customHeight="1" outlineLevel="3" x14ac:dyDescent="0.2">
      <c r="A1930" s="233">
        <v>0</v>
      </c>
      <c r="B1930" s="233">
        <v>15</v>
      </c>
      <c r="C1930" s="233">
        <v>3</v>
      </c>
      <c r="D1930" s="234">
        <v>2</v>
      </c>
      <c r="E1930" s="234">
        <v>2</v>
      </c>
      <c r="G1930" s="508" t="s">
        <v>49</v>
      </c>
      <c r="H1930" s="493" t="s">
        <v>1238</v>
      </c>
      <c r="I1930" s="460" t="s">
        <v>5226</v>
      </c>
      <c r="J1930" s="495" t="s">
        <v>564</v>
      </c>
      <c r="K1930" s="496" t="s">
        <v>787</v>
      </c>
      <c r="L1930" s="497" t="e">
        <v>#REF!</v>
      </c>
      <c r="M1930" s="497">
        <v>49.424399999999999</v>
      </c>
      <c r="N1930" s="464"/>
      <c r="O1930" s="498"/>
      <c r="P1930" s="431" t="s">
        <v>6711</v>
      </c>
    </row>
    <row r="1931" spans="1:16" ht="13.5" hidden="1" customHeight="1" outlineLevel="2" x14ac:dyDescent="0.2">
      <c r="A1931" s="233">
        <v>0</v>
      </c>
      <c r="B1931" s="233">
        <v>15</v>
      </c>
      <c r="C1931" s="233">
        <v>3</v>
      </c>
      <c r="D1931" s="234">
        <v>3</v>
      </c>
      <c r="E1931" s="234">
        <v>0</v>
      </c>
      <c r="G1931" s="507"/>
      <c r="H1931" s="487" t="s">
        <v>1237</v>
      </c>
      <c r="I1931" s="452" t="s">
        <v>5227</v>
      </c>
      <c r="J1931" s="489" t="s">
        <v>14</v>
      </c>
      <c r="K1931" s="490"/>
      <c r="L1931" s="491"/>
      <c r="M1931" s="491"/>
      <c r="N1931" s="456"/>
      <c r="O1931" s="492"/>
      <c r="P1931" s="430"/>
    </row>
    <row r="1932" spans="1:16" ht="13.5" hidden="1" customHeight="1" outlineLevel="3" x14ac:dyDescent="0.2">
      <c r="A1932" s="233">
        <v>0</v>
      </c>
      <c r="B1932" s="233">
        <v>15</v>
      </c>
      <c r="C1932" s="233">
        <v>3</v>
      </c>
      <c r="D1932" s="234">
        <v>3</v>
      </c>
      <c r="E1932" s="234">
        <v>1</v>
      </c>
      <c r="G1932" s="508" t="s">
        <v>46</v>
      </c>
      <c r="H1932" s="493" t="s">
        <v>1238</v>
      </c>
      <c r="I1932" s="460" t="s">
        <v>5228</v>
      </c>
      <c r="J1932" s="495" t="s">
        <v>574</v>
      </c>
      <c r="K1932" s="496" t="s">
        <v>641</v>
      </c>
      <c r="L1932" s="497" t="e">
        <v>#REF!</v>
      </c>
      <c r="M1932" s="497">
        <v>25</v>
      </c>
      <c r="N1932" s="464"/>
      <c r="O1932" s="498"/>
      <c r="P1932" s="431" t="s">
        <v>6711</v>
      </c>
    </row>
    <row r="1933" spans="1:16" ht="13.5" hidden="1" customHeight="1" outlineLevel="1" x14ac:dyDescent="0.2">
      <c r="A1933" s="233">
        <v>0</v>
      </c>
      <c r="B1933" s="233">
        <v>15</v>
      </c>
      <c r="C1933" s="233">
        <v>4</v>
      </c>
      <c r="D1933" s="234">
        <v>0</v>
      </c>
      <c r="E1933" s="234">
        <v>1</v>
      </c>
      <c r="G1933" s="506"/>
      <c r="H1933" s="481" t="s">
        <v>38</v>
      </c>
      <c r="I1933" s="445" t="s">
        <v>5229</v>
      </c>
      <c r="J1933" s="483" t="s">
        <v>2493</v>
      </c>
      <c r="K1933" s="484"/>
      <c r="L1933" s="485"/>
      <c r="M1933" s="485"/>
      <c r="N1933" s="449"/>
      <c r="O1933" s="486"/>
      <c r="P1933" s="429"/>
    </row>
    <row r="1934" spans="1:16" ht="13.5" hidden="1" customHeight="1" outlineLevel="2" x14ac:dyDescent="0.2">
      <c r="A1934" s="233">
        <v>0</v>
      </c>
      <c r="B1934" s="233">
        <v>15</v>
      </c>
      <c r="C1934" s="233">
        <v>4</v>
      </c>
      <c r="D1934" s="234">
        <v>1</v>
      </c>
      <c r="E1934" s="234">
        <v>0</v>
      </c>
      <c r="G1934" s="507"/>
      <c r="H1934" s="487" t="s">
        <v>1237</v>
      </c>
      <c r="I1934" s="452" t="s">
        <v>5230</v>
      </c>
      <c r="J1934" s="489" t="s">
        <v>2276</v>
      </c>
      <c r="K1934" s="490"/>
      <c r="L1934" s="491"/>
      <c r="M1934" s="491"/>
      <c r="N1934" s="456"/>
      <c r="O1934" s="492"/>
      <c r="P1934" s="430"/>
    </row>
    <row r="1935" spans="1:16" ht="13.5" hidden="1" customHeight="1" outlineLevel="3" x14ac:dyDescent="0.2">
      <c r="A1935" s="233">
        <v>0</v>
      </c>
      <c r="B1935" s="233">
        <v>15</v>
      </c>
      <c r="C1935" s="233">
        <v>4</v>
      </c>
      <c r="D1935" s="234">
        <v>1</v>
      </c>
      <c r="E1935" s="234">
        <v>1</v>
      </c>
      <c r="G1935" s="508" t="s">
        <v>46</v>
      </c>
      <c r="H1935" s="493" t="s">
        <v>1238</v>
      </c>
      <c r="I1935" s="460" t="s">
        <v>5231</v>
      </c>
      <c r="J1935" s="495" t="s">
        <v>554</v>
      </c>
      <c r="K1935" s="496" t="s">
        <v>641</v>
      </c>
      <c r="L1935" s="497" t="e">
        <v>#REF!</v>
      </c>
      <c r="M1935" s="497">
        <v>5.1029166666666663</v>
      </c>
      <c r="N1935" s="464"/>
      <c r="O1935" s="498"/>
      <c r="P1935" s="431" t="s">
        <v>6711</v>
      </c>
    </row>
    <row r="1936" spans="1:16" ht="13.5" hidden="1" customHeight="1" outlineLevel="2" x14ac:dyDescent="0.2">
      <c r="A1936" s="233">
        <v>0</v>
      </c>
      <c r="B1936" s="233">
        <v>15</v>
      </c>
      <c r="C1936" s="233">
        <v>4</v>
      </c>
      <c r="D1936" s="234">
        <v>2</v>
      </c>
      <c r="E1936" s="234">
        <v>0</v>
      </c>
      <c r="G1936" s="507"/>
      <c r="H1936" s="487" t="s">
        <v>1237</v>
      </c>
      <c r="I1936" s="452" t="s">
        <v>5232</v>
      </c>
      <c r="J1936" s="489" t="s">
        <v>14</v>
      </c>
      <c r="K1936" s="490"/>
      <c r="L1936" s="491"/>
      <c r="M1936" s="491"/>
      <c r="N1936" s="456"/>
      <c r="O1936" s="492"/>
      <c r="P1936" s="430"/>
    </row>
    <row r="1937" spans="1:16" ht="13.5" hidden="1" customHeight="1" outlineLevel="3" x14ac:dyDescent="0.2">
      <c r="A1937" s="233">
        <v>0</v>
      </c>
      <c r="B1937" s="233">
        <v>15</v>
      </c>
      <c r="C1937" s="233">
        <v>4</v>
      </c>
      <c r="D1937" s="234">
        <v>2</v>
      </c>
      <c r="E1937" s="234">
        <v>1</v>
      </c>
      <c r="G1937" s="508" t="s">
        <v>46</v>
      </c>
      <c r="H1937" s="493" t="s">
        <v>1238</v>
      </c>
      <c r="I1937" s="460" t="s">
        <v>5233</v>
      </c>
      <c r="J1937" s="495" t="s">
        <v>574</v>
      </c>
      <c r="K1937" s="496" t="s">
        <v>641</v>
      </c>
      <c r="L1937" s="497" t="e">
        <v>#REF!</v>
      </c>
      <c r="M1937" s="497">
        <v>25</v>
      </c>
      <c r="N1937" s="464"/>
      <c r="O1937" s="498"/>
      <c r="P1937" s="431" t="s">
        <v>6711</v>
      </c>
    </row>
    <row r="1938" spans="1:16" ht="13.5" hidden="1" customHeight="1" outlineLevel="1" x14ac:dyDescent="0.2">
      <c r="A1938" s="233">
        <v>0</v>
      </c>
      <c r="B1938" s="233">
        <v>15</v>
      </c>
      <c r="C1938" s="233">
        <v>5</v>
      </c>
      <c r="D1938" s="234">
        <v>0</v>
      </c>
      <c r="E1938" s="234">
        <v>1</v>
      </c>
      <c r="G1938" s="506"/>
      <c r="H1938" s="481" t="s">
        <v>38</v>
      </c>
      <c r="I1938" s="445" t="s">
        <v>5234</v>
      </c>
      <c r="J1938" s="483" t="s">
        <v>2494</v>
      </c>
      <c r="K1938" s="484"/>
      <c r="L1938" s="485"/>
      <c r="M1938" s="485"/>
      <c r="N1938" s="449"/>
      <c r="O1938" s="486"/>
      <c r="P1938" s="429"/>
    </row>
    <row r="1939" spans="1:16" ht="13.5" hidden="1" customHeight="1" outlineLevel="2" x14ac:dyDescent="0.2">
      <c r="A1939" s="233">
        <v>0</v>
      </c>
      <c r="B1939" s="233">
        <v>15</v>
      </c>
      <c r="C1939" s="233">
        <v>5</v>
      </c>
      <c r="D1939" s="234">
        <v>1</v>
      </c>
      <c r="E1939" s="234">
        <v>0</v>
      </c>
      <c r="G1939" s="507"/>
      <c r="H1939" s="487" t="s">
        <v>1237</v>
      </c>
      <c r="I1939" s="452" t="s">
        <v>5235</v>
      </c>
      <c r="J1939" s="489" t="s">
        <v>2276</v>
      </c>
      <c r="K1939" s="490"/>
      <c r="L1939" s="491"/>
      <c r="M1939" s="491"/>
      <c r="N1939" s="456"/>
      <c r="O1939" s="492"/>
      <c r="P1939" s="430"/>
    </row>
    <row r="1940" spans="1:16" ht="13.5" hidden="1" customHeight="1" outlineLevel="3" x14ac:dyDescent="0.2">
      <c r="A1940" s="233">
        <v>0</v>
      </c>
      <c r="B1940" s="233">
        <v>15</v>
      </c>
      <c r="C1940" s="233">
        <v>5</v>
      </c>
      <c r="D1940" s="234">
        <v>1</v>
      </c>
      <c r="E1940" s="234">
        <v>1</v>
      </c>
      <c r="G1940" s="508" t="s">
        <v>46</v>
      </c>
      <c r="H1940" s="493" t="s">
        <v>1238</v>
      </c>
      <c r="I1940" s="460" t="s">
        <v>5236</v>
      </c>
      <c r="J1940" s="495" t="s">
        <v>554</v>
      </c>
      <c r="K1940" s="496" t="s">
        <v>641</v>
      </c>
      <c r="L1940" s="497" t="e">
        <v>#REF!</v>
      </c>
      <c r="M1940" s="497">
        <v>5.1029166666666663</v>
      </c>
      <c r="N1940" s="464"/>
      <c r="O1940" s="498"/>
      <c r="P1940" s="431" t="s">
        <v>6711</v>
      </c>
    </row>
    <row r="1941" spans="1:16" ht="13.5" hidden="1" customHeight="1" outlineLevel="2" x14ac:dyDescent="0.2">
      <c r="A1941" s="233">
        <v>0</v>
      </c>
      <c r="B1941" s="233">
        <v>15</v>
      </c>
      <c r="C1941" s="233">
        <v>5</v>
      </c>
      <c r="D1941" s="234">
        <v>2</v>
      </c>
      <c r="E1941" s="234">
        <v>0</v>
      </c>
      <c r="G1941" s="507"/>
      <c r="H1941" s="487" t="s">
        <v>1237</v>
      </c>
      <c r="I1941" s="452" t="s">
        <v>5237</v>
      </c>
      <c r="J1941" s="489" t="s">
        <v>2275</v>
      </c>
      <c r="K1941" s="490"/>
      <c r="L1941" s="491"/>
      <c r="M1941" s="491"/>
      <c r="N1941" s="456"/>
      <c r="O1941" s="492"/>
      <c r="P1941" s="430"/>
    </row>
    <row r="1942" spans="1:16" ht="13.5" hidden="1" customHeight="1" outlineLevel="3" x14ac:dyDescent="0.2">
      <c r="A1942" s="233">
        <v>0</v>
      </c>
      <c r="B1942" s="233">
        <v>15</v>
      </c>
      <c r="C1942" s="233">
        <v>5</v>
      </c>
      <c r="D1942" s="234">
        <v>2</v>
      </c>
      <c r="E1942" s="234">
        <v>1</v>
      </c>
      <c r="G1942" s="508" t="s">
        <v>49</v>
      </c>
      <c r="H1942" s="493" t="s">
        <v>1238</v>
      </c>
      <c r="I1942" s="460" t="s">
        <v>5238</v>
      </c>
      <c r="J1942" s="495" t="s">
        <v>565</v>
      </c>
      <c r="K1942" s="496" t="s">
        <v>641</v>
      </c>
      <c r="L1942" s="497" t="e">
        <v>#REF!</v>
      </c>
      <c r="M1942" s="497">
        <v>164.74799999999999</v>
      </c>
      <c r="N1942" s="464"/>
      <c r="O1942" s="498"/>
      <c r="P1942" s="431" t="s">
        <v>6711</v>
      </c>
    </row>
    <row r="1943" spans="1:16" ht="13.5" hidden="1" customHeight="1" outlineLevel="3" x14ac:dyDescent="0.2">
      <c r="A1943" s="233">
        <v>0</v>
      </c>
      <c r="B1943" s="233">
        <v>15</v>
      </c>
      <c r="C1943" s="233">
        <v>5</v>
      </c>
      <c r="D1943" s="234">
        <v>2</v>
      </c>
      <c r="E1943" s="234">
        <v>2</v>
      </c>
      <c r="G1943" s="508" t="s">
        <v>49</v>
      </c>
      <c r="H1943" s="493" t="s">
        <v>1238</v>
      </c>
      <c r="I1943" s="460" t="s">
        <v>5239</v>
      </c>
      <c r="J1943" s="495" t="s">
        <v>566</v>
      </c>
      <c r="K1943" s="496" t="s">
        <v>787</v>
      </c>
      <c r="L1943" s="497" t="e">
        <v>#REF!</v>
      </c>
      <c r="M1943" s="497">
        <v>49.424399999999999</v>
      </c>
      <c r="N1943" s="464"/>
      <c r="O1943" s="498"/>
      <c r="P1943" s="431" t="s">
        <v>6711</v>
      </c>
    </row>
    <row r="1944" spans="1:16" ht="13.5" hidden="1" customHeight="1" outlineLevel="2" x14ac:dyDescent="0.2">
      <c r="A1944" s="233">
        <v>0</v>
      </c>
      <c r="B1944" s="233">
        <v>15</v>
      </c>
      <c r="C1944" s="233">
        <v>5</v>
      </c>
      <c r="D1944" s="234">
        <v>3</v>
      </c>
      <c r="E1944" s="234">
        <v>0</v>
      </c>
      <c r="G1944" s="507"/>
      <c r="H1944" s="487" t="s">
        <v>1237</v>
      </c>
      <c r="I1944" s="452" t="s">
        <v>5240</v>
      </c>
      <c r="J1944" s="489" t="s">
        <v>14</v>
      </c>
      <c r="K1944" s="490"/>
      <c r="L1944" s="491"/>
      <c r="M1944" s="491"/>
      <c r="N1944" s="456"/>
      <c r="O1944" s="492"/>
      <c r="P1944" s="430"/>
    </row>
    <row r="1945" spans="1:16" ht="13.5" hidden="1" customHeight="1" outlineLevel="3" x14ac:dyDescent="0.2">
      <c r="A1945" s="233">
        <v>0</v>
      </c>
      <c r="B1945" s="233">
        <v>15</v>
      </c>
      <c r="C1945" s="233">
        <v>5</v>
      </c>
      <c r="D1945" s="234">
        <v>3</v>
      </c>
      <c r="E1945" s="234">
        <v>1</v>
      </c>
      <c r="G1945" s="508" t="s">
        <v>46</v>
      </c>
      <c r="H1945" s="493" t="s">
        <v>1238</v>
      </c>
      <c r="I1945" s="460" t="s">
        <v>5241</v>
      </c>
      <c r="J1945" s="495" t="s">
        <v>574</v>
      </c>
      <c r="K1945" s="496" t="s">
        <v>641</v>
      </c>
      <c r="L1945" s="497" t="e">
        <v>#REF!</v>
      </c>
      <c r="M1945" s="497">
        <v>25</v>
      </c>
      <c r="N1945" s="464"/>
      <c r="O1945" s="498"/>
      <c r="P1945" s="431" t="s">
        <v>6711</v>
      </c>
    </row>
    <row r="1946" spans="1:16" ht="13.5" hidden="1" customHeight="1" outlineLevel="1" x14ac:dyDescent="0.2">
      <c r="A1946" s="233">
        <v>0</v>
      </c>
      <c r="B1946" s="233">
        <v>15</v>
      </c>
      <c r="C1946" s="233">
        <v>6</v>
      </c>
      <c r="D1946" s="234">
        <v>0</v>
      </c>
      <c r="E1946" s="234">
        <v>1</v>
      </c>
      <c r="G1946" s="506"/>
      <c r="H1946" s="481" t="s">
        <v>38</v>
      </c>
      <c r="I1946" s="445" t="s">
        <v>5242</v>
      </c>
      <c r="J1946" s="483" t="s">
        <v>2495</v>
      </c>
      <c r="K1946" s="484"/>
      <c r="L1946" s="485"/>
      <c r="M1946" s="485"/>
      <c r="N1946" s="449"/>
      <c r="O1946" s="486"/>
      <c r="P1946" s="429"/>
    </row>
    <row r="1947" spans="1:16" ht="13.5" hidden="1" customHeight="1" outlineLevel="2" x14ac:dyDescent="0.2">
      <c r="A1947" s="233">
        <v>0</v>
      </c>
      <c r="B1947" s="233">
        <v>15</v>
      </c>
      <c r="C1947" s="233">
        <v>6</v>
      </c>
      <c r="D1947" s="234">
        <v>1</v>
      </c>
      <c r="E1947" s="234">
        <v>0</v>
      </c>
      <c r="G1947" s="507"/>
      <c r="H1947" s="487" t="s">
        <v>1237</v>
      </c>
      <c r="I1947" s="452" t="s">
        <v>5243</v>
      </c>
      <c r="J1947" s="489" t="s">
        <v>2276</v>
      </c>
      <c r="K1947" s="490"/>
      <c r="L1947" s="491"/>
      <c r="M1947" s="491"/>
      <c r="N1947" s="456"/>
      <c r="O1947" s="492"/>
      <c r="P1947" s="430"/>
    </row>
    <row r="1948" spans="1:16" ht="13.5" hidden="1" customHeight="1" outlineLevel="3" x14ac:dyDescent="0.2">
      <c r="A1948" s="233">
        <v>0</v>
      </c>
      <c r="B1948" s="233">
        <v>15</v>
      </c>
      <c r="C1948" s="233">
        <v>6</v>
      </c>
      <c r="D1948" s="234">
        <v>1</v>
      </c>
      <c r="E1948" s="234">
        <v>1</v>
      </c>
      <c r="G1948" s="508" t="s">
        <v>46</v>
      </c>
      <c r="H1948" s="493" t="s">
        <v>1238</v>
      </c>
      <c r="I1948" s="460" t="s">
        <v>5244</v>
      </c>
      <c r="J1948" s="495" t="s">
        <v>554</v>
      </c>
      <c r="K1948" s="496" t="s">
        <v>641</v>
      </c>
      <c r="L1948" s="497" t="e">
        <v>#REF!</v>
      </c>
      <c r="M1948" s="497">
        <v>5.1029166666666663</v>
      </c>
      <c r="N1948" s="464"/>
      <c r="O1948" s="498"/>
      <c r="P1948" s="431" t="s">
        <v>6711</v>
      </c>
    </row>
    <row r="1949" spans="1:16" ht="13.5" hidden="1" customHeight="1" outlineLevel="2" x14ac:dyDescent="0.2">
      <c r="A1949" s="233">
        <v>0</v>
      </c>
      <c r="B1949" s="233">
        <v>15</v>
      </c>
      <c r="C1949" s="233">
        <v>6</v>
      </c>
      <c r="D1949" s="234">
        <v>2</v>
      </c>
      <c r="E1949" s="234">
        <v>0</v>
      </c>
      <c r="G1949" s="507"/>
      <c r="H1949" s="487" t="s">
        <v>1237</v>
      </c>
      <c r="I1949" s="452" t="s">
        <v>5245</v>
      </c>
      <c r="J1949" s="489" t="s">
        <v>2275</v>
      </c>
      <c r="K1949" s="490"/>
      <c r="L1949" s="491"/>
      <c r="M1949" s="491"/>
      <c r="N1949" s="456"/>
      <c r="O1949" s="492"/>
      <c r="P1949" s="430"/>
    </row>
    <row r="1950" spans="1:16" ht="12.75" hidden="1" outlineLevel="3" x14ac:dyDescent="0.2">
      <c r="A1950" s="233">
        <v>0</v>
      </c>
      <c r="B1950" s="233">
        <v>15</v>
      </c>
      <c r="C1950" s="233">
        <v>6</v>
      </c>
      <c r="D1950" s="234">
        <v>2</v>
      </c>
      <c r="E1950" s="234">
        <v>1</v>
      </c>
      <c r="G1950" s="508" t="s">
        <v>49</v>
      </c>
      <c r="H1950" s="493" t="s">
        <v>1238</v>
      </c>
      <c r="I1950" s="460" t="s">
        <v>5246</v>
      </c>
      <c r="J1950" s="495" t="s">
        <v>563</v>
      </c>
      <c r="K1950" s="496" t="s">
        <v>641</v>
      </c>
      <c r="L1950" s="497" t="e">
        <v>#REF!</v>
      </c>
      <c r="M1950" s="497">
        <v>137.29</v>
      </c>
      <c r="N1950" s="464"/>
      <c r="O1950" s="498"/>
      <c r="P1950" s="431" t="s">
        <v>6711</v>
      </c>
    </row>
    <row r="1951" spans="1:16" ht="13.5" hidden="1" customHeight="1" outlineLevel="3" x14ac:dyDescent="0.2">
      <c r="A1951" s="233">
        <v>0</v>
      </c>
      <c r="B1951" s="233">
        <v>15</v>
      </c>
      <c r="C1951" s="233">
        <v>6</v>
      </c>
      <c r="D1951" s="234">
        <v>2</v>
      </c>
      <c r="E1951" s="234">
        <v>2</v>
      </c>
      <c r="G1951" s="508" t="s">
        <v>49</v>
      </c>
      <c r="H1951" s="493" t="s">
        <v>1238</v>
      </c>
      <c r="I1951" s="460" t="s">
        <v>5247</v>
      </c>
      <c r="J1951" s="495" t="s">
        <v>564</v>
      </c>
      <c r="K1951" s="496" t="s">
        <v>787</v>
      </c>
      <c r="L1951" s="497" t="e">
        <v>#REF!</v>
      </c>
      <c r="M1951" s="497">
        <v>49.424399999999999</v>
      </c>
      <c r="N1951" s="464"/>
      <c r="O1951" s="498"/>
      <c r="P1951" s="431" t="s">
        <v>6711</v>
      </c>
    </row>
    <row r="1952" spans="1:16" ht="12.75" hidden="1" outlineLevel="3" x14ac:dyDescent="0.2">
      <c r="A1952" s="233">
        <v>0</v>
      </c>
      <c r="B1952" s="233">
        <v>15</v>
      </c>
      <c r="C1952" s="233">
        <v>6</v>
      </c>
      <c r="D1952" s="234">
        <v>2</v>
      </c>
      <c r="E1952" s="234">
        <v>3</v>
      </c>
      <c r="G1952" s="508" t="s">
        <v>49</v>
      </c>
      <c r="H1952" s="493" t="s">
        <v>1238</v>
      </c>
      <c r="I1952" s="460" t="s">
        <v>5248</v>
      </c>
      <c r="J1952" s="495" t="s">
        <v>2474</v>
      </c>
      <c r="K1952" s="496" t="s">
        <v>641</v>
      </c>
      <c r="L1952" s="497" t="e">
        <v>#REF!</v>
      </c>
      <c r="M1952" s="497">
        <v>233.393</v>
      </c>
      <c r="N1952" s="464"/>
      <c r="O1952" s="498"/>
      <c r="P1952" s="431" t="s">
        <v>6711</v>
      </c>
    </row>
    <row r="1953" spans="1:16" ht="13.5" hidden="1" customHeight="1" outlineLevel="2" x14ac:dyDescent="0.2">
      <c r="A1953" s="233">
        <v>0</v>
      </c>
      <c r="B1953" s="233">
        <v>15</v>
      </c>
      <c r="C1953" s="233">
        <v>6</v>
      </c>
      <c r="D1953" s="234">
        <v>3</v>
      </c>
      <c r="E1953" s="234">
        <v>0</v>
      </c>
      <c r="G1953" s="507"/>
      <c r="H1953" s="487" t="s">
        <v>1237</v>
      </c>
      <c r="I1953" s="452" t="s">
        <v>5249</v>
      </c>
      <c r="J1953" s="489" t="s">
        <v>14</v>
      </c>
      <c r="K1953" s="490"/>
      <c r="L1953" s="491"/>
      <c r="M1953" s="491"/>
      <c r="N1953" s="456"/>
      <c r="O1953" s="492"/>
      <c r="P1953" s="430"/>
    </row>
    <row r="1954" spans="1:16" ht="13.5" hidden="1" customHeight="1" outlineLevel="3" x14ac:dyDescent="0.2">
      <c r="A1954" s="233">
        <v>0</v>
      </c>
      <c r="B1954" s="233">
        <v>15</v>
      </c>
      <c r="C1954" s="233">
        <v>6</v>
      </c>
      <c r="D1954" s="234">
        <v>3</v>
      </c>
      <c r="E1954" s="234">
        <v>1</v>
      </c>
      <c r="G1954" s="508" t="s">
        <v>46</v>
      </c>
      <c r="H1954" s="493" t="s">
        <v>1238</v>
      </c>
      <c r="I1954" s="460" t="s">
        <v>5250</v>
      </c>
      <c r="J1954" s="495" t="s">
        <v>574</v>
      </c>
      <c r="K1954" s="496" t="s">
        <v>641</v>
      </c>
      <c r="L1954" s="497" t="e">
        <v>#REF!</v>
      </c>
      <c r="M1954" s="497">
        <v>25</v>
      </c>
      <c r="N1954" s="464"/>
      <c r="O1954" s="498"/>
      <c r="P1954" s="431" t="s">
        <v>6711</v>
      </c>
    </row>
    <row r="1955" spans="1:16" ht="13.5" hidden="1" customHeight="1" outlineLevel="1" x14ac:dyDescent="0.2">
      <c r="A1955" s="233">
        <v>0</v>
      </c>
      <c r="B1955" s="233">
        <v>15</v>
      </c>
      <c r="C1955" s="233">
        <v>7</v>
      </c>
      <c r="D1955" s="234">
        <v>0</v>
      </c>
      <c r="E1955" s="234">
        <v>1</v>
      </c>
      <c r="G1955" s="506"/>
      <c r="H1955" s="481" t="s">
        <v>38</v>
      </c>
      <c r="I1955" s="445" t="s">
        <v>5251</v>
      </c>
      <c r="J1955" s="483" t="s">
        <v>2496</v>
      </c>
      <c r="K1955" s="484"/>
      <c r="L1955" s="485"/>
      <c r="M1955" s="485"/>
      <c r="N1955" s="449"/>
      <c r="O1955" s="486"/>
      <c r="P1955" s="429"/>
    </row>
    <row r="1956" spans="1:16" ht="13.5" hidden="1" customHeight="1" outlineLevel="2" x14ac:dyDescent="0.2">
      <c r="A1956" s="233">
        <v>0</v>
      </c>
      <c r="B1956" s="233">
        <v>15</v>
      </c>
      <c r="C1956" s="233">
        <v>7</v>
      </c>
      <c r="D1956" s="234">
        <v>1</v>
      </c>
      <c r="E1956" s="234">
        <v>0</v>
      </c>
      <c r="G1956" s="507"/>
      <c r="H1956" s="487" t="s">
        <v>1237</v>
      </c>
      <c r="I1956" s="452" t="s">
        <v>5252</v>
      </c>
      <c r="J1956" s="489" t="s">
        <v>2276</v>
      </c>
      <c r="K1956" s="490"/>
      <c r="L1956" s="491"/>
      <c r="M1956" s="491"/>
      <c r="N1956" s="456"/>
      <c r="O1956" s="492"/>
      <c r="P1956" s="430"/>
    </row>
    <row r="1957" spans="1:16" ht="13.5" hidden="1" customHeight="1" outlineLevel="3" x14ac:dyDescent="0.2">
      <c r="A1957" s="233">
        <v>0</v>
      </c>
      <c r="B1957" s="233">
        <v>15</v>
      </c>
      <c r="C1957" s="233">
        <v>7</v>
      </c>
      <c r="D1957" s="234">
        <v>1</v>
      </c>
      <c r="E1957" s="234">
        <v>1</v>
      </c>
      <c r="G1957" s="508" t="s">
        <v>46</v>
      </c>
      <c r="H1957" s="493" t="s">
        <v>1238</v>
      </c>
      <c r="I1957" s="460" t="s">
        <v>5253</v>
      </c>
      <c r="J1957" s="495" t="s">
        <v>554</v>
      </c>
      <c r="K1957" s="496" t="s">
        <v>641</v>
      </c>
      <c r="L1957" s="497" t="e">
        <v>#REF!</v>
      </c>
      <c r="M1957" s="497">
        <v>5.1029166666666663</v>
      </c>
      <c r="N1957" s="464"/>
      <c r="O1957" s="498"/>
      <c r="P1957" s="431" t="s">
        <v>6711</v>
      </c>
    </row>
    <row r="1958" spans="1:16" ht="13.5" hidden="1" customHeight="1" outlineLevel="2" x14ac:dyDescent="0.2">
      <c r="A1958" s="233">
        <v>0</v>
      </c>
      <c r="B1958" s="233">
        <v>15</v>
      </c>
      <c r="C1958" s="233">
        <v>7</v>
      </c>
      <c r="D1958" s="234">
        <v>2</v>
      </c>
      <c r="E1958" s="234">
        <v>0</v>
      </c>
      <c r="G1958" s="507"/>
      <c r="H1958" s="487" t="s">
        <v>1237</v>
      </c>
      <c r="I1958" s="452" t="s">
        <v>5254</v>
      </c>
      <c r="J1958" s="489" t="s">
        <v>2275</v>
      </c>
      <c r="K1958" s="490"/>
      <c r="L1958" s="491"/>
      <c r="M1958" s="491"/>
      <c r="N1958" s="456"/>
      <c r="O1958" s="492"/>
      <c r="P1958" s="430"/>
    </row>
    <row r="1959" spans="1:16" ht="12.75" hidden="1" outlineLevel="3" x14ac:dyDescent="0.2">
      <c r="A1959" s="233">
        <v>0</v>
      </c>
      <c r="B1959" s="233">
        <v>15</v>
      </c>
      <c r="C1959" s="233">
        <v>7</v>
      </c>
      <c r="D1959" s="234">
        <v>2</v>
      </c>
      <c r="E1959" s="234">
        <v>1</v>
      </c>
      <c r="G1959" s="508" t="s">
        <v>49</v>
      </c>
      <c r="H1959" s="493" t="s">
        <v>1238</v>
      </c>
      <c r="I1959" s="460" t="s">
        <v>5255</v>
      </c>
      <c r="J1959" s="495" t="s">
        <v>563</v>
      </c>
      <c r="K1959" s="496" t="s">
        <v>641</v>
      </c>
      <c r="L1959" s="497" t="e">
        <v>#REF!</v>
      </c>
      <c r="M1959" s="497">
        <v>137.29</v>
      </c>
      <c r="N1959" s="464"/>
      <c r="O1959" s="498"/>
      <c r="P1959" s="431" t="s">
        <v>6711</v>
      </c>
    </row>
    <row r="1960" spans="1:16" ht="13.5" hidden="1" customHeight="1" outlineLevel="3" x14ac:dyDescent="0.2">
      <c r="A1960" s="233">
        <v>0</v>
      </c>
      <c r="B1960" s="233">
        <v>15</v>
      </c>
      <c r="C1960" s="233">
        <v>7</v>
      </c>
      <c r="D1960" s="234">
        <v>2</v>
      </c>
      <c r="E1960" s="234">
        <v>2</v>
      </c>
      <c r="G1960" s="508" t="s">
        <v>49</v>
      </c>
      <c r="H1960" s="493" t="s">
        <v>1238</v>
      </c>
      <c r="I1960" s="460" t="s">
        <v>5256</v>
      </c>
      <c r="J1960" s="495" t="s">
        <v>565</v>
      </c>
      <c r="K1960" s="496" t="s">
        <v>641</v>
      </c>
      <c r="L1960" s="497" t="e">
        <v>#REF!</v>
      </c>
      <c r="M1960" s="497">
        <v>164.74799999999999</v>
      </c>
      <c r="N1960" s="464"/>
      <c r="O1960" s="498"/>
      <c r="P1960" s="431" t="s">
        <v>6711</v>
      </c>
    </row>
    <row r="1961" spans="1:16" ht="13.5" hidden="1" customHeight="1" outlineLevel="3" x14ac:dyDescent="0.2">
      <c r="A1961" s="233">
        <v>0</v>
      </c>
      <c r="B1961" s="233">
        <v>15</v>
      </c>
      <c r="C1961" s="233">
        <v>7</v>
      </c>
      <c r="D1961" s="234">
        <v>2</v>
      </c>
      <c r="E1961" s="234">
        <v>3</v>
      </c>
      <c r="G1961" s="508" t="s">
        <v>49</v>
      </c>
      <c r="H1961" s="493" t="s">
        <v>1238</v>
      </c>
      <c r="I1961" s="460" t="s">
        <v>5257</v>
      </c>
      <c r="J1961" s="495" t="s">
        <v>566</v>
      </c>
      <c r="K1961" s="496" t="s">
        <v>787</v>
      </c>
      <c r="L1961" s="497" t="e">
        <v>#REF!</v>
      </c>
      <c r="M1961" s="497">
        <v>49.424399999999999</v>
      </c>
      <c r="N1961" s="464"/>
      <c r="O1961" s="498"/>
      <c r="P1961" s="431" t="s">
        <v>6711</v>
      </c>
    </row>
    <row r="1962" spans="1:16" ht="13.5" hidden="1" customHeight="1" outlineLevel="3" x14ac:dyDescent="0.2">
      <c r="A1962" s="233">
        <v>0</v>
      </c>
      <c r="B1962" s="233">
        <v>15</v>
      </c>
      <c r="C1962" s="233">
        <v>7</v>
      </c>
      <c r="D1962" s="234">
        <v>2</v>
      </c>
      <c r="E1962" s="234">
        <v>4</v>
      </c>
      <c r="G1962" s="508" t="s">
        <v>49</v>
      </c>
      <c r="H1962" s="493" t="s">
        <v>1238</v>
      </c>
      <c r="I1962" s="460" t="s">
        <v>5258</v>
      </c>
      <c r="J1962" s="495" t="s">
        <v>561</v>
      </c>
      <c r="K1962" s="496" t="s">
        <v>641</v>
      </c>
      <c r="L1962" s="497" t="e">
        <v>#REF!</v>
      </c>
      <c r="M1962" s="497">
        <v>80.542132157776209</v>
      </c>
      <c r="N1962" s="464"/>
      <c r="O1962" s="498"/>
      <c r="P1962" s="431" t="s">
        <v>6711</v>
      </c>
    </row>
    <row r="1963" spans="1:16" ht="12.75" hidden="1" outlineLevel="3" x14ac:dyDescent="0.2">
      <c r="A1963" s="233">
        <v>0</v>
      </c>
      <c r="B1963" s="233">
        <v>15</v>
      </c>
      <c r="C1963" s="233">
        <v>7</v>
      </c>
      <c r="D1963" s="234">
        <v>2</v>
      </c>
      <c r="E1963" s="234">
        <v>5</v>
      </c>
      <c r="G1963" s="508" t="s">
        <v>49</v>
      </c>
      <c r="H1963" s="493" t="s">
        <v>1238</v>
      </c>
      <c r="I1963" s="460" t="s">
        <v>5259</v>
      </c>
      <c r="J1963" s="495" t="s">
        <v>2457</v>
      </c>
      <c r="K1963" s="496" t="s">
        <v>787</v>
      </c>
      <c r="L1963" s="497" t="e">
        <v>#REF!</v>
      </c>
      <c r="M1963" s="497">
        <v>343.22500000000002</v>
      </c>
      <c r="N1963" s="464"/>
      <c r="O1963" s="498" t="s">
        <v>2470</v>
      </c>
      <c r="P1963" s="431" t="s">
        <v>6711</v>
      </c>
    </row>
    <row r="1964" spans="1:16" ht="13.5" hidden="1" customHeight="1" outlineLevel="3" x14ac:dyDescent="0.2">
      <c r="A1964" s="233">
        <v>0</v>
      </c>
      <c r="B1964" s="233">
        <v>15</v>
      </c>
      <c r="C1964" s="233">
        <v>7</v>
      </c>
      <c r="D1964" s="234">
        <v>2</v>
      </c>
      <c r="E1964" s="234">
        <v>6</v>
      </c>
      <c r="G1964" s="508" t="s">
        <v>49</v>
      </c>
      <c r="H1964" s="493" t="s">
        <v>1238</v>
      </c>
      <c r="I1964" s="460" t="s">
        <v>5260</v>
      </c>
      <c r="J1964" s="495" t="s">
        <v>2465</v>
      </c>
      <c r="K1964" s="496" t="s">
        <v>787</v>
      </c>
      <c r="L1964" s="497" t="e">
        <v>#REF!</v>
      </c>
      <c r="M1964" s="497">
        <v>61.780500000000004</v>
      </c>
      <c r="N1964" s="464"/>
      <c r="O1964" s="498"/>
      <c r="P1964" s="431" t="s">
        <v>6711</v>
      </c>
    </row>
    <row r="1965" spans="1:16" ht="13.5" hidden="1" customHeight="1" outlineLevel="3" x14ac:dyDescent="0.2">
      <c r="A1965" s="233">
        <v>0</v>
      </c>
      <c r="B1965" s="233">
        <v>15</v>
      </c>
      <c r="C1965" s="233">
        <v>7</v>
      </c>
      <c r="D1965" s="234">
        <v>2</v>
      </c>
      <c r="E1965" s="234">
        <v>7</v>
      </c>
      <c r="G1965" s="508" t="s">
        <v>49</v>
      </c>
      <c r="H1965" s="493" t="s">
        <v>1238</v>
      </c>
      <c r="I1965" s="460" t="s">
        <v>5261</v>
      </c>
      <c r="J1965" s="495" t="s">
        <v>2463</v>
      </c>
      <c r="K1965" s="496" t="s">
        <v>787</v>
      </c>
      <c r="L1965" s="497" t="e">
        <v>#REF!</v>
      </c>
      <c r="M1965" s="497">
        <v>116.6965</v>
      </c>
      <c r="N1965" s="464"/>
      <c r="O1965" s="498"/>
      <c r="P1965" s="431" t="s">
        <v>6711</v>
      </c>
    </row>
    <row r="1966" spans="1:16" ht="13.5" hidden="1" customHeight="1" outlineLevel="2" x14ac:dyDescent="0.2">
      <c r="A1966" s="233">
        <v>0</v>
      </c>
      <c r="B1966" s="233">
        <v>15</v>
      </c>
      <c r="C1966" s="233">
        <v>7</v>
      </c>
      <c r="D1966" s="234">
        <v>3</v>
      </c>
      <c r="E1966" s="234">
        <v>0</v>
      </c>
      <c r="G1966" s="507"/>
      <c r="H1966" s="487" t="s">
        <v>1237</v>
      </c>
      <c r="I1966" s="452" t="s">
        <v>5262</v>
      </c>
      <c r="J1966" s="489" t="s">
        <v>2469</v>
      </c>
      <c r="K1966" s="490"/>
      <c r="L1966" s="491"/>
      <c r="M1966" s="491"/>
      <c r="N1966" s="456"/>
      <c r="O1966" s="492"/>
      <c r="P1966" s="430"/>
    </row>
    <row r="1967" spans="1:16" ht="13.5" hidden="1" customHeight="1" outlineLevel="3" x14ac:dyDescent="0.2">
      <c r="A1967" s="233">
        <v>0</v>
      </c>
      <c r="B1967" s="233">
        <v>15</v>
      </c>
      <c r="C1967" s="233">
        <v>7</v>
      </c>
      <c r="D1967" s="234">
        <v>3</v>
      </c>
      <c r="E1967" s="234">
        <v>1</v>
      </c>
      <c r="G1967" s="508" t="s">
        <v>49</v>
      </c>
      <c r="H1967" s="493" t="s">
        <v>1238</v>
      </c>
      <c r="I1967" s="460" t="s">
        <v>5263</v>
      </c>
      <c r="J1967" s="495" t="s">
        <v>2453</v>
      </c>
      <c r="K1967" s="496" t="s">
        <v>641</v>
      </c>
      <c r="L1967" s="497" t="e">
        <v>#REF!</v>
      </c>
      <c r="M1967" s="497">
        <v>788</v>
      </c>
      <c r="N1967" s="464"/>
      <c r="O1967" s="498" t="s">
        <v>2479</v>
      </c>
      <c r="P1967" s="431" t="s">
        <v>6711</v>
      </c>
    </row>
    <row r="1968" spans="1:16" ht="13.5" hidden="1" customHeight="1" outlineLevel="3" x14ac:dyDescent="0.2">
      <c r="A1968" s="233">
        <v>0</v>
      </c>
      <c r="B1968" s="233">
        <v>15</v>
      </c>
      <c r="C1968" s="233">
        <v>7</v>
      </c>
      <c r="D1968" s="234">
        <v>3</v>
      </c>
      <c r="E1968" s="234">
        <v>2</v>
      </c>
      <c r="G1968" s="508" t="s">
        <v>49</v>
      </c>
      <c r="H1968" s="493" t="s">
        <v>1238</v>
      </c>
      <c r="I1968" s="460" t="s">
        <v>5264</v>
      </c>
      <c r="J1968" s="495" t="s">
        <v>2477</v>
      </c>
      <c r="K1968" s="496" t="s">
        <v>641</v>
      </c>
      <c r="L1968" s="497" t="e">
        <v>#REF!</v>
      </c>
      <c r="M1968" s="497">
        <v>1080</v>
      </c>
      <c r="N1968" s="464"/>
      <c r="O1968" s="498" t="s">
        <v>2478</v>
      </c>
      <c r="P1968" s="431" t="s">
        <v>6711</v>
      </c>
    </row>
    <row r="1969" spans="1:16" ht="13.5" hidden="1" customHeight="1" outlineLevel="2" x14ac:dyDescent="0.2">
      <c r="A1969" s="233">
        <v>0</v>
      </c>
      <c r="B1969" s="233">
        <v>15</v>
      </c>
      <c r="C1969" s="233">
        <v>7</v>
      </c>
      <c r="D1969" s="234">
        <v>4</v>
      </c>
      <c r="E1969" s="234">
        <v>0</v>
      </c>
      <c r="G1969" s="507"/>
      <c r="H1969" s="487" t="s">
        <v>1237</v>
      </c>
      <c r="I1969" s="452" t="s">
        <v>5265</v>
      </c>
      <c r="J1969" s="489" t="s">
        <v>14</v>
      </c>
      <c r="K1969" s="490"/>
      <c r="L1969" s="491"/>
      <c r="M1969" s="491"/>
      <c r="N1969" s="456"/>
      <c r="O1969" s="492"/>
      <c r="P1969" s="430"/>
    </row>
    <row r="1970" spans="1:16" ht="13.5" hidden="1" customHeight="1" outlineLevel="3" x14ac:dyDescent="0.2">
      <c r="A1970" s="233">
        <v>0</v>
      </c>
      <c r="B1970" s="233">
        <v>15</v>
      </c>
      <c r="C1970" s="233">
        <v>7</v>
      </c>
      <c r="D1970" s="234">
        <v>4</v>
      </c>
      <c r="E1970" s="234">
        <v>1</v>
      </c>
      <c r="G1970" s="508" t="s">
        <v>46</v>
      </c>
      <c r="H1970" s="493" t="s">
        <v>1238</v>
      </c>
      <c r="I1970" s="460" t="s">
        <v>5266</v>
      </c>
      <c r="J1970" s="495" t="s">
        <v>574</v>
      </c>
      <c r="K1970" s="496" t="s">
        <v>641</v>
      </c>
      <c r="L1970" s="497" t="e">
        <v>#REF!</v>
      </c>
      <c r="M1970" s="497">
        <v>25</v>
      </c>
      <c r="N1970" s="464"/>
      <c r="O1970" s="498"/>
      <c r="P1970" s="431" t="s">
        <v>6711</v>
      </c>
    </row>
    <row r="1971" spans="1:16" ht="13.5" hidden="1" customHeight="1" outlineLevel="1" x14ac:dyDescent="0.2">
      <c r="A1971" s="233">
        <v>0</v>
      </c>
      <c r="B1971" s="233">
        <v>15</v>
      </c>
      <c r="C1971" s="233">
        <v>8</v>
      </c>
      <c r="D1971" s="234">
        <v>0</v>
      </c>
      <c r="E1971" s="234">
        <v>1</v>
      </c>
      <c r="G1971" s="506"/>
      <c r="H1971" s="481" t="s">
        <v>38</v>
      </c>
      <c r="I1971" s="445" t="s">
        <v>5267</v>
      </c>
      <c r="J1971" s="483" t="s">
        <v>2497</v>
      </c>
      <c r="K1971" s="484"/>
      <c r="L1971" s="485"/>
      <c r="M1971" s="485"/>
      <c r="N1971" s="449"/>
      <c r="O1971" s="486"/>
      <c r="P1971" s="429"/>
    </row>
    <row r="1972" spans="1:16" ht="13.5" hidden="1" customHeight="1" outlineLevel="2" x14ac:dyDescent="0.2">
      <c r="A1972" s="233">
        <v>0</v>
      </c>
      <c r="B1972" s="233">
        <v>15</v>
      </c>
      <c r="C1972" s="233">
        <v>8</v>
      </c>
      <c r="D1972" s="234">
        <v>1</v>
      </c>
      <c r="E1972" s="234">
        <v>0</v>
      </c>
      <c r="G1972" s="507"/>
      <c r="H1972" s="487" t="s">
        <v>1237</v>
      </c>
      <c r="I1972" s="452" t="s">
        <v>5268</v>
      </c>
      <c r="J1972" s="489" t="s">
        <v>2275</v>
      </c>
      <c r="K1972" s="490"/>
      <c r="L1972" s="491"/>
      <c r="M1972" s="491"/>
      <c r="N1972" s="456"/>
      <c r="O1972" s="492"/>
      <c r="P1972" s="430"/>
    </row>
    <row r="1973" spans="1:16" ht="12.75" hidden="1" outlineLevel="3" x14ac:dyDescent="0.2">
      <c r="A1973" s="233">
        <v>0</v>
      </c>
      <c r="B1973" s="233">
        <v>15</v>
      </c>
      <c r="C1973" s="233">
        <v>8</v>
      </c>
      <c r="D1973" s="234">
        <v>1</v>
      </c>
      <c r="E1973" s="234">
        <v>1</v>
      </c>
      <c r="G1973" s="508" t="s">
        <v>49</v>
      </c>
      <c r="H1973" s="493" t="s">
        <v>1238</v>
      </c>
      <c r="I1973" s="460" t="s">
        <v>5269</v>
      </c>
      <c r="J1973" s="495" t="s">
        <v>563</v>
      </c>
      <c r="K1973" s="496" t="s">
        <v>641</v>
      </c>
      <c r="L1973" s="497" t="e">
        <v>#REF!</v>
      </c>
      <c r="M1973" s="497">
        <v>137.29</v>
      </c>
      <c r="N1973" s="464"/>
      <c r="O1973" s="498"/>
      <c r="P1973" s="431" t="s">
        <v>6711</v>
      </c>
    </row>
    <row r="1974" spans="1:16" ht="13.5" hidden="1" customHeight="1" outlineLevel="3" x14ac:dyDescent="0.2">
      <c r="A1974" s="233">
        <v>0</v>
      </c>
      <c r="B1974" s="233">
        <v>15</v>
      </c>
      <c r="C1974" s="233">
        <v>8</v>
      </c>
      <c r="D1974" s="234">
        <v>1</v>
      </c>
      <c r="E1974" s="234">
        <v>2</v>
      </c>
      <c r="G1974" s="508" t="s">
        <v>49</v>
      </c>
      <c r="H1974" s="493" t="s">
        <v>1238</v>
      </c>
      <c r="I1974" s="460" t="s">
        <v>5270</v>
      </c>
      <c r="J1974" s="495" t="s">
        <v>564</v>
      </c>
      <c r="K1974" s="496" t="s">
        <v>787</v>
      </c>
      <c r="L1974" s="497" t="e">
        <v>#REF!</v>
      </c>
      <c r="M1974" s="497">
        <v>49.424399999999999</v>
      </c>
      <c r="N1974" s="464"/>
      <c r="O1974" s="498"/>
      <c r="P1974" s="431" t="s">
        <v>6711</v>
      </c>
    </row>
    <row r="1975" spans="1:16" ht="13.5" hidden="1" customHeight="1" outlineLevel="3" x14ac:dyDescent="0.2">
      <c r="A1975" s="233">
        <v>0</v>
      </c>
      <c r="B1975" s="233">
        <v>15</v>
      </c>
      <c r="C1975" s="233">
        <v>8</v>
      </c>
      <c r="D1975" s="234">
        <v>1</v>
      </c>
      <c r="E1975" s="234">
        <v>3</v>
      </c>
      <c r="G1975" s="508" t="s">
        <v>49</v>
      </c>
      <c r="H1975" s="493" t="s">
        <v>1238</v>
      </c>
      <c r="I1975" s="460" t="s">
        <v>5271</v>
      </c>
      <c r="J1975" s="495" t="s">
        <v>2465</v>
      </c>
      <c r="K1975" s="496" t="s">
        <v>787</v>
      </c>
      <c r="L1975" s="497" t="e">
        <v>#REF!</v>
      </c>
      <c r="M1975" s="497">
        <v>61.780500000000004</v>
      </c>
      <c r="N1975" s="464"/>
      <c r="O1975" s="498"/>
      <c r="P1975" s="431" t="s">
        <v>6711</v>
      </c>
    </row>
    <row r="1976" spans="1:16" ht="13.5" hidden="1" customHeight="1" outlineLevel="3" x14ac:dyDescent="0.2">
      <c r="A1976" s="233">
        <v>0</v>
      </c>
      <c r="B1976" s="233">
        <v>15</v>
      </c>
      <c r="C1976" s="233">
        <v>8</v>
      </c>
      <c r="D1976" s="234">
        <v>1</v>
      </c>
      <c r="E1976" s="234">
        <v>4</v>
      </c>
      <c r="G1976" s="508" t="s">
        <v>49</v>
      </c>
      <c r="H1976" s="493" t="s">
        <v>1238</v>
      </c>
      <c r="I1976" s="460" t="s">
        <v>5272</v>
      </c>
      <c r="J1976" s="495" t="s">
        <v>2463</v>
      </c>
      <c r="K1976" s="496" t="s">
        <v>787</v>
      </c>
      <c r="L1976" s="497" t="e">
        <v>#REF!</v>
      </c>
      <c r="M1976" s="497">
        <v>116.6965</v>
      </c>
      <c r="N1976" s="464"/>
      <c r="O1976" s="498"/>
      <c r="P1976" s="431" t="s">
        <v>6711</v>
      </c>
    </row>
    <row r="1977" spans="1:16" ht="13.5" hidden="1" customHeight="1" outlineLevel="2" x14ac:dyDescent="0.2">
      <c r="A1977" s="233">
        <v>0</v>
      </c>
      <c r="B1977" s="233">
        <v>15</v>
      </c>
      <c r="C1977" s="233">
        <v>8</v>
      </c>
      <c r="D1977" s="234">
        <v>2</v>
      </c>
      <c r="E1977" s="234">
        <v>0</v>
      </c>
      <c r="G1977" s="507"/>
      <c r="H1977" s="487" t="s">
        <v>1237</v>
      </c>
      <c r="I1977" s="452" t="s">
        <v>5273</v>
      </c>
      <c r="J1977" s="489" t="s">
        <v>2469</v>
      </c>
      <c r="K1977" s="490"/>
      <c r="L1977" s="491"/>
      <c r="M1977" s="491"/>
      <c r="N1977" s="456"/>
      <c r="O1977" s="492"/>
      <c r="P1977" s="430"/>
    </row>
    <row r="1978" spans="1:16" ht="13.5" hidden="1" customHeight="1" outlineLevel="3" x14ac:dyDescent="0.2">
      <c r="A1978" s="233">
        <v>0</v>
      </c>
      <c r="B1978" s="233">
        <v>15</v>
      </c>
      <c r="C1978" s="233">
        <v>8</v>
      </c>
      <c r="D1978" s="234">
        <v>2</v>
      </c>
      <c r="E1978" s="234">
        <v>1</v>
      </c>
      <c r="G1978" s="508" t="s">
        <v>49</v>
      </c>
      <c r="H1978" s="493" t="s">
        <v>1238</v>
      </c>
      <c r="I1978" s="460" t="s">
        <v>5274</v>
      </c>
      <c r="J1978" s="495" t="s">
        <v>2466</v>
      </c>
      <c r="K1978" s="496" t="s">
        <v>641</v>
      </c>
      <c r="L1978" s="497" t="e">
        <v>#REF!</v>
      </c>
      <c r="M1978" s="497">
        <v>1056</v>
      </c>
      <c r="N1978" s="464"/>
      <c r="O1978" s="498" t="s">
        <v>2255</v>
      </c>
      <c r="P1978" s="431" t="s">
        <v>6711</v>
      </c>
    </row>
    <row r="1979" spans="1:16" ht="13.5" hidden="1" customHeight="1" outlineLevel="3" x14ac:dyDescent="0.2">
      <c r="A1979" s="233">
        <v>0</v>
      </c>
      <c r="B1979" s="233">
        <v>15</v>
      </c>
      <c r="C1979" s="233">
        <v>8</v>
      </c>
      <c r="D1979" s="234">
        <v>2</v>
      </c>
      <c r="E1979" s="234">
        <v>2</v>
      </c>
      <c r="G1979" s="508" t="s">
        <v>49</v>
      </c>
      <c r="H1979" s="493" t="s">
        <v>1238</v>
      </c>
      <c r="I1979" s="460" t="s">
        <v>5275</v>
      </c>
      <c r="J1979" s="495" t="s">
        <v>2471</v>
      </c>
      <c r="K1979" s="496" t="s">
        <v>641</v>
      </c>
      <c r="L1979" s="497" t="e">
        <v>#REF!</v>
      </c>
      <c r="M1979" s="497">
        <v>737</v>
      </c>
      <c r="N1979" s="464"/>
      <c r="O1979" s="498" t="s">
        <v>2480</v>
      </c>
      <c r="P1979" s="431" t="s">
        <v>6711</v>
      </c>
    </row>
    <row r="1980" spans="1:16" ht="13.5" hidden="1" customHeight="1" outlineLevel="3" x14ac:dyDescent="0.2">
      <c r="A1980" s="233">
        <v>0</v>
      </c>
      <c r="B1980" s="233">
        <v>15</v>
      </c>
      <c r="C1980" s="233">
        <v>8</v>
      </c>
      <c r="D1980" s="234">
        <v>2</v>
      </c>
      <c r="E1980" s="234">
        <v>3</v>
      </c>
      <c r="G1980" s="508" t="s">
        <v>49</v>
      </c>
      <c r="H1980" s="493" t="s">
        <v>1238</v>
      </c>
      <c r="I1980" s="460" t="s">
        <v>5276</v>
      </c>
      <c r="J1980" s="495" t="s">
        <v>2481</v>
      </c>
      <c r="K1980" s="496" t="s">
        <v>641</v>
      </c>
      <c r="L1980" s="497" t="e">
        <v>#REF!</v>
      </c>
      <c r="M1980" s="497">
        <v>330</v>
      </c>
      <c r="N1980" s="464"/>
      <c r="O1980" s="498" t="s">
        <v>2480</v>
      </c>
      <c r="P1980" s="431" t="s">
        <v>6711</v>
      </c>
    </row>
    <row r="1981" spans="1:16" ht="13.5" hidden="1" customHeight="1" outlineLevel="3" x14ac:dyDescent="0.2">
      <c r="A1981" s="233">
        <v>0</v>
      </c>
      <c r="B1981" s="233">
        <v>15</v>
      </c>
      <c r="C1981" s="233">
        <v>8</v>
      </c>
      <c r="D1981" s="234">
        <v>2</v>
      </c>
      <c r="E1981" s="234">
        <v>4</v>
      </c>
      <c r="G1981" s="508" t="s">
        <v>49</v>
      </c>
      <c r="H1981" s="493" t="s">
        <v>1238</v>
      </c>
      <c r="I1981" s="460" t="s">
        <v>5277</v>
      </c>
      <c r="J1981" s="495" t="s">
        <v>2453</v>
      </c>
      <c r="K1981" s="496" t="s">
        <v>641</v>
      </c>
      <c r="L1981" s="497" t="e">
        <v>#REF!</v>
      </c>
      <c r="M1981" s="497">
        <v>788</v>
      </c>
      <c r="N1981" s="464"/>
      <c r="O1981" s="498" t="s">
        <v>2479</v>
      </c>
      <c r="P1981" s="431" t="s">
        <v>6711</v>
      </c>
    </row>
    <row r="1982" spans="1:16" ht="13.5" hidden="1" customHeight="1" outlineLevel="3" x14ac:dyDescent="0.2">
      <c r="A1982" s="233">
        <v>0</v>
      </c>
      <c r="B1982" s="233">
        <v>15</v>
      </c>
      <c r="C1982" s="233">
        <v>8</v>
      </c>
      <c r="D1982" s="234">
        <v>2</v>
      </c>
      <c r="E1982" s="234">
        <v>5</v>
      </c>
      <c r="G1982" s="508" t="s">
        <v>49</v>
      </c>
      <c r="H1982" s="493" t="s">
        <v>1238</v>
      </c>
      <c r="I1982" s="460" t="s">
        <v>5278</v>
      </c>
      <c r="J1982" s="495" t="s">
        <v>2441</v>
      </c>
      <c r="K1982" s="496" t="s">
        <v>641</v>
      </c>
      <c r="L1982" s="497" t="e">
        <v>#REF!</v>
      </c>
      <c r="M1982" s="497">
        <v>985.16483516483504</v>
      </c>
      <c r="N1982" s="464"/>
      <c r="O1982" s="498" t="s">
        <v>2482</v>
      </c>
      <c r="P1982" s="431" t="s">
        <v>6711</v>
      </c>
    </row>
    <row r="1983" spans="1:16" ht="13.5" hidden="1" customHeight="1" outlineLevel="3" x14ac:dyDescent="0.2">
      <c r="A1983" s="233">
        <v>0</v>
      </c>
      <c r="B1983" s="233">
        <v>15</v>
      </c>
      <c r="C1983" s="233">
        <v>8</v>
      </c>
      <c r="D1983" s="234">
        <v>2</v>
      </c>
      <c r="E1983" s="234">
        <v>6</v>
      </c>
      <c r="G1983" s="508" t="s">
        <v>49</v>
      </c>
      <c r="H1983" s="493" t="s">
        <v>1238</v>
      </c>
      <c r="I1983" s="460" t="s">
        <v>5279</v>
      </c>
      <c r="J1983" s="495" t="s">
        <v>2483</v>
      </c>
      <c r="K1983" s="496" t="s">
        <v>641</v>
      </c>
      <c r="L1983" s="497" t="e">
        <v>#REF!</v>
      </c>
      <c r="M1983" s="497">
        <v>283.61635220125788</v>
      </c>
      <c r="N1983" s="464"/>
      <c r="O1983" s="498" t="s">
        <v>2484</v>
      </c>
      <c r="P1983" s="431" t="s">
        <v>6711</v>
      </c>
    </row>
    <row r="1984" spans="1:16" ht="13.5" hidden="1" customHeight="1" outlineLevel="1" x14ac:dyDescent="0.2">
      <c r="A1984" s="233">
        <v>0</v>
      </c>
      <c r="B1984" s="233">
        <v>15</v>
      </c>
      <c r="C1984" s="233">
        <v>9</v>
      </c>
      <c r="D1984" s="234">
        <v>0</v>
      </c>
      <c r="E1984" s="234">
        <v>6</v>
      </c>
      <c r="G1984" s="506"/>
      <c r="H1984" s="481" t="s">
        <v>38</v>
      </c>
      <c r="I1984" s="445" t="s">
        <v>5280</v>
      </c>
      <c r="J1984" s="483" t="s">
        <v>2498</v>
      </c>
      <c r="K1984" s="484"/>
      <c r="L1984" s="485"/>
      <c r="M1984" s="485"/>
      <c r="N1984" s="449"/>
      <c r="O1984" s="486"/>
      <c r="P1984" s="429"/>
    </row>
    <row r="1985" spans="1:16" ht="13.5" hidden="1" customHeight="1" outlineLevel="2" x14ac:dyDescent="0.2">
      <c r="A1985" s="233">
        <v>0</v>
      </c>
      <c r="B1985" s="233">
        <v>15</v>
      </c>
      <c r="C1985" s="233">
        <v>9</v>
      </c>
      <c r="D1985" s="234">
        <v>1</v>
      </c>
      <c r="E1985" s="234">
        <v>0</v>
      </c>
      <c r="G1985" s="507"/>
      <c r="H1985" s="487" t="s">
        <v>1237</v>
      </c>
      <c r="I1985" s="452" t="s">
        <v>5281</v>
      </c>
      <c r="J1985" s="489" t="s">
        <v>2275</v>
      </c>
      <c r="K1985" s="490"/>
      <c r="L1985" s="491"/>
      <c r="M1985" s="491"/>
      <c r="N1985" s="456"/>
      <c r="O1985" s="492"/>
      <c r="P1985" s="430"/>
    </row>
    <row r="1986" spans="1:16" ht="12.75" hidden="1" outlineLevel="3" x14ac:dyDescent="0.2">
      <c r="A1986" s="233">
        <v>0</v>
      </c>
      <c r="B1986" s="233">
        <v>15</v>
      </c>
      <c r="C1986" s="233">
        <v>9</v>
      </c>
      <c r="D1986" s="234">
        <v>1</v>
      </c>
      <c r="E1986" s="234">
        <v>1</v>
      </c>
      <c r="G1986" s="508" t="s">
        <v>49</v>
      </c>
      <c r="H1986" s="493" t="s">
        <v>1238</v>
      </c>
      <c r="I1986" s="460" t="s">
        <v>5282</v>
      </c>
      <c r="J1986" s="495" t="s">
        <v>563</v>
      </c>
      <c r="K1986" s="496" t="s">
        <v>641</v>
      </c>
      <c r="L1986" s="497" t="e">
        <v>#REF!</v>
      </c>
      <c r="M1986" s="497">
        <v>137.29</v>
      </c>
      <c r="N1986" s="464"/>
      <c r="O1986" s="498"/>
      <c r="P1986" s="431" t="s">
        <v>6711</v>
      </c>
    </row>
    <row r="1987" spans="1:16" ht="13.5" hidden="1" customHeight="1" outlineLevel="3" x14ac:dyDescent="0.2">
      <c r="A1987" s="233">
        <v>0</v>
      </c>
      <c r="B1987" s="233">
        <v>15</v>
      </c>
      <c r="C1987" s="233">
        <v>9</v>
      </c>
      <c r="D1987" s="234">
        <v>1</v>
      </c>
      <c r="E1987" s="234">
        <v>2</v>
      </c>
      <c r="G1987" s="508" t="s">
        <v>49</v>
      </c>
      <c r="H1987" s="493" t="s">
        <v>1238</v>
      </c>
      <c r="I1987" s="460" t="s">
        <v>5283</v>
      </c>
      <c r="J1987" s="495" t="s">
        <v>565</v>
      </c>
      <c r="K1987" s="496" t="s">
        <v>641</v>
      </c>
      <c r="L1987" s="497" t="e">
        <v>#REF!</v>
      </c>
      <c r="M1987" s="497">
        <v>164.74799999999999</v>
      </c>
      <c r="N1987" s="464"/>
      <c r="O1987" s="498"/>
      <c r="P1987" s="431" t="s">
        <v>6711</v>
      </c>
    </row>
    <row r="1988" spans="1:16" ht="13.5" hidden="1" customHeight="1" outlineLevel="3" x14ac:dyDescent="0.2">
      <c r="A1988" s="233">
        <v>0</v>
      </c>
      <c r="B1988" s="233">
        <v>15</v>
      </c>
      <c r="C1988" s="233">
        <v>9</v>
      </c>
      <c r="D1988" s="234">
        <v>1</v>
      </c>
      <c r="E1988" s="234">
        <v>3</v>
      </c>
      <c r="G1988" s="508" t="s">
        <v>49</v>
      </c>
      <c r="H1988" s="493" t="s">
        <v>1238</v>
      </c>
      <c r="I1988" s="460" t="s">
        <v>5284</v>
      </c>
      <c r="J1988" s="495" t="s">
        <v>566</v>
      </c>
      <c r="K1988" s="496" t="s">
        <v>787</v>
      </c>
      <c r="L1988" s="497" t="e">
        <v>#REF!</v>
      </c>
      <c r="M1988" s="497">
        <v>49.424399999999999</v>
      </c>
      <c r="N1988" s="464"/>
      <c r="O1988" s="498"/>
      <c r="P1988" s="431" t="s">
        <v>6711</v>
      </c>
    </row>
    <row r="1989" spans="1:16" ht="13.5" hidden="1" customHeight="1" outlineLevel="3" x14ac:dyDescent="0.2">
      <c r="A1989" s="233">
        <v>0</v>
      </c>
      <c r="B1989" s="233">
        <v>15</v>
      </c>
      <c r="C1989" s="233">
        <v>9</v>
      </c>
      <c r="D1989" s="234">
        <v>1</v>
      </c>
      <c r="E1989" s="234">
        <v>4</v>
      </c>
      <c r="G1989" s="508" t="s">
        <v>49</v>
      </c>
      <c r="H1989" s="493" t="s">
        <v>1238</v>
      </c>
      <c r="I1989" s="460" t="s">
        <v>5285</v>
      </c>
      <c r="J1989" s="495" t="s">
        <v>564</v>
      </c>
      <c r="K1989" s="496" t="s">
        <v>787</v>
      </c>
      <c r="L1989" s="497" t="e">
        <v>#REF!</v>
      </c>
      <c r="M1989" s="497">
        <v>49.424399999999999</v>
      </c>
      <c r="N1989" s="464"/>
      <c r="O1989" s="498"/>
      <c r="P1989" s="431" t="s">
        <v>6711</v>
      </c>
    </row>
    <row r="1990" spans="1:16" ht="12.75" hidden="1" outlineLevel="3" x14ac:dyDescent="0.2">
      <c r="A1990" s="233">
        <v>0</v>
      </c>
      <c r="B1990" s="233">
        <v>15</v>
      </c>
      <c r="C1990" s="233">
        <v>9</v>
      </c>
      <c r="D1990" s="234">
        <v>1</v>
      </c>
      <c r="E1990" s="234">
        <v>5</v>
      </c>
      <c r="G1990" s="508" t="s">
        <v>49</v>
      </c>
      <c r="H1990" s="493" t="s">
        <v>1238</v>
      </c>
      <c r="I1990" s="460" t="s">
        <v>5286</v>
      </c>
      <c r="J1990" s="495" t="s">
        <v>2464</v>
      </c>
      <c r="K1990" s="496" t="s">
        <v>787</v>
      </c>
      <c r="L1990" s="497" t="e">
        <v>#REF!</v>
      </c>
      <c r="M1990" s="497">
        <v>82.373999999999995</v>
      </c>
      <c r="N1990" s="464"/>
      <c r="O1990" s="498"/>
      <c r="P1990" s="431" t="s">
        <v>6711</v>
      </c>
    </row>
    <row r="1991" spans="1:16" ht="13.5" hidden="1" customHeight="1" outlineLevel="1" x14ac:dyDescent="0.2">
      <c r="A1991" s="233">
        <v>0</v>
      </c>
      <c r="B1991" s="233">
        <v>15</v>
      </c>
      <c r="C1991" s="233">
        <v>10</v>
      </c>
      <c r="D1991" s="234">
        <v>0</v>
      </c>
      <c r="E1991" s="234">
        <v>5</v>
      </c>
      <c r="G1991" s="506"/>
      <c r="H1991" s="481" t="s">
        <v>38</v>
      </c>
      <c r="I1991" s="445" t="s">
        <v>5287</v>
      </c>
      <c r="J1991" s="483" t="s">
        <v>2499</v>
      </c>
      <c r="K1991" s="484"/>
      <c r="L1991" s="485"/>
      <c r="M1991" s="485"/>
      <c r="N1991" s="449"/>
      <c r="O1991" s="486"/>
      <c r="P1991" s="429"/>
    </row>
    <row r="1992" spans="1:16" ht="13.5" hidden="1" customHeight="1" outlineLevel="2" x14ac:dyDescent="0.2">
      <c r="A1992" s="233">
        <v>0</v>
      </c>
      <c r="B1992" s="233">
        <v>15</v>
      </c>
      <c r="C1992" s="233">
        <v>10</v>
      </c>
      <c r="D1992" s="234">
        <v>1</v>
      </c>
      <c r="E1992" s="234">
        <v>0</v>
      </c>
      <c r="G1992" s="507"/>
      <c r="H1992" s="487" t="s">
        <v>1237</v>
      </c>
      <c r="I1992" s="452" t="s">
        <v>5288</v>
      </c>
      <c r="J1992" s="489" t="s">
        <v>2275</v>
      </c>
      <c r="K1992" s="490"/>
      <c r="L1992" s="491"/>
      <c r="M1992" s="491"/>
      <c r="N1992" s="456"/>
      <c r="O1992" s="492"/>
      <c r="P1992" s="430"/>
    </row>
    <row r="1993" spans="1:16" ht="12.75" hidden="1" outlineLevel="3" x14ac:dyDescent="0.2">
      <c r="A1993" s="233">
        <v>0</v>
      </c>
      <c r="B1993" s="233">
        <v>15</v>
      </c>
      <c r="C1993" s="233">
        <v>10</v>
      </c>
      <c r="D1993" s="234">
        <v>1</v>
      </c>
      <c r="E1993" s="234">
        <v>1</v>
      </c>
      <c r="G1993" s="508" t="s">
        <v>49</v>
      </c>
      <c r="H1993" s="493" t="s">
        <v>1238</v>
      </c>
      <c r="I1993" s="460" t="s">
        <v>5289</v>
      </c>
      <c r="J1993" s="495" t="s">
        <v>563</v>
      </c>
      <c r="K1993" s="496" t="s">
        <v>641</v>
      </c>
      <c r="L1993" s="497" t="e">
        <v>#REF!</v>
      </c>
      <c r="M1993" s="497">
        <v>137.29</v>
      </c>
      <c r="N1993" s="464"/>
      <c r="O1993" s="498"/>
      <c r="P1993" s="431" t="s">
        <v>6711</v>
      </c>
    </row>
    <row r="1994" spans="1:16" ht="13.5" hidden="1" customHeight="1" outlineLevel="3" x14ac:dyDescent="0.2">
      <c r="A1994" s="233">
        <v>0</v>
      </c>
      <c r="B1994" s="233">
        <v>15</v>
      </c>
      <c r="C1994" s="233">
        <v>10</v>
      </c>
      <c r="D1994" s="234">
        <v>1</v>
      </c>
      <c r="E1994" s="234">
        <v>2</v>
      </c>
      <c r="G1994" s="508" t="s">
        <v>49</v>
      </c>
      <c r="H1994" s="493" t="s">
        <v>1238</v>
      </c>
      <c r="I1994" s="460" t="s">
        <v>5290</v>
      </c>
      <c r="J1994" s="495" t="s">
        <v>565</v>
      </c>
      <c r="K1994" s="496" t="s">
        <v>641</v>
      </c>
      <c r="L1994" s="497" t="e">
        <v>#REF!</v>
      </c>
      <c r="M1994" s="497">
        <v>164.74799999999999</v>
      </c>
      <c r="N1994" s="464"/>
      <c r="O1994" s="498"/>
      <c r="P1994" s="431" t="s">
        <v>6711</v>
      </c>
    </row>
    <row r="1995" spans="1:16" ht="13.5" hidden="1" customHeight="1" outlineLevel="3" x14ac:dyDescent="0.2">
      <c r="A1995" s="233">
        <v>0</v>
      </c>
      <c r="B1995" s="233">
        <v>15</v>
      </c>
      <c r="C1995" s="233">
        <v>10</v>
      </c>
      <c r="D1995" s="234">
        <v>1</v>
      </c>
      <c r="E1995" s="234">
        <v>3</v>
      </c>
      <c r="G1995" s="508" t="s">
        <v>49</v>
      </c>
      <c r="H1995" s="493" t="s">
        <v>1238</v>
      </c>
      <c r="I1995" s="460" t="s">
        <v>5291</v>
      </c>
      <c r="J1995" s="495" t="s">
        <v>566</v>
      </c>
      <c r="K1995" s="496" t="s">
        <v>787</v>
      </c>
      <c r="L1995" s="497" t="e">
        <v>#REF!</v>
      </c>
      <c r="M1995" s="497">
        <v>49.424399999999999</v>
      </c>
      <c r="N1995" s="464"/>
      <c r="O1995" s="498"/>
      <c r="P1995" s="431" t="s">
        <v>6711</v>
      </c>
    </row>
    <row r="1996" spans="1:16" ht="13.5" hidden="1" customHeight="1" outlineLevel="3" x14ac:dyDescent="0.2">
      <c r="A1996" s="233">
        <v>0</v>
      </c>
      <c r="B1996" s="233">
        <v>15</v>
      </c>
      <c r="C1996" s="233">
        <v>10</v>
      </c>
      <c r="D1996" s="234">
        <v>1</v>
      </c>
      <c r="E1996" s="234">
        <v>4</v>
      </c>
      <c r="G1996" s="508" t="s">
        <v>49</v>
      </c>
      <c r="H1996" s="493" t="s">
        <v>1238</v>
      </c>
      <c r="I1996" s="460" t="s">
        <v>5292</v>
      </c>
      <c r="J1996" s="495" t="s">
        <v>564</v>
      </c>
      <c r="K1996" s="496" t="s">
        <v>787</v>
      </c>
      <c r="L1996" s="497" t="e">
        <v>#REF!</v>
      </c>
      <c r="M1996" s="497">
        <v>49.424399999999999</v>
      </c>
      <c r="N1996" s="464"/>
      <c r="O1996" s="498"/>
      <c r="P1996" s="431" t="s">
        <v>6711</v>
      </c>
    </row>
    <row r="1997" spans="1:16" ht="12.75" hidden="1" outlineLevel="3" x14ac:dyDescent="0.2">
      <c r="A1997" s="233">
        <v>0</v>
      </c>
      <c r="B1997" s="233">
        <v>15</v>
      </c>
      <c r="C1997" s="233">
        <v>10</v>
      </c>
      <c r="D1997" s="234">
        <v>1</v>
      </c>
      <c r="E1997" s="234">
        <v>5</v>
      </c>
      <c r="G1997" s="508" t="s">
        <v>49</v>
      </c>
      <c r="H1997" s="493" t="s">
        <v>1238</v>
      </c>
      <c r="I1997" s="460" t="s">
        <v>5293</v>
      </c>
      <c r="J1997" s="495" t="s">
        <v>2464</v>
      </c>
      <c r="K1997" s="496" t="s">
        <v>787</v>
      </c>
      <c r="L1997" s="497" t="e">
        <v>#REF!</v>
      </c>
      <c r="M1997" s="497">
        <v>82.373999999999995</v>
      </c>
      <c r="N1997" s="464"/>
      <c r="O1997" s="498"/>
      <c r="P1997" s="431" t="s">
        <v>6711</v>
      </c>
    </row>
    <row r="1998" spans="1:16" ht="13.5" hidden="1" customHeight="1" outlineLevel="1" x14ac:dyDescent="0.2">
      <c r="A1998" s="233">
        <v>0</v>
      </c>
      <c r="B1998" s="233">
        <v>15</v>
      </c>
      <c r="C1998" s="233">
        <v>11</v>
      </c>
      <c r="D1998" s="234">
        <v>0</v>
      </c>
      <c r="E1998" s="234">
        <v>5</v>
      </c>
      <c r="G1998" s="506"/>
      <c r="H1998" s="481" t="s">
        <v>38</v>
      </c>
      <c r="I1998" s="445" t="s">
        <v>5294</v>
      </c>
      <c r="J1998" s="483" t="s">
        <v>2500</v>
      </c>
      <c r="K1998" s="484"/>
      <c r="L1998" s="485"/>
      <c r="M1998" s="485"/>
      <c r="N1998" s="449"/>
      <c r="O1998" s="486"/>
      <c r="P1998" s="429"/>
    </row>
    <row r="1999" spans="1:16" ht="13.5" hidden="1" customHeight="1" outlineLevel="2" x14ac:dyDescent="0.2">
      <c r="A1999" s="233">
        <v>0</v>
      </c>
      <c r="B1999" s="233">
        <v>15</v>
      </c>
      <c r="C1999" s="233">
        <v>11</v>
      </c>
      <c r="D1999" s="234">
        <v>1</v>
      </c>
      <c r="E1999" s="234">
        <v>0</v>
      </c>
      <c r="G1999" s="507"/>
      <c r="H1999" s="487" t="s">
        <v>1237</v>
      </c>
      <c r="I1999" s="452" t="s">
        <v>5295</v>
      </c>
      <c r="J1999" s="489" t="s">
        <v>2275</v>
      </c>
      <c r="K1999" s="490"/>
      <c r="L1999" s="491"/>
      <c r="M1999" s="491"/>
      <c r="N1999" s="456"/>
      <c r="O1999" s="492"/>
      <c r="P1999" s="430"/>
    </row>
    <row r="2000" spans="1:16" ht="12.75" hidden="1" outlineLevel="3" x14ac:dyDescent="0.2">
      <c r="A2000" s="233">
        <v>0</v>
      </c>
      <c r="B2000" s="233">
        <v>15</v>
      </c>
      <c r="C2000" s="233">
        <v>11</v>
      </c>
      <c r="D2000" s="234">
        <v>1</v>
      </c>
      <c r="E2000" s="234">
        <v>1</v>
      </c>
      <c r="G2000" s="508" t="s">
        <v>49</v>
      </c>
      <c r="H2000" s="493" t="s">
        <v>1238</v>
      </c>
      <c r="I2000" s="460" t="s">
        <v>5296</v>
      </c>
      <c r="J2000" s="495" t="s">
        <v>563</v>
      </c>
      <c r="K2000" s="496" t="s">
        <v>641</v>
      </c>
      <c r="L2000" s="497" t="e">
        <v>#REF!</v>
      </c>
      <c r="M2000" s="497">
        <v>137.29</v>
      </c>
      <c r="N2000" s="464"/>
      <c r="O2000" s="498"/>
      <c r="P2000" s="431" t="s">
        <v>6711</v>
      </c>
    </row>
    <row r="2001" spans="1:16" ht="13.5" hidden="1" customHeight="1" outlineLevel="3" x14ac:dyDescent="0.2">
      <c r="A2001" s="233">
        <v>0</v>
      </c>
      <c r="B2001" s="233">
        <v>15</v>
      </c>
      <c r="C2001" s="233">
        <v>11</v>
      </c>
      <c r="D2001" s="234">
        <v>1</v>
      </c>
      <c r="E2001" s="234">
        <v>2</v>
      </c>
      <c r="G2001" s="508" t="s">
        <v>49</v>
      </c>
      <c r="H2001" s="493" t="s">
        <v>1238</v>
      </c>
      <c r="I2001" s="460" t="s">
        <v>5297</v>
      </c>
      <c r="J2001" s="495" t="s">
        <v>565</v>
      </c>
      <c r="K2001" s="496" t="s">
        <v>641</v>
      </c>
      <c r="L2001" s="497" t="e">
        <v>#REF!</v>
      </c>
      <c r="M2001" s="497">
        <v>164.74799999999999</v>
      </c>
      <c r="N2001" s="464"/>
      <c r="O2001" s="498"/>
      <c r="P2001" s="431" t="s">
        <v>6711</v>
      </c>
    </row>
    <row r="2002" spans="1:16" ht="13.5" hidden="1" customHeight="1" outlineLevel="3" x14ac:dyDescent="0.2">
      <c r="A2002" s="233">
        <v>0</v>
      </c>
      <c r="B2002" s="233">
        <v>15</v>
      </c>
      <c r="C2002" s="233">
        <v>11</v>
      </c>
      <c r="D2002" s="234">
        <v>1</v>
      </c>
      <c r="E2002" s="234">
        <v>3</v>
      </c>
      <c r="G2002" s="508" t="s">
        <v>49</v>
      </c>
      <c r="H2002" s="493" t="s">
        <v>1238</v>
      </c>
      <c r="I2002" s="460" t="s">
        <v>5298</v>
      </c>
      <c r="J2002" s="495" t="s">
        <v>566</v>
      </c>
      <c r="K2002" s="496" t="s">
        <v>787</v>
      </c>
      <c r="L2002" s="497" t="e">
        <v>#REF!</v>
      </c>
      <c r="M2002" s="497">
        <v>49.424399999999999</v>
      </c>
      <c r="N2002" s="464"/>
      <c r="O2002" s="498"/>
      <c r="P2002" s="431" t="s">
        <v>6711</v>
      </c>
    </row>
    <row r="2003" spans="1:16" ht="13.5" hidden="1" customHeight="1" outlineLevel="3" x14ac:dyDescent="0.2">
      <c r="A2003" s="233">
        <v>0</v>
      </c>
      <c r="B2003" s="233">
        <v>15</v>
      </c>
      <c r="C2003" s="233">
        <v>11</v>
      </c>
      <c r="D2003" s="234">
        <v>1</v>
      </c>
      <c r="E2003" s="234">
        <v>4</v>
      </c>
      <c r="G2003" s="508" t="s">
        <v>49</v>
      </c>
      <c r="H2003" s="493" t="s">
        <v>1238</v>
      </c>
      <c r="I2003" s="460" t="s">
        <v>5299</v>
      </c>
      <c r="J2003" s="495" t="s">
        <v>564</v>
      </c>
      <c r="K2003" s="496" t="s">
        <v>787</v>
      </c>
      <c r="L2003" s="497" t="e">
        <v>#REF!</v>
      </c>
      <c r="M2003" s="497">
        <v>49.424399999999999</v>
      </c>
      <c r="N2003" s="464"/>
      <c r="O2003" s="498"/>
      <c r="P2003" s="431" t="s">
        <v>6711</v>
      </c>
    </row>
    <row r="2004" spans="1:16" ht="12.75" hidden="1" outlineLevel="3" x14ac:dyDescent="0.2">
      <c r="A2004" s="233">
        <v>0</v>
      </c>
      <c r="B2004" s="233">
        <v>15</v>
      </c>
      <c r="C2004" s="233">
        <v>11</v>
      </c>
      <c r="D2004" s="234">
        <v>1</v>
      </c>
      <c r="E2004" s="234">
        <v>5</v>
      </c>
      <c r="G2004" s="508" t="s">
        <v>49</v>
      </c>
      <c r="H2004" s="493" t="s">
        <v>1238</v>
      </c>
      <c r="I2004" s="460" t="s">
        <v>5300</v>
      </c>
      <c r="J2004" s="495" t="s">
        <v>2464</v>
      </c>
      <c r="K2004" s="496" t="s">
        <v>787</v>
      </c>
      <c r="L2004" s="497" t="e">
        <v>#REF!</v>
      </c>
      <c r="M2004" s="497">
        <v>82.373999999999995</v>
      </c>
      <c r="N2004" s="464"/>
      <c r="O2004" s="498"/>
      <c r="P2004" s="431" t="s">
        <v>6711</v>
      </c>
    </row>
    <row r="2005" spans="1:16" ht="13.5" hidden="1" customHeight="1" outlineLevel="1" x14ac:dyDescent="0.2">
      <c r="A2005" s="233">
        <v>0</v>
      </c>
      <c r="B2005" s="233">
        <v>15</v>
      </c>
      <c r="C2005" s="233">
        <v>12</v>
      </c>
      <c r="D2005" s="234">
        <v>0</v>
      </c>
      <c r="E2005" s="234">
        <v>5</v>
      </c>
      <c r="G2005" s="506"/>
      <c r="H2005" s="481" t="s">
        <v>38</v>
      </c>
      <c r="I2005" s="445" t="s">
        <v>5301</v>
      </c>
      <c r="J2005" s="483" t="s">
        <v>2501</v>
      </c>
      <c r="K2005" s="484"/>
      <c r="L2005" s="485"/>
      <c r="M2005" s="485"/>
      <c r="N2005" s="449"/>
      <c r="O2005" s="486"/>
      <c r="P2005" s="429"/>
    </row>
    <row r="2006" spans="1:16" ht="13.5" hidden="1" customHeight="1" outlineLevel="2" x14ac:dyDescent="0.2">
      <c r="A2006" s="233">
        <v>0</v>
      </c>
      <c r="B2006" s="233">
        <v>15</v>
      </c>
      <c r="C2006" s="233">
        <v>12</v>
      </c>
      <c r="D2006" s="234">
        <v>1</v>
      </c>
      <c r="E2006" s="234">
        <v>0</v>
      </c>
      <c r="G2006" s="507"/>
      <c r="H2006" s="487" t="s">
        <v>1237</v>
      </c>
      <c r="I2006" s="452" t="s">
        <v>5302</v>
      </c>
      <c r="J2006" s="489" t="s">
        <v>2275</v>
      </c>
      <c r="K2006" s="490"/>
      <c r="L2006" s="491"/>
      <c r="M2006" s="491"/>
      <c r="N2006" s="456"/>
      <c r="O2006" s="492"/>
      <c r="P2006" s="430"/>
    </row>
    <row r="2007" spans="1:16" ht="12.75" hidden="1" outlineLevel="3" x14ac:dyDescent="0.2">
      <c r="A2007" s="233">
        <v>0</v>
      </c>
      <c r="B2007" s="233">
        <v>15</v>
      </c>
      <c r="C2007" s="233">
        <v>12</v>
      </c>
      <c r="D2007" s="234">
        <v>1</v>
      </c>
      <c r="E2007" s="234">
        <v>1</v>
      </c>
      <c r="G2007" s="508" t="s">
        <v>49</v>
      </c>
      <c r="H2007" s="493" t="s">
        <v>1238</v>
      </c>
      <c r="I2007" s="460" t="s">
        <v>5303</v>
      </c>
      <c r="J2007" s="495" t="s">
        <v>563</v>
      </c>
      <c r="K2007" s="496" t="s">
        <v>641</v>
      </c>
      <c r="L2007" s="497" t="e">
        <v>#REF!</v>
      </c>
      <c r="M2007" s="497">
        <v>137.29</v>
      </c>
      <c r="N2007" s="464"/>
      <c r="O2007" s="498"/>
      <c r="P2007" s="431" t="s">
        <v>6711</v>
      </c>
    </row>
    <row r="2008" spans="1:16" ht="13.5" hidden="1" customHeight="1" outlineLevel="3" x14ac:dyDescent="0.2">
      <c r="A2008" s="233">
        <v>0</v>
      </c>
      <c r="B2008" s="233">
        <v>15</v>
      </c>
      <c r="C2008" s="233">
        <v>12</v>
      </c>
      <c r="D2008" s="234">
        <v>1</v>
      </c>
      <c r="E2008" s="234">
        <v>2</v>
      </c>
      <c r="G2008" s="508" t="s">
        <v>49</v>
      </c>
      <c r="H2008" s="493" t="s">
        <v>1238</v>
      </c>
      <c r="I2008" s="460" t="s">
        <v>5304</v>
      </c>
      <c r="J2008" s="495" t="s">
        <v>565</v>
      </c>
      <c r="K2008" s="496" t="s">
        <v>641</v>
      </c>
      <c r="L2008" s="497" t="e">
        <v>#REF!</v>
      </c>
      <c r="M2008" s="497">
        <v>164.74799999999999</v>
      </c>
      <c r="N2008" s="464"/>
      <c r="O2008" s="498"/>
      <c r="P2008" s="431" t="s">
        <v>6711</v>
      </c>
    </row>
    <row r="2009" spans="1:16" ht="13.5" hidden="1" customHeight="1" outlineLevel="3" x14ac:dyDescent="0.2">
      <c r="A2009" s="233">
        <v>0</v>
      </c>
      <c r="B2009" s="233">
        <v>15</v>
      </c>
      <c r="C2009" s="233">
        <v>12</v>
      </c>
      <c r="D2009" s="234">
        <v>1</v>
      </c>
      <c r="E2009" s="234">
        <v>3</v>
      </c>
      <c r="G2009" s="508" t="s">
        <v>49</v>
      </c>
      <c r="H2009" s="493" t="s">
        <v>1238</v>
      </c>
      <c r="I2009" s="460" t="s">
        <v>5305</v>
      </c>
      <c r="J2009" s="495" t="s">
        <v>566</v>
      </c>
      <c r="K2009" s="496" t="s">
        <v>787</v>
      </c>
      <c r="L2009" s="497" t="e">
        <v>#REF!</v>
      </c>
      <c r="M2009" s="497">
        <v>49.424399999999999</v>
      </c>
      <c r="N2009" s="464"/>
      <c r="O2009" s="498"/>
      <c r="P2009" s="431" t="s">
        <v>6711</v>
      </c>
    </row>
    <row r="2010" spans="1:16" ht="13.5" hidden="1" customHeight="1" outlineLevel="3" x14ac:dyDescent="0.2">
      <c r="A2010" s="233">
        <v>0</v>
      </c>
      <c r="B2010" s="233">
        <v>15</v>
      </c>
      <c r="C2010" s="233">
        <v>12</v>
      </c>
      <c r="D2010" s="234">
        <v>1</v>
      </c>
      <c r="E2010" s="234">
        <v>4</v>
      </c>
      <c r="G2010" s="508" t="s">
        <v>49</v>
      </c>
      <c r="H2010" s="493" t="s">
        <v>1238</v>
      </c>
      <c r="I2010" s="460" t="s">
        <v>5306</v>
      </c>
      <c r="J2010" s="495" t="s">
        <v>564</v>
      </c>
      <c r="K2010" s="496" t="s">
        <v>787</v>
      </c>
      <c r="L2010" s="497" t="e">
        <v>#REF!</v>
      </c>
      <c r="M2010" s="497">
        <v>49.424399999999999</v>
      </c>
      <c r="N2010" s="464"/>
      <c r="O2010" s="498"/>
      <c r="P2010" s="431" t="s">
        <v>6711</v>
      </c>
    </row>
    <row r="2011" spans="1:16" ht="12.75" hidden="1" outlineLevel="3" x14ac:dyDescent="0.2">
      <c r="A2011" s="233">
        <v>0</v>
      </c>
      <c r="B2011" s="233">
        <v>15</v>
      </c>
      <c r="C2011" s="233">
        <v>12</v>
      </c>
      <c r="D2011" s="234">
        <v>1</v>
      </c>
      <c r="E2011" s="234">
        <v>5</v>
      </c>
      <c r="G2011" s="508" t="s">
        <v>49</v>
      </c>
      <c r="H2011" s="493" t="s">
        <v>1238</v>
      </c>
      <c r="I2011" s="460" t="s">
        <v>5307</v>
      </c>
      <c r="J2011" s="495" t="s">
        <v>2464</v>
      </c>
      <c r="K2011" s="496" t="s">
        <v>787</v>
      </c>
      <c r="L2011" s="497" t="e">
        <v>#REF!</v>
      </c>
      <c r="M2011" s="497">
        <v>82.373999999999995</v>
      </c>
      <c r="N2011" s="464"/>
      <c r="O2011" s="498"/>
      <c r="P2011" s="431" t="s">
        <v>6711</v>
      </c>
    </row>
    <row r="2012" spans="1:16" ht="13.5" hidden="1" customHeight="1" outlineLevel="1" x14ac:dyDescent="0.2">
      <c r="A2012" s="233">
        <v>0</v>
      </c>
      <c r="B2012" s="233">
        <v>15</v>
      </c>
      <c r="C2012" s="233">
        <v>13</v>
      </c>
      <c r="D2012" s="234">
        <v>0</v>
      </c>
      <c r="E2012" s="234">
        <v>5</v>
      </c>
      <c r="G2012" s="506"/>
      <c r="H2012" s="481" t="s">
        <v>38</v>
      </c>
      <c r="I2012" s="445" t="s">
        <v>5308</v>
      </c>
      <c r="J2012" s="483" t="s">
        <v>2502</v>
      </c>
      <c r="K2012" s="484"/>
      <c r="L2012" s="485"/>
      <c r="M2012" s="485"/>
      <c r="N2012" s="449"/>
      <c r="O2012" s="486"/>
      <c r="P2012" s="429"/>
    </row>
    <row r="2013" spans="1:16" ht="13.5" hidden="1" customHeight="1" outlineLevel="2" x14ac:dyDescent="0.2">
      <c r="A2013" s="233">
        <v>0</v>
      </c>
      <c r="B2013" s="233">
        <v>15</v>
      </c>
      <c r="C2013" s="233">
        <v>13</v>
      </c>
      <c r="D2013" s="234">
        <v>1</v>
      </c>
      <c r="E2013" s="234">
        <v>0</v>
      </c>
      <c r="G2013" s="507"/>
      <c r="H2013" s="487" t="s">
        <v>1237</v>
      </c>
      <c r="I2013" s="452" t="s">
        <v>5309</v>
      </c>
      <c r="J2013" s="489" t="s">
        <v>2276</v>
      </c>
      <c r="K2013" s="490"/>
      <c r="L2013" s="491"/>
      <c r="M2013" s="491"/>
      <c r="N2013" s="456"/>
      <c r="O2013" s="492"/>
      <c r="P2013" s="430"/>
    </row>
    <row r="2014" spans="1:16" ht="13.5" hidden="1" customHeight="1" outlineLevel="3" x14ac:dyDescent="0.2">
      <c r="A2014" s="233">
        <v>0</v>
      </c>
      <c r="B2014" s="233">
        <v>15</v>
      </c>
      <c r="C2014" s="233">
        <v>13</v>
      </c>
      <c r="D2014" s="234">
        <v>1</v>
      </c>
      <c r="E2014" s="234">
        <v>1</v>
      </c>
      <c r="G2014" s="508" t="s">
        <v>46</v>
      </c>
      <c r="H2014" s="493" t="s">
        <v>1238</v>
      </c>
      <c r="I2014" s="460" t="s">
        <v>5310</v>
      </c>
      <c r="J2014" s="495" t="s">
        <v>554</v>
      </c>
      <c r="K2014" s="496" t="s">
        <v>641</v>
      </c>
      <c r="L2014" s="497" t="e">
        <v>#REF!</v>
      </c>
      <c r="M2014" s="497">
        <v>5.1029166666666663</v>
      </c>
      <c r="N2014" s="464"/>
      <c r="O2014" s="498"/>
      <c r="P2014" s="431" t="s">
        <v>6711</v>
      </c>
    </row>
    <row r="2015" spans="1:16" ht="13.5" hidden="1" customHeight="1" outlineLevel="2" x14ac:dyDescent="0.2">
      <c r="A2015" s="233">
        <v>0</v>
      </c>
      <c r="B2015" s="233">
        <v>15</v>
      </c>
      <c r="C2015" s="233">
        <v>13</v>
      </c>
      <c r="D2015" s="234">
        <v>2</v>
      </c>
      <c r="E2015" s="234">
        <v>0</v>
      </c>
      <c r="G2015" s="507"/>
      <c r="H2015" s="487" t="s">
        <v>1237</v>
      </c>
      <c r="I2015" s="452" t="s">
        <v>5311</v>
      </c>
      <c r="J2015" s="489" t="s">
        <v>2275</v>
      </c>
      <c r="K2015" s="490"/>
      <c r="L2015" s="491"/>
      <c r="M2015" s="491"/>
      <c r="N2015" s="456"/>
      <c r="O2015" s="492"/>
      <c r="P2015" s="430"/>
    </row>
    <row r="2016" spans="1:16" ht="12.75" hidden="1" outlineLevel="3" x14ac:dyDescent="0.2">
      <c r="A2016" s="233">
        <v>0</v>
      </c>
      <c r="B2016" s="233">
        <v>15</v>
      </c>
      <c r="C2016" s="233">
        <v>13</v>
      </c>
      <c r="D2016" s="234">
        <v>2</v>
      </c>
      <c r="E2016" s="234">
        <v>1</v>
      </c>
      <c r="G2016" s="508" t="s">
        <v>49</v>
      </c>
      <c r="H2016" s="493" t="s">
        <v>1238</v>
      </c>
      <c r="I2016" s="460" t="s">
        <v>5312</v>
      </c>
      <c r="J2016" s="495" t="s">
        <v>563</v>
      </c>
      <c r="K2016" s="496" t="s">
        <v>641</v>
      </c>
      <c r="L2016" s="497" t="e">
        <v>#REF!</v>
      </c>
      <c r="M2016" s="497">
        <v>137.29</v>
      </c>
      <c r="N2016" s="464"/>
      <c r="O2016" s="498"/>
      <c r="P2016" s="431" t="s">
        <v>6711</v>
      </c>
    </row>
    <row r="2017" spans="1:16" ht="13.5" hidden="1" customHeight="1" outlineLevel="3" x14ac:dyDescent="0.2">
      <c r="A2017" s="233">
        <v>0</v>
      </c>
      <c r="B2017" s="233">
        <v>15</v>
      </c>
      <c r="C2017" s="233">
        <v>13</v>
      </c>
      <c r="D2017" s="234">
        <v>2</v>
      </c>
      <c r="E2017" s="234">
        <v>2</v>
      </c>
      <c r="G2017" s="508" t="s">
        <v>49</v>
      </c>
      <c r="H2017" s="493" t="s">
        <v>1238</v>
      </c>
      <c r="I2017" s="460" t="s">
        <v>5313</v>
      </c>
      <c r="J2017" s="495" t="s">
        <v>565</v>
      </c>
      <c r="K2017" s="496" t="s">
        <v>641</v>
      </c>
      <c r="L2017" s="497" t="e">
        <v>#REF!</v>
      </c>
      <c r="M2017" s="497">
        <v>164.74799999999999</v>
      </c>
      <c r="N2017" s="464"/>
      <c r="O2017" s="498"/>
      <c r="P2017" s="431" t="s">
        <v>6711</v>
      </c>
    </row>
    <row r="2018" spans="1:16" ht="13.5" hidden="1" customHeight="1" outlineLevel="3" x14ac:dyDescent="0.2">
      <c r="A2018" s="233">
        <v>0</v>
      </c>
      <c r="B2018" s="233">
        <v>15</v>
      </c>
      <c r="C2018" s="233">
        <v>13</v>
      </c>
      <c r="D2018" s="234">
        <v>2</v>
      </c>
      <c r="E2018" s="234">
        <v>3</v>
      </c>
      <c r="G2018" s="508" t="s">
        <v>49</v>
      </c>
      <c r="H2018" s="493" t="s">
        <v>1238</v>
      </c>
      <c r="I2018" s="460" t="s">
        <v>5314</v>
      </c>
      <c r="J2018" s="495" t="s">
        <v>566</v>
      </c>
      <c r="K2018" s="496" t="s">
        <v>787</v>
      </c>
      <c r="L2018" s="497" t="e">
        <v>#REF!</v>
      </c>
      <c r="M2018" s="497">
        <v>49.424399999999999</v>
      </c>
      <c r="N2018" s="464"/>
      <c r="O2018" s="498"/>
      <c r="P2018" s="431" t="s">
        <v>6711</v>
      </c>
    </row>
    <row r="2019" spans="1:16" ht="13.5" hidden="1" customHeight="1" outlineLevel="3" x14ac:dyDescent="0.2">
      <c r="A2019" s="233">
        <v>0</v>
      </c>
      <c r="B2019" s="233">
        <v>15</v>
      </c>
      <c r="C2019" s="233">
        <v>13</v>
      </c>
      <c r="D2019" s="234">
        <v>2</v>
      </c>
      <c r="E2019" s="234">
        <v>4</v>
      </c>
      <c r="G2019" s="508" t="s">
        <v>49</v>
      </c>
      <c r="H2019" s="493" t="s">
        <v>1238</v>
      </c>
      <c r="I2019" s="460" t="s">
        <v>5315</v>
      </c>
      <c r="J2019" s="495" t="s">
        <v>564</v>
      </c>
      <c r="K2019" s="496" t="s">
        <v>787</v>
      </c>
      <c r="L2019" s="497" t="e">
        <v>#REF!</v>
      </c>
      <c r="M2019" s="497">
        <v>49.424399999999999</v>
      </c>
      <c r="N2019" s="464"/>
      <c r="O2019" s="498"/>
      <c r="P2019" s="431" t="s">
        <v>6711</v>
      </c>
    </row>
    <row r="2020" spans="1:16" ht="12.75" hidden="1" outlineLevel="3" x14ac:dyDescent="0.2">
      <c r="A2020" s="233">
        <v>0</v>
      </c>
      <c r="B2020" s="233">
        <v>15</v>
      </c>
      <c r="C2020" s="233">
        <v>13</v>
      </c>
      <c r="D2020" s="234">
        <v>2</v>
      </c>
      <c r="E2020" s="234">
        <v>5</v>
      </c>
      <c r="G2020" s="508" t="s">
        <v>49</v>
      </c>
      <c r="H2020" s="493" t="s">
        <v>1238</v>
      </c>
      <c r="I2020" s="460" t="s">
        <v>5316</v>
      </c>
      <c r="J2020" s="495" t="s">
        <v>2464</v>
      </c>
      <c r="K2020" s="496" t="s">
        <v>787</v>
      </c>
      <c r="L2020" s="497" t="e">
        <v>#REF!</v>
      </c>
      <c r="M2020" s="497">
        <v>82.373999999999995</v>
      </c>
      <c r="N2020" s="464"/>
      <c r="O2020" s="498"/>
      <c r="P2020" s="431" t="s">
        <v>6711</v>
      </c>
    </row>
    <row r="2021" spans="1:16" ht="13.5" hidden="1" customHeight="1" outlineLevel="2" x14ac:dyDescent="0.2">
      <c r="A2021" s="233">
        <v>0</v>
      </c>
      <c r="B2021" s="233">
        <v>15</v>
      </c>
      <c r="C2021" s="233">
        <v>13</v>
      </c>
      <c r="D2021" s="234">
        <v>3</v>
      </c>
      <c r="E2021" s="234">
        <v>0</v>
      </c>
      <c r="G2021" s="507"/>
      <c r="H2021" s="487" t="s">
        <v>1237</v>
      </c>
      <c r="I2021" s="452" t="s">
        <v>5317</v>
      </c>
      <c r="J2021" s="489" t="s">
        <v>14</v>
      </c>
      <c r="K2021" s="490"/>
      <c r="L2021" s="491"/>
      <c r="M2021" s="491"/>
      <c r="N2021" s="456"/>
      <c r="O2021" s="492"/>
      <c r="P2021" s="430"/>
    </row>
    <row r="2022" spans="1:16" ht="13.5" hidden="1" customHeight="1" outlineLevel="3" x14ac:dyDescent="0.2">
      <c r="A2022" s="233">
        <v>0</v>
      </c>
      <c r="B2022" s="233">
        <v>15</v>
      </c>
      <c r="C2022" s="233">
        <v>13</v>
      </c>
      <c r="D2022" s="234">
        <v>3</v>
      </c>
      <c r="E2022" s="234">
        <v>1</v>
      </c>
      <c r="G2022" s="508" t="s">
        <v>46</v>
      </c>
      <c r="H2022" s="493" t="s">
        <v>1238</v>
      </c>
      <c r="I2022" s="460" t="s">
        <v>5318</v>
      </c>
      <c r="J2022" s="495" t="s">
        <v>574</v>
      </c>
      <c r="K2022" s="496" t="s">
        <v>641</v>
      </c>
      <c r="L2022" s="497" t="e">
        <v>#REF!</v>
      </c>
      <c r="M2022" s="497">
        <v>25</v>
      </c>
      <c r="N2022" s="464"/>
      <c r="O2022" s="498"/>
      <c r="P2022" s="431" t="s">
        <v>6711</v>
      </c>
    </row>
    <row r="2023" spans="1:16" ht="13.5" hidden="1" customHeight="1" outlineLevel="1" x14ac:dyDescent="0.2">
      <c r="A2023" s="233">
        <v>0</v>
      </c>
      <c r="B2023" s="233">
        <v>15</v>
      </c>
      <c r="C2023" s="233">
        <v>14</v>
      </c>
      <c r="D2023" s="234">
        <v>0</v>
      </c>
      <c r="E2023" s="234">
        <v>1</v>
      </c>
      <c r="G2023" s="506"/>
      <c r="H2023" s="481" t="s">
        <v>38</v>
      </c>
      <c r="I2023" s="445" t="s">
        <v>5319</v>
      </c>
      <c r="J2023" s="483" t="s">
        <v>2503</v>
      </c>
      <c r="K2023" s="484"/>
      <c r="L2023" s="485"/>
      <c r="M2023" s="485"/>
      <c r="N2023" s="449"/>
      <c r="O2023" s="486"/>
      <c r="P2023" s="429"/>
    </row>
    <row r="2024" spans="1:16" ht="13.5" hidden="1" customHeight="1" outlineLevel="2" x14ac:dyDescent="0.2">
      <c r="A2024" s="233">
        <v>0</v>
      </c>
      <c r="B2024" s="233">
        <v>15</v>
      </c>
      <c r="C2024" s="233">
        <v>14</v>
      </c>
      <c r="D2024" s="234">
        <v>1</v>
      </c>
      <c r="E2024" s="234">
        <v>0</v>
      </c>
      <c r="G2024" s="507"/>
      <c r="H2024" s="487" t="s">
        <v>1237</v>
      </c>
      <c r="I2024" s="452" t="s">
        <v>5320</v>
      </c>
      <c r="J2024" s="489" t="s">
        <v>2276</v>
      </c>
      <c r="K2024" s="490"/>
      <c r="L2024" s="491"/>
      <c r="M2024" s="491"/>
      <c r="N2024" s="456"/>
      <c r="O2024" s="492"/>
      <c r="P2024" s="430"/>
    </row>
    <row r="2025" spans="1:16" ht="13.5" hidden="1" customHeight="1" outlineLevel="3" x14ac:dyDescent="0.2">
      <c r="A2025" s="233">
        <v>0</v>
      </c>
      <c r="B2025" s="233">
        <v>15</v>
      </c>
      <c r="C2025" s="233">
        <v>14</v>
      </c>
      <c r="D2025" s="234">
        <v>1</v>
      </c>
      <c r="E2025" s="234">
        <v>1</v>
      </c>
      <c r="G2025" s="508" t="s">
        <v>46</v>
      </c>
      <c r="H2025" s="493" t="s">
        <v>1238</v>
      </c>
      <c r="I2025" s="460" t="s">
        <v>5321</v>
      </c>
      <c r="J2025" s="495" t="s">
        <v>554</v>
      </c>
      <c r="K2025" s="496" t="s">
        <v>641</v>
      </c>
      <c r="L2025" s="497" t="e">
        <v>#REF!</v>
      </c>
      <c r="M2025" s="497">
        <v>5.1029166666666663</v>
      </c>
      <c r="N2025" s="464"/>
      <c r="O2025" s="498"/>
      <c r="P2025" s="431" t="s">
        <v>6711</v>
      </c>
    </row>
    <row r="2026" spans="1:16" ht="13.5" hidden="1" customHeight="1" outlineLevel="2" x14ac:dyDescent="0.2">
      <c r="A2026" s="233">
        <v>0</v>
      </c>
      <c r="B2026" s="233">
        <v>15</v>
      </c>
      <c r="C2026" s="233">
        <v>14</v>
      </c>
      <c r="D2026" s="234">
        <v>2</v>
      </c>
      <c r="E2026" s="234">
        <v>0</v>
      </c>
      <c r="G2026" s="507"/>
      <c r="H2026" s="487" t="s">
        <v>1237</v>
      </c>
      <c r="I2026" s="452" t="s">
        <v>5322</v>
      </c>
      <c r="J2026" s="489" t="s">
        <v>2275</v>
      </c>
      <c r="K2026" s="490"/>
      <c r="L2026" s="491"/>
      <c r="M2026" s="491"/>
      <c r="N2026" s="456"/>
      <c r="O2026" s="492"/>
      <c r="P2026" s="430"/>
    </row>
    <row r="2027" spans="1:16" ht="12.75" hidden="1" outlineLevel="3" x14ac:dyDescent="0.2">
      <c r="A2027" s="233">
        <v>0</v>
      </c>
      <c r="B2027" s="233">
        <v>15</v>
      </c>
      <c r="C2027" s="233">
        <v>14</v>
      </c>
      <c r="D2027" s="234">
        <v>2</v>
      </c>
      <c r="E2027" s="234">
        <v>1</v>
      </c>
      <c r="G2027" s="508" t="s">
        <v>49</v>
      </c>
      <c r="H2027" s="493" t="s">
        <v>1238</v>
      </c>
      <c r="I2027" s="460" t="s">
        <v>5323</v>
      </c>
      <c r="J2027" s="495" t="s">
        <v>563</v>
      </c>
      <c r="K2027" s="496" t="s">
        <v>641</v>
      </c>
      <c r="L2027" s="497" t="e">
        <v>#REF!</v>
      </c>
      <c r="M2027" s="497">
        <v>137.29</v>
      </c>
      <c r="N2027" s="464"/>
      <c r="O2027" s="498"/>
      <c r="P2027" s="431" t="s">
        <v>6711</v>
      </c>
    </row>
    <row r="2028" spans="1:16" ht="13.5" hidden="1" customHeight="1" outlineLevel="3" x14ac:dyDescent="0.2">
      <c r="A2028" s="233">
        <v>0</v>
      </c>
      <c r="B2028" s="233">
        <v>15</v>
      </c>
      <c r="C2028" s="233">
        <v>14</v>
      </c>
      <c r="D2028" s="234">
        <v>2</v>
      </c>
      <c r="E2028" s="234">
        <v>2</v>
      </c>
      <c r="G2028" s="508" t="s">
        <v>49</v>
      </c>
      <c r="H2028" s="493" t="s">
        <v>1238</v>
      </c>
      <c r="I2028" s="460" t="s">
        <v>5324</v>
      </c>
      <c r="J2028" s="495" t="s">
        <v>564</v>
      </c>
      <c r="K2028" s="496" t="s">
        <v>787</v>
      </c>
      <c r="L2028" s="497" t="e">
        <v>#REF!</v>
      </c>
      <c r="M2028" s="497">
        <v>49.424399999999999</v>
      </c>
      <c r="N2028" s="464"/>
      <c r="O2028" s="498"/>
      <c r="P2028" s="431" t="s">
        <v>6711</v>
      </c>
    </row>
    <row r="2029" spans="1:16" ht="13.5" hidden="1" customHeight="1" outlineLevel="2" x14ac:dyDescent="0.2">
      <c r="A2029" s="233">
        <v>0</v>
      </c>
      <c r="B2029" s="233">
        <v>15</v>
      </c>
      <c r="C2029" s="233">
        <v>14</v>
      </c>
      <c r="D2029" s="234">
        <v>3</v>
      </c>
      <c r="E2029" s="234">
        <v>0</v>
      </c>
      <c r="G2029" s="507"/>
      <c r="H2029" s="487" t="s">
        <v>1237</v>
      </c>
      <c r="I2029" s="452" t="s">
        <v>5325</v>
      </c>
      <c r="J2029" s="489" t="s">
        <v>14</v>
      </c>
      <c r="K2029" s="490"/>
      <c r="L2029" s="491"/>
      <c r="M2029" s="491"/>
      <c r="N2029" s="456"/>
      <c r="O2029" s="492"/>
      <c r="P2029" s="430"/>
    </row>
    <row r="2030" spans="1:16" ht="13.5" hidden="1" customHeight="1" outlineLevel="3" x14ac:dyDescent="0.2">
      <c r="A2030" s="233">
        <v>0</v>
      </c>
      <c r="B2030" s="233">
        <v>15</v>
      </c>
      <c r="C2030" s="233">
        <v>14</v>
      </c>
      <c r="D2030" s="234">
        <v>3</v>
      </c>
      <c r="E2030" s="234">
        <v>1</v>
      </c>
      <c r="G2030" s="508" t="s">
        <v>46</v>
      </c>
      <c r="H2030" s="493" t="s">
        <v>1238</v>
      </c>
      <c r="I2030" s="460" t="s">
        <v>5326</v>
      </c>
      <c r="J2030" s="495" t="s">
        <v>574</v>
      </c>
      <c r="K2030" s="496" t="s">
        <v>641</v>
      </c>
      <c r="L2030" s="497" t="e">
        <v>#REF!</v>
      </c>
      <c r="M2030" s="497">
        <v>25</v>
      </c>
      <c r="N2030" s="464"/>
      <c r="O2030" s="498"/>
      <c r="P2030" s="431" t="s">
        <v>6711</v>
      </c>
    </row>
    <row r="2031" spans="1:16" ht="13.5" customHeight="1" collapsed="1" x14ac:dyDescent="0.2">
      <c r="A2031" s="233">
        <v>0</v>
      </c>
      <c r="B2031" s="233">
        <v>16</v>
      </c>
      <c r="C2031" s="233">
        <v>0</v>
      </c>
      <c r="D2031" s="234">
        <v>3</v>
      </c>
      <c r="E2031" s="234">
        <v>1</v>
      </c>
      <c r="F2031" s="237"/>
      <c r="G2031" s="504"/>
      <c r="H2031" s="476" t="s">
        <v>1236</v>
      </c>
      <c r="I2031" s="438" t="s">
        <v>5327</v>
      </c>
      <c r="J2031" s="505" t="s">
        <v>575</v>
      </c>
      <c r="K2031" s="478"/>
      <c r="L2031" s="479"/>
      <c r="M2031" s="479"/>
      <c r="N2031" s="442"/>
      <c r="O2031" s="480"/>
      <c r="P2031" s="428"/>
    </row>
    <row r="2032" spans="1:16" ht="12.75" hidden="1" customHeight="1" outlineLevel="1" x14ac:dyDescent="0.2">
      <c r="A2032" s="233">
        <v>0</v>
      </c>
      <c r="B2032" s="233">
        <v>16</v>
      </c>
      <c r="C2032" s="233">
        <v>1</v>
      </c>
      <c r="D2032" s="234">
        <v>0</v>
      </c>
      <c r="E2032" s="234">
        <v>1</v>
      </c>
      <c r="G2032" s="506"/>
      <c r="H2032" s="481" t="s">
        <v>38</v>
      </c>
      <c r="I2032" s="445" t="s">
        <v>5328</v>
      </c>
      <c r="J2032" s="483" t="s">
        <v>2593</v>
      </c>
      <c r="K2032" s="484"/>
      <c r="L2032" s="485"/>
      <c r="M2032" s="485"/>
      <c r="N2032" s="449"/>
      <c r="O2032" s="486"/>
      <c r="P2032" s="429"/>
    </row>
    <row r="2033" spans="1:16" ht="12.75" hidden="1" customHeight="1" outlineLevel="2" x14ac:dyDescent="0.2">
      <c r="A2033" s="233">
        <v>0</v>
      </c>
      <c r="B2033" s="233">
        <v>16</v>
      </c>
      <c r="C2033" s="233">
        <v>1</v>
      </c>
      <c r="D2033" s="234">
        <v>1</v>
      </c>
      <c r="E2033" s="234">
        <v>0</v>
      </c>
      <c r="G2033" s="507"/>
      <c r="H2033" s="487" t="s">
        <v>1237</v>
      </c>
      <c r="I2033" s="452" t="s">
        <v>5329</v>
      </c>
      <c r="J2033" s="489" t="s">
        <v>22</v>
      </c>
      <c r="K2033" s="490"/>
      <c r="L2033" s="491"/>
      <c r="M2033" s="491"/>
      <c r="N2033" s="456"/>
      <c r="O2033" s="492"/>
      <c r="P2033" s="430"/>
    </row>
    <row r="2034" spans="1:16" ht="12.75" hidden="1" customHeight="1" outlineLevel="3" x14ac:dyDescent="0.2">
      <c r="A2034" s="233">
        <v>0</v>
      </c>
      <c r="B2034" s="233">
        <v>16</v>
      </c>
      <c r="C2034" s="233">
        <v>1</v>
      </c>
      <c r="D2034" s="234">
        <v>1</v>
      </c>
      <c r="E2034" s="234">
        <v>1</v>
      </c>
      <c r="G2034" s="508" t="s">
        <v>44</v>
      </c>
      <c r="H2034" s="493" t="s">
        <v>1238</v>
      </c>
      <c r="I2034" s="460" t="s">
        <v>5330</v>
      </c>
      <c r="J2034" s="495" t="s">
        <v>2505</v>
      </c>
      <c r="K2034" s="496" t="s">
        <v>641</v>
      </c>
      <c r="L2034" s="497" t="e">
        <v>#REF!</v>
      </c>
      <c r="M2034" s="497">
        <v>44.585233333333335</v>
      </c>
      <c r="N2034" s="464"/>
      <c r="O2034" s="471" t="s">
        <v>3014</v>
      </c>
      <c r="P2034" s="431" t="s">
        <v>6711</v>
      </c>
    </row>
    <row r="2035" spans="1:16" ht="12.75" hidden="1" customHeight="1" outlineLevel="2" x14ac:dyDescent="0.2">
      <c r="A2035" s="233">
        <v>0</v>
      </c>
      <c r="B2035" s="233">
        <v>16</v>
      </c>
      <c r="C2035" s="233">
        <v>1</v>
      </c>
      <c r="D2035" s="234">
        <v>2</v>
      </c>
      <c r="E2035" s="234">
        <v>0</v>
      </c>
      <c r="G2035" s="507"/>
      <c r="H2035" s="487" t="s">
        <v>1237</v>
      </c>
      <c r="I2035" s="452" t="s">
        <v>5331</v>
      </c>
      <c r="J2035" s="489" t="s">
        <v>2348</v>
      </c>
      <c r="K2035" s="490"/>
      <c r="L2035" s="491"/>
      <c r="M2035" s="491"/>
      <c r="N2035" s="456"/>
      <c r="O2035" s="492"/>
      <c r="P2035" s="430"/>
    </row>
    <row r="2036" spans="1:16" ht="12.75" hidden="1" customHeight="1" outlineLevel="3" x14ac:dyDescent="0.2">
      <c r="A2036" s="233">
        <v>0</v>
      </c>
      <c r="B2036" s="233">
        <v>16</v>
      </c>
      <c r="C2036" s="233">
        <v>1</v>
      </c>
      <c r="D2036" s="234">
        <v>2</v>
      </c>
      <c r="E2036" s="234">
        <v>1</v>
      </c>
      <c r="G2036" s="508" t="s">
        <v>44</v>
      </c>
      <c r="H2036" s="493" t="s">
        <v>1238</v>
      </c>
      <c r="I2036" s="460" t="s">
        <v>5332</v>
      </c>
      <c r="J2036" s="495" t="s">
        <v>1798</v>
      </c>
      <c r="K2036" s="496" t="s">
        <v>641</v>
      </c>
      <c r="L2036" s="497" t="e">
        <v>#REF!</v>
      </c>
      <c r="M2036" s="497">
        <v>77.366820666666669</v>
      </c>
      <c r="N2036" s="464"/>
      <c r="O2036" s="498" t="s">
        <v>2507</v>
      </c>
      <c r="P2036" s="431" t="s">
        <v>6711</v>
      </c>
    </row>
    <row r="2037" spans="1:16" ht="12.75" hidden="1" customHeight="1" outlineLevel="2" x14ac:dyDescent="0.2">
      <c r="A2037" s="233">
        <v>0</v>
      </c>
      <c r="B2037" s="233">
        <v>16</v>
      </c>
      <c r="C2037" s="233">
        <v>1</v>
      </c>
      <c r="D2037" s="234">
        <v>3</v>
      </c>
      <c r="E2037" s="234">
        <v>0</v>
      </c>
      <c r="G2037" s="507"/>
      <c r="H2037" s="487" t="s">
        <v>1237</v>
      </c>
      <c r="I2037" s="452" t="s">
        <v>5333</v>
      </c>
      <c r="J2037" s="489" t="s">
        <v>2277</v>
      </c>
      <c r="K2037" s="490"/>
      <c r="L2037" s="491"/>
      <c r="M2037" s="491"/>
      <c r="N2037" s="456"/>
      <c r="O2037" s="492"/>
      <c r="P2037" s="430"/>
    </row>
    <row r="2038" spans="1:16" ht="12.75" hidden="1" customHeight="1" outlineLevel="3" x14ac:dyDescent="0.2">
      <c r="A2038" s="233">
        <v>0</v>
      </c>
      <c r="B2038" s="233">
        <v>16</v>
      </c>
      <c r="C2038" s="233">
        <v>1</v>
      </c>
      <c r="D2038" s="234">
        <v>3</v>
      </c>
      <c r="E2038" s="234">
        <v>1</v>
      </c>
      <c r="G2038" s="508" t="s">
        <v>48</v>
      </c>
      <c r="H2038" s="493" t="s">
        <v>1238</v>
      </c>
      <c r="I2038" s="460" t="s">
        <v>5334</v>
      </c>
      <c r="J2038" s="495" t="s">
        <v>2516</v>
      </c>
      <c r="K2038" s="496" t="s">
        <v>641</v>
      </c>
      <c r="L2038" s="497" t="e">
        <v>#REF!</v>
      </c>
      <c r="M2038" s="497">
        <v>61.838600000000007</v>
      </c>
      <c r="N2038" s="464"/>
      <c r="O2038" s="498"/>
      <c r="P2038" s="431" t="s">
        <v>6711</v>
      </c>
    </row>
    <row r="2039" spans="1:16" ht="12.75" hidden="1" customHeight="1" outlineLevel="3" x14ac:dyDescent="0.2">
      <c r="A2039" s="233">
        <v>0</v>
      </c>
      <c r="B2039" s="233">
        <v>16</v>
      </c>
      <c r="C2039" s="233">
        <v>1</v>
      </c>
      <c r="D2039" s="234">
        <v>3</v>
      </c>
      <c r="E2039" s="234">
        <v>2</v>
      </c>
      <c r="G2039" s="508" t="s">
        <v>48</v>
      </c>
      <c r="H2039" s="493" t="s">
        <v>1238</v>
      </c>
      <c r="I2039" s="460" t="s">
        <v>5335</v>
      </c>
      <c r="J2039" s="495" t="s">
        <v>1816</v>
      </c>
      <c r="K2039" s="496" t="s">
        <v>641</v>
      </c>
      <c r="L2039" s="497" t="e">
        <v>#REF!</v>
      </c>
      <c r="M2039" s="497">
        <v>58.073</v>
      </c>
      <c r="N2039" s="464"/>
      <c r="O2039" s="498"/>
      <c r="P2039" s="431" t="s">
        <v>6711</v>
      </c>
    </row>
    <row r="2040" spans="1:16" ht="12.75" hidden="1" customHeight="1" outlineLevel="3" x14ac:dyDescent="0.2">
      <c r="A2040" s="233">
        <v>0</v>
      </c>
      <c r="B2040" s="233">
        <v>16</v>
      </c>
      <c r="C2040" s="233">
        <v>1</v>
      </c>
      <c r="D2040" s="234">
        <v>3</v>
      </c>
      <c r="E2040" s="234">
        <v>3</v>
      </c>
      <c r="G2040" s="508" t="s">
        <v>48</v>
      </c>
      <c r="H2040" s="493" t="s">
        <v>1238</v>
      </c>
      <c r="I2040" s="460" t="s">
        <v>5336</v>
      </c>
      <c r="J2040" s="495" t="s">
        <v>2511</v>
      </c>
      <c r="K2040" s="496" t="s">
        <v>641</v>
      </c>
      <c r="L2040" s="497" t="e">
        <v>#REF!</v>
      </c>
      <c r="M2040" s="497">
        <v>229.82760000000005</v>
      </c>
      <c r="N2040" s="464"/>
      <c r="O2040" s="498"/>
      <c r="P2040" s="431" t="s">
        <v>6711</v>
      </c>
    </row>
    <row r="2041" spans="1:16" ht="12.75" hidden="1" customHeight="1" outlineLevel="3" x14ac:dyDescent="0.2">
      <c r="A2041" s="233">
        <v>0</v>
      </c>
      <c r="B2041" s="233">
        <v>16</v>
      </c>
      <c r="C2041" s="233">
        <v>1</v>
      </c>
      <c r="D2041" s="234">
        <v>3</v>
      </c>
      <c r="E2041" s="234">
        <v>4</v>
      </c>
      <c r="G2041" s="508" t="s">
        <v>48</v>
      </c>
      <c r="H2041" s="493" t="s">
        <v>1238</v>
      </c>
      <c r="I2041" s="460" t="s">
        <v>5337</v>
      </c>
      <c r="J2041" s="495" t="s">
        <v>2512</v>
      </c>
      <c r="K2041" s="496" t="s">
        <v>641</v>
      </c>
      <c r="L2041" s="497" t="e">
        <v>#REF!</v>
      </c>
      <c r="M2041" s="497">
        <v>141.82760000000002</v>
      </c>
      <c r="N2041" s="464"/>
      <c r="O2041" s="471" t="s">
        <v>3016</v>
      </c>
      <c r="P2041" s="431" t="s">
        <v>6711</v>
      </c>
    </row>
    <row r="2042" spans="1:16" ht="12.75" hidden="1" customHeight="1" outlineLevel="3" x14ac:dyDescent="0.2">
      <c r="A2042" s="233">
        <v>0</v>
      </c>
      <c r="B2042" s="233">
        <v>16</v>
      </c>
      <c r="C2042" s="233">
        <v>1</v>
      </c>
      <c r="D2042" s="234">
        <v>3</v>
      </c>
      <c r="E2042" s="234">
        <v>5</v>
      </c>
      <c r="G2042" s="508" t="s">
        <v>48</v>
      </c>
      <c r="H2042" s="493" t="s">
        <v>1238</v>
      </c>
      <c r="I2042" s="460" t="s">
        <v>5338</v>
      </c>
      <c r="J2042" s="495" t="s">
        <v>2517</v>
      </c>
      <c r="K2042" s="496" t="s">
        <v>641</v>
      </c>
      <c r="L2042" s="497" t="e">
        <v>#REF!</v>
      </c>
      <c r="M2042" s="497">
        <v>102.7886</v>
      </c>
      <c r="N2042" s="464"/>
      <c r="O2042" s="498"/>
      <c r="P2042" s="431" t="s">
        <v>6711</v>
      </c>
    </row>
    <row r="2043" spans="1:16" ht="12.75" hidden="1" customHeight="1" outlineLevel="2" x14ac:dyDescent="0.2">
      <c r="A2043" s="233">
        <v>0</v>
      </c>
      <c r="B2043" s="233">
        <v>16</v>
      </c>
      <c r="C2043" s="233">
        <v>1</v>
      </c>
      <c r="D2043" s="234">
        <v>4</v>
      </c>
      <c r="E2043" s="234">
        <v>0</v>
      </c>
      <c r="G2043" s="507"/>
      <c r="H2043" s="487" t="s">
        <v>1237</v>
      </c>
      <c r="I2043" s="452" t="s">
        <v>5339</v>
      </c>
      <c r="J2043" s="489" t="s">
        <v>2349</v>
      </c>
      <c r="K2043" s="490"/>
      <c r="L2043" s="491"/>
      <c r="M2043" s="491"/>
      <c r="N2043" s="456"/>
      <c r="O2043" s="492"/>
      <c r="P2043" s="430"/>
    </row>
    <row r="2044" spans="1:16" ht="12.75" hidden="1" customHeight="1" outlineLevel="3" x14ac:dyDescent="0.2">
      <c r="A2044" s="233">
        <v>0</v>
      </c>
      <c r="B2044" s="233">
        <v>16</v>
      </c>
      <c r="C2044" s="233">
        <v>1</v>
      </c>
      <c r="D2044" s="234">
        <v>4</v>
      </c>
      <c r="E2044" s="234">
        <v>1</v>
      </c>
      <c r="G2044" s="508" t="s">
        <v>48</v>
      </c>
      <c r="H2044" s="493" t="s">
        <v>1238</v>
      </c>
      <c r="I2044" s="460" t="s">
        <v>5340</v>
      </c>
      <c r="J2044" s="495" t="s">
        <v>2558</v>
      </c>
      <c r="K2044" s="496" t="s">
        <v>641</v>
      </c>
      <c r="L2044" s="497" t="e">
        <v>#REF!</v>
      </c>
      <c r="M2044" s="497">
        <v>898.24550000000011</v>
      </c>
      <c r="N2044" s="464"/>
      <c r="O2044" s="498"/>
      <c r="P2044" s="431" t="s">
        <v>6711</v>
      </c>
    </row>
    <row r="2045" spans="1:16" ht="12.75" hidden="1" customHeight="1" outlineLevel="3" x14ac:dyDescent="0.2">
      <c r="A2045" s="233">
        <v>0</v>
      </c>
      <c r="B2045" s="233">
        <v>16</v>
      </c>
      <c r="C2045" s="233">
        <v>1</v>
      </c>
      <c r="D2045" s="234">
        <v>4</v>
      </c>
      <c r="E2045" s="234">
        <v>2</v>
      </c>
      <c r="G2045" s="508" t="s">
        <v>48</v>
      </c>
      <c r="H2045" s="493" t="s">
        <v>1238</v>
      </c>
      <c r="I2045" s="460" t="s">
        <v>5341</v>
      </c>
      <c r="J2045" s="495" t="s">
        <v>2562</v>
      </c>
      <c r="K2045" s="496" t="s">
        <v>641</v>
      </c>
      <c r="L2045" s="497" t="e">
        <v>#REF!</v>
      </c>
      <c r="M2045" s="497">
        <v>1448.2455000000002</v>
      </c>
      <c r="N2045" s="464"/>
      <c r="O2045" s="498"/>
      <c r="P2045" s="431" t="s">
        <v>6711</v>
      </c>
    </row>
    <row r="2046" spans="1:16" ht="12.75" hidden="1" customHeight="1" outlineLevel="3" x14ac:dyDescent="0.2">
      <c r="A2046" s="233">
        <v>0</v>
      </c>
      <c r="B2046" s="233">
        <v>16</v>
      </c>
      <c r="C2046" s="233">
        <v>1</v>
      </c>
      <c r="D2046" s="234">
        <v>4</v>
      </c>
      <c r="E2046" s="234">
        <v>3</v>
      </c>
      <c r="G2046" s="508" t="s">
        <v>48</v>
      </c>
      <c r="H2046" s="493" t="s">
        <v>1238</v>
      </c>
      <c r="I2046" s="460" t="s">
        <v>5342</v>
      </c>
      <c r="J2046" s="495" t="s">
        <v>2563</v>
      </c>
      <c r="K2046" s="496" t="s">
        <v>641</v>
      </c>
      <c r="L2046" s="497" t="e">
        <v>#REF!</v>
      </c>
      <c r="M2046" s="497">
        <v>3538.2455000000004</v>
      </c>
      <c r="N2046" s="464"/>
      <c r="O2046" s="498"/>
      <c r="P2046" s="431" t="s">
        <v>6711</v>
      </c>
    </row>
    <row r="2047" spans="1:16" ht="12.75" hidden="1" customHeight="1" outlineLevel="2" x14ac:dyDescent="0.2">
      <c r="A2047" s="233">
        <v>0</v>
      </c>
      <c r="B2047" s="233">
        <v>16</v>
      </c>
      <c r="C2047" s="233">
        <v>1</v>
      </c>
      <c r="D2047" s="234">
        <v>5</v>
      </c>
      <c r="E2047" s="234">
        <v>0</v>
      </c>
      <c r="G2047" s="507"/>
      <c r="H2047" s="487" t="s">
        <v>1237</v>
      </c>
      <c r="I2047" s="452" t="s">
        <v>5343</v>
      </c>
      <c r="J2047" s="489" t="s">
        <v>2346</v>
      </c>
      <c r="K2047" s="490"/>
      <c r="L2047" s="491"/>
      <c r="M2047" s="491"/>
      <c r="N2047" s="456"/>
      <c r="O2047" s="492"/>
      <c r="P2047" s="430"/>
    </row>
    <row r="2048" spans="1:16" ht="12.75" hidden="1" customHeight="1" outlineLevel="3" x14ac:dyDescent="0.2">
      <c r="A2048" s="233">
        <v>0</v>
      </c>
      <c r="B2048" s="233">
        <v>16</v>
      </c>
      <c r="C2048" s="233">
        <v>1</v>
      </c>
      <c r="D2048" s="234">
        <v>5</v>
      </c>
      <c r="E2048" s="234">
        <v>1</v>
      </c>
      <c r="G2048" s="508" t="s">
        <v>48</v>
      </c>
      <c r="H2048" s="493" t="s">
        <v>1238</v>
      </c>
      <c r="I2048" s="460" t="s">
        <v>5344</v>
      </c>
      <c r="J2048" s="461" t="s">
        <v>2549</v>
      </c>
      <c r="K2048" s="496" t="s">
        <v>641</v>
      </c>
      <c r="L2048" s="497" t="e">
        <v>#REF!</v>
      </c>
      <c r="M2048" s="497">
        <v>859</v>
      </c>
      <c r="N2048" s="464"/>
      <c r="O2048" s="498" t="s">
        <v>2695</v>
      </c>
      <c r="P2048" s="431" t="s">
        <v>6711</v>
      </c>
    </row>
    <row r="2049" spans="1:16" ht="12.75" hidden="1" customHeight="1" outlineLevel="3" x14ac:dyDescent="0.2">
      <c r="A2049" s="233">
        <v>0</v>
      </c>
      <c r="B2049" s="233">
        <v>16</v>
      </c>
      <c r="C2049" s="233">
        <v>1</v>
      </c>
      <c r="D2049" s="234">
        <v>5</v>
      </c>
      <c r="E2049" s="234">
        <v>2</v>
      </c>
      <c r="G2049" s="508" t="s">
        <v>48</v>
      </c>
      <c r="H2049" s="493" t="s">
        <v>1238</v>
      </c>
      <c r="I2049" s="460" t="s">
        <v>5345</v>
      </c>
      <c r="J2049" s="461" t="s">
        <v>2550</v>
      </c>
      <c r="K2049" s="496" t="s">
        <v>641</v>
      </c>
      <c r="L2049" s="497" t="e">
        <v>#REF!</v>
      </c>
      <c r="M2049" s="497">
        <v>859</v>
      </c>
      <c r="N2049" s="464"/>
      <c r="O2049" s="498" t="s">
        <v>2696</v>
      </c>
      <c r="P2049" s="431" t="s">
        <v>6711</v>
      </c>
    </row>
    <row r="2050" spans="1:16" ht="12.75" hidden="1" customHeight="1" outlineLevel="3" x14ac:dyDescent="0.2">
      <c r="A2050" s="233">
        <v>0</v>
      </c>
      <c r="B2050" s="233">
        <v>16</v>
      </c>
      <c r="C2050" s="233">
        <v>1</v>
      </c>
      <c r="D2050" s="234">
        <v>5</v>
      </c>
      <c r="E2050" s="234">
        <v>3</v>
      </c>
      <c r="G2050" s="508" t="s">
        <v>48</v>
      </c>
      <c r="H2050" s="493" t="s">
        <v>1238</v>
      </c>
      <c r="I2050" s="460" t="s">
        <v>5346</v>
      </c>
      <c r="J2050" s="495" t="s">
        <v>2588</v>
      </c>
      <c r="K2050" s="496" t="s">
        <v>787</v>
      </c>
      <c r="L2050" s="497" t="e">
        <v>#REF!</v>
      </c>
      <c r="M2050" s="497">
        <v>150</v>
      </c>
      <c r="N2050" s="464"/>
      <c r="O2050" s="498"/>
      <c r="P2050" s="431" t="s">
        <v>6711</v>
      </c>
    </row>
    <row r="2051" spans="1:16" ht="12.75" hidden="1" customHeight="1" outlineLevel="2" x14ac:dyDescent="0.2">
      <c r="A2051" s="233">
        <v>0</v>
      </c>
      <c r="B2051" s="233">
        <v>16</v>
      </c>
      <c r="C2051" s="233">
        <v>1</v>
      </c>
      <c r="D2051" s="234">
        <v>6</v>
      </c>
      <c r="E2051" s="234">
        <v>0</v>
      </c>
      <c r="G2051" s="507"/>
      <c r="H2051" s="487" t="s">
        <v>1237</v>
      </c>
      <c r="I2051" s="452" t="s">
        <v>5347</v>
      </c>
      <c r="J2051" s="489" t="s">
        <v>2350</v>
      </c>
      <c r="K2051" s="490"/>
      <c r="L2051" s="491"/>
      <c r="M2051" s="491"/>
      <c r="N2051" s="456"/>
      <c r="O2051" s="492"/>
      <c r="P2051" s="430"/>
    </row>
    <row r="2052" spans="1:16" ht="12.75" hidden="1" customHeight="1" outlineLevel="3" x14ac:dyDescent="0.2">
      <c r="A2052" s="233">
        <v>0</v>
      </c>
      <c r="B2052" s="233">
        <v>16</v>
      </c>
      <c r="C2052" s="233">
        <v>1</v>
      </c>
      <c r="D2052" s="234">
        <v>6</v>
      </c>
      <c r="E2052" s="234">
        <v>1</v>
      </c>
      <c r="G2052" s="508" t="s">
        <v>48</v>
      </c>
      <c r="H2052" s="493" t="s">
        <v>1238</v>
      </c>
      <c r="I2052" s="460" t="s">
        <v>5348</v>
      </c>
      <c r="J2052" s="495" t="s">
        <v>1500</v>
      </c>
      <c r="K2052" s="496" t="s">
        <v>787</v>
      </c>
      <c r="L2052" s="497" t="e">
        <v>#REF!</v>
      </c>
      <c r="M2052" s="497">
        <v>10.114274999999999</v>
      </c>
      <c r="N2052" s="464"/>
      <c r="O2052" s="498"/>
      <c r="P2052" s="431" t="s">
        <v>6711</v>
      </c>
    </row>
    <row r="2053" spans="1:16" ht="12.75" hidden="1" customHeight="1" outlineLevel="3" x14ac:dyDescent="0.2">
      <c r="A2053" s="233">
        <v>0</v>
      </c>
      <c r="B2053" s="233">
        <v>16</v>
      </c>
      <c r="C2053" s="233">
        <v>1</v>
      </c>
      <c r="D2053" s="234">
        <v>6</v>
      </c>
      <c r="E2053" s="234">
        <v>2</v>
      </c>
      <c r="G2053" s="508" t="s">
        <v>48</v>
      </c>
      <c r="H2053" s="493" t="s">
        <v>1238</v>
      </c>
      <c r="I2053" s="460" t="s">
        <v>5349</v>
      </c>
      <c r="J2053" s="495" t="s">
        <v>713</v>
      </c>
      <c r="K2053" s="496" t="s">
        <v>787</v>
      </c>
      <c r="L2053" s="497" t="e">
        <v>#REF!</v>
      </c>
      <c r="M2053" s="497">
        <v>43.820583333333332</v>
      </c>
      <c r="N2053" s="464"/>
      <c r="O2053" s="498"/>
      <c r="P2053" s="431" t="s">
        <v>6711</v>
      </c>
    </row>
    <row r="2054" spans="1:16" ht="12.75" hidden="1" customHeight="1" outlineLevel="3" x14ac:dyDescent="0.2">
      <c r="A2054" s="233">
        <v>0</v>
      </c>
      <c r="B2054" s="233">
        <v>16</v>
      </c>
      <c r="C2054" s="233">
        <v>1</v>
      </c>
      <c r="D2054" s="234">
        <v>6</v>
      </c>
      <c r="E2054" s="234">
        <v>3</v>
      </c>
      <c r="G2054" s="508" t="s">
        <v>48</v>
      </c>
      <c r="H2054" s="493" t="s">
        <v>1238</v>
      </c>
      <c r="I2054" s="460" t="s">
        <v>5350</v>
      </c>
      <c r="J2054" s="495" t="s">
        <v>2583</v>
      </c>
      <c r="K2054" s="496" t="s">
        <v>787</v>
      </c>
      <c r="L2054" s="497" t="e">
        <v>#REF!</v>
      </c>
      <c r="M2054" s="497">
        <v>22.121324999999999</v>
      </c>
      <c r="N2054" s="464"/>
      <c r="O2054" s="498"/>
      <c r="P2054" s="431" t="s">
        <v>6711</v>
      </c>
    </row>
    <row r="2055" spans="1:16" ht="12.75" hidden="1" customHeight="1" outlineLevel="2" x14ac:dyDescent="0.2">
      <c r="A2055" s="233">
        <v>0</v>
      </c>
      <c r="B2055" s="233">
        <v>16</v>
      </c>
      <c r="C2055" s="233">
        <v>1</v>
      </c>
      <c r="D2055" s="234">
        <v>7</v>
      </c>
      <c r="E2055" s="234">
        <v>0</v>
      </c>
      <c r="G2055" s="507"/>
      <c r="H2055" s="487" t="s">
        <v>1237</v>
      </c>
      <c r="I2055" s="452" t="s">
        <v>5351</v>
      </c>
      <c r="J2055" s="489" t="s">
        <v>1262</v>
      </c>
      <c r="K2055" s="490"/>
      <c r="L2055" s="491"/>
      <c r="M2055" s="491"/>
      <c r="N2055" s="456"/>
      <c r="O2055" s="492"/>
      <c r="P2055" s="430"/>
    </row>
    <row r="2056" spans="1:16" ht="12.75" hidden="1" customHeight="1" outlineLevel="3" x14ac:dyDescent="0.2">
      <c r="A2056" s="233">
        <v>0</v>
      </c>
      <c r="B2056" s="233">
        <v>16</v>
      </c>
      <c r="C2056" s="233">
        <v>1</v>
      </c>
      <c r="D2056" s="234">
        <v>7</v>
      </c>
      <c r="E2056" s="234">
        <v>1</v>
      </c>
      <c r="G2056" s="508" t="s">
        <v>44</v>
      </c>
      <c r="H2056" s="493" t="s">
        <v>1238</v>
      </c>
      <c r="I2056" s="460" t="s">
        <v>5352</v>
      </c>
      <c r="J2056" s="495" t="s">
        <v>734</v>
      </c>
      <c r="K2056" s="496" t="s">
        <v>641</v>
      </c>
      <c r="L2056" s="497" t="e">
        <v>#REF!</v>
      </c>
      <c r="M2056" s="497">
        <v>40</v>
      </c>
      <c r="N2056" s="464"/>
      <c r="O2056" s="498"/>
      <c r="P2056" s="431" t="s">
        <v>6711</v>
      </c>
    </row>
    <row r="2057" spans="1:16" ht="12.75" hidden="1" customHeight="1" outlineLevel="3" x14ac:dyDescent="0.2">
      <c r="A2057" s="233">
        <v>0</v>
      </c>
      <c r="B2057" s="233">
        <v>16</v>
      </c>
      <c r="C2057" s="233">
        <v>1</v>
      </c>
      <c r="D2057" s="234">
        <v>7</v>
      </c>
      <c r="E2057" s="234">
        <v>2</v>
      </c>
      <c r="G2057" s="508" t="s">
        <v>44</v>
      </c>
      <c r="H2057" s="493" t="s">
        <v>1238</v>
      </c>
      <c r="I2057" s="460" t="s">
        <v>5353</v>
      </c>
      <c r="J2057" s="495" t="s">
        <v>740</v>
      </c>
      <c r="K2057" s="496" t="s">
        <v>641</v>
      </c>
      <c r="L2057" s="497" t="e">
        <v>#REF!</v>
      </c>
      <c r="M2057" s="497">
        <v>25</v>
      </c>
      <c r="N2057" s="464"/>
      <c r="O2057" s="498"/>
      <c r="P2057" s="431" t="s">
        <v>6711</v>
      </c>
    </row>
    <row r="2058" spans="1:16" ht="12.75" hidden="1" customHeight="1" outlineLevel="3" x14ac:dyDescent="0.2">
      <c r="A2058" s="233">
        <v>0</v>
      </c>
      <c r="B2058" s="233">
        <v>16</v>
      </c>
      <c r="C2058" s="233">
        <v>1</v>
      </c>
      <c r="D2058" s="234">
        <v>7</v>
      </c>
      <c r="E2058" s="234">
        <v>3</v>
      </c>
      <c r="G2058" s="508" t="s">
        <v>48</v>
      </c>
      <c r="H2058" s="493" t="s">
        <v>1238</v>
      </c>
      <c r="I2058" s="460" t="s">
        <v>5354</v>
      </c>
      <c r="J2058" s="495" t="s">
        <v>737</v>
      </c>
      <c r="K2058" s="496" t="s">
        <v>641</v>
      </c>
      <c r="L2058" s="497" t="e">
        <v>#REF!</v>
      </c>
      <c r="M2058" s="497">
        <v>75</v>
      </c>
      <c r="N2058" s="464"/>
      <c r="O2058" s="498"/>
      <c r="P2058" s="431" t="s">
        <v>6711</v>
      </c>
    </row>
    <row r="2059" spans="1:16" ht="12.75" hidden="1" customHeight="1" outlineLevel="3" x14ac:dyDescent="0.2">
      <c r="A2059" s="233">
        <v>0</v>
      </c>
      <c r="B2059" s="233">
        <v>16</v>
      </c>
      <c r="C2059" s="233">
        <v>1</v>
      </c>
      <c r="D2059" s="234">
        <v>7</v>
      </c>
      <c r="E2059" s="234">
        <v>4</v>
      </c>
      <c r="G2059" s="508" t="s">
        <v>48</v>
      </c>
      <c r="H2059" s="493" t="s">
        <v>1238</v>
      </c>
      <c r="I2059" s="460" t="s">
        <v>5355</v>
      </c>
      <c r="J2059" s="495" t="s">
        <v>2592</v>
      </c>
      <c r="K2059" s="496" t="s">
        <v>641</v>
      </c>
      <c r="L2059" s="497" t="e">
        <v>#REF!</v>
      </c>
      <c r="M2059" s="497">
        <v>85</v>
      </c>
      <c r="N2059" s="464"/>
      <c r="O2059" s="498"/>
      <c r="P2059" s="431" t="s">
        <v>6711</v>
      </c>
    </row>
    <row r="2060" spans="1:16" ht="12.75" hidden="1" customHeight="1" outlineLevel="3" x14ac:dyDescent="0.2">
      <c r="A2060" s="233">
        <v>0</v>
      </c>
      <c r="B2060" s="233">
        <v>16</v>
      </c>
      <c r="C2060" s="233">
        <v>1</v>
      </c>
      <c r="D2060" s="234">
        <v>7</v>
      </c>
      <c r="E2060" s="234">
        <v>5</v>
      </c>
      <c r="G2060" s="508" t="s">
        <v>48</v>
      </c>
      <c r="H2060" s="493" t="s">
        <v>1238</v>
      </c>
      <c r="I2060" s="460" t="s">
        <v>5356</v>
      </c>
      <c r="J2060" s="495" t="s">
        <v>2591</v>
      </c>
      <c r="K2060" s="496" t="s">
        <v>641</v>
      </c>
      <c r="L2060" s="497" t="e">
        <v>#REF!</v>
      </c>
      <c r="M2060" s="497">
        <v>85</v>
      </c>
      <c r="N2060" s="464"/>
      <c r="O2060" s="498"/>
      <c r="P2060" s="431" t="s">
        <v>6711</v>
      </c>
    </row>
    <row r="2061" spans="1:16" ht="12.75" hidden="1" customHeight="1" outlineLevel="3" x14ac:dyDescent="0.2">
      <c r="A2061" s="233">
        <v>0</v>
      </c>
      <c r="B2061" s="233">
        <v>16</v>
      </c>
      <c r="C2061" s="233">
        <v>1</v>
      </c>
      <c r="D2061" s="234">
        <v>7</v>
      </c>
      <c r="E2061" s="234">
        <v>6</v>
      </c>
      <c r="G2061" s="508" t="s">
        <v>48</v>
      </c>
      <c r="H2061" s="493" t="s">
        <v>1238</v>
      </c>
      <c r="I2061" s="460" t="s">
        <v>5357</v>
      </c>
      <c r="J2061" s="495" t="s">
        <v>742</v>
      </c>
      <c r="K2061" s="496" t="s">
        <v>787</v>
      </c>
      <c r="L2061" s="497" t="e">
        <v>#REF!</v>
      </c>
      <c r="M2061" s="497">
        <v>28</v>
      </c>
      <c r="N2061" s="464"/>
      <c r="O2061" s="498"/>
      <c r="P2061" s="431" t="s">
        <v>6711</v>
      </c>
    </row>
    <row r="2062" spans="1:16" ht="12.75" hidden="1" customHeight="1" outlineLevel="3" x14ac:dyDescent="0.2">
      <c r="A2062" s="233">
        <v>0</v>
      </c>
      <c r="B2062" s="233">
        <v>16</v>
      </c>
      <c r="C2062" s="233">
        <v>1</v>
      </c>
      <c r="D2062" s="234">
        <v>7</v>
      </c>
      <c r="E2062" s="234">
        <v>7</v>
      </c>
      <c r="G2062" s="508" t="s">
        <v>48</v>
      </c>
      <c r="H2062" s="493" t="s">
        <v>1238</v>
      </c>
      <c r="I2062" s="460" t="s">
        <v>5358</v>
      </c>
      <c r="J2062" s="495" t="s">
        <v>743</v>
      </c>
      <c r="K2062" s="496" t="s">
        <v>787</v>
      </c>
      <c r="L2062" s="497" t="e">
        <v>#REF!</v>
      </c>
      <c r="M2062" s="497">
        <v>24</v>
      </c>
      <c r="N2062" s="464"/>
      <c r="O2062" s="498"/>
      <c r="P2062" s="431" t="s">
        <v>6711</v>
      </c>
    </row>
    <row r="2063" spans="1:16" ht="12.75" hidden="1" customHeight="1" outlineLevel="1" x14ac:dyDescent="0.2">
      <c r="A2063" s="233">
        <v>0</v>
      </c>
      <c r="B2063" s="233">
        <v>16</v>
      </c>
      <c r="C2063" s="233">
        <v>2</v>
      </c>
      <c r="D2063" s="234">
        <v>0</v>
      </c>
      <c r="E2063" s="234">
        <v>7</v>
      </c>
      <c r="G2063" s="506"/>
      <c r="H2063" s="481" t="s">
        <v>38</v>
      </c>
      <c r="I2063" s="445" t="s">
        <v>5359</v>
      </c>
      <c r="J2063" s="483" t="s">
        <v>2594</v>
      </c>
      <c r="K2063" s="484"/>
      <c r="L2063" s="485"/>
      <c r="M2063" s="485"/>
      <c r="N2063" s="449"/>
      <c r="O2063" s="486"/>
      <c r="P2063" s="429"/>
    </row>
    <row r="2064" spans="1:16" ht="12.75" hidden="1" customHeight="1" outlineLevel="2" x14ac:dyDescent="0.2">
      <c r="A2064" s="233">
        <v>0</v>
      </c>
      <c r="B2064" s="233">
        <v>16</v>
      </c>
      <c r="C2064" s="233">
        <v>2</v>
      </c>
      <c r="D2064" s="234">
        <v>1</v>
      </c>
      <c r="E2064" s="234">
        <v>0</v>
      </c>
      <c r="G2064" s="507"/>
      <c r="H2064" s="487" t="s">
        <v>1237</v>
      </c>
      <c r="I2064" s="452" t="s">
        <v>5360</v>
      </c>
      <c r="J2064" s="489" t="s">
        <v>22</v>
      </c>
      <c r="K2064" s="490"/>
      <c r="L2064" s="491"/>
      <c r="M2064" s="491"/>
      <c r="N2064" s="456"/>
      <c r="O2064" s="492"/>
      <c r="P2064" s="430"/>
    </row>
    <row r="2065" spans="1:16" ht="12.75" hidden="1" customHeight="1" outlineLevel="3" x14ac:dyDescent="0.2">
      <c r="A2065" s="233">
        <v>0</v>
      </c>
      <c r="B2065" s="233">
        <v>16</v>
      </c>
      <c r="C2065" s="233">
        <v>2</v>
      </c>
      <c r="D2065" s="234">
        <v>1</v>
      </c>
      <c r="E2065" s="234">
        <v>1</v>
      </c>
      <c r="G2065" s="508" t="s">
        <v>44</v>
      </c>
      <c r="H2065" s="493" t="s">
        <v>1238</v>
      </c>
      <c r="I2065" s="460" t="s">
        <v>5361</v>
      </c>
      <c r="J2065" s="495" t="s">
        <v>2505</v>
      </c>
      <c r="K2065" s="496" t="s">
        <v>641</v>
      </c>
      <c r="L2065" s="497" t="e">
        <v>#REF!</v>
      </c>
      <c r="M2065" s="497">
        <v>44.585233333333335</v>
      </c>
      <c r="N2065" s="464"/>
      <c r="O2065" s="498"/>
      <c r="P2065" s="431" t="s">
        <v>6711</v>
      </c>
    </row>
    <row r="2066" spans="1:16" ht="12.75" hidden="1" customHeight="1" outlineLevel="2" x14ac:dyDescent="0.2">
      <c r="A2066" s="233">
        <v>0</v>
      </c>
      <c r="B2066" s="233">
        <v>16</v>
      </c>
      <c r="C2066" s="233">
        <v>2</v>
      </c>
      <c r="D2066" s="234">
        <v>2</v>
      </c>
      <c r="E2066" s="234">
        <v>0</v>
      </c>
      <c r="G2066" s="507"/>
      <c r="H2066" s="487" t="s">
        <v>1237</v>
      </c>
      <c r="I2066" s="452" t="s">
        <v>5362</v>
      </c>
      <c r="J2066" s="489" t="s">
        <v>2348</v>
      </c>
      <c r="K2066" s="490"/>
      <c r="L2066" s="491"/>
      <c r="M2066" s="491"/>
      <c r="N2066" s="456"/>
      <c r="O2066" s="492"/>
      <c r="P2066" s="430"/>
    </row>
    <row r="2067" spans="1:16" ht="12.75" hidden="1" customHeight="1" outlineLevel="3" x14ac:dyDescent="0.2">
      <c r="A2067" s="233">
        <v>0</v>
      </c>
      <c r="B2067" s="233">
        <v>16</v>
      </c>
      <c r="C2067" s="233">
        <v>2</v>
      </c>
      <c r="D2067" s="234">
        <v>2</v>
      </c>
      <c r="E2067" s="234">
        <v>1</v>
      </c>
      <c r="G2067" s="508" t="s">
        <v>44</v>
      </c>
      <c r="H2067" s="493" t="s">
        <v>1238</v>
      </c>
      <c r="I2067" s="460" t="s">
        <v>5363</v>
      </c>
      <c r="J2067" s="495" t="s">
        <v>617</v>
      </c>
      <c r="K2067" s="496" t="s">
        <v>641</v>
      </c>
      <c r="L2067" s="497" t="e">
        <v>#REF!</v>
      </c>
      <c r="M2067" s="497">
        <v>61.444938999999998</v>
      </c>
      <c r="N2067" s="464"/>
      <c r="O2067" s="498" t="s">
        <v>2084</v>
      </c>
      <c r="P2067" s="431" t="s">
        <v>6711</v>
      </c>
    </row>
    <row r="2068" spans="1:16" ht="12.75" hidden="1" customHeight="1" outlineLevel="3" x14ac:dyDescent="0.2">
      <c r="A2068" s="233">
        <v>0</v>
      </c>
      <c r="B2068" s="233">
        <v>16</v>
      </c>
      <c r="C2068" s="233">
        <v>2</v>
      </c>
      <c r="D2068" s="234">
        <v>2</v>
      </c>
      <c r="E2068" s="234">
        <v>2</v>
      </c>
      <c r="G2068" s="508" t="s">
        <v>44</v>
      </c>
      <c r="H2068" s="493" t="s">
        <v>1238</v>
      </c>
      <c r="I2068" s="460" t="s">
        <v>5364</v>
      </c>
      <c r="J2068" s="495" t="s">
        <v>620</v>
      </c>
      <c r="K2068" s="496" t="s">
        <v>641</v>
      </c>
      <c r="L2068" s="497" t="e">
        <v>#REF!</v>
      </c>
      <c r="M2068" s="497">
        <v>12.624093333333334</v>
      </c>
      <c r="N2068" s="464"/>
      <c r="O2068" s="498" t="s">
        <v>2509</v>
      </c>
      <c r="P2068" s="431" t="s">
        <v>6711</v>
      </c>
    </row>
    <row r="2069" spans="1:16" ht="12.75" hidden="1" customHeight="1" outlineLevel="2" x14ac:dyDescent="0.2">
      <c r="A2069" s="233">
        <v>0</v>
      </c>
      <c r="B2069" s="233">
        <v>16</v>
      </c>
      <c r="C2069" s="233">
        <v>2</v>
      </c>
      <c r="D2069" s="234">
        <v>3</v>
      </c>
      <c r="E2069" s="234">
        <v>0</v>
      </c>
      <c r="G2069" s="507"/>
      <c r="H2069" s="487" t="s">
        <v>1237</v>
      </c>
      <c r="I2069" s="452" t="s">
        <v>5365</v>
      </c>
      <c r="J2069" s="489" t="s">
        <v>2277</v>
      </c>
      <c r="K2069" s="490"/>
      <c r="L2069" s="491"/>
      <c r="M2069" s="491"/>
      <c r="N2069" s="456"/>
      <c r="O2069" s="492"/>
      <c r="P2069" s="430"/>
    </row>
    <row r="2070" spans="1:16" ht="12.75" hidden="1" customHeight="1" outlineLevel="3" x14ac:dyDescent="0.2">
      <c r="A2070" s="233">
        <v>0</v>
      </c>
      <c r="B2070" s="233">
        <v>16</v>
      </c>
      <c r="C2070" s="233">
        <v>2</v>
      </c>
      <c r="D2070" s="234">
        <v>3</v>
      </c>
      <c r="E2070" s="234">
        <v>1</v>
      </c>
      <c r="G2070" s="508" t="s">
        <v>48</v>
      </c>
      <c r="H2070" s="493" t="s">
        <v>1238</v>
      </c>
      <c r="I2070" s="460" t="s">
        <v>5366</v>
      </c>
      <c r="J2070" s="495" t="s">
        <v>1816</v>
      </c>
      <c r="K2070" s="496" t="s">
        <v>641</v>
      </c>
      <c r="L2070" s="497" t="e">
        <v>#REF!</v>
      </c>
      <c r="M2070" s="497">
        <v>58.073</v>
      </c>
      <c r="N2070" s="464"/>
      <c r="O2070" s="498"/>
      <c r="P2070" s="431" t="s">
        <v>6711</v>
      </c>
    </row>
    <row r="2071" spans="1:16" ht="12.75" hidden="1" customHeight="1" outlineLevel="3" x14ac:dyDescent="0.2">
      <c r="A2071" s="233">
        <v>0</v>
      </c>
      <c r="B2071" s="233">
        <v>16</v>
      </c>
      <c r="C2071" s="233">
        <v>2</v>
      </c>
      <c r="D2071" s="234">
        <v>3</v>
      </c>
      <c r="E2071" s="234">
        <v>2</v>
      </c>
      <c r="G2071" s="508" t="s">
        <v>48</v>
      </c>
      <c r="H2071" s="493" t="s">
        <v>1238</v>
      </c>
      <c r="I2071" s="460" t="s">
        <v>5367</v>
      </c>
      <c r="J2071" s="495" t="s">
        <v>2511</v>
      </c>
      <c r="K2071" s="496" t="s">
        <v>641</v>
      </c>
      <c r="L2071" s="497" t="e">
        <v>#REF!</v>
      </c>
      <c r="M2071" s="497">
        <v>229.82760000000005</v>
      </c>
      <c r="N2071" s="464"/>
      <c r="O2071" s="498"/>
      <c r="P2071" s="431" t="s">
        <v>6711</v>
      </c>
    </row>
    <row r="2072" spans="1:16" ht="12.75" hidden="1" customHeight="1" outlineLevel="3" x14ac:dyDescent="0.2">
      <c r="A2072" s="233">
        <v>0</v>
      </c>
      <c r="B2072" s="233">
        <v>16</v>
      </c>
      <c r="C2072" s="233">
        <v>2</v>
      </c>
      <c r="D2072" s="234">
        <v>3</v>
      </c>
      <c r="E2072" s="234">
        <v>3</v>
      </c>
      <c r="G2072" s="508" t="s">
        <v>48</v>
      </c>
      <c r="H2072" s="493" t="s">
        <v>1238</v>
      </c>
      <c r="I2072" s="460" t="s">
        <v>5368</v>
      </c>
      <c r="J2072" s="495" t="s">
        <v>2512</v>
      </c>
      <c r="K2072" s="496" t="s">
        <v>641</v>
      </c>
      <c r="L2072" s="497" t="e">
        <v>#REF!</v>
      </c>
      <c r="M2072" s="497">
        <v>141.82760000000002</v>
      </c>
      <c r="N2072" s="464"/>
      <c r="O2072" s="498"/>
      <c r="P2072" s="431" t="s">
        <v>6711</v>
      </c>
    </row>
    <row r="2073" spans="1:16" ht="12.75" hidden="1" customHeight="1" outlineLevel="2" x14ac:dyDescent="0.2">
      <c r="A2073" s="233">
        <v>0</v>
      </c>
      <c r="B2073" s="233">
        <v>16</v>
      </c>
      <c r="C2073" s="233">
        <v>2</v>
      </c>
      <c r="D2073" s="234">
        <v>4</v>
      </c>
      <c r="E2073" s="234">
        <v>0</v>
      </c>
      <c r="G2073" s="507"/>
      <c r="H2073" s="487" t="s">
        <v>1237</v>
      </c>
      <c r="I2073" s="452" t="s">
        <v>5369</v>
      </c>
      <c r="J2073" s="489" t="s">
        <v>2350</v>
      </c>
      <c r="K2073" s="490"/>
      <c r="L2073" s="491"/>
      <c r="M2073" s="491"/>
      <c r="N2073" s="456"/>
      <c r="O2073" s="492"/>
      <c r="P2073" s="430"/>
    </row>
    <row r="2074" spans="1:16" ht="12.75" hidden="1" customHeight="1" outlineLevel="3" x14ac:dyDescent="0.2">
      <c r="A2074" s="233">
        <v>0</v>
      </c>
      <c r="B2074" s="233">
        <v>16</v>
      </c>
      <c r="C2074" s="233">
        <v>2</v>
      </c>
      <c r="D2074" s="234">
        <v>4</v>
      </c>
      <c r="E2074" s="234">
        <v>1</v>
      </c>
      <c r="G2074" s="508" t="s">
        <v>48</v>
      </c>
      <c r="H2074" s="493" t="s">
        <v>1238</v>
      </c>
      <c r="I2074" s="460" t="s">
        <v>5370</v>
      </c>
      <c r="J2074" s="495" t="s">
        <v>1500</v>
      </c>
      <c r="K2074" s="496" t="s">
        <v>787</v>
      </c>
      <c r="L2074" s="497" t="e">
        <v>#REF!</v>
      </c>
      <c r="M2074" s="497">
        <v>10.114274999999999</v>
      </c>
      <c r="N2074" s="464"/>
      <c r="O2074" s="498"/>
      <c r="P2074" s="431" t="s">
        <v>6711</v>
      </c>
    </row>
    <row r="2075" spans="1:16" ht="12.75" hidden="1" customHeight="1" outlineLevel="3" x14ac:dyDescent="0.2">
      <c r="A2075" s="233">
        <v>0</v>
      </c>
      <c r="B2075" s="233">
        <v>16</v>
      </c>
      <c r="C2075" s="233">
        <v>2</v>
      </c>
      <c r="D2075" s="234">
        <v>4</v>
      </c>
      <c r="E2075" s="234">
        <v>2</v>
      </c>
      <c r="G2075" s="508" t="s">
        <v>48</v>
      </c>
      <c r="H2075" s="493" t="s">
        <v>1238</v>
      </c>
      <c r="I2075" s="460" t="s">
        <v>5371</v>
      </c>
      <c r="J2075" s="495" t="s">
        <v>713</v>
      </c>
      <c r="K2075" s="496" t="s">
        <v>787</v>
      </c>
      <c r="L2075" s="497" t="e">
        <v>#REF!</v>
      </c>
      <c r="M2075" s="497">
        <v>43.820583333333332</v>
      </c>
      <c r="N2075" s="464"/>
      <c r="O2075" s="498"/>
      <c r="P2075" s="431" t="s">
        <v>6711</v>
      </c>
    </row>
    <row r="2076" spans="1:16" ht="12.75" hidden="1" customHeight="1" outlineLevel="3" x14ac:dyDescent="0.2">
      <c r="A2076" s="233">
        <v>0</v>
      </c>
      <c r="B2076" s="233">
        <v>16</v>
      </c>
      <c r="C2076" s="233">
        <v>2</v>
      </c>
      <c r="D2076" s="234">
        <v>4</v>
      </c>
      <c r="E2076" s="234">
        <v>3</v>
      </c>
      <c r="G2076" s="508" t="s">
        <v>48</v>
      </c>
      <c r="H2076" s="493" t="s">
        <v>1238</v>
      </c>
      <c r="I2076" s="460" t="s">
        <v>5372</v>
      </c>
      <c r="J2076" s="495" t="s">
        <v>2583</v>
      </c>
      <c r="K2076" s="496" t="s">
        <v>787</v>
      </c>
      <c r="L2076" s="497" t="e">
        <v>#REF!</v>
      </c>
      <c r="M2076" s="497">
        <v>22.121324999999999</v>
      </c>
      <c r="N2076" s="464"/>
      <c r="O2076" s="498"/>
      <c r="P2076" s="431" t="s">
        <v>6711</v>
      </c>
    </row>
    <row r="2077" spans="1:16" ht="12.75" hidden="1" customHeight="1" outlineLevel="2" x14ac:dyDescent="0.2">
      <c r="A2077" s="233">
        <v>0</v>
      </c>
      <c r="B2077" s="233">
        <v>16</v>
      </c>
      <c r="C2077" s="233">
        <v>2</v>
      </c>
      <c r="D2077" s="234">
        <v>5</v>
      </c>
      <c r="E2077" s="234">
        <v>0</v>
      </c>
      <c r="G2077" s="507"/>
      <c r="H2077" s="487" t="s">
        <v>1237</v>
      </c>
      <c r="I2077" s="452" t="s">
        <v>5373</v>
      </c>
      <c r="J2077" s="489" t="s">
        <v>1262</v>
      </c>
      <c r="K2077" s="490"/>
      <c r="L2077" s="491"/>
      <c r="M2077" s="491"/>
      <c r="N2077" s="456"/>
      <c r="O2077" s="492"/>
      <c r="P2077" s="430"/>
    </row>
    <row r="2078" spans="1:16" ht="12.75" hidden="1" customHeight="1" outlineLevel="3" x14ac:dyDescent="0.2">
      <c r="A2078" s="233">
        <v>0</v>
      </c>
      <c r="B2078" s="233">
        <v>16</v>
      </c>
      <c r="C2078" s="233">
        <v>2</v>
      </c>
      <c r="D2078" s="234">
        <v>5</v>
      </c>
      <c r="E2078" s="234">
        <v>1</v>
      </c>
      <c r="G2078" s="508" t="s">
        <v>44</v>
      </c>
      <c r="H2078" s="493" t="s">
        <v>1238</v>
      </c>
      <c r="I2078" s="460" t="s">
        <v>5374</v>
      </c>
      <c r="J2078" s="495" t="s">
        <v>734</v>
      </c>
      <c r="K2078" s="496" t="s">
        <v>641</v>
      </c>
      <c r="L2078" s="497" t="e">
        <v>#REF!</v>
      </c>
      <c r="M2078" s="497">
        <v>40</v>
      </c>
      <c r="N2078" s="464"/>
      <c r="O2078" s="498"/>
      <c r="P2078" s="431" t="s">
        <v>6711</v>
      </c>
    </row>
    <row r="2079" spans="1:16" ht="12.75" hidden="1" customHeight="1" outlineLevel="3" x14ac:dyDescent="0.2">
      <c r="A2079" s="233">
        <v>0</v>
      </c>
      <c r="B2079" s="233">
        <v>16</v>
      </c>
      <c r="C2079" s="233">
        <v>2</v>
      </c>
      <c r="D2079" s="234">
        <v>5</v>
      </c>
      <c r="E2079" s="234">
        <v>2</v>
      </c>
      <c r="G2079" s="508" t="s">
        <v>44</v>
      </c>
      <c r="H2079" s="493" t="s">
        <v>1238</v>
      </c>
      <c r="I2079" s="460" t="s">
        <v>5375</v>
      </c>
      <c r="J2079" s="495" t="s">
        <v>736</v>
      </c>
      <c r="K2079" s="496" t="s">
        <v>641</v>
      </c>
      <c r="L2079" s="497" t="e">
        <v>#REF!</v>
      </c>
      <c r="M2079" s="497">
        <v>40</v>
      </c>
      <c r="N2079" s="464"/>
      <c r="O2079" s="498"/>
      <c r="P2079" s="431" t="s">
        <v>6711</v>
      </c>
    </row>
    <row r="2080" spans="1:16" ht="12.75" hidden="1" customHeight="1" outlineLevel="3" x14ac:dyDescent="0.2">
      <c r="A2080" s="233">
        <v>0</v>
      </c>
      <c r="B2080" s="233">
        <v>16</v>
      </c>
      <c r="C2080" s="233">
        <v>2</v>
      </c>
      <c r="D2080" s="234">
        <v>5</v>
      </c>
      <c r="E2080" s="234">
        <v>3</v>
      </c>
      <c r="G2080" s="508" t="s">
        <v>44</v>
      </c>
      <c r="H2080" s="493" t="s">
        <v>1238</v>
      </c>
      <c r="I2080" s="460" t="s">
        <v>5376</v>
      </c>
      <c r="J2080" s="495" t="s">
        <v>740</v>
      </c>
      <c r="K2080" s="496" t="s">
        <v>641</v>
      </c>
      <c r="L2080" s="497" t="e">
        <v>#REF!</v>
      </c>
      <c r="M2080" s="497">
        <v>25</v>
      </c>
      <c r="N2080" s="464"/>
      <c r="O2080" s="498"/>
      <c r="P2080" s="431" t="s">
        <v>6711</v>
      </c>
    </row>
    <row r="2081" spans="1:16" ht="12.75" hidden="1" customHeight="1" outlineLevel="3" x14ac:dyDescent="0.2">
      <c r="A2081" s="233">
        <v>0</v>
      </c>
      <c r="B2081" s="233">
        <v>16</v>
      </c>
      <c r="C2081" s="233">
        <v>2</v>
      </c>
      <c r="D2081" s="234">
        <v>5</v>
      </c>
      <c r="E2081" s="234">
        <v>4</v>
      </c>
      <c r="G2081" s="508" t="s">
        <v>48</v>
      </c>
      <c r="H2081" s="493" t="s">
        <v>1238</v>
      </c>
      <c r="I2081" s="460" t="s">
        <v>5377</v>
      </c>
      <c r="J2081" s="495" t="s">
        <v>737</v>
      </c>
      <c r="K2081" s="496" t="s">
        <v>641</v>
      </c>
      <c r="L2081" s="497" t="e">
        <v>#REF!</v>
      </c>
      <c r="M2081" s="497">
        <v>75</v>
      </c>
      <c r="N2081" s="464"/>
      <c r="O2081" s="498"/>
      <c r="P2081" s="431" t="s">
        <v>6711</v>
      </c>
    </row>
    <row r="2082" spans="1:16" ht="12.75" hidden="1" customHeight="1" outlineLevel="3" x14ac:dyDescent="0.2">
      <c r="A2082" s="233">
        <v>0</v>
      </c>
      <c r="B2082" s="233">
        <v>16</v>
      </c>
      <c r="C2082" s="233">
        <v>2</v>
      </c>
      <c r="D2082" s="234">
        <v>5</v>
      </c>
      <c r="E2082" s="234">
        <v>5</v>
      </c>
      <c r="G2082" s="508" t="s">
        <v>48</v>
      </c>
      <c r="H2082" s="493" t="s">
        <v>1238</v>
      </c>
      <c r="I2082" s="460" t="s">
        <v>5378</v>
      </c>
      <c r="J2082" s="495" t="s">
        <v>742</v>
      </c>
      <c r="K2082" s="496" t="s">
        <v>787</v>
      </c>
      <c r="L2082" s="497" t="e">
        <v>#REF!</v>
      </c>
      <c r="M2082" s="497">
        <v>28</v>
      </c>
      <c r="N2082" s="464"/>
      <c r="O2082" s="498"/>
      <c r="P2082" s="431" t="s">
        <v>6711</v>
      </c>
    </row>
    <row r="2083" spans="1:16" ht="12.75" hidden="1" customHeight="1" outlineLevel="3" x14ac:dyDescent="0.2">
      <c r="A2083" s="233">
        <v>0</v>
      </c>
      <c r="B2083" s="233">
        <v>16</v>
      </c>
      <c r="C2083" s="233">
        <v>2</v>
      </c>
      <c r="D2083" s="234">
        <v>5</v>
      </c>
      <c r="E2083" s="234">
        <v>6</v>
      </c>
      <c r="G2083" s="508" t="s">
        <v>48</v>
      </c>
      <c r="H2083" s="493" t="s">
        <v>1238</v>
      </c>
      <c r="I2083" s="460" t="s">
        <v>5379</v>
      </c>
      <c r="J2083" s="495" t="s">
        <v>743</v>
      </c>
      <c r="K2083" s="496" t="s">
        <v>787</v>
      </c>
      <c r="L2083" s="497" t="e">
        <v>#REF!</v>
      </c>
      <c r="M2083" s="497">
        <v>24</v>
      </c>
      <c r="N2083" s="464"/>
      <c r="O2083" s="498"/>
      <c r="P2083" s="431" t="s">
        <v>6711</v>
      </c>
    </row>
    <row r="2084" spans="1:16" ht="12.75" hidden="1" customHeight="1" outlineLevel="1" x14ac:dyDescent="0.2">
      <c r="A2084" s="233">
        <v>0</v>
      </c>
      <c r="B2084" s="233">
        <v>16</v>
      </c>
      <c r="C2084" s="233">
        <v>3</v>
      </c>
      <c r="D2084" s="234">
        <v>0</v>
      </c>
      <c r="E2084" s="234">
        <v>6</v>
      </c>
      <c r="G2084" s="506"/>
      <c r="H2084" s="481" t="s">
        <v>38</v>
      </c>
      <c r="I2084" s="445" t="s">
        <v>5380</v>
      </c>
      <c r="J2084" s="483" t="s">
        <v>2595</v>
      </c>
      <c r="K2084" s="484"/>
      <c r="L2084" s="485"/>
      <c r="M2084" s="485"/>
      <c r="N2084" s="449"/>
      <c r="O2084" s="486"/>
      <c r="P2084" s="429"/>
    </row>
    <row r="2085" spans="1:16" ht="12.75" hidden="1" customHeight="1" outlineLevel="2" x14ac:dyDescent="0.2">
      <c r="A2085" s="233">
        <v>0</v>
      </c>
      <c r="B2085" s="233">
        <v>16</v>
      </c>
      <c r="C2085" s="233">
        <v>3</v>
      </c>
      <c r="D2085" s="234">
        <v>1</v>
      </c>
      <c r="E2085" s="234">
        <v>0</v>
      </c>
      <c r="G2085" s="507"/>
      <c r="H2085" s="487" t="s">
        <v>1237</v>
      </c>
      <c r="I2085" s="452" t="s">
        <v>5381</v>
      </c>
      <c r="J2085" s="489" t="s">
        <v>22</v>
      </c>
      <c r="K2085" s="490"/>
      <c r="L2085" s="491"/>
      <c r="M2085" s="491"/>
      <c r="N2085" s="456"/>
      <c r="O2085" s="492"/>
      <c r="P2085" s="430"/>
    </row>
    <row r="2086" spans="1:16" ht="12.75" hidden="1" customHeight="1" outlineLevel="3" x14ac:dyDescent="0.2">
      <c r="A2086" s="233">
        <v>0</v>
      </c>
      <c r="B2086" s="233">
        <v>16</v>
      </c>
      <c r="C2086" s="233">
        <v>3</v>
      </c>
      <c r="D2086" s="234">
        <v>1</v>
      </c>
      <c r="E2086" s="234">
        <v>1</v>
      </c>
      <c r="G2086" s="508" t="s">
        <v>44</v>
      </c>
      <c r="H2086" s="493" t="s">
        <v>1238</v>
      </c>
      <c r="I2086" s="460" t="s">
        <v>5382</v>
      </c>
      <c r="J2086" s="495" t="s">
        <v>2505</v>
      </c>
      <c r="K2086" s="496" t="s">
        <v>641</v>
      </c>
      <c r="L2086" s="497" t="e">
        <v>#REF!</v>
      </c>
      <c r="M2086" s="497">
        <v>44.585233333333335</v>
      </c>
      <c r="N2086" s="464"/>
      <c r="O2086" s="498"/>
      <c r="P2086" s="431" t="s">
        <v>6711</v>
      </c>
    </row>
    <row r="2087" spans="1:16" ht="12.75" hidden="1" customHeight="1" outlineLevel="2" x14ac:dyDescent="0.2">
      <c r="A2087" s="233">
        <v>0</v>
      </c>
      <c r="B2087" s="233">
        <v>16</v>
      </c>
      <c r="C2087" s="233">
        <v>3</v>
      </c>
      <c r="D2087" s="234">
        <v>2</v>
      </c>
      <c r="E2087" s="234">
        <v>0</v>
      </c>
      <c r="G2087" s="507"/>
      <c r="H2087" s="487" t="s">
        <v>1237</v>
      </c>
      <c r="I2087" s="452" t="s">
        <v>5383</v>
      </c>
      <c r="J2087" s="489" t="s">
        <v>2348</v>
      </c>
      <c r="K2087" s="490"/>
      <c r="L2087" s="491"/>
      <c r="M2087" s="491"/>
      <c r="N2087" s="456"/>
      <c r="O2087" s="492"/>
      <c r="P2087" s="430"/>
    </row>
    <row r="2088" spans="1:16" ht="12.75" hidden="1" customHeight="1" outlineLevel="3" x14ac:dyDescent="0.2">
      <c r="A2088" s="233">
        <v>0</v>
      </c>
      <c r="B2088" s="233">
        <v>16</v>
      </c>
      <c r="C2088" s="233">
        <v>3</v>
      </c>
      <c r="D2088" s="234">
        <v>2</v>
      </c>
      <c r="E2088" s="234">
        <v>1</v>
      </c>
      <c r="G2088" s="508" t="s">
        <v>44</v>
      </c>
      <c r="H2088" s="493" t="s">
        <v>1238</v>
      </c>
      <c r="I2088" s="460" t="s">
        <v>5384</v>
      </c>
      <c r="J2088" s="495" t="s">
        <v>617</v>
      </c>
      <c r="K2088" s="496" t="s">
        <v>641</v>
      </c>
      <c r="L2088" s="497" t="e">
        <v>#REF!</v>
      </c>
      <c r="M2088" s="497">
        <v>61.444938999999998</v>
      </c>
      <c r="N2088" s="464"/>
      <c r="O2088" s="498" t="s">
        <v>2084</v>
      </c>
      <c r="P2088" s="431" t="s">
        <v>6711</v>
      </c>
    </row>
    <row r="2089" spans="1:16" ht="12.75" hidden="1" customHeight="1" outlineLevel="2" x14ac:dyDescent="0.2">
      <c r="A2089" s="233">
        <v>0</v>
      </c>
      <c r="B2089" s="233">
        <v>16</v>
      </c>
      <c r="C2089" s="233">
        <v>3</v>
      </c>
      <c r="D2089" s="234">
        <v>3</v>
      </c>
      <c r="E2089" s="234">
        <v>0</v>
      </c>
      <c r="G2089" s="507"/>
      <c r="H2089" s="487" t="s">
        <v>1237</v>
      </c>
      <c r="I2089" s="452" t="s">
        <v>5385</v>
      </c>
      <c r="J2089" s="489" t="s">
        <v>2277</v>
      </c>
      <c r="K2089" s="490"/>
      <c r="L2089" s="491"/>
      <c r="M2089" s="491"/>
      <c r="N2089" s="456"/>
      <c r="O2089" s="492"/>
      <c r="P2089" s="430"/>
    </row>
    <row r="2090" spans="1:16" ht="12.75" hidden="1" customHeight="1" outlineLevel="3" x14ac:dyDescent="0.2">
      <c r="A2090" s="233">
        <v>0</v>
      </c>
      <c r="B2090" s="233">
        <v>16</v>
      </c>
      <c r="C2090" s="233">
        <v>3</v>
      </c>
      <c r="D2090" s="234">
        <v>3</v>
      </c>
      <c r="E2090" s="234">
        <v>1</v>
      </c>
      <c r="G2090" s="508" t="s">
        <v>48</v>
      </c>
      <c r="H2090" s="493" t="s">
        <v>1238</v>
      </c>
      <c r="I2090" s="460" t="s">
        <v>5386</v>
      </c>
      <c r="J2090" s="495" t="s">
        <v>1816</v>
      </c>
      <c r="K2090" s="496" t="s">
        <v>641</v>
      </c>
      <c r="L2090" s="497" t="e">
        <v>#REF!</v>
      </c>
      <c r="M2090" s="497">
        <v>58.073</v>
      </c>
      <c r="N2090" s="464"/>
      <c r="O2090" s="498"/>
      <c r="P2090" s="431" t="s">
        <v>6711</v>
      </c>
    </row>
    <row r="2091" spans="1:16" ht="12.75" hidden="1" customHeight="1" outlineLevel="3" x14ac:dyDescent="0.2">
      <c r="A2091" s="233">
        <v>0</v>
      </c>
      <c r="B2091" s="233">
        <v>16</v>
      </c>
      <c r="C2091" s="233">
        <v>3</v>
      </c>
      <c r="D2091" s="234">
        <v>3</v>
      </c>
      <c r="E2091" s="234">
        <v>2</v>
      </c>
      <c r="G2091" s="508" t="s">
        <v>48</v>
      </c>
      <c r="H2091" s="493" t="s">
        <v>1238</v>
      </c>
      <c r="I2091" s="460" t="s">
        <v>5387</v>
      </c>
      <c r="J2091" s="495" t="s">
        <v>2511</v>
      </c>
      <c r="K2091" s="496" t="s">
        <v>641</v>
      </c>
      <c r="L2091" s="497" t="e">
        <v>#REF!</v>
      </c>
      <c r="M2091" s="497">
        <v>229.82760000000005</v>
      </c>
      <c r="N2091" s="464"/>
      <c r="O2091" s="498"/>
      <c r="P2091" s="431" t="s">
        <v>6711</v>
      </c>
    </row>
    <row r="2092" spans="1:16" ht="12.75" hidden="1" customHeight="1" outlineLevel="3" x14ac:dyDescent="0.2">
      <c r="A2092" s="233">
        <v>0</v>
      </c>
      <c r="B2092" s="233">
        <v>16</v>
      </c>
      <c r="C2092" s="233">
        <v>3</v>
      </c>
      <c r="D2092" s="234">
        <v>3</v>
      </c>
      <c r="E2092" s="234">
        <v>3</v>
      </c>
      <c r="G2092" s="508" t="s">
        <v>48</v>
      </c>
      <c r="H2092" s="493" t="s">
        <v>1238</v>
      </c>
      <c r="I2092" s="460" t="s">
        <v>5388</v>
      </c>
      <c r="J2092" s="495" t="s">
        <v>2512</v>
      </c>
      <c r="K2092" s="496" t="s">
        <v>641</v>
      </c>
      <c r="L2092" s="497" t="e">
        <v>#REF!</v>
      </c>
      <c r="M2092" s="497">
        <v>141.82760000000002</v>
      </c>
      <c r="N2092" s="464"/>
      <c r="O2092" s="498"/>
      <c r="P2092" s="431" t="s">
        <v>6711</v>
      </c>
    </row>
    <row r="2093" spans="1:16" ht="12.75" hidden="1" customHeight="1" outlineLevel="2" x14ac:dyDescent="0.2">
      <c r="A2093" s="233">
        <v>0</v>
      </c>
      <c r="B2093" s="233">
        <v>16</v>
      </c>
      <c r="C2093" s="233">
        <v>3</v>
      </c>
      <c r="D2093" s="234">
        <v>4</v>
      </c>
      <c r="E2093" s="234">
        <v>0</v>
      </c>
      <c r="G2093" s="507"/>
      <c r="H2093" s="487" t="s">
        <v>1237</v>
      </c>
      <c r="I2093" s="452" t="s">
        <v>5389</v>
      </c>
      <c r="J2093" s="489" t="s">
        <v>2350</v>
      </c>
      <c r="K2093" s="490"/>
      <c r="L2093" s="491"/>
      <c r="M2093" s="491"/>
      <c r="N2093" s="456"/>
      <c r="O2093" s="492"/>
      <c r="P2093" s="430"/>
    </row>
    <row r="2094" spans="1:16" ht="12.75" hidden="1" customHeight="1" outlineLevel="3" x14ac:dyDescent="0.2">
      <c r="A2094" s="233">
        <v>0</v>
      </c>
      <c r="B2094" s="233">
        <v>16</v>
      </c>
      <c r="C2094" s="233">
        <v>3</v>
      </c>
      <c r="D2094" s="234">
        <v>4</v>
      </c>
      <c r="E2094" s="234">
        <v>1</v>
      </c>
      <c r="G2094" s="508" t="s">
        <v>48</v>
      </c>
      <c r="H2094" s="493" t="s">
        <v>1238</v>
      </c>
      <c r="I2094" s="460" t="s">
        <v>5390</v>
      </c>
      <c r="J2094" s="495" t="s">
        <v>1500</v>
      </c>
      <c r="K2094" s="496" t="s">
        <v>787</v>
      </c>
      <c r="L2094" s="497" t="e">
        <v>#REF!</v>
      </c>
      <c r="M2094" s="497">
        <v>10.114274999999999</v>
      </c>
      <c r="N2094" s="464"/>
      <c r="O2094" s="498"/>
      <c r="P2094" s="431" t="s">
        <v>6711</v>
      </c>
    </row>
    <row r="2095" spans="1:16" ht="12.75" hidden="1" customHeight="1" outlineLevel="3" x14ac:dyDescent="0.2">
      <c r="A2095" s="233">
        <v>0</v>
      </c>
      <c r="B2095" s="233">
        <v>16</v>
      </c>
      <c r="C2095" s="233">
        <v>3</v>
      </c>
      <c r="D2095" s="234">
        <v>4</v>
      </c>
      <c r="E2095" s="234">
        <v>2</v>
      </c>
      <c r="G2095" s="508" t="s">
        <v>48</v>
      </c>
      <c r="H2095" s="493" t="s">
        <v>1238</v>
      </c>
      <c r="I2095" s="460" t="s">
        <v>5391</v>
      </c>
      <c r="J2095" s="495" t="s">
        <v>2583</v>
      </c>
      <c r="K2095" s="496" t="s">
        <v>787</v>
      </c>
      <c r="L2095" s="497" t="e">
        <v>#REF!</v>
      </c>
      <c r="M2095" s="497">
        <v>22.121324999999999</v>
      </c>
      <c r="N2095" s="464"/>
      <c r="O2095" s="498"/>
      <c r="P2095" s="431" t="s">
        <v>6711</v>
      </c>
    </row>
    <row r="2096" spans="1:16" ht="12.75" hidden="1" customHeight="1" outlineLevel="2" x14ac:dyDescent="0.2">
      <c r="A2096" s="233">
        <v>0</v>
      </c>
      <c r="B2096" s="233">
        <v>16</v>
      </c>
      <c r="C2096" s="233">
        <v>3</v>
      </c>
      <c r="D2096" s="234">
        <v>5</v>
      </c>
      <c r="E2096" s="234">
        <v>0</v>
      </c>
      <c r="G2096" s="507"/>
      <c r="H2096" s="487" t="s">
        <v>1237</v>
      </c>
      <c r="I2096" s="452" t="s">
        <v>5392</v>
      </c>
      <c r="J2096" s="489" t="s">
        <v>1262</v>
      </c>
      <c r="K2096" s="490"/>
      <c r="L2096" s="491"/>
      <c r="M2096" s="491"/>
      <c r="N2096" s="456"/>
      <c r="O2096" s="492"/>
      <c r="P2096" s="430"/>
    </row>
    <row r="2097" spans="1:16" ht="12.75" hidden="1" customHeight="1" outlineLevel="3" x14ac:dyDescent="0.2">
      <c r="A2097" s="233">
        <v>0</v>
      </c>
      <c r="B2097" s="233">
        <v>16</v>
      </c>
      <c r="C2097" s="233">
        <v>3</v>
      </c>
      <c r="D2097" s="234">
        <v>5</v>
      </c>
      <c r="E2097" s="234">
        <v>1</v>
      </c>
      <c r="G2097" s="508" t="s">
        <v>44</v>
      </c>
      <c r="H2097" s="493" t="s">
        <v>1238</v>
      </c>
      <c r="I2097" s="460" t="s">
        <v>5393</v>
      </c>
      <c r="J2097" s="495" t="s">
        <v>734</v>
      </c>
      <c r="K2097" s="496" t="s">
        <v>641</v>
      </c>
      <c r="L2097" s="497" t="e">
        <v>#REF!</v>
      </c>
      <c r="M2097" s="497">
        <v>40</v>
      </c>
      <c r="N2097" s="464"/>
      <c r="O2097" s="498"/>
      <c r="P2097" s="431" t="s">
        <v>6711</v>
      </c>
    </row>
    <row r="2098" spans="1:16" ht="12.75" hidden="1" customHeight="1" outlineLevel="3" x14ac:dyDescent="0.2">
      <c r="A2098" s="233">
        <v>0</v>
      </c>
      <c r="B2098" s="233">
        <v>16</v>
      </c>
      <c r="C2098" s="233">
        <v>3</v>
      </c>
      <c r="D2098" s="234">
        <v>5</v>
      </c>
      <c r="E2098" s="234">
        <v>2</v>
      </c>
      <c r="G2098" s="508" t="s">
        <v>44</v>
      </c>
      <c r="H2098" s="493" t="s">
        <v>1238</v>
      </c>
      <c r="I2098" s="460" t="s">
        <v>5394</v>
      </c>
      <c r="J2098" s="495" t="s">
        <v>736</v>
      </c>
      <c r="K2098" s="496" t="s">
        <v>641</v>
      </c>
      <c r="L2098" s="497" t="e">
        <v>#REF!</v>
      </c>
      <c r="M2098" s="497">
        <v>40</v>
      </c>
      <c r="N2098" s="464"/>
      <c r="O2098" s="498"/>
      <c r="P2098" s="431" t="s">
        <v>6711</v>
      </c>
    </row>
    <row r="2099" spans="1:16" ht="12.75" hidden="1" customHeight="1" outlineLevel="3" x14ac:dyDescent="0.2">
      <c r="A2099" s="233">
        <v>0</v>
      </c>
      <c r="B2099" s="233">
        <v>16</v>
      </c>
      <c r="C2099" s="233">
        <v>3</v>
      </c>
      <c r="D2099" s="234">
        <v>5</v>
      </c>
      <c r="E2099" s="234">
        <v>3</v>
      </c>
      <c r="G2099" s="508" t="s">
        <v>48</v>
      </c>
      <c r="H2099" s="493" t="s">
        <v>1238</v>
      </c>
      <c r="I2099" s="460" t="s">
        <v>5395</v>
      </c>
      <c r="J2099" s="495" t="s">
        <v>737</v>
      </c>
      <c r="K2099" s="496" t="s">
        <v>641</v>
      </c>
      <c r="L2099" s="497" t="e">
        <v>#REF!</v>
      </c>
      <c r="M2099" s="497">
        <v>75</v>
      </c>
      <c r="N2099" s="464"/>
      <c r="O2099" s="498"/>
      <c r="P2099" s="431" t="s">
        <v>6711</v>
      </c>
    </row>
    <row r="2100" spans="1:16" ht="12.75" hidden="1" customHeight="1" outlineLevel="3" x14ac:dyDescent="0.2">
      <c r="A2100" s="233">
        <v>0</v>
      </c>
      <c r="B2100" s="233">
        <v>16</v>
      </c>
      <c r="C2100" s="233">
        <v>3</v>
      </c>
      <c r="D2100" s="234">
        <v>5</v>
      </c>
      <c r="E2100" s="234">
        <v>4</v>
      </c>
      <c r="G2100" s="508" t="s">
        <v>48</v>
      </c>
      <c r="H2100" s="493" t="s">
        <v>1238</v>
      </c>
      <c r="I2100" s="460" t="s">
        <v>5396</v>
      </c>
      <c r="J2100" s="495" t="s">
        <v>743</v>
      </c>
      <c r="K2100" s="496" t="s">
        <v>787</v>
      </c>
      <c r="L2100" s="497" t="e">
        <v>#REF!</v>
      </c>
      <c r="M2100" s="497">
        <v>24</v>
      </c>
      <c r="N2100" s="464"/>
      <c r="O2100" s="498"/>
      <c r="P2100" s="431" t="s">
        <v>6711</v>
      </c>
    </row>
    <row r="2101" spans="1:16" ht="12.75" hidden="1" customHeight="1" outlineLevel="1" x14ac:dyDescent="0.2">
      <c r="A2101" s="233">
        <v>0</v>
      </c>
      <c r="B2101" s="233">
        <v>16</v>
      </c>
      <c r="C2101" s="233">
        <v>4</v>
      </c>
      <c r="D2101" s="234">
        <v>0</v>
      </c>
      <c r="E2101" s="234">
        <v>4</v>
      </c>
      <c r="G2101" s="506"/>
      <c r="H2101" s="481" t="s">
        <v>38</v>
      </c>
      <c r="I2101" s="445" t="s">
        <v>5397</v>
      </c>
      <c r="J2101" s="483" t="s">
        <v>2597</v>
      </c>
      <c r="K2101" s="484"/>
      <c r="L2101" s="485"/>
      <c r="M2101" s="485"/>
      <c r="N2101" s="449"/>
      <c r="O2101" s="486"/>
      <c r="P2101" s="429"/>
    </row>
    <row r="2102" spans="1:16" ht="12.75" hidden="1" customHeight="1" outlineLevel="2" x14ac:dyDescent="0.2">
      <c r="A2102" s="233">
        <v>0</v>
      </c>
      <c r="B2102" s="233">
        <v>16</v>
      </c>
      <c r="C2102" s="233">
        <v>4</v>
      </c>
      <c r="D2102" s="234">
        <v>1</v>
      </c>
      <c r="E2102" s="234">
        <v>0</v>
      </c>
      <c r="G2102" s="507"/>
      <c r="H2102" s="487" t="s">
        <v>1237</v>
      </c>
      <c r="I2102" s="452" t="s">
        <v>5398</v>
      </c>
      <c r="J2102" s="489" t="s">
        <v>22</v>
      </c>
      <c r="K2102" s="490"/>
      <c r="L2102" s="491"/>
      <c r="M2102" s="491"/>
      <c r="N2102" s="456"/>
      <c r="O2102" s="492"/>
      <c r="P2102" s="430"/>
    </row>
    <row r="2103" spans="1:16" ht="12.75" hidden="1" customHeight="1" outlineLevel="3" x14ac:dyDescent="0.2">
      <c r="A2103" s="233">
        <v>0</v>
      </c>
      <c r="B2103" s="233">
        <v>16</v>
      </c>
      <c r="C2103" s="233">
        <v>4</v>
      </c>
      <c r="D2103" s="234">
        <v>1</v>
      </c>
      <c r="E2103" s="234">
        <v>1</v>
      </c>
      <c r="G2103" s="508" t="s">
        <v>44</v>
      </c>
      <c r="H2103" s="493" t="s">
        <v>1238</v>
      </c>
      <c r="I2103" s="460" t="s">
        <v>5399</v>
      </c>
      <c r="J2103" s="495" t="s">
        <v>2505</v>
      </c>
      <c r="K2103" s="496" t="s">
        <v>641</v>
      </c>
      <c r="L2103" s="497" t="e">
        <v>#REF!</v>
      </c>
      <c r="M2103" s="497">
        <v>44.585233333333335</v>
      </c>
      <c r="N2103" s="464"/>
      <c r="O2103" s="498"/>
      <c r="P2103" s="431" t="s">
        <v>6711</v>
      </c>
    </row>
    <row r="2104" spans="1:16" ht="12.75" hidden="1" customHeight="1" outlineLevel="2" x14ac:dyDescent="0.2">
      <c r="A2104" s="233">
        <v>0</v>
      </c>
      <c r="B2104" s="233">
        <v>16</v>
      </c>
      <c r="C2104" s="233">
        <v>4</v>
      </c>
      <c r="D2104" s="234">
        <v>2</v>
      </c>
      <c r="E2104" s="234">
        <v>0</v>
      </c>
      <c r="G2104" s="507"/>
      <c r="H2104" s="487" t="s">
        <v>1237</v>
      </c>
      <c r="I2104" s="452" t="s">
        <v>5400</v>
      </c>
      <c r="J2104" s="489" t="s">
        <v>2348</v>
      </c>
      <c r="K2104" s="490"/>
      <c r="L2104" s="491"/>
      <c r="M2104" s="491"/>
      <c r="N2104" s="456"/>
      <c r="O2104" s="492"/>
      <c r="P2104" s="430"/>
    </row>
    <row r="2105" spans="1:16" ht="12.75" hidden="1" customHeight="1" outlineLevel="3" x14ac:dyDescent="0.2">
      <c r="A2105" s="233">
        <v>0</v>
      </c>
      <c r="B2105" s="233">
        <v>16</v>
      </c>
      <c r="C2105" s="233">
        <v>4</v>
      </c>
      <c r="D2105" s="234">
        <v>2</v>
      </c>
      <c r="E2105" s="234">
        <v>1</v>
      </c>
      <c r="G2105" s="508" t="s">
        <v>44</v>
      </c>
      <c r="H2105" s="493" t="s">
        <v>1238</v>
      </c>
      <c r="I2105" s="460" t="s">
        <v>5401</v>
      </c>
      <c r="J2105" s="495" t="s">
        <v>617</v>
      </c>
      <c r="K2105" s="496" t="s">
        <v>641</v>
      </c>
      <c r="L2105" s="497" t="e">
        <v>#REF!</v>
      </c>
      <c r="M2105" s="497">
        <v>61.444938999999998</v>
      </c>
      <c r="N2105" s="464"/>
      <c r="O2105" s="498" t="s">
        <v>2084</v>
      </c>
      <c r="P2105" s="431" t="s">
        <v>6711</v>
      </c>
    </row>
    <row r="2106" spans="1:16" ht="12.75" hidden="1" customHeight="1" outlineLevel="2" x14ac:dyDescent="0.2">
      <c r="A2106" s="233">
        <v>0</v>
      </c>
      <c r="B2106" s="233">
        <v>16</v>
      </c>
      <c r="C2106" s="233">
        <v>4</v>
      </c>
      <c r="D2106" s="234">
        <v>3</v>
      </c>
      <c r="E2106" s="234">
        <v>0</v>
      </c>
      <c r="G2106" s="507"/>
      <c r="H2106" s="487" t="s">
        <v>1237</v>
      </c>
      <c r="I2106" s="452" t="s">
        <v>5402</v>
      </c>
      <c r="J2106" s="489" t="s">
        <v>2277</v>
      </c>
      <c r="K2106" s="490"/>
      <c r="L2106" s="491"/>
      <c r="M2106" s="491"/>
      <c r="N2106" s="456"/>
      <c r="O2106" s="492"/>
      <c r="P2106" s="430"/>
    </row>
    <row r="2107" spans="1:16" ht="12.75" hidden="1" customHeight="1" outlineLevel="3" x14ac:dyDescent="0.2">
      <c r="A2107" s="233">
        <v>0</v>
      </c>
      <c r="B2107" s="233">
        <v>16</v>
      </c>
      <c r="C2107" s="233">
        <v>4</v>
      </c>
      <c r="D2107" s="234">
        <v>3</v>
      </c>
      <c r="E2107" s="234">
        <v>1</v>
      </c>
      <c r="G2107" s="508" t="s">
        <v>48</v>
      </c>
      <c r="H2107" s="493" t="s">
        <v>1238</v>
      </c>
      <c r="I2107" s="460" t="s">
        <v>5403</v>
      </c>
      <c r="J2107" s="495" t="s">
        <v>1816</v>
      </c>
      <c r="K2107" s="496" t="s">
        <v>641</v>
      </c>
      <c r="L2107" s="497" t="e">
        <v>#REF!</v>
      </c>
      <c r="M2107" s="497">
        <v>58.073</v>
      </c>
      <c r="N2107" s="464"/>
      <c r="O2107" s="498"/>
      <c r="P2107" s="431" t="s">
        <v>6711</v>
      </c>
    </row>
    <row r="2108" spans="1:16" ht="12.75" hidden="1" customHeight="1" outlineLevel="3" x14ac:dyDescent="0.2">
      <c r="A2108" s="233">
        <v>0</v>
      </c>
      <c r="B2108" s="233">
        <v>16</v>
      </c>
      <c r="C2108" s="233">
        <v>4</v>
      </c>
      <c r="D2108" s="234">
        <v>3</v>
      </c>
      <c r="E2108" s="234">
        <v>2</v>
      </c>
      <c r="G2108" s="508" t="s">
        <v>48</v>
      </c>
      <c r="H2108" s="493" t="s">
        <v>1238</v>
      </c>
      <c r="I2108" s="460" t="s">
        <v>5404</v>
      </c>
      <c r="J2108" s="495" t="s">
        <v>2511</v>
      </c>
      <c r="K2108" s="496" t="s">
        <v>641</v>
      </c>
      <c r="L2108" s="497" t="e">
        <v>#REF!</v>
      </c>
      <c r="M2108" s="497">
        <v>229.82760000000005</v>
      </c>
      <c r="N2108" s="464"/>
      <c r="O2108" s="498"/>
      <c r="P2108" s="431" t="s">
        <v>6711</v>
      </c>
    </row>
    <row r="2109" spans="1:16" ht="12.75" hidden="1" customHeight="1" outlineLevel="2" x14ac:dyDescent="0.2">
      <c r="A2109" s="233">
        <v>0</v>
      </c>
      <c r="B2109" s="233">
        <v>16</v>
      </c>
      <c r="C2109" s="233">
        <v>4</v>
      </c>
      <c r="D2109" s="234">
        <v>4</v>
      </c>
      <c r="E2109" s="234">
        <v>0</v>
      </c>
      <c r="G2109" s="507"/>
      <c r="H2109" s="487" t="s">
        <v>1237</v>
      </c>
      <c r="I2109" s="452" t="s">
        <v>5405</v>
      </c>
      <c r="J2109" s="489" t="s">
        <v>2350</v>
      </c>
      <c r="K2109" s="490"/>
      <c r="L2109" s="491"/>
      <c r="M2109" s="491"/>
      <c r="N2109" s="456"/>
      <c r="O2109" s="492"/>
      <c r="P2109" s="430"/>
    </row>
    <row r="2110" spans="1:16" ht="12.75" hidden="1" customHeight="1" outlineLevel="3" x14ac:dyDescent="0.2">
      <c r="A2110" s="233">
        <v>0</v>
      </c>
      <c r="B2110" s="233">
        <v>16</v>
      </c>
      <c r="C2110" s="233">
        <v>4</v>
      </c>
      <c r="D2110" s="234">
        <v>4</v>
      </c>
      <c r="E2110" s="234">
        <v>1</v>
      </c>
      <c r="G2110" s="508" t="s">
        <v>48</v>
      </c>
      <c r="H2110" s="493" t="s">
        <v>1238</v>
      </c>
      <c r="I2110" s="460" t="s">
        <v>5406</v>
      </c>
      <c r="J2110" s="495" t="s">
        <v>1500</v>
      </c>
      <c r="K2110" s="496" t="s">
        <v>787</v>
      </c>
      <c r="L2110" s="497" t="e">
        <v>#REF!</v>
      </c>
      <c r="M2110" s="497">
        <v>10.114274999999999</v>
      </c>
      <c r="N2110" s="464"/>
      <c r="O2110" s="498"/>
      <c r="P2110" s="431" t="s">
        <v>6711</v>
      </c>
    </row>
    <row r="2111" spans="1:16" ht="12.75" hidden="1" customHeight="1" outlineLevel="3" x14ac:dyDescent="0.2">
      <c r="A2111" s="233">
        <v>0</v>
      </c>
      <c r="B2111" s="233">
        <v>16</v>
      </c>
      <c r="C2111" s="233">
        <v>4</v>
      </c>
      <c r="D2111" s="234">
        <v>4</v>
      </c>
      <c r="E2111" s="234">
        <v>2</v>
      </c>
      <c r="G2111" s="508" t="s">
        <v>48</v>
      </c>
      <c r="H2111" s="493" t="s">
        <v>1238</v>
      </c>
      <c r="I2111" s="460" t="s">
        <v>5407</v>
      </c>
      <c r="J2111" s="495" t="s">
        <v>2583</v>
      </c>
      <c r="K2111" s="496" t="s">
        <v>787</v>
      </c>
      <c r="L2111" s="497" t="e">
        <v>#REF!</v>
      </c>
      <c r="M2111" s="497">
        <v>22.121324999999999</v>
      </c>
      <c r="N2111" s="464"/>
      <c r="O2111" s="498"/>
      <c r="P2111" s="431" t="s">
        <v>6711</v>
      </c>
    </row>
    <row r="2112" spans="1:16" ht="12.75" hidden="1" customHeight="1" outlineLevel="2" x14ac:dyDescent="0.2">
      <c r="A2112" s="233">
        <v>0</v>
      </c>
      <c r="B2112" s="233">
        <v>16</v>
      </c>
      <c r="C2112" s="233">
        <v>4</v>
      </c>
      <c r="D2112" s="234">
        <v>5</v>
      </c>
      <c r="E2112" s="234">
        <v>0</v>
      </c>
      <c r="G2112" s="507"/>
      <c r="H2112" s="487" t="s">
        <v>1237</v>
      </c>
      <c r="I2112" s="452" t="s">
        <v>5408</v>
      </c>
      <c r="J2112" s="489" t="s">
        <v>1262</v>
      </c>
      <c r="K2112" s="490"/>
      <c r="L2112" s="491"/>
      <c r="M2112" s="491"/>
      <c r="N2112" s="456"/>
      <c r="O2112" s="492"/>
      <c r="P2112" s="430"/>
    </row>
    <row r="2113" spans="1:16" ht="12.75" hidden="1" customHeight="1" outlineLevel="3" x14ac:dyDescent="0.2">
      <c r="A2113" s="233">
        <v>0</v>
      </c>
      <c r="B2113" s="233">
        <v>16</v>
      </c>
      <c r="C2113" s="233">
        <v>4</v>
      </c>
      <c r="D2113" s="234">
        <v>5</v>
      </c>
      <c r="E2113" s="234">
        <v>1</v>
      </c>
      <c r="G2113" s="508" t="s">
        <v>44</v>
      </c>
      <c r="H2113" s="493" t="s">
        <v>1238</v>
      </c>
      <c r="I2113" s="460" t="s">
        <v>5409</v>
      </c>
      <c r="J2113" s="495" t="s">
        <v>734</v>
      </c>
      <c r="K2113" s="496" t="s">
        <v>641</v>
      </c>
      <c r="L2113" s="497" t="e">
        <v>#REF!</v>
      </c>
      <c r="M2113" s="497">
        <v>40</v>
      </c>
      <c r="N2113" s="464"/>
      <c r="O2113" s="498"/>
      <c r="P2113" s="431" t="s">
        <v>6711</v>
      </c>
    </row>
    <row r="2114" spans="1:16" ht="12.75" hidden="1" customHeight="1" outlineLevel="3" x14ac:dyDescent="0.2">
      <c r="A2114" s="233">
        <v>0</v>
      </c>
      <c r="B2114" s="233">
        <v>16</v>
      </c>
      <c r="C2114" s="233">
        <v>4</v>
      </c>
      <c r="D2114" s="234">
        <v>5</v>
      </c>
      <c r="E2114" s="234">
        <v>2</v>
      </c>
      <c r="G2114" s="508" t="s">
        <v>44</v>
      </c>
      <c r="H2114" s="493" t="s">
        <v>1238</v>
      </c>
      <c r="I2114" s="460" t="s">
        <v>5410</v>
      </c>
      <c r="J2114" s="495" t="s">
        <v>736</v>
      </c>
      <c r="K2114" s="496" t="s">
        <v>641</v>
      </c>
      <c r="L2114" s="497" t="e">
        <v>#REF!</v>
      </c>
      <c r="M2114" s="497">
        <v>40</v>
      </c>
      <c r="N2114" s="464"/>
      <c r="O2114" s="498"/>
      <c r="P2114" s="431" t="s">
        <v>6711</v>
      </c>
    </row>
    <row r="2115" spans="1:16" ht="12.75" hidden="1" customHeight="1" outlineLevel="3" x14ac:dyDescent="0.2">
      <c r="A2115" s="233">
        <v>0</v>
      </c>
      <c r="B2115" s="233">
        <v>16</v>
      </c>
      <c r="C2115" s="233">
        <v>4</v>
      </c>
      <c r="D2115" s="234">
        <v>5</v>
      </c>
      <c r="E2115" s="234">
        <v>3</v>
      </c>
      <c r="G2115" s="508" t="s">
        <v>48</v>
      </c>
      <c r="H2115" s="493" t="s">
        <v>1238</v>
      </c>
      <c r="I2115" s="460" t="s">
        <v>5411</v>
      </c>
      <c r="J2115" s="495" t="s">
        <v>737</v>
      </c>
      <c r="K2115" s="496" t="s">
        <v>641</v>
      </c>
      <c r="L2115" s="497" t="e">
        <v>#REF!</v>
      </c>
      <c r="M2115" s="497">
        <v>75</v>
      </c>
      <c r="N2115" s="464"/>
      <c r="O2115" s="498"/>
      <c r="P2115" s="431" t="s">
        <v>6711</v>
      </c>
    </row>
    <row r="2116" spans="1:16" ht="12.75" hidden="1" customHeight="1" outlineLevel="3" x14ac:dyDescent="0.2">
      <c r="A2116" s="233">
        <v>0</v>
      </c>
      <c r="B2116" s="233">
        <v>16</v>
      </c>
      <c r="C2116" s="233">
        <v>4</v>
      </c>
      <c r="D2116" s="234">
        <v>5</v>
      </c>
      <c r="E2116" s="234">
        <v>4</v>
      </c>
      <c r="G2116" s="508" t="s">
        <v>48</v>
      </c>
      <c r="H2116" s="493" t="s">
        <v>1238</v>
      </c>
      <c r="I2116" s="460" t="s">
        <v>5412</v>
      </c>
      <c r="J2116" s="495" t="s">
        <v>743</v>
      </c>
      <c r="K2116" s="496" t="s">
        <v>787</v>
      </c>
      <c r="L2116" s="497" t="e">
        <v>#REF!</v>
      </c>
      <c r="M2116" s="497">
        <v>24</v>
      </c>
      <c r="N2116" s="464"/>
      <c r="O2116" s="498"/>
      <c r="P2116" s="431" t="s">
        <v>6711</v>
      </c>
    </row>
    <row r="2117" spans="1:16" ht="12.75" hidden="1" customHeight="1" outlineLevel="1" x14ac:dyDescent="0.2">
      <c r="A2117" s="233">
        <v>0</v>
      </c>
      <c r="B2117" s="233">
        <v>16</v>
      </c>
      <c r="C2117" s="233">
        <v>5</v>
      </c>
      <c r="D2117" s="234">
        <v>0</v>
      </c>
      <c r="E2117" s="234">
        <v>4</v>
      </c>
      <c r="G2117" s="506"/>
      <c r="H2117" s="481" t="s">
        <v>38</v>
      </c>
      <c r="I2117" s="445" t="s">
        <v>5413</v>
      </c>
      <c r="J2117" s="483" t="s">
        <v>2596</v>
      </c>
      <c r="K2117" s="484"/>
      <c r="L2117" s="485"/>
      <c r="M2117" s="485"/>
      <c r="N2117" s="449"/>
      <c r="O2117" s="486"/>
      <c r="P2117" s="429"/>
    </row>
    <row r="2118" spans="1:16" ht="12.75" hidden="1" customHeight="1" outlineLevel="2" x14ac:dyDescent="0.2">
      <c r="A2118" s="233">
        <v>0</v>
      </c>
      <c r="B2118" s="233">
        <v>16</v>
      </c>
      <c r="C2118" s="233">
        <v>5</v>
      </c>
      <c r="D2118" s="234">
        <v>1</v>
      </c>
      <c r="E2118" s="234">
        <v>0</v>
      </c>
      <c r="G2118" s="507"/>
      <c r="H2118" s="487" t="s">
        <v>1237</v>
      </c>
      <c r="I2118" s="452" t="s">
        <v>5414</v>
      </c>
      <c r="J2118" s="489" t="s">
        <v>22</v>
      </c>
      <c r="K2118" s="490"/>
      <c r="L2118" s="491"/>
      <c r="M2118" s="491"/>
      <c r="N2118" s="456"/>
      <c r="O2118" s="492"/>
      <c r="P2118" s="430"/>
    </row>
    <row r="2119" spans="1:16" ht="12.75" hidden="1" customHeight="1" outlineLevel="3" x14ac:dyDescent="0.2">
      <c r="A2119" s="233">
        <v>0</v>
      </c>
      <c r="B2119" s="233">
        <v>16</v>
      </c>
      <c r="C2119" s="233">
        <v>5</v>
      </c>
      <c r="D2119" s="234">
        <v>1</v>
      </c>
      <c r="E2119" s="234">
        <v>1</v>
      </c>
      <c r="G2119" s="508" t="s">
        <v>44</v>
      </c>
      <c r="H2119" s="493" t="s">
        <v>1238</v>
      </c>
      <c r="I2119" s="460" t="s">
        <v>5415</v>
      </c>
      <c r="J2119" s="495" t="s">
        <v>2505</v>
      </c>
      <c r="K2119" s="496" t="s">
        <v>641</v>
      </c>
      <c r="L2119" s="497" t="e">
        <v>#REF!</v>
      </c>
      <c r="M2119" s="497">
        <v>44.585233333333335</v>
      </c>
      <c r="N2119" s="464"/>
      <c r="O2119" s="498"/>
      <c r="P2119" s="431" t="s">
        <v>6711</v>
      </c>
    </row>
    <row r="2120" spans="1:16" ht="12.75" hidden="1" customHeight="1" outlineLevel="2" x14ac:dyDescent="0.2">
      <c r="A2120" s="233">
        <v>0</v>
      </c>
      <c r="B2120" s="233">
        <v>16</v>
      </c>
      <c r="C2120" s="233">
        <v>5</v>
      </c>
      <c r="D2120" s="234">
        <v>2</v>
      </c>
      <c r="E2120" s="234">
        <v>0</v>
      </c>
      <c r="G2120" s="507"/>
      <c r="H2120" s="487" t="s">
        <v>1237</v>
      </c>
      <c r="I2120" s="452" t="s">
        <v>5416</v>
      </c>
      <c r="J2120" s="489" t="s">
        <v>2348</v>
      </c>
      <c r="K2120" s="490"/>
      <c r="L2120" s="491"/>
      <c r="M2120" s="491"/>
      <c r="N2120" s="456"/>
      <c r="O2120" s="492"/>
      <c r="P2120" s="430"/>
    </row>
    <row r="2121" spans="1:16" ht="12.75" hidden="1" customHeight="1" outlineLevel="3" x14ac:dyDescent="0.2">
      <c r="A2121" s="233">
        <v>0</v>
      </c>
      <c r="B2121" s="233">
        <v>16</v>
      </c>
      <c r="C2121" s="233">
        <v>5</v>
      </c>
      <c r="D2121" s="234">
        <v>2</v>
      </c>
      <c r="E2121" s="234">
        <v>1</v>
      </c>
      <c r="G2121" s="508" t="s">
        <v>44</v>
      </c>
      <c r="H2121" s="493" t="s">
        <v>1238</v>
      </c>
      <c r="I2121" s="460" t="s">
        <v>5417</v>
      </c>
      <c r="J2121" s="495" t="s">
        <v>617</v>
      </c>
      <c r="K2121" s="496" t="s">
        <v>641</v>
      </c>
      <c r="L2121" s="497" t="e">
        <v>#REF!</v>
      </c>
      <c r="M2121" s="497">
        <v>61.444938999999998</v>
      </c>
      <c r="N2121" s="464"/>
      <c r="O2121" s="498" t="s">
        <v>2084</v>
      </c>
      <c r="P2121" s="431" t="s">
        <v>6711</v>
      </c>
    </row>
    <row r="2122" spans="1:16" ht="12.75" hidden="1" customHeight="1" outlineLevel="2" x14ac:dyDescent="0.2">
      <c r="A2122" s="233">
        <v>0</v>
      </c>
      <c r="B2122" s="233">
        <v>16</v>
      </c>
      <c r="C2122" s="233">
        <v>5</v>
      </c>
      <c r="D2122" s="234">
        <v>3</v>
      </c>
      <c r="E2122" s="234">
        <v>0</v>
      </c>
      <c r="G2122" s="507"/>
      <c r="H2122" s="487" t="s">
        <v>1237</v>
      </c>
      <c r="I2122" s="452" t="s">
        <v>5418</v>
      </c>
      <c r="J2122" s="489" t="s">
        <v>2277</v>
      </c>
      <c r="K2122" s="490"/>
      <c r="L2122" s="491"/>
      <c r="M2122" s="491"/>
      <c r="N2122" s="456"/>
      <c r="O2122" s="492"/>
      <c r="P2122" s="430"/>
    </row>
    <row r="2123" spans="1:16" ht="12.75" hidden="1" customHeight="1" outlineLevel="3" x14ac:dyDescent="0.2">
      <c r="A2123" s="233">
        <v>0</v>
      </c>
      <c r="B2123" s="233">
        <v>16</v>
      </c>
      <c r="C2123" s="233">
        <v>5</v>
      </c>
      <c r="D2123" s="234">
        <v>3</v>
      </c>
      <c r="E2123" s="234">
        <v>1</v>
      </c>
      <c r="G2123" s="508" t="s">
        <v>48</v>
      </c>
      <c r="H2123" s="493" t="s">
        <v>1238</v>
      </c>
      <c r="I2123" s="460" t="s">
        <v>5419</v>
      </c>
      <c r="J2123" s="495" t="s">
        <v>1816</v>
      </c>
      <c r="K2123" s="496" t="s">
        <v>641</v>
      </c>
      <c r="L2123" s="497" t="e">
        <v>#REF!</v>
      </c>
      <c r="M2123" s="497">
        <v>58.073</v>
      </c>
      <c r="N2123" s="464"/>
      <c r="O2123" s="498"/>
      <c r="P2123" s="431" t="s">
        <v>6711</v>
      </c>
    </row>
    <row r="2124" spans="1:16" ht="12.75" hidden="1" customHeight="1" outlineLevel="3" x14ac:dyDescent="0.2">
      <c r="A2124" s="233">
        <v>0</v>
      </c>
      <c r="B2124" s="233">
        <v>16</v>
      </c>
      <c r="C2124" s="233">
        <v>5</v>
      </c>
      <c r="D2124" s="234">
        <v>3</v>
      </c>
      <c r="E2124" s="234">
        <v>2</v>
      </c>
      <c r="G2124" s="508" t="s">
        <v>48</v>
      </c>
      <c r="H2124" s="493" t="s">
        <v>1238</v>
      </c>
      <c r="I2124" s="460" t="s">
        <v>5420</v>
      </c>
      <c r="J2124" s="495" t="s">
        <v>2511</v>
      </c>
      <c r="K2124" s="496" t="s">
        <v>641</v>
      </c>
      <c r="L2124" s="497" t="e">
        <v>#REF!</v>
      </c>
      <c r="M2124" s="497">
        <v>229.82760000000005</v>
      </c>
      <c r="N2124" s="464"/>
      <c r="O2124" s="498"/>
      <c r="P2124" s="431" t="s">
        <v>6711</v>
      </c>
    </row>
    <row r="2125" spans="1:16" ht="12.75" hidden="1" customHeight="1" outlineLevel="3" x14ac:dyDescent="0.2">
      <c r="A2125" s="233">
        <v>0</v>
      </c>
      <c r="B2125" s="233">
        <v>16</v>
      </c>
      <c r="C2125" s="233">
        <v>5</v>
      </c>
      <c r="D2125" s="234">
        <v>3</v>
      </c>
      <c r="E2125" s="234">
        <v>3</v>
      </c>
      <c r="G2125" s="508" t="s">
        <v>48</v>
      </c>
      <c r="H2125" s="493" t="s">
        <v>1238</v>
      </c>
      <c r="I2125" s="460" t="s">
        <v>5421</v>
      </c>
      <c r="J2125" s="495" t="s">
        <v>2512</v>
      </c>
      <c r="K2125" s="496" t="s">
        <v>641</v>
      </c>
      <c r="L2125" s="497" t="e">
        <v>#REF!</v>
      </c>
      <c r="M2125" s="497">
        <v>141.82760000000002</v>
      </c>
      <c r="N2125" s="464"/>
      <c r="O2125" s="498"/>
      <c r="P2125" s="431" t="s">
        <v>6711</v>
      </c>
    </row>
    <row r="2126" spans="1:16" ht="12.75" hidden="1" customHeight="1" outlineLevel="2" x14ac:dyDescent="0.2">
      <c r="A2126" s="233">
        <v>0</v>
      </c>
      <c r="B2126" s="233">
        <v>16</v>
      </c>
      <c r="C2126" s="233">
        <v>5</v>
      </c>
      <c r="D2126" s="234">
        <v>4</v>
      </c>
      <c r="E2126" s="234">
        <v>0</v>
      </c>
      <c r="G2126" s="507"/>
      <c r="H2126" s="487" t="s">
        <v>1237</v>
      </c>
      <c r="I2126" s="452" t="s">
        <v>5422</v>
      </c>
      <c r="J2126" s="489" t="s">
        <v>2350</v>
      </c>
      <c r="K2126" s="490"/>
      <c r="L2126" s="491"/>
      <c r="M2126" s="491"/>
      <c r="N2126" s="456"/>
      <c r="O2126" s="492"/>
      <c r="P2126" s="430"/>
    </row>
    <row r="2127" spans="1:16" ht="12.75" hidden="1" customHeight="1" outlineLevel="3" x14ac:dyDescent="0.2">
      <c r="A2127" s="233">
        <v>0</v>
      </c>
      <c r="B2127" s="233">
        <v>16</v>
      </c>
      <c r="C2127" s="233">
        <v>5</v>
      </c>
      <c r="D2127" s="234">
        <v>4</v>
      </c>
      <c r="E2127" s="234">
        <v>1</v>
      </c>
      <c r="G2127" s="508" t="s">
        <v>48</v>
      </c>
      <c r="H2127" s="493" t="s">
        <v>1238</v>
      </c>
      <c r="I2127" s="460" t="s">
        <v>5423</v>
      </c>
      <c r="J2127" s="495" t="s">
        <v>1500</v>
      </c>
      <c r="K2127" s="496" t="s">
        <v>787</v>
      </c>
      <c r="L2127" s="497" t="e">
        <v>#REF!</v>
      </c>
      <c r="M2127" s="497">
        <v>10.114274999999999</v>
      </c>
      <c r="N2127" s="464"/>
      <c r="O2127" s="498"/>
      <c r="P2127" s="431" t="s">
        <v>6711</v>
      </c>
    </row>
    <row r="2128" spans="1:16" ht="12.75" hidden="1" customHeight="1" outlineLevel="3" x14ac:dyDescent="0.2">
      <c r="A2128" s="233">
        <v>0</v>
      </c>
      <c r="B2128" s="233">
        <v>16</v>
      </c>
      <c r="C2128" s="233">
        <v>5</v>
      </c>
      <c r="D2128" s="234">
        <v>4</v>
      </c>
      <c r="E2128" s="234">
        <v>2</v>
      </c>
      <c r="G2128" s="508" t="s">
        <v>48</v>
      </c>
      <c r="H2128" s="493" t="s">
        <v>1238</v>
      </c>
      <c r="I2128" s="460" t="s">
        <v>5424</v>
      </c>
      <c r="J2128" s="495" t="s">
        <v>2583</v>
      </c>
      <c r="K2128" s="496" t="s">
        <v>787</v>
      </c>
      <c r="L2128" s="497" t="e">
        <v>#REF!</v>
      </c>
      <c r="M2128" s="497">
        <v>22.121324999999999</v>
      </c>
      <c r="N2128" s="464"/>
      <c r="O2128" s="498"/>
      <c r="P2128" s="431" t="s">
        <v>6711</v>
      </c>
    </row>
    <row r="2129" spans="1:16" ht="12.75" hidden="1" customHeight="1" outlineLevel="2" x14ac:dyDescent="0.2">
      <c r="A2129" s="233">
        <v>0</v>
      </c>
      <c r="B2129" s="233">
        <v>16</v>
      </c>
      <c r="C2129" s="233">
        <v>5</v>
      </c>
      <c r="D2129" s="234">
        <v>5</v>
      </c>
      <c r="E2129" s="234">
        <v>0</v>
      </c>
      <c r="G2129" s="507"/>
      <c r="H2129" s="487" t="s">
        <v>1237</v>
      </c>
      <c r="I2129" s="452" t="s">
        <v>5425</v>
      </c>
      <c r="J2129" s="489" t="s">
        <v>1262</v>
      </c>
      <c r="K2129" s="490"/>
      <c r="L2129" s="491"/>
      <c r="M2129" s="491"/>
      <c r="N2129" s="456"/>
      <c r="O2129" s="492"/>
      <c r="P2129" s="430"/>
    </row>
    <row r="2130" spans="1:16" ht="12.75" hidden="1" customHeight="1" outlineLevel="3" x14ac:dyDescent="0.2">
      <c r="A2130" s="233">
        <v>0</v>
      </c>
      <c r="B2130" s="233">
        <v>16</v>
      </c>
      <c r="C2130" s="233">
        <v>5</v>
      </c>
      <c r="D2130" s="234">
        <v>5</v>
      </c>
      <c r="E2130" s="234">
        <v>1</v>
      </c>
      <c r="G2130" s="508" t="s">
        <v>44</v>
      </c>
      <c r="H2130" s="493" t="s">
        <v>1238</v>
      </c>
      <c r="I2130" s="460" t="s">
        <v>5426</v>
      </c>
      <c r="J2130" s="495" t="s">
        <v>734</v>
      </c>
      <c r="K2130" s="496" t="s">
        <v>641</v>
      </c>
      <c r="L2130" s="497" t="e">
        <v>#REF!</v>
      </c>
      <c r="M2130" s="497">
        <v>40</v>
      </c>
      <c r="N2130" s="464"/>
      <c r="O2130" s="498"/>
      <c r="P2130" s="431" t="s">
        <v>6711</v>
      </c>
    </row>
    <row r="2131" spans="1:16" ht="12.75" hidden="1" customHeight="1" outlineLevel="3" x14ac:dyDescent="0.2">
      <c r="A2131" s="233">
        <v>0</v>
      </c>
      <c r="B2131" s="233">
        <v>16</v>
      </c>
      <c r="C2131" s="233">
        <v>5</v>
      </c>
      <c r="D2131" s="234">
        <v>5</v>
      </c>
      <c r="E2131" s="234">
        <v>2</v>
      </c>
      <c r="G2131" s="508" t="s">
        <v>44</v>
      </c>
      <c r="H2131" s="493" t="s">
        <v>1238</v>
      </c>
      <c r="I2131" s="460" t="s">
        <v>5427</v>
      </c>
      <c r="J2131" s="495" t="s">
        <v>736</v>
      </c>
      <c r="K2131" s="496" t="s">
        <v>641</v>
      </c>
      <c r="L2131" s="497" t="e">
        <v>#REF!</v>
      </c>
      <c r="M2131" s="497">
        <v>40</v>
      </c>
      <c r="N2131" s="464"/>
      <c r="O2131" s="498"/>
      <c r="P2131" s="431" t="s">
        <v>6711</v>
      </c>
    </row>
    <row r="2132" spans="1:16" ht="12.75" hidden="1" customHeight="1" outlineLevel="3" x14ac:dyDescent="0.2">
      <c r="A2132" s="233">
        <v>0</v>
      </c>
      <c r="B2132" s="233">
        <v>16</v>
      </c>
      <c r="C2132" s="233">
        <v>5</v>
      </c>
      <c r="D2132" s="234">
        <v>5</v>
      </c>
      <c r="E2132" s="234">
        <v>3</v>
      </c>
      <c r="G2132" s="508" t="s">
        <v>48</v>
      </c>
      <c r="H2132" s="493" t="s">
        <v>1238</v>
      </c>
      <c r="I2132" s="460" t="s">
        <v>5428</v>
      </c>
      <c r="J2132" s="495" t="s">
        <v>737</v>
      </c>
      <c r="K2132" s="496" t="s">
        <v>641</v>
      </c>
      <c r="L2132" s="497" t="e">
        <v>#REF!</v>
      </c>
      <c r="M2132" s="497">
        <v>75</v>
      </c>
      <c r="N2132" s="464"/>
      <c r="O2132" s="498"/>
      <c r="P2132" s="431" t="s">
        <v>6711</v>
      </c>
    </row>
    <row r="2133" spans="1:16" ht="12.75" hidden="1" customHeight="1" outlineLevel="3" x14ac:dyDescent="0.2">
      <c r="A2133" s="233">
        <v>0</v>
      </c>
      <c r="B2133" s="233">
        <v>16</v>
      </c>
      <c r="C2133" s="233">
        <v>5</v>
      </c>
      <c r="D2133" s="234">
        <v>5</v>
      </c>
      <c r="E2133" s="234">
        <v>4</v>
      </c>
      <c r="G2133" s="508" t="s">
        <v>48</v>
      </c>
      <c r="H2133" s="493" t="s">
        <v>1238</v>
      </c>
      <c r="I2133" s="460" t="s">
        <v>5429</v>
      </c>
      <c r="J2133" s="495" t="s">
        <v>743</v>
      </c>
      <c r="K2133" s="496" t="s">
        <v>787</v>
      </c>
      <c r="L2133" s="497" t="e">
        <v>#REF!</v>
      </c>
      <c r="M2133" s="497">
        <v>24</v>
      </c>
      <c r="N2133" s="464"/>
      <c r="O2133" s="498"/>
      <c r="P2133" s="431" t="s">
        <v>6711</v>
      </c>
    </row>
    <row r="2134" spans="1:16" ht="12.75" hidden="1" customHeight="1" outlineLevel="1" x14ac:dyDescent="0.2">
      <c r="A2134" s="233">
        <v>0</v>
      </c>
      <c r="B2134" s="233">
        <v>16</v>
      </c>
      <c r="C2134" s="233">
        <v>6</v>
      </c>
      <c r="D2134" s="234">
        <v>0</v>
      </c>
      <c r="E2134" s="234">
        <v>4</v>
      </c>
      <c r="G2134" s="506"/>
      <c r="H2134" s="481" t="s">
        <v>38</v>
      </c>
      <c r="I2134" s="445" t="s">
        <v>5430</v>
      </c>
      <c r="J2134" s="483" t="s">
        <v>2598</v>
      </c>
      <c r="K2134" s="484"/>
      <c r="L2134" s="485"/>
      <c r="M2134" s="485"/>
      <c r="N2134" s="449"/>
      <c r="O2134" s="486"/>
      <c r="P2134" s="429"/>
    </row>
    <row r="2135" spans="1:16" ht="12.75" hidden="1" customHeight="1" outlineLevel="2" x14ac:dyDescent="0.2">
      <c r="A2135" s="233">
        <v>0</v>
      </c>
      <c r="B2135" s="233">
        <v>16</v>
      </c>
      <c r="C2135" s="233">
        <v>6</v>
      </c>
      <c r="D2135" s="234">
        <v>1</v>
      </c>
      <c r="E2135" s="234">
        <v>0</v>
      </c>
      <c r="G2135" s="507"/>
      <c r="H2135" s="487" t="s">
        <v>1237</v>
      </c>
      <c r="I2135" s="452" t="s">
        <v>5431</v>
      </c>
      <c r="J2135" s="489" t="s">
        <v>22</v>
      </c>
      <c r="K2135" s="490"/>
      <c r="L2135" s="491"/>
      <c r="M2135" s="491"/>
      <c r="N2135" s="456"/>
      <c r="O2135" s="492"/>
      <c r="P2135" s="430"/>
    </row>
    <row r="2136" spans="1:16" ht="12.75" hidden="1" customHeight="1" outlineLevel="3" x14ac:dyDescent="0.2">
      <c r="A2136" s="233">
        <v>0</v>
      </c>
      <c r="B2136" s="233">
        <v>16</v>
      </c>
      <c r="C2136" s="233">
        <v>6</v>
      </c>
      <c r="D2136" s="234">
        <v>1</v>
      </c>
      <c r="E2136" s="234">
        <v>1</v>
      </c>
      <c r="G2136" s="508" t="s">
        <v>44</v>
      </c>
      <c r="H2136" s="493" t="s">
        <v>1238</v>
      </c>
      <c r="I2136" s="460" t="s">
        <v>5432</v>
      </c>
      <c r="J2136" s="495" t="s">
        <v>2505</v>
      </c>
      <c r="K2136" s="496" t="s">
        <v>641</v>
      </c>
      <c r="L2136" s="497" t="e">
        <v>#REF!</v>
      </c>
      <c r="M2136" s="497">
        <v>44.585233333333335</v>
      </c>
      <c r="N2136" s="464"/>
      <c r="O2136" s="498"/>
      <c r="P2136" s="431" t="s">
        <v>6711</v>
      </c>
    </row>
    <row r="2137" spans="1:16" ht="12.75" hidden="1" customHeight="1" outlineLevel="2" x14ac:dyDescent="0.2">
      <c r="A2137" s="233">
        <v>0</v>
      </c>
      <c r="B2137" s="233">
        <v>16</v>
      </c>
      <c r="C2137" s="233">
        <v>6</v>
      </c>
      <c r="D2137" s="234">
        <v>2</v>
      </c>
      <c r="E2137" s="234">
        <v>0</v>
      </c>
      <c r="G2137" s="507"/>
      <c r="H2137" s="487" t="s">
        <v>1237</v>
      </c>
      <c r="I2137" s="452" t="s">
        <v>5433</v>
      </c>
      <c r="J2137" s="489" t="s">
        <v>2348</v>
      </c>
      <c r="K2137" s="490"/>
      <c r="L2137" s="491"/>
      <c r="M2137" s="491"/>
      <c r="N2137" s="456"/>
      <c r="O2137" s="492"/>
      <c r="P2137" s="430"/>
    </row>
    <row r="2138" spans="1:16" ht="12.75" hidden="1" customHeight="1" outlineLevel="3" x14ac:dyDescent="0.2">
      <c r="A2138" s="233">
        <v>0</v>
      </c>
      <c r="B2138" s="233">
        <v>16</v>
      </c>
      <c r="C2138" s="233">
        <v>6</v>
      </c>
      <c r="D2138" s="234">
        <v>2</v>
      </c>
      <c r="E2138" s="234">
        <v>1</v>
      </c>
      <c r="G2138" s="508" t="s">
        <v>44</v>
      </c>
      <c r="H2138" s="493" t="s">
        <v>1238</v>
      </c>
      <c r="I2138" s="460" t="s">
        <v>5434</v>
      </c>
      <c r="J2138" s="495" t="s">
        <v>617</v>
      </c>
      <c r="K2138" s="496" t="s">
        <v>641</v>
      </c>
      <c r="L2138" s="497" t="e">
        <v>#REF!</v>
      </c>
      <c r="M2138" s="497">
        <v>61.444938999999998</v>
      </c>
      <c r="N2138" s="464"/>
      <c r="O2138" s="498" t="s">
        <v>2084</v>
      </c>
      <c r="P2138" s="431" t="s">
        <v>6711</v>
      </c>
    </row>
    <row r="2139" spans="1:16" ht="12.75" hidden="1" customHeight="1" outlineLevel="2" x14ac:dyDescent="0.2">
      <c r="A2139" s="233">
        <v>0</v>
      </c>
      <c r="B2139" s="233">
        <v>16</v>
      </c>
      <c r="C2139" s="233">
        <v>6</v>
      </c>
      <c r="D2139" s="234">
        <v>3</v>
      </c>
      <c r="E2139" s="234">
        <v>0</v>
      </c>
      <c r="G2139" s="507"/>
      <c r="H2139" s="487" t="s">
        <v>1237</v>
      </c>
      <c r="I2139" s="452" t="s">
        <v>5435</v>
      </c>
      <c r="J2139" s="489" t="s">
        <v>2277</v>
      </c>
      <c r="K2139" s="490"/>
      <c r="L2139" s="491"/>
      <c r="M2139" s="491"/>
      <c r="N2139" s="456"/>
      <c r="O2139" s="492"/>
      <c r="P2139" s="430"/>
    </row>
    <row r="2140" spans="1:16" ht="12.75" hidden="1" customHeight="1" outlineLevel="3" x14ac:dyDescent="0.2">
      <c r="A2140" s="233">
        <v>0</v>
      </c>
      <c r="B2140" s="233">
        <v>16</v>
      </c>
      <c r="C2140" s="233">
        <v>6</v>
      </c>
      <c r="D2140" s="234">
        <v>3</v>
      </c>
      <c r="E2140" s="234">
        <v>1</v>
      </c>
      <c r="G2140" s="508" t="s">
        <v>48</v>
      </c>
      <c r="H2140" s="493" t="s">
        <v>1238</v>
      </c>
      <c r="I2140" s="460" t="s">
        <v>5436</v>
      </c>
      <c r="J2140" s="495" t="s">
        <v>2516</v>
      </c>
      <c r="K2140" s="496" t="s">
        <v>641</v>
      </c>
      <c r="L2140" s="497" t="e">
        <v>#REF!</v>
      </c>
      <c r="M2140" s="497">
        <v>61.838600000000007</v>
      </c>
      <c r="N2140" s="464"/>
      <c r="O2140" s="498"/>
      <c r="P2140" s="431" t="s">
        <v>6711</v>
      </c>
    </row>
    <row r="2141" spans="1:16" ht="12.75" hidden="1" customHeight="1" outlineLevel="3" x14ac:dyDescent="0.2">
      <c r="A2141" s="233">
        <v>0</v>
      </c>
      <c r="B2141" s="233">
        <v>16</v>
      </c>
      <c r="C2141" s="233">
        <v>6</v>
      </c>
      <c r="D2141" s="234">
        <v>3</v>
      </c>
      <c r="E2141" s="234">
        <v>2</v>
      </c>
      <c r="G2141" s="508" t="s">
        <v>48</v>
      </c>
      <c r="H2141" s="493" t="s">
        <v>1238</v>
      </c>
      <c r="I2141" s="460" t="s">
        <v>5437</v>
      </c>
      <c r="J2141" s="495" t="s">
        <v>1816</v>
      </c>
      <c r="K2141" s="496" t="s">
        <v>641</v>
      </c>
      <c r="L2141" s="497" t="e">
        <v>#REF!</v>
      </c>
      <c r="M2141" s="497">
        <v>58.073</v>
      </c>
      <c r="N2141" s="464"/>
      <c r="O2141" s="498"/>
      <c r="P2141" s="431" t="s">
        <v>6711</v>
      </c>
    </row>
    <row r="2142" spans="1:16" ht="12.75" hidden="1" customHeight="1" outlineLevel="3" x14ac:dyDescent="0.2">
      <c r="A2142" s="233">
        <v>0</v>
      </c>
      <c r="B2142" s="233">
        <v>16</v>
      </c>
      <c r="C2142" s="233">
        <v>6</v>
      </c>
      <c r="D2142" s="234">
        <v>3</v>
      </c>
      <c r="E2142" s="234">
        <v>3</v>
      </c>
      <c r="G2142" s="508" t="s">
        <v>48</v>
      </c>
      <c r="H2142" s="493" t="s">
        <v>1238</v>
      </c>
      <c r="I2142" s="460" t="s">
        <v>5438</v>
      </c>
      <c r="J2142" s="495" t="s">
        <v>2511</v>
      </c>
      <c r="K2142" s="496" t="s">
        <v>641</v>
      </c>
      <c r="L2142" s="497" t="e">
        <v>#REF!</v>
      </c>
      <c r="M2142" s="497">
        <v>229.82760000000005</v>
      </c>
      <c r="N2142" s="464"/>
      <c r="O2142" s="498"/>
      <c r="P2142" s="431" t="s">
        <v>6711</v>
      </c>
    </row>
    <row r="2143" spans="1:16" ht="12.75" hidden="1" customHeight="1" outlineLevel="3" x14ac:dyDescent="0.2">
      <c r="A2143" s="233">
        <v>0</v>
      </c>
      <c r="B2143" s="233">
        <v>16</v>
      </c>
      <c r="C2143" s="233">
        <v>6</v>
      </c>
      <c r="D2143" s="234">
        <v>3</v>
      </c>
      <c r="E2143" s="234">
        <v>4</v>
      </c>
      <c r="G2143" s="508" t="s">
        <v>48</v>
      </c>
      <c r="H2143" s="493" t="s">
        <v>1238</v>
      </c>
      <c r="I2143" s="460" t="s">
        <v>5439</v>
      </c>
      <c r="J2143" s="495" t="s">
        <v>2512</v>
      </c>
      <c r="K2143" s="496" t="s">
        <v>641</v>
      </c>
      <c r="L2143" s="497" t="e">
        <v>#REF!</v>
      </c>
      <c r="M2143" s="497">
        <v>141.82760000000002</v>
      </c>
      <c r="N2143" s="464"/>
      <c r="O2143" s="498"/>
      <c r="P2143" s="431" t="s">
        <v>6711</v>
      </c>
    </row>
    <row r="2144" spans="1:16" ht="12.75" hidden="1" customHeight="1" outlineLevel="2" x14ac:dyDescent="0.2">
      <c r="A2144" s="233">
        <v>0</v>
      </c>
      <c r="B2144" s="233">
        <v>16</v>
      </c>
      <c r="C2144" s="233">
        <v>6</v>
      </c>
      <c r="D2144" s="234">
        <v>4</v>
      </c>
      <c r="E2144" s="234">
        <v>0</v>
      </c>
      <c r="G2144" s="507"/>
      <c r="H2144" s="487" t="s">
        <v>1237</v>
      </c>
      <c r="I2144" s="452" t="s">
        <v>5440</v>
      </c>
      <c r="J2144" s="489" t="s">
        <v>2350</v>
      </c>
      <c r="K2144" s="490"/>
      <c r="L2144" s="491"/>
      <c r="M2144" s="491"/>
      <c r="N2144" s="456"/>
      <c r="O2144" s="492"/>
      <c r="P2144" s="430"/>
    </row>
    <row r="2145" spans="1:16" ht="12.75" hidden="1" customHeight="1" outlineLevel="3" x14ac:dyDescent="0.2">
      <c r="A2145" s="233">
        <v>0</v>
      </c>
      <c r="B2145" s="233">
        <v>16</v>
      </c>
      <c r="C2145" s="233">
        <v>6</v>
      </c>
      <c r="D2145" s="234">
        <v>4</v>
      </c>
      <c r="E2145" s="234">
        <v>1</v>
      </c>
      <c r="G2145" s="508" t="s">
        <v>48</v>
      </c>
      <c r="H2145" s="493" t="s">
        <v>1238</v>
      </c>
      <c r="I2145" s="460" t="s">
        <v>5441</v>
      </c>
      <c r="J2145" s="495" t="s">
        <v>1500</v>
      </c>
      <c r="K2145" s="496" t="s">
        <v>787</v>
      </c>
      <c r="L2145" s="497" t="e">
        <v>#REF!</v>
      </c>
      <c r="M2145" s="497">
        <v>10.114274999999999</v>
      </c>
      <c r="N2145" s="464"/>
      <c r="O2145" s="498"/>
      <c r="P2145" s="431" t="s">
        <v>6711</v>
      </c>
    </row>
    <row r="2146" spans="1:16" ht="12.75" hidden="1" customHeight="1" outlineLevel="3" x14ac:dyDescent="0.2">
      <c r="A2146" s="233">
        <v>0</v>
      </c>
      <c r="B2146" s="233">
        <v>16</v>
      </c>
      <c r="C2146" s="233">
        <v>6</v>
      </c>
      <c r="D2146" s="234">
        <v>4</v>
      </c>
      <c r="E2146" s="234">
        <v>2</v>
      </c>
      <c r="G2146" s="508" t="s">
        <v>48</v>
      </c>
      <c r="H2146" s="493" t="s">
        <v>1238</v>
      </c>
      <c r="I2146" s="460" t="s">
        <v>5442</v>
      </c>
      <c r="J2146" s="495" t="s">
        <v>2583</v>
      </c>
      <c r="K2146" s="496" t="s">
        <v>787</v>
      </c>
      <c r="L2146" s="497" t="e">
        <v>#REF!</v>
      </c>
      <c r="M2146" s="497">
        <v>22.121324999999999</v>
      </c>
      <c r="N2146" s="464"/>
      <c r="O2146" s="498"/>
      <c r="P2146" s="431" t="s">
        <v>6711</v>
      </c>
    </row>
    <row r="2147" spans="1:16" ht="12.75" hidden="1" customHeight="1" outlineLevel="2" x14ac:dyDescent="0.2">
      <c r="A2147" s="233">
        <v>0</v>
      </c>
      <c r="B2147" s="233">
        <v>16</v>
      </c>
      <c r="C2147" s="233">
        <v>6</v>
      </c>
      <c r="D2147" s="234">
        <v>5</v>
      </c>
      <c r="E2147" s="234">
        <v>0</v>
      </c>
      <c r="G2147" s="507"/>
      <c r="H2147" s="487" t="s">
        <v>1237</v>
      </c>
      <c r="I2147" s="452" t="s">
        <v>5443</v>
      </c>
      <c r="J2147" s="489" t="s">
        <v>1262</v>
      </c>
      <c r="K2147" s="490"/>
      <c r="L2147" s="491"/>
      <c r="M2147" s="491"/>
      <c r="N2147" s="456"/>
      <c r="O2147" s="492"/>
      <c r="P2147" s="430"/>
    </row>
    <row r="2148" spans="1:16" ht="12.75" hidden="1" customHeight="1" outlineLevel="3" x14ac:dyDescent="0.2">
      <c r="A2148" s="233">
        <v>0</v>
      </c>
      <c r="B2148" s="233">
        <v>16</v>
      </c>
      <c r="C2148" s="233">
        <v>6</v>
      </c>
      <c r="D2148" s="234">
        <v>5</v>
      </c>
      <c r="E2148" s="234">
        <v>1</v>
      </c>
      <c r="G2148" s="508" t="s">
        <v>44</v>
      </c>
      <c r="H2148" s="493" t="s">
        <v>1238</v>
      </c>
      <c r="I2148" s="460" t="s">
        <v>5444</v>
      </c>
      <c r="J2148" s="495" t="s">
        <v>734</v>
      </c>
      <c r="K2148" s="496" t="s">
        <v>641</v>
      </c>
      <c r="L2148" s="497" t="e">
        <v>#REF!</v>
      </c>
      <c r="M2148" s="497">
        <v>40</v>
      </c>
      <c r="N2148" s="464"/>
      <c r="O2148" s="498"/>
      <c r="P2148" s="431" t="s">
        <v>6711</v>
      </c>
    </row>
    <row r="2149" spans="1:16" ht="12.75" hidden="1" customHeight="1" outlineLevel="3" x14ac:dyDescent="0.2">
      <c r="A2149" s="233">
        <v>0</v>
      </c>
      <c r="B2149" s="233">
        <v>16</v>
      </c>
      <c r="C2149" s="233">
        <v>6</v>
      </c>
      <c r="D2149" s="234">
        <v>5</v>
      </c>
      <c r="E2149" s="234">
        <v>2</v>
      </c>
      <c r="G2149" s="508" t="s">
        <v>44</v>
      </c>
      <c r="H2149" s="493" t="s">
        <v>1238</v>
      </c>
      <c r="I2149" s="460" t="s">
        <v>5445</v>
      </c>
      <c r="J2149" s="495" t="s">
        <v>736</v>
      </c>
      <c r="K2149" s="496" t="s">
        <v>641</v>
      </c>
      <c r="L2149" s="497" t="e">
        <v>#REF!</v>
      </c>
      <c r="M2149" s="497">
        <v>40</v>
      </c>
      <c r="N2149" s="464"/>
      <c r="O2149" s="498"/>
      <c r="P2149" s="431" t="s">
        <v>6711</v>
      </c>
    </row>
    <row r="2150" spans="1:16" ht="12.75" hidden="1" customHeight="1" outlineLevel="3" x14ac:dyDescent="0.2">
      <c r="A2150" s="233">
        <v>0</v>
      </c>
      <c r="B2150" s="233">
        <v>16</v>
      </c>
      <c r="C2150" s="233">
        <v>6</v>
      </c>
      <c r="D2150" s="234">
        <v>5</v>
      </c>
      <c r="E2150" s="234">
        <v>3</v>
      </c>
      <c r="G2150" s="508" t="s">
        <v>48</v>
      </c>
      <c r="H2150" s="493" t="s">
        <v>1238</v>
      </c>
      <c r="I2150" s="460" t="s">
        <v>5446</v>
      </c>
      <c r="J2150" s="495" t="s">
        <v>737</v>
      </c>
      <c r="K2150" s="496" t="s">
        <v>641</v>
      </c>
      <c r="L2150" s="497" t="e">
        <v>#REF!</v>
      </c>
      <c r="M2150" s="497">
        <v>75</v>
      </c>
      <c r="N2150" s="464"/>
      <c r="O2150" s="498"/>
      <c r="P2150" s="431" t="s">
        <v>6711</v>
      </c>
    </row>
    <row r="2151" spans="1:16" ht="12.75" hidden="1" customHeight="1" outlineLevel="3" x14ac:dyDescent="0.2">
      <c r="A2151" s="233">
        <v>0</v>
      </c>
      <c r="B2151" s="233">
        <v>16</v>
      </c>
      <c r="C2151" s="233">
        <v>6</v>
      </c>
      <c r="D2151" s="234">
        <v>5</v>
      </c>
      <c r="E2151" s="234">
        <v>4</v>
      </c>
      <c r="G2151" s="508" t="s">
        <v>48</v>
      </c>
      <c r="H2151" s="493" t="s">
        <v>1238</v>
      </c>
      <c r="I2151" s="460" t="s">
        <v>5447</v>
      </c>
      <c r="J2151" s="495" t="s">
        <v>743</v>
      </c>
      <c r="K2151" s="496" t="s">
        <v>787</v>
      </c>
      <c r="L2151" s="497" t="e">
        <v>#REF!</v>
      </c>
      <c r="M2151" s="497">
        <v>24</v>
      </c>
      <c r="N2151" s="464"/>
      <c r="O2151" s="498"/>
      <c r="P2151" s="431" t="s">
        <v>6711</v>
      </c>
    </row>
    <row r="2152" spans="1:16" ht="12.75" hidden="1" customHeight="1" outlineLevel="1" x14ac:dyDescent="0.2">
      <c r="A2152" s="233">
        <v>0</v>
      </c>
      <c r="B2152" s="233">
        <v>16</v>
      </c>
      <c r="C2152" s="233">
        <v>7</v>
      </c>
      <c r="D2152" s="234">
        <v>0</v>
      </c>
      <c r="E2152" s="234">
        <v>4</v>
      </c>
      <c r="G2152" s="506"/>
      <c r="H2152" s="481" t="s">
        <v>38</v>
      </c>
      <c r="I2152" s="445" t="s">
        <v>5448</v>
      </c>
      <c r="J2152" s="483" t="s">
        <v>2599</v>
      </c>
      <c r="K2152" s="484"/>
      <c r="L2152" s="485"/>
      <c r="M2152" s="485"/>
      <c r="N2152" s="449"/>
      <c r="O2152" s="486"/>
      <c r="P2152" s="429"/>
    </row>
    <row r="2153" spans="1:16" ht="13.5" hidden="1" customHeight="1" outlineLevel="2" x14ac:dyDescent="0.2">
      <c r="A2153" s="233">
        <v>0</v>
      </c>
      <c r="B2153" s="233">
        <v>16</v>
      </c>
      <c r="C2153" s="233">
        <v>7</v>
      </c>
      <c r="D2153" s="234">
        <v>1</v>
      </c>
      <c r="E2153" s="234">
        <v>0</v>
      </c>
      <c r="G2153" s="507"/>
      <c r="H2153" s="487" t="s">
        <v>1237</v>
      </c>
      <c r="I2153" s="452" t="s">
        <v>5449</v>
      </c>
      <c r="J2153" s="489" t="s">
        <v>22</v>
      </c>
      <c r="K2153" s="490"/>
      <c r="L2153" s="491"/>
      <c r="M2153" s="491"/>
      <c r="N2153" s="456"/>
      <c r="O2153" s="492"/>
      <c r="P2153" s="430"/>
    </row>
    <row r="2154" spans="1:16" ht="13.5" hidden="1" customHeight="1" outlineLevel="3" x14ac:dyDescent="0.2">
      <c r="A2154" s="233">
        <v>0</v>
      </c>
      <c r="B2154" s="233">
        <v>16</v>
      </c>
      <c r="C2154" s="233">
        <v>7</v>
      </c>
      <c r="D2154" s="234">
        <v>1</v>
      </c>
      <c r="E2154" s="234">
        <v>1</v>
      </c>
      <c r="G2154" s="508" t="s">
        <v>44</v>
      </c>
      <c r="H2154" s="493" t="s">
        <v>1238</v>
      </c>
      <c r="I2154" s="460" t="s">
        <v>5450</v>
      </c>
      <c r="J2154" s="495" t="s">
        <v>2505</v>
      </c>
      <c r="K2154" s="496" t="s">
        <v>641</v>
      </c>
      <c r="L2154" s="497" t="e">
        <v>#REF!</v>
      </c>
      <c r="M2154" s="497">
        <v>44.585233333333335</v>
      </c>
      <c r="N2154" s="464"/>
      <c r="O2154" s="498"/>
      <c r="P2154" s="431" t="s">
        <v>6711</v>
      </c>
    </row>
    <row r="2155" spans="1:16" ht="13.5" hidden="1" customHeight="1" outlineLevel="2" x14ac:dyDescent="0.2">
      <c r="A2155" s="233">
        <v>0</v>
      </c>
      <c r="B2155" s="233">
        <v>16</v>
      </c>
      <c r="C2155" s="233">
        <v>7</v>
      </c>
      <c r="D2155" s="234">
        <v>2</v>
      </c>
      <c r="E2155" s="234">
        <v>0</v>
      </c>
      <c r="G2155" s="507"/>
      <c r="H2155" s="487" t="s">
        <v>1237</v>
      </c>
      <c r="I2155" s="452" t="s">
        <v>5451</v>
      </c>
      <c r="J2155" s="489" t="s">
        <v>2348</v>
      </c>
      <c r="K2155" s="490"/>
      <c r="L2155" s="491"/>
      <c r="M2155" s="491"/>
      <c r="N2155" s="456"/>
      <c r="O2155" s="492"/>
      <c r="P2155" s="430"/>
    </row>
    <row r="2156" spans="1:16" ht="13.5" hidden="1" customHeight="1" outlineLevel="3" x14ac:dyDescent="0.2">
      <c r="A2156" s="233">
        <v>0</v>
      </c>
      <c r="B2156" s="233">
        <v>16</v>
      </c>
      <c r="C2156" s="233">
        <v>7</v>
      </c>
      <c r="D2156" s="234">
        <v>2</v>
      </c>
      <c r="E2156" s="234">
        <v>1</v>
      </c>
      <c r="G2156" s="508" t="s">
        <v>44</v>
      </c>
      <c r="H2156" s="493" t="s">
        <v>1238</v>
      </c>
      <c r="I2156" s="460" t="s">
        <v>5452</v>
      </c>
      <c r="J2156" s="495" t="s">
        <v>617</v>
      </c>
      <c r="K2156" s="496" t="s">
        <v>641</v>
      </c>
      <c r="L2156" s="497" t="e">
        <v>#REF!</v>
      </c>
      <c r="M2156" s="497">
        <v>61.444938999999998</v>
      </c>
      <c r="N2156" s="464"/>
      <c r="O2156" s="498" t="s">
        <v>2084</v>
      </c>
      <c r="P2156" s="431" t="s">
        <v>6711</v>
      </c>
    </row>
    <row r="2157" spans="1:16" ht="13.5" hidden="1" customHeight="1" outlineLevel="2" x14ac:dyDescent="0.2">
      <c r="A2157" s="233">
        <v>0</v>
      </c>
      <c r="B2157" s="233">
        <v>16</v>
      </c>
      <c r="C2157" s="233">
        <v>7</v>
      </c>
      <c r="D2157" s="234">
        <v>3</v>
      </c>
      <c r="E2157" s="234">
        <v>0</v>
      </c>
      <c r="G2157" s="507"/>
      <c r="H2157" s="487" t="s">
        <v>1237</v>
      </c>
      <c r="I2157" s="452" t="s">
        <v>5453</v>
      </c>
      <c r="J2157" s="489" t="s">
        <v>2277</v>
      </c>
      <c r="K2157" s="490"/>
      <c r="L2157" s="491"/>
      <c r="M2157" s="491"/>
      <c r="N2157" s="456"/>
      <c r="O2157" s="492"/>
      <c r="P2157" s="430"/>
    </row>
    <row r="2158" spans="1:16" ht="13.5" hidden="1" customHeight="1" outlineLevel="3" x14ac:dyDescent="0.2">
      <c r="A2158" s="233">
        <v>0</v>
      </c>
      <c r="B2158" s="233">
        <v>16</v>
      </c>
      <c r="C2158" s="233">
        <v>7</v>
      </c>
      <c r="D2158" s="234">
        <v>3</v>
      </c>
      <c r="E2158" s="234">
        <v>1</v>
      </c>
      <c r="G2158" s="508" t="s">
        <v>48</v>
      </c>
      <c r="H2158" s="493" t="s">
        <v>1238</v>
      </c>
      <c r="I2158" s="460" t="s">
        <v>5454</v>
      </c>
      <c r="J2158" s="495" t="s">
        <v>1816</v>
      </c>
      <c r="K2158" s="496" t="s">
        <v>641</v>
      </c>
      <c r="L2158" s="497" t="e">
        <v>#REF!</v>
      </c>
      <c r="M2158" s="497">
        <v>58.073</v>
      </c>
      <c r="N2158" s="464"/>
      <c r="O2158" s="498"/>
      <c r="P2158" s="431" t="s">
        <v>6711</v>
      </c>
    </row>
    <row r="2159" spans="1:16" ht="13.5" hidden="1" customHeight="1" outlineLevel="3" x14ac:dyDescent="0.2">
      <c r="A2159" s="233">
        <v>0</v>
      </c>
      <c r="B2159" s="233">
        <v>16</v>
      </c>
      <c r="C2159" s="233">
        <v>7</v>
      </c>
      <c r="D2159" s="234">
        <v>3</v>
      </c>
      <c r="E2159" s="234">
        <v>2</v>
      </c>
      <c r="G2159" s="508" t="s">
        <v>48</v>
      </c>
      <c r="H2159" s="493" t="s">
        <v>1238</v>
      </c>
      <c r="I2159" s="460" t="s">
        <v>5455</v>
      </c>
      <c r="J2159" s="495" t="s">
        <v>2511</v>
      </c>
      <c r="K2159" s="496" t="s">
        <v>641</v>
      </c>
      <c r="L2159" s="497" t="e">
        <v>#REF!</v>
      </c>
      <c r="M2159" s="497">
        <v>229.82760000000005</v>
      </c>
      <c r="N2159" s="464"/>
      <c r="O2159" s="498"/>
      <c r="P2159" s="431" t="s">
        <v>6711</v>
      </c>
    </row>
    <row r="2160" spans="1:16" ht="13.5" hidden="1" customHeight="1" outlineLevel="3" x14ac:dyDescent="0.2">
      <c r="A2160" s="233">
        <v>0</v>
      </c>
      <c r="B2160" s="233">
        <v>16</v>
      </c>
      <c r="C2160" s="233">
        <v>7</v>
      </c>
      <c r="D2160" s="234">
        <v>3</v>
      </c>
      <c r="E2160" s="234">
        <v>3</v>
      </c>
      <c r="G2160" s="508" t="s">
        <v>48</v>
      </c>
      <c r="H2160" s="493" t="s">
        <v>1238</v>
      </c>
      <c r="I2160" s="460" t="s">
        <v>5456</v>
      </c>
      <c r="J2160" s="495" t="s">
        <v>2512</v>
      </c>
      <c r="K2160" s="496" t="s">
        <v>641</v>
      </c>
      <c r="L2160" s="497" t="e">
        <v>#REF!</v>
      </c>
      <c r="M2160" s="497">
        <v>141.82760000000002</v>
      </c>
      <c r="N2160" s="464"/>
      <c r="O2160" s="498"/>
      <c r="P2160" s="431" t="s">
        <v>6711</v>
      </c>
    </row>
    <row r="2161" spans="1:16" ht="13.5" hidden="1" customHeight="1" outlineLevel="3" x14ac:dyDescent="0.2">
      <c r="A2161" s="233">
        <v>0</v>
      </c>
      <c r="B2161" s="233">
        <v>16</v>
      </c>
      <c r="C2161" s="233">
        <v>7</v>
      </c>
      <c r="D2161" s="234">
        <v>3</v>
      </c>
      <c r="E2161" s="234">
        <v>4</v>
      </c>
      <c r="G2161" s="508" t="s">
        <v>48</v>
      </c>
      <c r="H2161" s="493" t="s">
        <v>1238</v>
      </c>
      <c r="I2161" s="460" t="s">
        <v>5457</v>
      </c>
      <c r="J2161" s="495" t="s">
        <v>2527</v>
      </c>
      <c r="K2161" s="496" t="s">
        <v>641</v>
      </c>
      <c r="L2161" s="497" t="e">
        <v>#REF!</v>
      </c>
      <c r="M2161" s="497">
        <v>282.48927499999996</v>
      </c>
      <c r="N2161" s="464"/>
      <c r="O2161" s="498"/>
      <c r="P2161" s="431" t="s">
        <v>6711</v>
      </c>
    </row>
    <row r="2162" spans="1:16" ht="13.5" hidden="1" customHeight="1" outlineLevel="3" x14ac:dyDescent="0.2">
      <c r="A2162" s="233">
        <v>0</v>
      </c>
      <c r="B2162" s="233">
        <v>16</v>
      </c>
      <c r="C2162" s="233">
        <v>7</v>
      </c>
      <c r="D2162" s="234">
        <v>3</v>
      </c>
      <c r="E2162" s="234">
        <v>5</v>
      </c>
      <c r="G2162" s="508" t="s">
        <v>48</v>
      </c>
      <c r="H2162" s="493" t="s">
        <v>1238</v>
      </c>
      <c r="I2162" s="460" t="s">
        <v>5458</v>
      </c>
      <c r="J2162" s="495" t="s">
        <v>2529</v>
      </c>
      <c r="K2162" s="496" t="s">
        <v>641</v>
      </c>
      <c r="L2162" s="497" t="e">
        <v>#REF!</v>
      </c>
      <c r="M2162" s="497">
        <v>865.48927500000013</v>
      </c>
      <c r="N2162" s="464"/>
      <c r="O2162" s="498"/>
      <c r="P2162" s="431" t="s">
        <v>6711</v>
      </c>
    </row>
    <row r="2163" spans="1:16" ht="13.5" hidden="1" customHeight="1" outlineLevel="3" x14ac:dyDescent="0.2">
      <c r="A2163" s="233">
        <v>0</v>
      </c>
      <c r="B2163" s="233">
        <v>16</v>
      </c>
      <c r="C2163" s="233">
        <v>7</v>
      </c>
      <c r="D2163" s="234">
        <v>3</v>
      </c>
      <c r="E2163" s="234">
        <v>6</v>
      </c>
      <c r="G2163" s="508" t="s">
        <v>48</v>
      </c>
      <c r="H2163" s="493" t="s">
        <v>1238</v>
      </c>
      <c r="I2163" s="460" t="s">
        <v>5459</v>
      </c>
      <c r="J2163" s="495" t="s">
        <v>2386</v>
      </c>
      <c r="K2163" s="496" t="s">
        <v>641</v>
      </c>
      <c r="L2163" s="497" t="e">
        <v>#REF!</v>
      </c>
      <c r="M2163" s="497">
        <v>655.16927499999997</v>
      </c>
      <c r="N2163" s="464"/>
      <c r="O2163" s="498"/>
      <c r="P2163" s="431" t="s">
        <v>6711</v>
      </c>
    </row>
    <row r="2164" spans="1:16" ht="13.5" hidden="1" customHeight="1" outlineLevel="3" x14ac:dyDescent="0.2">
      <c r="A2164" s="233">
        <v>0</v>
      </c>
      <c r="B2164" s="233">
        <v>16</v>
      </c>
      <c r="C2164" s="233">
        <v>7</v>
      </c>
      <c r="D2164" s="234">
        <v>3</v>
      </c>
      <c r="E2164" s="234">
        <v>7</v>
      </c>
      <c r="G2164" s="508" t="s">
        <v>48</v>
      </c>
      <c r="H2164" s="493" t="s">
        <v>1238</v>
      </c>
      <c r="I2164" s="460" t="s">
        <v>5460</v>
      </c>
      <c r="J2164" s="495" t="s">
        <v>2389</v>
      </c>
      <c r="K2164" s="496" t="s">
        <v>641</v>
      </c>
      <c r="L2164" s="497" t="e">
        <v>#REF!</v>
      </c>
      <c r="M2164" s="497">
        <v>865.48927500000013</v>
      </c>
      <c r="N2164" s="464"/>
      <c r="O2164" s="498"/>
      <c r="P2164" s="431" t="s">
        <v>6711</v>
      </c>
    </row>
    <row r="2165" spans="1:16" ht="13.5" hidden="1" customHeight="1" outlineLevel="3" x14ac:dyDescent="0.2">
      <c r="A2165" s="233">
        <v>0</v>
      </c>
      <c r="B2165" s="233">
        <v>16</v>
      </c>
      <c r="C2165" s="233">
        <v>7</v>
      </c>
      <c r="D2165" s="234">
        <v>3</v>
      </c>
      <c r="E2165" s="234">
        <v>8</v>
      </c>
      <c r="G2165" s="508" t="s">
        <v>48</v>
      </c>
      <c r="H2165" s="493" t="s">
        <v>1238</v>
      </c>
      <c r="I2165" s="460" t="s">
        <v>5461</v>
      </c>
      <c r="J2165" s="495" t="s">
        <v>2536</v>
      </c>
      <c r="K2165" s="496" t="s">
        <v>641</v>
      </c>
      <c r="L2165" s="497" t="e">
        <v>#REF!</v>
      </c>
      <c r="M2165" s="497">
        <v>865.48927500000013</v>
      </c>
      <c r="N2165" s="464"/>
      <c r="O2165" s="498"/>
      <c r="P2165" s="431" t="s">
        <v>6711</v>
      </c>
    </row>
    <row r="2166" spans="1:16" ht="13.5" hidden="1" customHeight="1" outlineLevel="2" x14ac:dyDescent="0.2">
      <c r="A2166" s="233">
        <v>0</v>
      </c>
      <c r="B2166" s="233">
        <v>16</v>
      </c>
      <c r="C2166" s="233">
        <v>7</v>
      </c>
      <c r="D2166" s="234">
        <v>4</v>
      </c>
      <c r="E2166" s="234">
        <v>0</v>
      </c>
      <c r="G2166" s="507"/>
      <c r="H2166" s="487" t="s">
        <v>1237</v>
      </c>
      <c r="I2166" s="452" t="s">
        <v>5462</v>
      </c>
      <c r="J2166" s="489" t="s">
        <v>2346</v>
      </c>
      <c r="K2166" s="490"/>
      <c r="L2166" s="491"/>
      <c r="M2166" s="491"/>
      <c r="N2166" s="456"/>
      <c r="O2166" s="492"/>
      <c r="P2166" s="430"/>
    </row>
    <row r="2167" spans="1:16" ht="13.5" hidden="1" customHeight="1" outlineLevel="3" x14ac:dyDescent="0.2">
      <c r="A2167" s="233">
        <v>0</v>
      </c>
      <c r="B2167" s="233">
        <v>16</v>
      </c>
      <c r="C2167" s="233">
        <v>7</v>
      </c>
      <c r="D2167" s="234">
        <v>4</v>
      </c>
      <c r="E2167" s="234">
        <v>1</v>
      </c>
      <c r="G2167" s="508" t="s">
        <v>48</v>
      </c>
      <c r="H2167" s="493" t="s">
        <v>1238</v>
      </c>
      <c r="I2167" s="460" t="s">
        <v>5463</v>
      </c>
      <c r="J2167" s="495" t="s">
        <v>2588</v>
      </c>
      <c r="K2167" s="496" t="s">
        <v>787</v>
      </c>
      <c r="L2167" s="497" t="e">
        <v>#REF!</v>
      </c>
      <c r="M2167" s="497">
        <v>150</v>
      </c>
      <c r="N2167" s="464"/>
      <c r="O2167" s="498"/>
      <c r="P2167" s="431" t="s">
        <v>6711</v>
      </c>
    </row>
    <row r="2168" spans="1:16" ht="13.5" hidden="1" customHeight="1" outlineLevel="2" x14ac:dyDescent="0.2">
      <c r="A2168" s="233">
        <v>0</v>
      </c>
      <c r="B2168" s="233">
        <v>16</v>
      </c>
      <c r="C2168" s="233">
        <v>7</v>
      </c>
      <c r="D2168" s="234">
        <v>5</v>
      </c>
      <c r="E2168" s="234">
        <v>0</v>
      </c>
      <c r="G2168" s="507"/>
      <c r="H2168" s="487" t="s">
        <v>1237</v>
      </c>
      <c r="I2168" s="452" t="s">
        <v>5464</v>
      </c>
      <c r="J2168" s="489" t="s">
        <v>2350</v>
      </c>
      <c r="K2168" s="490"/>
      <c r="L2168" s="491"/>
      <c r="M2168" s="491"/>
      <c r="N2168" s="456"/>
      <c r="O2168" s="492"/>
      <c r="P2168" s="430"/>
    </row>
    <row r="2169" spans="1:16" ht="13.5" hidden="1" customHeight="1" outlineLevel="3" x14ac:dyDescent="0.2">
      <c r="A2169" s="233">
        <v>0</v>
      </c>
      <c r="B2169" s="233">
        <v>16</v>
      </c>
      <c r="C2169" s="233">
        <v>7</v>
      </c>
      <c r="D2169" s="234">
        <v>5</v>
      </c>
      <c r="E2169" s="234">
        <v>1</v>
      </c>
      <c r="G2169" s="508" t="s">
        <v>48</v>
      </c>
      <c r="H2169" s="493" t="s">
        <v>1238</v>
      </c>
      <c r="I2169" s="460" t="s">
        <v>5465</v>
      </c>
      <c r="J2169" s="495" t="s">
        <v>1500</v>
      </c>
      <c r="K2169" s="496" t="s">
        <v>787</v>
      </c>
      <c r="L2169" s="497" t="e">
        <v>#REF!</v>
      </c>
      <c r="M2169" s="497">
        <v>10.114274999999999</v>
      </c>
      <c r="N2169" s="464"/>
      <c r="O2169" s="498"/>
      <c r="P2169" s="431" t="s">
        <v>6711</v>
      </c>
    </row>
    <row r="2170" spans="1:16" ht="13.5" hidden="1" customHeight="1" outlineLevel="3" x14ac:dyDescent="0.2">
      <c r="A2170" s="233">
        <v>0</v>
      </c>
      <c r="B2170" s="233">
        <v>16</v>
      </c>
      <c r="C2170" s="233">
        <v>7</v>
      </c>
      <c r="D2170" s="234">
        <v>5</v>
      </c>
      <c r="E2170" s="234">
        <v>2</v>
      </c>
      <c r="G2170" s="508" t="s">
        <v>48</v>
      </c>
      <c r="H2170" s="493" t="s">
        <v>1238</v>
      </c>
      <c r="I2170" s="460" t="s">
        <v>5466</v>
      </c>
      <c r="J2170" s="495" t="s">
        <v>713</v>
      </c>
      <c r="K2170" s="496" t="s">
        <v>787</v>
      </c>
      <c r="L2170" s="497" t="e">
        <v>#REF!</v>
      </c>
      <c r="M2170" s="497">
        <v>43.820583333333332</v>
      </c>
      <c r="N2170" s="464"/>
      <c r="O2170" s="498"/>
      <c r="P2170" s="431" t="s">
        <v>6711</v>
      </c>
    </row>
    <row r="2171" spans="1:16" ht="13.5" hidden="1" customHeight="1" outlineLevel="3" x14ac:dyDescent="0.2">
      <c r="A2171" s="233">
        <v>0</v>
      </c>
      <c r="B2171" s="233">
        <v>16</v>
      </c>
      <c r="C2171" s="233">
        <v>7</v>
      </c>
      <c r="D2171" s="234">
        <v>5</v>
      </c>
      <c r="E2171" s="234">
        <v>3</v>
      </c>
      <c r="G2171" s="508" t="s">
        <v>48</v>
      </c>
      <c r="H2171" s="493" t="s">
        <v>1238</v>
      </c>
      <c r="I2171" s="460" t="s">
        <v>5467</v>
      </c>
      <c r="J2171" s="495" t="s">
        <v>2583</v>
      </c>
      <c r="K2171" s="496" t="s">
        <v>787</v>
      </c>
      <c r="L2171" s="497" t="e">
        <v>#REF!</v>
      </c>
      <c r="M2171" s="497">
        <v>22.121324999999999</v>
      </c>
      <c r="N2171" s="464"/>
      <c r="O2171" s="498"/>
      <c r="P2171" s="431" t="s">
        <v>6711</v>
      </c>
    </row>
    <row r="2172" spans="1:16" ht="13.5" hidden="1" customHeight="1" outlineLevel="3" x14ac:dyDescent="0.2">
      <c r="A2172" s="233">
        <v>0</v>
      </c>
      <c r="B2172" s="233">
        <v>16</v>
      </c>
      <c r="C2172" s="233">
        <v>7</v>
      </c>
      <c r="D2172" s="234">
        <v>5</v>
      </c>
      <c r="E2172" s="234">
        <v>4</v>
      </c>
      <c r="G2172" s="508" t="s">
        <v>48</v>
      </c>
      <c r="H2172" s="493" t="s">
        <v>1238</v>
      </c>
      <c r="I2172" s="460" t="s">
        <v>5468</v>
      </c>
      <c r="J2172" s="495" t="s">
        <v>2585</v>
      </c>
      <c r="K2172" s="496" t="s">
        <v>787</v>
      </c>
      <c r="L2172" s="497" t="e">
        <v>#REF!</v>
      </c>
      <c r="M2172" s="497">
        <v>1768.6529249999999</v>
      </c>
      <c r="N2172" s="464"/>
      <c r="O2172" s="498"/>
      <c r="P2172" s="431" t="s">
        <v>6711</v>
      </c>
    </row>
    <row r="2173" spans="1:16" ht="13.5" hidden="1" customHeight="1" outlineLevel="2" x14ac:dyDescent="0.2">
      <c r="A2173" s="233">
        <v>0</v>
      </c>
      <c r="B2173" s="233">
        <v>16</v>
      </c>
      <c r="C2173" s="233">
        <v>7</v>
      </c>
      <c r="D2173" s="234">
        <v>6</v>
      </c>
      <c r="E2173" s="234">
        <v>0</v>
      </c>
      <c r="G2173" s="507"/>
      <c r="H2173" s="487" t="s">
        <v>1237</v>
      </c>
      <c r="I2173" s="452" t="s">
        <v>5469</v>
      </c>
      <c r="J2173" s="489" t="s">
        <v>1262</v>
      </c>
      <c r="K2173" s="490"/>
      <c r="L2173" s="491"/>
      <c r="M2173" s="491"/>
      <c r="N2173" s="456"/>
      <c r="O2173" s="492"/>
      <c r="P2173" s="430"/>
    </row>
    <row r="2174" spans="1:16" ht="13.5" hidden="1" customHeight="1" outlineLevel="3" x14ac:dyDescent="0.2">
      <c r="A2174" s="233">
        <v>0</v>
      </c>
      <c r="B2174" s="233">
        <v>16</v>
      </c>
      <c r="C2174" s="233">
        <v>7</v>
      </c>
      <c r="D2174" s="234">
        <v>6</v>
      </c>
      <c r="E2174" s="234">
        <v>1</v>
      </c>
      <c r="G2174" s="508" t="s">
        <v>44</v>
      </c>
      <c r="H2174" s="493" t="s">
        <v>1238</v>
      </c>
      <c r="I2174" s="460" t="s">
        <v>5470</v>
      </c>
      <c r="J2174" s="495" t="s">
        <v>734</v>
      </c>
      <c r="K2174" s="496" t="s">
        <v>641</v>
      </c>
      <c r="L2174" s="497" t="e">
        <v>#REF!</v>
      </c>
      <c r="M2174" s="497">
        <v>40</v>
      </c>
      <c r="N2174" s="464"/>
      <c r="O2174" s="498"/>
      <c r="P2174" s="431" t="s">
        <v>6711</v>
      </c>
    </row>
    <row r="2175" spans="1:16" ht="13.5" hidden="1" customHeight="1" outlineLevel="3" x14ac:dyDescent="0.2">
      <c r="A2175" s="233">
        <v>0</v>
      </c>
      <c r="B2175" s="233">
        <v>16</v>
      </c>
      <c r="C2175" s="233">
        <v>7</v>
      </c>
      <c r="D2175" s="234">
        <v>6</v>
      </c>
      <c r="E2175" s="234">
        <v>2</v>
      </c>
      <c r="G2175" s="508" t="s">
        <v>44</v>
      </c>
      <c r="H2175" s="493" t="s">
        <v>1238</v>
      </c>
      <c r="I2175" s="460" t="s">
        <v>5471</v>
      </c>
      <c r="J2175" s="495" t="s">
        <v>736</v>
      </c>
      <c r="K2175" s="496" t="s">
        <v>641</v>
      </c>
      <c r="L2175" s="497" t="e">
        <v>#REF!</v>
      </c>
      <c r="M2175" s="497">
        <v>40</v>
      </c>
      <c r="N2175" s="464"/>
      <c r="O2175" s="498"/>
      <c r="P2175" s="431" t="s">
        <v>6711</v>
      </c>
    </row>
    <row r="2176" spans="1:16" ht="13.5" hidden="1" customHeight="1" outlineLevel="3" x14ac:dyDescent="0.2">
      <c r="A2176" s="233">
        <v>0</v>
      </c>
      <c r="B2176" s="233">
        <v>16</v>
      </c>
      <c r="C2176" s="233">
        <v>7</v>
      </c>
      <c r="D2176" s="234">
        <v>6</v>
      </c>
      <c r="E2176" s="234">
        <v>3</v>
      </c>
      <c r="G2176" s="508" t="s">
        <v>48</v>
      </c>
      <c r="H2176" s="493" t="s">
        <v>1238</v>
      </c>
      <c r="I2176" s="460" t="s">
        <v>5472</v>
      </c>
      <c r="J2176" s="495" t="s">
        <v>737</v>
      </c>
      <c r="K2176" s="496" t="s">
        <v>641</v>
      </c>
      <c r="L2176" s="497" t="e">
        <v>#REF!</v>
      </c>
      <c r="M2176" s="497">
        <v>75</v>
      </c>
      <c r="N2176" s="464"/>
      <c r="O2176" s="498"/>
      <c r="P2176" s="431" t="s">
        <v>6711</v>
      </c>
    </row>
    <row r="2177" spans="1:16" ht="13.5" hidden="1" customHeight="1" outlineLevel="3" x14ac:dyDescent="0.2">
      <c r="A2177" s="233">
        <v>0</v>
      </c>
      <c r="B2177" s="233">
        <v>16</v>
      </c>
      <c r="C2177" s="233">
        <v>7</v>
      </c>
      <c r="D2177" s="234">
        <v>6</v>
      </c>
      <c r="E2177" s="234">
        <v>4</v>
      </c>
      <c r="G2177" s="508" t="s">
        <v>48</v>
      </c>
      <c r="H2177" s="493" t="s">
        <v>1238</v>
      </c>
      <c r="I2177" s="460" t="s">
        <v>5473</v>
      </c>
      <c r="J2177" s="495" t="s">
        <v>2424</v>
      </c>
      <c r="K2177" s="496" t="s">
        <v>641</v>
      </c>
      <c r="L2177" s="497" t="e">
        <v>#REF!</v>
      </c>
      <c r="M2177" s="497">
        <v>75</v>
      </c>
      <c r="N2177" s="464"/>
      <c r="O2177" s="498"/>
      <c r="P2177" s="431" t="s">
        <v>6711</v>
      </c>
    </row>
    <row r="2178" spans="1:16" ht="13.5" hidden="1" customHeight="1" outlineLevel="3" x14ac:dyDescent="0.2">
      <c r="A2178" s="233">
        <v>0</v>
      </c>
      <c r="B2178" s="233">
        <v>16</v>
      </c>
      <c r="C2178" s="233">
        <v>7</v>
      </c>
      <c r="D2178" s="234">
        <v>6</v>
      </c>
      <c r="E2178" s="234">
        <v>5</v>
      </c>
      <c r="G2178" s="508" t="s">
        <v>48</v>
      </c>
      <c r="H2178" s="493" t="s">
        <v>1238</v>
      </c>
      <c r="I2178" s="460" t="s">
        <v>5474</v>
      </c>
      <c r="J2178" s="495" t="s">
        <v>742</v>
      </c>
      <c r="K2178" s="496" t="s">
        <v>787</v>
      </c>
      <c r="L2178" s="497" t="e">
        <v>#REF!</v>
      </c>
      <c r="M2178" s="497">
        <v>28</v>
      </c>
      <c r="N2178" s="464"/>
      <c r="O2178" s="498"/>
      <c r="P2178" s="431" t="s">
        <v>6711</v>
      </c>
    </row>
    <row r="2179" spans="1:16" ht="13.5" hidden="1" customHeight="1" outlineLevel="3" x14ac:dyDescent="0.2">
      <c r="A2179" s="233">
        <v>0</v>
      </c>
      <c r="B2179" s="233">
        <v>16</v>
      </c>
      <c r="C2179" s="233">
        <v>7</v>
      </c>
      <c r="D2179" s="234">
        <v>6</v>
      </c>
      <c r="E2179" s="234">
        <v>6</v>
      </c>
      <c r="G2179" s="508" t="s">
        <v>48</v>
      </c>
      <c r="H2179" s="493" t="s">
        <v>1238</v>
      </c>
      <c r="I2179" s="460" t="s">
        <v>5475</v>
      </c>
      <c r="J2179" s="495" t="s">
        <v>743</v>
      </c>
      <c r="K2179" s="496" t="s">
        <v>787</v>
      </c>
      <c r="L2179" s="497" t="e">
        <v>#REF!</v>
      </c>
      <c r="M2179" s="497">
        <v>24</v>
      </c>
      <c r="N2179" s="464"/>
      <c r="O2179" s="498"/>
      <c r="P2179" s="431" t="s">
        <v>6711</v>
      </c>
    </row>
    <row r="2180" spans="1:16" ht="13.5" hidden="1" customHeight="1" outlineLevel="3" x14ac:dyDescent="0.2">
      <c r="A2180" s="233">
        <v>0</v>
      </c>
      <c r="B2180" s="233">
        <v>16</v>
      </c>
      <c r="C2180" s="233">
        <v>7</v>
      </c>
      <c r="D2180" s="234">
        <v>6</v>
      </c>
      <c r="E2180" s="234">
        <v>7</v>
      </c>
      <c r="G2180" s="508" t="s">
        <v>48</v>
      </c>
      <c r="H2180" s="493" t="s">
        <v>1238</v>
      </c>
      <c r="I2180" s="460" t="s">
        <v>5476</v>
      </c>
      <c r="J2180" s="495" t="s">
        <v>2586</v>
      </c>
      <c r="K2180" s="496" t="s">
        <v>787</v>
      </c>
      <c r="L2180" s="497" t="e">
        <v>#REF!</v>
      </c>
      <c r="M2180" s="497">
        <v>24</v>
      </c>
      <c r="N2180" s="464"/>
      <c r="O2180" s="498"/>
      <c r="P2180" s="431" t="s">
        <v>6711</v>
      </c>
    </row>
    <row r="2181" spans="1:16" ht="13.5" hidden="1" customHeight="1" outlineLevel="1" x14ac:dyDescent="0.2">
      <c r="A2181" s="233">
        <v>0</v>
      </c>
      <c r="B2181" s="233">
        <v>16</v>
      </c>
      <c r="C2181" s="233">
        <v>8</v>
      </c>
      <c r="D2181" s="234">
        <v>0</v>
      </c>
      <c r="E2181" s="234">
        <v>7</v>
      </c>
      <c r="G2181" s="506"/>
      <c r="H2181" s="481" t="s">
        <v>38</v>
      </c>
      <c r="I2181" s="445" t="s">
        <v>5477</v>
      </c>
      <c r="J2181" s="483" t="s">
        <v>2600</v>
      </c>
      <c r="K2181" s="484"/>
      <c r="L2181" s="485"/>
      <c r="M2181" s="485"/>
      <c r="N2181" s="449"/>
      <c r="O2181" s="486"/>
      <c r="P2181" s="429"/>
    </row>
    <row r="2182" spans="1:16" ht="13.5" hidden="1" customHeight="1" outlineLevel="2" x14ac:dyDescent="0.2">
      <c r="A2182" s="233">
        <v>0</v>
      </c>
      <c r="B2182" s="233">
        <v>16</v>
      </c>
      <c r="C2182" s="233">
        <v>8</v>
      </c>
      <c r="D2182" s="234">
        <v>1</v>
      </c>
      <c r="E2182" s="234">
        <v>0</v>
      </c>
      <c r="G2182" s="507"/>
      <c r="H2182" s="487" t="s">
        <v>1237</v>
      </c>
      <c r="I2182" s="452" t="s">
        <v>5478</v>
      </c>
      <c r="J2182" s="489" t="s">
        <v>22</v>
      </c>
      <c r="K2182" s="490"/>
      <c r="L2182" s="491"/>
      <c r="M2182" s="491"/>
      <c r="N2182" s="456"/>
      <c r="O2182" s="492"/>
      <c r="P2182" s="430"/>
    </row>
    <row r="2183" spans="1:16" ht="13.5" hidden="1" customHeight="1" outlineLevel="3" x14ac:dyDescent="0.2">
      <c r="A2183" s="233">
        <v>0</v>
      </c>
      <c r="B2183" s="233">
        <v>16</v>
      </c>
      <c r="C2183" s="233">
        <v>8</v>
      </c>
      <c r="D2183" s="234">
        <v>1</v>
      </c>
      <c r="E2183" s="234">
        <v>1</v>
      </c>
      <c r="G2183" s="508" t="s">
        <v>44</v>
      </c>
      <c r="H2183" s="493" t="s">
        <v>1238</v>
      </c>
      <c r="I2183" s="460" t="s">
        <v>5479</v>
      </c>
      <c r="J2183" s="495" t="s">
        <v>2505</v>
      </c>
      <c r="K2183" s="496" t="s">
        <v>641</v>
      </c>
      <c r="L2183" s="497" t="e">
        <v>#REF!</v>
      </c>
      <c r="M2183" s="497">
        <v>44.585233333333335</v>
      </c>
      <c r="N2183" s="464"/>
      <c r="O2183" s="498"/>
      <c r="P2183" s="431" t="s">
        <v>6711</v>
      </c>
    </row>
    <row r="2184" spans="1:16" ht="13.5" hidden="1" customHeight="1" outlineLevel="2" x14ac:dyDescent="0.2">
      <c r="A2184" s="233">
        <v>0</v>
      </c>
      <c r="B2184" s="233">
        <v>16</v>
      </c>
      <c r="C2184" s="233">
        <v>8</v>
      </c>
      <c r="D2184" s="234">
        <v>2</v>
      </c>
      <c r="E2184" s="234">
        <v>0</v>
      </c>
      <c r="G2184" s="507"/>
      <c r="H2184" s="487" t="s">
        <v>1237</v>
      </c>
      <c r="I2184" s="452" t="s">
        <v>5480</v>
      </c>
      <c r="J2184" s="489" t="s">
        <v>2277</v>
      </c>
      <c r="K2184" s="490"/>
      <c r="L2184" s="491"/>
      <c r="M2184" s="491"/>
      <c r="N2184" s="456"/>
      <c r="O2184" s="492"/>
      <c r="P2184" s="430"/>
    </row>
    <row r="2185" spans="1:16" ht="13.5" hidden="1" customHeight="1" outlineLevel="3" x14ac:dyDescent="0.2">
      <c r="A2185" s="233">
        <v>0</v>
      </c>
      <c r="B2185" s="233">
        <v>16</v>
      </c>
      <c r="C2185" s="233">
        <v>8</v>
      </c>
      <c r="D2185" s="234">
        <v>2</v>
      </c>
      <c r="E2185" s="234">
        <v>1</v>
      </c>
      <c r="G2185" s="508" t="s">
        <v>48</v>
      </c>
      <c r="H2185" s="493" t="s">
        <v>1238</v>
      </c>
      <c r="I2185" s="460" t="s">
        <v>5481</v>
      </c>
      <c r="J2185" s="495" t="s">
        <v>1816</v>
      </c>
      <c r="K2185" s="496" t="s">
        <v>641</v>
      </c>
      <c r="L2185" s="497" t="e">
        <v>#REF!</v>
      </c>
      <c r="M2185" s="497">
        <v>58.073</v>
      </c>
      <c r="N2185" s="464"/>
      <c r="O2185" s="498"/>
      <c r="P2185" s="431" t="s">
        <v>6711</v>
      </c>
    </row>
    <row r="2186" spans="1:16" ht="13.5" hidden="1" customHeight="1" outlineLevel="3" x14ac:dyDescent="0.2">
      <c r="A2186" s="233">
        <v>0</v>
      </c>
      <c r="B2186" s="233">
        <v>16</v>
      </c>
      <c r="C2186" s="233">
        <v>8</v>
      </c>
      <c r="D2186" s="234">
        <v>2</v>
      </c>
      <c r="E2186" s="234">
        <v>2</v>
      </c>
      <c r="G2186" s="508" t="s">
        <v>48</v>
      </c>
      <c r="H2186" s="493" t="s">
        <v>1238</v>
      </c>
      <c r="I2186" s="460" t="s">
        <v>5482</v>
      </c>
      <c r="J2186" s="495" t="s">
        <v>2511</v>
      </c>
      <c r="K2186" s="496" t="s">
        <v>641</v>
      </c>
      <c r="L2186" s="497" t="e">
        <v>#REF!</v>
      </c>
      <c r="M2186" s="497">
        <v>229.82760000000005</v>
      </c>
      <c r="N2186" s="464"/>
      <c r="O2186" s="498"/>
      <c r="P2186" s="431" t="s">
        <v>6711</v>
      </c>
    </row>
    <row r="2187" spans="1:16" ht="13.5" hidden="1" customHeight="1" outlineLevel="3" x14ac:dyDescent="0.2">
      <c r="A2187" s="233">
        <v>0</v>
      </c>
      <c r="B2187" s="233">
        <v>16</v>
      </c>
      <c r="C2187" s="233">
        <v>8</v>
      </c>
      <c r="D2187" s="234">
        <v>2</v>
      </c>
      <c r="E2187" s="234">
        <v>3</v>
      </c>
      <c r="G2187" s="508" t="s">
        <v>48</v>
      </c>
      <c r="H2187" s="493" t="s">
        <v>1238</v>
      </c>
      <c r="I2187" s="460" t="s">
        <v>5483</v>
      </c>
      <c r="J2187" s="495" t="s">
        <v>2512</v>
      </c>
      <c r="K2187" s="496" t="s">
        <v>641</v>
      </c>
      <c r="L2187" s="497" t="e">
        <v>#REF!</v>
      </c>
      <c r="M2187" s="497">
        <v>141.82760000000002</v>
      </c>
      <c r="N2187" s="464"/>
      <c r="O2187" s="498"/>
      <c r="P2187" s="431" t="s">
        <v>6711</v>
      </c>
    </row>
    <row r="2188" spans="1:16" ht="13.5" hidden="1" customHeight="1" outlineLevel="3" x14ac:dyDescent="0.2">
      <c r="A2188" s="233">
        <v>0</v>
      </c>
      <c r="B2188" s="233">
        <v>16</v>
      </c>
      <c r="C2188" s="233">
        <v>8</v>
      </c>
      <c r="D2188" s="234">
        <v>2</v>
      </c>
      <c r="E2188" s="234">
        <v>4</v>
      </c>
      <c r="G2188" s="508" t="s">
        <v>48</v>
      </c>
      <c r="H2188" s="493" t="s">
        <v>1238</v>
      </c>
      <c r="I2188" s="460" t="s">
        <v>5484</v>
      </c>
      <c r="J2188" s="495" t="s">
        <v>2521</v>
      </c>
      <c r="K2188" s="496" t="s">
        <v>641</v>
      </c>
      <c r="L2188" s="497" t="e">
        <v>#REF!</v>
      </c>
      <c r="M2188" s="497">
        <v>623.48927500000002</v>
      </c>
      <c r="N2188" s="464"/>
      <c r="O2188" s="498"/>
      <c r="P2188" s="431" t="s">
        <v>6711</v>
      </c>
    </row>
    <row r="2189" spans="1:16" ht="13.5" hidden="1" customHeight="1" outlineLevel="3" x14ac:dyDescent="0.2">
      <c r="A2189" s="233">
        <v>0</v>
      </c>
      <c r="B2189" s="233">
        <v>16</v>
      </c>
      <c r="C2189" s="233">
        <v>8</v>
      </c>
      <c r="D2189" s="234">
        <v>2</v>
      </c>
      <c r="E2189" s="234">
        <v>5</v>
      </c>
      <c r="G2189" s="508" t="s">
        <v>48</v>
      </c>
      <c r="H2189" s="493" t="s">
        <v>1238</v>
      </c>
      <c r="I2189" s="460" t="s">
        <v>5485</v>
      </c>
      <c r="J2189" s="495" t="s">
        <v>2523</v>
      </c>
      <c r="K2189" s="496" t="s">
        <v>641</v>
      </c>
      <c r="L2189" s="497" t="e">
        <v>#REF!</v>
      </c>
      <c r="M2189" s="497">
        <v>535.48927500000002</v>
      </c>
      <c r="N2189" s="464"/>
      <c r="O2189" s="498"/>
      <c r="P2189" s="431" t="s">
        <v>6711</v>
      </c>
    </row>
    <row r="2190" spans="1:16" ht="13.5" hidden="1" customHeight="1" outlineLevel="2" x14ac:dyDescent="0.2">
      <c r="A2190" s="233">
        <v>0</v>
      </c>
      <c r="B2190" s="233">
        <v>16</v>
      </c>
      <c r="C2190" s="233">
        <v>8</v>
      </c>
      <c r="D2190" s="234">
        <v>3</v>
      </c>
      <c r="E2190" s="234">
        <v>0</v>
      </c>
      <c r="G2190" s="507"/>
      <c r="H2190" s="487" t="s">
        <v>1237</v>
      </c>
      <c r="I2190" s="452" t="s">
        <v>5486</v>
      </c>
      <c r="J2190" s="489" t="s">
        <v>2346</v>
      </c>
      <c r="K2190" s="490"/>
      <c r="L2190" s="491"/>
      <c r="M2190" s="491"/>
      <c r="N2190" s="456"/>
      <c r="O2190" s="492"/>
      <c r="P2190" s="430"/>
    </row>
    <row r="2191" spans="1:16" ht="13.5" hidden="1" customHeight="1" outlineLevel="3" x14ac:dyDescent="0.2">
      <c r="A2191" s="233">
        <v>0</v>
      </c>
      <c r="B2191" s="233">
        <v>16</v>
      </c>
      <c r="C2191" s="233">
        <v>8</v>
      </c>
      <c r="D2191" s="234">
        <v>3</v>
      </c>
      <c r="E2191" s="234">
        <v>1</v>
      </c>
      <c r="G2191" s="508" t="s">
        <v>48</v>
      </c>
      <c r="H2191" s="493" t="s">
        <v>1238</v>
      </c>
      <c r="I2191" s="460" t="s">
        <v>5487</v>
      </c>
      <c r="J2191" s="495" t="s">
        <v>2546</v>
      </c>
      <c r="K2191" s="496" t="s">
        <v>641</v>
      </c>
      <c r="L2191" s="497" t="e">
        <v>#REF!</v>
      </c>
      <c r="M2191" s="497">
        <v>935.00000000000011</v>
      </c>
      <c r="N2191" s="464"/>
      <c r="O2191" s="498"/>
      <c r="P2191" s="431" t="s">
        <v>6711</v>
      </c>
    </row>
    <row r="2192" spans="1:16" ht="13.5" hidden="1" customHeight="1" outlineLevel="3" x14ac:dyDescent="0.2">
      <c r="A2192" s="233">
        <v>0</v>
      </c>
      <c r="B2192" s="233">
        <v>16</v>
      </c>
      <c r="C2192" s="233">
        <v>8</v>
      </c>
      <c r="D2192" s="234">
        <v>3</v>
      </c>
      <c r="E2192" s="234">
        <v>2</v>
      </c>
      <c r="G2192" s="508" t="s">
        <v>48</v>
      </c>
      <c r="H2192" s="493" t="s">
        <v>1238</v>
      </c>
      <c r="I2192" s="460" t="s">
        <v>5488</v>
      </c>
      <c r="J2192" s="461" t="s">
        <v>2552</v>
      </c>
      <c r="K2192" s="496" t="s">
        <v>641</v>
      </c>
      <c r="L2192" s="497" t="e">
        <v>#REF!</v>
      </c>
      <c r="M2192" s="497">
        <v>1200</v>
      </c>
      <c r="N2192" s="464"/>
      <c r="O2192" s="498"/>
      <c r="P2192" s="431" t="s">
        <v>6711</v>
      </c>
    </row>
    <row r="2193" spans="1:16" ht="13.5" hidden="1" customHeight="1" outlineLevel="3" x14ac:dyDescent="0.2">
      <c r="A2193" s="233">
        <v>0</v>
      </c>
      <c r="B2193" s="233">
        <v>16</v>
      </c>
      <c r="C2193" s="233">
        <v>8</v>
      </c>
      <c r="D2193" s="234">
        <v>3</v>
      </c>
      <c r="E2193" s="234">
        <v>3</v>
      </c>
      <c r="G2193" s="508" t="s">
        <v>48</v>
      </c>
      <c r="H2193" s="493" t="s">
        <v>1238</v>
      </c>
      <c r="I2193" s="460" t="s">
        <v>5489</v>
      </c>
      <c r="J2193" s="495" t="s">
        <v>2568</v>
      </c>
      <c r="K2193" s="496" t="s">
        <v>641</v>
      </c>
      <c r="L2193" s="497" t="e">
        <v>#REF!</v>
      </c>
      <c r="M2193" s="497">
        <v>590</v>
      </c>
      <c r="N2193" s="464"/>
      <c r="O2193" s="498" t="s">
        <v>2254</v>
      </c>
      <c r="P2193" s="431" t="s">
        <v>6711</v>
      </c>
    </row>
    <row r="2194" spans="1:16" ht="13.5" hidden="1" customHeight="1" outlineLevel="3" x14ac:dyDescent="0.2">
      <c r="A2194" s="233">
        <v>0</v>
      </c>
      <c r="B2194" s="233">
        <v>16</v>
      </c>
      <c r="C2194" s="233">
        <v>8</v>
      </c>
      <c r="D2194" s="234">
        <v>3</v>
      </c>
      <c r="E2194" s="234">
        <v>4</v>
      </c>
      <c r="G2194" s="508" t="s">
        <v>48</v>
      </c>
      <c r="H2194" s="493" t="s">
        <v>1238</v>
      </c>
      <c r="I2194" s="460" t="s">
        <v>5490</v>
      </c>
      <c r="J2194" s="495" t="s">
        <v>2569</v>
      </c>
      <c r="K2194" s="496" t="s">
        <v>641</v>
      </c>
      <c r="L2194" s="497" t="e">
        <v>#REF!</v>
      </c>
      <c r="M2194" s="497">
        <v>590</v>
      </c>
      <c r="N2194" s="464"/>
      <c r="O2194" s="498" t="s">
        <v>2254</v>
      </c>
      <c r="P2194" s="431" t="s">
        <v>6711</v>
      </c>
    </row>
    <row r="2195" spans="1:16" ht="13.5" hidden="1" customHeight="1" outlineLevel="3" x14ac:dyDescent="0.2">
      <c r="A2195" s="233">
        <v>0</v>
      </c>
      <c r="B2195" s="233">
        <v>16</v>
      </c>
      <c r="C2195" s="233">
        <v>8</v>
      </c>
      <c r="D2195" s="234">
        <v>3</v>
      </c>
      <c r="E2195" s="234">
        <v>5</v>
      </c>
      <c r="G2195" s="508" t="s">
        <v>48</v>
      </c>
      <c r="H2195" s="493" t="s">
        <v>1238</v>
      </c>
      <c r="I2195" s="460" t="s">
        <v>5491</v>
      </c>
      <c r="J2195" s="495" t="s">
        <v>2574</v>
      </c>
      <c r="K2195" s="496" t="s">
        <v>641</v>
      </c>
      <c r="L2195" s="497" t="e">
        <v>#REF!</v>
      </c>
      <c r="M2195" s="497">
        <v>590</v>
      </c>
      <c r="N2195" s="464"/>
      <c r="O2195" s="498" t="s">
        <v>2257</v>
      </c>
      <c r="P2195" s="431" t="s">
        <v>6711</v>
      </c>
    </row>
    <row r="2196" spans="1:16" ht="13.5" hidden="1" customHeight="1" outlineLevel="3" x14ac:dyDescent="0.2">
      <c r="A2196" s="233">
        <v>0</v>
      </c>
      <c r="B2196" s="233">
        <v>16</v>
      </c>
      <c r="C2196" s="233">
        <v>8</v>
      </c>
      <c r="D2196" s="234">
        <v>3</v>
      </c>
      <c r="E2196" s="234">
        <v>6</v>
      </c>
      <c r="G2196" s="508" t="s">
        <v>48</v>
      </c>
      <c r="H2196" s="493" t="s">
        <v>1238</v>
      </c>
      <c r="I2196" s="460" t="s">
        <v>5492</v>
      </c>
      <c r="J2196" s="495" t="s">
        <v>2571</v>
      </c>
      <c r="K2196" s="496" t="s">
        <v>641</v>
      </c>
      <c r="L2196" s="497" t="e">
        <v>#REF!</v>
      </c>
      <c r="M2196" s="497">
        <v>540</v>
      </c>
      <c r="N2196" s="464"/>
      <c r="O2196" s="498" t="s">
        <v>2258</v>
      </c>
      <c r="P2196" s="431" t="s">
        <v>6711</v>
      </c>
    </row>
    <row r="2197" spans="1:16" ht="13.5" hidden="1" customHeight="1" outlineLevel="3" x14ac:dyDescent="0.2">
      <c r="A2197" s="233">
        <v>0</v>
      </c>
      <c r="B2197" s="233">
        <v>16</v>
      </c>
      <c r="C2197" s="233">
        <v>8</v>
      </c>
      <c r="D2197" s="234">
        <v>3</v>
      </c>
      <c r="E2197" s="234">
        <v>7</v>
      </c>
      <c r="G2197" s="508" t="s">
        <v>48</v>
      </c>
      <c r="H2197" s="493" t="s">
        <v>1238</v>
      </c>
      <c r="I2197" s="460" t="s">
        <v>5493</v>
      </c>
      <c r="J2197" s="495" t="s">
        <v>2572</v>
      </c>
      <c r="K2197" s="496" t="s">
        <v>641</v>
      </c>
      <c r="L2197" s="497" t="e">
        <v>#REF!</v>
      </c>
      <c r="M2197" s="497">
        <v>610</v>
      </c>
      <c r="N2197" s="464"/>
      <c r="O2197" s="498" t="s">
        <v>2256</v>
      </c>
      <c r="P2197" s="431" t="s">
        <v>6711</v>
      </c>
    </row>
    <row r="2198" spans="1:16" ht="13.5" hidden="1" customHeight="1" outlineLevel="3" x14ac:dyDescent="0.2">
      <c r="A2198" s="233">
        <v>0</v>
      </c>
      <c r="B2198" s="233">
        <v>16</v>
      </c>
      <c r="C2198" s="233">
        <v>8</v>
      </c>
      <c r="D2198" s="234">
        <v>3</v>
      </c>
      <c r="E2198" s="234">
        <v>8</v>
      </c>
      <c r="G2198" s="508" t="s">
        <v>48</v>
      </c>
      <c r="H2198" s="493" t="s">
        <v>1238</v>
      </c>
      <c r="I2198" s="460" t="s">
        <v>5494</v>
      </c>
      <c r="J2198" s="495" t="s">
        <v>2575</v>
      </c>
      <c r="K2198" s="496" t="s">
        <v>641</v>
      </c>
      <c r="L2198" s="497" t="e">
        <v>#REF!</v>
      </c>
      <c r="M2198" s="497">
        <v>1525</v>
      </c>
      <c r="N2198" s="464"/>
      <c r="O2198" s="498"/>
      <c r="P2198" s="431" t="s">
        <v>6711</v>
      </c>
    </row>
    <row r="2199" spans="1:16" ht="13.5" hidden="1" customHeight="1" outlineLevel="3" x14ac:dyDescent="0.2">
      <c r="A2199" s="233">
        <v>0</v>
      </c>
      <c r="B2199" s="233">
        <v>16</v>
      </c>
      <c r="C2199" s="233">
        <v>8</v>
      </c>
      <c r="D2199" s="234">
        <v>3</v>
      </c>
      <c r="E2199" s="234">
        <v>9</v>
      </c>
      <c r="G2199" s="508" t="s">
        <v>48</v>
      </c>
      <c r="H2199" s="493" t="s">
        <v>1238</v>
      </c>
      <c r="I2199" s="460" t="s">
        <v>5495</v>
      </c>
      <c r="J2199" s="495" t="s">
        <v>2588</v>
      </c>
      <c r="K2199" s="496" t="s">
        <v>787</v>
      </c>
      <c r="L2199" s="497" t="e">
        <v>#REF!</v>
      </c>
      <c r="M2199" s="497">
        <v>150</v>
      </c>
      <c r="N2199" s="464"/>
      <c r="O2199" s="498"/>
      <c r="P2199" s="431" t="s">
        <v>6711</v>
      </c>
    </row>
    <row r="2200" spans="1:16" ht="13.5" hidden="1" customHeight="1" outlineLevel="2" x14ac:dyDescent="0.2">
      <c r="A2200" s="233">
        <v>0</v>
      </c>
      <c r="B2200" s="233">
        <v>16</v>
      </c>
      <c r="C2200" s="233">
        <v>8</v>
      </c>
      <c r="D2200" s="234">
        <v>4</v>
      </c>
      <c r="E2200" s="234">
        <v>0</v>
      </c>
      <c r="G2200" s="507"/>
      <c r="H2200" s="487" t="s">
        <v>1237</v>
      </c>
      <c r="I2200" s="452" t="s">
        <v>5496</v>
      </c>
      <c r="J2200" s="489" t="s">
        <v>2350</v>
      </c>
      <c r="K2200" s="490"/>
      <c r="L2200" s="491"/>
      <c r="M2200" s="491"/>
      <c r="N2200" s="456"/>
      <c r="O2200" s="492"/>
      <c r="P2200" s="430"/>
    </row>
    <row r="2201" spans="1:16" ht="13.5" hidden="1" customHeight="1" outlineLevel="3" x14ac:dyDescent="0.2">
      <c r="A2201" s="233">
        <v>0</v>
      </c>
      <c r="B2201" s="233">
        <v>16</v>
      </c>
      <c r="C2201" s="233">
        <v>8</v>
      </c>
      <c r="D2201" s="234">
        <v>4</v>
      </c>
      <c r="E2201" s="234">
        <v>1</v>
      </c>
      <c r="G2201" s="508" t="s">
        <v>48</v>
      </c>
      <c r="H2201" s="493" t="s">
        <v>1238</v>
      </c>
      <c r="I2201" s="460" t="s">
        <v>5497</v>
      </c>
      <c r="J2201" s="495" t="s">
        <v>1500</v>
      </c>
      <c r="K2201" s="496" t="s">
        <v>787</v>
      </c>
      <c r="L2201" s="497" t="e">
        <v>#REF!</v>
      </c>
      <c r="M2201" s="497">
        <v>10.114274999999999</v>
      </c>
      <c r="N2201" s="464"/>
      <c r="O2201" s="498"/>
      <c r="P2201" s="431" t="s">
        <v>6711</v>
      </c>
    </row>
    <row r="2202" spans="1:16" ht="13.5" hidden="1" customHeight="1" outlineLevel="3" x14ac:dyDescent="0.2">
      <c r="A2202" s="233">
        <v>0</v>
      </c>
      <c r="B2202" s="233">
        <v>16</v>
      </c>
      <c r="C2202" s="233">
        <v>8</v>
      </c>
      <c r="D2202" s="234">
        <v>4</v>
      </c>
      <c r="E2202" s="234">
        <v>2</v>
      </c>
      <c r="G2202" s="508" t="s">
        <v>48</v>
      </c>
      <c r="H2202" s="493" t="s">
        <v>1238</v>
      </c>
      <c r="I2202" s="460" t="s">
        <v>5498</v>
      </c>
      <c r="J2202" s="495" t="s">
        <v>713</v>
      </c>
      <c r="K2202" s="496" t="s">
        <v>787</v>
      </c>
      <c r="L2202" s="497" t="e">
        <v>#REF!</v>
      </c>
      <c r="M2202" s="497">
        <v>43.820583333333332</v>
      </c>
      <c r="N2202" s="464"/>
      <c r="O2202" s="498"/>
      <c r="P2202" s="431" t="s">
        <v>6711</v>
      </c>
    </row>
    <row r="2203" spans="1:16" ht="13.5" hidden="1" customHeight="1" outlineLevel="3" x14ac:dyDescent="0.2">
      <c r="A2203" s="233">
        <v>0</v>
      </c>
      <c r="B2203" s="233">
        <v>16</v>
      </c>
      <c r="C2203" s="233">
        <v>8</v>
      </c>
      <c r="D2203" s="234">
        <v>4</v>
      </c>
      <c r="E2203" s="234">
        <v>3</v>
      </c>
      <c r="G2203" s="508" t="s">
        <v>48</v>
      </c>
      <c r="H2203" s="493" t="s">
        <v>1238</v>
      </c>
      <c r="I2203" s="460" t="s">
        <v>5499</v>
      </c>
      <c r="J2203" s="495" t="s">
        <v>2583</v>
      </c>
      <c r="K2203" s="496" t="s">
        <v>787</v>
      </c>
      <c r="L2203" s="497" t="e">
        <v>#REF!</v>
      </c>
      <c r="M2203" s="497">
        <v>22.121324999999999</v>
      </c>
      <c r="N2203" s="464"/>
      <c r="O2203" s="498"/>
      <c r="P2203" s="431" t="s">
        <v>6711</v>
      </c>
    </row>
    <row r="2204" spans="1:16" ht="13.5" hidden="1" customHeight="1" outlineLevel="2" x14ac:dyDescent="0.2">
      <c r="A2204" s="233">
        <v>0</v>
      </c>
      <c r="B2204" s="233">
        <v>16</v>
      </c>
      <c r="C2204" s="233">
        <v>8</v>
      </c>
      <c r="D2204" s="234">
        <v>5</v>
      </c>
      <c r="E2204" s="234">
        <v>0</v>
      </c>
      <c r="G2204" s="507"/>
      <c r="H2204" s="487" t="s">
        <v>1237</v>
      </c>
      <c r="I2204" s="452" t="s">
        <v>5500</v>
      </c>
      <c r="J2204" s="489" t="s">
        <v>1262</v>
      </c>
      <c r="K2204" s="490"/>
      <c r="L2204" s="491"/>
      <c r="M2204" s="491"/>
      <c r="N2204" s="456"/>
      <c r="O2204" s="492"/>
      <c r="P2204" s="430"/>
    </row>
    <row r="2205" spans="1:16" ht="13.5" hidden="1" customHeight="1" outlineLevel="3" x14ac:dyDescent="0.2">
      <c r="A2205" s="233">
        <v>0</v>
      </c>
      <c r="B2205" s="233">
        <v>16</v>
      </c>
      <c r="C2205" s="233">
        <v>8</v>
      </c>
      <c r="D2205" s="234">
        <v>5</v>
      </c>
      <c r="E2205" s="234">
        <v>1</v>
      </c>
      <c r="G2205" s="508" t="s">
        <v>44</v>
      </c>
      <c r="H2205" s="493" t="s">
        <v>1238</v>
      </c>
      <c r="I2205" s="460" t="s">
        <v>5501</v>
      </c>
      <c r="J2205" s="495" t="s">
        <v>734</v>
      </c>
      <c r="K2205" s="496" t="s">
        <v>641</v>
      </c>
      <c r="L2205" s="497" t="e">
        <v>#REF!</v>
      </c>
      <c r="M2205" s="497">
        <v>40</v>
      </c>
      <c r="N2205" s="464"/>
      <c r="O2205" s="498"/>
      <c r="P2205" s="431" t="s">
        <v>6711</v>
      </c>
    </row>
    <row r="2206" spans="1:16" ht="13.5" hidden="1" customHeight="1" outlineLevel="3" x14ac:dyDescent="0.2">
      <c r="A2206" s="233">
        <v>0</v>
      </c>
      <c r="B2206" s="233">
        <v>16</v>
      </c>
      <c r="C2206" s="233">
        <v>8</v>
      </c>
      <c r="D2206" s="234">
        <v>5</v>
      </c>
      <c r="E2206" s="234">
        <v>2</v>
      </c>
      <c r="G2206" s="508" t="s">
        <v>48</v>
      </c>
      <c r="H2206" s="493" t="s">
        <v>1238</v>
      </c>
      <c r="I2206" s="460" t="s">
        <v>5502</v>
      </c>
      <c r="J2206" s="495" t="s">
        <v>737</v>
      </c>
      <c r="K2206" s="496" t="s">
        <v>641</v>
      </c>
      <c r="L2206" s="497" t="e">
        <v>#REF!</v>
      </c>
      <c r="M2206" s="497">
        <v>75</v>
      </c>
      <c r="N2206" s="464"/>
      <c r="O2206" s="498"/>
      <c r="P2206" s="431" t="s">
        <v>6711</v>
      </c>
    </row>
    <row r="2207" spans="1:16" ht="13.5" hidden="1" customHeight="1" outlineLevel="3" x14ac:dyDescent="0.2">
      <c r="A2207" s="233">
        <v>0</v>
      </c>
      <c r="B2207" s="233">
        <v>16</v>
      </c>
      <c r="C2207" s="233">
        <v>8</v>
      </c>
      <c r="D2207" s="234">
        <v>5</v>
      </c>
      <c r="E2207" s="234">
        <v>3</v>
      </c>
      <c r="G2207" s="508" t="s">
        <v>48</v>
      </c>
      <c r="H2207" s="493" t="s">
        <v>1238</v>
      </c>
      <c r="I2207" s="460" t="s">
        <v>5503</v>
      </c>
      <c r="J2207" s="495" t="s">
        <v>2424</v>
      </c>
      <c r="K2207" s="496" t="s">
        <v>641</v>
      </c>
      <c r="L2207" s="497" t="e">
        <v>#REF!</v>
      </c>
      <c r="M2207" s="497">
        <v>75</v>
      </c>
      <c r="N2207" s="464"/>
      <c r="O2207" s="498"/>
      <c r="P2207" s="431" t="s">
        <v>6711</v>
      </c>
    </row>
    <row r="2208" spans="1:16" ht="13.5" hidden="1" customHeight="1" outlineLevel="3" x14ac:dyDescent="0.2">
      <c r="A2208" s="233">
        <v>0</v>
      </c>
      <c r="B2208" s="233">
        <v>16</v>
      </c>
      <c r="C2208" s="233">
        <v>8</v>
      </c>
      <c r="D2208" s="234">
        <v>5</v>
      </c>
      <c r="E2208" s="234">
        <v>4</v>
      </c>
      <c r="G2208" s="508" t="s">
        <v>48</v>
      </c>
      <c r="H2208" s="493" t="s">
        <v>1238</v>
      </c>
      <c r="I2208" s="460" t="s">
        <v>5504</v>
      </c>
      <c r="J2208" s="495" t="s">
        <v>742</v>
      </c>
      <c r="K2208" s="496" t="s">
        <v>787</v>
      </c>
      <c r="L2208" s="497" t="e">
        <v>#REF!</v>
      </c>
      <c r="M2208" s="497">
        <v>28</v>
      </c>
      <c r="N2208" s="464"/>
      <c r="O2208" s="498"/>
      <c r="P2208" s="431" t="s">
        <v>6711</v>
      </c>
    </row>
    <row r="2209" spans="1:16" ht="13.5" hidden="1" customHeight="1" outlineLevel="3" x14ac:dyDescent="0.2">
      <c r="A2209" s="233">
        <v>0</v>
      </c>
      <c r="B2209" s="233">
        <v>16</v>
      </c>
      <c r="C2209" s="233">
        <v>8</v>
      </c>
      <c r="D2209" s="234">
        <v>5</v>
      </c>
      <c r="E2209" s="234">
        <v>5</v>
      </c>
      <c r="G2209" s="508" t="s">
        <v>48</v>
      </c>
      <c r="H2209" s="493" t="s">
        <v>1238</v>
      </c>
      <c r="I2209" s="460" t="s">
        <v>5505</v>
      </c>
      <c r="J2209" s="495" t="s">
        <v>743</v>
      </c>
      <c r="K2209" s="496" t="s">
        <v>787</v>
      </c>
      <c r="L2209" s="497" t="e">
        <v>#REF!</v>
      </c>
      <c r="M2209" s="497">
        <v>24</v>
      </c>
      <c r="N2209" s="464"/>
      <c r="O2209" s="498"/>
      <c r="P2209" s="431" t="s">
        <v>6711</v>
      </c>
    </row>
    <row r="2210" spans="1:16" ht="13.5" hidden="1" customHeight="1" outlineLevel="1" x14ac:dyDescent="0.2">
      <c r="A2210" s="233">
        <v>0</v>
      </c>
      <c r="B2210" s="233">
        <v>16</v>
      </c>
      <c r="C2210" s="233">
        <v>9</v>
      </c>
      <c r="D2210" s="234">
        <v>0</v>
      </c>
      <c r="E2210" s="234">
        <v>5</v>
      </c>
      <c r="G2210" s="506"/>
      <c r="H2210" s="481" t="s">
        <v>38</v>
      </c>
      <c r="I2210" s="445" t="s">
        <v>5506</v>
      </c>
      <c r="J2210" s="483" t="s">
        <v>2601</v>
      </c>
      <c r="K2210" s="484"/>
      <c r="L2210" s="485"/>
      <c r="M2210" s="485"/>
      <c r="N2210" s="449"/>
      <c r="O2210" s="486"/>
      <c r="P2210" s="429"/>
    </row>
    <row r="2211" spans="1:16" ht="13.5" hidden="1" customHeight="1" outlineLevel="2" x14ac:dyDescent="0.2">
      <c r="A2211" s="233">
        <v>0</v>
      </c>
      <c r="B2211" s="233">
        <v>16</v>
      </c>
      <c r="C2211" s="233">
        <v>9</v>
      </c>
      <c r="D2211" s="234">
        <v>1</v>
      </c>
      <c r="E2211" s="234">
        <v>0</v>
      </c>
      <c r="G2211" s="507"/>
      <c r="H2211" s="487" t="s">
        <v>1237</v>
      </c>
      <c r="I2211" s="452" t="s">
        <v>5507</v>
      </c>
      <c r="J2211" s="489" t="s">
        <v>22</v>
      </c>
      <c r="K2211" s="490"/>
      <c r="L2211" s="491"/>
      <c r="M2211" s="491"/>
      <c r="N2211" s="456"/>
      <c r="O2211" s="492"/>
      <c r="P2211" s="430"/>
    </row>
    <row r="2212" spans="1:16" ht="13.5" hidden="1" customHeight="1" outlineLevel="3" x14ac:dyDescent="0.2">
      <c r="A2212" s="233">
        <v>0</v>
      </c>
      <c r="B2212" s="233">
        <v>16</v>
      </c>
      <c r="C2212" s="233">
        <v>9</v>
      </c>
      <c r="D2212" s="234">
        <v>1</v>
      </c>
      <c r="E2212" s="234">
        <v>1</v>
      </c>
      <c r="G2212" s="508" t="s">
        <v>44</v>
      </c>
      <c r="H2212" s="493" t="s">
        <v>1238</v>
      </c>
      <c r="I2212" s="460" t="s">
        <v>5508</v>
      </c>
      <c r="J2212" s="495" t="s">
        <v>2505</v>
      </c>
      <c r="K2212" s="496" t="s">
        <v>641</v>
      </c>
      <c r="L2212" s="497" t="e">
        <v>#REF!</v>
      </c>
      <c r="M2212" s="497">
        <v>44.585233333333335</v>
      </c>
      <c r="N2212" s="464"/>
      <c r="O2212" s="498"/>
      <c r="P2212" s="431" t="s">
        <v>6711</v>
      </c>
    </row>
    <row r="2213" spans="1:16" ht="13.5" hidden="1" customHeight="1" outlineLevel="2" x14ac:dyDescent="0.2">
      <c r="A2213" s="233">
        <v>0</v>
      </c>
      <c r="B2213" s="233">
        <v>16</v>
      </c>
      <c r="C2213" s="233">
        <v>9</v>
      </c>
      <c r="D2213" s="234">
        <v>2</v>
      </c>
      <c r="E2213" s="234">
        <v>0</v>
      </c>
      <c r="G2213" s="507"/>
      <c r="H2213" s="487" t="s">
        <v>1237</v>
      </c>
      <c r="I2213" s="452" t="s">
        <v>5509</v>
      </c>
      <c r="J2213" s="453" t="s">
        <v>2347</v>
      </c>
      <c r="K2213" s="490"/>
      <c r="L2213" s="491"/>
      <c r="M2213" s="491"/>
      <c r="N2213" s="456">
        <v>8786.2229155555597</v>
      </c>
      <c r="O2213" s="492"/>
      <c r="P2213" s="430"/>
    </row>
    <row r="2214" spans="1:16" ht="13.5" hidden="1" customHeight="1" outlineLevel="3" x14ac:dyDescent="0.2">
      <c r="A2214" s="233">
        <v>0</v>
      </c>
      <c r="B2214" s="233">
        <v>16</v>
      </c>
      <c r="C2214" s="233">
        <v>9</v>
      </c>
      <c r="D2214" s="234">
        <v>2</v>
      </c>
      <c r="E2214" s="234">
        <v>1</v>
      </c>
      <c r="G2214" s="508" t="s">
        <v>44</v>
      </c>
      <c r="H2214" s="493" t="s">
        <v>1238</v>
      </c>
      <c r="I2214" s="460" t="s">
        <v>5510</v>
      </c>
      <c r="J2214" s="495" t="s">
        <v>602</v>
      </c>
      <c r="K2214" s="496" t="s">
        <v>641</v>
      </c>
      <c r="L2214" s="497">
        <v>176</v>
      </c>
      <c r="M2214" s="497">
        <v>49.921721111111111</v>
      </c>
      <c r="N2214" s="464">
        <v>8786.2229155555597</v>
      </c>
      <c r="O2214" s="498" t="s">
        <v>2506</v>
      </c>
      <c r="P2214" s="431" t="s">
        <v>6711</v>
      </c>
    </row>
    <row r="2215" spans="1:16" ht="13.5" hidden="1" customHeight="1" outlineLevel="2" x14ac:dyDescent="0.2">
      <c r="A2215" s="233">
        <v>0</v>
      </c>
      <c r="B2215" s="233">
        <v>16</v>
      </c>
      <c r="C2215" s="233">
        <v>9</v>
      </c>
      <c r="D2215" s="234">
        <v>3</v>
      </c>
      <c r="E2215" s="234">
        <v>0</v>
      </c>
      <c r="G2215" s="507"/>
      <c r="H2215" s="487" t="s">
        <v>1237</v>
      </c>
      <c r="I2215" s="452" t="s">
        <v>5511</v>
      </c>
      <c r="J2215" s="489" t="s">
        <v>2277</v>
      </c>
      <c r="K2215" s="490"/>
      <c r="L2215" s="491"/>
      <c r="M2215" s="491"/>
      <c r="N2215" s="456"/>
      <c r="O2215" s="492"/>
      <c r="P2215" s="430"/>
    </row>
    <row r="2216" spans="1:16" ht="13.5" hidden="1" customHeight="1" outlineLevel="3" x14ac:dyDescent="0.2">
      <c r="A2216" s="233">
        <v>0</v>
      </c>
      <c r="B2216" s="233">
        <v>16</v>
      </c>
      <c r="C2216" s="233">
        <v>9</v>
      </c>
      <c r="D2216" s="234">
        <v>3</v>
      </c>
      <c r="E2216" s="234">
        <v>1</v>
      </c>
      <c r="G2216" s="508" t="s">
        <v>48</v>
      </c>
      <c r="H2216" s="493" t="s">
        <v>1238</v>
      </c>
      <c r="I2216" s="460" t="s">
        <v>5512</v>
      </c>
      <c r="J2216" s="495" t="s">
        <v>1816</v>
      </c>
      <c r="K2216" s="496" t="s">
        <v>641</v>
      </c>
      <c r="L2216" s="497" t="e">
        <v>#REF!</v>
      </c>
      <c r="M2216" s="497">
        <v>58.073</v>
      </c>
      <c r="N2216" s="464"/>
      <c r="O2216" s="498"/>
      <c r="P2216" s="431" t="s">
        <v>6711</v>
      </c>
    </row>
    <row r="2217" spans="1:16" ht="13.5" hidden="1" customHeight="1" outlineLevel="3" x14ac:dyDescent="0.2">
      <c r="A2217" s="233">
        <v>0</v>
      </c>
      <c r="B2217" s="233">
        <v>16</v>
      </c>
      <c r="C2217" s="233">
        <v>9</v>
      </c>
      <c r="D2217" s="234">
        <v>3</v>
      </c>
      <c r="E2217" s="234">
        <v>2</v>
      </c>
      <c r="G2217" s="508" t="s">
        <v>48</v>
      </c>
      <c r="H2217" s="493" t="s">
        <v>1238</v>
      </c>
      <c r="I2217" s="460" t="s">
        <v>5513</v>
      </c>
      <c r="J2217" s="495" t="s">
        <v>2511</v>
      </c>
      <c r="K2217" s="496" t="s">
        <v>641</v>
      </c>
      <c r="L2217" s="497" t="e">
        <v>#REF!</v>
      </c>
      <c r="M2217" s="497">
        <v>229.82760000000005</v>
      </c>
      <c r="N2217" s="464"/>
      <c r="O2217" s="498"/>
      <c r="P2217" s="431" t="s">
        <v>6711</v>
      </c>
    </row>
    <row r="2218" spans="1:16" ht="13.5" hidden="1" customHeight="1" outlineLevel="3" x14ac:dyDescent="0.2">
      <c r="A2218" s="233">
        <v>0</v>
      </c>
      <c r="B2218" s="233">
        <v>16</v>
      </c>
      <c r="C2218" s="233">
        <v>9</v>
      </c>
      <c r="D2218" s="234">
        <v>3</v>
      </c>
      <c r="E2218" s="234">
        <v>3</v>
      </c>
      <c r="G2218" s="508" t="s">
        <v>48</v>
      </c>
      <c r="H2218" s="493" t="s">
        <v>1238</v>
      </c>
      <c r="I2218" s="460" t="s">
        <v>5514</v>
      </c>
      <c r="J2218" s="495" t="s">
        <v>2512</v>
      </c>
      <c r="K2218" s="496" t="s">
        <v>641</v>
      </c>
      <c r="L2218" s="497" t="e">
        <v>#REF!</v>
      </c>
      <c r="M2218" s="497">
        <v>141.82760000000002</v>
      </c>
      <c r="N2218" s="464"/>
      <c r="O2218" s="498"/>
      <c r="P2218" s="431" t="s">
        <v>6711</v>
      </c>
    </row>
    <row r="2219" spans="1:16" ht="13.5" hidden="1" customHeight="1" outlineLevel="2" x14ac:dyDescent="0.2">
      <c r="A2219" s="233">
        <v>0</v>
      </c>
      <c r="B2219" s="233">
        <v>16</v>
      </c>
      <c r="C2219" s="233">
        <v>9</v>
      </c>
      <c r="D2219" s="234">
        <v>4</v>
      </c>
      <c r="E2219" s="234">
        <v>0</v>
      </c>
      <c r="G2219" s="507"/>
      <c r="H2219" s="487" t="s">
        <v>1237</v>
      </c>
      <c r="I2219" s="452" t="s">
        <v>5515</v>
      </c>
      <c r="J2219" s="489" t="s">
        <v>2346</v>
      </c>
      <c r="K2219" s="490"/>
      <c r="L2219" s="491"/>
      <c r="M2219" s="491"/>
      <c r="N2219" s="456"/>
      <c r="O2219" s="492"/>
      <c r="P2219" s="430"/>
    </row>
    <row r="2220" spans="1:16" ht="13.5" hidden="1" customHeight="1" outlineLevel="3" x14ac:dyDescent="0.2">
      <c r="A2220" s="233">
        <v>0</v>
      </c>
      <c r="B2220" s="233">
        <v>16</v>
      </c>
      <c r="C2220" s="233">
        <v>9</v>
      </c>
      <c r="D2220" s="234">
        <v>4</v>
      </c>
      <c r="E2220" s="234">
        <v>1</v>
      </c>
      <c r="G2220" s="508" t="s">
        <v>48</v>
      </c>
      <c r="H2220" s="493" t="s">
        <v>1238</v>
      </c>
      <c r="I2220" s="460" t="s">
        <v>5516</v>
      </c>
      <c r="J2220" s="495" t="s">
        <v>2557</v>
      </c>
      <c r="K2220" s="496" t="s">
        <v>641</v>
      </c>
      <c r="L2220" s="497" t="e">
        <v>#REF!</v>
      </c>
      <c r="M2220" s="497">
        <v>825.00000000000011</v>
      </c>
      <c r="N2220" s="464"/>
      <c r="O2220" s="498" t="s">
        <v>2566</v>
      </c>
      <c r="P2220" s="431" t="s">
        <v>6711</v>
      </c>
    </row>
    <row r="2221" spans="1:16" ht="13.5" hidden="1" customHeight="1" outlineLevel="2" x14ac:dyDescent="0.2">
      <c r="A2221" s="233">
        <v>0</v>
      </c>
      <c r="B2221" s="233">
        <v>16</v>
      </c>
      <c r="C2221" s="233">
        <v>9</v>
      </c>
      <c r="D2221" s="234">
        <v>5</v>
      </c>
      <c r="E2221" s="234">
        <v>0</v>
      </c>
      <c r="G2221" s="507"/>
      <c r="H2221" s="487" t="s">
        <v>1237</v>
      </c>
      <c r="I2221" s="452" t="s">
        <v>5517</v>
      </c>
      <c r="J2221" s="489" t="s">
        <v>2350</v>
      </c>
      <c r="K2221" s="490"/>
      <c r="L2221" s="491"/>
      <c r="M2221" s="491"/>
      <c r="N2221" s="456"/>
      <c r="O2221" s="492"/>
      <c r="P2221" s="430"/>
    </row>
    <row r="2222" spans="1:16" ht="13.5" hidden="1" customHeight="1" outlineLevel="3" x14ac:dyDescent="0.2">
      <c r="A2222" s="233">
        <v>0</v>
      </c>
      <c r="B2222" s="233">
        <v>16</v>
      </c>
      <c r="C2222" s="233">
        <v>9</v>
      </c>
      <c r="D2222" s="234">
        <v>5</v>
      </c>
      <c r="E2222" s="234">
        <v>1</v>
      </c>
      <c r="G2222" s="508" t="s">
        <v>48</v>
      </c>
      <c r="H2222" s="493" t="s">
        <v>1238</v>
      </c>
      <c r="I2222" s="460" t="s">
        <v>5518</v>
      </c>
      <c r="J2222" s="495" t="s">
        <v>1500</v>
      </c>
      <c r="K2222" s="496" t="s">
        <v>787</v>
      </c>
      <c r="L2222" s="497" t="e">
        <v>#REF!</v>
      </c>
      <c r="M2222" s="497">
        <v>10.114274999999999</v>
      </c>
      <c r="N2222" s="464"/>
      <c r="O2222" s="498"/>
      <c r="P2222" s="431" t="s">
        <v>6711</v>
      </c>
    </row>
    <row r="2223" spans="1:16" ht="13.5" hidden="1" customHeight="1" outlineLevel="3" x14ac:dyDescent="0.2">
      <c r="A2223" s="233">
        <v>0</v>
      </c>
      <c r="B2223" s="233">
        <v>16</v>
      </c>
      <c r="C2223" s="233">
        <v>9</v>
      </c>
      <c r="D2223" s="234">
        <v>5</v>
      </c>
      <c r="E2223" s="234">
        <v>2</v>
      </c>
      <c r="G2223" s="508" t="s">
        <v>48</v>
      </c>
      <c r="H2223" s="493" t="s">
        <v>1238</v>
      </c>
      <c r="I2223" s="460" t="s">
        <v>5519</v>
      </c>
      <c r="J2223" s="495" t="s">
        <v>713</v>
      </c>
      <c r="K2223" s="496" t="s">
        <v>787</v>
      </c>
      <c r="L2223" s="497" t="e">
        <v>#REF!</v>
      </c>
      <c r="M2223" s="497">
        <v>43.820583333333332</v>
      </c>
      <c r="N2223" s="464"/>
      <c r="O2223" s="498"/>
      <c r="P2223" s="431" t="s">
        <v>6711</v>
      </c>
    </row>
    <row r="2224" spans="1:16" ht="13.5" hidden="1" customHeight="1" outlineLevel="3" x14ac:dyDescent="0.2">
      <c r="A2224" s="233">
        <v>0</v>
      </c>
      <c r="B2224" s="233">
        <v>16</v>
      </c>
      <c r="C2224" s="233">
        <v>9</v>
      </c>
      <c r="D2224" s="234">
        <v>5</v>
      </c>
      <c r="E2224" s="234">
        <v>3</v>
      </c>
      <c r="G2224" s="508" t="s">
        <v>48</v>
      </c>
      <c r="H2224" s="493" t="s">
        <v>1238</v>
      </c>
      <c r="I2224" s="460" t="s">
        <v>5520</v>
      </c>
      <c r="J2224" s="495" t="s">
        <v>2583</v>
      </c>
      <c r="K2224" s="496" t="s">
        <v>787</v>
      </c>
      <c r="L2224" s="497" t="e">
        <v>#REF!</v>
      </c>
      <c r="M2224" s="497">
        <v>22.121324999999999</v>
      </c>
      <c r="N2224" s="464"/>
      <c r="O2224" s="498"/>
      <c r="P2224" s="431" t="s">
        <v>6711</v>
      </c>
    </row>
    <row r="2225" spans="1:16" ht="13.5" hidden="1" customHeight="1" outlineLevel="2" x14ac:dyDescent="0.2">
      <c r="A2225" s="233">
        <v>0</v>
      </c>
      <c r="B2225" s="233">
        <v>16</v>
      </c>
      <c r="C2225" s="233">
        <v>9</v>
      </c>
      <c r="D2225" s="234">
        <v>6</v>
      </c>
      <c r="E2225" s="234">
        <v>0</v>
      </c>
      <c r="G2225" s="507"/>
      <c r="H2225" s="487" t="s">
        <v>1237</v>
      </c>
      <c r="I2225" s="452" t="s">
        <v>5521</v>
      </c>
      <c r="J2225" s="489" t="s">
        <v>1262</v>
      </c>
      <c r="K2225" s="490"/>
      <c r="L2225" s="491"/>
      <c r="M2225" s="491"/>
      <c r="N2225" s="456"/>
      <c r="O2225" s="492"/>
      <c r="P2225" s="430"/>
    </row>
    <row r="2226" spans="1:16" ht="13.5" hidden="1" customHeight="1" outlineLevel="3" x14ac:dyDescent="0.2">
      <c r="A2226" s="233">
        <v>0</v>
      </c>
      <c r="B2226" s="233">
        <v>16</v>
      </c>
      <c r="C2226" s="233">
        <v>9</v>
      </c>
      <c r="D2226" s="234">
        <v>6</v>
      </c>
      <c r="E2226" s="234">
        <v>1</v>
      </c>
      <c r="G2226" s="508" t="s">
        <v>44</v>
      </c>
      <c r="H2226" s="493" t="s">
        <v>1238</v>
      </c>
      <c r="I2226" s="460" t="s">
        <v>5522</v>
      </c>
      <c r="J2226" s="495" t="s">
        <v>734</v>
      </c>
      <c r="K2226" s="496" t="s">
        <v>641</v>
      </c>
      <c r="L2226" s="497" t="e">
        <v>#REF!</v>
      </c>
      <c r="M2226" s="497">
        <v>40</v>
      </c>
      <c r="N2226" s="464"/>
      <c r="O2226" s="498"/>
      <c r="P2226" s="431" t="s">
        <v>6711</v>
      </c>
    </row>
    <row r="2227" spans="1:16" ht="13.5" hidden="1" customHeight="1" outlineLevel="3" x14ac:dyDescent="0.2">
      <c r="A2227" s="233">
        <v>0</v>
      </c>
      <c r="B2227" s="233">
        <v>16</v>
      </c>
      <c r="C2227" s="233">
        <v>9</v>
      </c>
      <c r="D2227" s="234">
        <v>6</v>
      </c>
      <c r="E2227" s="234">
        <v>2</v>
      </c>
      <c r="G2227" s="508" t="s">
        <v>48</v>
      </c>
      <c r="H2227" s="493" t="s">
        <v>1238</v>
      </c>
      <c r="I2227" s="460" t="s">
        <v>5523</v>
      </c>
      <c r="J2227" s="495" t="s">
        <v>737</v>
      </c>
      <c r="K2227" s="496" t="s">
        <v>641</v>
      </c>
      <c r="L2227" s="497" t="e">
        <v>#REF!</v>
      </c>
      <c r="M2227" s="497">
        <v>75</v>
      </c>
      <c r="N2227" s="464"/>
      <c r="O2227" s="498"/>
      <c r="P2227" s="431" t="s">
        <v>6711</v>
      </c>
    </row>
    <row r="2228" spans="1:16" ht="13.5" hidden="1" customHeight="1" outlineLevel="3" x14ac:dyDescent="0.2">
      <c r="A2228" s="233">
        <v>0</v>
      </c>
      <c r="B2228" s="233">
        <v>16</v>
      </c>
      <c r="C2228" s="233">
        <v>9</v>
      </c>
      <c r="D2228" s="234">
        <v>6</v>
      </c>
      <c r="E2228" s="234">
        <v>3</v>
      </c>
      <c r="G2228" s="508" t="s">
        <v>48</v>
      </c>
      <c r="H2228" s="493" t="s">
        <v>1238</v>
      </c>
      <c r="I2228" s="460" t="s">
        <v>5524</v>
      </c>
      <c r="J2228" s="495" t="s">
        <v>742</v>
      </c>
      <c r="K2228" s="496" t="s">
        <v>787</v>
      </c>
      <c r="L2228" s="497" t="e">
        <v>#REF!</v>
      </c>
      <c r="M2228" s="497">
        <v>28</v>
      </c>
      <c r="N2228" s="464"/>
      <c r="O2228" s="498"/>
      <c r="P2228" s="431" t="s">
        <v>6711</v>
      </c>
    </row>
    <row r="2229" spans="1:16" ht="13.5" hidden="1" customHeight="1" outlineLevel="3" x14ac:dyDescent="0.2">
      <c r="A2229" s="233">
        <v>0</v>
      </c>
      <c r="B2229" s="233">
        <v>16</v>
      </c>
      <c r="C2229" s="233">
        <v>9</v>
      </c>
      <c r="D2229" s="234">
        <v>6</v>
      </c>
      <c r="E2229" s="234">
        <v>4</v>
      </c>
      <c r="G2229" s="508" t="s">
        <v>48</v>
      </c>
      <c r="H2229" s="493" t="s">
        <v>1238</v>
      </c>
      <c r="I2229" s="460" t="s">
        <v>5525</v>
      </c>
      <c r="J2229" s="495" t="s">
        <v>743</v>
      </c>
      <c r="K2229" s="496" t="s">
        <v>787</v>
      </c>
      <c r="L2229" s="497" t="e">
        <v>#REF!</v>
      </c>
      <c r="M2229" s="497">
        <v>24</v>
      </c>
      <c r="N2229" s="464"/>
      <c r="O2229" s="498"/>
      <c r="P2229" s="431" t="s">
        <v>6711</v>
      </c>
    </row>
    <row r="2230" spans="1:16" ht="13.5" hidden="1" customHeight="1" outlineLevel="1" x14ac:dyDescent="0.2">
      <c r="A2230" s="233">
        <v>0</v>
      </c>
      <c r="B2230" s="233">
        <v>16</v>
      </c>
      <c r="C2230" s="233">
        <v>10</v>
      </c>
      <c r="D2230" s="234">
        <v>0</v>
      </c>
      <c r="E2230" s="234">
        <v>4</v>
      </c>
      <c r="G2230" s="506"/>
      <c r="H2230" s="481" t="s">
        <v>38</v>
      </c>
      <c r="I2230" s="445" t="s">
        <v>5526</v>
      </c>
      <c r="J2230" s="483" t="s">
        <v>2602</v>
      </c>
      <c r="K2230" s="484"/>
      <c r="L2230" s="485"/>
      <c r="M2230" s="485"/>
      <c r="N2230" s="449"/>
      <c r="O2230" s="486"/>
      <c r="P2230" s="429"/>
    </row>
    <row r="2231" spans="1:16" ht="13.5" hidden="1" customHeight="1" outlineLevel="2" x14ac:dyDescent="0.2">
      <c r="A2231" s="233">
        <v>0</v>
      </c>
      <c r="B2231" s="233">
        <v>16</v>
      </c>
      <c r="C2231" s="233">
        <v>10</v>
      </c>
      <c r="D2231" s="234">
        <v>1</v>
      </c>
      <c r="E2231" s="234">
        <v>0</v>
      </c>
      <c r="G2231" s="507"/>
      <c r="H2231" s="487" t="s">
        <v>1237</v>
      </c>
      <c r="I2231" s="452" t="s">
        <v>5527</v>
      </c>
      <c r="J2231" s="489" t="s">
        <v>22</v>
      </c>
      <c r="K2231" s="490"/>
      <c r="L2231" s="491"/>
      <c r="M2231" s="491"/>
      <c r="N2231" s="456"/>
      <c r="O2231" s="492"/>
      <c r="P2231" s="430"/>
    </row>
    <row r="2232" spans="1:16" ht="13.5" hidden="1" customHeight="1" outlineLevel="3" x14ac:dyDescent="0.2">
      <c r="A2232" s="233">
        <v>0</v>
      </c>
      <c r="B2232" s="233">
        <v>16</v>
      </c>
      <c r="C2232" s="233">
        <v>10</v>
      </c>
      <c r="D2232" s="234">
        <v>1</v>
      </c>
      <c r="E2232" s="234">
        <v>1</v>
      </c>
      <c r="G2232" s="508" t="s">
        <v>44</v>
      </c>
      <c r="H2232" s="493" t="s">
        <v>1238</v>
      </c>
      <c r="I2232" s="460" t="s">
        <v>5528</v>
      </c>
      <c r="J2232" s="495" t="s">
        <v>2505</v>
      </c>
      <c r="K2232" s="496" t="s">
        <v>641</v>
      </c>
      <c r="L2232" s="497" t="e">
        <v>#REF!</v>
      </c>
      <c r="M2232" s="497">
        <v>44.585233333333335</v>
      </c>
      <c r="N2232" s="464"/>
      <c r="O2232" s="498"/>
      <c r="P2232" s="431" t="s">
        <v>6711</v>
      </c>
    </row>
    <row r="2233" spans="1:16" ht="13.5" hidden="1" customHeight="1" outlineLevel="2" x14ac:dyDescent="0.2">
      <c r="A2233" s="233">
        <v>0</v>
      </c>
      <c r="B2233" s="233">
        <v>16</v>
      </c>
      <c r="C2233" s="233">
        <v>10</v>
      </c>
      <c r="D2233" s="234">
        <v>2</v>
      </c>
      <c r="E2233" s="234">
        <v>0</v>
      </c>
      <c r="G2233" s="507"/>
      <c r="H2233" s="487" t="s">
        <v>1237</v>
      </c>
      <c r="I2233" s="452" t="s">
        <v>5529</v>
      </c>
      <c r="J2233" s="453" t="s">
        <v>2347</v>
      </c>
      <c r="K2233" s="490"/>
      <c r="L2233" s="491"/>
      <c r="M2233" s="491"/>
      <c r="N2233" s="456">
        <v>70289.783324444405</v>
      </c>
      <c r="O2233" s="492"/>
      <c r="P2233" s="430"/>
    </row>
    <row r="2234" spans="1:16" ht="13.5" hidden="1" customHeight="1" outlineLevel="3" x14ac:dyDescent="0.2">
      <c r="A2234" s="233">
        <v>0</v>
      </c>
      <c r="B2234" s="233">
        <v>16</v>
      </c>
      <c r="C2234" s="233">
        <v>10</v>
      </c>
      <c r="D2234" s="234">
        <v>2</v>
      </c>
      <c r="E2234" s="234">
        <v>1</v>
      </c>
      <c r="G2234" s="508" t="s">
        <v>44</v>
      </c>
      <c r="H2234" s="493" t="s">
        <v>1238</v>
      </c>
      <c r="I2234" s="460" t="s">
        <v>5530</v>
      </c>
      <c r="J2234" s="495" t="s">
        <v>602</v>
      </c>
      <c r="K2234" s="496" t="s">
        <v>641</v>
      </c>
      <c r="L2234" s="497">
        <v>1408</v>
      </c>
      <c r="M2234" s="497">
        <v>49.921721111111111</v>
      </c>
      <c r="N2234" s="464">
        <v>70289.783324444405</v>
      </c>
      <c r="O2234" s="498" t="s">
        <v>2506</v>
      </c>
      <c r="P2234" s="431" t="s">
        <v>6711</v>
      </c>
    </row>
    <row r="2235" spans="1:16" ht="13.5" hidden="1" customHeight="1" outlineLevel="2" x14ac:dyDescent="0.2">
      <c r="A2235" s="233">
        <v>0</v>
      </c>
      <c r="B2235" s="233">
        <v>16</v>
      </c>
      <c r="C2235" s="233">
        <v>10</v>
      </c>
      <c r="D2235" s="234">
        <v>3</v>
      </c>
      <c r="E2235" s="234">
        <v>0</v>
      </c>
      <c r="G2235" s="507"/>
      <c r="H2235" s="487" t="s">
        <v>1237</v>
      </c>
      <c r="I2235" s="452" t="s">
        <v>5531</v>
      </c>
      <c r="J2235" s="489" t="s">
        <v>2277</v>
      </c>
      <c r="K2235" s="490"/>
      <c r="L2235" s="491"/>
      <c r="M2235" s="491"/>
      <c r="N2235" s="456"/>
      <c r="O2235" s="492"/>
      <c r="P2235" s="430"/>
    </row>
    <row r="2236" spans="1:16" ht="13.5" hidden="1" customHeight="1" outlineLevel="3" x14ac:dyDescent="0.2">
      <c r="A2236" s="233">
        <v>0</v>
      </c>
      <c r="B2236" s="233">
        <v>16</v>
      </c>
      <c r="C2236" s="233">
        <v>10</v>
      </c>
      <c r="D2236" s="234">
        <v>3</v>
      </c>
      <c r="E2236" s="234">
        <v>1</v>
      </c>
      <c r="G2236" s="508" t="s">
        <v>48</v>
      </c>
      <c r="H2236" s="493" t="s">
        <v>1238</v>
      </c>
      <c r="I2236" s="460" t="s">
        <v>5532</v>
      </c>
      <c r="J2236" s="495" t="s">
        <v>1816</v>
      </c>
      <c r="K2236" s="496" t="s">
        <v>641</v>
      </c>
      <c r="L2236" s="497" t="e">
        <v>#REF!</v>
      </c>
      <c r="M2236" s="497">
        <v>58.073</v>
      </c>
      <c r="N2236" s="464"/>
      <c r="O2236" s="498"/>
      <c r="P2236" s="431" t="s">
        <v>6711</v>
      </c>
    </row>
    <row r="2237" spans="1:16" ht="13.5" hidden="1" customHeight="1" outlineLevel="3" x14ac:dyDescent="0.2">
      <c r="A2237" s="233">
        <v>0</v>
      </c>
      <c r="B2237" s="233">
        <v>16</v>
      </c>
      <c r="C2237" s="233">
        <v>10</v>
      </c>
      <c r="D2237" s="234">
        <v>3</v>
      </c>
      <c r="E2237" s="234">
        <v>2</v>
      </c>
      <c r="G2237" s="508" t="s">
        <v>48</v>
      </c>
      <c r="H2237" s="493" t="s">
        <v>1238</v>
      </c>
      <c r="I2237" s="460" t="s">
        <v>5533</v>
      </c>
      <c r="J2237" s="495" t="s">
        <v>2511</v>
      </c>
      <c r="K2237" s="496" t="s">
        <v>641</v>
      </c>
      <c r="L2237" s="497" t="e">
        <v>#REF!</v>
      </c>
      <c r="M2237" s="497">
        <v>229.82760000000005</v>
      </c>
      <c r="N2237" s="464"/>
      <c r="O2237" s="498"/>
      <c r="P2237" s="431" t="s">
        <v>6711</v>
      </c>
    </row>
    <row r="2238" spans="1:16" ht="13.5" hidden="1" customHeight="1" outlineLevel="3" x14ac:dyDescent="0.2">
      <c r="A2238" s="233">
        <v>0</v>
      </c>
      <c r="B2238" s="233">
        <v>16</v>
      </c>
      <c r="C2238" s="233">
        <v>10</v>
      </c>
      <c r="D2238" s="234">
        <v>3</v>
      </c>
      <c r="E2238" s="234">
        <v>3</v>
      </c>
      <c r="G2238" s="508" t="s">
        <v>48</v>
      </c>
      <c r="H2238" s="493" t="s">
        <v>1238</v>
      </c>
      <c r="I2238" s="460" t="s">
        <v>5534</v>
      </c>
      <c r="J2238" s="495" t="s">
        <v>2512</v>
      </c>
      <c r="K2238" s="496" t="s">
        <v>641</v>
      </c>
      <c r="L2238" s="497" t="e">
        <v>#REF!</v>
      </c>
      <c r="M2238" s="497">
        <v>141.82760000000002</v>
      </c>
      <c r="N2238" s="464"/>
      <c r="O2238" s="498"/>
      <c r="P2238" s="431" t="s">
        <v>6711</v>
      </c>
    </row>
    <row r="2239" spans="1:16" ht="13.5" hidden="1" customHeight="1" outlineLevel="2" x14ac:dyDescent="0.2">
      <c r="A2239" s="233">
        <v>0</v>
      </c>
      <c r="B2239" s="233">
        <v>16</v>
      </c>
      <c r="C2239" s="233">
        <v>10</v>
      </c>
      <c r="D2239" s="234">
        <v>4</v>
      </c>
      <c r="E2239" s="234">
        <v>0</v>
      </c>
      <c r="G2239" s="507"/>
      <c r="H2239" s="487" t="s">
        <v>1237</v>
      </c>
      <c r="I2239" s="452" t="s">
        <v>5535</v>
      </c>
      <c r="J2239" s="489" t="s">
        <v>2346</v>
      </c>
      <c r="K2239" s="490"/>
      <c r="L2239" s="491"/>
      <c r="M2239" s="491"/>
      <c r="N2239" s="456"/>
      <c r="O2239" s="492"/>
      <c r="P2239" s="430"/>
    </row>
    <row r="2240" spans="1:16" ht="13.5" hidden="1" customHeight="1" outlineLevel="3" x14ac:dyDescent="0.2">
      <c r="A2240" s="233">
        <v>0</v>
      </c>
      <c r="B2240" s="233">
        <v>16</v>
      </c>
      <c r="C2240" s="233">
        <v>10</v>
      </c>
      <c r="D2240" s="234">
        <v>4</v>
      </c>
      <c r="E2240" s="234">
        <v>1</v>
      </c>
      <c r="G2240" s="508" t="s">
        <v>48</v>
      </c>
      <c r="H2240" s="493" t="s">
        <v>1238</v>
      </c>
      <c r="I2240" s="460" t="s">
        <v>5536</v>
      </c>
      <c r="J2240" s="495" t="s">
        <v>2557</v>
      </c>
      <c r="K2240" s="496" t="s">
        <v>641</v>
      </c>
      <c r="L2240" s="497" t="e">
        <v>#REF!</v>
      </c>
      <c r="M2240" s="497">
        <v>825.00000000000011</v>
      </c>
      <c r="N2240" s="464"/>
      <c r="O2240" s="498" t="s">
        <v>2566</v>
      </c>
      <c r="P2240" s="431" t="s">
        <v>6711</v>
      </c>
    </row>
    <row r="2241" spans="1:16" ht="13.5" hidden="1" customHeight="1" outlineLevel="2" x14ac:dyDescent="0.2">
      <c r="A2241" s="233">
        <v>0</v>
      </c>
      <c r="B2241" s="233">
        <v>16</v>
      </c>
      <c r="C2241" s="233">
        <v>10</v>
      </c>
      <c r="D2241" s="234">
        <v>5</v>
      </c>
      <c r="E2241" s="234">
        <v>0</v>
      </c>
      <c r="G2241" s="507"/>
      <c r="H2241" s="487" t="s">
        <v>1237</v>
      </c>
      <c r="I2241" s="452" t="s">
        <v>5537</v>
      </c>
      <c r="J2241" s="489" t="s">
        <v>2350</v>
      </c>
      <c r="K2241" s="490"/>
      <c r="L2241" s="491"/>
      <c r="M2241" s="491"/>
      <c r="N2241" s="456"/>
      <c r="O2241" s="492"/>
      <c r="P2241" s="430"/>
    </row>
    <row r="2242" spans="1:16" ht="13.5" hidden="1" customHeight="1" outlineLevel="3" x14ac:dyDescent="0.2">
      <c r="A2242" s="233">
        <v>0</v>
      </c>
      <c r="B2242" s="233">
        <v>16</v>
      </c>
      <c r="C2242" s="233">
        <v>10</v>
      </c>
      <c r="D2242" s="234">
        <v>5</v>
      </c>
      <c r="E2242" s="234">
        <v>1</v>
      </c>
      <c r="G2242" s="508" t="s">
        <v>48</v>
      </c>
      <c r="H2242" s="493" t="s">
        <v>1238</v>
      </c>
      <c r="I2242" s="460" t="s">
        <v>5538</v>
      </c>
      <c r="J2242" s="495" t="s">
        <v>1500</v>
      </c>
      <c r="K2242" s="496" t="s">
        <v>787</v>
      </c>
      <c r="L2242" s="497" t="e">
        <v>#REF!</v>
      </c>
      <c r="M2242" s="497">
        <v>10.114274999999999</v>
      </c>
      <c r="N2242" s="464"/>
      <c r="O2242" s="498"/>
      <c r="P2242" s="431" t="s">
        <v>6711</v>
      </c>
    </row>
    <row r="2243" spans="1:16" ht="13.5" hidden="1" customHeight="1" outlineLevel="3" x14ac:dyDescent="0.2">
      <c r="A2243" s="233">
        <v>0</v>
      </c>
      <c r="B2243" s="233">
        <v>16</v>
      </c>
      <c r="C2243" s="233">
        <v>10</v>
      </c>
      <c r="D2243" s="234">
        <v>5</v>
      </c>
      <c r="E2243" s="234">
        <v>2</v>
      </c>
      <c r="G2243" s="508" t="s">
        <v>48</v>
      </c>
      <c r="H2243" s="493" t="s">
        <v>1238</v>
      </c>
      <c r="I2243" s="460" t="s">
        <v>5539</v>
      </c>
      <c r="J2243" s="495" t="s">
        <v>713</v>
      </c>
      <c r="K2243" s="496" t="s">
        <v>787</v>
      </c>
      <c r="L2243" s="497" t="e">
        <v>#REF!</v>
      </c>
      <c r="M2243" s="497">
        <v>43.820583333333332</v>
      </c>
      <c r="N2243" s="464"/>
      <c r="O2243" s="498"/>
      <c r="P2243" s="431" t="s">
        <v>6711</v>
      </c>
    </row>
    <row r="2244" spans="1:16" ht="13.5" hidden="1" customHeight="1" outlineLevel="3" x14ac:dyDescent="0.2">
      <c r="A2244" s="233">
        <v>0</v>
      </c>
      <c r="B2244" s="233">
        <v>16</v>
      </c>
      <c r="C2244" s="233">
        <v>10</v>
      </c>
      <c r="D2244" s="234">
        <v>5</v>
      </c>
      <c r="E2244" s="234">
        <v>3</v>
      </c>
      <c r="G2244" s="508" t="s">
        <v>48</v>
      </c>
      <c r="H2244" s="493" t="s">
        <v>1238</v>
      </c>
      <c r="I2244" s="460" t="s">
        <v>5540</v>
      </c>
      <c r="J2244" s="495" t="s">
        <v>2583</v>
      </c>
      <c r="K2244" s="496" t="s">
        <v>787</v>
      </c>
      <c r="L2244" s="497" t="e">
        <v>#REF!</v>
      </c>
      <c r="M2244" s="497">
        <v>22.121324999999999</v>
      </c>
      <c r="N2244" s="464"/>
      <c r="O2244" s="498"/>
      <c r="P2244" s="431" t="s">
        <v>6711</v>
      </c>
    </row>
    <row r="2245" spans="1:16" ht="13.5" hidden="1" customHeight="1" outlineLevel="2" x14ac:dyDescent="0.2">
      <c r="A2245" s="233">
        <v>0</v>
      </c>
      <c r="B2245" s="233">
        <v>16</v>
      </c>
      <c r="C2245" s="233">
        <v>10</v>
      </c>
      <c r="D2245" s="234">
        <v>6</v>
      </c>
      <c r="E2245" s="234">
        <v>0</v>
      </c>
      <c r="G2245" s="507"/>
      <c r="H2245" s="487" t="s">
        <v>1237</v>
      </c>
      <c r="I2245" s="452" t="s">
        <v>5541</v>
      </c>
      <c r="J2245" s="489" t="s">
        <v>1262</v>
      </c>
      <c r="K2245" s="490"/>
      <c r="L2245" s="491"/>
      <c r="M2245" s="491"/>
      <c r="N2245" s="456"/>
      <c r="O2245" s="492"/>
      <c r="P2245" s="430"/>
    </row>
    <row r="2246" spans="1:16" ht="13.5" hidden="1" customHeight="1" outlineLevel="3" x14ac:dyDescent="0.2">
      <c r="A2246" s="233">
        <v>0</v>
      </c>
      <c r="B2246" s="233">
        <v>16</v>
      </c>
      <c r="C2246" s="233">
        <v>10</v>
      </c>
      <c r="D2246" s="234">
        <v>6</v>
      </c>
      <c r="E2246" s="234">
        <v>1</v>
      </c>
      <c r="G2246" s="508" t="s">
        <v>44</v>
      </c>
      <c r="H2246" s="493" t="s">
        <v>1238</v>
      </c>
      <c r="I2246" s="460" t="s">
        <v>5542</v>
      </c>
      <c r="J2246" s="495" t="s">
        <v>734</v>
      </c>
      <c r="K2246" s="496" t="s">
        <v>641</v>
      </c>
      <c r="L2246" s="497" t="e">
        <v>#REF!</v>
      </c>
      <c r="M2246" s="497">
        <v>40</v>
      </c>
      <c r="N2246" s="464"/>
      <c r="O2246" s="498"/>
      <c r="P2246" s="431" t="s">
        <v>6711</v>
      </c>
    </row>
    <row r="2247" spans="1:16" ht="13.5" hidden="1" customHeight="1" outlineLevel="3" x14ac:dyDescent="0.2">
      <c r="A2247" s="233">
        <v>0</v>
      </c>
      <c r="B2247" s="233">
        <v>16</v>
      </c>
      <c r="C2247" s="233">
        <v>10</v>
      </c>
      <c r="D2247" s="234">
        <v>6</v>
      </c>
      <c r="E2247" s="234">
        <v>2</v>
      </c>
      <c r="G2247" s="508" t="s">
        <v>48</v>
      </c>
      <c r="H2247" s="493" t="s">
        <v>1238</v>
      </c>
      <c r="I2247" s="460" t="s">
        <v>5543</v>
      </c>
      <c r="J2247" s="495" t="s">
        <v>737</v>
      </c>
      <c r="K2247" s="496" t="s">
        <v>641</v>
      </c>
      <c r="L2247" s="497" t="e">
        <v>#REF!</v>
      </c>
      <c r="M2247" s="497">
        <v>75</v>
      </c>
      <c r="N2247" s="464"/>
      <c r="O2247" s="498"/>
      <c r="P2247" s="431" t="s">
        <v>6711</v>
      </c>
    </row>
    <row r="2248" spans="1:16" ht="13.5" hidden="1" customHeight="1" outlineLevel="3" x14ac:dyDescent="0.2">
      <c r="A2248" s="233">
        <v>0</v>
      </c>
      <c r="B2248" s="233">
        <v>16</v>
      </c>
      <c r="C2248" s="233">
        <v>10</v>
      </c>
      <c r="D2248" s="234">
        <v>6</v>
      </c>
      <c r="E2248" s="234">
        <v>3</v>
      </c>
      <c r="G2248" s="508" t="s">
        <v>48</v>
      </c>
      <c r="H2248" s="493" t="s">
        <v>1238</v>
      </c>
      <c r="I2248" s="460" t="s">
        <v>5544</v>
      </c>
      <c r="J2248" s="495" t="s">
        <v>742</v>
      </c>
      <c r="K2248" s="496" t="s">
        <v>787</v>
      </c>
      <c r="L2248" s="497" t="e">
        <v>#REF!</v>
      </c>
      <c r="M2248" s="497">
        <v>28</v>
      </c>
      <c r="N2248" s="464"/>
      <c r="O2248" s="498"/>
      <c r="P2248" s="431" t="s">
        <v>6711</v>
      </c>
    </row>
    <row r="2249" spans="1:16" ht="13.5" hidden="1" customHeight="1" outlineLevel="3" x14ac:dyDescent="0.2">
      <c r="A2249" s="233">
        <v>0</v>
      </c>
      <c r="B2249" s="233">
        <v>16</v>
      </c>
      <c r="C2249" s="233">
        <v>10</v>
      </c>
      <c r="D2249" s="234">
        <v>6</v>
      </c>
      <c r="E2249" s="234">
        <v>4</v>
      </c>
      <c r="G2249" s="508" t="s">
        <v>48</v>
      </c>
      <c r="H2249" s="493" t="s">
        <v>1238</v>
      </c>
      <c r="I2249" s="460" t="s">
        <v>5545</v>
      </c>
      <c r="J2249" s="495" t="s">
        <v>743</v>
      </c>
      <c r="K2249" s="496" t="s">
        <v>787</v>
      </c>
      <c r="L2249" s="497" t="e">
        <v>#REF!</v>
      </c>
      <c r="M2249" s="497">
        <v>24</v>
      </c>
      <c r="N2249" s="464"/>
      <c r="O2249" s="498"/>
      <c r="P2249" s="431" t="s">
        <v>6711</v>
      </c>
    </row>
    <row r="2250" spans="1:16" ht="13.5" hidden="1" customHeight="1" outlineLevel="1" x14ac:dyDescent="0.2">
      <c r="A2250" s="233">
        <v>0</v>
      </c>
      <c r="B2250" s="233">
        <v>16</v>
      </c>
      <c r="C2250" s="233">
        <v>11</v>
      </c>
      <c r="D2250" s="234">
        <v>0</v>
      </c>
      <c r="E2250" s="234">
        <v>4</v>
      </c>
      <c r="G2250" s="506"/>
      <c r="H2250" s="481" t="s">
        <v>38</v>
      </c>
      <c r="I2250" s="445" t="s">
        <v>5546</v>
      </c>
      <c r="J2250" s="483" t="s">
        <v>2603</v>
      </c>
      <c r="K2250" s="484"/>
      <c r="L2250" s="485"/>
      <c r="M2250" s="485"/>
      <c r="N2250" s="449"/>
      <c r="O2250" s="486"/>
      <c r="P2250" s="429"/>
    </row>
    <row r="2251" spans="1:16" ht="13.5" hidden="1" customHeight="1" outlineLevel="2" x14ac:dyDescent="0.2">
      <c r="A2251" s="233">
        <v>0</v>
      </c>
      <c r="B2251" s="233">
        <v>16</v>
      </c>
      <c r="C2251" s="233">
        <v>11</v>
      </c>
      <c r="D2251" s="234">
        <v>1</v>
      </c>
      <c r="E2251" s="234">
        <v>0</v>
      </c>
      <c r="G2251" s="507"/>
      <c r="H2251" s="487" t="s">
        <v>1237</v>
      </c>
      <c r="I2251" s="452" t="s">
        <v>5547</v>
      </c>
      <c r="J2251" s="489" t="s">
        <v>22</v>
      </c>
      <c r="K2251" s="490"/>
      <c r="L2251" s="491"/>
      <c r="M2251" s="491"/>
      <c r="N2251" s="456"/>
      <c r="O2251" s="492"/>
      <c r="P2251" s="430"/>
    </row>
    <row r="2252" spans="1:16" ht="13.5" hidden="1" customHeight="1" outlineLevel="3" x14ac:dyDescent="0.2">
      <c r="A2252" s="233">
        <v>0</v>
      </c>
      <c r="B2252" s="233">
        <v>16</v>
      </c>
      <c r="C2252" s="233">
        <v>11</v>
      </c>
      <c r="D2252" s="234">
        <v>1</v>
      </c>
      <c r="E2252" s="234">
        <v>1</v>
      </c>
      <c r="G2252" s="508" t="s">
        <v>44</v>
      </c>
      <c r="H2252" s="493" t="s">
        <v>1238</v>
      </c>
      <c r="I2252" s="460" t="s">
        <v>5548</v>
      </c>
      <c r="J2252" s="495" t="s">
        <v>2505</v>
      </c>
      <c r="K2252" s="496" t="s">
        <v>641</v>
      </c>
      <c r="L2252" s="497" t="e">
        <v>#REF!</v>
      </c>
      <c r="M2252" s="497">
        <v>44.585233333333335</v>
      </c>
      <c r="N2252" s="464"/>
      <c r="O2252" s="498"/>
      <c r="P2252" s="431" t="s">
        <v>6711</v>
      </c>
    </row>
    <row r="2253" spans="1:16" ht="13.5" hidden="1" customHeight="1" outlineLevel="2" x14ac:dyDescent="0.2">
      <c r="A2253" s="233">
        <v>0</v>
      </c>
      <c r="B2253" s="233">
        <v>16</v>
      </c>
      <c r="C2253" s="233">
        <v>11</v>
      </c>
      <c r="D2253" s="234">
        <v>2</v>
      </c>
      <c r="E2253" s="234">
        <v>0</v>
      </c>
      <c r="G2253" s="507"/>
      <c r="H2253" s="487" t="s">
        <v>1237</v>
      </c>
      <c r="I2253" s="452" t="s">
        <v>5549</v>
      </c>
      <c r="J2253" s="453" t="s">
        <v>2347</v>
      </c>
      <c r="K2253" s="490"/>
      <c r="L2253" s="491"/>
      <c r="M2253" s="491"/>
      <c r="N2253" s="456">
        <v>192583.02353033301</v>
      </c>
      <c r="O2253" s="492"/>
      <c r="P2253" s="430"/>
    </row>
    <row r="2254" spans="1:16" ht="13.5" hidden="1" customHeight="1" outlineLevel="3" x14ac:dyDescent="0.2">
      <c r="A2254" s="233">
        <v>0</v>
      </c>
      <c r="B2254" s="233">
        <v>16</v>
      </c>
      <c r="C2254" s="233">
        <v>11</v>
      </c>
      <c r="D2254" s="234">
        <v>2</v>
      </c>
      <c r="E2254" s="234">
        <v>1</v>
      </c>
      <c r="G2254" s="508" t="s">
        <v>44</v>
      </c>
      <c r="H2254" s="493" t="s">
        <v>1238</v>
      </c>
      <c r="I2254" s="460" t="s">
        <v>5550</v>
      </c>
      <c r="J2254" s="495" t="s">
        <v>602</v>
      </c>
      <c r="K2254" s="496" t="s">
        <v>641</v>
      </c>
      <c r="L2254" s="497">
        <v>3857.7</v>
      </c>
      <c r="M2254" s="497">
        <v>49.921721111111111</v>
      </c>
      <c r="N2254" s="464">
        <v>192583.02353033301</v>
      </c>
      <c r="O2254" s="498" t="s">
        <v>2506</v>
      </c>
      <c r="P2254" s="431" t="s">
        <v>6711</v>
      </c>
    </row>
    <row r="2255" spans="1:16" ht="13.5" hidden="1" customHeight="1" outlineLevel="2" x14ac:dyDescent="0.2">
      <c r="A2255" s="233">
        <v>0</v>
      </c>
      <c r="B2255" s="233">
        <v>16</v>
      </c>
      <c r="C2255" s="233">
        <v>11</v>
      </c>
      <c r="D2255" s="234">
        <v>3</v>
      </c>
      <c r="E2255" s="234">
        <v>0</v>
      </c>
      <c r="G2255" s="507"/>
      <c r="H2255" s="487" t="s">
        <v>1237</v>
      </c>
      <c r="I2255" s="452" t="s">
        <v>5551</v>
      </c>
      <c r="J2255" s="489" t="s">
        <v>2277</v>
      </c>
      <c r="K2255" s="490"/>
      <c r="L2255" s="491"/>
      <c r="M2255" s="491"/>
      <c r="N2255" s="456"/>
      <c r="O2255" s="492"/>
      <c r="P2255" s="430"/>
    </row>
    <row r="2256" spans="1:16" ht="13.5" hidden="1" customHeight="1" outlineLevel="3" x14ac:dyDescent="0.2">
      <c r="A2256" s="233">
        <v>0</v>
      </c>
      <c r="B2256" s="233">
        <v>16</v>
      </c>
      <c r="C2256" s="233">
        <v>11</v>
      </c>
      <c r="D2256" s="234">
        <v>3</v>
      </c>
      <c r="E2256" s="234">
        <v>1</v>
      </c>
      <c r="G2256" s="508" t="s">
        <v>48</v>
      </c>
      <c r="H2256" s="493" t="s">
        <v>1238</v>
      </c>
      <c r="I2256" s="460" t="s">
        <v>5552</v>
      </c>
      <c r="J2256" s="495" t="s">
        <v>1816</v>
      </c>
      <c r="K2256" s="496" t="s">
        <v>641</v>
      </c>
      <c r="L2256" s="497" t="e">
        <v>#REF!</v>
      </c>
      <c r="M2256" s="497">
        <v>58.073</v>
      </c>
      <c r="N2256" s="464"/>
      <c r="O2256" s="498"/>
      <c r="P2256" s="431" t="s">
        <v>6711</v>
      </c>
    </row>
    <row r="2257" spans="1:16" ht="13.5" hidden="1" customHeight="1" outlineLevel="3" x14ac:dyDescent="0.2">
      <c r="A2257" s="233">
        <v>0</v>
      </c>
      <c r="B2257" s="233">
        <v>16</v>
      </c>
      <c r="C2257" s="233">
        <v>11</v>
      </c>
      <c r="D2257" s="234">
        <v>3</v>
      </c>
      <c r="E2257" s="234">
        <v>2</v>
      </c>
      <c r="G2257" s="508" t="s">
        <v>48</v>
      </c>
      <c r="H2257" s="493" t="s">
        <v>1238</v>
      </c>
      <c r="I2257" s="460" t="s">
        <v>5553</v>
      </c>
      <c r="J2257" s="495" t="s">
        <v>2511</v>
      </c>
      <c r="K2257" s="496" t="s">
        <v>641</v>
      </c>
      <c r="L2257" s="497" t="e">
        <v>#REF!</v>
      </c>
      <c r="M2257" s="497">
        <v>229.82760000000005</v>
      </c>
      <c r="N2257" s="464"/>
      <c r="O2257" s="498"/>
      <c r="P2257" s="431" t="s">
        <v>6711</v>
      </c>
    </row>
    <row r="2258" spans="1:16" ht="13.5" hidden="1" customHeight="1" outlineLevel="3" x14ac:dyDescent="0.2">
      <c r="A2258" s="233">
        <v>0</v>
      </c>
      <c r="B2258" s="233">
        <v>16</v>
      </c>
      <c r="C2258" s="233">
        <v>11</v>
      </c>
      <c r="D2258" s="234">
        <v>3</v>
      </c>
      <c r="E2258" s="234">
        <v>3</v>
      </c>
      <c r="G2258" s="508" t="s">
        <v>48</v>
      </c>
      <c r="H2258" s="493" t="s">
        <v>1238</v>
      </c>
      <c r="I2258" s="460" t="s">
        <v>5554</v>
      </c>
      <c r="J2258" s="495" t="s">
        <v>2512</v>
      </c>
      <c r="K2258" s="496" t="s">
        <v>641</v>
      </c>
      <c r="L2258" s="497" t="e">
        <v>#REF!</v>
      </c>
      <c r="M2258" s="497">
        <v>141.82760000000002</v>
      </c>
      <c r="N2258" s="464"/>
      <c r="O2258" s="498"/>
      <c r="P2258" s="431" t="s">
        <v>6711</v>
      </c>
    </row>
    <row r="2259" spans="1:16" ht="13.5" hidden="1" customHeight="1" outlineLevel="2" x14ac:dyDescent="0.2">
      <c r="A2259" s="233">
        <v>0</v>
      </c>
      <c r="B2259" s="233">
        <v>16</v>
      </c>
      <c r="C2259" s="233">
        <v>11</v>
      </c>
      <c r="D2259" s="234">
        <v>4</v>
      </c>
      <c r="E2259" s="234">
        <v>0</v>
      </c>
      <c r="G2259" s="507"/>
      <c r="H2259" s="487" t="s">
        <v>1237</v>
      </c>
      <c r="I2259" s="452" t="s">
        <v>5555</v>
      </c>
      <c r="J2259" s="489" t="s">
        <v>2349</v>
      </c>
      <c r="K2259" s="490"/>
      <c r="L2259" s="491"/>
      <c r="M2259" s="491"/>
      <c r="N2259" s="456"/>
      <c r="O2259" s="492"/>
      <c r="P2259" s="430"/>
    </row>
    <row r="2260" spans="1:16" ht="13.5" hidden="1" customHeight="1" outlineLevel="3" x14ac:dyDescent="0.2">
      <c r="A2260" s="233">
        <v>0</v>
      </c>
      <c r="B2260" s="233">
        <v>16</v>
      </c>
      <c r="C2260" s="233">
        <v>11</v>
      </c>
      <c r="D2260" s="234">
        <v>4</v>
      </c>
      <c r="E2260" s="234">
        <v>1</v>
      </c>
      <c r="G2260" s="508" t="s">
        <v>48</v>
      </c>
      <c r="H2260" s="493" t="s">
        <v>1238</v>
      </c>
      <c r="I2260" s="460" t="s">
        <v>5556</v>
      </c>
      <c r="J2260" s="495" t="s">
        <v>2565</v>
      </c>
      <c r="K2260" s="496" t="s">
        <v>641</v>
      </c>
      <c r="L2260" s="497" t="e">
        <v>#REF!</v>
      </c>
      <c r="M2260" s="497">
        <v>1498.2455</v>
      </c>
      <c r="N2260" s="464"/>
      <c r="O2260" s="498"/>
      <c r="P2260" s="431" t="s">
        <v>6711</v>
      </c>
    </row>
    <row r="2261" spans="1:16" ht="13.5" hidden="1" customHeight="1" outlineLevel="2" x14ac:dyDescent="0.2">
      <c r="A2261" s="233">
        <v>0</v>
      </c>
      <c r="B2261" s="233">
        <v>16</v>
      </c>
      <c r="C2261" s="233">
        <v>11</v>
      </c>
      <c r="D2261" s="234">
        <v>5</v>
      </c>
      <c r="E2261" s="234">
        <v>0</v>
      </c>
      <c r="G2261" s="507"/>
      <c r="H2261" s="487" t="s">
        <v>1237</v>
      </c>
      <c r="I2261" s="452" t="s">
        <v>5557</v>
      </c>
      <c r="J2261" s="489" t="s">
        <v>2346</v>
      </c>
      <c r="K2261" s="490"/>
      <c r="L2261" s="491"/>
      <c r="M2261" s="491"/>
      <c r="N2261" s="456"/>
      <c r="O2261" s="492"/>
      <c r="P2261" s="430"/>
    </row>
    <row r="2262" spans="1:16" ht="13.5" hidden="1" customHeight="1" outlineLevel="3" x14ac:dyDescent="0.2">
      <c r="A2262" s="233">
        <v>0</v>
      </c>
      <c r="B2262" s="233">
        <v>16</v>
      </c>
      <c r="C2262" s="233">
        <v>11</v>
      </c>
      <c r="D2262" s="234">
        <v>5</v>
      </c>
      <c r="E2262" s="234">
        <v>1</v>
      </c>
      <c r="G2262" s="508" t="s">
        <v>48</v>
      </c>
      <c r="H2262" s="493" t="s">
        <v>1238</v>
      </c>
      <c r="I2262" s="460" t="s">
        <v>5558</v>
      </c>
      <c r="J2262" s="461" t="s">
        <v>2557</v>
      </c>
      <c r="K2262" s="496" t="s">
        <v>641</v>
      </c>
      <c r="L2262" s="497" t="e">
        <v>#REF!</v>
      </c>
      <c r="M2262" s="497">
        <v>825.00000000000011</v>
      </c>
      <c r="N2262" s="464"/>
      <c r="O2262" s="498"/>
      <c r="P2262" s="431" t="s">
        <v>6711</v>
      </c>
    </row>
    <row r="2263" spans="1:16" ht="13.5" hidden="1" customHeight="1" outlineLevel="2" x14ac:dyDescent="0.2">
      <c r="A2263" s="233">
        <v>0</v>
      </c>
      <c r="B2263" s="233">
        <v>16</v>
      </c>
      <c r="C2263" s="233">
        <v>11</v>
      </c>
      <c r="D2263" s="234">
        <v>6</v>
      </c>
      <c r="E2263" s="234">
        <v>0</v>
      </c>
      <c r="G2263" s="507"/>
      <c r="H2263" s="487" t="s">
        <v>1237</v>
      </c>
      <c r="I2263" s="452" t="s">
        <v>5559</v>
      </c>
      <c r="J2263" s="489" t="s">
        <v>2350</v>
      </c>
      <c r="K2263" s="490"/>
      <c r="L2263" s="491"/>
      <c r="M2263" s="491"/>
      <c r="N2263" s="456"/>
      <c r="O2263" s="492"/>
      <c r="P2263" s="430"/>
    </row>
    <row r="2264" spans="1:16" ht="13.5" hidden="1" customHeight="1" outlineLevel="3" x14ac:dyDescent="0.2">
      <c r="A2264" s="233">
        <v>0</v>
      </c>
      <c r="B2264" s="233">
        <v>16</v>
      </c>
      <c r="C2264" s="233">
        <v>11</v>
      </c>
      <c r="D2264" s="234">
        <v>6</v>
      </c>
      <c r="E2264" s="234">
        <v>1</v>
      </c>
      <c r="G2264" s="508" t="s">
        <v>48</v>
      </c>
      <c r="H2264" s="493" t="s">
        <v>1238</v>
      </c>
      <c r="I2264" s="460" t="s">
        <v>5560</v>
      </c>
      <c r="J2264" s="495" t="s">
        <v>1500</v>
      </c>
      <c r="K2264" s="496" t="s">
        <v>787</v>
      </c>
      <c r="L2264" s="497" t="e">
        <v>#REF!</v>
      </c>
      <c r="M2264" s="497">
        <v>10.114274999999999</v>
      </c>
      <c r="N2264" s="464"/>
      <c r="O2264" s="498"/>
      <c r="P2264" s="431" t="s">
        <v>6711</v>
      </c>
    </row>
    <row r="2265" spans="1:16" ht="13.5" hidden="1" customHeight="1" outlineLevel="3" x14ac:dyDescent="0.2">
      <c r="A2265" s="233">
        <v>0</v>
      </c>
      <c r="B2265" s="233">
        <v>16</v>
      </c>
      <c r="C2265" s="233">
        <v>11</v>
      </c>
      <c r="D2265" s="234">
        <v>6</v>
      </c>
      <c r="E2265" s="234">
        <v>2</v>
      </c>
      <c r="G2265" s="508" t="s">
        <v>48</v>
      </c>
      <c r="H2265" s="493" t="s">
        <v>1238</v>
      </c>
      <c r="I2265" s="460" t="s">
        <v>5561</v>
      </c>
      <c r="J2265" s="495" t="s">
        <v>713</v>
      </c>
      <c r="K2265" s="496" t="s">
        <v>787</v>
      </c>
      <c r="L2265" s="497" t="e">
        <v>#REF!</v>
      </c>
      <c r="M2265" s="497">
        <v>43.820583333333332</v>
      </c>
      <c r="N2265" s="464"/>
      <c r="O2265" s="498"/>
      <c r="P2265" s="431" t="s">
        <v>6711</v>
      </c>
    </row>
    <row r="2266" spans="1:16" ht="13.5" hidden="1" customHeight="1" outlineLevel="3" x14ac:dyDescent="0.2">
      <c r="A2266" s="233">
        <v>0</v>
      </c>
      <c r="B2266" s="233">
        <v>16</v>
      </c>
      <c r="C2266" s="233">
        <v>11</v>
      </c>
      <c r="D2266" s="234">
        <v>6</v>
      </c>
      <c r="E2266" s="234">
        <v>3</v>
      </c>
      <c r="G2266" s="508" t="s">
        <v>48</v>
      </c>
      <c r="H2266" s="493" t="s">
        <v>1238</v>
      </c>
      <c r="I2266" s="460" t="s">
        <v>5562</v>
      </c>
      <c r="J2266" s="495" t="s">
        <v>2583</v>
      </c>
      <c r="K2266" s="496" t="s">
        <v>787</v>
      </c>
      <c r="L2266" s="497" t="e">
        <v>#REF!</v>
      </c>
      <c r="M2266" s="497">
        <v>22.121324999999999</v>
      </c>
      <c r="N2266" s="464"/>
      <c r="O2266" s="498"/>
      <c r="P2266" s="431" t="s">
        <v>6711</v>
      </c>
    </row>
    <row r="2267" spans="1:16" ht="13.5" hidden="1" customHeight="1" outlineLevel="2" x14ac:dyDescent="0.2">
      <c r="A2267" s="233">
        <v>0</v>
      </c>
      <c r="B2267" s="233">
        <v>16</v>
      </c>
      <c r="C2267" s="233">
        <v>11</v>
      </c>
      <c r="D2267" s="234">
        <v>7</v>
      </c>
      <c r="E2267" s="234">
        <v>0</v>
      </c>
      <c r="G2267" s="507"/>
      <c r="H2267" s="487" t="s">
        <v>1237</v>
      </c>
      <c r="I2267" s="452" t="s">
        <v>5563</v>
      </c>
      <c r="J2267" s="489" t="s">
        <v>1262</v>
      </c>
      <c r="K2267" s="490"/>
      <c r="L2267" s="491"/>
      <c r="M2267" s="491"/>
      <c r="N2267" s="456"/>
      <c r="O2267" s="492"/>
      <c r="P2267" s="430"/>
    </row>
    <row r="2268" spans="1:16" ht="13.5" hidden="1" customHeight="1" outlineLevel="3" x14ac:dyDescent="0.2">
      <c r="A2268" s="233">
        <v>0</v>
      </c>
      <c r="B2268" s="233">
        <v>16</v>
      </c>
      <c r="C2268" s="233">
        <v>11</v>
      </c>
      <c r="D2268" s="234">
        <v>7</v>
      </c>
      <c r="E2268" s="234">
        <v>1</v>
      </c>
      <c r="G2268" s="508" t="s">
        <v>44</v>
      </c>
      <c r="H2268" s="493" t="s">
        <v>1238</v>
      </c>
      <c r="I2268" s="460" t="s">
        <v>5564</v>
      </c>
      <c r="J2268" s="495" t="s">
        <v>734</v>
      </c>
      <c r="K2268" s="496" t="s">
        <v>641</v>
      </c>
      <c r="L2268" s="497" t="e">
        <v>#REF!</v>
      </c>
      <c r="M2268" s="497">
        <v>40</v>
      </c>
      <c r="N2268" s="464"/>
      <c r="O2268" s="498"/>
      <c r="P2268" s="431" t="s">
        <v>6711</v>
      </c>
    </row>
    <row r="2269" spans="1:16" ht="13.5" hidden="1" customHeight="1" outlineLevel="3" x14ac:dyDescent="0.2">
      <c r="A2269" s="233">
        <v>0</v>
      </c>
      <c r="B2269" s="233">
        <v>16</v>
      </c>
      <c r="C2269" s="233">
        <v>11</v>
      </c>
      <c r="D2269" s="234">
        <v>7</v>
      </c>
      <c r="E2269" s="234">
        <v>2</v>
      </c>
      <c r="G2269" s="508" t="s">
        <v>48</v>
      </c>
      <c r="H2269" s="493" t="s">
        <v>1238</v>
      </c>
      <c r="I2269" s="460" t="s">
        <v>5565</v>
      </c>
      <c r="J2269" s="495" t="s">
        <v>737</v>
      </c>
      <c r="K2269" s="496" t="s">
        <v>641</v>
      </c>
      <c r="L2269" s="497" t="e">
        <v>#REF!</v>
      </c>
      <c r="M2269" s="497">
        <v>75</v>
      </c>
      <c r="N2269" s="464"/>
      <c r="O2269" s="498"/>
      <c r="P2269" s="431" t="s">
        <v>6711</v>
      </c>
    </row>
    <row r="2270" spans="1:16" ht="13.5" hidden="1" customHeight="1" outlineLevel="3" x14ac:dyDescent="0.2">
      <c r="A2270" s="233">
        <v>0</v>
      </c>
      <c r="B2270" s="233">
        <v>16</v>
      </c>
      <c r="C2270" s="233">
        <v>11</v>
      </c>
      <c r="D2270" s="234">
        <v>7</v>
      </c>
      <c r="E2270" s="234">
        <v>3</v>
      </c>
      <c r="G2270" s="508" t="s">
        <v>48</v>
      </c>
      <c r="H2270" s="493" t="s">
        <v>1238</v>
      </c>
      <c r="I2270" s="460" t="s">
        <v>5566</v>
      </c>
      <c r="J2270" s="495" t="s">
        <v>2592</v>
      </c>
      <c r="K2270" s="496" t="s">
        <v>641</v>
      </c>
      <c r="L2270" s="497" t="e">
        <v>#REF!</v>
      </c>
      <c r="M2270" s="497">
        <v>85</v>
      </c>
      <c r="N2270" s="464"/>
      <c r="O2270" s="498"/>
      <c r="P2270" s="431" t="s">
        <v>6711</v>
      </c>
    </row>
    <row r="2271" spans="1:16" ht="13.5" hidden="1" customHeight="1" outlineLevel="3" x14ac:dyDescent="0.2">
      <c r="A2271" s="233">
        <v>0</v>
      </c>
      <c r="B2271" s="233">
        <v>16</v>
      </c>
      <c r="C2271" s="233">
        <v>11</v>
      </c>
      <c r="D2271" s="234">
        <v>7</v>
      </c>
      <c r="E2271" s="234">
        <v>4</v>
      </c>
      <c r="G2271" s="508" t="s">
        <v>48</v>
      </c>
      <c r="H2271" s="493" t="s">
        <v>1238</v>
      </c>
      <c r="I2271" s="460" t="s">
        <v>5567</v>
      </c>
      <c r="J2271" s="495" t="s">
        <v>742</v>
      </c>
      <c r="K2271" s="496" t="s">
        <v>787</v>
      </c>
      <c r="L2271" s="497" t="e">
        <v>#REF!</v>
      </c>
      <c r="M2271" s="497">
        <v>28</v>
      </c>
      <c r="N2271" s="464"/>
      <c r="O2271" s="498"/>
      <c r="P2271" s="431" t="s">
        <v>6711</v>
      </c>
    </row>
    <row r="2272" spans="1:16" ht="13.5" hidden="1" customHeight="1" outlineLevel="3" x14ac:dyDescent="0.2">
      <c r="A2272" s="233">
        <v>0</v>
      </c>
      <c r="B2272" s="233">
        <v>16</v>
      </c>
      <c r="C2272" s="233">
        <v>11</v>
      </c>
      <c r="D2272" s="234">
        <v>7</v>
      </c>
      <c r="E2272" s="234">
        <v>5</v>
      </c>
      <c r="G2272" s="508" t="s">
        <v>48</v>
      </c>
      <c r="H2272" s="493" t="s">
        <v>1238</v>
      </c>
      <c r="I2272" s="460" t="s">
        <v>5568</v>
      </c>
      <c r="J2272" s="495" t="s">
        <v>743</v>
      </c>
      <c r="K2272" s="496" t="s">
        <v>787</v>
      </c>
      <c r="L2272" s="497" t="e">
        <v>#REF!</v>
      </c>
      <c r="M2272" s="497">
        <v>24</v>
      </c>
      <c r="N2272" s="464"/>
      <c r="O2272" s="498"/>
      <c r="P2272" s="431" t="s">
        <v>6711</v>
      </c>
    </row>
    <row r="2273" spans="1:16" ht="13.5" hidden="1" customHeight="1" outlineLevel="1" x14ac:dyDescent="0.2">
      <c r="A2273" s="233">
        <v>0</v>
      </c>
      <c r="B2273" s="233">
        <v>16</v>
      </c>
      <c r="C2273" s="233">
        <v>12</v>
      </c>
      <c r="D2273" s="234">
        <v>0</v>
      </c>
      <c r="E2273" s="234">
        <v>5</v>
      </c>
      <c r="G2273" s="506"/>
      <c r="H2273" s="481" t="s">
        <v>38</v>
      </c>
      <c r="I2273" s="445" t="s">
        <v>5569</v>
      </c>
      <c r="J2273" s="483" t="s">
        <v>2604</v>
      </c>
      <c r="K2273" s="484"/>
      <c r="L2273" s="485"/>
      <c r="M2273" s="485"/>
      <c r="N2273" s="449"/>
      <c r="O2273" s="486"/>
      <c r="P2273" s="429"/>
    </row>
    <row r="2274" spans="1:16" ht="13.5" hidden="1" customHeight="1" outlineLevel="2" x14ac:dyDescent="0.2">
      <c r="A2274" s="233">
        <v>0</v>
      </c>
      <c r="B2274" s="233">
        <v>16</v>
      </c>
      <c r="C2274" s="233">
        <v>12</v>
      </c>
      <c r="D2274" s="234">
        <v>1</v>
      </c>
      <c r="E2274" s="234">
        <v>0</v>
      </c>
      <c r="G2274" s="507"/>
      <c r="H2274" s="487" t="s">
        <v>1237</v>
      </c>
      <c r="I2274" s="452" t="s">
        <v>5570</v>
      </c>
      <c r="J2274" s="489" t="s">
        <v>22</v>
      </c>
      <c r="K2274" s="490"/>
      <c r="L2274" s="491"/>
      <c r="M2274" s="491"/>
      <c r="N2274" s="456"/>
      <c r="O2274" s="492"/>
      <c r="P2274" s="430"/>
    </row>
    <row r="2275" spans="1:16" ht="13.5" hidden="1" customHeight="1" outlineLevel="3" x14ac:dyDescent="0.2">
      <c r="A2275" s="233">
        <v>0</v>
      </c>
      <c r="B2275" s="233">
        <v>16</v>
      </c>
      <c r="C2275" s="233">
        <v>12</v>
      </c>
      <c r="D2275" s="234">
        <v>1</v>
      </c>
      <c r="E2275" s="234">
        <v>1</v>
      </c>
      <c r="G2275" s="508" t="s">
        <v>44</v>
      </c>
      <c r="H2275" s="493" t="s">
        <v>1238</v>
      </c>
      <c r="I2275" s="460" t="s">
        <v>5571</v>
      </c>
      <c r="J2275" s="495" t="s">
        <v>2505</v>
      </c>
      <c r="K2275" s="496" t="s">
        <v>641</v>
      </c>
      <c r="L2275" s="497" t="e">
        <v>#REF!</v>
      </c>
      <c r="M2275" s="497">
        <v>44.585233333333335</v>
      </c>
      <c r="N2275" s="464"/>
      <c r="O2275" s="498"/>
      <c r="P2275" s="431" t="s">
        <v>6711</v>
      </c>
    </row>
    <row r="2276" spans="1:16" ht="13.5" hidden="1" customHeight="1" outlineLevel="2" x14ac:dyDescent="0.2">
      <c r="A2276" s="233">
        <v>0</v>
      </c>
      <c r="B2276" s="233">
        <v>16</v>
      </c>
      <c r="C2276" s="233">
        <v>12</v>
      </c>
      <c r="D2276" s="234">
        <v>2</v>
      </c>
      <c r="E2276" s="234">
        <v>0</v>
      </c>
      <c r="G2276" s="507"/>
      <c r="H2276" s="487" t="s">
        <v>1237</v>
      </c>
      <c r="I2276" s="452" t="s">
        <v>5572</v>
      </c>
      <c r="J2276" s="453" t="s">
        <v>2347</v>
      </c>
      <c r="K2276" s="490"/>
      <c r="L2276" s="491"/>
      <c r="M2276" s="491"/>
      <c r="N2276" s="456">
        <v>7488.2581666666701</v>
      </c>
      <c r="O2276" s="492"/>
      <c r="P2276" s="430"/>
    </row>
    <row r="2277" spans="1:16" ht="13.5" hidden="1" customHeight="1" outlineLevel="3" x14ac:dyDescent="0.2">
      <c r="A2277" s="233">
        <v>0</v>
      </c>
      <c r="B2277" s="233">
        <v>16</v>
      </c>
      <c r="C2277" s="233">
        <v>12</v>
      </c>
      <c r="D2277" s="234">
        <v>2</v>
      </c>
      <c r="E2277" s="234">
        <v>1</v>
      </c>
      <c r="G2277" s="508" t="s">
        <v>44</v>
      </c>
      <c r="H2277" s="493" t="s">
        <v>1238</v>
      </c>
      <c r="I2277" s="460" t="s">
        <v>5573</v>
      </c>
      <c r="J2277" s="495" t="s">
        <v>602</v>
      </c>
      <c r="K2277" s="496" t="s">
        <v>641</v>
      </c>
      <c r="L2277" s="497">
        <v>150</v>
      </c>
      <c r="M2277" s="497">
        <v>49.921721111111111</v>
      </c>
      <c r="N2277" s="464">
        <v>7488.2581666666701</v>
      </c>
      <c r="O2277" s="498" t="s">
        <v>2506</v>
      </c>
      <c r="P2277" s="431" t="s">
        <v>6711</v>
      </c>
    </row>
    <row r="2278" spans="1:16" ht="13.5" hidden="1" customHeight="1" outlineLevel="2" x14ac:dyDescent="0.2">
      <c r="A2278" s="233">
        <v>0</v>
      </c>
      <c r="B2278" s="233">
        <v>16</v>
      </c>
      <c r="C2278" s="233">
        <v>12</v>
      </c>
      <c r="D2278" s="234">
        <v>3</v>
      </c>
      <c r="E2278" s="234">
        <v>0</v>
      </c>
      <c r="G2278" s="507"/>
      <c r="H2278" s="487" t="s">
        <v>1237</v>
      </c>
      <c r="I2278" s="452" t="s">
        <v>5574</v>
      </c>
      <c r="J2278" s="489" t="s">
        <v>2277</v>
      </c>
      <c r="K2278" s="490"/>
      <c r="L2278" s="491"/>
      <c r="M2278" s="491"/>
      <c r="N2278" s="456"/>
      <c r="O2278" s="492"/>
      <c r="P2278" s="430"/>
    </row>
    <row r="2279" spans="1:16" ht="13.5" hidden="1" customHeight="1" outlineLevel="3" x14ac:dyDescent="0.2">
      <c r="A2279" s="233">
        <v>0</v>
      </c>
      <c r="B2279" s="233">
        <v>16</v>
      </c>
      <c r="C2279" s="233">
        <v>12</v>
      </c>
      <c r="D2279" s="234">
        <v>3</v>
      </c>
      <c r="E2279" s="234">
        <v>1</v>
      </c>
      <c r="G2279" s="508" t="s">
        <v>48</v>
      </c>
      <c r="H2279" s="493" t="s">
        <v>1238</v>
      </c>
      <c r="I2279" s="460" t="s">
        <v>5575</v>
      </c>
      <c r="J2279" s="495" t="s">
        <v>1816</v>
      </c>
      <c r="K2279" s="496" t="s">
        <v>641</v>
      </c>
      <c r="L2279" s="497" t="e">
        <v>#REF!</v>
      </c>
      <c r="M2279" s="497">
        <v>58.073</v>
      </c>
      <c r="N2279" s="464"/>
      <c r="O2279" s="498"/>
      <c r="P2279" s="431" t="s">
        <v>6711</v>
      </c>
    </row>
    <row r="2280" spans="1:16" ht="13.5" hidden="1" customHeight="1" outlineLevel="3" x14ac:dyDescent="0.2">
      <c r="A2280" s="233">
        <v>0</v>
      </c>
      <c r="B2280" s="233">
        <v>16</v>
      </c>
      <c r="C2280" s="233">
        <v>12</v>
      </c>
      <c r="D2280" s="234">
        <v>3</v>
      </c>
      <c r="E2280" s="234">
        <v>2</v>
      </c>
      <c r="G2280" s="508" t="s">
        <v>48</v>
      </c>
      <c r="H2280" s="493" t="s">
        <v>1238</v>
      </c>
      <c r="I2280" s="460" t="s">
        <v>5576</v>
      </c>
      <c r="J2280" s="495" t="s">
        <v>2511</v>
      </c>
      <c r="K2280" s="496" t="s">
        <v>641</v>
      </c>
      <c r="L2280" s="497" t="e">
        <v>#REF!</v>
      </c>
      <c r="M2280" s="497">
        <v>229.82760000000005</v>
      </c>
      <c r="N2280" s="464"/>
      <c r="O2280" s="498"/>
      <c r="P2280" s="431" t="s">
        <v>6711</v>
      </c>
    </row>
    <row r="2281" spans="1:16" ht="13.5" hidden="1" customHeight="1" outlineLevel="3" x14ac:dyDescent="0.2">
      <c r="A2281" s="233">
        <v>0</v>
      </c>
      <c r="B2281" s="233">
        <v>16</v>
      </c>
      <c r="C2281" s="233">
        <v>12</v>
      </c>
      <c r="D2281" s="234">
        <v>3</v>
      </c>
      <c r="E2281" s="234">
        <v>3</v>
      </c>
      <c r="G2281" s="508" t="s">
        <v>48</v>
      </c>
      <c r="H2281" s="493" t="s">
        <v>1238</v>
      </c>
      <c r="I2281" s="460" t="s">
        <v>5577</v>
      </c>
      <c r="J2281" s="495" t="s">
        <v>2512</v>
      </c>
      <c r="K2281" s="496" t="s">
        <v>641</v>
      </c>
      <c r="L2281" s="497" t="e">
        <v>#REF!</v>
      </c>
      <c r="M2281" s="497">
        <v>141.82760000000002</v>
      </c>
      <c r="N2281" s="464"/>
      <c r="O2281" s="498"/>
      <c r="P2281" s="431" t="s">
        <v>6711</v>
      </c>
    </row>
    <row r="2282" spans="1:16" ht="13.5" hidden="1" customHeight="1" outlineLevel="2" x14ac:dyDescent="0.2">
      <c r="A2282" s="233">
        <v>0</v>
      </c>
      <c r="B2282" s="233">
        <v>16</v>
      </c>
      <c r="C2282" s="233">
        <v>12</v>
      </c>
      <c r="D2282" s="234">
        <v>4</v>
      </c>
      <c r="E2282" s="234">
        <v>0</v>
      </c>
      <c r="G2282" s="507"/>
      <c r="H2282" s="487" t="s">
        <v>1237</v>
      </c>
      <c r="I2282" s="452" t="s">
        <v>5578</v>
      </c>
      <c r="J2282" s="489" t="s">
        <v>2349</v>
      </c>
      <c r="K2282" s="490"/>
      <c r="L2282" s="491"/>
      <c r="M2282" s="491"/>
      <c r="N2282" s="456"/>
      <c r="O2282" s="492"/>
      <c r="P2282" s="430"/>
    </row>
    <row r="2283" spans="1:16" ht="13.5" hidden="1" customHeight="1" outlineLevel="3" x14ac:dyDescent="0.2">
      <c r="A2283" s="233">
        <v>0</v>
      </c>
      <c r="B2283" s="233">
        <v>16</v>
      </c>
      <c r="C2283" s="233">
        <v>12</v>
      </c>
      <c r="D2283" s="234">
        <v>4</v>
      </c>
      <c r="E2283" s="234">
        <v>1</v>
      </c>
      <c r="G2283" s="508" t="s">
        <v>48</v>
      </c>
      <c r="H2283" s="493" t="s">
        <v>1238</v>
      </c>
      <c r="I2283" s="460" t="s">
        <v>5579</v>
      </c>
      <c r="J2283" s="495" t="s">
        <v>2565</v>
      </c>
      <c r="K2283" s="496" t="s">
        <v>641</v>
      </c>
      <c r="L2283" s="497" t="e">
        <v>#REF!</v>
      </c>
      <c r="M2283" s="497">
        <v>1498.2455</v>
      </c>
      <c r="N2283" s="464"/>
      <c r="O2283" s="498"/>
      <c r="P2283" s="431" t="s">
        <v>6711</v>
      </c>
    </row>
    <row r="2284" spans="1:16" ht="13.5" hidden="1" customHeight="1" outlineLevel="3" x14ac:dyDescent="0.2">
      <c r="A2284" s="233">
        <v>0</v>
      </c>
      <c r="B2284" s="233">
        <v>16</v>
      </c>
      <c r="C2284" s="233">
        <v>12</v>
      </c>
      <c r="D2284" s="234">
        <v>4</v>
      </c>
      <c r="E2284" s="234">
        <v>2</v>
      </c>
      <c r="G2284" s="508" t="s">
        <v>48</v>
      </c>
      <c r="H2284" s="493" t="s">
        <v>1238</v>
      </c>
      <c r="I2284" s="460" t="s">
        <v>5580</v>
      </c>
      <c r="J2284" s="495" t="s">
        <v>2558</v>
      </c>
      <c r="K2284" s="496" t="s">
        <v>641</v>
      </c>
      <c r="L2284" s="497" t="e">
        <v>#REF!</v>
      </c>
      <c r="M2284" s="497">
        <v>898.24550000000011</v>
      </c>
      <c r="N2284" s="464"/>
      <c r="O2284" s="498"/>
      <c r="P2284" s="431" t="s">
        <v>6711</v>
      </c>
    </row>
    <row r="2285" spans="1:16" ht="13.5" hidden="1" customHeight="1" outlineLevel="2" x14ac:dyDescent="0.2">
      <c r="A2285" s="233">
        <v>0</v>
      </c>
      <c r="B2285" s="233">
        <v>16</v>
      </c>
      <c r="C2285" s="233">
        <v>12</v>
      </c>
      <c r="D2285" s="234">
        <v>5</v>
      </c>
      <c r="E2285" s="234">
        <v>0</v>
      </c>
      <c r="G2285" s="507"/>
      <c r="H2285" s="487" t="s">
        <v>1237</v>
      </c>
      <c r="I2285" s="452" t="s">
        <v>5581</v>
      </c>
      <c r="J2285" s="489" t="s">
        <v>2346</v>
      </c>
      <c r="K2285" s="490"/>
      <c r="L2285" s="491"/>
      <c r="M2285" s="491"/>
      <c r="N2285" s="456"/>
      <c r="O2285" s="492"/>
      <c r="P2285" s="430"/>
    </row>
    <row r="2286" spans="1:16" ht="13.5" hidden="1" customHeight="1" outlineLevel="3" x14ac:dyDescent="0.2">
      <c r="A2286" s="233">
        <v>0</v>
      </c>
      <c r="B2286" s="233">
        <v>16</v>
      </c>
      <c r="C2286" s="233">
        <v>12</v>
      </c>
      <c r="D2286" s="234">
        <v>5</v>
      </c>
      <c r="E2286" s="234">
        <v>1</v>
      </c>
      <c r="G2286" s="508" t="s">
        <v>48</v>
      </c>
      <c r="H2286" s="493" t="s">
        <v>1238</v>
      </c>
      <c r="I2286" s="460" t="s">
        <v>5582</v>
      </c>
      <c r="J2286" s="461" t="s">
        <v>2557</v>
      </c>
      <c r="K2286" s="496" t="s">
        <v>641</v>
      </c>
      <c r="L2286" s="497" t="e">
        <v>#REF!</v>
      </c>
      <c r="M2286" s="497">
        <v>825.00000000000011</v>
      </c>
      <c r="N2286" s="464"/>
      <c r="O2286" s="498"/>
      <c r="P2286" s="431" t="s">
        <v>6711</v>
      </c>
    </row>
    <row r="2287" spans="1:16" ht="13.5" hidden="1" customHeight="1" outlineLevel="2" x14ac:dyDescent="0.2">
      <c r="A2287" s="233">
        <v>0</v>
      </c>
      <c r="B2287" s="233">
        <v>16</v>
      </c>
      <c r="C2287" s="233">
        <v>12</v>
      </c>
      <c r="D2287" s="234">
        <v>6</v>
      </c>
      <c r="E2287" s="234">
        <v>0</v>
      </c>
      <c r="G2287" s="507"/>
      <c r="H2287" s="487" t="s">
        <v>1237</v>
      </c>
      <c r="I2287" s="452" t="s">
        <v>5583</v>
      </c>
      <c r="J2287" s="489" t="s">
        <v>2350</v>
      </c>
      <c r="K2287" s="490"/>
      <c r="L2287" s="491"/>
      <c r="M2287" s="491"/>
      <c r="N2287" s="456"/>
      <c r="O2287" s="492"/>
      <c r="P2287" s="430"/>
    </row>
    <row r="2288" spans="1:16" ht="13.5" hidden="1" customHeight="1" outlineLevel="3" x14ac:dyDescent="0.2">
      <c r="A2288" s="233">
        <v>0</v>
      </c>
      <c r="B2288" s="233">
        <v>16</v>
      </c>
      <c r="C2288" s="233">
        <v>12</v>
      </c>
      <c r="D2288" s="234">
        <v>6</v>
      </c>
      <c r="E2288" s="234">
        <v>1</v>
      </c>
      <c r="G2288" s="508" t="s">
        <v>48</v>
      </c>
      <c r="H2288" s="493" t="s">
        <v>1238</v>
      </c>
      <c r="I2288" s="460" t="s">
        <v>5584</v>
      </c>
      <c r="J2288" s="495" t="s">
        <v>1500</v>
      </c>
      <c r="K2288" s="496" t="s">
        <v>787</v>
      </c>
      <c r="L2288" s="497" t="e">
        <v>#REF!</v>
      </c>
      <c r="M2288" s="497">
        <v>10.114274999999999</v>
      </c>
      <c r="N2288" s="464"/>
      <c r="O2288" s="498"/>
      <c r="P2288" s="431" t="s">
        <v>6711</v>
      </c>
    </row>
    <row r="2289" spans="1:16" ht="13.5" hidden="1" customHeight="1" outlineLevel="3" x14ac:dyDescent="0.2">
      <c r="A2289" s="233">
        <v>0</v>
      </c>
      <c r="B2289" s="233">
        <v>16</v>
      </c>
      <c r="C2289" s="233">
        <v>12</v>
      </c>
      <c r="D2289" s="234">
        <v>6</v>
      </c>
      <c r="E2289" s="234">
        <v>2</v>
      </c>
      <c r="G2289" s="508" t="s">
        <v>48</v>
      </c>
      <c r="H2289" s="493" t="s">
        <v>1238</v>
      </c>
      <c r="I2289" s="460" t="s">
        <v>5585</v>
      </c>
      <c r="J2289" s="495" t="s">
        <v>713</v>
      </c>
      <c r="K2289" s="496" t="s">
        <v>787</v>
      </c>
      <c r="L2289" s="497" t="e">
        <v>#REF!</v>
      </c>
      <c r="M2289" s="497">
        <v>43.820583333333332</v>
      </c>
      <c r="N2289" s="464"/>
      <c r="O2289" s="498"/>
      <c r="P2289" s="431" t="s">
        <v>6711</v>
      </c>
    </row>
    <row r="2290" spans="1:16" ht="13.5" hidden="1" customHeight="1" outlineLevel="3" x14ac:dyDescent="0.2">
      <c r="A2290" s="233">
        <v>0</v>
      </c>
      <c r="B2290" s="233">
        <v>16</v>
      </c>
      <c r="C2290" s="233">
        <v>12</v>
      </c>
      <c r="D2290" s="234">
        <v>6</v>
      </c>
      <c r="E2290" s="234">
        <v>3</v>
      </c>
      <c r="G2290" s="508" t="s">
        <v>48</v>
      </c>
      <c r="H2290" s="493" t="s">
        <v>1238</v>
      </c>
      <c r="I2290" s="460" t="s">
        <v>5586</v>
      </c>
      <c r="J2290" s="495" t="s">
        <v>2583</v>
      </c>
      <c r="K2290" s="496" t="s">
        <v>787</v>
      </c>
      <c r="L2290" s="497" t="e">
        <v>#REF!</v>
      </c>
      <c r="M2290" s="497">
        <v>22.121324999999999</v>
      </c>
      <c r="N2290" s="464"/>
      <c r="O2290" s="498"/>
      <c r="P2290" s="431" t="s">
        <v>6711</v>
      </c>
    </row>
    <row r="2291" spans="1:16" ht="13.5" hidden="1" customHeight="1" outlineLevel="2" x14ac:dyDescent="0.2">
      <c r="A2291" s="233">
        <v>0</v>
      </c>
      <c r="B2291" s="233">
        <v>16</v>
      </c>
      <c r="C2291" s="233">
        <v>12</v>
      </c>
      <c r="D2291" s="234">
        <v>7</v>
      </c>
      <c r="E2291" s="234">
        <v>0</v>
      </c>
      <c r="G2291" s="507"/>
      <c r="H2291" s="487" t="s">
        <v>1237</v>
      </c>
      <c r="I2291" s="452" t="s">
        <v>5587</v>
      </c>
      <c r="J2291" s="489" t="s">
        <v>1262</v>
      </c>
      <c r="K2291" s="490"/>
      <c r="L2291" s="491"/>
      <c r="M2291" s="491"/>
      <c r="N2291" s="456"/>
      <c r="O2291" s="492"/>
      <c r="P2291" s="430"/>
    </row>
    <row r="2292" spans="1:16" ht="13.5" hidden="1" customHeight="1" outlineLevel="3" x14ac:dyDescent="0.2">
      <c r="A2292" s="233">
        <v>0</v>
      </c>
      <c r="B2292" s="233">
        <v>16</v>
      </c>
      <c r="C2292" s="233">
        <v>12</v>
      </c>
      <c r="D2292" s="234">
        <v>7</v>
      </c>
      <c r="E2292" s="234">
        <v>1</v>
      </c>
      <c r="G2292" s="508" t="s">
        <v>44</v>
      </c>
      <c r="H2292" s="493" t="s">
        <v>1238</v>
      </c>
      <c r="I2292" s="460" t="s">
        <v>5588</v>
      </c>
      <c r="J2292" s="495" t="s">
        <v>734</v>
      </c>
      <c r="K2292" s="496" t="s">
        <v>641</v>
      </c>
      <c r="L2292" s="497" t="e">
        <v>#REF!</v>
      </c>
      <c r="M2292" s="497">
        <v>40</v>
      </c>
      <c r="N2292" s="464"/>
      <c r="O2292" s="498"/>
      <c r="P2292" s="431" t="s">
        <v>6711</v>
      </c>
    </row>
    <row r="2293" spans="1:16" ht="13.5" hidden="1" customHeight="1" outlineLevel="3" x14ac:dyDescent="0.2">
      <c r="A2293" s="233">
        <v>0</v>
      </c>
      <c r="B2293" s="233">
        <v>16</v>
      </c>
      <c r="C2293" s="233">
        <v>12</v>
      </c>
      <c r="D2293" s="234">
        <v>7</v>
      </c>
      <c r="E2293" s="234">
        <v>2</v>
      </c>
      <c r="G2293" s="508" t="s">
        <v>48</v>
      </c>
      <c r="H2293" s="493" t="s">
        <v>1238</v>
      </c>
      <c r="I2293" s="460" t="s">
        <v>5589</v>
      </c>
      <c r="J2293" s="495" t="s">
        <v>737</v>
      </c>
      <c r="K2293" s="496" t="s">
        <v>641</v>
      </c>
      <c r="L2293" s="497" t="e">
        <v>#REF!</v>
      </c>
      <c r="M2293" s="497">
        <v>75</v>
      </c>
      <c r="N2293" s="464"/>
      <c r="O2293" s="498"/>
      <c r="P2293" s="431" t="s">
        <v>6711</v>
      </c>
    </row>
    <row r="2294" spans="1:16" ht="13.5" hidden="1" customHeight="1" outlineLevel="3" x14ac:dyDescent="0.2">
      <c r="A2294" s="233">
        <v>0</v>
      </c>
      <c r="B2294" s="233">
        <v>16</v>
      </c>
      <c r="C2294" s="233">
        <v>12</v>
      </c>
      <c r="D2294" s="234">
        <v>7</v>
      </c>
      <c r="E2294" s="234">
        <v>3</v>
      </c>
      <c r="G2294" s="508" t="s">
        <v>48</v>
      </c>
      <c r="H2294" s="493" t="s">
        <v>1238</v>
      </c>
      <c r="I2294" s="460" t="s">
        <v>5590</v>
      </c>
      <c r="J2294" s="495" t="s">
        <v>2592</v>
      </c>
      <c r="K2294" s="496" t="s">
        <v>641</v>
      </c>
      <c r="L2294" s="497" t="e">
        <v>#REF!</v>
      </c>
      <c r="M2294" s="497">
        <v>85</v>
      </c>
      <c r="N2294" s="464"/>
      <c r="O2294" s="498"/>
      <c r="P2294" s="431" t="s">
        <v>6711</v>
      </c>
    </row>
    <row r="2295" spans="1:16" ht="13.5" hidden="1" customHeight="1" outlineLevel="3" x14ac:dyDescent="0.2">
      <c r="A2295" s="233">
        <v>0</v>
      </c>
      <c r="B2295" s="233">
        <v>16</v>
      </c>
      <c r="C2295" s="233">
        <v>12</v>
      </c>
      <c r="D2295" s="234">
        <v>7</v>
      </c>
      <c r="E2295" s="234">
        <v>4</v>
      </c>
      <c r="G2295" s="508" t="s">
        <v>48</v>
      </c>
      <c r="H2295" s="493" t="s">
        <v>1238</v>
      </c>
      <c r="I2295" s="460" t="s">
        <v>5591</v>
      </c>
      <c r="J2295" s="495" t="s">
        <v>742</v>
      </c>
      <c r="K2295" s="496" t="s">
        <v>787</v>
      </c>
      <c r="L2295" s="497" t="e">
        <v>#REF!</v>
      </c>
      <c r="M2295" s="497">
        <v>28</v>
      </c>
      <c r="N2295" s="464"/>
      <c r="O2295" s="498"/>
      <c r="P2295" s="431" t="s">
        <v>6711</v>
      </c>
    </row>
    <row r="2296" spans="1:16" ht="13.5" hidden="1" customHeight="1" outlineLevel="3" x14ac:dyDescent="0.2">
      <c r="A2296" s="233">
        <v>0</v>
      </c>
      <c r="B2296" s="233">
        <v>16</v>
      </c>
      <c r="C2296" s="233">
        <v>12</v>
      </c>
      <c r="D2296" s="234">
        <v>7</v>
      </c>
      <c r="E2296" s="234">
        <v>5</v>
      </c>
      <c r="G2296" s="508" t="s">
        <v>48</v>
      </c>
      <c r="H2296" s="493" t="s">
        <v>1238</v>
      </c>
      <c r="I2296" s="460" t="s">
        <v>5592</v>
      </c>
      <c r="J2296" s="495" t="s">
        <v>743</v>
      </c>
      <c r="K2296" s="496" t="s">
        <v>787</v>
      </c>
      <c r="L2296" s="497" t="e">
        <v>#REF!</v>
      </c>
      <c r="M2296" s="497">
        <v>24</v>
      </c>
      <c r="N2296" s="464"/>
      <c r="O2296" s="498"/>
      <c r="P2296" s="431" t="s">
        <v>6711</v>
      </c>
    </row>
    <row r="2297" spans="1:16" ht="13.5" hidden="1" customHeight="1" outlineLevel="1" x14ac:dyDescent="0.2">
      <c r="A2297" s="233">
        <v>0</v>
      </c>
      <c r="B2297" s="233">
        <v>16</v>
      </c>
      <c r="C2297" s="233">
        <v>13</v>
      </c>
      <c r="D2297" s="234">
        <v>0</v>
      </c>
      <c r="E2297" s="234">
        <v>5</v>
      </c>
      <c r="G2297" s="506"/>
      <c r="H2297" s="481" t="s">
        <v>38</v>
      </c>
      <c r="I2297" s="445" t="s">
        <v>5593</v>
      </c>
      <c r="J2297" s="483" t="s">
        <v>2605</v>
      </c>
      <c r="K2297" s="484"/>
      <c r="L2297" s="485"/>
      <c r="M2297" s="485"/>
      <c r="N2297" s="449"/>
      <c r="O2297" s="486"/>
      <c r="P2297" s="429"/>
    </row>
    <row r="2298" spans="1:16" ht="13.5" hidden="1" customHeight="1" outlineLevel="2" x14ac:dyDescent="0.2">
      <c r="A2298" s="233">
        <v>0</v>
      </c>
      <c r="B2298" s="233">
        <v>16</v>
      </c>
      <c r="C2298" s="233">
        <v>13</v>
      </c>
      <c r="D2298" s="234">
        <v>1</v>
      </c>
      <c r="E2298" s="234">
        <v>0</v>
      </c>
      <c r="G2298" s="507"/>
      <c r="H2298" s="487" t="s">
        <v>1237</v>
      </c>
      <c r="I2298" s="452" t="s">
        <v>5594</v>
      </c>
      <c r="J2298" s="489" t="s">
        <v>22</v>
      </c>
      <c r="K2298" s="490"/>
      <c r="L2298" s="491"/>
      <c r="M2298" s="491"/>
      <c r="N2298" s="456"/>
      <c r="O2298" s="492"/>
      <c r="P2298" s="430"/>
    </row>
    <row r="2299" spans="1:16" ht="13.5" hidden="1" customHeight="1" outlineLevel="3" x14ac:dyDescent="0.2">
      <c r="A2299" s="233">
        <v>0</v>
      </c>
      <c r="B2299" s="233">
        <v>16</v>
      </c>
      <c r="C2299" s="233">
        <v>13</v>
      </c>
      <c r="D2299" s="234">
        <v>1</v>
      </c>
      <c r="E2299" s="234">
        <v>1</v>
      </c>
      <c r="G2299" s="508" t="s">
        <v>44</v>
      </c>
      <c r="H2299" s="493" t="s">
        <v>1238</v>
      </c>
      <c r="I2299" s="460" t="s">
        <v>5595</v>
      </c>
      <c r="J2299" s="495" t="s">
        <v>2505</v>
      </c>
      <c r="K2299" s="496" t="s">
        <v>641</v>
      </c>
      <c r="L2299" s="497" t="e">
        <v>#REF!</v>
      </c>
      <c r="M2299" s="497">
        <v>44.585233333333335</v>
      </c>
      <c r="N2299" s="464"/>
      <c r="O2299" s="498"/>
      <c r="P2299" s="431" t="s">
        <v>6711</v>
      </c>
    </row>
    <row r="2300" spans="1:16" ht="13.5" hidden="1" customHeight="1" outlineLevel="3" x14ac:dyDescent="0.2">
      <c r="A2300" s="233">
        <v>0</v>
      </c>
      <c r="B2300" s="233">
        <v>16</v>
      </c>
      <c r="C2300" s="233">
        <v>13</v>
      </c>
      <c r="D2300" s="234">
        <v>1</v>
      </c>
      <c r="E2300" s="234">
        <v>2</v>
      </c>
      <c r="G2300" s="508" t="s">
        <v>44</v>
      </c>
      <c r="H2300" s="493" t="s">
        <v>1238</v>
      </c>
      <c r="I2300" s="460" t="s">
        <v>5596</v>
      </c>
      <c r="J2300" s="495" t="s">
        <v>613</v>
      </c>
      <c r="K2300" s="496" t="s">
        <v>641</v>
      </c>
      <c r="L2300" s="497" t="e">
        <v>#REF!</v>
      </c>
      <c r="M2300" s="497">
        <v>30.185233333333336</v>
      </c>
      <c r="N2300" s="464"/>
      <c r="O2300" s="498" t="s">
        <v>2589</v>
      </c>
      <c r="P2300" s="431" t="s">
        <v>6711</v>
      </c>
    </row>
    <row r="2301" spans="1:16" ht="13.5" hidden="1" customHeight="1" outlineLevel="2" x14ac:dyDescent="0.2">
      <c r="A2301" s="233">
        <v>0</v>
      </c>
      <c r="B2301" s="233">
        <v>16</v>
      </c>
      <c r="C2301" s="233">
        <v>13</v>
      </c>
      <c r="D2301" s="234">
        <v>2</v>
      </c>
      <c r="E2301" s="234">
        <v>0</v>
      </c>
      <c r="G2301" s="507"/>
      <c r="H2301" s="487" t="s">
        <v>1237</v>
      </c>
      <c r="I2301" s="452" t="s">
        <v>5597</v>
      </c>
      <c r="J2301" s="453" t="s">
        <v>2347</v>
      </c>
      <c r="K2301" s="490"/>
      <c r="L2301" s="491"/>
      <c r="M2301" s="491"/>
      <c r="N2301" s="456">
        <v>6689.5106288888901</v>
      </c>
      <c r="O2301" s="492"/>
      <c r="P2301" s="430"/>
    </row>
    <row r="2302" spans="1:16" ht="13.5" hidden="1" customHeight="1" outlineLevel="3" x14ac:dyDescent="0.2">
      <c r="A2302" s="233">
        <v>0</v>
      </c>
      <c r="B2302" s="233">
        <v>16</v>
      </c>
      <c r="C2302" s="233">
        <v>13</v>
      </c>
      <c r="D2302" s="234">
        <v>2</v>
      </c>
      <c r="E2302" s="234">
        <v>1</v>
      </c>
      <c r="G2302" s="508" t="s">
        <v>44</v>
      </c>
      <c r="H2302" s="493" t="s">
        <v>1238</v>
      </c>
      <c r="I2302" s="460" t="s">
        <v>5598</v>
      </c>
      <c r="J2302" s="495" t="s">
        <v>602</v>
      </c>
      <c r="K2302" s="496" t="s">
        <v>641</v>
      </c>
      <c r="L2302" s="497">
        <v>134</v>
      </c>
      <c r="M2302" s="497">
        <v>49.921721111111111</v>
      </c>
      <c r="N2302" s="464">
        <v>6689.5106288888901</v>
      </c>
      <c r="O2302" s="498" t="s">
        <v>2506</v>
      </c>
      <c r="P2302" s="431" t="s">
        <v>6711</v>
      </c>
    </row>
    <row r="2303" spans="1:16" ht="13.5" hidden="1" customHeight="1" outlineLevel="2" x14ac:dyDescent="0.2">
      <c r="A2303" s="233">
        <v>0</v>
      </c>
      <c r="B2303" s="233">
        <v>16</v>
      </c>
      <c r="C2303" s="233">
        <v>13</v>
      </c>
      <c r="D2303" s="234">
        <v>3</v>
      </c>
      <c r="E2303" s="234">
        <v>0</v>
      </c>
      <c r="G2303" s="507"/>
      <c r="H2303" s="487" t="s">
        <v>1237</v>
      </c>
      <c r="I2303" s="452" t="s">
        <v>5599</v>
      </c>
      <c r="J2303" s="489" t="s">
        <v>2277</v>
      </c>
      <c r="K2303" s="490"/>
      <c r="L2303" s="491"/>
      <c r="M2303" s="491"/>
      <c r="N2303" s="456"/>
      <c r="O2303" s="492"/>
      <c r="P2303" s="430"/>
    </row>
    <row r="2304" spans="1:16" ht="13.5" hidden="1" customHeight="1" outlineLevel="3" x14ac:dyDescent="0.2">
      <c r="A2304" s="233">
        <v>0</v>
      </c>
      <c r="B2304" s="233">
        <v>16</v>
      </c>
      <c r="C2304" s="233">
        <v>13</v>
      </c>
      <c r="D2304" s="234">
        <v>3</v>
      </c>
      <c r="E2304" s="234">
        <v>1</v>
      </c>
      <c r="G2304" s="508" t="s">
        <v>48</v>
      </c>
      <c r="H2304" s="493" t="s">
        <v>1238</v>
      </c>
      <c r="I2304" s="460" t="s">
        <v>5600</v>
      </c>
      <c r="J2304" s="495" t="s">
        <v>1816</v>
      </c>
      <c r="K2304" s="496" t="s">
        <v>641</v>
      </c>
      <c r="L2304" s="497" t="e">
        <v>#REF!</v>
      </c>
      <c r="M2304" s="497">
        <v>58.073</v>
      </c>
      <c r="N2304" s="464"/>
      <c r="O2304" s="498"/>
      <c r="P2304" s="431" t="s">
        <v>6711</v>
      </c>
    </row>
    <row r="2305" spans="1:16" ht="13.5" hidden="1" customHeight="1" outlineLevel="3" x14ac:dyDescent="0.2">
      <c r="A2305" s="233">
        <v>0</v>
      </c>
      <c r="B2305" s="233">
        <v>16</v>
      </c>
      <c r="C2305" s="233">
        <v>13</v>
      </c>
      <c r="D2305" s="234">
        <v>3</v>
      </c>
      <c r="E2305" s="234">
        <v>2</v>
      </c>
      <c r="G2305" s="508" t="s">
        <v>48</v>
      </c>
      <c r="H2305" s="493" t="s">
        <v>1238</v>
      </c>
      <c r="I2305" s="460" t="s">
        <v>5601</v>
      </c>
      <c r="J2305" s="495" t="s">
        <v>2511</v>
      </c>
      <c r="K2305" s="496" t="s">
        <v>641</v>
      </c>
      <c r="L2305" s="497" t="e">
        <v>#REF!</v>
      </c>
      <c r="M2305" s="497">
        <v>229.82760000000005</v>
      </c>
      <c r="N2305" s="464"/>
      <c r="O2305" s="498"/>
      <c r="P2305" s="431" t="s">
        <v>6711</v>
      </c>
    </row>
    <row r="2306" spans="1:16" ht="13.5" hidden="1" customHeight="1" outlineLevel="3" x14ac:dyDescent="0.2">
      <c r="A2306" s="233">
        <v>0</v>
      </c>
      <c r="B2306" s="233">
        <v>16</v>
      </c>
      <c r="C2306" s="233">
        <v>13</v>
      </c>
      <c r="D2306" s="234">
        <v>3</v>
      </c>
      <c r="E2306" s="234">
        <v>3</v>
      </c>
      <c r="G2306" s="508" t="s">
        <v>48</v>
      </c>
      <c r="H2306" s="493" t="s">
        <v>1238</v>
      </c>
      <c r="I2306" s="460" t="s">
        <v>5602</v>
      </c>
      <c r="J2306" s="495" t="s">
        <v>2512</v>
      </c>
      <c r="K2306" s="496" t="s">
        <v>641</v>
      </c>
      <c r="L2306" s="497" t="e">
        <v>#REF!</v>
      </c>
      <c r="M2306" s="497">
        <v>141.82760000000002</v>
      </c>
      <c r="N2306" s="464"/>
      <c r="O2306" s="498"/>
      <c r="P2306" s="431" t="s">
        <v>6711</v>
      </c>
    </row>
    <row r="2307" spans="1:16" ht="13.5" hidden="1" customHeight="1" outlineLevel="2" x14ac:dyDescent="0.2">
      <c r="A2307" s="233">
        <v>0</v>
      </c>
      <c r="B2307" s="233">
        <v>16</v>
      </c>
      <c r="C2307" s="233">
        <v>13</v>
      </c>
      <c r="D2307" s="234">
        <v>4</v>
      </c>
      <c r="E2307" s="234">
        <v>0</v>
      </c>
      <c r="G2307" s="507"/>
      <c r="H2307" s="487" t="s">
        <v>1237</v>
      </c>
      <c r="I2307" s="452" t="s">
        <v>5603</v>
      </c>
      <c r="J2307" s="489" t="s">
        <v>2349</v>
      </c>
      <c r="K2307" s="490"/>
      <c r="L2307" s="491"/>
      <c r="M2307" s="491"/>
      <c r="N2307" s="456"/>
      <c r="O2307" s="492"/>
      <c r="P2307" s="430"/>
    </row>
    <row r="2308" spans="1:16" ht="13.5" hidden="1" customHeight="1" outlineLevel="3" x14ac:dyDescent="0.2">
      <c r="A2308" s="233">
        <v>0</v>
      </c>
      <c r="B2308" s="233">
        <v>16</v>
      </c>
      <c r="C2308" s="233">
        <v>13</v>
      </c>
      <c r="D2308" s="234">
        <v>4</v>
      </c>
      <c r="E2308" s="234">
        <v>1</v>
      </c>
      <c r="G2308" s="508" t="s">
        <v>48</v>
      </c>
      <c r="H2308" s="493" t="s">
        <v>1238</v>
      </c>
      <c r="I2308" s="460" t="s">
        <v>5604</v>
      </c>
      <c r="J2308" s="495" t="s">
        <v>2558</v>
      </c>
      <c r="K2308" s="496" t="s">
        <v>641</v>
      </c>
      <c r="L2308" s="497" t="e">
        <v>#REF!</v>
      </c>
      <c r="M2308" s="497">
        <v>898.24550000000011</v>
      </c>
      <c r="N2308" s="464"/>
      <c r="O2308" s="498"/>
      <c r="P2308" s="431" t="s">
        <v>6711</v>
      </c>
    </row>
    <row r="2309" spans="1:16" ht="13.5" hidden="1" customHeight="1" outlineLevel="3" x14ac:dyDescent="0.2">
      <c r="A2309" s="233">
        <v>0</v>
      </c>
      <c r="B2309" s="233">
        <v>16</v>
      </c>
      <c r="C2309" s="233">
        <v>13</v>
      </c>
      <c r="D2309" s="234">
        <v>4</v>
      </c>
      <c r="E2309" s="234">
        <v>2</v>
      </c>
      <c r="G2309" s="508" t="s">
        <v>48</v>
      </c>
      <c r="H2309" s="493" t="s">
        <v>1238</v>
      </c>
      <c r="I2309" s="460" t="s">
        <v>5605</v>
      </c>
      <c r="J2309" s="495" t="s">
        <v>2562</v>
      </c>
      <c r="K2309" s="496" t="s">
        <v>641</v>
      </c>
      <c r="L2309" s="497" t="e">
        <v>#REF!</v>
      </c>
      <c r="M2309" s="497">
        <v>1448.2455000000002</v>
      </c>
      <c r="N2309" s="464"/>
      <c r="O2309" s="498"/>
      <c r="P2309" s="431" t="s">
        <v>6711</v>
      </c>
    </row>
    <row r="2310" spans="1:16" ht="13.5" hidden="1" customHeight="1" outlineLevel="2" x14ac:dyDescent="0.2">
      <c r="A2310" s="233">
        <v>0</v>
      </c>
      <c r="B2310" s="233">
        <v>16</v>
      </c>
      <c r="C2310" s="233">
        <v>13</v>
      </c>
      <c r="D2310" s="234">
        <v>5</v>
      </c>
      <c r="E2310" s="234">
        <v>0</v>
      </c>
      <c r="G2310" s="507"/>
      <c r="H2310" s="487" t="s">
        <v>1237</v>
      </c>
      <c r="I2310" s="452" t="s">
        <v>5606</v>
      </c>
      <c r="J2310" s="489" t="s">
        <v>2350</v>
      </c>
      <c r="K2310" s="490"/>
      <c r="L2310" s="491"/>
      <c r="M2310" s="491"/>
      <c r="N2310" s="456"/>
      <c r="O2310" s="492"/>
      <c r="P2310" s="430"/>
    </row>
    <row r="2311" spans="1:16" ht="13.5" hidden="1" customHeight="1" outlineLevel="3" x14ac:dyDescent="0.2">
      <c r="A2311" s="233">
        <v>0</v>
      </c>
      <c r="B2311" s="233">
        <v>16</v>
      </c>
      <c r="C2311" s="233">
        <v>13</v>
      </c>
      <c r="D2311" s="234">
        <v>5</v>
      </c>
      <c r="E2311" s="234">
        <v>1</v>
      </c>
      <c r="G2311" s="508" t="s">
        <v>48</v>
      </c>
      <c r="H2311" s="493" t="s">
        <v>1238</v>
      </c>
      <c r="I2311" s="460" t="s">
        <v>5607</v>
      </c>
      <c r="J2311" s="495" t="s">
        <v>1500</v>
      </c>
      <c r="K2311" s="496" t="s">
        <v>787</v>
      </c>
      <c r="L2311" s="497" t="e">
        <v>#REF!</v>
      </c>
      <c r="M2311" s="497">
        <v>10.114274999999999</v>
      </c>
      <c r="N2311" s="464"/>
      <c r="O2311" s="498"/>
      <c r="P2311" s="431" t="s">
        <v>6711</v>
      </c>
    </row>
    <row r="2312" spans="1:16" ht="13.5" hidden="1" customHeight="1" outlineLevel="3" x14ac:dyDescent="0.2">
      <c r="A2312" s="233">
        <v>0</v>
      </c>
      <c r="B2312" s="233">
        <v>16</v>
      </c>
      <c r="C2312" s="233">
        <v>13</v>
      </c>
      <c r="D2312" s="234">
        <v>5</v>
      </c>
      <c r="E2312" s="234">
        <v>2</v>
      </c>
      <c r="G2312" s="508" t="s">
        <v>48</v>
      </c>
      <c r="H2312" s="493" t="s">
        <v>1238</v>
      </c>
      <c r="I2312" s="460" t="s">
        <v>5608</v>
      </c>
      <c r="J2312" s="495" t="s">
        <v>713</v>
      </c>
      <c r="K2312" s="496" t="s">
        <v>787</v>
      </c>
      <c r="L2312" s="497" t="e">
        <v>#REF!</v>
      </c>
      <c r="M2312" s="497">
        <v>43.820583333333332</v>
      </c>
      <c r="N2312" s="464"/>
      <c r="O2312" s="498"/>
      <c r="P2312" s="431" t="s">
        <v>6711</v>
      </c>
    </row>
    <row r="2313" spans="1:16" ht="13.5" hidden="1" customHeight="1" outlineLevel="2" x14ac:dyDescent="0.2">
      <c r="A2313" s="233">
        <v>0</v>
      </c>
      <c r="B2313" s="233">
        <v>16</v>
      </c>
      <c r="C2313" s="233">
        <v>13</v>
      </c>
      <c r="D2313" s="234">
        <v>6</v>
      </c>
      <c r="E2313" s="234">
        <v>0</v>
      </c>
      <c r="G2313" s="507"/>
      <c r="H2313" s="487" t="s">
        <v>1237</v>
      </c>
      <c r="I2313" s="452" t="s">
        <v>5609</v>
      </c>
      <c r="J2313" s="489" t="s">
        <v>1262</v>
      </c>
      <c r="K2313" s="490"/>
      <c r="L2313" s="491"/>
      <c r="M2313" s="491"/>
      <c r="N2313" s="456"/>
      <c r="O2313" s="492"/>
      <c r="P2313" s="430"/>
    </row>
    <row r="2314" spans="1:16" ht="13.5" hidden="1" customHeight="1" outlineLevel="3" x14ac:dyDescent="0.2">
      <c r="A2314" s="233">
        <v>0</v>
      </c>
      <c r="B2314" s="233">
        <v>16</v>
      </c>
      <c r="C2314" s="233">
        <v>13</v>
      </c>
      <c r="D2314" s="234">
        <v>6</v>
      </c>
      <c r="E2314" s="234">
        <v>1</v>
      </c>
      <c r="G2314" s="508" t="s">
        <v>44</v>
      </c>
      <c r="H2314" s="493" t="s">
        <v>1238</v>
      </c>
      <c r="I2314" s="460" t="s">
        <v>5610</v>
      </c>
      <c r="J2314" s="495" t="s">
        <v>734</v>
      </c>
      <c r="K2314" s="496" t="s">
        <v>641</v>
      </c>
      <c r="L2314" s="497" t="e">
        <v>#REF!</v>
      </c>
      <c r="M2314" s="497">
        <v>40</v>
      </c>
      <c r="N2314" s="464"/>
      <c r="O2314" s="498"/>
      <c r="P2314" s="431" t="s">
        <v>6711</v>
      </c>
    </row>
    <row r="2315" spans="1:16" ht="13.5" hidden="1" customHeight="1" outlineLevel="3" x14ac:dyDescent="0.2">
      <c r="A2315" s="233">
        <v>0</v>
      </c>
      <c r="B2315" s="233">
        <v>16</v>
      </c>
      <c r="C2315" s="233">
        <v>13</v>
      </c>
      <c r="D2315" s="234">
        <v>6</v>
      </c>
      <c r="E2315" s="234">
        <v>2</v>
      </c>
      <c r="G2315" s="508" t="s">
        <v>44</v>
      </c>
      <c r="H2315" s="493" t="s">
        <v>1238</v>
      </c>
      <c r="I2315" s="460" t="s">
        <v>5611</v>
      </c>
      <c r="J2315" s="495" t="s">
        <v>733</v>
      </c>
      <c r="K2315" s="496" t="s">
        <v>641</v>
      </c>
      <c r="L2315" s="497" t="e">
        <v>#REF!</v>
      </c>
      <c r="M2315" s="497">
        <v>40</v>
      </c>
      <c r="N2315" s="464"/>
      <c r="O2315" s="498"/>
      <c r="P2315" s="431" t="s">
        <v>6711</v>
      </c>
    </row>
    <row r="2316" spans="1:16" ht="13.5" hidden="1" customHeight="1" outlineLevel="3" x14ac:dyDescent="0.2">
      <c r="A2316" s="233">
        <v>0</v>
      </c>
      <c r="B2316" s="233">
        <v>16</v>
      </c>
      <c r="C2316" s="233">
        <v>13</v>
      </c>
      <c r="D2316" s="234">
        <v>6</v>
      </c>
      <c r="E2316" s="234">
        <v>3</v>
      </c>
      <c r="G2316" s="508" t="s">
        <v>48</v>
      </c>
      <c r="H2316" s="493" t="s">
        <v>1238</v>
      </c>
      <c r="I2316" s="460" t="s">
        <v>5612</v>
      </c>
      <c r="J2316" s="495" t="s">
        <v>737</v>
      </c>
      <c r="K2316" s="496" t="s">
        <v>641</v>
      </c>
      <c r="L2316" s="497" t="e">
        <v>#REF!</v>
      </c>
      <c r="M2316" s="497">
        <v>75</v>
      </c>
      <c r="N2316" s="464"/>
      <c r="O2316" s="498"/>
      <c r="P2316" s="431" t="s">
        <v>6711</v>
      </c>
    </row>
    <row r="2317" spans="1:16" ht="13.5" hidden="1" customHeight="1" outlineLevel="3" x14ac:dyDescent="0.2">
      <c r="A2317" s="233">
        <v>0</v>
      </c>
      <c r="B2317" s="233">
        <v>16</v>
      </c>
      <c r="C2317" s="233">
        <v>13</v>
      </c>
      <c r="D2317" s="234">
        <v>6</v>
      </c>
      <c r="E2317" s="234">
        <v>4</v>
      </c>
      <c r="G2317" s="508" t="s">
        <v>48</v>
      </c>
      <c r="H2317" s="493" t="s">
        <v>1238</v>
      </c>
      <c r="I2317" s="460" t="s">
        <v>5613</v>
      </c>
      <c r="J2317" s="495" t="s">
        <v>2592</v>
      </c>
      <c r="K2317" s="496" t="s">
        <v>641</v>
      </c>
      <c r="L2317" s="497" t="e">
        <v>#REF!</v>
      </c>
      <c r="M2317" s="497">
        <v>85</v>
      </c>
      <c r="N2317" s="464"/>
      <c r="O2317" s="498"/>
      <c r="P2317" s="431" t="s">
        <v>6711</v>
      </c>
    </row>
    <row r="2318" spans="1:16" ht="13.5" hidden="1" customHeight="1" outlineLevel="3" x14ac:dyDescent="0.2">
      <c r="A2318" s="233">
        <v>0</v>
      </c>
      <c r="B2318" s="233">
        <v>16</v>
      </c>
      <c r="C2318" s="233">
        <v>13</v>
      </c>
      <c r="D2318" s="234">
        <v>6</v>
      </c>
      <c r="E2318" s="234">
        <v>5</v>
      </c>
      <c r="G2318" s="508" t="s">
        <v>48</v>
      </c>
      <c r="H2318" s="493" t="s">
        <v>1238</v>
      </c>
      <c r="I2318" s="460" t="s">
        <v>5614</v>
      </c>
      <c r="J2318" s="495" t="s">
        <v>2591</v>
      </c>
      <c r="K2318" s="496" t="s">
        <v>641</v>
      </c>
      <c r="L2318" s="497" t="e">
        <v>#REF!</v>
      </c>
      <c r="M2318" s="497">
        <v>85</v>
      </c>
      <c r="N2318" s="464"/>
      <c r="O2318" s="498"/>
      <c r="P2318" s="431" t="s">
        <v>6711</v>
      </c>
    </row>
    <row r="2319" spans="1:16" ht="13.5" hidden="1" customHeight="1" outlineLevel="3" x14ac:dyDescent="0.2">
      <c r="A2319" s="233">
        <v>0</v>
      </c>
      <c r="B2319" s="233">
        <v>16</v>
      </c>
      <c r="C2319" s="233">
        <v>13</v>
      </c>
      <c r="D2319" s="234">
        <v>6</v>
      </c>
      <c r="E2319" s="234">
        <v>6</v>
      </c>
      <c r="G2319" s="508" t="s">
        <v>48</v>
      </c>
      <c r="H2319" s="493" t="s">
        <v>1238</v>
      </c>
      <c r="I2319" s="460" t="s">
        <v>5615</v>
      </c>
      <c r="J2319" s="495" t="s">
        <v>742</v>
      </c>
      <c r="K2319" s="496" t="s">
        <v>787</v>
      </c>
      <c r="L2319" s="497" t="e">
        <v>#REF!</v>
      </c>
      <c r="M2319" s="497">
        <v>28</v>
      </c>
      <c r="N2319" s="464"/>
      <c r="O2319" s="498"/>
      <c r="P2319" s="431" t="s">
        <v>6711</v>
      </c>
    </row>
    <row r="2320" spans="1:16" ht="13.5" hidden="1" customHeight="1" outlineLevel="3" x14ac:dyDescent="0.2">
      <c r="A2320" s="233">
        <v>0</v>
      </c>
      <c r="B2320" s="233">
        <v>16</v>
      </c>
      <c r="C2320" s="233">
        <v>13</v>
      </c>
      <c r="D2320" s="234">
        <v>6</v>
      </c>
      <c r="E2320" s="234">
        <v>7</v>
      </c>
      <c r="G2320" s="508" t="s">
        <v>48</v>
      </c>
      <c r="H2320" s="493" t="s">
        <v>1238</v>
      </c>
      <c r="I2320" s="460" t="s">
        <v>5616</v>
      </c>
      <c r="J2320" s="495" t="s">
        <v>743</v>
      </c>
      <c r="K2320" s="496" t="s">
        <v>787</v>
      </c>
      <c r="L2320" s="497" t="e">
        <v>#REF!</v>
      </c>
      <c r="M2320" s="497">
        <v>24</v>
      </c>
      <c r="N2320" s="464"/>
      <c r="O2320" s="498"/>
      <c r="P2320" s="431" t="s">
        <v>6711</v>
      </c>
    </row>
    <row r="2321" spans="1:16" ht="13.5" hidden="1" customHeight="1" outlineLevel="1" x14ac:dyDescent="0.2">
      <c r="A2321" s="233">
        <v>0</v>
      </c>
      <c r="B2321" s="233">
        <v>16</v>
      </c>
      <c r="C2321" s="233">
        <v>14</v>
      </c>
      <c r="D2321" s="234">
        <v>0</v>
      </c>
      <c r="E2321" s="234">
        <v>7</v>
      </c>
      <c r="G2321" s="506"/>
      <c r="H2321" s="481" t="s">
        <v>38</v>
      </c>
      <c r="I2321" s="445" t="s">
        <v>5617</v>
      </c>
      <c r="J2321" s="483" t="s">
        <v>2606</v>
      </c>
      <c r="K2321" s="484"/>
      <c r="L2321" s="485"/>
      <c r="M2321" s="485"/>
      <c r="N2321" s="449"/>
      <c r="O2321" s="486"/>
      <c r="P2321" s="429"/>
    </row>
    <row r="2322" spans="1:16" ht="13.5" hidden="1" customHeight="1" outlineLevel="2" x14ac:dyDescent="0.2">
      <c r="A2322" s="233">
        <v>0</v>
      </c>
      <c r="B2322" s="233">
        <v>16</v>
      </c>
      <c r="C2322" s="233">
        <v>14</v>
      </c>
      <c r="D2322" s="234">
        <v>1</v>
      </c>
      <c r="E2322" s="234">
        <v>0</v>
      </c>
      <c r="G2322" s="507"/>
      <c r="H2322" s="487" t="s">
        <v>1237</v>
      </c>
      <c r="I2322" s="452" t="s">
        <v>5618</v>
      </c>
      <c r="J2322" s="489" t="s">
        <v>22</v>
      </c>
      <c r="K2322" s="490"/>
      <c r="L2322" s="491"/>
      <c r="M2322" s="491"/>
      <c r="N2322" s="456"/>
      <c r="O2322" s="492"/>
      <c r="P2322" s="430"/>
    </row>
    <row r="2323" spans="1:16" ht="13.5" hidden="1" customHeight="1" outlineLevel="3" x14ac:dyDescent="0.2">
      <c r="A2323" s="233">
        <v>0</v>
      </c>
      <c r="B2323" s="233">
        <v>16</v>
      </c>
      <c r="C2323" s="233">
        <v>14</v>
      </c>
      <c r="D2323" s="234">
        <v>1</v>
      </c>
      <c r="E2323" s="234">
        <v>1</v>
      </c>
      <c r="G2323" s="508" t="s">
        <v>44</v>
      </c>
      <c r="H2323" s="493" t="s">
        <v>1238</v>
      </c>
      <c r="I2323" s="460" t="s">
        <v>5619</v>
      </c>
      <c r="J2323" s="495" t="s">
        <v>2505</v>
      </c>
      <c r="K2323" s="496" t="s">
        <v>641</v>
      </c>
      <c r="L2323" s="497" t="e">
        <v>#REF!</v>
      </c>
      <c r="M2323" s="497">
        <v>44.585233333333335</v>
      </c>
      <c r="N2323" s="464"/>
      <c r="O2323" s="498"/>
      <c r="P2323" s="431" t="s">
        <v>6711</v>
      </c>
    </row>
    <row r="2324" spans="1:16" ht="13.5" hidden="1" customHeight="1" outlineLevel="2" x14ac:dyDescent="0.2">
      <c r="A2324" s="233">
        <v>0</v>
      </c>
      <c r="B2324" s="233">
        <v>16</v>
      </c>
      <c r="C2324" s="233">
        <v>14</v>
      </c>
      <c r="D2324" s="234">
        <v>2</v>
      </c>
      <c r="E2324" s="234">
        <v>0</v>
      </c>
      <c r="G2324" s="507"/>
      <c r="H2324" s="487" t="s">
        <v>1237</v>
      </c>
      <c r="I2324" s="452" t="s">
        <v>5620</v>
      </c>
      <c r="J2324" s="489" t="s">
        <v>2277</v>
      </c>
      <c r="K2324" s="490"/>
      <c r="L2324" s="491"/>
      <c r="M2324" s="491"/>
      <c r="N2324" s="456"/>
      <c r="O2324" s="492"/>
      <c r="P2324" s="430"/>
    </row>
    <row r="2325" spans="1:16" ht="13.5" hidden="1" customHeight="1" outlineLevel="3" x14ac:dyDescent="0.2">
      <c r="A2325" s="233">
        <v>0</v>
      </c>
      <c r="B2325" s="233">
        <v>16</v>
      </c>
      <c r="C2325" s="233">
        <v>14</v>
      </c>
      <c r="D2325" s="234">
        <v>2</v>
      </c>
      <c r="E2325" s="234">
        <v>1</v>
      </c>
      <c r="G2325" s="508" t="s">
        <v>48</v>
      </c>
      <c r="H2325" s="493" t="s">
        <v>1238</v>
      </c>
      <c r="I2325" s="460" t="s">
        <v>5621</v>
      </c>
      <c r="J2325" s="495" t="s">
        <v>1816</v>
      </c>
      <c r="K2325" s="496" t="s">
        <v>641</v>
      </c>
      <c r="L2325" s="497" t="e">
        <v>#REF!</v>
      </c>
      <c r="M2325" s="497">
        <v>58.073</v>
      </c>
      <c r="N2325" s="464"/>
      <c r="O2325" s="498"/>
      <c r="P2325" s="431" t="s">
        <v>6711</v>
      </c>
    </row>
    <row r="2326" spans="1:16" ht="13.5" hidden="1" customHeight="1" outlineLevel="3" x14ac:dyDescent="0.2">
      <c r="A2326" s="233">
        <v>0</v>
      </c>
      <c r="B2326" s="233">
        <v>16</v>
      </c>
      <c r="C2326" s="233">
        <v>14</v>
      </c>
      <c r="D2326" s="234">
        <v>2</v>
      </c>
      <c r="E2326" s="234">
        <v>2</v>
      </c>
      <c r="G2326" s="508" t="s">
        <v>48</v>
      </c>
      <c r="H2326" s="493" t="s">
        <v>1238</v>
      </c>
      <c r="I2326" s="460" t="s">
        <v>5622</v>
      </c>
      <c r="J2326" s="495" t="s">
        <v>2590</v>
      </c>
      <c r="K2326" s="496" t="s">
        <v>641</v>
      </c>
      <c r="L2326" s="497" t="e">
        <v>#REF!</v>
      </c>
      <c r="M2326" s="497">
        <v>117.6276</v>
      </c>
      <c r="N2326" s="464"/>
      <c r="O2326" s="498"/>
      <c r="P2326" s="431" t="s">
        <v>6711</v>
      </c>
    </row>
    <row r="2327" spans="1:16" ht="13.5" hidden="1" customHeight="1" outlineLevel="2" x14ac:dyDescent="0.2">
      <c r="A2327" s="233">
        <v>0</v>
      </c>
      <c r="B2327" s="233">
        <v>16</v>
      </c>
      <c r="C2327" s="233">
        <v>14</v>
      </c>
      <c r="D2327" s="234">
        <v>3</v>
      </c>
      <c r="E2327" s="234">
        <v>0</v>
      </c>
      <c r="G2327" s="507"/>
      <c r="H2327" s="487" t="s">
        <v>1237</v>
      </c>
      <c r="I2327" s="452" t="s">
        <v>5623</v>
      </c>
      <c r="J2327" s="489" t="s">
        <v>2350</v>
      </c>
      <c r="K2327" s="490"/>
      <c r="L2327" s="491"/>
      <c r="M2327" s="491"/>
      <c r="N2327" s="456"/>
      <c r="O2327" s="492"/>
      <c r="P2327" s="430"/>
    </row>
    <row r="2328" spans="1:16" ht="13.5" hidden="1" customHeight="1" outlineLevel="3" x14ac:dyDescent="0.2">
      <c r="A2328" s="233">
        <v>0</v>
      </c>
      <c r="B2328" s="233">
        <v>16</v>
      </c>
      <c r="C2328" s="233">
        <v>14</v>
      </c>
      <c r="D2328" s="234">
        <v>3</v>
      </c>
      <c r="E2328" s="234">
        <v>1</v>
      </c>
      <c r="G2328" s="508" t="s">
        <v>48</v>
      </c>
      <c r="H2328" s="493" t="s">
        <v>1238</v>
      </c>
      <c r="I2328" s="460" t="s">
        <v>5624</v>
      </c>
      <c r="J2328" s="495" t="s">
        <v>1500</v>
      </c>
      <c r="K2328" s="496" t="s">
        <v>787</v>
      </c>
      <c r="L2328" s="497" t="e">
        <v>#REF!</v>
      </c>
      <c r="M2328" s="497">
        <v>10.114274999999999</v>
      </c>
      <c r="N2328" s="464"/>
      <c r="O2328" s="498"/>
      <c r="P2328" s="431" t="s">
        <v>6711</v>
      </c>
    </row>
    <row r="2329" spans="1:16" ht="13.5" hidden="1" customHeight="1" outlineLevel="3" x14ac:dyDescent="0.2">
      <c r="A2329" s="233">
        <v>0</v>
      </c>
      <c r="B2329" s="233">
        <v>16</v>
      </c>
      <c r="C2329" s="233">
        <v>14</v>
      </c>
      <c r="D2329" s="234">
        <v>3</v>
      </c>
      <c r="E2329" s="234">
        <v>2</v>
      </c>
      <c r="G2329" s="508" t="s">
        <v>48</v>
      </c>
      <c r="H2329" s="493" t="s">
        <v>1238</v>
      </c>
      <c r="I2329" s="460" t="s">
        <v>5625</v>
      </c>
      <c r="J2329" s="495" t="s">
        <v>713</v>
      </c>
      <c r="K2329" s="496" t="s">
        <v>787</v>
      </c>
      <c r="L2329" s="497" t="e">
        <v>#REF!</v>
      </c>
      <c r="M2329" s="497">
        <v>43.820583333333332</v>
      </c>
      <c r="N2329" s="464"/>
      <c r="O2329" s="498"/>
      <c r="P2329" s="431" t="s">
        <v>6711</v>
      </c>
    </row>
    <row r="2330" spans="1:16" ht="13.5" hidden="1" customHeight="1" outlineLevel="2" x14ac:dyDescent="0.2">
      <c r="A2330" s="233">
        <v>0</v>
      </c>
      <c r="B2330" s="233">
        <v>16</v>
      </c>
      <c r="C2330" s="233">
        <v>14</v>
      </c>
      <c r="D2330" s="234">
        <v>4</v>
      </c>
      <c r="E2330" s="234">
        <v>0</v>
      </c>
      <c r="G2330" s="507"/>
      <c r="H2330" s="487" t="s">
        <v>1237</v>
      </c>
      <c r="I2330" s="452" t="s">
        <v>5626</v>
      </c>
      <c r="J2330" s="489" t="s">
        <v>1262</v>
      </c>
      <c r="K2330" s="490"/>
      <c r="L2330" s="491"/>
      <c r="M2330" s="491"/>
      <c r="N2330" s="456"/>
      <c r="O2330" s="492"/>
      <c r="P2330" s="430"/>
    </row>
    <row r="2331" spans="1:16" ht="13.5" hidden="1" customHeight="1" outlineLevel="3" x14ac:dyDescent="0.2">
      <c r="A2331" s="233">
        <v>0</v>
      </c>
      <c r="B2331" s="233">
        <v>16</v>
      </c>
      <c r="C2331" s="233">
        <v>14</v>
      </c>
      <c r="D2331" s="234">
        <v>4</v>
      </c>
      <c r="E2331" s="234">
        <v>1</v>
      </c>
      <c r="G2331" s="508" t="s">
        <v>44</v>
      </c>
      <c r="H2331" s="493" t="s">
        <v>1238</v>
      </c>
      <c r="I2331" s="460" t="s">
        <v>5627</v>
      </c>
      <c r="J2331" s="495" t="s">
        <v>734</v>
      </c>
      <c r="K2331" s="496" t="s">
        <v>641</v>
      </c>
      <c r="L2331" s="497" t="e">
        <v>#REF!</v>
      </c>
      <c r="M2331" s="497">
        <v>40</v>
      </c>
      <c r="N2331" s="464"/>
      <c r="O2331" s="498"/>
      <c r="P2331" s="431" t="s">
        <v>6711</v>
      </c>
    </row>
    <row r="2332" spans="1:16" ht="13.5" hidden="1" customHeight="1" outlineLevel="3" x14ac:dyDescent="0.2">
      <c r="A2332" s="233">
        <v>0</v>
      </c>
      <c r="B2332" s="233">
        <v>16</v>
      </c>
      <c r="C2332" s="233">
        <v>14</v>
      </c>
      <c r="D2332" s="234">
        <v>4</v>
      </c>
      <c r="E2332" s="234">
        <v>2</v>
      </c>
      <c r="G2332" s="508" t="s">
        <v>48</v>
      </c>
      <c r="H2332" s="493" t="s">
        <v>1238</v>
      </c>
      <c r="I2332" s="460" t="s">
        <v>5628</v>
      </c>
      <c r="J2332" s="495" t="s">
        <v>737</v>
      </c>
      <c r="K2332" s="496" t="s">
        <v>641</v>
      </c>
      <c r="L2332" s="497" t="e">
        <v>#REF!</v>
      </c>
      <c r="M2332" s="497">
        <v>75</v>
      </c>
      <c r="N2332" s="464"/>
      <c r="O2332" s="498"/>
      <c r="P2332" s="431" t="s">
        <v>6711</v>
      </c>
    </row>
    <row r="2333" spans="1:16" ht="13.5" hidden="1" customHeight="1" outlineLevel="3" x14ac:dyDescent="0.2">
      <c r="A2333" s="233">
        <v>0</v>
      </c>
      <c r="B2333" s="233">
        <v>16</v>
      </c>
      <c r="C2333" s="233">
        <v>14</v>
      </c>
      <c r="D2333" s="234">
        <v>4</v>
      </c>
      <c r="E2333" s="234">
        <v>3</v>
      </c>
      <c r="G2333" s="508" t="s">
        <v>48</v>
      </c>
      <c r="H2333" s="493" t="s">
        <v>1238</v>
      </c>
      <c r="I2333" s="460" t="s">
        <v>5629</v>
      </c>
      <c r="J2333" s="495" t="s">
        <v>742</v>
      </c>
      <c r="K2333" s="496" t="s">
        <v>787</v>
      </c>
      <c r="L2333" s="497" t="e">
        <v>#REF!</v>
      </c>
      <c r="M2333" s="497">
        <v>28</v>
      </c>
      <c r="N2333" s="464"/>
      <c r="O2333" s="498"/>
      <c r="P2333" s="431" t="s">
        <v>6711</v>
      </c>
    </row>
    <row r="2334" spans="1:16" ht="13.5" hidden="1" customHeight="1" outlineLevel="3" x14ac:dyDescent="0.2">
      <c r="A2334" s="233">
        <v>0</v>
      </c>
      <c r="B2334" s="233">
        <v>16</v>
      </c>
      <c r="C2334" s="233">
        <v>14</v>
      </c>
      <c r="D2334" s="234">
        <v>4</v>
      </c>
      <c r="E2334" s="234">
        <v>4</v>
      </c>
      <c r="G2334" s="508" t="s">
        <v>48</v>
      </c>
      <c r="H2334" s="493" t="s">
        <v>1238</v>
      </c>
      <c r="I2334" s="460" t="s">
        <v>5630</v>
      </c>
      <c r="J2334" s="495" t="s">
        <v>743</v>
      </c>
      <c r="K2334" s="496" t="s">
        <v>787</v>
      </c>
      <c r="L2334" s="497" t="e">
        <v>#REF!</v>
      </c>
      <c r="M2334" s="497">
        <v>24</v>
      </c>
      <c r="N2334" s="464"/>
      <c r="O2334" s="498"/>
      <c r="P2334" s="431" t="s">
        <v>6711</v>
      </c>
    </row>
    <row r="2335" spans="1:16" ht="13.5" hidden="1" customHeight="1" outlineLevel="1" x14ac:dyDescent="0.2">
      <c r="A2335" s="233">
        <v>0</v>
      </c>
      <c r="B2335" s="233">
        <v>16</v>
      </c>
      <c r="C2335" s="233">
        <v>15</v>
      </c>
      <c r="D2335" s="234">
        <v>0</v>
      </c>
      <c r="E2335" s="234">
        <v>4</v>
      </c>
      <c r="G2335" s="506"/>
      <c r="H2335" s="481" t="s">
        <v>38</v>
      </c>
      <c r="I2335" s="445" t="s">
        <v>5631</v>
      </c>
      <c r="J2335" s="483" t="s">
        <v>2607</v>
      </c>
      <c r="K2335" s="484"/>
      <c r="L2335" s="485"/>
      <c r="M2335" s="485"/>
      <c r="N2335" s="449"/>
      <c r="O2335" s="486"/>
      <c r="P2335" s="429"/>
    </row>
    <row r="2336" spans="1:16" ht="13.5" hidden="1" customHeight="1" outlineLevel="2" x14ac:dyDescent="0.2">
      <c r="A2336" s="233">
        <v>0</v>
      </c>
      <c r="B2336" s="233">
        <v>16</v>
      </c>
      <c r="C2336" s="233">
        <v>15</v>
      </c>
      <c r="D2336" s="234">
        <v>1</v>
      </c>
      <c r="E2336" s="234">
        <v>0</v>
      </c>
      <c r="G2336" s="507"/>
      <c r="H2336" s="487" t="s">
        <v>1237</v>
      </c>
      <c r="I2336" s="452" t="s">
        <v>5632</v>
      </c>
      <c r="J2336" s="489" t="s">
        <v>22</v>
      </c>
      <c r="K2336" s="490"/>
      <c r="L2336" s="491"/>
      <c r="M2336" s="491"/>
      <c r="N2336" s="456"/>
      <c r="O2336" s="492"/>
      <c r="P2336" s="430"/>
    </row>
    <row r="2337" spans="1:16" ht="13.5" hidden="1" customHeight="1" outlineLevel="3" x14ac:dyDescent="0.2">
      <c r="A2337" s="233">
        <v>0</v>
      </c>
      <c r="B2337" s="233">
        <v>16</v>
      </c>
      <c r="C2337" s="233">
        <v>15</v>
      </c>
      <c r="D2337" s="234">
        <v>1</v>
      </c>
      <c r="E2337" s="234">
        <v>1</v>
      </c>
      <c r="G2337" s="508" t="s">
        <v>44</v>
      </c>
      <c r="H2337" s="493" t="s">
        <v>1238</v>
      </c>
      <c r="I2337" s="460" t="s">
        <v>5633</v>
      </c>
      <c r="J2337" s="495" t="s">
        <v>2505</v>
      </c>
      <c r="K2337" s="496" t="s">
        <v>641</v>
      </c>
      <c r="L2337" s="497" t="e">
        <v>#REF!</v>
      </c>
      <c r="M2337" s="497">
        <v>44.585233333333335</v>
      </c>
      <c r="N2337" s="464"/>
      <c r="O2337" s="498"/>
      <c r="P2337" s="431" t="s">
        <v>6711</v>
      </c>
    </row>
    <row r="2338" spans="1:16" ht="13.5" hidden="1" customHeight="1" outlineLevel="2" x14ac:dyDescent="0.2">
      <c r="A2338" s="233">
        <v>0</v>
      </c>
      <c r="B2338" s="233">
        <v>16</v>
      </c>
      <c r="C2338" s="233">
        <v>15</v>
      </c>
      <c r="D2338" s="234">
        <v>2</v>
      </c>
      <c r="E2338" s="234">
        <v>0</v>
      </c>
      <c r="G2338" s="507"/>
      <c r="H2338" s="487" t="s">
        <v>1237</v>
      </c>
      <c r="I2338" s="452" t="s">
        <v>5634</v>
      </c>
      <c r="J2338" s="489" t="s">
        <v>1262</v>
      </c>
      <c r="K2338" s="490"/>
      <c r="L2338" s="491"/>
      <c r="M2338" s="491"/>
      <c r="N2338" s="456"/>
      <c r="O2338" s="492"/>
      <c r="P2338" s="430"/>
    </row>
    <row r="2339" spans="1:16" ht="13.5" hidden="1" customHeight="1" outlineLevel="3" x14ac:dyDescent="0.2">
      <c r="A2339" s="233">
        <v>0</v>
      </c>
      <c r="B2339" s="233">
        <v>16</v>
      </c>
      <c r="C2339" s="233">
        <v>15</v>
      </c>
      <c r="D2339" s="234">
        <v>2</v>
      </c>
      <c r="E2339" s="234">
        <v>1</v>
      </c>
      <c r="G2339" s="508" t="s">
        <v>44</v>
      </c>
      <c r="H2339" s="493" t="s">
        <v>1238</v>
      </c>
      <c r="I2339" s="460" t="s">
        <v>5635</v>
      </c>
      <c r="J2339" s="495" t="s">
        <v>734</v>
      </c>
      <c r="K2339" s="496" t="s">
        <v>641</v>
      </c>
      <c r="L2339" s="497" t="e">
        <v>#REF!</v>
      </c>
      <c r="M2339" s="497">
        <v>40</v>
      </c>
      <c r="N2339" s="464"/>
      <c r="O2339" s="498"/>
      <c r="P2339" s="431" t="s">
        <v>6711</v>
      </c>
    </row>
    <row r="2340" spans="1:16" ht="13.5" customHeight="1" collapsed="1" x14ac:dyDescent="0.2">
      <c r="A2340" s="233">
        <v>0</v>
      </c>
      <c r="B2340" s="233">
        <v>17</v>
      </c>
      <c r="C2340" s="233">
        <v>0</v>
      </c>
      <c r="D2340" s="234">
        <v>2</v>
      </c>
      <c r="E2340" s="234">
        <v>1</v>
      </c>
      <c r="F2340" s="237"/>
      <c r="G2340" s="504"/>
      <c r="H2340" s="476" t="s">
        <v>1236</v>
      </c>
      <c r="I2340" s="438" t="s">
        <v>5636</v>
      </c>
      <c r="J2340" s="505" t="s">
        <v>25</v>
      </c>
      <c r="K2340" s="478"/>
      <c r="L2340" s="479"/>
      <c r="M2340" s="479"/>
      <c r="N2340" s="442"/>
      <c r="O2340" s="480"/>
      <c r="P2340" s="428"/>
    </row>
    <row r="2341" spans="1:16" ht="13.5" hidden="1" customHeight="1" outlineLevel="1" x14ac:dyDescent="0.2">
      <c r="A2341" s="233">
        <v>0</v>
      </c>
      <c r="B2341" s="233">
        <v>17</v>
      </c>
      <c r="C2341" s="233">
        <v>1</v>
      </c>
      <c r="D2341" s="234">
        <v>0</v>
      </c>
      <c r="E2341" s="234">
        <v>1</v>
      </c>
      <c r="G2341" s="506"/>
      <c r="H2341" s="481" t="s">
        <v>38</v>
      </c>
      <c r="I2341" s="445" t="s">
        <v>5637</v>
      </c>
      <c r="J2341" s="483" t="s">
        <v>2608</v>
      </c>
      <c r="K2341" s="484"/>
      <c r="L2341" s="485"/>
      <c r="M2341" s="485"/>
      <c r="N2341" s="449"/>
      <c r="O2341" s="486"/>
      <c r="P2341" s="429"/>
    </row>
    <row r="2342" spans="1:16" ht="13.5" hidden="1" customHeight="1" outlineLevel="2" x14ac:dyDescent="0.2">
      <c r="A2342" s="233">
        <v>0</v>
      </c>
      <c r="B2342" s="233">
        <v>17</v>
      </c>
      <c r="C2342" s="233">
        <v>1</v>
      </c>
      <c r="D2342" s="234">
        <v>1</v>
      </c>
      <c r="E2342" s="234">
        <v>0</v>
      </c>
      <c r="G2342" s="507"/>
      <c r="H2342" s="487" t="s">
        <v>1237</v>
      </c>
      <c r="I2342" s="452" t="s">
        <v>5638</v>
      </c>
      <c r="J2342" s="489" t="s">
        <v>1551</v>
      </c>
      <c r="K2342" s="490"/>
      <c r="L2342" s="491"/>
      <c r="M2342" s="491"/>
      <c r="N2342" s="456"/>
      <c r="O2342" s="492"/>
      <c r="P2342" s="430"/>
    </row>
    <row r="2343" spans="1:16" ht="13.5" hidden="1" customHeight="1" outlineLevel="3" x14ac:dyDescent="0.2">
      <c r="A2343" s="233">
        <v>0</v>
      </c>
      <c r="B2343" s="233">
        <v>17</v>
      </c>
      <c r="C2343" s="233">
        <v>1</v>
      </c>
      <c r="D2343" s="234">
        <v>1</v>
      </c>
      <c r="E2343" s="234">
        <v>1</v>
      </c>
      <c r="G2343" s="508" t="s">
        <v>50</v>
      </c>
      <c r="H2343" s="493" t="s">
        <v>1238</v>
      </c>
      <c r="I2343" s="460" t="s">
        <v>5639</v>
      </c>
      <c r="J2343" s="495" t="s">
        <v>1542</v>
      </c>
      <c r="K2343" s="496" t="s">
        <v>641</v>
      </c>
      <c r="L2343" s="497" t="e">
        <v>#REF!</v>
      </c>
      <c r="M2343" s="497">
        <v>1.7585555555555554</v>
      </c>
      <c r="N2343" s="464"/>
      <c r="O2343" s="498"/>
      <c r="P2343" s="431" t="s">
        <v>6711</v>
      </c>
    </row>
    <row r="2344" spans="1:16" ht="13.5" hidden="1" customHeight="1" outlineLevel="3" x14ac:dyDescent="0.2">
      <c r="A2344" s="233">
        <v>0</v>
      </c>
      <c r="B2344" s="233">
        <v>17</v>
      </c>
      <c r="C2344" s="233">
        <v>1</v>
      </c>
      <c r="D2344" s="234">
        <v>1</v>
      </c>
      <c r="E2344" s="234">
        <v>2</v>
      </c>
      <c r="G2344" s="508" t="s">
        <v>50</v>
      </c>
      <c r="H2344" s="493" t="s">
        <v>1238</v>
      </c>
      <c r="I2344" s="460" t="s">
        <v>5640</v>
      </c>
      <c r="J2344" s="495" t="s">
        <v>1543</v>
      </c>
      <c r="K2344" s="496" t="s">
        <v>641</v>
      </c>
      <c r="L2344" s="497" t="e">
        <v>#REF!</v>
      </c>
      <c r="M2344" s="497">
        <v>4.3491600000000004</v>
      </c>
      <c r="N2344" s="464"/>
      <c r="O2344" s="498"/>
      <c r="P2344" s="431" t="s">
        <v>6711</v>
      </c>
    </row>
    <row r="2345" spans="1:16" ht="13.5" hidden="1" customHeight="1" outlineLevel="3" x14ac:dyDescent="0.2">
      <c r="A2345" s="233">
        <v>0</v>
      </c>
      <c r="B2345" s="233">
        <v>17</v>
      </c>
      <c r="C2345" s="233">
        <v>1</v>
      </c>
      <c r="D2345" s="234">
        <v>1</v>
      </c>
      <c r="E2345" s="234">
        <v>3</v>
      </c>
      <c r="G2345" s="508" t="s">
        <v>50</v>
      </c>
      <c r="H2345" s="493" t="s">
        <v>1238</v>
      </c>
      <c r="I2345" s="460" t="s">
        <v>5641</v>
      </c>
      <c r="J2345" s="495" t="s">
        <v>773</v>
      </c>
      <c r="K2345" s="496" t="s">
        <v>641</v>
      </c>
      <c r="L2345" s="497" t="e">
        <v>#REF!</v>
      </c>
      <c r="M2345" s="497">
        <v>12.1275</v>
      </c>
      <c r="N2345" s="464"/>
      <c r="O2345" s="498"/>
      <c r="P2345" s="431" t="s">
        <v>6711</v>
      </c>
    </row>
    <row r="2346" spans="1:16" ht="13.5" hidden="1" customHeight="1" outlineLevel="3" x14ac:dyDescent="0.2">
      <c r="A2346" s="233">
        <v>0</v>
      </c>
      <c r="B2346" s="233">
        <v>17</v>
      </c>
      <c r="C2346" s="233">
        <v>1</v>
      </c>
      <c r="D2346" s="234">
        <v>1</v>
      </c>
      <c r="E2346" s="234">
        <v>4</v>
      </c>
      <c r="G2346" s="508" t="s">
        <v>50</v>
      </c>
      <c r="H2346" s="493" t="s">
        <v>1238</v>
      </c>
      <c r="I2346" s="460" t="s">
        <v>5642</v>
      </c>
      <c r="J2346" s="495" t="s">
        <v>2623</v>
      </c>
      <c r="K2346" s="496" t="s">
        <v>641</v>
      </c>
      <c r="L2346" s="497" t="e">
        <v>#REF!</v>
      </c>
      <c r="M2346" s="497">
        <v>22.507959374999999</v>
      </c>
      <c r="N2346" s="464"/>
      <c r="O2346" s="498"/>
      <c r="P2346" s="431" t="s">
        <v>6711</v>
      </c>
    </row>
    <row r="2347" spans="1:16" ht="13.5" hidden="1" customHeight="1" outlineLevel="3" x14ac:dyDescent="0.2">
      <c r="A2347" s="233">
        <v>0</v>
      </c>
      <c r="B2347" s="233">
        <v>17</v>
      </c>
      <c r="C2347" s="233">
        <v>1</v>
      </c>
      <c r="D2347" s="234">
        <v>1</v>
      </c>
      <c r="E2347" s="234">
        <v>5</v>
      </c>
      <c r="G2347" s="508" t="s">
        <v>50</v>
      </c>
      <c r="H2347" s="493" t="s">
        <v>1238</v>
      </c>
      <c r="I2347" s="460" t="s">
        <v>5643</v>
      </c>
      <c r="J2347" s="461" t="s">
        <v>2891</v>
      </c>
      <c r="K2347" s="462" t="s">
        <v>641</v>
      </c>
      <c r="L2347" s="463" t="e">
        <v>#REF!</v>
      </c>
      <c r="M2347" s="497">
        <v>76.674746222222225</v>
      </c>
      <c r="N2347" s="464"/>
      <c r="O2347" s="465"/>
      <c r="P2347" s="431" t="s">
        <v>6711</v>
      </c>
    </row>
    <row r="2348" spans="1:16" ht="13.5" hidden="1" customHeight="1" outlineLevel="2" x14ac:dyDescent="0.2">
      <c r="A2348" s="233">
        <v>0</v>
      </c>
      <c r="B2348" s="233">
        <v>17</v>
      </c>
      <c r="C2348" s="233">
        <v>1</v>
      </c>
      <c r="D2348" s="234">
        <v>2</v>
      </c>
      <c r="E2348" s="234">
        <v>0</v>
      </c>
      <c r="G2348" s="507"/>
      <c r="H2348" s="487" t="s">
        <v>1237</v>
      </c>
      <c r="I2348" s="452" t="s">
        <v>5644</v>
      </c>
      <c r="J2348" s="489" t="s">
        <v>1529</v>
      </c>
      <c r="K2348" s="490"/>
      <c r="L2348" s="491"/>
      <c r="M2348" s="491"/>
      <c r="N2348" s="456"/>
      <c r="O2348" s="492"/>
      <c r="P2348" s="430"/>
    </row>
    <row r="2349" spans="1:16" ht="13.5" hidden="1" customHeight="1" outlineLevel="3" x14ac:dyDescent="0.2">
      <c r="A2349" s="233">
        <v>0</v>
      </c>
      <c r="B2349" s="233">
        <v>17</v>
      </c>
      <c r="C2349" s="233">
        <v>1</v>
      </c>
      <c r="D2349" s="234">
        <v>2</v>
      </c>
      <c r="E2349" s="234">
        <v>1</v>
      </c>
      <c r="G2349" s="508" t="s">
        <v>50</v>
      </c>
      <c r="H2349" s="493" t="s">
        <v>1238</v>
      </c>
      <c r="I2349" s="460" t="s">
        <v>5645</v>
      </c>
      <c r="J2349" s="495" t="s">
        <v>2636</v>
      </c>
      <c r="K2349" s="496" t="s">
        <v>641</v>
      </c>
      <c r="L2349" s="497" t="e">
        <v>#REF!</v>
      </c>
      <c r="M2349" s="497">
        <v>1.7585555555555554</v>
      </c>
      <c r="N2349" s="464"/>
      <c r="O2349" s="498"/>
      <c r="P2349" s="431" t="s">
        <v>6711</v>
      </c>
    </row>
    <row r="2350" spans="1:16" ht="13.5" hidden="1" customHeight="1" outlineLevel="3" x14ac:dyDescent="0.2">
      <c r="A2350" s="233">
        <v>0</v>
      </c>
      <c r="B2350" s="233">
        <v>17</v>
      </c>
      <c r="C2350" s="233">
        <v>1</v>
      </c>
      <c r="D2350" s="234">
        <v>2</v>
      </c>
      <c r="E2350" s="234">
        <v>2</v>
      </c>
      <c r="G2350" s="508" t="s">
        <v>50</v>
      </c>
      <c r="H2350" s="493" t="s">
        <v>1238</v>
      </c>
      <c r="I2350" s="460" t="s">
        <v>5646</v>
      </c>
      <c r="J2350" s="495" t="s">
        <v>1868</v>
      </c>
      <c r="K2350" s="496" t="s">
        <v>641</v>
      </c>
      <c r="L2350" s="497" t="e">
        <v>#REF!</v>
      </c>
      <c r="M2350" s="497">
        <v>4.3491600000000004</v>
      </c>
      <c r="N2350" s="464"/>
      <c r="O2350" s="498"/>
      <c r="P2350" s="431" t="s">
        <v>6711</v>
      </c>
    </row>
    <row r="2351" spans="1:16" ht="13.5" hidden="1" customHeight="1" outlineLevel="3" x14ac:dyDescent="0.2">
      <c r="A2351" s="233">
        <v>0</v>
      </c>
      <c r="B2351" s="233">
        <v>17</v>
      </c>
      <c r="C2351" s="233">
        <v>1</v>
      </c>
      <c r="D2351" s="234">
        <v>2</v>
      </c>
      <c r="E2351" s="234">
        <v>3</v>
      </c>
      <c r="G2351" s="508" t="s">
        <v>50</v>
      </c>
      <c r="H2351" s="493" t="s">
        <v>1238</v>
      </c>
      <c r="I2351" s="460" t="s">
        <v>5647</v>
      </c>
      <c r="J2351" s="495" t="s">
        <v>2635</v>
      </c>
      <c r="K2351" s="496" t="s">
        <v>641</v>
      </c>
      <c r="L2351" s="497" t="e">
        <v>#REF!</v>
      </c>
      <c r="M2351" s="497">
        <v>12.1275</v>
      </c>
      <c r="N2351" s="464"/>
      <c r="O2351" s="498"/>
      <c r="P2351" s="431" t="s">
        <v>6711</v>
      </c>
    </row>
    <row r="2352" spans="1:16" ht="13.5" hidden="1" customHeight="1" outlineLevel="3" x14ac:dyDescent="0.2">
      <c r="A2352" s="233">
        <v>0</v>
      </c>
      <c r="B2352" s="233">
        <v>17</v>
      </c>
      <c r="C2352" s="233">
        <v>1</v>
      </c>
      <c r="D2352" s="234">
        <v>2</v>
      </c>
      <c r="E2352" s="234">
        <v>4</v>
      </c>
      <c r="G2352" s="508" t="s">
        <v>50</v>
      </c>
      <c r="H2352" s="493" t="s">
        <v>1238</v>
      </c>
      <c r="I2352" s="460" t="s">
        <v>5648</v>
      </c>
      <c r="J2352" s="495" t="s">
        <v>2637</v>
      </c>
      <c r="K2352" s="496" t="s">
        <v>641</v>
      </c>
      <c r="L2352" s="497" t="e">
        <v>#REF!</v>
      </c>
      <c r="M2352" s="497">
        <v>70.567030666666668</v>
      </c>
      <c r="N2352" s="464"/>
      <c r="O2352" s="498"/>
      <c r="P2352" s="431" t="s">
        <v>6711</v>
      </c>
    </row>
    <row r="2353" spans="1:16" ht="13.5" hidden="1" customHeight="1" outlineLevel="3" x14ac:dyDescent="0.2">
      <c r="A2353" s="233">
        <v>0</v>
      </c>
      <c r="B2353" s="233">
        <v>17</v>
      </c>
      <c r="C2353" s="233">
        <v>1</v>
      </c>
      <c r="D2353" s="234">
        <v>2</v>
      </c>
      <c r="E2353" s="234">
        <v>5</v>
      </c>
      <c r="G2353" s="508" t="s">
        <v>50</v>
      </c>
      <c r="H2353" s="493" t="s">
        <v>1238</v>
      </c>
      <c r="I2353" s="460" t="s">
        <v>5649</v>
      </c>
      <c r="J2353" s="495" t="s">
        <v>770</v>
      </c>
      <c r="K2353" s="496" t="s">
        <v>641</v>
      </c>
      <c r="L2353" s="497" t="e">
        <v>#REF!</v>
      </c>
      <c r="M2353" s="497">
        <v>13.636363636363637</v>
      </c>
      <c r="N2353" s="464"/>
      <c r="O2353" s="498"/>
      <c r="P2353" s="431" t="s">
        <v>6711</v>
      </c>
    </row>
    <row r="2354" spans="1:16" ht="13.5" hidden="1" customHeight="1" outlineLevel="2" x14ac:dyDescent="0.2">
      <c r="A2354" s="233">
        <v>0</v>
      </c>
      <c r="B2354" s="233">
        <v>17</v>
      </c>
      <c r="C2354" s="233">
        <v>1</v>
      </c>
      <c r="D2354" s="234">
        <v>3</v>
      </c>
      <c r="E2354" s="234">
        <v>0</v>
      </c>
      <c r="G2354" s="507"/>
      <c r="H2354" s="487" t="s">
        <v>1237</v>
      </c>
      <c r="I2354" s="452" t="s">
        <v>5650</v>
      </c>
      <c r="J2354" s="489" t="s">
        <v>14</v>
      </c>
      <c r="K2354" s="490"/>
      <c r="L2354" s="491"/>
      <c r="M2354" s="491"/>
      <c r="N2354" s="456"/>
      <c r="O2354" s="492"/>
      <c r="P2354" s="430"/>
    </row>
    <row r="2355" spans="1:16" ht="13.5" hidden="1" customHeight="1" outlineLevel="3" x14ac:dyDescent="0.2">
      <c r="A2355" s="233">
        <v>0</v>
      </c>
      <c r="B2355" s="233">
        <v>17</v>
      </c>
      <c r="C2355" s="233">
        <v>1</v>
      </c>
      <c r="D2355" s="234">
        <v>3</v>
      </c>
      <c r="E2355" s="234">
        <v>1</v>
      </c>
      <c r="G2355" s="508" t="s">
        <v>50</v>
      </c>
      <c r="H2355" s="493" t="s">
        <v>1238</v>
      </c>
      <c r="I2355" s="460" t="s">
        <v>5651</v>
      </c>
      <c r="J2355" s="495" t="s">
        <v>2892</v>
      </c>
      <c r="K2355" s="496" t="s">
        <v>641</v>
      </c>
      <c r="L2355" s="497" t="e">
        <v>#REF!</v>
      </c>
      <c r="M2355" s="497">
        <v>42</v>
      </c>
      <c r="N2355" s="464"/>
      <c r="O2355" s="498"/>
      <c r="P2355" s="431" t="s">
        <v>6711</v>
      </c>
    </row>
    <row r="2356" spans="1:16" ht="13.5" hidden="1" customHeight="1" outlineLevel="3" x14ac:dyDescent="0.2">
      <c r="A2356" s="233">
        <v>0</v>
      </c>
      <c r="B2356" s="233">
        <v>17</v>
      </c>
      <c r="C2356" s="233">
        <v>1</v>
      </c>
      <c r="D2356" s="234">
        <v>3</v>
      </c>
      <c r="E2356" s="234">
        <v>2</v>
      </c>
      <c r="G2356" s="508" t="s">
        <v>50</v>
      </c>
      <c r="H2356" s="493" t="s">
        <v>1238</v>
      </c>
      <c r="I2356" s="460" t="s">
        <v>5652</v>
      </c>
      <c r="J2356" s="495" t="s">
        <v>783</v>
      </c>
      <c r="K2356" s="496" t="s">
        <v>641</v>
      </c>
      <c r="L2356" s="497" t="e">
        <v>#REF!</v>
      </c>
      <c r="M2356" s="497">
        <v>40</v>
      </c>
      <c r="N2356" s="464"/>
      <c r="O2356" s="498"/>
      <c r="P2356" s="431" t="s">
        <v>6711</v>
      </c>
    </row>
    <row r="2357" spans="1:16" ht="13.5" hidden="1" customHeight="1" outlineLevel="3" x14ac:dyDescent="0.2">
      <c r="A2357" s="233">
        <v>0</v>
      </c>
      <c r="B2357" s="233">
        <v>17</v>
      </c>
      <c r="C2357" s="233">
        <v>1</v>
      </c>
      <c r="D2357" s="234">
        <v>3</v>
      </c>
      <c r="E2357" s="234">
        <v>3</v>
      </c>
      <c r="G2357" s="508" t="s">
        <v>50</v>
      </c>
      <c r="H2357" s="493" t="s">
        <v>1238</v>
      </c>
      <c r="I2357" s="460" t="s">
        <v>5653</v>
      </c>
      <c r="J2357" s="495" t="s">
        <v>784</v>
      </c>
      <c r="K2357" s="496" t="s">
        <v>641</v>
      </c>
      <c r="L2357" s="497" t="e">
        <v>#REF!</v>
      </c>
      <c r="M2357" s="497">
        <v>40</v>
      </c>
      <c r="N2357" s="464"/>
      <c r="O2357" s="498"/>
      <c r="P2357" s="431" t="s">
        <v>6711</v>
      </c>
    </row>
    <row r="2358" spans="1:16" ht="13.5" hidden="1" customHeight="1" outlineLevel="3" x14ac:dyDescent="0.2">
      <c r="A2358" s="233">
        <v>0</v>
      </c>
      <c r="B2358" s="233">
        <v>17</v>
      </c>
      <c r="C2358" s="233">
        <v>1</v>
      </c>
      <c r="D2358" s="234">
        <v>3</v>
      </c>
      <c r="E2358" s="234">
        <v>4</v>
      </c>
      <c r="G2358" s="508" t="s">
        <v>50</v>
      </c>
      <c r="H2358" s="493" t="s">
        <v>1238</v>
      </c>
      <c r="I2358" s="460" t="s">
        <v>5654</v>
      </c>
      <c r="J2358" s="495" t="s">
        <v>785</v>
      </c>
      <c r="K2358" s="496" t="s">
        <v>641</v>
      </c>
      <c r="L2358" s="497" t="e">
        <v>#REF!</v>
      </c>
      <c r="M2358" s="497">
        <v>40</v>
      </c>
      <c r="N2358" s="464"/>
      <c r="O2358" s="498"/>
      <c r="P2358" s="431" t="s">
        <v>6711</v>
      </c>
    </row>
    <row r="2359" spans="1:16" ht="13.5" hidden="1" customHeight="1" outlineLevel="3" x14ac:dyDescent="0.2">
      <c r="A2359" s="233">
        <v>0</v>
      </c>
      <c r="B2359" s="233">
        <v>17</v>
      </c>
      <c r="C2359" s="233">
        <v>1</v>
      </c>
      <c r="D2359" s="234">
        <v>3</v>
      </c>
      <c r="E2359" s="234">
        <v>5</v>
      </c>
      <c r="G2359" s="508" t="s">
        <v>50</v>
      </c>
      <c r="H2359" s="493" t="s">
        <v>1238</v>
      </c>
      <c r="I2359" s="460" t="s">
        <v>5655</v>
      </c>
      <c r="J2359" s="495" t="s">
        <v>2641</v>
      </c>
      <c r="K2359" s="496" t="s">
        <v>641</v>
      </c>
      <c r="L2359" s="497" t="e">
        <v>#REF!</v>
      </c>
      <c r="M2359" s="497">
        <v>40</v>
      </c>
      <c r="N2359" s="464"/>
      <c r="O2359" s="498"/>
      <c r="P2359" s="431" t="s">
        <v>6711</v>
      </c>
    </row>
    <row r="2360" spans="1:16" ht="13.5" hidden="1" customHeight="1" outlineLevel="1" x14ac:dyDescent="0.2">
      <c r="A2360" s="233">
        <v>0</v>
      </c>
      <c r="B2360" s="233">
        <v>17</v>
      </c>
      <c r="C2360" s="233">
        <v>2</v>
      </c>
      <c r="D2360" s="234">
        <v>0</v>
      </c>
      <c r="E2360" s="234">
        <v>5</v>
      </c>
      <c r="G2360" s="506"/>
      <c r="H2360" s="481" t="s">
        <v>38</v>
      </c>
      <c r="I2360" s="445" t="s">
        <v>5656</v>
      </c>
      <c r="J2360" s="483" t="s">
        <v>2642</v>
      </c>
      <c r="K2360" s="484"/>
      <c r="L2360" s="485"/>
      <c r="M2360" s="485"/>
      <c r="N2360" s="449"/>
      <c r="O2360" s="486"/>
      <c r="P2360" s="429"/>
    </row>
    <row r="2361" spans="1:16" ht="13.5" hidden="1" customHeight="1" outlineLevel="2" x14ac:dyDescent="0.2">
      <c r="A2361" s="233">
        <v>0</v>
      </c>
      <c r="B2361" s="233">
        <v>17</v>
      </c>
      <c r="C2361" s="233">
        <v>2</v>
      </c>
      <c r="D2361" s="234">
        <v>1</v>
      </c>
      <c r="E2361" s="234">
        <v>0</v>
      </c>
      <c r="G2361" s="507"/>
      <c r="H2361" s="487" t="s">
        <v>1237</v>
      </c>
      <c r="I2361" s="452" t="s">
        <v>5657</v>
      </c>
      <c r="J2361" s="489" t="s">
        <v>1530</v>
      </c>
      <c r="K2361" s="490"/>
      <c r="L2361" s="491"/>
      <c r="M2361" s="491"/>
      <c r="N2361" s="456"/>
      <c r="O2361" s="492"/>
      <c r="P2361" s="430"/>
    </row>
    <row r="2362" spans="1:16" ht="13.5" hidden="1" customHeight="1" outlineLevel="3" x14ac:dyDescent="0.2">
      <c r="A2362" s="233">
        <v>0</v>
      </c>
      <c r="B2362" s="233">
        <v>17</v>
      </c>
      <c r="C2362" s="233">
        <v>2</v>
      </c>
      <c r="D2362" s="234">
        <v>1</v>
      </c>
      <c r="E2362" s="234">
        <v>1</v>
      </c>
      <c r="G2362" s="508" t="s">
        <v>50</v>
      </c>
      <c r="H2362" s="493" t="s">
        <v>1238</v>
      </c>
      <c r="I2362" s="460" t="s">
        <v>5658</v>
      </c>
      <c r="J2362" s="495" t="s">
        <v>756</v>
      </c>
      <c r="K2362" s="496" t="s">
        <v>641</v>
      </c>
      <c r="L2362" s="497" t="e">
        <v>#REF!</v>
      </c>
      <c r="M2362" s="497">
        <v>48.294267209876544</v>
      </c>
      <c r="N2362" s="464"/>
      <c r="O2362" s="498"/>
      <c r="P2362" s="431" t="s">
        <v>6711</v>
      </c>
    </row>
    <row r="2363" spans="1:16" ht="13.5" hidden="1" customHeight="1" outlineLevel="2" x14ac:dyDescent="0.2">
      <c r="A2363" s="233">
        <v>0</v>
      </c>
      <c r="B2363" s="233">
        <v>17</v>
      </c>
      <c r="C2363" s="233">
        <v>2</v>
      </c>
      <c r="D2363" s="234">
        <v>2</v>
      </c>
      <c r="E2363" s="234">
        <v>0</v>
      </c>
      <c r="G2363" s="507"/>
      <c r="H2363" s="487" t="s">
        <v>1237</v>
      </c>
      <c r="I2363" s="452" t="s">
        <v>5659</v>
      </c>
      <c r="J2363" s="489" t="s">
        <v>1551</v>
      </c>
      <c r="K2363" s="490"/>
      <c r="L2363" s="491"/>
      <c r="M2363" s="491"/>
      <c r="N2363" s="456"/>
      <c r="O2363" s="492"/>
      <c r="P2363" s="430"/>
    </row>
    <row r="2364" spans="1:16" ht="13.5" hidden="1" customHeight="1" outlineLevel="3" x14ac:dyDescent="0.2">
      <c r="A2364" s="233">
        <v>0</v>
      </c>
      <c r="B2364" s="233">
        <v>17</v>
      </c>
      <c r="C2364" s="233">
        <v>2</v>
      </c>
      <c r="D2364" s="234">
        <v>2</v>
      </c>
      <c r="E2364" s="234">
        <v>1</v>
      </c>
      <c r="G2364" s="508" t="s">
        <v>50</v>
      </c>
      <c r="H2364" s="493" t="s">
        <v>1238</v>
      </c>
      <c r="I2364" s="460" t="s">
        <v>5660</v>
      </c>
      <c r="J2364" s="495" t="s">
        <v>1542</v>
      </c>
      <c r="K2364" s="496" t="s">
        <v>641</v>
      </c>
      <c r="L2364" s="497" t="e">
        <v>#REF!</v>
      </c>
      <c r="M2364" s="497">
        <v>1.7585555555555554</v>
      </c>
      <c r="N2364" s="464"/>
      <c r="O2364" s="498"/>
      <c r="P2364" s="431" t="s">
        <v>6711</v>
      </c>
    </row>
    <row r="2365" spans="1:16" ht="13.5" hidden="1" customHeight="1" outlineLevel="3" x14ac:dyDescent="0.2">
      <c r="A2365" s="233">
        <v>0</v>
      </c>
      <c r="B2365" s="233">
        <v>17</v>
      </c>
      <c r="C2365" s="233">
        <v>2</v>
      </c>
      <c r="D2365" s="234">
        <v>2</v>
      </c>
      <c r="E2365" s="234">
        <v>2</v>
      </c>
      <c r="G2365" s="508" t="s">
        <v>50</v>
      </c>
      <c r="H2365" s="493" t="s">
        <v>1238</v>
      </c>
      <c r="I2365" s="460" t="s">
        <v>5661</v>
      </c>
      <c r="J2365" s="495" t="s">
        <v>1543</v>
      </c>
      <c r="K2365" s="496" t="s">
        <v>641</v>
      </c>
      <c r="L2365" s="497" t="e">
        <v>#REF!</v>
      </c>
      <c r="M2365" s="497">
        <v>4.3491600000000004</v>
      </c>
      <c r="N2365" s="464"/>
      <c r="O2365" s="498"/>
      <c r="P2365" s="431" t="s">
        <v>6711</v>
      </c>
    </row>
    <row r="2366" spans="1:16" ht="13.5" hidden="1" customHeight="1" outlineLevel="3" x14ac:dyDescent="0.2">
      <c r="A2366" s="233">
        <v>0</v>
      </c>
      <c r="B2366" s="233">
        <v>17</v>
      </c>
      <c r="C2366" s="233">
        <v>2</v>
      </c>
      <c r="D2366" s="234">
        <v>2</v>
      </c>
      <c r="E2366" s="234">
        <v>3</v>
      </c>
      <c r="G2366" s="508" t="s">
        <v>50</v>
      </c>
      <c r="H2366" s="493" t="s">
        <v>1238</v>
      </c>
      <c r="I2366" s="460" t="s">
        <v>5662</v>
      </c>
      <c r="J2366" s="495" t="s">
        <v>773</v>
      </c>
      <c r="K2366" s="496" t="s">
        <v>641</v>
      </c>
      <c r="L2366" s="497" t="e">
        <v>#REF!</v>
      </c>
      <c r="M2366" s="497">
        <v>12.1275</v>
      </c>
      <c r="N2366" s="464"/>
      <c r="O2366" s="498"/>
      <c r="P2366" s="431" t="s">
        <v>6711</v>
      </c>
    </row>
    <row r="2367" spans="1:16" ht="13.5" hidden="1" customHeight="1" outlineLevel="3" x14ac:dyDescent="0.2">
      <c r="A2367" s="233">
        <v>0</v>
      </c>
      <c r="B2367" s="233">
        <v>17</v>
      </c>
      <c r="C2367" s="233">
        <v>2</v>
      </c>
      <c r="D2367" s="234">
        <v>2</v>
      </c>
      <c r="E2367" s="234">
        <v>4</v>
      </c>
      <c r="G2367" s="508" t="s">
        <v>50</v>
      </c>
      <c r="H2367" s="493" t="s">
        <v>1238</v>
      </c>
      <c r="I2367" s="460" t="s">
        <v>5663</v>
      </c>
      <c r="J2367" s="495" t="s">
        <v>2623</v>
      </c>
      <c r="K2367" s="496" t="s">
        <v>641</v>
      </c>
      <c r="L2367" s="497" t="e">
        <v>#REF!</v>
      </c>
      <c r="M2367" s="497">
        <v>22.507959374999999</v>
      </c>
      <c r="N2367" s="464"/>
      <c r="O2367" s="498"/>
      <c r="P2367" s="431" t="s">
        <v>6711</v>
      </c>
    </row>
    <row r="2368" spans="1:16" ht="13.5" hidden="1" customHeight="1" outlineLevel="3" x14ac:dyDescent="0.2">
      <c r="A2368" s="233">
        <v>0</v>
      </c>
      <c r="B2368" s="233">
        <v>17</v>
      </c>
      <c r="C2368" s="233">
        <v>2</v>
      </c>
      <c r="D2368" s="234">
        <v>2</v>
      </c>
      <c r="E2368" s="234">
        <v>5</v>
      </c>
      <c r="G2368" s="508" t="s">
        <v>50</v>
      </c>
      <c r="H2368" s="493" t="s">
        <v>1238</v>
      </c>
      <c r="I2368" s="460" t="s">
        <v>5664</v>
      </c>
      <c r="J2368" s="461" t="s">
        <v>2891</v>
      </c>
      <c r="K2368" s="462" t="s">
        <v>641</v>
      </c>
      <c r="L2368" s="463" t="e">
        <v>#REF!</v>
      </c>
      <c r="M2368" s="497">
        <v>76.674746222222225</v>
      </c>
      <c r="N2368" s="464"/>
      <c r="O2368" s="465"/>
      <c r="P2368" s="431" t="s">
        <v>6711</v>
      </c>
    </row>
    <row r="2369" spans="1:16" ht="13.5" hidden="1" customHeight="1" outlineLevel="3" x14ac:dyDescent="0.2">
      <c r="A2369" s="233">
        <v>0</v>
      </c>
      <c r="B2369" s="233">
        <v>17</v>
      </c>
      <c r="C2369" s="233">
        <v>2</v>
      </c>
      <c r="D2369" s="234">
        <v>2</v>
      </c>
      <c r="E2369" s="234">
        <v>6</v>
      </c>
      <c r="G2369" s="508" t="s">
        <v>50</v>
      </c>
      <c r="H2369" s="493" t="s">
        <v>1238</v>
      </c>
      <c r="I2369" s="460" t="s">
        <v>5665</v>
      </c>
      <c r="J2369" s="495" t="s">
        <v>769</v>
      </c>
      <c r="K2369" s="496" t="s">
        <v>641</v>
      </c>
      <c r="L2369" s="497" t="e">
        <v>#REF!</v>
      </c>
      <c r="M2369" s="497">
        <v>8.7283160650000013</v>
      </c>
      <c r="N2369" s="464"/>
      <c r="O2369" s="498"/>
      <c r="P2369" s="431" t="s">
        <v>6711</v>
      </c>
    </row>
    <row r="2370" spans="1:16" ht="13.5" hidden="1" customHeight="1" outlineLevel="2" x14ac:dyDescent="0.2">
      <c r="A2370" s="233">
        <v>0</v>
      </c>
      <c r="B2370" s="233">
        <v>17</v>
      </c>
      <c r="C2370" s="233">
        <v>2</v>
      </c>
      <c r="D2370" s="234">
        <v>3</v>
      </c>
      <c r="E2370" s="234">
        <v>0</v>
      </c>
      <c r="G2370" s="507"/>
      <c r="H2370" s="487" t="s">
        <v>1237</v>
      </c>
      <c r="I2370" s="452" t="s">
        <v>5666</v>
      </c>
      <c r="J2370" s="489" t="s">
        <v>1529</v>
      </c>
      <c r="K2370" s="490"/>
      <c r="L2370" s="491"/>
      <c r="M2370" s="491"/>
      <c r="N2370" s="456"/>
      <c r="O2370" s="492"/>
      <c r="P2370" s="430"/>
    </row>
    <row r="2371" spans="1:16" ht="13.5" hidden="1" customHeight="1" outlineLevel="3" x14ac:dyDescent="0.2">
      <c r="A2371" s="233">
        <v>0</v>
      </c>
      <c r="B2371" s="233">
        <v>17</v>
      </c>
      <c r="C2371" s="233">
        <v>2</v>
      </c>
      <c r="D2371" s="234">
        <v>3</v>
      </c>
      <c r="E2371" s="234">
        <v>1</v>
      </c>
      <c r="G2371" s="508" t="s">
        <v>50</v>
      </c>
      <c r="H2371" s="493" t="s">
        <v>1238</v>
      </c>
      <c r="I2371" s="460" t="s">
        <v>5667</v>
      </c>
      <c r="J2371" s="495" t="s">
        <v>2636</v>
      </c>
      <c r="K2371" s="496" t="s">
        <v>641</v>
      </c>
      <c r="L2371" s="497" t="e">
        <v>#REF!</v>
      </c>
      <c r="M2371" s="497">
        <v>1.7585555555555554</v>
      </c>
      <c r="N2371" s="464"/>
      <c r="O2371" s="498"/>
      <c r="P2371" s="431" t="s">
        <v>6711</v>
      </c>
    </row>
    <row r="2372" spans="1:16" ht="13.5" hidden="1" customHeight="1" outlineLevel="3" x14ac:dyDescent="0.2">
      <c r="A2372" s="233">
        <v>0</v>
      </c>
      <c r="B2372" s="233">
        <v>17</v>
      </c>
      <c r="C2372" s="233">
        <v>2</v>
      </c>
      <c r="D2372" s="234">
        <v>3</v>
      </c>
      <c r="E2372" s="234">
        <v>2</v>
      </c>
      <c r="G2372" s="508" t="s">
        <v>50</v>
      </c>
      <c r="H2372" s="493" t="s">
        <v>1238</v>
      </c>
      <c r="I2372" s="460" t="s">
        <v>5668</v>
      </c>
      <c r="J2372" s="495" t="s">
        <v>1868</v>
      </c>
      <c r="K2372" s="496" t="s">
        <v>641</v>
      </c>
      <c r="L2372" s="497" t="e">
        <v>#REF!</v>
      </c>
      <c r="M2372" s="497">
        <v>4.3491600000000004</v>
      </c>
      <c r="N2372" s="464"/>
      <c r="O2372" s="498"/>
      <c r="P2372" s="431" t="s">
        <v>6711</v>
      </c>
    </row>
    <row r="2373" spans="1:16" ht="13.5" hidden="1" customHeight="1" outlineLevel="3" x14ac:dyDescent="0.2">
      <c r="A2373" s="233">
        <v>0</v>
      </c>
      <c r="B2373" s="233">
        <v>17</v>
      </c>
      <c r="C2373" s="233">
        <v>2</v>
      </c>
      <c r="D2373" s="234">
        <v>3</v>
      </c>
      <c r="E2373" s="234">
        <v>3</v>
      </c>
      <c r="G2373" s="508" t="s">
        <v>50</v>
      </c>
      <c r="H2373" s="493" t="s">
        <v>1238</v>
      </c>
      <c r="I2373" s="460" t="s">
        <v>5669</v>
      </c>
      <c r="J2373" s="495" t="s">
        <v>2635</v>
      </c>
      <c r="K2373" s="496" t="s">
        <v>641</v>
      </c>
      <c r="L2373" s="497" t="e">
        <v>#REF!</v>
      </c>
      <c r="M2373" s="497">
        <v>12.1275</v>
      </c>
      <c r="N2373" s="464"/>
      <c r="O2373" s="498"/>
      <c r="P2373" s="431" t="s">
        <v>6711</v>
      </c>
    </row>
    <row r="2374" spans="1:16" ht="13.5" hidden="1" customHeight="1" outlineLevel="3" x14ac:dyDescent="0.2">
      <c r="A2374" s="233">
        <v>0</v>
      </c>
      <c r="B2374" s="233">
        <v>17</v>
      </c>
      <c r="C2374" s="233">
        <v>2</v>
      </c>
      <c r="D2374" s="234">
        <v>3</v>
      </c>
      <c r="E2374" s="234">
        <v>4</v>
      </c>
      <c r="G2374" s="508" t="s">
        <v>50</v>
      </c>
      <c r="H2374" s="493" t="s">
        <v>1238</v>
      </c>
      <c r="I2374" s="460" t="s">
        <v>5670</v>
      </c>
      <c r="J2374" s="495" t="s">
        <v>2632</v>
      </c>
      <c r="K2374" s="496" t="s">
        <v>641</v>
      </c>
      <c r="L2374" s="497" t="e">
        <v>#REF!</v>
      </c>
      <c r="M2374" s="497">
        <v>22.507959374999999</v>
      </c>
      <c r="N2374" s="464"/>
      <c r="O2374" s="498"/>
      <c r="P2374" s="431" t="s">
        <v>6711</v>
      </c>
    </row>
    <row r="2375" spans="1:16" ht="13.5" hidden="1" customHeight="1" outlineLevel="3" x14ac:dyDescent="0.2">
      <c r="A2375" s="233">
        <v>0</v>
      </c>
      <c r="B2375" s="233">
        <v>17</v>
      </c>
      <c r="C2375" s="233">
        <v>2</v>
      </c>
      <c r="D2375" s="234">
        <v>3</v>
      </c>
      <c r="E2375" s="234">
        <v>5</v>
      </c>
      <c r="G2375" s="508" t="s">
        <v>50</v>
      </c>
      <c r="H2375" s="493" t="s">
        <v>1238</v>
      </c>
      <c r="I2375" s="460" t="s">
        <v>5671</v>
      </c>
      <c r="J2375" s="495" t="s">
        <v>2637</v>
      </c>
      <c r="K2375" s="496" t="s">
        <v>641</v>
      </c>
      <c r="L2375" s="497" t="e">
        <v>#REF!</v>
      </c>
      <c r="M2375" s="497">
        <v>70.567030666666668</v>
      </c>
      <c r="N2375" s="464"/>
      <c r="O2375" s="498"/>
      <c r="P2375" s="431" t="s">
        <v>6711</v>
      </c>
    </row>
    <row r="2376" spans="1:16" ht="13.5" hidden="1" customHeight="1" outlineLevel="3" x14ac:dyDescent="0.2">
      <c r="A2376" s="233">
        <v>0</v>
      </c>
      <c r="B2376" s="233">
        <v>17</v>
      </c>
      <c r="C2376" s="233">
        <v>2</v>
      </c>
      <c r="D2376" s="234">
        <v>3</v>
      </c>
      <c r="E2376" s="234">
        <v>6</v>
      </c>
      <c r="G2376" s="508" t="s">
        <v>50</v>
      </c>
      <c r="H2376" s="493" t="s">
        <v>1238</v>
      </c>
      <c r="I2376" s="460" t="s">
        <v>5672</v>
      </c>
      <c r="J2376" s="495" t="s">
        <v>2638</v>
      </c>
      <c r="K2376" s="496" t="s">
        <v>641</v>
      </c>
      <c r="L2376" s="497" t="e">
        <v>#REF!</v>
      </c>
      <c r="M2376" s="497">
        <v>80</v>
      </c>
      <c r="N2376" s="464"/>
      <c r="O2376" s="498"/>
      <c r="P2376" s="431" t="s">
        <v>6711</v>
      </c>
    </row>
    <row r="2377" spans="1:16" ht="13.5" hidden="1" customHeight="1" outlineLevel="3" x14ac:dyDescent="0.2">
      <c r="A2377" s="233">
        <v>0</v>
      </c>
      <c r="B2377" s="233">
        <v>17</v>
      </c>
      <c r="C2377" s="233">
        <v>2</v>
      </c>
      <c r="D2377" s="234">
        <v>3</v>
      </c>
      <c r="E2377" s="234">
        <v>7</v>
      </c>
      <c r="G2377" s="508" t="s">
        <v>50</v>
      </c>
      <c r="H2377" s="493" t="s">
        <v>1238</v>
      </c>
      <c r="I2377" s="460" t="s">
        <v>5673</v>
      </c>
      <c r="J2377" s="495" t="s">
        <v>770</v>
      </c>
      <c r="K2377" s="496" t="s">
        <v>641</v>
      </c>
      <c r="L2377" s="497" t="e">
        <v>#REF!</v>
      </c>
      <c r="M2377" s="497">
        <v>13.636363636363637</v>
      </c>
      <c r="N2377" s="464"/>
      <c r="O2377" s="498"/>
      <c r="P2377" s="431" t="s">
        <v>6711</v>
      </c>
    </row>
    <row r="2378" spans="1:16" ht="13.5" hidden="1" customHeight="1" outlineLevel="2" x14ac:dyDescent="0.2">
      <c r="A2378" s="233">
        <v>0</v>
      </c>
      <c r="B2378" s="233">
        <v>17</v>
      </c>
      <c r="C2378" s="233">
        <v>2</v>
      </c>
      <c r="D2378" s="234">
        <v>4</v>
      </c>
      <c r="E2378" s="234">
        <v>0</v>
      </c>
      <c r="G2378" s="507"/>
      <c r="H2378" s="487" t="s">
        <v>1237</v>
      </c>
      <c r="I2378" s="452" t="s">
        <v>5674</v>
      </c>
      <c r="J2378" s="489" t="s">
        <v>14</v>
      </c>
      <c r="K2378" s="490"/>
      <c r="L2378" s="491"/>
      <c r="M2378" s="491"/>
      <c r="N2378" s="456"/>
      <c r="O2378" s="492"/>
      <c r="P2378" s="430"/>
    </row>
    <row r="2379" spans="1:16" ht="13.5" hidden="1" customHeight="1" outlineLevel="3" x14ac:dyDescent="0.2">
      <c r="A2379" s="233">
        <v>0</v>
      </c>
      <c r="B2379" s="233">
        <v>17</v>
      </c>
      <c r="C2379" s="233">
        <v>2</v>
      </c>
      <c r="D2379" s="234">
        <v>4</v>
      </c>
      <c r="E2379" s="234">
        <v>1</v>
      </c>
      <c r="G2379" s="508" t="s">
        <v>50</v>
      </c>
      <c r="H2379" s="493" t="s">
        <v>1238</v>
      </c>
      <c r="I2379" s="460" t="s">
        <v>5675</v>
      </c>
      <c r="J2379" s="495" t="s">
        <v>2640</v>
      </c>
      <c r="K2379" s="496" t="s">
        <v>641</v>
      </c>
      <c r="L2379" s="497" t="e">
        <v>#REF!</v>
      </c>
      <c r="M2379" s="497">
        <v>40</v>
      </c>
      <c r="N2379" s="464"/>
      <c r="O2379" s="498"/>
      <c r="P2379" s="431" t="s">
        <v>6711</v>
      </c>
    </row>
    <row r="2380" spans="1:16" ht="13.5" hidden="1" customHeight="1" outlineLevel="3" x14ac:dyDescent="0.2">
      <c r="A2380" s="233">
        <v>0</v>
      </c>
      <c r="B2380" s="233">
        <v>17</v>
      </c>
      <c r="C2380" s="233">
        <v>2</v>
      </c>
      <c r="D2380" s="234">
        <v>4</v>
      </c>
      <c r="E2380" s="234">
        <v>2</v>
      </c>
      <c r="G2380" s="508" t="s">
        <v>50</v>
      </c>
      <c r="H2380" s="493" t="s">
        <v>1238</v>
      </c>
      <c r="I2380" s="460" t="s">
        <v>5676</v>
      </c>
      <c r="J2380" s="495" t="s">
        <v>2892</v>
      </c>
      <c r="K2380" s="496" t="s">
        <v>641</v>
      </c>
      <c r="L2380" s="497" t="e">
        <v>#REF!</v>
      </c>
      <c r="M2380" s="497">
        <v>42</v>
      </c>
      <c r="N2380" s="464"/>
      <c r="O2380" s="498"/>
      <c r="P2380" s="431" t="s">
        <v>6711</v>
      </c>
    </row>
    <row r="2381" spans="1:16" ht="13.5" hidden="1" customHeight="1" outlineLevel="3" x14ac:dyDescent="0.2">
      <c r="A2381" s="233">
        <v>0</v>
      </c>
      <c r="B2381" s="233">
        <v>17</v>
      </c>
      <c r="C2381" s="233">
        <v>2</v>
      </c>
      <c r="D2381" s="234">
        <v>4</v>
      </c>
      <c r="E2381" s="234">
        <v>3</v>
      </c>
      <c r="G2381" s="508" t="s">
        <v>50</v>
      </c>
      <c r="H2381" s="493" t="s">
        <v>1238</v>
      </c>
      <c r="I2381" s="460" t="s">
        <v>5677</v>
      </c>
      <c r="J2381" s="495" t="s">
        <v>783</v>
      </c>
      <c r="K2381" s="496" t="s">
        <v>641</v>
      </c>
      <c r="L2381" s="497" t="e">
        <v>#REF!</v>
      </c>
      <c r="M2381" s="497">
        <v>40</v>
      </c>
      <c r="N2381" s="464"/>
      <c r="O2381" s="498"/>
      <c r="P2381" s="431" t="s">
        <v>6711</v>
      </c>
    </row>
    <row r="2382" spans="1:16" ht="13.5" hidden="1" customHeight="1" outlineLevel="3" x14ac:dyDescent="0.2">
      <c r="A2382" s="233">
        <v>0</v>
      </c>
      <c r="B2382" s="233">
        <v>17</v>
      </c>
      <c r="C2382" s="233">
        <v>2</v>
      </c>
      <c r="D2382" s="234">
        <v>4</v>
      </c>
      <c r="E2382" s="234">
        <v>4</v>
      </c>
      <c r="G2382" s="508" t="s">
        <v>50</v>
      </c>
      <c r="H2382" s="493" t="s">
        <v>1238</v>
      </c>
      <c r="I2382" s="460" t="s">
        <v>5678</v>
      </c>
      <c r="J2382" s="495" t="s">
        <v>1550</v>
      </c>
      <c r="K2382" s="496" t="s">
        <v>641</v>
      </c>
      <c r="L2382" s="497" t="e">
        <v>#REF!</v>
      </c>
      <c r="M2382" s="497">
        <v>20</v>
      </c>
      <c r="N2382" s="464"/>
      <c r="O2382" s="498"/>
      <c r="P2382" s="431" t="s">
        <v>6711</v>
      </c>
    </row>
    <row r="2383" spans="1:16" ht="13.5" hidden="1" customHeight="1" outlineLevel="3" x14ac:dyDescent="0.2">
      <c r="A2383" s="233">
        <v>0</v>
      </c>
      <c r="B2383" s="233">
        <v>17</v>
      </c>
      <c r="C2383" s="233">
        <v>2</v>
      </c>
      <c r="D2383" s="234">
        <v>4</v>
      </c>
      <c r="E2383" s="234">
        <v>5</v>
      </c>
      <c r="G2383" s="508" t="s">
        <v>50</v>
      </c>
      <c r="H2383" s="493" t="s">
        <v>1238</v>
      </c>
      <c r="I2383" s="460" t="s">
        <v>5679</v>
      </c>
      <c r="J2383" s="495" t="s">
        <v>784</v>
      </c>
      <c r="K2383" s="496" t="s">
        <v>641</v>
      </c>
      <c r="L2383" s="497" t="e">
        <v>#REF!</v>
      </c>
      <c r="M2383" s="497">
        <v>40</v>
      </c>
      <c r="N2383" s="464"/>
      <c r="O2383" s="498"/>
      <c r="P2383" s="431" t="s">
        <v>6711</v>
      </c>
    </row>
    <row r="2384" spans="1:16" ht="13.5" hidden="1" customHeight="1" outlineLevel="3" x14ac:dyDescent="0.2">
      <c r="A2384" s="233">
        <v>0</v>
      </c>
      <c r="B2384" s="233">
        <v>17</v>
      </c>
      <c r="C2384" s="233">
        <v>2</v>
      </c>
      <c r="D2384" s="234">
        <v>4</v>
      </c>
      <c r="E2384" s="234">
        <v>6</v>
      </c>
      <c r="G2384" s="508" t="s">
        <v>50</v>
      </c>
      <c r="H2384" s="493" t="s">
        <v>1238</v>
      </c>
      <c r="I2384" s="460" t="s">
        <v>5680</v>
      </c>
      <c r="J2384" s="495" t="s">
        <v>785</v>
      </c>
      <c r="K2384" s="496" t="s">
        <v>641</v>
      </c>
      <c r="L2384" s="497" t="e">
        <v>#REF!</v>
      </c>
      <c r="M2384" s="497">
        <v>40</v>
      </c>
      <c r="N2384" s="464"/>
      <c r="O2384" s="498"/>
      <c r="P2384" s="431" t="s">
        <v>6711</v>
      </c>
    </row>
    <row r="2385" spans="1:16" ht="13.5" hidden="1" customHeight="1" outlineLevel="3" x14ac:dyDescent="0.2">
      <c r="A2385" s="233">
        <v>0</v>
      </c>
      <c r="B2385" s="233">
        <v>17</v>
      </c>
      <c r="C2385" s="233">
        <v>2</v>
      </c>
      <c r="D2385" s="234">
        <v>4</v>
      </c>
      <c r="E2385" s="234">
        <v>7</v>
      </c>
      <c r="G2385" s="508" t="s">
        <v>50</v>
      </c>
      <c r="H2385" s="493" t="s">
        <v>1238</v>
      </c>
      <c r="I2385" s="460" t="s">
        <v>5681</v>
      </c>
      <c r="J2385" s="495" t="s">
        <v>2639</v>
      </c>
      <c r="K2385" s="496" t="s">
        <v>641</v>
      </c>
      <c r="L2385" s="497" t="e">
        <v>#REF!</v>
      </c>
      <c r="M2385" s="497">
        <v>400</v>
      </c>
      <c r="N2385" s="464"/>
      <c r="O2385" s="498"/>
      <c r="P2385" s="431" t="s">
        <v>6711</v>
      </c>
    </row>
    <row r="2386" spans="1:16" ht="13.5" hidden="1" customHeight="1" outlineLevel="3" x14ac:dyDescent="0.2">
      <c r="A2386" s="233">
        <v>0</v>
      </c>
      <c r="B2386" s="233">
        <v>17</v>
      </c>
      <c r="C2386" s="233">
        <v>2</v>
      </c>
      <c r="D2386" s="234">
        <v>4</v>
      </c>
      <c r="E2386" s="234">
        <v>8</v>
      </c>
      <c r="G2386" s="508" t="s">
        <v>50</v>
      </c>
      <c r="H2386" s="493" t="s">
        <v>1238</v>
      </c>
      <c r="I2386" s="460" t="s">
        <v>5682</v>
      </c>
      <c r="J2386" s="495" t="s">
        <v>2641</v>
      </c>
      <c r="K2386" s="496" t="s">
        <v>641</v>
      </c>
      <c r="L2386" s="497" t="e">
        <v>#REF!</v>
      </c>
      <c r="M2386" s="497">
        <v>40</v>
      </c>
      <c r="N2386" s="464"/>
      <c r="O2386" s="498"/>
      <c r="P2386" s="431" t="s">
        <v>6711</v>
      </c>
    </row>
    <row r="2387" spans="1:16" ht="13.5" hidden="1" customHeight="1" outlineLevel="1" x14ac:dyDescent="0.2">
      <c r="A2387" s="233">
        <v>0</v>
      </c>
      <c r="B2387" s="233">
        <v>17</v>
      </c>
      <c r="C2387" s="233">
        <v>3</v>
      </c>
      <c r="D2387" s="234">
        <v>0</v>
      </c>
      <c r="E2387" s="234">
        <v>8</v>
      </c>
      <c r="G2387" s="506"/>
      <c r="H2387" s="481" t="s">
        <v>38</v>
      </c>
      <c r="I2387" s="445" t="s">
        <v>5683</v>
      </c>
      <c r="J2387" s="483" t="s">
        <v>2643</v>
      </c>
      <c r="K2387" s="484"/>
      <c r="L2387" s="485"/>
      <c r="M2387" s="485"/>
      <c r="N2387" s="449"/>
      <c r="O2387" s="486"/>
      <c r="P2387" s="429"/>
    </row>
    <row r="2388" spans="1:16" ht="13.5" hidden="1" customHeight="1" outlineLevel="2" x14ac:dyDescent="0.2">
      <c r="A2388" s="233">
        <v>0</v>
      </c>
      <c r="B2388" s="233">
        <v>17</v>
      </c>
      <c r="C2388" s="233">
        <v>3</v>
      </c>
      <c r="D2388" s="234">
        <v>1</v>
      </c>
      <c r="E2388" s="234">
        <v>0</v>
      </c>
      <c r="G2388" s="507"/>
      <c r="H2388" s="487" t="s">
        <v>1237</v>
      </c>
      <c r="I2388" s="452" t="s">
        <v>5684</v>
      </c>
      <c r="J2388" s="489" t="s">
        <v>1530</v>
      </c>
      <c r="K2388" s="490"/>
      <c r="L2388" s="491"/>
      <c r="M2388" s="491"/>
      <c r="N2388" s="456"/>
      <c r="O2388" s="492"/>
      <c r="P2388" s="430"/>
    </row>
    <row r="2389" spans="1:16" ht="13.5" hidden="1" customHeight="1" outlineLevel="3" x14ac:dyDescent="0.2">
      <c r="A2389" s="233">
        <v>0</v>
      </c>
      <c r="B2389" s="233">
        <v>17</v>
      </c>
      <c r="C2389" s="233">
        <v>3</v>
      </c>
      <c r="D2389" s="234">
        <v>1</v>
      </c>
      <c r="E2389" s="234">
        <v>1</v>
      </c>
      <c r="G2389" s="508" t="s">
        <v>50</v>
      </c>
      <c r="H2389" s="493" t="s">
        <v>1238</v>
      </c>
      <c r="I2389" s="460" t="s">
        <v>5685</v>
      </c>
      <c r="J2389" s="495" t="s">
        <v>756</v>
      </c>
      <c r="K2389" s="496" t="s">
        <v>641</v>
      </c>
      <c r="L2389" s="497" t="e">
        <v>#REF!</v>
      </c>
      <c r="M2389" s="497">
        <v>48.294267209876544</v>
      </c>
      <c r="N2389" s="464"/>
      <c r="O2389" s="498"/>
      <c r="P2389" s="431" t="s">
        <v>6711</v>
      </c>
    </row>
    <row r="2390" spans="1:16" ht="13.5" hidden="1" customHeight="1" outlineLevel="2" x14ac:dyDescent="0.2">
      <c r="A2390" s="233">
        <v>0</v>
      </c>
      <c r="B2390" s="233">
        <v>17</v>
      </c>
      <c r="C2390" s="233">
        <v>3</v>
      </c>
      <c r="D2390" s="234">
        <v>2</v>
      </c>
      <c r="E2390" s="234">
        <v>0</v>
      </c>
      <c r="G2390" s="507"/>
      <c r="H2390" s="487" t="s">
        <v>1237</v>
      </c>
      <c r="I2390" s="452" t="s">
        <v>5686</v>
      </c>
      <c r="J2390" s="489" t="s">
        <v>1551</v>
      </c>
      <c r="K2390" s="490"/>
      <c r="L2390" s="491"/>
      <c r="M2390" s="491"/>
      <c r="N2390" s="456"/>
      <c r="O2390" s="492"/>
      <c r="P2390" s="430"/>
    </row>
    <row r="2391" spans="1:16" ht="13.5" hidden="1" customHeight="1" outlineLevel="3" x14ac:dyDescent="0.2">
      <c r="A2391" s="233">
        <v>0</v>
      </c>
      <c r="B2391" s="233">
        <v>17</v>
      </c>
      <c r="C2391" s="233">
        <v>3</v>
      </c>
      <c r="D2391" s="234">
        <v>2</v>
      </c>
      <c r="E2391" s="234">
        <v>1</v>
      </c>
      <c r="G2391" s="508" t="s">
        <v>50</v>
      </c>
      <c r="H2391" s="493" t="s">
        <v>1238</v>
      </c>
      <c r="I2391" s="460" t="s">
        <v>5687</v>
      </c>
      <c r="J2391" s="495" t="s">
        <v>1542</v>
      </c>
      <c r="K2391" s="496" t="s">
        <v>641</v>
      </c>
      <c r="L2391" s="497" t="e">
        <v>#REF!</v>
      </c>
      <c r="M2391" s="497">
        <v>1.7585555555555554</v>
      </c>
      <c r="N2391" s="464"/>
      <c r="O2391" s="498"/>
      <c r="P2391" s="431" t="s">
        <v>6711</v>
      </c>
    </row>
    <row r="2392" spans="1:16" ht="13.5" hidden="1" customHeight="1" outlineLevel="3" x14ac:dyDescent="0.2">
      <c r="A2392" s="233">
        <v>0</v>
      </c>
      <c r="B2392" s="233">
        <v>17</v>
      </c>
      <c r="C2392" s="233">
        <v>3</v>
      </c>
      <c r="D2392" s="234">
        <v>2</v>
      </c>
      <c r="E2392" s="234">
        <v>2</v>
      </c>
      <c r="G2392" s="508" t="s">
        <v>50</v>
      </c>
      <c r="H2392" s="493" t="s">
        <v>1238</v>
      </c>
      <c r="I2392" s="460" t="s">
        <v>5688</v>
      </c>
      <c r="J2392" s="495" t="s">
        <v>1543</v>
      </c>
      <c r="K2392" s="496" t="s">
        <v>641</v>
      </c>
      <c r="L2392" s="497" t="e">
        <v>#REF!</v>
      </c>
      <c r="M2392" s="497">
        <v>4.3491600000000004</v>
      </c>
      <c r="N2392" s="464"/>
      <c r="O2392" s="498"/>
      <c r="P2392" s="431" t="s">
        <v>6711</v>
      </c>
    </row>
    <row r="2393" spans="1:16" ht="13.5" hidden="1" customHeight="1" outlineLevel="3" x14ac:dyDescent="0.2">
      <c r="A2393" s="233">
        <v>0</v>
      </c>
      <c r="B2393" s="233">
        <v>17</v>
      </c>
      <c r="C2393" s="233">
        <v>3</v>
      </c>
      <c r="D2393" s="234">
        <v>2</v>
      </c>
      <c r="E2393" s="234">
        <v>3</v>
      </c>
      <c r="G2393" s="508" t="s">
        <v>50</v>
      </c>
      <c r="H2393" s="493" t="s">
        <v>1238</v>
      </c>
      <c r="I2393" s="460" t="s">
        <v>5689</v>
      </c>
      <c r="J2393" s="495" t="s">
        <v>773</v>
      </c>
      <c r="K2393" s="496" t="s">
        <v>641</v>
      </c>
      <c r="L2393" s="497" t="e">
        <v>#REF!</v>
      </c>
      <c r="M2393" s="497">
        <v>12.1275</v>
      </c>
      <c r="N2393" s="464"/>
      <c r="O2393" s="498"/>
      <c r="P2393" s="431" t="s">
        <v>6711</v>
      </c>
    </row>
    <row r="2394" spans="1:16" ht="13.5" hidden="1" customHeight="1" outlineLevel="3" x14ac:dyDescent="0.2">
      <c r="A2394" s="233">
        <v>0</v>
      </c>
      <c r="B2394" s="233">
        <v>17</v>
      </c>
      <c r="C2394" s="233">
        <v>3</v>
      </c>
      <c r="D2394" s="234">
        <v>2</v>
      </c>
      <c r="E2394" s="234">
        <v>4</v>
      </c>
      <c r="G2394" s="508" t="s">
        <v>50</v>
      </c>
      <c r="H2394" s="493" t="s">
        <v>1238</v>
      </c>
      <c r="I2394" s="460" t="s">
        <v>5690</v>
      </c>
      <c r="J2394" s="495" t="s">
        <v>2623</v>
      </c>
      <c r="K2394" s="496" t="s">
        <v>641</v>
      </c>
      <c r="L2394" s="497" t="e">
        <v>#REF!</v>
      </c>
      <c r="M2394" s="497">
        <v>22.507959374999999</v>
      </c>
      <c r="N2394" s="464"/>
      <c r="O2394" s="498"/>
      <c r="P2394" s="431" t="s">
        <v>6711</v>
      </c>
    </row>
    <row r="2395" spans="1:16" ht="13.5" hidden="1" customHeight="1" outlineLevel="3" x14ac:dyDescent="0.2">
      <c r="A2395" s="233">
        <v>0</v>
      </c>
      <c r="B2395" s="233">
        <v>17</v>
      </c>
      <c r="C2395" s="233">
        <v>3</v>
      </c>
      <c r="D2395" s="234">
        <v>2</v>
      </c>
      <c r="E2395" s="234">
        <v>5</v>
      </c>
      <c r="G2395" s="508" t="s">
        <v>50</v>
      </c>
      <c r="H2395" s="493" t="s">
        <v>1238</v>
      </c>
      <c r="I2395" s="460" t="s">
        <v>5691</v>
      </c>
      <c r="J2395" s="461" t="s">
        <v>2891</v>
      </c>
      <c r="K2395" s="462" t="s">
        <v>641</v>
      </c>
      <c r="L2395" s="463" t="e">
        <v>#REF!</v>
      </c>
      <c r="M2395" s="497">
        <v>76.674746222222225</v>
      </c>
      <c r="N2395" s="464"/>
      <c r="O2395" s="465"/>
      <c r="P2395" s="431" t="s">
        <v>6711</v>
      </c>
    </row>
    <row r="2396" spans="1:16" ht="13.5" hidden="1" customHeight="1" outlineLevel="3" x14ac:dyDescent="0.2">
      <c r="A2396" s="233">
        <v>0</v>
      </c>
      <c r="B2396" s="233">
        <v>17</v>
      </c>
      <c r="C2396" s="233">
        <v>3</v>
      </c>
      <c r="D2396" s="234">
        <v>2</v>
      </c>
      <c r="E2396" s="234">
        <v>6</v>
      </c>
      <c r="G2396" s="508" t="s">
        <v>50</v>
      </c>
      <c r="H2396" s="493" t="s">
        <v>1238</v>
      </c>
      <c r="I2396" s="460" t="s">
        <v>5692</v>
      </c>
      <c r="J2396" s="495" t="s">
        <v>769</v>
      </c>
      <c r="K2396" s="496" t="s">
        <v>641</v>
      </c>
      <c r="L2396" s="497" t="e">
        <v>#REF!</v>
      </c>
      <c r="M2396" s="497">
        <v>8.7283160650000013</v>
      </c>
      <c r="N2396" s="464"/>
      <c r="O2396" s="498"/>
      <c r="P2396" s="431" t="s">
        <v>6711</v>
      </c>
    </row>
    <row r="2397" spans="1:16" ht="13.5" hidden="1" customHeight="1" outlineLevel="2" x14ac:dyDescent="0.2">
      <c r="A2397" s="233">
        <v>0</v>
      </c>
      <c r="B2397" s="233">
        <v>17</v>
      </c>
      <c r="C2397" s="233">
        <v>3</v>
      </c>
      <c r="D2397" s="234">
        <v>3</v>
      </c>
      <c r="E2397" s="234">
        <v>0</v>
      </c>
      <c r="G2397" s="507"/>
      <c r="H2397" s="487" t="s">
        <v>1237</v>
      </c>
      <c r="I2397" s="452" t="s">
        <v>5693</v>
      </c>
      <c r="J2397" s="489" t="s">
        <v>1529</v>
      </c>
      <c r="K2397" s="490"/>
      <c r="L2397" s="491"/>
      <c r="M2397" s="491"/>
      <c r="N2397" s="456"/>
      <c r="O2397" s="492"/>
      <c r="P2397" s="430"/>
    </row>
    <row r="2398" spans="1:16" ht="13.5" hidden="1" customHeight="1" outlineLevel="3" x14ac:dyDescent="0.2">
      <c r="A2398" s="233">
        <v>0</v>
      </c>
      <c r="B2398" s="233">
        <v>17</v>
      </c>
      <c r="C2398" s="233">
        <v>3</v>
      </c>
      <c r="D2398" s="234">
        <v>3</v>
      </c>
      <c r="E2398" s="234">
        <v>1</v>
      </c>
      <c r="G2398" s="508" t="s">
        <v>50</v>
      </c>
      <c r="H2398" s="493" t="s">
        <v>1238</v>
      </c>
      <c r="I2398" s="460" t="s">
        <v>5694</v>
      </c>
      <c r="J2398" s="495" t="s">
        <v>2636</v>
      </c>
      <c r="K2398" s="496" t="s">
        <v>641</v>
      </c>
      <c r="L2398" s="497" t="e">
        <v>#REF!</v>
      </c>
      <c r="M2398" s="497">
        <v>1.7585555555555554</v>
      </c>
      <c r="N2398" s="464"/>
      <c r="O2398" s="498"/>
      <c r="P2398" s="431" t="s">
        <v>6711</v>
      </c>
    </row>
    <row r="2399" spans="1:16" ht="13.5" hidden="1" customHeight="1" outlineLevel="3" x14ac:dyDescent="0.2">
      <c r="A2399" s="233">
        <v>0</v>
      </c>
      <c r="B2399" s="233">
        <v>17</v>
      </c>
      <c r="C2399" s="233">
        <v>3</v>
      </c>
      <c r="D2399" s="234">
        <v>3</v>
      </c>
      <c r="E2399" s="234">
        <v>2</v>
      </c>
      <c r="G2399" s="508" t="s">
        <v>50</v>
      </c>
      <c r="H2399" s="493" t="s">
        <v>1238</v>
      </c>
      <c r="I2399" s="460" t="s">
        <v>5695</v>
      </c>
      <c r="J2399" s="495" t="s">
        <v>1868</v>
      </c>
      <c r="K2399" s="496" t="s">
        <v>641</v>
      </c>
      <c r="L2399" s="497" t="e">
        <v>#REF!</v>
      </c>
      <c r="M2399" s="497">
        <v>4.3491600000000004</v>
      </c>
      <c r="N2399" s="464"/>
      <c r="O2399" s="498"/>
      <c r="P2399" s="431" t="s">
        <v>6711</v>
      </c>
    </row>
    <row r="2400" spans="1:16" ht="13.5" hidden="1" customHeight="1" outlineLevel="3" x14ac:dyDescent="0.2">
      <c r="A2400" s="233">
        <v>0</v>
      </c>
      <c r="B2400" s="233">
        <v>17</v>
      </c>
      <c r="C2400" s="233">
        <v>3</v>
      </c>
      <c r="D2400" s="234">
        <v>3</v>
      </c>
      <c r="E2400" s="234">
        <v>3</v>
      </c>
      <c r="G2400" s="508" t="s">
        <v>50</v>
      </c>
      <c r="H2400" s="493" t="s">
        <v>1238</v>
      </c>
      <c r="I2400" s="460" t="s">
        <v>5696</v>
      </c>
      <c r="J2400" s="495" t="s">
        <v>2635</v>
      </c>
      <c r="K2400" s="496" t="s">
        <v>641</v>
      </c>
      <c r="L2400" s="497" t="e">
        <v>#REF!</v>
      </c>
      <c r="M2400" s="497">
        <v>12.1275</v>
      </c>
      <c r="N2400" s="464"/>
      <c r="O2400" s="498"/>
      <c r="P2400" s="431" t="s">
        <v>6711</v>
      </c>
    </row>
    <row r="2401" spans="1:16" ht="13.5" hidden="1" customHeight="1" outlineLevel="3" x14ac:dyDescent="0.2">
      <c r="A2401" s="233">
        <v>0</v>
      </c>
      <c r="B2401" s="233">
        <v>17</v>
      </c>
      <c r="C2401" s="233">
        <v>3</v>
      </c>
      <c r="D2401" s="234">
        <v>3</v>
      </c>
      <c r="E2401" s="234">
        <v>4</v>
      </c>
      <c r="G2401" s="508" t="s">
        <v>50</v>
      </c>
      <c r="H2401" s="493" t="s">
        <v>1238</v>
      </c>
      <c r="I2401" s="460" t="s">
        <v>5697</v>
      </c>
      <c r="J2401" s="495" t="s">
        <v>2637</v>
      </c>
      <c r="K2401" s="496" t="s">
        <v>641</v>
      </c>
      <c r="L2401" s="497" t="e">
        <v>#REF!</v>
      </c>
      <c r="M2401" s="497">
        <v>70.567030666666668</v>
      </c>
      <c r="N2401" s="464"/>
      <c r="O2401" s="498"/>
      <c r="P2401" s="431" t="s">
        <v>6711</v>
      </c>
    </row>
    <row r="2402" spans="1:16" ht="13.5" hidden="1" customHeight="1" outlineLevel="3" x14ac:dyDescent="0.2">
      <c r="A2402" s="233">
        <v>0</v>
      </c>
      <c r="B2402" s="233">
        <v>17</v>
      </c>
      <c r="C2402" s="233">
        <v>3</v>
      </c>
      <c r="D2402" s="234">
        <v>3</v>
      </c>
      <c r="E2402" s="234">
        <v>5</v>
      </c>
      <c r="G2402" s="508" t="s">
        <v>50</v>
      </c>
      <c r="H2402" s="493" t="s">
        <v>1238</v>
      </c>
      <c r="I2402" s="460" t="s">
        <v>5698</v>
      </c>
      <c r="J2402" s="495" t="s">
        <v>770</v>
      </c>
      <c r="K2402" s="496" t="s">
        <v>641</v>
      </c>
      <c r="L2402" s="497" t="e">
        <v>#REF!</v>
      </c>
      <c r="M2402" s="497">
        <v>13.636363636363637</v>
      </c>
      <c r="N2402" s="464"/>
      <c r="O2402" s="498"/>
      <c r="P2402" s="431" t="s">
        <v>6711</v>
      </c>
    </row>
    <row r="2403" spans="1:16" ht="13.5" hidden="1" customHeight="1" outlineLevel="2" x14ac:dyDescent="0.2">
      <c r="A2403" s="233">
        <v>0</v>
      </c>
      <c r="B2403" s="233">
        <v>17</v>
      </c>
      <c r="C2403" s="233">
        <v>3</v>
      </c>
      <c r="D2403" s="234">
        <v>4</v>
      </c>
      <c r="E2403" s="234">
        <v>0</v>
      </c>
      <c r="G2403" s="507"/>
      <c r="H2403" s="487" t="s">
        <v>1237</v>
      </c>
      <c r="I2403" s="452" t="s">
        <v>5699</v>
      </c>
      <c r="J2403" s="489" t="s">
        <v>14</v>
      </c>
      <c r="K2403" s="490"/>
      <c r="L2403" s="491"/>
      <c r="M2403" s="491"/>
      <c r="N2403" s="456"/>
      <c r="O2403" s="492"/>
      <c r="P2403" s="430"/>
    </row>
    <row r="2404" spans="1:16" ht="13.5" hidden="1" customHeight="1" outlineLevel="3" x14ac:dyDescent="0.2">
      <c r="A2404" s="233">
        <v>0</v>
      </c>
      <c r="B2404" s="233">
        <v>17</v>
      </c>
      <c r="C2404" s="233">
        <v>3</v>
      </c>
      <c r="D2404" s="234">
        <v>4</v>
      </c>
      <c r="E2404" s="234">
        <v>1</v>
      </c>
      <c r="G2404" s="508" t="s">
        <v>50</v>
      </c>
      <c r="H2404" s="493" t="s">
        <v>1238</v>
      </c>
      <c r="I2404" s="460" t="s">
        <v>5700</v>
      </c>
      <c r="J2404" s="495" t="s">
        <v>2640</v>
      </c>
      <c r="K2404" s="496" t="s">
        <v>641</v>
      </c>
      <c r="L2404" s="497" t="e">
        <v>#REF!</v>
      </c>
      <c r="M2404" s="497">
        <v>40</v>
      </c>
      <c r="N2404" s="464"/>
      <c r="O2404" s="498"/>
      <c r="P2404" s="431" t="s">
        <v>6711</v>
      </c>
    </row>
    <row r="2405" spans="1:16" ht="13.5" hidden="1" customHeight="1" outlineLevel="3" x14ac:dyDescent="0.2">
      <c r="A2405" s="233">
        <v>0</v>
      </c>
      <c r="B2405" s="233">
        <v>17</v>
      </c>
      <c r="C2405" s="233">
        <v>3</v>
      </c>
      <c r="D2405" s="234">
        <v>4</v>
      </c>
      <c r="E2405" s="234">
        <v>2</v>
      </c>
      <c r="G2405" s="508" t="s">
        <v>50</v>
      </c>
      <c r="H2405" s="493" t="s">
        <v>1238</v>
      </c>
      <c r="I2405" s="460" t="s">
        <v>5701</v>
      </c>
      <c r="J2405" s="495" t="s">
        <v>2892</v>
      </c>
      <c r="K2405" s="496" t="s">
        <v>641</v>
      </c>
      <c r="L2405" s="497" t="e">
        <v>#REF!</v>
      </c>
      <c r="M2405" s="497">
        <v>42</v>
      </c>
      <c r="N2405" s="464"/>
      <c r="O2405" s="498"/>
      <c r="P2405" s="431" t="s">
        <v>6711</v>
      </c>
    </row>
    <row r="2406" spans="1:16" ht="13.5" hidden="1" customHeight="1" outlineLevel="3" x14ac:dyDescent="0.2">
      <c r="A2406" s="233">
        <v>0</v>
      </c>
      <c r="B2406" s="233">
        <v>17</v>
      </c>
      <c r="C2406" s="233">
        <v>3</v>
      </c>
      <c r="D2406" s="234">
        <v>4</v>
      </c>
      <c r="E2406" s="234">
        <v>3</v>
      </c>
      <c r="G2406" s="508" t="s">
        <v>50</v>
      </c>
      <c r="H2406" s="493" t="s">
        <v>1238</v>
      </c>
      <c r="I2406" s="460" t="s">
        <v>5702</v>
      </c>
      <c r="J2406" s="495" t="s">
        <v>783</v>
      </c>
      <c r="K2406" s="496" t="s">
        <v>641</v>
      </c>
      <c r="L2406" s="497" t="e">
        <v>#REF!</v>
      </c>
      <c r="M2406" s="497">
        <v>40</v>
      </c>
      <c r="N2406" s="464"/>
      <c r="O2406" s="498"/>
      <c r="P2406" s="431" t="s">
        <v>6711</v>
      </c>
    </row>
    <row r="2407" spans="1:16" ht="13.5" hidden="1" customHeight="1" outlineLevel="3" x14ac:dyDescent="0.2">
      <c r="A2407" s="233">
        <v>0</v>
      </c>
      <c r="B2407" s="233">
        <v>17</v>
      </c>
      <c r="C2407" s="233">
        <v>3</v>
      </c>
      <c r="D2407" s="234">
        <v>4</v>
      </c>
      <c r="E2407" s="234">
        <v>4</v>
      </c>
      <c r="G2407" s="508" t="s">
        <v>50</v>
      </c>
      <c r="H2407" s="493" t="s">
        <v>1238</v>
      </c>
      <c r="I2407" s="460" t="s">
        <v>5703</v>
      </c>
      <c r="J2407" s="495" t="s">
        <v>1550</v>
      </c>
      <c r="K2407" s="496" t="s">
        <v>641</v>
      </c>
      <c r="L2407" s="497" t="e">
        <v>#REF!</v>
      </c>
      <c r="M2407" s="497">
        <v>20</v>
      </c>
      <c r="N2407" s="464"/>
      <c r="O2407" s="498"/>
      <c r="P2407" s="431" t="s">
        <v>6711</v>
      </c>
    </row>
    <row r="2408" spans="1:16" ht="13.5" hidden="1" customHeight="1" outlineLevel="3" x14ac:dyDescent="0.2">
      <c r="A2408" s="233">
        <v>0</v>
      </c>
      <c r="B2408" s="233">
        <v>17</v>
      </c>
      <c r="C2408" s="233">
        <v>3</v>
      </c>
      <c r="D2408" s="234">
        <v>4</v>
      </c>
      <c r="E2408" s="234">
        <v>5</v>
      </c>
      <c r="G2408" s="508" t="s">
        <v>50</v>
      </c>
      <c r="H2408" s="493" t="s">
        <v>1238</v>
      </c>
      <c r="I2408" s="460" t="s">
        <v>5704</v>
      </c>
      <c r="J2408" s="495" t="s">
        <v>784</v>
      </c>
      <c r="K2408" s="496" t="s">
        <v>641</v>
      </c>
      <c r="L2408" s="497" t="e">
        <v>#REF!</v>
      </c>
      <c r="M2408" s="497">
        <v>40</v>
      </c>
      <c r="N2408" s="464"/>
      <c r="O2408" s="498"/>
      <c r="P2408" s="431" t="s">
        <v>6711</v>
      </c>
    </row>
    <row r="2409" spans="1:16" ht="13.5" hidden="1" customHeight="1" outlineLevel="3" x14ac:dyDescent="0.2">
      <c r="A2409" s="233">
        <v>0</v>
      </c>
      <c r="B2409" s="233">
        <v>17</v>
      </c>
      <c r="C2409" s="233">
        <v>3</v>
      </c>
      <c r="D2409" s="234">
        <v>4</v>
      </c>
      <c r="E2409" s="234">
        <v>6</v>
      </c>
      <c r="G2409" s="508" t="s">
        <v>50</v>
      </c>
      <c r="H2409" s="493" t="s">
        <v>1238</v>
      </c>
      <c r="I2409" s="460" t="s">
        <v>5705</v>
      </c>
      <c r="J2409" s="495" t="s">
        <v>785</v>
      </c>
      <c r="K2409" s="496" t="s">
        <v>641</v>
      </c>
      <c r="L2409" s="497" t="e">
        <v>#REF!</v>
      </c>
      <c r="M2409" s="497">
        <v>40</v>
      </c>
      <c r="N2409" s="464"/>
      <c r="O2409" s="498"/>
      <c r="P2409" s="431" t="s">
        <v>6711</v>
      </c>
    </row>
    <row r="2410" spans="1:16" ht="13.5" hidden="1" customHeight="1" outlineLevel="3" x14ac:dyDescent="0.2">
      <c r="A2410" s="233">
        <v>0</v>
      </c>
      <c r="B2410" s="233">
        <v>17</v>
      </c>
      <c r="C2410" s="233">
        <v>3</v>
      </c>
      <c r="D2410" s="234">
        <v>4</v>
      </c>
      <c r="E2410" s="234">
        <v>7</v>
      </c>
      <c r="G2410" s="508" t="s">
        <v>50</v>
      </c>
      <c r="H2410" s="493" t="s">
        <v>1238</v>
      </c>
      <c r="I2410" s="460" t="s">
        <v>5706</v>
      </c>
      <c r="J2410" s="495" t="s">
        <v>2641</v>
      </c>
      <c r="K2410" s="496" t="s">
        <v>641</v>
      </c>
      <c r="L2410" s="497" t="e">
        <v>#REF!</v>
      </c>
      <c r="M2410" s="497">
        <v>40</v>
      </c>
      <c r="N2410" s="464"/>
      <c r="O2410" s="498"/>
      <c r="P2410" s="431" t="s">
        <v>6711</v>
      </c>
    </row>
    <row r="2411" spans="1:16" ht="13.5" hidden="1" customHeight="1" outlineLevel="1" x14ac:dyDescent="0.2">
      <c r="A2411" s="233">
        <v>0</v>
      </c>
      <c r="B2411" s="233">
        <v>17</v>
      </c>
      <c r="C2411" s="233">
        <v>4</v>
      </c>
      <c r="D2411" s="234">
        <v>0</v>
      </c>
      <c r="E2411" s="234">
        <v>7</v>
      </c>
      <c r="G2411" s="506"/>
      <c r="H2411" s="481" t="s">
        <v>38</v>
      </c>
      <c r="I2411" s="445" t="s">
        <v>5707</v>
      </c>
      <c r="J2411" s="483" t="s">
        <v>2644</v>
      </c>
      <c r="K2411" s="484"/>
      <c r="L2411" s="485"/>
      <c r="M2411" s="485"/>
      <c r="N2411" s="449"/>
      <c r="O2411" s="486"/>
      <c r="P2411" s="429"/>
    </row>
    <row r="2412" spans="1:16" ht="13.5" hidden="1" customHeight="1" outlineLevel="2" x14ac:dyDescent="0.2">
      <c r="A2412" s="233">
        <v>0</v>
      </c>
      <c r="B2412" s="233">
        <v>17</v>
      </c>
      <c r="C2412" s="233">
        <v>4</v>
      </c>
      <c r="D2412" s="234">
        <v>1</v>
      </c>
      <c r="E2412" s="234">
        <v>0</v>
      </c>
      <c r="G2412" s="507"/>
      <c r="H2412" s="487" t="s">
        <v>1237</v>
      </c>
      <c r="I2412" s="452" t="s">
        <v>5708</v>
      </c>
      <c r="J2412" s="489" t="s">
        <v>1530</v>
      </c>
      <c r="K2412" s="490"/>
      <c r="L2412" s="491"/>
      <c r="M2412" s="491"/>
      <c r="N2412" s="456"/>
      <c r="O2412" s="492"/>
      <c r="P2412" s="430"/>
    </row>
    <row r="2413" spans="1:16" ht="13.5" hidden="1" customHeight="1" outlineLevel="3" x14ac:dyDescent="0.2">
      <c r="A2413" s="233">
        <v>0</v>
      </c>
      <c r="B2413" s="233">
        <v>17</v>
      </c>
      <c r="C2413" s="233">
        <v>4</v>
      </c>
      <c r="D2413" s="234">
        <v>1</v>
      </c>
      <c r="E2413" s="234">
        <v>1</v>
      </c>
      <c r="G2413" s="508" t="s">
        <v>50</v>
      </c>
      <c r="H2413" s="493" t="s">
        <v>1238</v>
      </c>
      <c r="I2413" s="460" t="s">
        <v>5709</v>
      </c>
      <c r="J2413" s="495" t="s">
        <v>756</v>
      </c>
      <c r="K2413" s="496" t="s">
        <v>641</v>
      </c>
      <c r="L2413" s="497" t="e">
        <v>#REF!</v>
      </c>
      <c r="M2413" s="497">
        <v>48.294267209876544</v>
      </c>
      <c r="N2413" s="464"/>
      <c r="O2413" s="498"/>
      <c r="P2413" s="431" t="s">
        <v>6711</v>
      </c>
    </row>
    <row r="2414" spans="1:16" ht="13.5" hidden="1" customHeight="1" outlineLevel="2" x14ac:dyDescent="0.2">
      <c r="A2414" s="233">
        <v>0</v>
      </c>
      <c r="B2414" s="233">
        <v>17</v>
      </c>
      <c r="C2414" s="233">
        <v>4</v>
      </c>
      <c r="D2414" s="234">
        <v>2</v>
      </c>
      <c r="E2414" s="234">
        <v>0</v>
      </c>
      <c r="G2414" s="507"/>
      <c r="H2414" s="487" t="s">
        <v>1237</v>
      </c>
      <c r="I2414" s="452" t="s">
        <v>5710</v>
      </c>
      <c r="J2414" s="489" t="s">
        <v>1551</v>
      </c>
      <c r="K2414" s="490"/>
      <c r="L2414" s="491"/>
      <c r="M2414" s="491"/>
      <c r="N2414" s="456"/>
      <c r="O2414" s="492"/>
      <c r="P2414" s="430"/>
    </row>
    <row r="2415" spans="1:16" ht="13.5" hidden="1" customHeight="1" outlineLevel="3" x14ac:dyDescent="0.2">
      <c r="A2415" s="233">
        <v>0</v>
      </c>
      <c r="B2415" s="233">
        <v>17</v>
      </c>
      <c r="C2415" s="233">
        <v>4</v>
      </c>
      <c r="D2415" s="234">
        <v>2</v>
      </c>
      <c r="E2415" s="234">
        <v>1</v>
      </c>
      <c r="G2415" s="508" t="s">
        <v>50</v>
      </c>
      <c r="H2415" s="493" t="s">
        <v>1238</v>
      </c>
      <c r="I2415" s="460" t="s">
        <v>5711</v>
      </c>
      <c r="J2415" s="495" t="s">
        <v>1542</v>
      </c>
      <c r="K2415" s="496" t="s">
        <v>641</v>
      </c>
      <c r="L2415" s="497" t="e">
        <v>#REF!</v>
      </c>
      <c r="M2415" s="497">
        <v>1.7585555555555554</v>
      </c>
      <c r="N2415" s="464"/>
      <c r="O2415" s="498"/>
      <c r="P2415" s="431" t="s">
        <v>6711</v>
      </c>
    </row>
    <row r="2416" spans="1:16" ht="13.5" hidden="1" customHeight="1" outlineLevel="3" x14ac:dyDescent="0.2">
      <c r="A2416" s="233">
        <v>0</v>
      </c>
      <c r="B2416" s="233">
        <v>17</v>
      </c>
      <c r="C2416" s="233">
        <v>4</v>
      </c>
      <c r="D2416" s="234">
        <v>2</v>
      </c>
      <c r="E2416" s="234">
        <v>2</v>
      </c>
      <c r="G2416" s="508" t="s">
        <v>50</v>
      </c>
      <c r="H2416" s="493" t="s">
        <v>1238</v>
      </c>
      <c r="I2416" s="460" t="s">
        <v>5712</v>
      </c>
      <c r="J2416" s="495" t="s">
        <v>1543</v>
      </c>
      <c r="K2416" s="496" t="s">
        <v>641</v>
      </c>
      <c r="L2416" s="497" t="e">
        <v>#REF!</v>
      </c>
      <c r="M2416" s="497">
        <v>4.3491600000000004</v>
      </c>
      <c r="N2416" s="464"/>
      <c r="O2416" s="498"/>
      <c r="P2416" s="431" t="s">
        <v>6711</v>
      </c>
    </row>
    <row r="2417" spans="1:16" ht="13.5" hidden="1" customHeight="1" outlineLevel="3" x14ac:dyDescent="0.2">
      <c r="A2417" s="233">
        <v>0</v>
      </c>
      <c r="B2417" s="233">
        <v>17</v>
      </c>
      <c r="C2417" s="233">
        <v>4</v>
      </c>
      <c r="D2417" s="234">
        <v>2</v>
      </c>
      <c r="E2417" s="234">
        <v>3</v>
      </c>
      <c r="G2417" s="508" t="s">
        <v>50</v>
      </c>
      <c r="H2417" s="493" t="s">
        <v>1238</v>
      </c>
      <c r="I2417" s="460" t="s">
        <v>5713</v>
      </c>
      <c r="J2417" s="495" t="s">
        <v>773</v>
      </c>
      <c r="K2417" s="496" t="s">
        <v>641</v>
      </c>
      <c r="L2417" s="497" t="e">
        <v>#REF!</v>
      </c>
      <c r="M2417" s="497">
        <v>12.1275</v>
      </c>
      <c r="N2417" s="464"/>
      <c r="O2417" s="498"/>
      <c r="P2417" s="431" t="s">
        <v>6711</v>
      </c>
    </row>
    <row r="2418" spans="1:16" ht="13.5" hidden="1" customHeight="1" outlineLevel="3" x14ac:dyDescent="0.2">
      <c r="A2418" s="233">
        <v>0</v>
      </c>
      <c r="B2418" s="233">
        <v>17</v>
      </c>
      <c r="C2418" s="233">
        <v>4</v>
      </c>
      <c r="D2418" s="234">
        <v>2</v>
      </c>
      <c r="E2418" s="234">
        <v>4</v>
      </c>
      <c r="G2418" s="508" t="s">
        <v>50</v>
      </c>
      <c r="H2418" s="493" t="s">
        <v>1238</v>
      </c>
      <c r="I2418" s="460" t="s">
        <v>5714</v>
      </c>
      <c r="J2418" s="461" t="s">
        <v>2891</v>
      </c>
      <c r="K2418" s="462" t="s">
        <v>641</v>
      </c>
      <c r="L2418" s="463" t="e">
        <v>#REF!</v>
      </c>
      <c r="M2418" s="497">
        <v>76.674746222222225</v>
      </c>
      <c r="N2418" s="464"/>
      <c r="O2418" s="465"/>
      <c r="P2418" s="431" t="s">
        <v>6711</v>
      </c>
    </row>
    <row r="2419" spans="1:16" ht="13.5" hidden="1" customHeight="1" outlineLevel="3" x14ac:dyDescent="0.2">
      <c r="A2419" s="233">
        <v>0</v>
      </c>
      <c r="B2419" s="233">
        <v>17</v>
      </c>
      <c r="C2419" s="233">
        <v>4</v>
      </c>
      <c r="D2419" s="234">
        <v>2</v>
      </c>
      <c r="E2419" s="234">
        <v>5</v>
      </c>
      <c r="G2419" s="508" t="s">
        <v>50</v>
      </c>
      <c r="H2419" s="493" t="s">
        <v>1238</v>
      </c>
      <c r="I2419" s="460" t="s">
        <v>5715</v>
      </c>
      <c r="J2419" s="495" t="s">
        <v>769</v>
      </c>
      <c r="K2419" s="496" t="s">
        <v>641</v>
      </c>
      <c r="L2419" s="497" t="e">
        <v>#REF!</v>
      </c>
      <c r="M2419" s="497">
        <v>8.7283160650000013</v>
      </c>
      <c r="N2419" s="464"/>
      <c r="O2419" s="498"/>
      <c r="P2419" s="431" t="s">
        <v>6711</v>
      </c>
    </row>
    <row r="2420" spans="1:16" ht="13.5" hidden="1" customHeight="1" outlineLevel="2" x14ac:dyDescent="0.2">
      <c r="A2420" s="233">
        <v>0</v>
      </c>
      <c r="B2420" s="233">
        <v>17</v>
      </c>
      <c r="C2420" s="233">
        <v>4</v>
      </c>
      <c r="D2420" s="234">
        <v>3</v>
      </c>
      <c r="E2420" s="234">
        <v>0</v>
      </c>
      <c r="G2420" s="507"/>
      <c r="H2420" s="487" t="s">
        <v>1237</v>
      </c>
      <c r="I2420" s="452" t="s">
        <v>5716</v>
      </c>
      <c r="J2420" s="489" t="s">
        <v>1529</v>
      </c>
      <c r="K2420" s="490"/>
      <c r="L2420" s="491"/>
      <c r="M2420" s="491"/>
      <c r="N2420" s="456"/>
      <c r="O2420" s="492"/>
      <c r="P2420" s="430"/>
    </row>
    <row r="2421" spans="1:16" ht="13.5" hidden="1" customHeight="1" outlineLevel="3" x14ac:dyDescent="0.2">
      <c r="A2421" s="233">
        <v>0</v>
      </c>
      <c r="B2421" s="233">
        <v>17</v>
      </c>
      <c r="C2421" s="233">
        <v>4</v>
      </c>
      <c r="D2421" s="234">
        <v>3</v>
      </c>
      <c r="E2421" s="234">
        <v>1</v>
      </c>
      <c r="G2421" s="508" t="s">
        <v>50</v>
      </c>
      <c r="H2421" s="493" t="s">
        <v>1238</v>
      </c>
      <c r="I2421" s="460" t="s">
        <v>5717</v>
      </c>
      <c r="J2421" s="495" t="s">
        <v>2636</v>
      </c>
      <c r="K2421" s="496" t="s">
        <v>641</v>
      </c>
      <c r="L2421" s="497" t="e">
        <v>#REF!</v>
      </c>
      <c r="M2421" s="497">
        <v>1.7585555555555554</v>
      </c>
      <c r="N2421" s="464"/>
      <c r="O2421" s="498"/>
      <c r="P2421" s="431" t="s">
        <v>6711</v>
      </c>
    </row>
    <row r="2422" spans="1:16" ht="13.5" hidden="1" customHeight="1" outlineLevel="3" x14ac:dyDescent="0.2">
      <c r="A2422" s="233">
        <v>0</v>
      </c>
      <c r="B2422" s="233">
        <v>17</v>
      </c>
      <c r="C2422" s="233">
        <v>4</v>
      </c>
      <c r="D2422" s="234">
        <v>3</v>
      </c>
      <c r="E2422" s="234">
        <v>2</v>
      </c>
      <c r="G2422" s="508" t="s">
        <v>50</v>
      </c>
      <c r="H2422" s="493" t="s">
        <v>1238</v>
      </c>
      <c r="I2422" s="460" t="s">
        <v>5718</v>
      </c>
      <c r="J2422" s="495" t="s">
        <v>1868</v>
      </c>
      <c r="K2422" s="496" t="s">
        <v>641</v>
      </c>
      <c r="L2422" s="497" t="e">
        <v>#REF!</v>
      </c>
      <c r="M2422" s="497">
        <v>4.3491600000000004</v>
      </c>
      <c r="N2422" s="464"/>
      <c r="O2422" s="498"/>
      <c r="P2422" s="431" t="s">
        <v>6711</v>
      </c>
    </row>
    <row r="2423" spans="1:16" ht="13.5" hidden="1" customHeight="1" outlineLevel="3" x14ac:dyDescent="0.2">
      <c r="A2423" s="233">
        <v>0</v>
      </c>
      <c r="B2423" s="233">
        <v>17</v>
      </c>
      <c r="C2423" s="233">
        <v>4</v>
      </c>
      <c r="D2423" s="234">
        <v>3</v>
      </c>
      <c r="E2423" s="234">
        <v>3</v>
      </c>
      <c r="G2423" s="508" t="s">
        <v>50</v>
      </c>
      <c r="H2423" s="493" t="s">
        <v>1238</v>
      </c>
      <c r="I2423" s="460" t="s">
        <v>5719</v>
      </c>
      <c r="J2423" s="495" t="s">
        <v>2635</v>
      </c>
      <c r="K2423" s="496" t="s">
        <v>641</v>
      </c>
      <c r="L2423" s="497" t="e">
        <v>#REF!</v>
      </c>
      <c r="M2423" s="497">
        <v>12.1275</v>
      </c>
      <c r="N2423" s="464"/>
      <c r="O2423" s="498"/>
      <c r="P2423" s="431" t="s">
        <v>6711</v>
      </c>
    </row>
    <row r="2424" spans="1:16" ht="13.5" hidden="1" customHeight="1" outlineLevel="3" x14ac:dyDescent="0.2">
      <c r="A2424" s="233">
        <v>0</v>
      </c>
      <c r="B2424" s="233">
        <v>17</v>
      </c>
      <c r="C2424" s="233">
        <v>4</v>
      </c>
      <c r="D2424" s="234">
        <v>3</v>
      </c>
      <c r="E2424" s="234">
        <v>4</v>
      </c>
      <c r="G2424" s="508" t="s">
        <v>50</v>
      </c>
      <c r="H2424" s="493" t="s">
        <v>1238</v>
      </c>
      <c r="I2424" s="460" t="s">
        <v>5720</v>
      </c>
      <c r="J2424" s="495" t="s">
        <v>2637</v>
      </c>
      <c r="K2424" s="496" t="s">
        <v>641</v>
      </c>
      <c r="L2424" s="497" t="e">
        <v>#REF!</v>
      </c>
      <c r="M2424" s="497">
        <v>70.567030666666668</v>
      </c>
      <c r="N2424" s="464"/>
      <c r="O2424" s="498"/>
      <c r="P2424" s="431" t="s">
        <v>6711</v>
      </c>
    </row>
    <row r="2425" spans="1:16" ht="13.5" hidden="1" customHeight="1" outlineLevel="3" x14ac:dyDescent="0.2">
      <c r="A2425" s="233">
        <v>0</v>
      </c>
      <c r="B2425" s="233">
        <v>17</v>
      </c>
      <c r="C2425" s="233">
        <v>4</v>
      </c>
      <c r="D2425" s="234">
        <v>3</v>
      </c>
      <c r="E2425" s="234">
        <v>5</v>
      </c>
      <c r="G2425" s="508" t="s">
        <v>50</v>
      </c>
      <c r="H2425" s="493" t="s">
        <v>1238</v>
      </c>
      <c r="I2425" s="460" t="s">
        <v>5721</v>
      </c>
      <c r="J2425" s="495" t="s">
        <v>770</v>
      </c>
      <c r="K2425" s="496" t="s">
        <v>641</v>
      </c>
      <c r="L2425" s="497" t="e">
        <v>#REF!</v>
      </c>
      <c r="M2425" s="497">
        <v>13.636363636363637</v>
      </c>
      <c r="N2425" s="464"/>
      <c r="O2425" s="498"/>
      <c r="P2425" s="431" t="s">
        <v>6711</v>
      </c>
    </row>
    <row r="2426" spans="1:16" ht="13.5" hidden="1" customHeight="1" outlineLevel="2" x14ac:dyDescent="0.2">
      <c r="A2426" s="233">
        <v>0</v>
      </c>
      <c r="B2426" s="233">
        <v>17</v>
      </c>
      <c r="C2426" s="233">
        <v>4</v>
      </c>
      <c r="D2426" s="234">
        <v>4</v>
      </c>
      <c r="E2426" s="234">
        <v>0</v>
      </c>
      <c r="G2426" s="507"/>
      <c r="H2426" s="487" t="s">
        <v>1237</v>
      </c>
      <c r="I2426" s="452" t="s">
        <v>5722</v>
      </c>
      <c r="J2426" s="489" t="s">
        <v>14</v>
      </c>
      <c r="K2426" s="490"/>
      <c r="L2426" s="491"/>
      <c r="M2426" s="491"/>
      <c r="N2426" s="456"/>
      <c r="O2426" s="492"/>
      <c r="P2426" s="430"/>
    </row>
    <row r="2427" spans="1:16" ht="13.5" hidden="1" customHeight="1" outlineLevel="3" x14ac:dyDescent="0.2">
      <c r="A2427" s="233">
        <v>0</v>
      </c>
      <c r="B2427" s="233">
        <v>17</v>
      </c>
      <c r="C2427" s="233">
        <v>4</v>
      </c>
      <c r="D2427" s="234">
        <v>4</v>
      </c>
      <c r="E2427" s="234">
        <v>1</v>
      </c>
      <c r="G2427" s="508" t="s">
        <v>50</v>
      </c>
      <c r="H2427" s="493" t="s">
        <v>1238</v>
      </c>
      <c r="I2427" s="460" t="s">
        <v>5723</v>
      </c>
      <c r="J2427" s="495" t="s">
        <v>2640</v>
      </c>
      <c r="K2427" s="496" t="s">
        <v>641</v>
      </c>
      <c r="L2427" s="497" t="e">
        <v>#REF!</v>
      </c>
      <c r="M2427" s="497">
        <v>40</v>
      </c>
      <c r="N2427" s="464"/>
      <c r="O2427" s="498"/>
      <c r="P2427" s="431" t="s">
        <v>6711</v>
      </c>
    </row>
    <row r="2428" spans="1:16" ht="13.5" hidden="1" customHeight="1" outlineLevel="3" x14ac:dyDescent="0.2">
      <c r="A2428" s="233">
        <v>0</v>
      </c>
      <c r="B2428" s="233">
        <v>17</v>
      </c>
      <c r="C2428" s="233">
        <v>4</v>
      </c>
      <c r="D2428" s="234">
        <v>4</v>
      </c>
      <c r="E2428" s="234">
        <v>2</v>
      </c>
      <c r="G2428" s="508" t="s">
        <v>50</v>
      </c>
      <c r="H2428" s="493" t="s">
        <v>1238</v>
      </c>
      <c r="I2428" s="460" t="s">
        <v>5724</v>
      </c>
      <c r="J2428" s="495" t="s">
        <v>2892</v>
      </c>
      <c r="K2428" s="496" t="s">
        <v>641</v>
      </c>
      <c r="L2428" s="497" t="e">
        <v>#REF!</v>
      </c>
      <c r="M2428" s="497">
        <v>42</v>
      </c>
      <c r="N2428" s="464"/>
      <c r="O2428" s="498"/>
      <c r="P2428" s="431" t="s">
        <v>6711</v>
      </c>
    </row>
    <row r="2429" spans="1:16" ht="13.5" hidden="1" customHeight="1" outlineLevel="3" x14ac:dyDescent="0.2">
      <c r="A2429" s="233">
        <v>0</v>
      </c>
      <c r="B2429" s="233">
        <v>17</v>
      </c>
      <c r="C2429" s="233">
        <v>4</v>
      </c>
      <c r="D2429" s="234">
        <v>4</v>
      </c>
      <c r="E2429" s="234">
        <v>3</v>
      </c>
      <c r="G2429" s="508" t="s">
        <v>50</v>
      </c>
      <c r="H2429" s="493" t="s">
        <v>1238</v>
      </c>
      <c r="I2429" s="460" t="s">
        <v>5725</v>
      </c>
      <c r="J2429" s="495" t="s">
        <v>783</v>
      </c>
      <c r="K2429" s="496" t="s">
        <v>641</v>
      </c>
      <c r="L2429" s="497" t="e">
        <v>#REF!</v>
      </c>
      <c r="M2429" s="497">
        <v>40</v>
      </c>
      <c r="N2429" s="464"/>
      <c r="O2429" s="498"/>
      <c r="P2429" s="431" t="s">
        <v>6711</v>
      </c>
    </row>
    <row r="2430" spans="1:16" ht="13.5" hidden="1" customHeight="1" outlineLevel="3" x14ac:dyDescent="0.2">
      <c r="A2430" s="233">
        <v>0</v>
      </c>
      <c r="B2430" s="233">
        <v>17</v>
      </c>
      <c r="C2430" s="233">
        <v>4</v>
      </c>
      <c r="D2430" s="234">
        <v>4</v>
      </c>
      <c r="E2430" s="234">
        <v>4</v>
      </c>
      <c r="G2430" s="508" t="s">
        <v>50</v>
      </c>
      <c r="H2430" s="493" t="s">
        <v>1238</v>
      </c>
      <c r="I2430" s="460" t="s">
        <v>5726</v>
      </c>
      <c r="J2430" s="495" t="s">
        <v>1550</v>
      </c>
      <c r="K2430" s="496" t="s">
        <v>641</v>
      </c>
      <c r="L2430" s="497" t="e">
        <v>#REF!</v>
      </c>
      <c r="M2430" s="497">
        <v>20</v>
      </c>
      <c r="N2430" s="464"/>
      <c r="O2430" s="498"/>
      <c r="P2430" s="431" t="s">
        <v>6711</v>
      </c>
    </row>
    <row r="2431" spans="1:16" ht="13.5" hidden="1" customHeight="1" outlineLevel="3" x14ac:dyDescent="0.2">
      <c r="A2431" s="233">
        <v>0</v>
      </c>
      <c r="B2431" s="233">
        <v>17</v>
      </c>
      <c r="C2431" s="233">
        <v>4</v>
      </c>
      <c r="D2431" s="234">
        <v>4</v>
      </c>
      <c r="E2431" s="234">
        <v>5</v>
      </c>
      <c r="G2431" s="508" t="s">
        <v>50</v>
      </c>
      <c r="H2431" s="493" t="s">
        <v>1238</v>
      </c>
      <c r="I2431" s="460" t="s">
        <v>5727</v>
      </c>
      <c r="J2431" s="495" t="s">
        <v>784</v>
      </c>
      <c r="K2431" s="496" t="s">
        <v>641</v>
      </c>
      <c r="L2431" s="497" t="e">
        <v>#REF!</v>
      </c>
      <c r="M2431" s="497">
        <v>40</v>
      </c>
      <c r="N2431" s="464"/>
      <c r="O2431" s="498"/>
      <c r="P2431" s="431" t="s">
        <v>6711</v>
      </c>
    </row>
    <row r="2432" spans="1:16" ht="13.5" hidden="1" customHeight="1" outlineLevel="3" x14ac:dyDescent="0.2">
      <c r="A2432" s="233">
        <v>0</v>
      </c>
      <c r="B2432" s="233">
        <v>17</v>
      </c>
      <c r="C2432" s="233">
        <v>4</v>
      </c>
      <c r="D2432" s="234">
        <v>4</v>
      </c>
      <c r="E2432" s="234">
        <v>6</v>
      </c>
      <c r="G2432" s="508" t="s">
        <v>50</v>
      </c>
      <c r="H2432" s="493" t="s">
        <v>1238</v>
      </c>
      <c r="I2432" s="460" t="s">
        <v>5728</v>
      </c>
      <c r="J2432" s="495" t="s">
        <v>785</v>
      </c>
      <c r="K2432" s="496" t="s">
        <v>641</v>
      </c>
      <c r="L2432" s="497" t="e">
        <v>#REF!</v>
      </c>
      <c r="M2432" s="497">
        <v>40</v>
      </c>
      <c r="N2432" s="464"/>
      <c r="O2432" s="498"/>
      <c r="P2432" s="431" t="s">
        <v>6711</v>
      </c>
    </row>
    <row r="2433" spans="1:16" ht="13.5" hidden="1" customHeight="1" outlineLevel="3" x14ac:dyDescent="0.2">
      <c r="A2433" s="233">
        <v>0</v>
      </c>
      <c r="B2433" s="233">
        <v>17</v>
      </c>
      <c r="C2433" s="233">
        <v>4</v>
      </c>
      <c r="D2433" s="234">
        <v>4</v>
      </c>
      <c r="E2433" s="234">
        <v>7</v>
      </c>
      <c r="G2433" s="508" t="s">
        <v>50</v>
      </c>
      <c r="H2433" s="493" t="s">
        <v>1238</v>
      </c>
      <c r="I2433" s="460" t="s">
        <v>5729</v>
      </c>
      <c r="J2433" s="495" t="s">
        <v>2641</v>
      </c>
      <c r="K2433" s="496" t="s">
        <v>641</v>
      </c>
      <c r="L2433" s="497" t="e">
        <v>#REF!</v>
      </c>
      <c r="M2433" s="497">
        <v>40</v>
      </c>
      <c r="N2433" s="464"/>
      <c r="O2433" s="498"/>
      <c r="P2433" s="431" t="s">
        <v>6711</v>
      </c>
    </row>
    <row r="2434" spans="1:16" ht="13.5" hidden="1" customHeight="1" outlineLevel="1" x14ac:dyDescent="0.2">
      <c r="A2434" s="233">
        <v>0</v>
      </c>
      <c r="B2434" s="233">
        <v>17</v>
      </c>
      <c r="C2434" s="233">
        <v>5</v>
      </c>
      <c r="D2434" s="234">
        <v>0</v>
      </c>
      <c r="E2434" s="234">
        <v>7</v>
      </c>
      <c r="G2434" s="506"/>
      <c r="H2434" s="481" t="s">
        <v>38</v>
      </c>
      <c r="I2434" s="445" t="s">
        <v>5730</v>
      </c>
      <c r="J2434" s="483" t="s">
        <v>2645</v>
      </c>
      <c r="K2434" s="484"/>
      <c r="L2434" s="485"/>
      <c r="M2434" s="485"/>
      <c r="N2434" s="449"/>
      <c r="O2434" s="486"/>
      <c r="P2434" s="429"/>
    </row>
    <row r="2435" spans="1:16" ht="13.5" hidden="1" customHeight="1" outlineLevel="2" x14ac:dyDescent="0.2">
      <c r="A2435" s="233">
        <v>0</v>
      </c>
      <c r="B2435" s="233">
        <v>17</v>
      </c>
      <c r="C2435" s="233">
        <v>5</v>
      </c>
      <c r="D2435" s="234">
        <v>1</v>
      </c>
      <c r="E2435" s="234">
        <v>0</v>
      </c>
      <c r="G2435" s="507"/>
      <c r="H2435" s="487" t="s">
        <v>1237</v>
      </c>
      <c r="I2435" s="452" t="s">
        <v>5731</v>
      </c>
      <c r="J2435" s="489" t="s">
        <v>1530</v>
      </c>
      <c r="K2435" s="490"/>
      <c r="L2435" s="491"/>
      <c r="M2435" s="491"/>
      <c r="N2435" s="456"/>
      <c r="O2435" s="492"/>
      <c r="P2435" s="430"/>
    </row>
    <row r="2436" spans="1:16" ht="13.5" hidden="1" customHeight="1" outlineLevel="3" x14ac:dyDescent="0.2">
      <c r="A2436" s="233">
        <v>0</v>
      </c>
      <c r="B2436" s="233">
        <v>17</v>
      </c>
      <c r="C2436" s="233">
        <v>5</v>
      </c>
      <c r="D2436" s="234">
        <v>1</v>
      </c>
      <c r="E2436" s="234">
        <v>1</v>
      </c>
      <c r="G2436" s="508" t="s">
        <v>50</v>
      </c>
      <c r="H2436" s="493" t="s">
        <v>1238</v>
      </c>
      <c r="I2436" s="460" t="s">
        <v>5732</v>
      </c>
      <c r="J2436" s="495" t="s">
        <v>756</v>
      </c>
      <c r="K2436" s="496" t="s">
        <v>641</v>
      </c>
      <c r="L2436" s="497" t="e">
        <v>#REF!</v>
      </c>
      <c r="M2436" s="497">
        <v>48.294267209876544</v>
      </c>
      <c r="N2436" s="464"/>
      <c r="O2436" s="498"/>
      <c r="P2436" s="431" t="s">
        <v>6711</v>
      </c>
    </row>
    <row r="2437" spans="1:16" ht="13.5" hidden="1" customHeight="1" outlineLevel="2" x14ac:dyDescent="0.2">
      <c r="A2437" s="233">
        <v>0</v>
      </c>
      <c r="B2437" s="233">
        <v>17</v>
      </c>
      <c r="C2437" s="233">
        <v>5</v>
      </c>
      <c r="D2437" s="234">
        <v>2</v>
      </c>
      <c r="E2437" s="234">
        <v>0</v>
      </c>
      <c r="G2437" s="507"/>
      <c r="H2437" s="487" t="s">
        <v>1237</v>
      </c>
      <c r="I2437" s="452" t="s">
        <v>5733</v>
      </c>
      <c r="J2437" s="489" t="s">
        <v>1551</v>
      </c>
      <c r="K2437" s="490"/>
      <c r="L2437" s="491"/>
      <c r="M2437" s="491"/>
      <c r="N2437" s="456"/>
      <c r="O2437" s="492"/>
      <c r="P2437" s="430"/>
    </row>
    <row r="2438" spans="1:16" ht="13.5" hidden="1" customHeight="1" outlineLevel="3" x14ac:dyDescent="0.2">
      <c r="A2438" s="233">
        <v>0</v>
      </c>
      <c r="B2438" s="233">
        <v>17</v>
      </c>
      <c r="C2438" s="233">
        <v>5</v>
      </c>
      <c r="D2438" s="234">
        <v>2</v>
      </c>
      <c r="E2438" s="234">
        <v>1</v>
      </c>
      <c r="G2438" s="508" t="s">
        <v>50</v>
      </c>
      <c r="H2438" s="493" t="s">
        <v>1238</v>
      </c>
      <c r="I2438" s="460" t="s">
        <v>5734</v>
      </c>
      <c r="J2438" s="495" t="s">
        <v>1542</v>
      </c>
      <c r="K2438" s="496" t="s">
        <v>641</v>
      </c>
      <c r="L2438" s="497" t="e">
        <v>#REF!</v>
      </c>
      <c r="M2438" s="497">
        <v>1.7585555555555554</v>
      </c>
      <c r="N2438" s="464"/>
      <c r="O2438" s="498"/>
      <c r="P2438" s="431" t="s">
        <v>6711</v>
      </c>
    </row>
    <row r="2439" spans="1:16" ht="13.5" hidden="1" customHeight="1" outlineLevel="3" x14ac:dyDescent="0.2">
      <c r="A2439" s="233">
        <v>0</v>
      </c>
      <c r="B2439" s="233">
        <v>17</v>
      </c>
      <c r="C2439" s="233">
        <v>5</v>
      </c>
      <c r="D2439" s="234">
        <v>2</v>
      </c>
      <c r="E2439" s="234">
        <v>2</v>
      </c>
      <c r="G2439" s="508" t="s">
        <v>50</v>
      </c>
      <c r="H2439" s="493" t="s">
        <v>1238</v>
      </c>
      <c r="I2439" s="460" t="s">
        <v>5735</v>
      </c>
      <c r="J2439" s="495" t="s">
        <v>1543</v>
      </c>
      <c r="K2439" s="496" t="s">
        <v>641</v>
      </c>
      <c r="L2439" s="497" t="e">
        <v>#REF!</v>
      </c>
      <c r="M2439" s="497">
        <v>4.3491600000000004</v>
      </c>
      <c r="N2439" s="464"/>
      <c r="O2439" s="498"/>
      <c r="P2439" s="431" t="s">
        <v>6711</v>
      </c>
    </row>
    <row r="2440" spans="1:16" ht="13.5" hidden="1" customHeight="1" outlineLevel="3" x14ac:dyDescent="0.2">
      <c r="A2440" s="233">
        <v>0</v>
      </c>
      <c r="B2440" s="233">
        <v>17</v>
      </c>
      <c r="C2440" s="233">
        <v>5</v>
      </c>
      <c r="D2440" s="234">
        <v>2</v>
      </c>
      <c r="E2440" s="234">
        <v>3</v>
      </c>
      <c r="G2440" s="508" t="s">
        <v>50</v>
      </c>
      <c r="H2440" s="493" t="s">
        <v>1238</v>
      </c>
      <c r="I2440" s="460" t="s">
        <v>5736</v>
      </c>
      <c r="J2440" s="495" t="s">
        <v>773</v>
      </c>
      <c r="K2440" s="496" t="s">
        <v>641</v>
      </c>
      <c r="L2440" s="497" t="e">
        <v>#REF!</v>
      </c>
      <c r="M2440" s="497">
        <v>12.1275</v>
      </c>
      <c r="N2440" s="464"/>
      <c r="O2440" s="498"/>
      <c r="P2440" s="431" t="s">
        <v>6711</v>
      </c>
    </row>
    <row r="2441" spans="1:16" ht="13.5" hidden="1" customHeight="1" outlineLevel="3" x14ac:dyDescent="0.2">
      <c r="A2441" s="233">
        <v>0</v>
      </c>
      <c r="B2441" s="233">
        <v>17</v>
      </c>
      <c r="C2441" s="233">
        <v>5</v>
      </c>
      <c r="D2441" s="234">
        <v>2</v>
      </c>
      <c r="E2441" s="234">
        <v>4</v>
      </c>
      <c r="G2441" s="508" t="s">
        <v>50</v>
      </c>
      <c r="H2441" s="493" t="s">
        <v>1238</v>
      </c>
      <c r="I2441" s="460" t="s">
        <v>5737</v>
      </c>
      <c r="J2441" s="461" t="s">
        <v>2891</v>
      </c>
      <c r="K2441" s="462" t="s">
        <v>641</v>
      </c>
      <c r="L2441" s="463" t="e">
        <v>#REF!</v>
      </c>
      <c r="M2441" s="497">
        <v>76.674746222222225</v>
      </c>
      <c r="N2441" s="464"/>
      <c r="O2441" s="465"/>
      <c r="P2441" s="431" t="s">
        <v>6711</v>
      </c>
    </row>
    <row r="2442" spans="1:16" ht="13.5" hidden="1" customHeight="1" outlineLevel="3" x14ac:dyDescent="0.2">
      <c r="A2442" s="233">
        <v>0</v>
      </c>
      <c r="B2442" s="233">
        <v>17</v>
      </c>
      <c r="C2442" s="233">
        <v>5</v>
      </c>
      <c r="D2442" s="234">
        <v>2</v>
      </c>
      <c r="E2442" s="234">
        <v>5</v>
      </c>
      <c r="G2442" s="508" t="s">
        <v>50</v>
      </c>
      <c r="H2442" s="493" t="s">
        <v>1238</v>
      </c>
      <c r="I2442" s="460" t="s">
        <v>5738</v>
      </c>
      <c r="J2442" s="495" t="s">
        <v>769</v>
      </c>
      <c r="K2442" s="496" t="s">
        <v>641</v>
      </c>
      <c r="L2442" s="497" t="e">
        <v>#REF!</v>
      </c>
      <c r="M2442" s="497">
        <v>8.7283160650000013</v>
      </c>
      <c r="N2442" s="464"/>
      <c r="O2442" s="498"/>
      <c r="P2442" s="431" t="s">
        <v>6711</v>
      </c>
    </row>
    <row r="2443" spans="1:16" ht="13.5" hidden="1" customHeight="1" outlineLevel="2" x14ac:dyDescent="0.2">
      <c r="A2443" s="233">
        <v>0</v>
      </c>
      <c r="B2443" s="233">
        <v>17</v>
      </c>
      <c r="C2443" s="233">
        <v>5</v>
      </c>
      <c r="D2443" s="234">
        <v>3</v>
      </c>
      <c r="E2443" s="234">
        <v>0</v>
      </c>
      <c r="G2443" s="507"/>
      <c r="H2443" s="487" t="s">
        <v>1237</v>
      </c>
      <c r="I2443" s="452" t="s">
        <v>5739</v>
      </c>
      <c r="J2443" s="489" t="s">
        <v>1529</v>
      </c>
      <c r="K2443" s="490"/>
      <c r="L2443" s="491"/>
      <c r="M2443" s="491"/>
      <c r="N2443" s="456"/>
      <c r="O2443" s="492"/>
      <c r="P2443" s="430"/>
    </row>
    <row r="2444" spans="1:16" ht="13.5" hidden="1" customHeight="1" outlineLevel="3" x14ac:dyDescent="0.2">
      <c r="A2444" s="233">
        <v>0</v>
      </c>
      <c r="B2444" s="233">
        <v>17</v>
      </c>
      <c r="C2444" s="233">
        <v>5</v>
      </c>
      <c r="D2444" s="234">
        <v>3</v>
      </c>
      <c r="E2444" s="234">
        <v>1</v>
      </c>
      <c r="G2444" s="508" t="s">
        <v>50</v>
      </c>
      <c r="H2444" s="493" t="s">
        <v>1238</v>
      </c>
      <c r="I2444" s="460" t="s">
        <v>5740</v>
      </c>
      <c r="J2444" s="495" t="s">
        <v>2636</v>
      </c>
      <c r="K2444" s="496" t="s">
        <v>641</v>
      </c>
      <c r="L2444" s="497" t="e">
        <v>#REF!</v>
      </c>
      <c r="M2444" s="497">
        <v>1.7585555555555554</v>
      </c>
      <c r="N2444" s="464"/>
      <c r="O2444" s="498"/>
      <c r="P2444" s="431" t="s">
        <v>6711</v>
      </c>
    </row>
    <row r="2445" spans="1:16" ht="13.5" hidden="1" customHeight="1" outlineLevel="3" x14ac:dyDescent="0.2">
      <c r="A2445" s="233">
        <v>0</v>
      </c>
      <c r="B2445" s="233">
        <v>17</v>
      </c>
      <c r="C2445" s="233">
        <v>5</v>
      </c>
      <c r="D2445" s="234">
        <v>3</v>
      </c>
      <c r="E2445" s="234">
        <v>2</v>
      </c>
      <c r="G2445" s="508" t="s">
        <v>50</v>
      </c>
      <c r="H2445" s="493" t="s">
        <v>1238</v>
      </c>
      <c r="I2445" s="460" t="s">
        <v>5741</v>
      </c>
      <c r="J2445" s="495" t="s">
        <v>1868</v>
      </c>
      <c r="K2445" s="496" t="s">
        <v>641</v>
      </c>
      <c r="L2445" s="497" t="e">
        <v>#REF!</v>
      </c>
      <c r="M2445" s="497">
        <v>4.3491600000000004</v>
      </c>
      <c r="N2445" s="464"/>
      <c r="O2445" s="498"/>
      <c r="P2445" s="431" t="s">
        <v>6711</v>
      </c>
    </row>
    <row r="2446" spans="1:16" ht="13.5" hidden="1" customHeight="1" outlineLevel="3" x14ac:dyDescent="0.2">
      <c r="A2446" s="233">
        <v>0</v>
      </c>
      <c r="B2446" s="233">
        <v>17</v>
      </c>
      <c r="C2446" s="233">
        <v>5</v>
      </c>
      <c r="D2446" s="234">
        <v>3</v>
      </c>
      <c r="E2446" s="234">
        <v>3</v>
      </c>
      <c r="G2446" s="508" t="s">
        <v>50</v>
      </c>
      <c r="H2446" s="493" t="s">
        <v>1238</v>
      </c>
      <c r="I2446" s="460" t="s">
        <v>5742</v>
      </c>
      <c r="J2446" s="495" t="s">
        <v>2635</v>
      </c>
      <c r="K2446" s="496" t="s">
        <v>641</v>
      </c>
      <c r="L2446" s="497" t="e">
        <v>#REF!</v>
      </c>
      <c r="M2446" s="497">
        <v>12.1275</v>
      </c>
      <c r="N2446" s="464"/>
      <c r="O2446" s="498"/>
      <c r="P2446" s="431" t="s">
        <v>6711</v>
      </c>
    </row>
    <row r="2447" spans="1:16" ht="13.5" hidden="1" customHeight="1" outlineLevel="3" x14ac:dyDescent="0.2">
      <c r="A2447" s="233">
        <v>0</v>
      </c>
      <c r="B2447" s="233">
        <v>17</v>
      </c>
      <c r="C2447" s="233">
        <v>5</v>
      </c>
      <c r="D2447" s="234">
        <v>3</v>
      </c>
      <c r="E2447" s="234">
        <v>4</v>
      </c>
      <c r="G2447" s="508" t="s">
        <v>50</v>
      </c>
      <c r="H2447" s="493" t="s">
        <v>1238</v>
      </c>
      <c r="I2447" s="460" t="s">
        <v>5743</v>
      </c>
      <c r="J2447" s="495" t="s">
        <v>2637</v>
      </c>
      <c r="K2447" s="496" t="s">
        <v>641</v>
      </c>
      <c r="L2447" s="497" t="e">
        <v>#REF!</v>
      </c>
      <c r="M2447" s="497">
        <v>70.567030666666668</v>
      </c>
      <c r="N2447" s="464"/>
      <c r="O2447" s="498"/>
      <c r="P2447" s="431" t="s">
        <v>6711</v>
      </c>
    </row>
    <row r="2448" spans="1:16" ht="13.5" hidden="1" customHeight="1" outlineLevel="3" x14ac:dyDescent="0.2">
      <c r="A2448" s="233">
        <v>0</v>
      </c>
      <c r="B2448" s="233">
        <v>17</v>
      </c>
      <c r="C2448" s="233">
        <v>5</v>
      </c>
      <c r="D2448" s="234">
        <v>3</v>
      </c>
      <c r="E2448" s="234">
        <v>5</v>
      </c>
      <c r="G2448" s="508" t="s">
        <v>50</v>
      </c>
      <c r="H2448" s="493" t="s">
        <v>1238</v>
      </c>
      <c r="I2448" s="460" t="s">
        <v>5744</v>
      </c>
      <c r="J2448" s="495" t="s">
        <v>770</v>
      </c>
      <c r="K2448" s="496" t="s">
        <v>641</v>
      </c>
      <c r="L2448" s="497" t="e">
        <v>#REF!</v>
      </c>
      <c r="M2448" s="497">
        <v>13.636363636363637</v>
      </c>
      <c r="N2448" s="464"/>
      <c r="O2448" s="498"/>
      <c r="P2448" s="431" t="s">
        <v>6711</v>
      </c>
    </row>
    <row r="2449" spans="1:16" ht="13.5" hidden="1" customHeight="1" outlineLevel="2" x14ac:dyDescent="0.2">
      <c r="A2449" s="233">
        <v>0</v>
      </c>
      <c r="B2449" s="233">
        <v>17</v>
      </c>
      <c r="C2449" s="233">
        <v>5</v>
      </c>
      <c r="D2449" s="234">
        <v>4</v>
      </c>
      <c r="E2449" s="234">
        <v>0</v>
      </c>
      <c r="G2449" s="507"/>
      <c r="H2449" s="487" t="s">
        <v>1237</v>
      </c>
      <c r="I2449" s="452" t="s">
        <v>5745</v>
      </c>
      <c r="J2449" s="489" t="s">
        <v>14</v>
      </c>
      <c r="K2449" s="490"/>
      <c r="L2449" s="491"/>
      <c r="M2449" s="491"/>
      <c r="N2449" s="456"/>
      <c r="O2449" s="492"/>
      <c r="P2449" s="430"/>
    </row>
    <row r="2450" spans="1:16" ht="13.5" hidden="1" customHeight="1" outlineLevel="3" x14ac:dyDescent="0.2">
      <c r="A2450" s="233">
        <v>0</v>
      </c>
      <c r="B2450" s="233">
        <v>17</v>
      </c>
      <c r="C2450" s="233">
        <v>5</v>
      </c>
      <c r="D2450" s="234">
        <v>4</v>
      </c>
      <c r="E2450" s="234">
        <v>1</v>
      </c>
      <c r="G2450" s="508" t="s">
        <v>50</v>
      </c>
      <c r="H2450" s="493" t="s">
        <v>1238</v>
      </c>
      <c r="I2450" s="460" t="s">
        <v>5746</v>
      </c>
      <c r="J2450" s="495" t="s">
        <v>2640</v>
      </c>
      <c r="K2450" s="496" t="s">
        <v>641</v>
      </c>
      <c r="L2450" s="497" t="e">
        <v>#REF!</v>
      </c>
      <c r="M2450" s="497">
        <v>40</v>
      </c>
      <c r="N2450" s="464"/>
      <c r="O2450" s="498"/>
      <c r="P2450" s="431" t="s">
        <v>6711</v>
      </c>
    </row>
    <row r="2451" spans="1:16" ht="13.5" hidden="1" customHeight="1" outlineLevel="3" x14ac:dyDescent="0.2">
      <c r="A2451" s="233">
        <v>0</v>
      </c>
      <c r="B2451" s="233">
        <v>17</v>
      </c>
      <c r="C2451" s="233">
        <v>5</v>
      </c>
      <c r="D2451" s="234">
        <v>4</v>
      </c>
      <c r="E2451" s="234">
        <v>2</v>
      </c>
      <c r="G2451" s="508" t="s">
        <v>50</v>
      </c>
      <c r="H2451" s="493" t="s">
        <v>1238</v>
      </c>
      <c r="I2451" s="460" t="s">
        <v>5747</v>
      </c>
      <c r="J2451" s="495" t="s">
        <v>2892</v>
      </c>
      <c r="K2451" s="496" t="s">
        <v>641</v>
      </c>
      <c r="L2451" s="497" t="e">
        <v>#REF!</v>
      </c>
      <c r="M2451" s="497">
        <v>42</v>
      </c>
      <c r="N2451" s="464"/>
      <c r="O2451" s="498"/>
      <c r="P2451" s="431" t="s">
        <v>6711</v>
      </c>
    </row>
    <row r="2452" spans="1:16" ht="13.5" hidden="1" customHeight="1" outlineLevel="3" x14ac:dyDescent="0.2">
      <c r="A2452" s="233">
        <v>0</v>
      </c>
      <c r="B2452" s="233">
        <v>17</v>
      </c>
      <c r="C2452" s="233">
        <v>5</v>
      </c>
      <c r="D2452" s="234">
        <v>4</v>
      </c>
      <c r="E2452" s="234">
        <v>3</v>
      </c>
      <c r="G2452" s="508" t="s">
        <v>50</v>
      </c>
      <c r="H2452" s="493" t="s">
        <v>1238</v>
      </c>
      <c r="I2452" s="460" t="s">
        <v>5748</v>
      </c>
      <c r="J2452" s="495" t="s">
        <v>783</v>
      </c>
      <c r="K2452" s="496" t="s">
        <v>641</v>
      </c>
      <c r="L2452" s="497" t="e">
        <v>#REF!</v>
      </c>
      <c r="M2452" s="497">
        <v>40</v>
      </c>
      <c r="N2452" s="464"/>
      <c r="O2452" s="498"/>
      <c r="P2452" s="431" t="s">
        <v>6711</v>
      </c>
    </row>
    <row r="2453" spans="1:16" ht="13.5" hidden="1" customHeight="1" outlineLevel="3" x14ac:dyDescent="0.2">
      <c r="A2453" s="233">
        <v>0</v>
      </c>
      <c r="B2453" s="233">
        <v>17</v>
      </c>
      <c r="C2453" s="233">
        <v>5</v>
      </c>
      <c r="D2453" s="234">
        <v>4</v>
      </c>
      <c r="E2453" s="234">
        <v>4</v>
      </c>
      <c r="G2453" s="508" t="s">
        <v>50</v>
      </c>
      <c r="H2453" s="493" t="s">
        <v>1238</v>
      </c>
      <c r="I2453" s="460" t="s">
        <v>5749</v>
      </c>
      <c r="J2453" s="495" t="s">
        <v>1550</v>
      </c>
      <c r="K2453" s="496" t="s">
        <v>641</v>
      </c>
      <c r="L2453" s="497" t="e">
        <v>#REF!</v>
      </c>
      <c r="M2453" s="497">
        <v>20</v>
      </c>
      <c r="N2453" s="464"/>
      <c r="O2453" s="498"/>
      <c r="P2453" s="431" t="s">
        <v>6711</v>
      </c>
    </row>
    <row r="2454" spans="1:16" ht="13.5" hidden="1" customHeight="1" outlineLevel="3" x14ac:dyDescent="0.2">
      <c r="A2454" s="233">
        <v>0</v>
      </c>
      <c r="B2454" s="233">
        <v>17</v>
      </c>
      <c r="C2454" s="233">
        <v>5</v>
      </c>
      <c r="D2454" s="234">
        <v>4</v>
      </c>
      <c r="E2454" s="234">
        <v>5</v>
      </c>
      <c r="G2454" s="508" t="s">
        <v>50</v>
      </c>
      <c r="H2454" s="493" t="s">
        <v>1238</v>
      </c>
      <c r="I2454" s="460" t="s">
        <v>5750</v>
      </c>
      <c r="J2454" s="495" t="s">
        <v>784</v>
      </c>
      <c r="K2454" s="496" t="s">
        <v>641</v>
      </c>
      <c r="L2454" s="497" t="e">
        <v>#REF!</v>
      </c>
      <c r="M2454" s="497">
        <v>40</v>
      </c>
      <c r="N2454" s="464"/>
      <c r="O2454" s="498"/>
      <c r="P2454" s="431" t="s">
        <v>6711</v>
      </c>
    </row>
    <row r="2455" spans="1:16" ht="13.5" hidden="1" customHeight="1" outlineLevel="3" x14ac:dyDescent="0.2">
      <c r="A2455" s="233">
        <v>0</v>
      </c>
      <c r="B2455" s="233">
        <v>17</v>
      </c>
      <c r="C2455" s="233">
        <v>5</v>
      </c>
      <c r="D2455" s="234">
        <v>4</v>
      </c>
      <c r="E2455" s="234">
        <v>6</v>
      </c>
      <c r="G2455" s="508" t="s">
        <v>50</v>
      </c>
      <c r="H2455" s="493" t="s">
        <v>1238</v>
      </c>
      <c r="I2455" s="460" t="s">
        <v>5751</v>
      </c>
      <c r="J2455" s="495" t="s">
        <v>785</v>
      </c>
      <c r="K2455" s="496" t="s">
        <v>641</v>
      </c>
      <c r="L2455" s="497" t="e">
        <v>#REF!</v>
      </c>
      <c r="M2455" s="497">
        <v>40</v>
      </c>
      <c r="N2455" s="464"/>
      <c r="O2455" s="498"/>
      <c r="P2455" s="431" t="s">
        <v>6711</v>
      </c>
    </row>
    <row r="2456" spans="1:16" ht="13.5" hidden="1" customHeight="1" outlineLevel="3" x14ac:dyDescent="0.2">
      <c r="A2456" s="233">
        <v>0</v>
      </c>
      <c r="B2456" s="233">
        <v>17</v>
      </c>
      <c r="C2456" s="233">
        <v>5</v>
      </c>
      <c r="D2456" s="234">
        <v>4</v>
      </c>
      <c r="E2456" s="234">
        <v>7</v>
      </c>
      <c r="G2456" s="508" t="s">
        <v>50</v>
      </c>
      <c r="H2456" s="493" t="s">
        <v>1238</v>
      </c>
      <c r="I2456" s="460" t="s">
        <v>5752</v>
      </c>
      <c r="J2456" s="495" t="s">
        <v>2641</v>
      </c>
      <c r="K2456" s="496" t="s">
        <v>641</v>
      </c>
      <c r="L2456" s="497" t="e">
        <v>#REF!</v>
      </c>
      <c r="M2456" s="497">
        <v>40</v>
      </c>
      <c r="N2456" s="464"/>
      <c r="O2456" s="498"/>
      <c r="P2456" s="431" t="s">
        <v>6711</v>
      </c>
    </row>
    <row r="2457" spans="1:16" ht="13.5" hidden="1" customHeight="1" outlineLevel="1" x14ac:dyDescent="0.2">
      <c r="A2457" s="233">
        <v>0</v>
      </c>
      <c r="B2457" s="233">
        <v>17</v>
      </c>
      <c r="C2457" s="233">
        <v>6</v>
      </c>
      <c r="D2457" s="234">
        <v>0</v>
      </c>
      <c r="E2457" s="234">
        <v>7</v>
      </c>
      <c r="G2457" s="506"/>
      <c r="H2457" s="481" t="s">
        <v>38</v>
      </c>
      <c r="I2457" s="445" t="s">
        <v>5753</v>
      </c>
      <c r="J2457" s="483" t="s">
        <v>2646</v>
      </c>
      <c r="K2457" s="484"/>
      <c r="L2457" s="485"/>
      <c r="M2457" s="485"/>
      <c r="N2457" s="449"/>
      <c r="O2457" s="486"/>
      <c r="P2457" s="429"/>
    </row>
    <row r="2458" spans="1:16" ht="13.5" hidden="1" customHeight="1" outlineLevel="2" x14ac:dyDescent="0.2">
      <c r="A2458" s="233">
        <v>0</v>
      </c>
      <c r="B2458" s="233">
        <v>17</v>
      </c>
      <c r="C2458" s="233">
        <v>6</v>
      </c>
      <c r="D2458" s="234">
        <v>1</v>
      </c>
      <c r="E2458" s="234">
        <v>0</v>
      </c>
      <c r="G2458" s="507"/>
      <c r="H2458" s="487" t="s">
        <v>1237</v>
      </c>
      <c r="I2458" s="452" t="s">
        <v>5754</v>
      </c>
      <c r="J2458" s="489" t="s">
        <v>1530</v>
      </c>
      <c r="K2458" s="490"/>
      <c r="L2458" s="491"/>
      <c r="M2458" s="491"/>
      <c r="N2458" s="456"/>
      <c r="O2458" s="492"/>
      <c r="P2458" s="430"/>
    </row>
    <row r="2459" spans="1:16" ht="13.5" hidden="1" customHeight="1" outlineLevel="3" x14ac:dyDescent="0.2">
      <c r="A2459" s="233">
        <v>0</v>
      </c>
      <c r="B2459" s="233">
        <v>17</v>
      </c>
      <c r="C2459" s="233">
        <v>6</v>
      </c>
      <c r="D2459" s="234">
        <v>1</v>
      </c>
      <c r="E2459" s="234">
        <v>1</v>
      </c>
      <c r="G2459" s="508" t="s">
        <v>50</v>
      </c>
      <c r="H2459" s="493" t="s">
        <v>1238</v>
      </c>
      <c r="I2459" s="460" t="s">
        <v>5755</v>
      </c>
      <c r="J2459" s="495" t="s">
        <v>756</v>
      </c>
      <c r="K2459" s="496" t="s">
        <v>641</v>
      </c>
      <c r="L2459" s="497" t="e">
        <v>#REF!</v>
      </c>
      <c r="M2459" s="497">
        <v>48.294267209876544</v>
      </c>
      <c r="N2459" s="464"/>
      <c r="O2459" s="498"/>
      <c r="P2459" s="431" t="s">
        <v>6711</v>
      </c>
    </row>
    <row r="2460" spans="1:16" ht="13.5" hidden="1" customHeight="1" outlineLevel="2" x14ac:dyDescent="0.2">
      <c r="A2460" s="233">
        <v>0</v>
      </c>
      <c r="B2460" s="233">
        <v>17</v>
      </c>
      <c r="C2460" s="233">
        <v>6</v>
      </c>
      <c r="D2460" s="234">
        <v>2</v>
      </c>
      <c r="E2460" s="234">
        <v>0</v>
      </c>
      <c r="G2460" s="507"/>
      <c r="H2460" s="487" t="s">
        <v>1237</v>
      </c>
      <c r="I2460" s="452" t="s">
        <v>5756</v>
      </c>
      <c r="J2460" s="489" t="s">
        <v>1551</v>
      </c>
      <c r="K2460" s="490"/>
      <c r="L2460" s="491"/>
      <c r="M2460" s="491"/>
      <c r="N2460" s="456"/>
      <c r="O2460" s="492"/>
      <c r="P2460" s="430"/>
    </row>
    <row r="2461" spans="1:16" ht="13.5" hidden="1" customHeight="1" outlineLevel="3" x14ac:dyDescent="0.2">
      <c r="A2461" s="233">
        <v>0</v>
      </c>
      <c r="B2461" s="233">
        <v>17</v>
      </c>
      <c r="C2461" s="233">
        <v>6</v>
      </c>
      <c r="D2461" s="234">
        <v>2</v>
      </c>
      <c r="E2461" s="234">
        <v>1</v>
      </c>
      <c r="G2461" s="508" t="s">
        <v>50</v>
      </c>
      <c r="H2461" s="493" t="s">
        <v>1238</v>
      </c>
      <c r="I2461" s="460" t="s">
        <v>5757</v>
      </c>
      <c r="J2461" s="495" t="s">
        <v>1542</v>
      </c>
      <c r="K2461" s="496" t="s">
        <v>641</v>
      </c>
      <c r="L2461" s="497" t="e">
        <v>#REF!</v>
      </c>
      <c r="M2461" s="497">
        <v>1.7585555555555554</v>
      </c>
      <c r="N2461" s="464"/>
      <c r="O2461" s="498"/>
      <c r="P2461" s="431" t="s">
        <v>6711</v>
      </c>
    </row>
    <row r="2462" spans="1:16" ht="13.5" hidden="1" customHeight="1" outlineLevel="3" x14ac:dyDescent="0.2">
      <c r="A2462" s="233">
        <v>0</v>
      </c>
      <c r="B2462" s="233">
        <v>17</v>
      </c>
      <c r="C2462" s="233">
        <v>6</v>
      </c>
      <c r="D2462" s="234">
        <v>2</v>
      </c>
      <c r="E2462" s="234">
        <v>2</v>
      </c>
      <c r="G2462" s="508" t="s">
        <v>50</v>
      </c>
      <c r="H2462" s="493" t="s">
        <v>1238</v>
      </c>
      <c r="I2462" s="460" t="s">
        <v>5758</v>
      </c>
      <c r="J2462" s="495" t="s">
        <v>1543</v>
      </c>
      <c r="K2462" s="496" t="s">
        <v>641</v>
      </c>
      <c r="L2462" s="497" t="e">
        <v>#REF!</v>
      </c>
      <c r="M2462" s="497">
        <v>4.3491600000000004</v>
      </c>
      <c r="N2462" s="464"/>
      <c r="O2462" s="498"/>
      <c r="P2462" s="431" t="s">
        <v>6711</v>
      </c>
    </row>
    <row r="2463" spans="1:16" ht="13.5" hidden="1" customHeight="1" outlineLevel="3" x14ac:dyDescent="0.2">
      <c r="A2463" s="233">
        <v>0</v>
      </c>
      <c r="B2463" s="233">
        <v>17</v>
      </c>
      <c r="C2463" s="233">
        <v>6</v>
      </c>
      <c r="D2463" s="234">
        <v>2</v>
      </c>
      <c r="E2463" s="234">
        <v>3</v>
      </c>
      <c r="G2463" s="508" t="s">
        <v>50</v>
      </c>
      <c r="H2463" s="493" t="s">
        <v>1238</v>
      </c>
      <c r="I2463" s="460" t="s">
        <v>5759</v>
      </c>
      <c r="J2463" s="495" t="s">
        <v>773</v>
      </c>
      <c r="K2463" s="496" t="s">
        <v>641</v>
      </c>
      <c r="L2463" s="497" t="e">
        <v>#REF!</v>
      </c>
      <c r="M2463" s="497">
        <v>12.1275</v>
      </c>
      <c r="N2463" s="464"/>
      <c r="O2463" s="498"/>
      <c r="P2463" s="431" t="s">
        <v>6711</v>
      </c>
    </row>
    <row r="2464" spans="1:16" ht="13.5" hidden="1" customHeight="1" outlineLevel="3" x14ac:dyDescent="0.2">
      <c r="A2464" s="233">
        <v>0</v>
      </c>
      <c r="B2464" s="233">
        <v>17</v>
      </c>
      <c r="C2464" s="233">
        <v>6</v>
      </c>
      <c r="D2464" s="234">
        <v>2</v>
      </c>
      <c r="E2464" s="234">
        <v>4</v>
      </c>
      <c r="G2464" s="508" t="s">
        <v>50</v>
      </c>
      <c r="H2464" s="493" t="s">
        <v>1238</v>
      </c>
      <c r="I2464" s="460" t="s">
        <v>5760</v>
      </c>
      <c r="J2464" s="495" t="s">
        <v>2623</v>
      </c>
      <c r="K2464" s="496" t="s">
        <v>641</v>
      </c>
      <c r="L2464" s="497" t="e">
        <v>#REF!</v>
      </c>
      <c r="M2464" s="497">
        <v>22.507959374999999</v>
      </c>
      <c r="N2464" s="464"/>
      <c r="O2464" s="498"/>
      <c r="P2464" s="431" t="s">
        <v>6711</v>
      </c>
    </row>
    <row r="2465" spans="1:16" ht="13.5" hidden="1" customHeight="1" outlineLevel="3" x14ac:dyDescent="0.2">
      <c r="A2465" s="233">
        <v>0</v>
      </c>
      <c r="B2465" s="233">
        <v>17</v>
      </c>
      <c r="C2465" s="233">
        <v>6</v>
      </c>
      <c r="D2465" s="234">
        <v>2</v>
      </c>
      <c r="E2465" s="234">
        <v>5</v>
      </c>
      <c r="G2465" s="508" t="s">
        <v>50</v>
      </c>
      <c r="H2465" s="493" t="s">
        <v>1238</v>
      </c>
      <c r="I2465" s="460" t="s">
        <v>5761</v>
      </c>
      <c r="J2465" s="461" t="s">
        <v>2891</v>
      </c>
      <c r="K2465" s="462" t="s">
        <v>641</v>
      </c>
      <c r="L2465" s="463" t="e">
        <v>#REF!</v>
      </c>
      <c r="M2465" s="497">
        <v>76.674746222222225</v>
      </c>
      <c r="N2465" s="464"/>
      <c r="O2465" s="465"/>
      <c r="P2465" s="431" t="s">
        <v>6711</v>
      </c>
    </row>
    <row r="2466" spans="1:16" ht="13.5" hidden="1" customHeight="1" outlineLevel="3" x14ac:dyDescent="0.2">
      <c r="A2466" s="233">
        <v>0</v>
      </c>
      <c r="B2466" s="233">
        <v>17</v>
      </c>
      <c r="C2466" s="233">
        <v>6</v>
      </c>
      <c r="D2466" s="234">
        <v>2</v>
      </c>
      <c r="E2466" s="234">
        <v>6</v>
      </c>
      <c r="G2466" s="508" t="s">
        <v>50</v>
      </c>
      <c r="H2466" s="493" t="s">
        <v>1238</v>
      </c>
      <c r="I2466" s="460" t="s">
        <v>5762</v>
      </c>
      <c r="J2466" s="495" t="s">
        <v>769</v>
      </c>
      <c r="K2466" s="496" t="s">
        <v>641</v>
      </c>
      <c r="L2466" s="497" t="e">
        <v>#REF!</v>
      </c>
      <c r="M2466" s="497">
        <v>8.7283160650000013</v>
      </c>
      <c r="N2466" s="464"/>
      <c r="O2466" s="498"/>
      <c r="P2466" s="431" t="s">
        <v>6711</v>
      </c>
    </row>
    <row r="2467" spans="1:16" ht="13.5" hidden="1" customHeight="1" outlineLevel="2" x14ac:dyDescent="0.2">
      <c r="A2467" s="233">
        <v>0</v>
      </c>
      <c r="B2467" s="233">
        <v>17</v>
      </c>
      <c r="C2467" s="233">
        <v>6</v>
      </c>
      <c r="D2467" s="234">
        <v>3</v>
      </c>
      <c r="E2467" s="234">
        <v>0</v>
      </c>
      <c r="G2467" s="507"/>
      <c r="H2467" s="487" t="s">
        <v>1237</v>
      </c>
      <c r="I2467" s="452" t="s">
        <v>5763</v>
      </c>
      <c r="J2467" s="489" t="s">
        <v>1529</v>
      </c>
      <c r="K2467" s="490"/>
      <c r="L2467" s="491"/>
      <c r="M2467" s="491"/>
      <c r="N2467" s="456"/>
      <c r="O2467" s="492"/>
      <c r="P2467" s="430"/>
    </row>
    <row r="2468" spans="1:16" ht="13.5" hidden="1" customHeight="1" outlineLevel="3" x14ac:dyDescent="0.2">
      <c r="A2468" s="233">
        <v>0</v>
      </c>
      <c r="B2468" s="233">
        <v>17</v>
      </c>
      <c r="C2468" s="233">
        <v>6</v>
      </c>
      <c r="D2468" s="234">
        <v>3</v>
      </c>
      <c r="E2468" s="234">
        <v>1</v>
      </c>
      <c r="G2468" s="508" t="s">
        <v>50</v>
      </c>
      <c r="H2468" s="493" t="s">
        <v>1238</v>
      </c>
      <c r="I2468" s="460" t="s">
        <v>5764</v>
      </c>
      <c r="J2468" s="495" t="s">
        <v>2636</v>
      </c>
      <c r="K2468" s="496" t="s">
        <v>641</v>
      </c>
      <c r="L2468" s="497" t="e">
        <v>#REF!</v>
      </c>
      <c r="M2468" s="497">
        <v>1.7585555555555554</v>
      </c>
      <c r="N2468" s="464"/>
      <c r="O2468" s="498"/>
      <c r="P2468" s="431" t="s">
        <v>6711</v>
      </c>
    </row>
    <row r="2469" spans="1:16" ht="13.5" hidden="1" customHeight="1" outlineLevel="3" x14ac:dyDescent="0.2">
      <c r="A2469" s="233">
        <v>0</v>
      </c>
      <c r="B2469" s="233">
        <v>17</v>
      </c>
      <c r="C2469" s="233">
        <v>6</v>
      </c>
      <c r="D2469" s="234">
        <v>3</v>
      </c>
      <c r="E2469" s="234">
        <v>2</v>
      </c>
      <c r="G2469" s="508" t="s">
        <v>50</v>
      </c>
      <c r="H2469" s="493" t="s">
        <v>1238</v>
      </c>
      <c r="I2469" s="460" t="s">
        <v>5765</v>
      </c>
      <c r="J2469" s="495" t="s">
        <v>1868</v>
      </c>
      <c r="K2469" s="496" t="s">
        <v>641</v>
      </c>
      <c r="L2469" s="497" t="e">
        <v>#REF!</v>
      </c>
      <c r="M2469" s="497">
        <v>4.3491600000000004</v>
      </c>
      <c r="N2469" s="464"/>
      <c r="O2469" s="498"/>
      <c r="P2469" s="431" t="s">
        <v>6711</v>
      </c>
    </row>
    <row r="2470" spans="1:16" ht="13.5" hidden="1" customHeight="1" outlineLevel="3" x14ac:dyDescent="0.2">
      <c r="A2470" s="233">
        <v>0</v>
      </c>
      <c r="B2470" s="233">
        <v>17</v>
      </c>
      <c r="C2470" s="233">
        <v>6</v>
      </c>
      <c r="D2470" s="234">
        <v>3</v>
      </c>
      <c r="E2470" s="234">
        <v>3</v>
      </c>
      <c r="G2470" s="508" t="s">
        <v>50</v>
      </c>
      <c r="H2470" s="493" t="s">
        <v>1238</v>
      </c>
      <c r="I2470" s="460" t="s">
        <v>5766</v>
      </c>
      <c r="J2470" s="495" t="s">
        <v>2635</v>
      </c>
      <c r="K2470" s="496" t="s">
        <v>641</v>
      </c>
      <c r="L2470" s="497" t="e">
        <v>#REF!</v>
      </c>
      <c r="M2470" s="497">
        <v>12.1275</v>
      </c>
      <c r="N2470" s="464"/>
      <c r="O2470" s="498"/>
      <c r="P2470" s="431" t="s">
        <v>6711</v>
      </c>
    </row>
    <row r="2471" spans="1:16" ht="13.5" hidden="1" customHeight="1" outlineLevel="3" x14ac:dyDescent="0.2">
      <c r="A2471" s="233">
        <v>0</v>
      </c>
      <c r="B2471" s="233">
        <v>17</v>
      </c>
      <c r="C2471" s="233">
        <v>6</v>
      </c>
      <c r="D2471" s="234">
        <v>3</v>
      </c>
      <c r="E2471" s="234">
        <v>4</v>
      </c>
      <c r="G2471" s="508" t="s">
        <v>50</v>
      </c>
      <c r="H2471" s="493" t="s">
        <v>1238</v>
      </c>
      <c r="I2471" s="460" t="s">
        <v>5767</v>
      </c>
      <c r="J2471" s="495" t="s">
        <v>2637</v>
      </c>
      <c r="K2471" s="496" t="s">
        <v>641</v>
      </c>
      <c r="L2471" s="497" t="e">
        <v>#REF!</v>
      </c>
      <c r="M2471" s="497">
        <v>70.567030666666668</v>
      </c>
      <c r="N2471" s="464"/>
      <c r="O2471" s="498"/>
      <c r="P2471" s="431" t="s">
        <v>6711</v>
      </c>
    </row>
    <row r="2472" spans="1:16" ht="13.5" hidden="1" customHeight="1" outlineLevel="3" x14ac:dyDescent="0.2">
      <c r="A2472" s="233">
        <v>0</v>
      </c>
      <c r="B2472" s="233">
        <v>17</v>
      </c>
      <c r="C2472" s="233">
        <v>6</v>
      </c>
      <c r="D2472" s="234">
        <v>3</v>
      </c>
      <c r="E2472" s="234">
        <v>5</v>
      </c>
      <c r="G2472" s="508" t="s">
        <v>50</v>
      </c>
      <c r="H2472" s="493" t="s">
        <v>1238</v>
      </c>
      <c r="I2472" s="460" t="s">
        <v>5768</v>
      </c>
      <c r="J2472" s="495" t="s">
        <v>770</v>
      </c>
      <c r="K2472" s="496" t="s">
        <v>641</v>
      </c>
      <c r="L2472" s="497" t="e">
        <v>#REF!</v>
      </c>
      <c r="M2472" s="497">
        <v>13.636363636363637</v>
      </c>
      <c r="N2472" s="464"/>
      <c r="O2472" s="498"/>
      <c r="P2472" s="431" t="s">
        <v>6711</v>
      </c>
    </row>
    <row r="2473" spans="1:16" ht="13.5" hidden="1" customHeight="1" outlineLevel="2" x14ac:dyDescent="0.2">
      <c r="A2473" s="233">
        <v>0</v>
      </c>
      <c r="B2473" s="233">
        <v>17</v>
      </c>
      <c r="C2473" s="233">
        <v>6</v>
      </c>
      <c r="D2473" s="234">
        <v>4</v>
      </c>
      <c r="E2473" s="234">
        <v>0</v>
      </c>
      <c r="G2473" s="507"/>
      <c r="H2473" s="487" t="s">
        <v>1237</v>
      </c>
      <c r="I2473" s="452" t="s">
        <v>5769</v>
      </c>
      <c r="J2473" s="489" t="s">
        <v>14</v>
      </c>
      <c r="K2473" s="490"/>
      <c r="L2473" s="491"/>
      <c r="M2473" s="491"/>
      <c r="N2473" s="456"/>
      <c r="O2473" s="492"/>
      <c r="P2473" s="430"/>
    </row>
    <row r="2474" spans="1:16" ht="13.5" hidden="1" customHeight="1" outlineLevel="3" x14ac:dyDescent="0.2">
      <c r="A2474" s="233">
        <v>0</v>
      </c>
      <c r="B2474" s="233">
        <v>17</v>
      </c>
      <c r="C2474" s="233">
        <v>6</v>
      </c>
      <c r="D2474" s="234">
        <v>4</v>
      </c>
      <c r="E2474" s="234">
        <v>1</v>
      </c>
      <c r="G2474" s="508" t="s">
        <v>50</v>
      </c>
      <c r="H2474" s="493" t="s">
        <v>1238</v>
      </c>
      <c r="I2474" s="460" t="s">
        <v>5770</v>
      </c>
      <c r="J2474" s="495" t="s">
        <v>2640</v>
      </c>
      <c r="K2474" s="496" t="s">
        <v>641</v>
      </c>
      <c r="L2474" s="497" t="e">
        <v>#REF!</v>
      </c>
      <c r="M2474" s="497">
        <v>40</v>
      </c>
      <c r="N2474" s="464"/>
      <c r="O2474" s="498"/>
      <c r="P2474" s="431" t="s">
        <v>6711</v>
      </c>
    </row>
    <row r="2475" spans="1:16" ht="13.5" hidden="1" customHeight="1" outlineLevel="3" x14ac:dyDescent="0.2">
      <c r="A2475" s="233">
        <v>0</v>
      </c>
      <c r="B2475" s="233">
        <v>17</v>
      </c>
      <c r="C2475" s="233">
        <v>6</v>
      </c>
      <c r="D2475" s="234">
        <v>4</v>
      </c>
      <c r="E2475" s="234">
        <v>2</v>
      </c>
      <c r="G2475" s="508" t="s">
        <v>50</v>
      </c>
      <c r="H2475" s="493" t="s">
        <v>1238</v>
      </c>
      <c r="I2475" s="460" t="s">
        <v>5771</v>
      </c>
      <c r="J2475" s="495" t="s">
        <v>2892</v>
      </c>
      <c r="K2475" s="496" t="s">
        <v>641</v>
      </c>
      <c r="L2475" s="497" t="e">
        <v>#REF!</v>
      </c>
      <c r="M2475" s="497">
        <v>42</v>
      </c>
      <c r="N2475" s="464"/>
      <c r="O2475" s="498"/>
      <c r="P2475" s="431" t="s">
        <v>6711</v>
      </c>
    </row>
    <row r="2476" spans="1:16" ht="13.5" hidden="1" customHeight="1" outlineLevel="3" x14ac:dyDescent="0.2">
      <c r="A2476" s="233">
        <v>0</v>
      </c>
      <c r="B2476" s="233">
        <v>17</v>
      </c>
      <c r="C2476" s="233">
        <v>6</v>
      </c>
      <c r="D2476" s="234">
        <v>4</v>
      </c>
      <c r="E2476" s="234">
        <v>3</v>
      </c>
      <c r="G2476" s="508" t="s">
        <v>50</v>
      </c>
      <c r="H2476" s="493" t="s">
        <v>1238</v>
      </c>
      <c r="I2476" s="460" t="s">
        <v>5772</v>
      </c>
      <c r="J2476" s="495" t="s">
        <v>783</v>
      </c>
      <c r="K2476" s="496" t="s">
        <v>641</v>
      </c>
      <c r="L2476" s="497" t="e">
        <v>#REF!</v>
      </c>
      <c r="M2476" s="497">
        <v>40</v>
      </c>
      <c r="N2476" s="464"/>
      <c r="O2476" s="498"/>
      <c r="P2476" s="431" t="s">
        <v>6711</v>
      </c>
    </row>
    <row r="2477" spans="1:16" ht="13.5" hidden="1" customHeight="1" outlineLevel="3" x14ac:dyDescent="0.2">
      <c r="A2477" s="233">
        <v>0</v>
      </c>
      <c r="B2477" s="233">
        <v>17</v>
      </c>
      <c r="C2477" s="233">
        <v>6</v>
      </c>
      <c r="D2477" s="234">
        <v>4</v>
      </c>
      <c r="E2477" s="234">
        <v>4</v>
      </c>
      <c r="G2477" s="508" t="s">
        <v>50</v>
      </c>
      <c r="H2477" s="493" t="s">
        <v>1238</v>
      </c>
      <c r="I2477" s="460" t="s">
        <v>5773</v>
      </c>
      <c r="J2477" s="495" t="s">
        <v>1550</v>
      </c>
      <c r="K2477" s="496" t="s">
        <v>641</v>
      </c>
      <c r="L2477" s="497" t="e">
        <v>#REF!</v>
      </c>
      <c r="M2477" s="497">
        <v>20</v>
      </c>
      <c r="N2477" s="464"/>
      <c r="O2477" s="498"/>
      <c r="P2477" s="431" t="s">
        <v>6711</v>
      </c>
    </row>
    <row r="2478" spans="1:16" ht="13.5" hidden="1" customHeight="1" outlineLevel="3" x14ac:dyDescent="0.2">
      <c r="A2478" s="233">
        <v>0</v>
      </c>
      <c r="B2478" s="233">
        <v>17</v>
      </c>
      <c r="C2478" s="233">
        <v>6</v>
      </c>
      <c r="D2478" s="234">
        <v>4</v>
      </c>
      <c r="E2478" s="234">
        <v>5</v>
      </c>
      <c r="G2478" s="508" t="s">
        <v>50</v>
      </c>
      <c r="H2478" s="493" t="s">
        <v>1238</v>
      </c>
      <c r="I2478" s="460" t="s">
        <v>5774</v>
      </c>
      <c r="J2478" s="495" t="s">
        <v>784</v>
      </c>
      <c r="K2478" s="496" t="s">
        <v>641</v>
      </c>
      <c r="L2478" s="497" t="e">
        <v>#REF!</v>
      </c>
      <c r="M2478" s="497">
        <v>40</v>
      </c>
      <c r="N2478" s="464"/>
      <c r="O2478" s="498"/>
      <c r="P2478" s="431" t="s">
        <v>6711</v>
      </c>
    </row>
    <row r="2479" spans="1:16" ht="13.5" hidden="1" customHeight="1" outlineLevel="3" x14ac:dyDescent="0.2">
      <c r="A2479" s="233">
        <v>0</v>
      </c>
      <c r="B2479" s="233">
        <v>17</v>
      </c>
      <c r="C2479" s="233">
        <v>6</v>
      </c>
      <c r="D2479" s="234">
        <v>4</v>
      </c>
      <c r="E2479" s="234">
        <v>6</v>
      </c>
      <c r="G2479" s="508" t="s">
        <v>50</v>
      </c>
      <c r="H2479" s="493" t="s">
        <v>1238</v>
      </c>
      <c r="I2479" s="460" t="s">
        <v>5775</v>
      </c>
      <c r="J2479" s="495" t="s">
        <v>785</v>
      </c>
      <c r="K2479" s="496" t="s">
        <v>641</v>
      </c>
      <c r="L2479" s="497" t="e">
        <v>#REF!</v>
      </c>
      <c r="M2479" s="497">
        <v>40</v>
      </c>
      <c r="N2479" s="464"/>
      <c r="O2479" s="498"/>
      <c r="P2479" s="431" t="s">
        <v>6711</v>
      </c>
    </row>
    <row r="2480" spans="1:16" ht="13.5" hidden="1" customHeight="1" outlineLevel="3" x14ac:dyDescent="0.2">
      <c r="A2480" s="233">
        <v>0</v>
      </c>
      <c r="B2480" s="233">
        <v>17</v>
      </c>
      <c r="C2480" s="233">
        <v>6</v>
      </c>
      <c r="D2480" s="234">
        <v>4</v>
      </c>
      <c r="E2480" s="234">
        <v>7</v>
      </c>
      <c r="G2480" s="508" t="s">
        <v>50</v>
      </c>
      <c r="H2480" s="493" t="s">
        <v>1238</v>
      </c>
      <c r="I2480" s="460" t="s">
        <v>5776</v>
      </c>
      <c r="J2480" s="495" t="s">
        <v>2641</v>
      </c>
      <c r="K2480" s="496" t="s">
        <v>641</v>
      </c>
      <c r="L2480" s="497" t="e">
        <v>#REF!</v>
      </c>
      <c r="M2480" s="497">
        <v>40</v>
      </c>
      <c r="N2480" s="464"/>
      <c r="O2480" s="498"/>
      <c r="P2480" s="431" t="s">
        <v>6711</v>
      </c>
    </row>
    <row r="2481" spans="1:16" ht="13.5" hidden="1" customHeight="1" outlineLevel="1" x14ac:dyDescent="0.2">
      <c r="A2481" s="233">
        <v>0</v>
      </c>
      <c r="B2481" s="233">
        <v>17</v>
      </c>
      <c r="C2481" s="233">
        <v>7</v>
      </c>
      <c r="D2481" s="234">
        <v>0</v>
      </c>
      <c r="E2481" s="234">
        <v>7</v>
      </c>
      <c r="G2481" s="506"/>
      <c r="H2481" s="481" t="s">
        <v>38</v>
      </c>
      <c r="I2481" s="445" t="s">
        <v>5777</v>
      </c>
      <c r="J2481" s="483" t="s">
        <v>2647</v>
      </c>
      <c r="K2481" s="484"/>
      <c r="L2481" s="485"/>
      <c r="M2481" s="485"/>
      <c r="N2481" s="449"/>
      <c r="O2481" s="486"/>
      <c r="P2481" s="429"/>
    </row>
    <row r="2482" spans="1:16" ht="13.5" hidden="1" customHeight="1" outlineLevel="2" x14ac:dyDescent="0.2">
      <c r="A2482" s="233">
        <v>0</v>
      </c>
      <c r="B2482" s="233">
        <v>17</v>
      </c>
      <c r="C2482" s="233">
        <v>7</v>
      </c>
      <c r="D2482" s="234">
        <v>1</v>
      </c>
      <c r="E2482" s="234">
        <v>0</v>
      </c>
      <c r="G2482" s="507"/>
      <c r="H2482" s="487" t="s">
        <v>1237</v>
      </c>
      <c r="I2482" s="452" t="s">
        <v>5778</v>
      </c>
      <c r="J2482" s="489" t="s">
        <v>1530</v>
      </c>
      <c r="K2482" s="490"/>
      <c r="L2482" s="491"/>
      <c r="M2482" s="491"/>
      <c r="N2482" s="456"/>
      <c r="O2482" s="492"/>
      <c r="P2482" s="430"/>
    </row>
    <row r="2483" spans="1:16" ht="13.5" hidden="1" customHeight="1" outlineLevel="3" x14ac:dyDescent="0.2">
      <c r="A2483" s="233">
        <v>0</v>
      </c>
      <c r="B2483" s="233">
        <v>17</v>
      </c>
      <c r="C2483" s="233">
        <v>7</v>
      </c>
      <c r="D2483" s="234">
        <v>1</v>
      </c>
      <c r="E2483" s="234">
        <v>1</v>
      </c>
      <c r="G2483" s="508" t="s">
        <v>50</v>
      </c>
      <c r="H2483" s="493" t="s">
        <v>1238</v>
      </c>
      <c r="I2483" s="460" t="s">
        <v>5779</v>
      </c>
      <c r="J2483" s="495" t="s">
        <v>756</v>
      </c>
      <c r="K2483" s="496" t="s">
        <v>641</v>
      </c>
      <c r="L2483" s="497" t="e">
        <v>#REF!</v>
      </c>
      <c r="M2483" s="497">
        <v>48.294267209876544</v>
      </c>
      <c r="N2483" s="464"/>
      <c r="O2483" s="498"/>
      <c r="P2483" s="431" t="s">
        <v>6711</v>
      </c>
    </row>
    <row r="2484" spans="1:16" ht="13.5" hidden="1" customHeight="1" outlineLevel="2" x14ac:dyDescent="0.2">
      <c r="A2484" s="233">
        <v>0</v>
      </c>
      <c r="B2484" s="233">
        <v>17</v>
      </c>
      <c r="C2484" s="233">
        <v>7</v>
      </c>
      <c r="D2484" s="234">
        <v>2</v>
      </c>
      <c r="E2484" s="234">
        <v>0</v>
      </c>
      <c r="G2484" s="507"/>
      <c r="H2484" s="487" t="s">
        <v>1237</v>
      </c>
      <c r="I2484" s="452" t="s">
        <v>5780</v>
      </c>
      <c r="J2484" s="489" t="s">
        <v>1551</v>
      </c>
      <c r="K2484" s="490"/>
      <c r="L2484" s="491"/>
      <c r="M2484" s="491"/>
      <c r="N2484" s="456"/>
      <c r="O2484" s="492"/>
      <c r="P2484" s="430"/>
    </row>
    <row r="2485" spans="1:16" ht="13.5" hidden="1" customHeight="1" outlineLevel="3" x14ac:dyDescent="0.2">
      <c r="A2485" s="233">
        <v>0</v>
      </c>
      <c r="B2485" s="233">
        <v>17</v>
      </c>
      <c r="C2485" s="233">
        <v>7</v>
      </c>
      <c r="D2485" s="234">
        <v>2</v>
      </c>
      <c r="E2485" s="234">
        <v>1</v>
      </c>
      <c r="G2485" s="508" t="s">
        <v>50</v>
      </c>
      <c r="H2485" s="493" t="s">
        <v>1238</v>
      </c>
      <c r="I2485" s="460" t="s">
        <v>5781</v>
      </c>
      <c r="J2485" s="495" t="s">
        <v>1542</v>
      </c>
      <c r="K2485" s="496" t="s">
        <v>641</v>
      </c>
      <c r="L2485" s="497" t="e">
        <v>#REF!</v>
      </c>
      <c r="M2485" s="497">
        <v>1.7585555555555554</v>
      </c>
      <c r="N2485" s="464"/>
      <c r="O2485" s="498"/>
      <c r="P2485" s="431" t="s">
        <v>6711</v>
      </c>
    </row>
    <row r="2486" spans="1:16" ht="13.5" hidden="1" customHeight="1" outlineLevel="3" x14ac:dyDescent="0.2">
      <c r="A2486" s="233">
        <v>0</v>
      </c>
      <c r="B2486" s="233">
        <v>17</v>
      </c>
      <c r="C2486" s="233">
        <v>7</v>
      </c>
      <c r="D2486" s="234">
        <v>2</v>
      </c>
      <c r="E2486" s="234">
        <v>2</v>
      </c>
      <c r="G2486" s="508" t="s">
        <v>50</v>
      </c>
      <c r="H2486" s="493" t="s">
        <v>1238</v>
      </c>
      <c r="I2486" s="460" t="s">
        <v>5782</v>
      </c>
      <c r="J2486" s="495" t="s">
        <v>1543</v>
      </c>
      <c r="K2486" s="496" t="s">
        <v>641</v>
      </c>
      <c r="L2486" s="497" t="e">
        <v>#REF!</v>
      </c>
      <c r="M2486" s="497">
        <v>4.3491600000000004</v>
      </c>
      <c r="N2486" s="464"/>
      <c r="O2486" s="498"/>
      <c r="P2486" s="431" t="s">
        <v>6711</v>
      </c>
    </row>
    <row r="2487" spans="1:16" ht="13.5" hidden="1" customHeight="1" outlineLevel="3" x14ac:dyDescent="0.2">
      <c r="A2487" s="233">
        <v>0</v>
      </c>
      <c r="B2487" s="233">
        <v>17</v>
      </c>
      <c r="C2487" s="233">
        <v>7</v>
      </c>
      <c r="D2487" s="234">
        <v>2</v>
      </c>
      <c r="E2487" s="234">
        <v>3</v>
      </c>
      <c r="G2487" s="508" t="s">
        <v>50</v>
      </c>
      <c r="H2487" s="493" t="s">
        <v>1238</v>
      </c>
      <c r="I2487" s="460" t="s">
        <v>5783</v>
      </c>
      <c r="J2487" s="495" t="s">
        <v>773</v>
      </c>
      <c r="K2487" s="496" t="s">
        <v>641</v>
      </c>
      <c r="L2487" s="497" t="e">
        <v>#REF!</v>
      </c>
      <c r="M2487" s="497">
        <v>12.1275</v>
      </c>
      <c r="N2487" s="464"/>
      <c r="O2487" s="498"/>
      <c r="P2487" s="431" t="s">
        <v>6711</v>
      </c>
    </row>
    <row r="2488" spans="1:16" ht="13.5" hidden="1" customHeight="1" outlineLevel="3" x14ac:dyDescent="0.2">
      <c r="A2488" s="233">
        <v>0</v>
      </c>
      <c r="B2488" s="233">
        <v>17</v>
      </c>
      <c r="C2488" s="233">
        <v>7</v>
      </c>
      <c r="D2488" s="234">
        <v>2</v>
      </c>
      <c r="E2488" s="234">
        <v>4</v>
      </c>
      <c r="G2488" s="508" t="s">
        <v>50</v>
      </c>
      <c r="H2488" s="493" t="s">
        <v>1238</v>
      </c>
      <c r="I2488" s="460" t="s">
        <v>5784</v>
      </c>
      <c r="J2488" s="495" t="s">
        <v>2626</v>
      </c>
      <c r="K2488" s="496" t="s">
        <v>641</v>
      </c>
      <c r="L2488" s="497" t="e">
        <v>#REF!</v>
      </c>
      <c r="M2488" s="497">
        <v>20.468868749999999</v>
      </c>
      <c r="N2488" s="464"/>
      <c r="O2488" s="498"/>
      <c r="P2488" s="431" t="s">
        <v>6711</v>
      </c>
    </row>
    <row r="2489" spans="1:16" ht="13.5" hidden="1" customHeight="1" outlineLevel="3" x14ac:dyDescent="0.2">
      <c r="A2489" s="233">
        <v>0</v>
      </c>
      <c r="B2489" s="233">
        <v>17</v>
      </c>
      <c r="C2489" s="233">
        <v>7</v>
      </c>
      <c r="D2489" s="234">
        <v>2</v>
      </c>
      <c r="E2489" s="234">
        <v>5</v>
      </c>
      <c r="G2489" s="508" t="s">
        <v>50</v>
      </c>
      <c r="H2489" s="493" t="s">
        <v>1238</v>
      </c>
      <c r="I2489" s="460" t="s">
        <v>5785</v>
      </c>
      <c r="J2489" s="461" t="s">
        <v>2891</v>
      </c>
      <c r="K2489" s="462" t="s">
        <v>641</v>
      </c>
      <c r="L2489" s="463" t="e">
        <v>#REF!</v>
      </c>
      <c r="M2489" s="497">
        <v>76.674746222222225</v>
      </c>
      <c r="N2489" s="464"/>
      <c r="O2489" s="465"/>
      <c r="P2489" s="431" t="s">
        <v>6711</v>
      </c>
    </row>
    <row r="2490" spans="1:16" ht="13.5" hidden="1" customHeight="1" outlineLevel="3" x14ac:dyDescent="0.2">
      <c r="A2490" s="233">
        <v>0</v>
      </c>
      <c r="B2490" s="233">
        <v>17</v>
      </c>
      <c r="C2490" s="233">
        <v>7</v>
      </c>
      <c r="D2490" s="234">
        <v>2</v>
      </c>
      <c r="E2490" s="234">
        <v>6</v>
      </c>
      <c r="G2490" s="508" t="s">
        <v>50</v>
      </c>
      <c r="H2490" s="493" t="s">
        <v>1238</v>
      </c>
      <c r="I2490" s="460" t="s">
        <v>5786</v>
      </c>
      <c r="J2490" s="495" t="s">
        <v>2629</v>
      </c>
      <c r="K2490" s="496" t="s">
        <v>641</v>
      </c>
      <c r="L2490" s="497" t="e">
        <v>#REF!</v>
      </c>
      <c r="M2490" s="497">
        <v>66.75</v>
      </c>
      <c r="N2490" s="464"/>
      <c r="O2490" s="498"/>
      <c r="P2490" s="431" t="s">
        <v>6711</v>
      </c>
    </row>
    <row r="2491" spans="1:16" ht="13.5" hidden="1" customHeight="1" outlineLevel="3" x14ac:dyDescent="0.2">
      <c r="A2491" s="233">
        <v>0</v>
      </c>
      <c r="B2491" s="233">
        <v>17</v>
      </c>
      <c r="C2491" s="233">
        <v>7</v>
      </c>
      <c r="D2491" s="234">
        <v>2</v>
      </c>
      <c r="E2491" s="234">
        <v>7</v>
      </c>
      <c r="G2491" s="508" t="s">
        <v>50</v>
      </c>
      <c r="H2491" s="493" t="s">
        <v>1238</v>
      </c>
      <c r="I2491" s="460" t="s">
        <v>5787</v>
      </c>
      <c r="J2491" s="495" t="s">
        <v>2627</v>
      </c>
      <c r="K2491" s="496" t="s">
        <v>641</v>
      </c>
      <c r="L2491" s="497" t="e">
        <v>#REF!</v>
      </c>
      <c r="M2491" s="497">
        <v>39.599999999999994</v>
      </c>
      <c r="N2491" s="464"/>
      <c r="O2491" s="498"/>
      <c r="P2491" s="431" t="s">
        <v>6711</v>
      </c>
    </row>
    <row r="2492" spans="1:16" ht="13.5" hidden="1" customHeight="1" outlineLevel="3" x14ac:dyDescent="0.2">
      <c r="A2492" s="233">
        <v>0</v>
      </c>
      <c r="B2492" s="233">
        <v>17</v>
      </c>
      <c r="C2492" s="233">
        <v>7</v>
      </c>
      <c r="D2492" s="234">
        <v>2</v>
      </c>
      <c r="E2492" s="234">
        <v>8</v>
      </c>
      <c r="G2492" s="508" t="s">
        <v>50</v>
      </c>
      <c r="H2492" s="493" t="s">
        <v>1238</v>
      </c>
      <c r="I2492" s="460" t="s">
        <v>5788</v>
      </c>
      <c r="J2492" s="495" t="s">
        <v>769</v>
      </c>
      <c r="K2492" s="496" t="s">
        <v>641</v>
      </c>
      <c r="L2492" s="497" t="e">
        <v>#REF!</v>
      </c>
      <c r="M2492" s="497">
        <v>8.7283160650000013</v>
      </c>
      <c r="N2492" s="464"/>
      <c r="O2492" s="498"/>
      <c r="P2492" s="431" t="s">
        <v>6711</v>
      </c>
    </row>
    <row r="2493" spans="1:16" ht="13.5" hidden="1" customHeight="1" outlineLevel="2" x14ac:dyDescent="0.2">
      <c r="A2493" s="233">
        <v>0</v>
      </c>
      <c r="B2493" s="233">
        <v>17</v>
      </c>
      <c r="C2493" s="233">
        <v>7</v>
      </c>
      <c r="D2493" s="234">
        <v>3</v>
      </c>
      <c r="E2493" s="234">
        <v>0</v>
      </c>
      <c r="G2493" s="507"/>
      <c r="H2493" s="487" t="s">
        <v>1237</v>
      </c>
      <c r="I2493" s="452" t="s">
        <v>5789</v>
      </c>
      <c r="J2493" s="489" t="s">
        <v>1529</v>
      </c>
      <c r="K2493" s="490"/>
      <c r="L2493" s="491"/>
      <c r="M2493" s="491"/>
      <c r="N2493" s="456"/>
      <c r="O2493" s="492"/>
      <c r="P2493" s="430"/>
    </row>
    <row r="2494" spans="1:16" ht="13.5" hidden="1" customHeight="1" outlineLevel="3" x14ac:dyDescent="0.2">
      <c r="A2494" s="233">
        <v>0</v>
      </c>
      <c r="B2494" s="233">
        <v>17</v>
      </c>
      <c r="C2494" s="233">
        <v>7</v>
      </c>
      <c r="D2494" s="234">
        <v>3</v>
      </c>
      <c r="E2494" s="234">
        <v>1</v>
      </c>
      <c r="G2494" s="508" t="s">
        <v>50</v>
      </c>
      <c r="H2494" s="493" t="s">
        <v>1238</v>
      </c>
      <c r="I2494" s="460" t="s">
        <v>5790</v>
      </c>
      <c r="J2494" s="495" t="s">
        <v>2636</v>
      </c>
      <c r="K2494" s="496" t="s">
        <v>641</v>
      </c>
      <c r="L2494" s="497" t="e">
        <v>#REF!</v>
      </c>
      <c r="M2494" s="497">
        <v>1.7585555555555554</v>
      </c>
      <c r="N2494" s="464"/>
      <c r="O2494" s="498"/>
      <c r="P2494" s="431" t="s">
        <v>6711</v>
      </c>
    </row>
    <row r="2495" spans="1:16" ht="13.5" hidden="1" customHeight="1" outlineLevel="3" x14ac:dyDescent="0.2">
      <c r="A2495" s="233">
        <v>0</v>
      </c>
      <c r="B2495" s="233">
        <v>17</v>
      </c>
      <c r="C2495" s="233">
        <v>7</v>
      </c>
      <c r="D2495" s="234">
        <v>3</v>
      </c>
      <c r="E2495" s="234">
        <v>2</v>
      </c>
      <c r="G2495" s="508" t="s">
        <v>50</v>
      </c>
      <c r="H2495" s="493" t="s">
        <v>1238</v>
      </c>
      <c r="I2495" s="460" t="s">
        <v>5791</v>
      </c>
      <c r="J2495" s="495" t="s">
        <v>1868</v>
      </c>
      <c r="K2495" s="496" t="s">
        <v>641</v>
      </c>
      <c r="L2495" s="497" t="e">
        <v>#REF!</v>
      </c>
      <c r="M2495" s="497">
        <v>4.3491600000000004</v>
      </c>
      <c r="N2495" s="464"/>
      <c r="O2495" s="498"/>
      <c r="P2495" s="431" t="s">
        <v>6711</v>
      </c>
    </row>
    <row r="2496" spans="1:16" ht="13.5" hidden="1" customHeight="1" outlineLevel="3" x14ac:dyDescent="0.2">
      <c r="A2496" s="233">
        <v>0</v>
      </c>
      <c r="B2496" s="233">
        <v>17</v>
      </c>
      <c r="C2496" s="233">
        <v>7</v>
      </c>
      <c r="D2496" s="234">
        <v>3</v>
      </c>
      <c r="E2496" s="234">
        <v>3</v>
      </c>
      <c r="G2496" s="508" t="s">
        <v>50</v>
      </c>
      <c r="H2496" s="493" t="s">
        <v>1238</v>
      </c>
      <c r="I2496" s="460" t="s">
        <v>5792</v>
      </c>
      <c r="J2496" s="495" t="s">
        <v>2635</v>
      </c>
      <c r="K2496" s="496" t="s">
        <v>641</v>
      </c>
      <c r="L2496" s="497" t="e">
        <v>#REF!</v>
      </c>
      <c r="M2496" s="497">
        <v>12.1275</v>
      </c>
      <c r="N2496" s="464"/>
      <c r="O2496" s="498"/>
      <c r="P2496" s="431" t="s">
        <v>6711</v>
      </c>
    </row>
    <row r="2497" spans="1:16" ht="13.5" hidden="1" customHeight="1" outlineLevel="3" x14ac:dyDescent="0.2">
      <c r="A2497" s="233">
        <v>0</v>
      </c>
      <c r="B2497" s="233">
        <v>17</v>
      </c>
      <c r="C2497" s="233">
        <v>7</v>
      </c>
      <c r="D2497" s="234">
        <v>3</v>
      </c>
      <c r="E2497" s="234">
        <v>4</v>
      </c>
      <c r="G2497" s="508" t="s">
        <v>50</v>
      </c>
      <c r="H2497" s="493" t="s">
        <v>1238</v>
      </c>
      <c r="I2497" s="460" t="s">
        <v>5793</v>
      </c>
      <c r="J2497" s="495" t="s">
        <v>2633</v>
      </c>
      <c r="K2497" s="496" t="s">
        <v>641</v>
      </c>
      <c r="L2497" s="497" t="e">
        <v>#REF!</v>
      </c>
      <c r="M2497" s="497">
        <v>20.468868749999999</v>
      </c>
      <c r="N2497" s="464"/>
      <c r="O2497" s="498"/>
      <c r="P2497" s="431" t="s">
        <v>6711</v>
      </c>
    </row>
    <row r="2498" spans="1:16" ht="13.5" hidden="1" customHeight="1" outlineLevel="3" x14ac:dyDescent="0.2">
      <c r="A2498" s="233">
        <v>0</v>
      </c>
      <c r="B2498" s="233">
        <v>17</v>
      </c>
      <c r="C2498" s="233">
        <v>7</v>
      </c>
      <c r="D2498" s="234">
        <v>3</v>
      </c>
      <c r="E2498" s="234">
        <v>5</v>
      </c>
      <c r="G2498" s="508" t="s">
        <v>50</v>
      </c>
      <c r="H2498" s="493" t="s">
        <v>1238</v>
      </c>
      <c r="I2498" s="460" t="s">
        <v>5794</v>
      </c>
      <c r="J2498" s="495" t="s">
        <v>2637</v>
      </c>
      <c r="K2498" s="496" t="s">
        <v>641</v>
      </c>
      <c r="L2498" s="497" t="e">
        <v>#REF!</v>
      </c>
      <c r="M2498" s="497">
        <v>70.567030666666668</v>
      </c>
      <c r="N2498" s="464"/>
      <c r="O2498" s="498"/>
      <c r="P2498" s="431" t="s">
        <v>6711</v>
      </c>
    </row>
    <row r="2499" spans="1:16" ht="13.5" hidden="1" customHeight="1" outlineLevel="3" x14ac:dyDescent="0.2">
      <c r="A2499" s="233">
        <v>0</v>
      </c>
      <c r="B2499" s="233">
        <v>17</v>
      </c>
      <c r="C2499" s="233">
        <v>7</v>
      </c>
      <c r="D2499" s="234">
        <v>3</v>
      </c>
      <c r="E2499" s="234">
        <v>6</v>
      </c>
      <c r="G2499" s="508" t="s">
        <v>50</v>
      </c>
      <c r="H2499" s="493" t="s">
        <v>1238</v>
      </c>
      <c r="I2499" s="460" t="s">
        <v>5795</v>
      </c>
      <c r="J2499" s="495" t="s">
        <v>2631</v>
      </c>
      <c r="K2499" s="496" t="s">
        <v>641</v>
      </c>
      <c r="L2499" s="497" t="e">
        <v>#REF!</v>
      </c>
      <c r="M2499" s="497">
        <v>39.599999999999994</v>
      </c>
      <c r="N2499" s="464"/>
      <c r="O2499" s="498"/>
      <c r="P2499" s="431" t="s">
        <v>6711</v>
      </c>
    </row>
    <row r="2500" spans="1:16" ht="13.5" hidden="1" customHeight="1" outlineLevel="3" x14ac:dyDescent="0.2">
      <c r="A2500" s="233">
        <v>0</v>
      </c>
      <c r="B2500" s="233">
        <v>17</v>
      </c>
      <c r="C2500" s="233">
        <v>7</v>
      </c>
      <c r="D2500" s="234">
        <v>3</v>
      </c>
      <c r="E2500" s="234">
        <v>7</v>
      </c>
      <c r="G2500" s="508" t="s">
        <v>50</v>
      </c>
      <c r="H2500" s="493" t="s">
        <v>1238</v>
      </c>
      <c r="I2500" s="460" t="s">
        <v>5796</v>
      </c>
      <c r="J2500" s="495" t="s">
        <v>770</v>
      </c>
      <c r="K2500" s="496" t="s">
        <v>641</v>
      </c>
      <c r="L2500" s="497" t="e">
        <v>#REF!</v>
      </c>
      <c r="M2500" s="497">
        <v>13.636363636363637</v>
      </c>
      <c r="N2500" s="464"/>
      <c r="O2500" s="498"/>
      <c r="P2500" s="431" t="s">
        <v>6711</v>
      </c>
    </row>
    <row r="2501" spans="1:16" ht="13.5" hidden="1" customHeight="1" outlineLevel="2" x14ac:dyDescent="0.2">
      <c r="A2501" s="233">
        <v>0</v>
      </c>
      <c r="B2501" s="233">
        <v>17</v>
      </c>
      <c r="C2501" s="233">
        <v>7</v>
      </c>
      <c r="D2501" s="234">
        <v>4</v>
      </c>
      <c r="E2501" s="234">
        <v>0</v>
      </c>
      <c r="G2501" s="507"/>
      <c r="H2501" s="487" t="s">
        <v>1237</v>
      </c>
      <c r="I2501" s="452" t="s">
        <v>5797</v>
      </c>
      <c r="J2501" s="489" t="s">
        <v>14</v>
      </c>
      <c r="K2501" s="490"/>
      <c r="L2501" s="491"/>
      <c r="M2501" s="491"/>
      <c r="N2501" s="456"/>
      <c r="O2501" s="492"/>
      <c r="P2501" s="430"/>
    </row>
    <row r="2502" spans="1:16" ht="13.5" hidden="1" customHeight="1" outlineLevel="3" x14ac:dyDescent="0.2">
      <c r="A2502" s="233">
        <v>0</v>
      </c>
      <c r="B2502" s="233">
        <v>17</v>
      </c>
      <c r="C2502" s="233">
        <v>7</v>
      </c>
      <c r="D2502" s="234">
        <v>4</v>
      </c>
      <c r="E2502" s="234">
        <v>1</v>
      </c>
      <c r="G2502" s="508" t="s">
        <v>50</v>
      </c>
      <c r="H2502" s="493" t="s">
        <v>1238</v>
      </c>
      <c r="I2502" s="460" t="s">
        <v>5798</v>
      </c>
      <c r="J2502" s="495" t="s">
        <v>2640</v>
      </c>
      <c r="K2502" s="496" t="s">
        <v>641</v>
      </c>
      <c r="L2502" s="497" t="e">
        <v>#REF!</v>
      </c>
      <c r="M2502" s="497">
        <v>40</v>
      </c>
      <c r="N2502" s="464"/>
      <c r="O2502" s="498"/>
      <c r="P2502" s="431" t="s">
        <v>6711</v>
      </c>
    </row>
    <row r="2503" spans="1:16" ht="12" hidden="1" customHeight="1" outlineLevel="3" x14ac:dyDescent="0.2">
      <c r="A2503" s="233">
        <v>0</v>
      </c>
      <c r="B2503" s="233">
        <v>17</v>
      </c>
      <c r="C2503" s="233">
        <v>7</v>
      </c>
      <c r="D2503" s="234">
        <v>4</v>
      </c>
      <c r="E2503" s="234">
        <v>2</v>
      </c>
      <c r="G2503" s="508" t="s">
        <v>50</v>
      </c>
      <c r="H2503" s="493" t="s">
        <v>1238</v>
      </c>
      <c r="I2503" s="460" t="s">
        <v>5799</v>
      </c>
      <c r="J2503" s="495" t="s">
        <v>2892</v>
      </c>
      <c r="K2503" s="496" t="s">
        <v>641</v>
      </c>
      <c r="L2503" s="497" t="e">
        <v>#REF!</v>
      </c>
      <c r="M2503" s="497">
        <v>42</v>
      </c>
      <c r="N2503" s="464"/>
      <c r="O2503" s="498"/>
      <c r="P2503" s="431" t="s">
        <v>6711</v>
      </c>
    </row>
    <row r="2504" spans="1:16" ht="13.5" hidden="1" customHeight="1" outlineLevel="3" x14ac:dyDescent="0.2">
      <c r="A2504" s="233">
        <v>0</v>
      </c>
      <c r="B2504" s="233">
        <v>17</v>
      </c>
      <c r="C2504" s="233">
        <v>7</v>
      </c>
      <c r="D2504" s="234">
        <v>4</v>
      </c>
      <c r="E2504" s="234">
        <v>3</v>
      </c>
      <c r="G2504" s="508" t="s">
        <v>50</v>
      </c>
      <c r="H2504" s="493" t="s">
        <v>1238</v>
      </c>
      <c r="I2504" s="460" t="s">
        <v>5800</v>
      </c>
      <c r="J2504" s="495" t="s">
        <v>783</v>
      </c>
      <c r="K2504" s="496" t="s">
        <v>641</v>
      </c>
      <c r="L2504" s="497" t="e">
        <v>#REF!</v>
      </c>
      <c r="M2504" s="497">
        <v>40</v>
      </c>
      <c r="N2504" s="464"/>
      <c r="O2504" s="498"/>
      <c r="P2504" s="431" t="s">
        <v>6711</v>
      </c>
    </row>
    <row r="2505" spans="1:16" ht="13.5" hidden="1" customHeight="1" outlineLevel="3" x14ac:dyDescent="0.2">
      <c r="A2505" s="233">
        <v>0</v>
      </c>
      <c r="B2505" s="233">
        <v>17</v>
      </c>
      <c r="C2505" s="233">
        <v>7</v>
      </c>
      <c r="D2505" s="234">
        <v>4</v>
      </c>
      <c r="E2505" s="234">
        <v>4</v>
      </c>
      <c r="G2505" s="508" t="s">
        <v>50</v>
      </c>
      <c r="H2505" s="493" t="s">
        <v>1238</v>
      </c>
      <c r="I2505" s="460" t="s">
        <v>5801</v>
      </c>
      <c r="J2505" s="495" t="s">
        <v>782</v>
      </c>
      <c r="K2505" s="496" t="s">
        <v>641</v>
      </c>
      <c r="L2505" s="497" t="e">
        <v>#REF!</v>
      </c>
      <c r="M2505" s="497">
        <v>40</v>
      </c>
      <c r="N2505" s="464"/>
      <c r="O2505" s="498"/>
      <c r="P2505" s="431" t="s">
        <v>6711</v>
      </c>
    </row>
    <row r="2506" spans="1:16" ht="13.5" hidden="1" customHeight="1" outlineLevel="3" x14ac:dyDescent="0.2">
      <c r="A2506" s="233">
        <v>0</v>
      </c>
      <c r="B2506" s="233">
        <v>17</v>
      </c>
      <c r="C2506" s="233">
        <v>7</v>
      </c>
      <c r="D2506" s="234">
        <v>4</v>
      </c>
      <c r="E2506" s="234">
        <v>5</v>
      </c>
      <c r="G2506" s="508" t="s">
        <v>50</v>
      </c>
      <c r="H2506" s="493" t="s">
        <v>1238</v>
      </c>
      <c r="I2506" s="460" t="s">
        <v>5802</v>
      </c>
      <c r="J2506" s="495" t="s">
        <v>1550</v>
      </c>
      <c r="K2506" s="496" t="s">
        <v>641</v>
      </c>
      <c r="L2506" s="497" t="e">
        <v>#REF!</v>
      </c>
      <c r="M2506" s="497">
        <v>20</v>
      </c>
      <c r="N2506" s="464"/>
      <c r="O2506" s="498"/>
      <c r="P2506" s="431" t="s">
        <v>6711</v>
      </c>
    </row>
    <row r="2507" spans="1:16" ht="13.5" hidden="1" customHeight="1" outlineLevel="3" x14ac:dyDescent="0.2">
      <c r="A2507" s="233">
        <v>0</v>
      </c>
      <c r="B2507" s="233">
        <v>17</v>
      </c>
      <c r="C2507" s="233">
        <v>7</v>
      </c>
      <c r="D2507" s="234">
        <v>4</v>
      </c>
      <c r="E2507" s="234">
        <v>6</v>
      </c>
      <c r="G2507" s="508" t="s">
        <v>50</v>
      </c>
      <c r="H2507" s="493" t="s">
        <v>1238</v>
      </c>
      <c r="I2507" s="460" t="s">
        <v>5803</v>
      </c>
      <c r="J2507" s="495" t="s">
        <v>784</v>
      </c>
      <c r="K2507" s="496" t="s">
        <v>641</v>
      </c>
      <c r="L2507" s="497" t="e">
        <v>#REF!</v>
      </c>
      <c r="M2507" s="497">
        <v>40</v>
      </c>
      <c r="N2507" s="464"/>
      <c r="O2507" s="498"/>
      <c r="P2507" s="431" t="s">
        <v>6711</v>
      </c>
    </row>
    <row r="2508" spans="1:16" ht="13.5" hidden="1" customHeight="1" outlineLevel="3" x14ac:dyDescent="0.2">
      <c r="A2508" s="233">
        <v>0</v>
      </c>
      <c r="B2508" s="233">
        <v>17</v>
      </c>
      <c r="C2508" s="233">
        <v>7</v>
      </c>
      <c r="D2508" s="234">
        <v>4</v>
      </c>
      <c r="E2508" s="234">
        <v>7</v>
      </c>
      <c r="G2508" s="508" t="s">
        <v>50</v>
      </c>
      <c r="H2508" s="493" t="s">
        <v>1238</v>
      </c>
      <c r="I2508" s="460" t="s">
        <v>5804</v>
      </c>
      <c r="J2508" s="495" t="s">
        <v>785</v>
      </c>
      <c r="K2508" s="496" t="s">
        <v>641</v>
      </c>
      <c r="L2508" s="497" t="e">
        <v>#REF!</v>
      </c>
      <c r="M2508" s="497">
        <v>40</v>
      </c>
      <c r="N2508" s="464"/>
      <c r="O2508" s="498"/>
      <c r="P2508" s="431" t="s">
        <v>6711</v>
      </c>
    </row>
    <row r="2509" spans="1:16" ht="13.5" hidden="1" customHeight="1" outlineLevel="3" x14ac:dyDescent="0.2">
      <c r="A2509" s="233">
        <v>0</v>
      </c>
      <c r="B2509" s="233">
        <v>17</v>
      </c>
      <c r="C2509" s="233">
        <v>7</v>
      </c>
      <c r="D2509" s="234">
        <v>4</v>
      </c>
      <c r="E2509" s="234">
        <v>8</v>
      </c>
      <c r="G2509" s="508" t="s">
        <v>50</v>
      </c>
      <c r="H2509" s="493" t="s">
        <v>1238</v>
      </c>
      <c r="I2509" s="460" t="s">
        <v>5805</v>
      </c>
      <c r="J2509" s="495" t="s">
        <v>2641</v>
      </c>
      <c r="K2509" s="496" t="s">
        <v>641</v>
      </c>
      <c r="L2509" s="497" t="e">
        <v>#REF!</v>
      </c>
      <c r="M2509" s="497">
        <v>40</v>
      </c>
      <c r="N2509" s="464"/>
      <c r="O2509" s="498"/>
      <c r="P2509" s="431" t="s">
        <v>6711</v>
      </c>
    </row>
    <row r="2510" spans="1:16" ht="13.5" hidden="1" customHeight="1" outlineLevel="1" x14ac:dyDescent="0.2">
      <c r="A2510" s="233">
        <v>0</v>
      </c>
      <c r="B2510" s="233">
        <v>17</v>
      </c>
      <c r="C2510" s="233">
        <v>8</v>
      </c>
      <c r="D2510" s="234">
        <v>0</v>
      </c>
      <c r="E2510" s="234">
        <v>8</v>
      </c>
      <c r="G2510" s="506"/>
      <c r="H2510" s="481" t="s">
        <v>38</v>
      </c>
      <c r="I2510" s="445" t="s">
        <v>5806</v>
      </c>
      <c r="J2510" s="483" t="s">
        <v>2648</v>
      </c>
      <c r="K2510" s="484"/>
      <c r="L2510" s="485"/>
      <c r="M2510" s="485"/>
      <c r="N2510" s="449"/>
      <c r="O2510" s="486"/>
      <c r="P2510" s="429"/>
    </row>
    <row r="2511" spans="1:16" ht="13.5" hidden="1" customHeight="1" outlineLevel="2" x14ac:dyDescent="0.2">
      <c r="A2511" s="233">
        <v>0</v>
      </c>
      <c r="B2511" s="233">
        <v>17</v>
      </c>
      <c r="C2511" s="233">
        <v>8</v>
      </c>
      <c r="D2511" s="234">
        <v>1</v>
      </c>
      <c r="E2511" s="234">
        <v>0</v>
      </c>
      <c r="G2511" s="507"/>
      <c r="H2511" s="487" t="s">
        <v>1237</v>
      </c>
      <c r="I2511" s="452" t="s">
        <v>5807</v>
      </c>
      <c r="J2511" s="489" t="s">
        <v>1551</v>
      </c>
      <c r="K2511" s="490"/>
      <c r="L2511" s="491"/>
      <c r="M2511" s="491"/>
      <c r="N2511" s="456"/>
      <c r="O2511" s="492"/>
      <c r="P2511" s="430"/>
    </row>
    <row r="2512" spans="1:16" ht="13.5" hidden="1" customHeight="1" outlineLevel="3" x14ac:dyDescent="0.2">
      <c r="A2512" s="233">
        <v>0</v>
      </c>
      <c r="B2512" s="233">
        <v>17</v>
      </c>
      <c r="C2512" s="233">
        <v>8</v>
      </c>
      <c r="D2512" s="234">
        <v>1</v>
      </c>
      <c r="E2512" s="234">
        <v>1</v>
      </c>
      <c r="G2512" s="508" t="s">
        <v>50</v>
      </c>
      <c r="H2512" s="493" t="s">
        <v>1238</v>
      </c>
      <c r="I2512" s="460" t="s">
        <v>5808</v>
      </c>
      <c r="J2512" s="495" t="s">
        <v>1542</v>
      </c>
      <c r="K2512" s="496" t="s">
        <v>641</v>
      </c>
      <c r="L2512" s="497" t="e">
        <v>#REF!</v>
      </c>
      <c r="M2512" s="497">
        <v>1.7585555555555554</v>
      </c>
      <c r="N2512" s="464"/>
      <c r="O2512" s="498"/>
      <c r="P2512" s="431" t="s">
        <v>6711</v>
      </c>
    </row>
    <row r="2513" spans="1:16" ht="13.5" hidden="1" customHeight="1" outlineLevel="3" x14ac:dyDescent="0.2">
      <c r="A2513" s="233">
        <v>0</v>
      </c>
      <c r="B2513" s="233">
        <v>17</v>
      </c>
      <c r="C2513" s="233">
        <v>8</v>
      </c>
      <c r="D2513" s="234">
        <v>1</v>
      </c>
      <c r="E2513" s="234">
        <v>2</v>
      </c>
      <c r="G2513" s="508" t="s">
        <v>50</v>
      </c>
      <c r="H2513" s="493" t="s">
        <v>1238</v>
      </c>
      <c r="I2513" s="460" t="s">
        <v>5809</v>
      </c>
      <c r="J2513" s="495" t="s">
        <v>1543</v>
      </c>
      <c r="K2513" s="496" t="s">
        <v>641</v>
      </c>
      <c r="L2513" s="497" t="e">
        <v>#REF!</v>
      </c>
      <c r="M2513" s="497">
        <v>4.3491600000000004</v>
      </c>
      <c r="N2513" s="464"/>
      <c r="O2513" s="498"/>
      <c r="P2513" s="431" t="s">
        <v>6711</v>
      </c>
    </row>
    <row r="2514" spans="1:16" ht="13.5" hidden="1" customHeight="1" outlineLevel="3" x14ac:dyDescent="0.2">
      <c r="A2514" s="233">
        <v>0</v>
      </c>
      <c r="B2514" s="233">
        <v>17</v>
      </c>
      <c r="C2514" s="233">
        <v>8</v>
      </c>
      <c r="D2514" s="234">
        <v>1</v>
      </c>
      <c r="E2514" s="234">
        <v>3</v>
      </c>
      <c r="G2514" s="508" t="s">
        <v>50</v>
      </c>
      <c r="H2514" s="493" t="s">
        <v>1238</v>
      </c>
      <c r="I2514" s="460" t="s">
        <v>5810</v>
      </c>
      <c r="J2514" s="495" t="s">
        <v>773</v>
      </c>
      <c r="K2514" s="496" t="s">
        <v>641</v>
      </c>
      <c r="L2514" s="497" t="e">
        <v>#REF!</v>
      </c>
      <c r="M2514" s="497">
        <v>12.1275</v>
      </c>
      <c r="N2514" s="464"/>
      <c r="O2514" s="498"/>
      <c r="P2514" s="431" t="s">
        <v>6711</v>
      </c>
    </row>
    <row r="2515" spans="1:16" ht="13.5" hidden="1" customHeight="1" outlineLevel="3" x14ac:dyDescent="0.2">
      <c r="A2515" s="233">
        <v>0</v>
      </c>
      <c r="B2515" s="233">
        <v>17</v>
      </c>
      <c r="C2515" s="233">
        <v>8</v>
      </c>
      <c r="D2515" s="234">
        <v>1</v>
      </c>
      <c r="E2515" s="234">
        <v>4</v>
      </c>
      <c r="G2515" s="508" t="s">
        <v>50</v>
      </c>
      <c r="H2515" s="493" t="s">
        <v>1238</v>
      </c>
      <c r="I2515" s="460" t="s">
        <v>5811</v>
      </c>
      <c r="J2515" s="495" t="s">
        <v>2626</v>
      </c>
      <c r="K2515" s="496" t="s">
        <v>641</v>
      </c>
      <c r="L2515" s="497" t="e">
        <v>#REF!</v>
      </c>
      <c r="M2515" s="497">
        <v>20.468868749999999</v>
      </c>
      <c r="N2515" s="464"/>
      <c r="O2515" s="498"/>
      <c r="P2515" s="431" t="s">
        <v>6711</v>
      </c>
    </row>
    <row r="2516" spans="1:16" ht="13.5" hidden="1" customHeight="1" outlineLevel="3" x14ac:dyDescent="0.2">
      <c r="A2516" s="233">
        <v>0</v>
      </c>
      <c r="B2516" s="233">
        <v>17</v>
      </c>
      <c r="C2516" s="233">
        <v>8</v>
      </c>
      <c r="D2516" s="234">
        <v>1</v>
      </c>
      <c r="E2516" s="234">
        <v>5</v>
      </c>
      <c r="G2516" s="508" t="s">
        <v>50</v>
      </c>
      <c r="H2516" s="493" t="s">
        <v>1238</v>
      </c>
      <c r="I2516" s="460" t="s">
        <v>5812</v>
      </c>
      <c r="J2516" s="461" t="s">
        <v>2891</v>
      </c>
      <c r="K2516" s="462" t="s">
        <v>641</v>
      </c>
      <c r="L2516" s="463" t="e">
        <v>#REF!</v>
      </c>
      <c r="M2516" s="497">
        <v>76.674746222222225</v>
      </c>
      <c r="N2516" s="464"/>
      <c r="O2516" s="465"/>
      <c r="P2516" s="431" t="s">
        <v>6711</v>
      </c>
    </row>
    <row r="2517" spans="1:16" ht="13.5" hidden="1" customHeight="1" outlineLevel="3" x14ac:dyDescent="0.2">
      <c r="A2517" s="233">
        <v>0</v>
      </c>
      <c r="B2517" s="233">
        <v>17</v>
      </c>
      <c r="C2517" s="233">
        <v>8</v>
      </c>
      <c r="D2517" s="234">
        <v>1</v>
      </c>
      <c r="E2517" s="234">
        <v>6</v>
      </c>
      <c r="G2517" s="508" t="s">
        <v>50</v>
      </c>
      <c r="H2517" s="493" t="s">
        <v>1238</v>
      </c>
      <c r="I2517" s="460" t="s">
        <v>5813</v>
      </c>
      <c r="J2517" s="495" t="s">
        <v>2627</v>
      </c>
      <c r="K2517" s="496" t="s">
        <v>641</v>
      </c>
      <c r="L2517" s="497" t="e">
        <v>#REF!</v>
      </c>
      <c r="M2517" s="497">
        <v>39.599999999999994</v>
      </c>
      <c r="N2517" s="464"/>
      <c r="O2517" s="498"/>
      <c r="P2517" s="431" t="s">
        <v>6711</v>
      </c>
    </row>
    <row r="2518" spans="1:16" ht="13.5" hidden="1" customHeight="1" outlineLevel="2" x14ac:dyDescent="0.2">
      <c r="A2518" s="233">
        <v>0</v>
      </c>
      <c r="B2518" s="233">
        <v>17</v>
      </c>
      <c r="C2518" s="233">
        <v>8</v>
      </c>
      <c r="D2518" s="234">
        <v>2</v>
      </c>
      <c r="E2518" s="234">
        <v>0</v>
      </c>
      <c r="G2518" s="507"/>
      <c r="H2518" s="487" t="s">
        <v>1237</v>
      </c>
      <c r="I2518" s="452" t="s">
        <v>5814</v>
      </c>
      <c r="J2518" s="489" t="s">
        <v>1529</v>
      </c>
      <c r="K2518" s="490"/>
      <c r="L2518" s="491"/>
      <c r="M2518" s="491"/>
      <c r="N2518" s="456"/>
      <c r="O2518" s="492"/>
      <c r="P2518" s="430"/>
    </row>
    <row r="2519" spans="1:16" ht="13.5" hidden="1" customHeight="1" outlineLevel="3" x14ac:dyDescent="0.2">
      <c r="A2519" s="233">
        <v>0</v>
      </c>
      <c r="B2519" s="233">
        <v>17</v>
      </c>
      <c r="C2519" s="233">
        <v>8</v>
      </c>
      <c r="D2519" s="234">
        <v>2</v>
      </c>
      <c r="E2519" s="234">
        <v>1</v>
      </c>
      <c r="G2519" s="508" t="s">
        <v>50</v>
      </c>
      <c r="H2519" s="493" t="s">
        <v>1238</v>
      </c>
      <c r="I2519" s="460" t="s">
        <v>5815</v>
      </c>
      <c r="J2519" s="495" t="s">
        <v>2636</v>
      </c>
      <c r="K2519" s="496" t="s">
        <v>641</v>
      </c>
      <c r="L2519" s="497" t="e">
        <v>#REF!</v>
      </c>
      <c r="M2519" s="497">
        <v>1.7585555555555554</v>
      </c>
      <c r="N2519" s="464"/>
      <c r="O2519" s="498"/>
      <c r="P2519" s="431" t="s">
        <v>6711</v>
      </c>
    </row>
    <row r="2520" spans="1:16" ht="13.5" hidden="1" customHeight="1" outlineLevel="3" x14ac:dyDescent="0.2">
      <c r="A2520" s="233">
        <v>0</v>
      </c>
      <c r="B2520" s="233">
        <v>17</v>
      </c>
      <c r="C2520" s="233">
        <v>8</v>
      </c>
      <c r="D2520" s="234">
        <v>2</v>
      </c>
      <c r="E2520" s="234">
        <v>2</v>
      </c>
      <c r="G2520" s="508" t="s">
        <v>50</v>
      </c>
      <c r="H2520" s="493" t="s">
        <v>1238</v>
      </c>
      <c r="I2520" s="460" t="s">
        <v>5816</v>
      </c>
      <c r="J2520" s="495" t="s">
        <v>1868</v>
      </c>
      <c r="K2520" s="496" t="s">
        <v>641</v>
      </c>
      <c r="L2520" s="497" t="e">
        <v>#REF!</v>
      </c>
      <c r="M2520" s="497">
        <v>4.3491600000000004</v>
      </c>
      <c r="N2520" s="464"/>
      <c r="O2520" s="498"/>
      <c r="P2520" s="431" t="s">
        <v>6711</v>
      </c>
    </row>
    <row r="2521" spans="1:16" ht="13.5" hidden="1" customHeight="1" outlineLevel="3" x14ac:dyDescent="0.2">
      <c r="A2521" s="233">
        <v>0</v>
      </c>
      <c r="B2521" s="233">
        <v>17</v>
      </c>
      <c r="C2521" s="233">
        <v>8</v>
      </c>
      <c r="D2521" s="234">
        <v>2</v>
      </c>
      <c r="E2521" s="234">
        <v>3</v>
      </c>
      <c r="G2521" s="508" t="s">
        <v>50</v>
      </c>
      <c r="H2521" s="493" t="s">
        <v>1238</v>
      </c>
      <c r="I2521" s="460" t="s">
        <v>5817</v>
      </c>
      <c r="J2521" s="495" t="s">
        <v>2635</v>
      </c>
      <c r="K2521" s="496" t="s">
        <v>641</v>
      </c>
      <c r="L2521" s="497" t="e">
        <v>#REF!</v>
      </c>
      <c r="M2521" s="497">
        <v>12.1275</v>
      </c>
      <c r="N2521" s="464"/>
      <c r="O2521" s="498"/>
      <c r="P2521" s="431" t="s">
        <v>6711</v>
      </c>
    </row>
    <row r="2522" spans="1:16" ht="13.5" hidden="1" customHeight="1" outlineLevel="3" x14ac:dyDescent="0.2">
      <c r="A2522" s="233">
        <v>0</v>
      </c>
      <c r="B2522" s="233">
        <v>17</v>
      </c>
      <c r="C2522" s="233">
        <v>8</v>
      </c>
      <c r="D2522" s="234">
        <v>2</v>
      </c>
      <c r="E2522" s="234">
        <v>4</v>
      </c>
      <c r="G2522" s="508" t="s">
        <v>50</v>
      </c>
      <c r="H2522" s="493" t="s">
        <v>1238</v>
      </c>
      <c r="I2522" s="460" t="s">
        <v>5818</v>
      </c>
      <c r="J2522" s="495" t="s">
        <v>2633</v>
      </c>
      <c r="K2522" s="496" t="s">
        <v>641</v>
      </c>
      <c r="L2522" s="497" t="e">
        <v>#REF!</v>
      </c>
      <c r="M2522" s="497">
        <v>20.468868749999999</v>
      </c>
      <c r="N2522" s="464"/>
      <c r="O2522" s="498"/>
      <c r="P2522" s="431" t="s">
        <v>6711</v>
      </c>
    </row>
    <row r="2523" spans="1:16" ht="13.5" hidden="1" customHeight="1" outlineLevel="3" x14ac:dyDescent="0.2">
      <c r="A2523" s="233">
        <v>0</v>
      </c>
      <c r="B2523" s="233">
        <v>17</v>
      </c>
      <c r="C2523" s="233">
        <v>8</v>
      </c>
      <c r="D2523" s="234">
        <v>2</v>
      </c>
      <c r="E2523" s="234">
        <v>5</v>
      </c>
      <c r="G2523" s="508" t="s">
        <v>50</v>
      </c>
      <c r="H2523" s="493" t="s">
        <v>1238</v>
      </c>
      <c r="I2523" s="460" t="s">
        <v>5819</v>
      </c>
      <c r="J2523" s="495" t="s">
        <v>2637</v>
      </c>
      <c r="K2523" s="496" t="s">
        <v>641</v>
      </c>
      <c r="L2523" s="497" t="e">
        <v>#REF!</v>
      </c>
      <c r="M2523" s="497">
        <v>70.567030666666668</v>
      </c>
      <c r="N2523" s="464"/>
      <c r="O2523" s="498"/>
      <c r="P2523" s="431" t="s">
        <v>6711</v>
      </c>
    </row>
    <row r="2524" spans="1:16" ht="13.5" hidden="1" customHeight="1" outlineLevel="3" x14ac:dyDescent="0.2">
      <c r="A2524" s="233">
        <v>0</v>
      </c>
      <c r="B2524" s="233">
        <v>17</v>
      </c>
      <c r="C2524" s="233">
        <v>8</v>
      </c>
      <c r="D2524" s="234">
        <v>2</v>
      </c>
      <c r="E2524" s="234">
        <v>6</v>
      </c>
      <c r="G2524" s="508" t="s">
        <v>50</v>
      </c>
      <c r="H2524" s="493" t="s">
        <v>1238</v>
      </c>
      <c r="I2524" s="460" t="s">
        <v>5820</v>
      </c>
      <c r="J2524" s="495" t="s">
        <v>770</v>
      </c>
      <c r="K2524" s="496" t="s">
        <v>641</v>
      </c>
      <c r="L2524" s="497" t="e">
        <v>#REF!</v>
      </c>
      <c r="M2524" s="497">
        <v>13.636363636363637</v>
      </c>
      <c r="N2524" s="464"/>
      <c r="O2524" s="498"/>
      <c r="P2524" s="431" t="s">
        <v>6711</v>
      </c>
    </row>
    <row r="2525" spans="1:16" ht="13.5" hidden="1" customHeight="1" outlineLevel="2" x14ac:dyDescent="0.2">
      <c r="A2525" s="233">
        <v>0</v>
      </c>
      <c r="B2525" s="233">
        <v>17</v>
      </c>
      <c r="C2525" s="233">
        <v>8</v>
      </c>
      <c r="D2525" s="234">
        <v>3</v>
      </c>
      <c r="E2525" s="234">
        <v>0</v>
      </c>
      <c r="G2525" s="507"/>
      <c r="H2525" s="487" t="s">
        <v>1237</v>
      </c>
      <c r="I2525" s="452" t="s">
        <v>5821</v>
      </c>
      <c r="J2525" s="489" t="s">
        <v>14</v>
      </c>
      <c r="K2525" s="490"/>
      <c r="L2525" s="491"/>
      <c r="M2525" s="491"/>
      <c r="N2525" s="456"/>
      <c r="O2525" s="492"/>
      <c r="P2525" s="430"/>
    </row>
    <row r="2526" spans="1:16" ht="12" hidden="1" customHeight="1" outlineLevel="3" x14ac:dyDescent="0.2">
      <c r="A2526" s="233">
        <v>0</v>
      </c>
      <c r="B2526" s="233">
        <v>17</v>
      </c>
      <c r="C2526" s="233">
        <v>8</v>
      </c>
      <c r="D2526" s="234">
        <v>3</v>
      </c>
      <c r="E2526" s="234">
        <v>1</v>
      </c>
      <c r="G2526" s="508" t="s">
        <v>50</v>
      </c>
      <c r="H2526" s="493" t="s">
        <v>1238</v>
      </c>
      <c r="I2526" s="460" t="s">
        <v>5822</v>
      </c>
      <c r="J2526" s="495" t="s">
        <v>2892</v>
      </c>
      <c r="K2526" s="496" t="s">
        <v>641</v>
      </c>
      <c r="L2526" s="497" t="e">
        <v>#REF!</v>
      </c>
      <c r="M2526" s="497">
        <v>42</v>
      </c>
      <c r="N2526" s="464"/>
      <c r="O2526" s="498"/>
      <c r="P2526" s="431" t="s">
        <v>6711</v>
      </c>
    </row>
    <row r="2527" spans="1:16" ht="13.5" hidden="1" customHeight="1" outlineLevel="3" x14ac:dyDescent="0.2">
      <c r="A2527" s="233">
        <v>0</v>
      </c>
      <c r="B2527" s="233">
        <v>17</v>
      </c>
      <c r="C2527" s="233">
        <v>8</v>
      </c>
      <c r="D2527" s="234">
        <v>3</v>
      </c>
      <c r="E2527" s="234">
        <v>2</v>
      </c>
      <c r="G2527" s="508" t="s">
        <v>50</v>
      </c>
      <c r="H2527" s="493" t="s">
        <v>1238</v>
      </c>
      <c r="I2527" s="460" t="s">
        <v>5823</v>
      </c>
      <c r="J2527" s="495" t="s">
        <v>783</v>
      </c>
      <c r="K2527" s="496" t="s">
        <v>641</v>
      </c>
      <c r="L2527" s="497" t="e">
        <v>#REF!</v>
      </c>
      <c r="M2527" s="497">
        <v>40</v>
      </c>
      <c r="N2527" s="464"/>
      <c r="O2527" s="498"/>
      <c r="P2527" s="431" t="s">
        <v>6711</v>
      </c>
    </row>
    <row r="2528" spans="1:16" ht="13.5" hidden="1" customHeight="1" outlineLevel="3" x14ac:dyDescent="0.2">
      <c r="A2528" s="233">
        <v>0</v>
      </c>
      <c r="B2528" s="233">
        <v>17</v>
      </c>
      <c r="C2528" s="233">
        <v>8</v>
      </c>
      <c r="D2528" s="234">
        <v>3</v>
      </c>
      <c r="E2528" s="234">
        <v>3</v>
      </c>
      <c r="G2528" s="508" t="s">
        <v>50</v>
      </c>
      <c r="H2528" s="493" t="s">
        <v>1238</v>
      </c>
      <c r="I2528" s="460" t="s">
        <v>5824</v>
      </c>
      <c r="J2528" s="495" t="s">
        <v>782</v>
      </c>
      <c r="K2528" s="496" t="s">
        <v>641</v>
      </c>
      <c r="L2528" s="497" t="e">
        <v>#REF!</v>
      </c>
      <c r="M2528" s="497">
        <v>40</v>
      </c>
      <c r="N2528" s="464"/>
      <c r="O2528" s="498"/>
      <c r="P2528" s="431" t="s">
        <v>6711</v>
      </c>
    </row>
    <row r="2529" spans="1:16" ht="13.5" hidden="1" customHeight="1" outlineLevel="3" x14ac:dyDescent="0.2">
      <c r="A2529" s="233">
        <v>0</v>
      </c>
      <c r="B2529" s="233">
        <v>17</v>
      </c>
      <c r="C2529" s="233">
        <v>8</v>
      </c>
      <c r="D2529" s="234">
        <v>3</v>
      </c>
      <c r="E2529" s="234">
        <v>4</v>
      </c>
      <c r="G2529" s="508" t="s">
        <v>50</v>
      </c>
      <c r="H2529" s="493" t="s">
        <v>1238</v>
      </c>
      <c r="I2529" s="460" t="s">
        <v>5825</v>
      </c>
      <c r="J2529" s="495" t="s">
        <v>784</v>
      </c>
      <c r="K2529" s="496" t="s">
        <v>641</v>
      </c>
      <c r="L2529" s="497" t="e">
        <v>#REF!</v>
      </c>
      <c r="M2529" s="497">
        <v>40</v>
      </c>
      <c r="N2529" s="464"/>
      <c r="O2529" s="498"/>
      <c r="P2529" s="431" t="s">
        <v>6711</v>
      </c>
    </row>
    <row r="2530" spans="1:16" ht="13.5" hidden="1" customHeight="1" outlineLevel="3" x14ac:dyDescent="0.2">
      <c r="A2530" s="233">
        <v>0</v>
      </c>
      <c r="B2530" s="233">
        <v>17</v>
      </c>
      <c r="C2530" s="233">
        <v>8</v>
      </c>
      <c r="D2530" s="234">
        <v>3</v>
      </c>
      <c r="E2530" s="234">
        <v>5</v>
      </c>
      <c r="G2530" s="508" t="s">
        <v>50</v>
      </c>
      <c r="H2530" s="493" t="s">
        <v>1238</v>
      </c>
      <c r="I2530" s="460" t="s">
        <v>5826</v>
      </c>
      <c r="J2530" s="495" t="s">
        <v>785</v>
      </c>
      <c r="K2530" s="496" t="s">
        <v>641</v>
      </c>
      <c r="L2530" s="497" t="e">
        <v>#REF!</v>
      </c>
      <c r="M2530" s="497">
        <v>40</v>
      </c>
      <c r="N2530" s="464"/>
      <c r="O2530" s="498"/>
      <c r="P2530" s="431" t="s">
        <v>6711</v>
      </c>
    </row>
    <row r="2531" spans="1:16" ht="13.5" hidden="1" customHeight="1" outlineLevel="3" x14ac:dyDescent="0.2">
      <c r="A2531" s="233">
        <v>0</v>
      </c>
      <c r="B2531" s="233">
        <v>17</v>
      </c>
      <c r="C2531" s="233">
        <v>8</v>
      </c>
      <c r="D2531" s="234">
        <v>3</v>
      </c>
      <c r="E2531" s="234">
        <v>6</v>
      </c>
      <c r="G2531" s="508" t="s">
        <v>50</v>
      </c>
      <c r="H2531" s="493" t="s">
        <v>1238</v>
      </c>
      <c r="I2531" s="460" t="s">
        <v>5827</v>
      </c>
      <c r="J2531" s="495" t="s">
        <v>2641</v>
      </c>
      <c r="K2531" s="496" t="s">
        <v>641</v>
      </c>
      <c r="L2531" s="497" t="e">
        <v>#REF!</v>
      </c>
      <c r="M2531" s="497">
        <v>40</v>
      </c>
      <c r="N2531" s="464"/>
      <c r="O2531" s="498"/>
      <c r="P2531" s="431" t="s">
        <v>6711</v>
      </c>
    </row>
    <row r="2532" spans="1:16" ht="13.5" hidden="1" customHeight="1" outlineLevel="1" x14ac:dyDescent="0.2">
      <c r="A2532" s="233">
        <v>0</v>
      </c>
      <c r="B2532" s="233">
        <v>17</v>
      </c>
      <c r="C2532" s="233">
        <v>9</v>
      </c>
      <c r="D2532" s="234">
        <v>0</v>
      </c>
      <c r="E2532" s="234">
        <v>6</v>
      </c>
      <c r="G2532" s="506"/>
      <c r="H2532" s="481" t="s">
        <v>38</v>
      </c>
      <c r="I2532" s="445" t="s">
        <v>5828</v>
      </c>
      <c r="J2532" s="483" t="s">
        <v>2649</v>
      </c>
      <c r="K2532" s="484"/>
      <c r="L2532" s="485"/>
      <c r="M2532" s="485"/>
      <c r="N2532" s="449"/>
      <c r="O2532" s="486"/>
      <c r="P2532" s="429"/>
    </row>
    <row r="2533" spans="1:16" ht="13.5" hidden="1" customHeight="1" outlineLevel="2" x14ac:dyDescent="0.2">
      <c r="A2533" s="233">
        <v>0</v>
      </c>
      <c r="B2533" s="233">
        <v>17</v>
      </c>
      <c r="C2533" s="233">
        <v>9</v>
      </c>
      <c r="D2533" s="234">
        <v>1</v>
      </c>
      <c r="E2533" s="234">
        <v>0</v>
      </c>
      <c r="G2533" s="507"/>
      <c r="H2533" s="487" t="s">
        <v>1237</v>
      </c>
      <c r="I2533" s="452" t="s">
        <v>5829</v>
      </c>
      <c r="J2533" s="489" t="s">
        <v>1551</v>
      </c>
      <c r="K2533" s="490"/>
      <c r="L2533" s="491"/>
      <c r="M2533" s="491"/>
      <c r="N2533" s="456"/>
      <c r="O2533" s="492"/>
      <c r="P2533" s="430"/>
    </row>
    <row r="2534" spans="1:16" ht="13.5" hidden="1" customHeight="1" outlineLevel="3" x14ac:dyDescent="0.2">
      <c r="A2534" s="233">
        <v>0</v>
      </c>
      <c r="B2534" s="233">
        <v>17</v>
      </c>
      <c r="C2534" s="233">
        <v>9</v>
      </c>
      <c r="D2534" s="234">
        <v>1</v>
      </c>
      <c r="E2534" s="234">
        <v>1</v>
      </c>
      <c r="G2534" s="508" t="s">
        <v>50</v>
      </c>
      <c r="H2534" s="493" t="s">
        <v>1238</v>
      </c>
      <c r="I2534" s="460" t="s">
        <v>5830</v>
      </c>
      <c r="J2534" s="495" t="s">
        <v>1542</v>
      </c>
      <c r="K2534" s="496" t="s">
        <v>641</v>
      </c>
      <c r="L2534" s="497" t="e">
        <v>#REF!</v>
      </c>
      <c r="M2534" s="497">
        <v>1.7585555555555554</v>
      </c>
      <c r="N2534" s="464"/>
      <c r="O2534" s="498"/>
      <c r="P2534" s="431" t="s">
        <v>6711</v>
      </c>
    </row>
    <row r="2535" spans="1:16" ht="13.5" hidden="1" customHeight="1" outlineLevel="3" x14ac:dyDescent="0.2">
      <c r="A2535" s="233">
        <v>0</v>
      </c>
      <c r="B2535" s="233">
        <v>17</v>
      </c>
      <c r="C2535" s="233">
        <v>9</v>
      </c>
      <c r="D2535" s="234">
        <v>1</v>
      </c>
      <c r="E2535" s="234">
        <v>2</v>
      </c>
      <c r="G2535" s="508" t="s">
        <v>50</v>
      </c>
      <c r="H2535" s="493" t="s">
        <v>1238</v>
      </c>
      <c r="I2535" s="460" t="s">
        <v>5831</v>
      </c>
      <c r="J2535" s="495" t="s">
        <v>1543</v>
      </c>
      <c r="K2535" s="496" t="s">
        <v>641</v>
      </c>
      <c r="L2535" s="497" t="e">
        <v>#REF!</v>
      </c>
      <c r="M2535" s="497">
        <v>4.3491600000000004</v>
      </c>
      <c r="N2535" s="464"/>
      <c r="O2535" s="498"/>
      <c r="P2535" s="431" t="s">
        <v>6711</v>
      </c>
    </row>
    <row r="2536" spans="1:16" ht="13.5" hidden="1" customHeight="1" outlineLevel="3" x14ac:dyDescent="0.2">
      <c r="A2536" s="233">
        <v>0</v>
      </c>
      <c r="B2536" s="233">
        <v>17</v>
      </c>
      <c r="C2536" s="233">
        <v>9</v>
      </c>
      <c r="D2536" s="234">
        <v>1</v>
      </c>
      <c r="E2536" s="234">
        <v>3</v>
      </c>
      <c r="G2536" s="508" t="s">
        <v>50</v>
      </c>
      <c r="H2536" s="493" t="s">
        <v>1238</v>
      </c>
      <c r="I2536" s="460" t="s">
        <v>5832</v>
      </c>
      <c r="J2536" s="495" t="s">
        <v>773</v>
      </c>
      <c r="K2536" s="496" t="s">
        <v>641</v>
      </c>
      <c r="L2536" s="497" t="e">
        <v>#REF!</v>
      </c>
      <c r="M2536" s="497">
        <v>12.1275</v>
      </c>
      <c r="N2536" s="464"/>
      <c r="O2536" s="498"/>
      <c r="P2536" s="431" t="s">
        <v>6711</v>
      </c>
    </row>
    <row r="2537" spans="1:16" ht="13.5" hidden="1" customHeight="1" outlineLevel="3" x14ac:dyDescent="0.2">
      <c r="A2537" s="233">
        <v>0</v>
      </c>
      <c r="B2537" s="233">
        <v>17</v>
      </c>
      <c r="C2537" s="233">
        <v>9</v>
      </c>
      <c r="D2537" s="234">
        <v>1</v>
      </c>
      <c r="E2537" s="234">
        <v>4</v>
      </c>
      <c r="G2537" s="508" t="s">
        <v>50</v>
      </c>
      <c r="H2537" s="493" t="s">
        <v>1238</v>
      </c>
      <c r="I2537" s="460" t="s">
        <v>5833</v>
      </c>
      <c r="J2537" s="461" t="s">
        <v>2891</v>
      </c>
      <c r="K2537" s="462" t="s">
        <v>641</v>
      </c>
      <c r="L2537" s="463" t="e">
        <v>#REF!</v>
      </c>
      <c r="M2537" s="497">
        <v>76.674746222222225</v>
      </c>
      <c r="N2537" s="464"/>
      <c r="O2537" s="465"/>
      <c r="P2537" s="431" t="s">
        <v>6711</v>
      </c>
    </row>
    <row r="2538" spans="1:16" ht="13.5" hidden="1" customHeight="1" outlineLevel="2" x14ac:dyDescent="0.2">
      <c r="A2538" s="233">
        <v>0</v>
      </c>
      <c r="B2538" s="233">
        <v>17</v>
      </c>
      <c r="C2538" s="233">
        <v>9</v>
      </c>
      <c r="D2538" s="234">
        <v>2</v>
      </c>
      <c r="E2538" s="234">
        <v>0</v>
      </c>
      <c r="G2538" s="507"/>
      <c r="H2538" s="487" t="s">
        <v>1237</v>
      </c>
      <c r="I2538" s="452" t="s">
        <v>5834</v>
      </c>
      <c r="J2538" s="489" t="s">
        <v>1529</v>
      </c>
      <c r="K2538" s="490"/>
      <c r="L2538" s="491"/>
      <c r="M2538" s="491"/>
      <c r="N2538" s="456"/>
      <c r="O2538" s="492"/>
      <c r="P2538" s="430"/>
    </row>
    <row r="2539" spans="1:16" ht="13.5" hidden="1" customHeight="1" outlineLevel="3" x14ac:dyDescent="0.2">
      <c r="A2539" s="233">
        <v>0</v>
      </c>
      <c r="B2539" s="233">
        <v>17</v>
      </c>
      <c r="C2539" s="233">
        <v>9</v>
      </c>
      <c r="D2539" s="234">
        <v>2</v>
      </c>
      <c r="E2539" s="234">
        <v>1</v>
      </c>
      <c r="G2539" s="508" t="s">
        <v>50</v>
      </c>
      <c r="H2539" s="493" t="s">
        <v>1238</v>
      </c>
      <c r="I2539" s="460" t="s">
        <v>5835</v>
      </c>
      <c r="J2539" s="495" t="s">
        <v>2636</v>
      </c>
      <c r="K2539" s="496" t="s">
        <v>641</v>
      </c>
      <c r="L2539" s="497" t="e">
        <v>#REF!</v>
      </c>
      <c r="M2539" s="497">
        <v>1.7585555555555554</v>
      </c>
      <c r="N2539" s="464"/>
      <c r="O2539" s="498"/>
      <c r="P2539" s="431" t="s">
        <v>6711</v>
      </c>
    </row>
    <row r="2540" spans="1:16" ht="13.5" hidden="1" customHeight="1" outlineLevel="3" x14ac:dyDescent="0.2">
      <c r="A2540" s="233">
        <v>0</v>
      </c>
      <c r="B2540" s="233">
        <v>17</v>
      </c>
      <c r="C2540" s="233">
        <v>9</v>
      </c>
      <c r="D2540" s="234">
        <v>2</v>
      </c>
      <c r="E2540" s="234">
        <v>2</v>
      </c>
      <c r="G2540" s="508" t="s">
        <v>50</v>
      </c>
      <c r="H2540" s="493" t="s">
        <v>1238</v>
      </c>
      <c r="I2540" s="460" t="s">
        <v>5836</v>
      </c>
      <c r="J2540" s="495" t="s">
        <v>1868</v>
      </c>
      <c r="K2540" s="496" t="s">
        <v>641</v>
      </c>
      <c r="L2540" s="497" t="e">
        <v>#REF!</v>
      </c>
      <c r="M2540" s="497">
        <v>4.3491600000000004</v>
      </c>
      <c r="N2540" s="464"/>
      <c r="O2540" s="498"/>
      <c r="P2540" s="431" t="s">
        <v>6711</v>
      </c>
    </row>
    <row r="2541" spans="1:16" ht="13.5" hidden="1" customHeight="1" outlineLevel="3" x14ac:dyDescent="0.2">
      <c r="A2541" s="233">
        <v>0</v>
      </c>
      <c r="B2541" s="233">
        <v>17</v>
      </c>
      <c r="C2541" s="233">
        <v>9</v>
      </c>
      <c r="D2541" s="234">
        <v>2</v>
      </c>
      <c r="E2541" s="234">
        <v>3</v>
      </c>
      <c r="G2541" s="508" t="s">
        <v>50</v>
      </c>
      <c r="H2541" s="493" t="s">
        <v>1238</v>
      </c>
      <c r="I2541" s="460" t="s">
        <v>5837</v>
      </c>
      <c r="J2541" s="495" t="s">
        <v>2635</v>
      </c>
      <c r="K2541" s="496" t="s">
        <v>641</v>
      </c>
      <c r="L2541" s="497" t="e">
        <v>#REF!</v>
      </c>
      <c r="M2541" s="497">
        <v>12.1275</v>
      </c>
      <c r="N2541" s="464"/>
      <c r="O2541" s="498"/>
      <c r="P2541" s="431" t="s">
        <v>6711</v>
      </c>
    </row>
    <row r="2542" spans="1:16" ht="13.5" hidden="1" customHeight="1" outlineLevel="3" x14ac:dyDescent="0.2">
      <c r="A2542" s="233">
        <v>0</v>
      </c>
      <c r="B2542" s="233">
        <v>17</v>
      </c>
      <c r="C2542" s="233">
        <v>9</v>
      </c>
      <c r="D2542" s="234">
        <v>2</v>
      </c>
      <c r="E2542" s="234">
        <v>4</v>
      </c>
      <c r="G2542" s="508" t="s">
        <v>50</v>
      </c>
      <c r="H2542" s="493" t="s">
        <v>1238</v>
      </c>
      <c r="I2542" s="460" t="s">
        <v>5838</v>
      </c>
      <c r="J2542" s="495" t="s">
        <v>2637</v>
      </c>
      <c r="K2542" s="496" t="s">
        <v>641</v>
      </c>
      <c r="L2542" s="497" t="e">
        <v>#REF!</v>
      </c>
      <c r="M2542" s="497">
        <v>70.567030666666668</v>
      </c>
      <c r="N2542" s="464"/>
      <c r="O2542" s="498"/>
      <c r="P2542" s="431" t="s">
        <v>6711</v>
      </c>
    </row>
    <row r="2543" spans="1:16" ht="13.5" hidden="1" customHeight="1" outlineLevel="2" x14ac:dyDescent="0.2">
      <c r="A2543" s="233">
        <v>0</v>
      </c>
      <c r="B2543" s="233">
        <v>17</v>
      </c>
      <c r="C2543" s="233">
        <v>9</v>
      </c>
      <c r="D2543" s="234">
        <v>3</v>
      </c>
      <c r="E2543" s="234">
        <v>0</v>
      </c>
      <c r="G2543" s="507"/>
      <c r="H2543" s="487" t="s">
        <v>1237</v>
      </c>
      <c r="I2543" s="452" t="s">
        <v>5839</v>
      </c>
      <c r="J2543" s="489" t="s">
        <v>14</v>
      </c>
      <c r="K2543" s="490"/>
      <c r="L2543" s="491"/>
      <c r="M2543" s="491"/>
      <c r="N2543" s="456"/>
      <c r="O2543" s="492"/>
      <c r="P2543" s="430"/>
    </row>
    <row r="2544" spans="1:16" ht="12" hidden="1" customHeight="1" outlineLevel="3" x14ac:dyDescent="0.2">
      <c r="A2544" s="233">
        <v>0</v>
      </c>
      <c r="B2544" s="233">
        <v>17</v>
      </c>
      <c r="C2544" s="233">
        <v>9</v>
      </c>
      <c r="D2544" s="234">
        <v>3</v>
      </c>
      <c r="E2544" s="234">
        <v>1</v>
      </c>
      <c r="G2544" s="508" t="s">
        <v>50</v>
      </c>
      <c r="H2544" s="493" t="s">
        <v>1238</v>
      </c>
      <c r="I2544" s="460" t="s">
        <v>5840</v>
      </c>
      <c r="J2544" s="495" t="s">
        <v>2892</v>
      </c>
      <c r="K2544" s="496" t="s">
        <v>641</v>
      </c>
      <c r="L2544" s="497" t="e">
        <v>#REF!</v>
      </c>
      <c r="M2544" s="497">
        <v>42</v>
      </c>
      <c r="N2544" s="464"/>
      <c r="O2544" s="498"/>
      <c r="P2544" s="431" t="s">
        <v>6711</v>
      </c>
    </row>
    <row r="2545" spans="1:16" ht="13.5" hidden="1" customHeight="1" outlineLevel="3" x14ac:dyDescent="0.2">
      <c r="A2545" s="233">
        <v>0</v>
      </c>
      <c r="B2545" s="233">
        <v>17</v>
      </c>
      <c r="C2545" s="233">
        <v>9</v>
      </c>
      <c r="D2545" s="234">
        <v>3</v>
      </c>
      <c r="E2545" s="234">
        <v>2</v>
      </c>
      <c r="G2545" s="508" t="s">
        <v>50</v>
      </c>
      <c r="H2545" s="493" t="s">
        <v>1238</v>
      </c>
      <c r="I2545" s="460" t="s">
        <v>5841</v>
      </c>
      <c r="J2545" s="495" t="s">
        <v>783</v>
      </c>
      <c r="K2545" s="496" t="s">
        <v>641</v>
      </c>
      <c r="L2545" s="497" t="e">
        <v>#REF!</v>
      </c>
      <c r="M2545" s="497">
        <v>40</v>
      </c>
      <c r="N2545" s="464"/>
      <c r="O2545" s="498"/>
      <c r="P2545" s="431" t="s">
        <v>6711</v>
      </c>
    </row>
    <row r="2546" spans="1:16" ht="13.5" hidden="1" customHeight="1" outlineLevel="3" x14ac:dyDescent="0.2">
      <c r="A2546" s="233">
        <v>0</v>
      </c>
      <c r="B2546" s="233">
        <v>17</v>
      </c>
      <c r="C2546" s="233">
        <v>9</v>
      </c>
      <c r="D2546" s="234">
        <v>3</v>
      </c>
      <c r="E2546" s="234">
        <v>3</v>
      </c>
      <c r="G2546" s="508" t="s">
        <v>50</v>
      </c>
      <c r="H2546" s="493" t="s">
        <v>1238</v>
      </c>
      <c r="I2546" s="460" t="s">
        <v>5842</v>
      </c>
      <c r="J2546" s="495" t="s">
        <v>784</v>
      </c>
      <c r="K2546" s="496" t="s">
        <v>641</v>
      </c>
      <c r="L2546" s="497" t="e">
        <v>#REF!</v>
      </c>
      <c r="M2546" s="497">
        <v>40</v>
      </c>
      <c r="N2546" s="464"/>
      <c r="O2546" s="498"/>
      <c r="P2546" s="431" t="s">
        <v>6711</v>
      </c>
    </row>
    <row r="2547" spans="1:16" ht="13.5" hidden="1" customHeight="1" outlineLevel="3" x14ac:dyDescent="0.2">
      <c r="A2547" s="233">
        <v>0</v>
      </c>
      <c r="B2547" s="233">
        <v>17</v>
      </c>
      <c r="C2547" s="233">
        <v>9</v>
      </c>
      <c r="D2547" s="234">
        <v>3</v>
      </c>
      <c r="E2547" s="234">
        <v>4</v>
      </c>
      <c r="G2547" s="508" t="s">
        <v>50</v>
      </c>
      <c r="H2547" s="493" t="s">
        <v>1238</v>
      </c>
      <c r="I2547" s="460" t="s">
        <v>5843</v>
      </c>
      <c r="J2547" s="495" t="s">
        <v>2641</v>
      </c>
      <c r="K2547" s="496" t="s">
        <v>641</v>
      </c>
      <c r="L2547" s="497" t="e">
        <v>#REF!</v>
      </c>
      <c r="M2547" s="497">
        <v>40</v>
      </c>
      <c r="N2547" s="464"/>
      <c r="O2547" s="498"/>
      <c r="P2547" s="431" t="s">
        <v>6711</v>
      </c>
    </row>
    <row r="2548" spans="1:16" ht="13.5" hidden="1" customHeight="1" outlineLevel="1" x14ac:dyDescent="0.2">
      <c r="A2548" s="233">
        <v>0</v>
      </c>
      <c r="B2548" s="233">
        <v>17</v>
      </c>
      <c r="C2548" s="233">
        <v>10</v>
      </c>
      <c r="D2548" s="234">
        <v>0</v>
      </c>
      <c r="E2548" s="234">
        <v>4</v>
      </c>
      <c r="G2548" s="506"/>
      <c r="H2548" s="481" t="s">
        <v>38</v>
      </c>
      <c r="I2548" s="445" t="s">
        <v>5844</v>
      </c>
      <c r="J2548" s="483" t="s">
        <v>2650</v>
      </c>
      <c r="K2548" s="484"/>
      <c r="L2548" s="485"/>
      <c r="M2548" s="485"/>
      <c r="N2548" s="449"/>
      <c r="O2548" s="486"/>
      <c r="P2548" s="429"/>
    </row>
    <row r="2549" spans="1:16" ht="13.5" hidden="1" customHeight="1" outlineLevel="2" x14ac:dyDescent="0.2">
      <c r="A2549" s="233">
        <v>0</v>
      </c>
      <c r="B2549" s="233">
        <v>17</v>
      </c>
      <c r="C2549" s="233">
        <v>10</v>
      </c>
      <c r="D2549" s="234">
        <v>1</v>
      </c>
      <c r="E2549" s="234">
        <v>0</v>
      </c>
      <c r="G2549" s="507"/>
      <c r="H2549" s="487" t="s">
        <v>1237</v>
      </c>
      <c r="I2549" s="452" t="s">
        <v>5845</v>
      </c>
      <c r="J2549" s="489" t="s">
        <v>1551</v>
      </c>
      <c r="K2549" s="490"/>
      <c r="L2549" s="491"/>
      <c r="M2549" s="491"/>
      <c r="N2549" s="456"/>
      <c r="O2549" s="492"/>
      <c r="P2549" s="430"/>
    </row>
    <row r="2550" spans="1:16" ht="13.5" hidden="1" customHeight="1" outlineLevel="3" x14ac:dyDescent="0.2">
      <c r="A2550" s="233">
        <v>0</v>
      </c>
      <c r="B2550" s="233">
        <v>17</v>
      </c>
      <c r="C2550" s="233">
        <v>10</v>
      </c>
      <c r="D2550" s="234">
        <v>1</v>
      </c>
      <c r="E2550" s="234">
        <v>1</v>
      </c>
      <c r="G2550" s="508" t="s">
        <v>50</v>
      </c>
      <c r="H2550" s="493" t="s">
        <v>1238</v>
      </c>
      <c r="I2550" s="460" t="s">
        <v>5846</v>
      </c>
      <c r="J2550" s="495" t="s">
        <v>1542</v>
      </c>
      <c r="K2550" s="496" t="s">
        <v>641</v>
      </c>
      <c r="L2550" s="497" t="e">
        <v>#REF!</v>
      </c>
      <c r="M2550" s="497">
        <v>1.7585555555555554</v>
      </c>
      <c r="N2550" s="464"/>
      <c r="O2550" s="498"/>
      <c r="P2550" s="431" t="s">
        <v>6711</v>
      </c>
    </row>
    <row r="2551" spans="1:16" ht="13.5" hidden="1" customHeight="1" outlineLevel="3" x14ac:dyDescent="0.2">
      <c r="A2551" s="233">
        <v>0</v>
      </c>
      <c r="B2551" s="233">
        <v>17</v>
      </c>
      <c r="C2551" s="233">
        <v>10</v>
      </c>
      <c r="D2551" s="234">
        <v>1</v>
      </c>
      <c r="E2551" s="234">
        <v>2</v>
      </c>
      <c r="G2551" s="508" t="s">
        <v>50</v>
      </c>
      <c r="H2551" s="493" t="s">
        <v>1238</v>
      </c>
      <c r="I2551" s="460" t="s">
        <v>5847</v>
      </c>
      <c r="J2551" s="495" t="s">
        <v>1543</v>
      </c>
      <c r="K2551" s="496" t="s">
        <v>641</v>
      </c>
      <c r="L2551" s="497" t="e">
        <v>#REF!</v>
      </c>
      <c r="M2551" s="497">
        <v>4.3491600000000004</v>
      </c>
      <c r="N2551" s="464"/>
      <c r="O2551" s="498"/>
      <c r="P2551" s="431" t="s">
        <v>6711</v>
      </c>
    </row>
    <row r="2552" spans="1:16" ht="13.5" hidden="1" customHeight="1" outlineLevel="3" x14ac:dyDescent="0.2">
      <c r="A2552" s="233">
        <v>0</v>
      </c>
      <c r="B2552" s="233">
        <v>17</v>
      </c>
      <c r="C2552" s="233">
        <v>10</v>
      </c>
      <c r="D2552" s="234">
        <v>1</v>
      </c>
      <c r="E2552" s="234">
        <v>3</v>
      </c>
      <c r="G2552" s="508" t="s">
        <v>50</v>
      </c>
      <c r="H2552" s="493" t="s">
        <v>1238</v>
      </c>
      <c r="I2552" s="460" t="s">
        <v>5848</v>
      </c>
      <c r="J2552" s="495" t="s">
        <v>773</v>
      </c>
      <c r="K2552" s="496" t="s">
        <v>641</v>
      </c>
      <c r="L2552" s="497" t="e">
        <v>#REF!</v>
      </c>
      <c r="M2552" s="497">
        <v>12.1275</v>
      </c>
      <c r="N2552" s="464"/>
      <c r="O2552" s="498"/>
      <c r="P2552" s="431" t="s">
        <v>6711</v>
      </c>
    </row>
    <row r="2553" spans="1:16" ht="13.5" hidden="1" customHeight="1" outlineLevel="3" x14ac:dyDescent="0.2">
      <c r="A2553" s="233">
        <v>0</v>
      </c>
      <c r="B2553" s="233">
        <v>17</v>
      </c>
      <c r="C2553" s="233">
        <v>10</v>
      </c>
      <c r="D2553" s="234">
        <v>1</v>
      </c>
      <c r="E2553" s="234">
        <v>4</v>
      </c>
      <c r="G2553" s="508" t="s">
        <v>50</v>
      </c>
      <c r="H2553" s="493" t="s">
        <v>1238</v>
      </c>
      <c r="I2553" s="460" t="s">
        <v>5849</v>
      </c>
      <c r="J2553" s="461" t="s">
        <v>2891</v>
      </c>
      <c r="K2553" s="462" t="s">
        <v>641</v>
      </c>
      <c r="L2553" s="463" t="e">
        <v>#REF!</v>
      </c>
      <c r="M2553" s="497">
        <v>76.674746222222225</v>
      </c>
      <c r="N2553" s="464"/>
      <c r="O2553" s="465"/>
      <c r="P2553" s="431" t="s">
        <v>6711</v>
      </c>
    </row>
    <row r="2554" spans="1:16" ht="13.5" hidden="1" customHeight="1" outlineLevel="2" x14ac:dyDescent="0.2">
      <c r="A2554" s="233">
        <v>0</v>
      </c>
      <c r="B2554" s="233">
        <v>17</v>
      </c>
      <c r="C2554" s="233">
        <v>10</v>
      </c>
      <c r="D2554" s="234">
        <v>2</v>
      </c>
      <c r="E2554" s="234">
        <v>0</v>
      </c>
      <c r="G2554" s="507"/>
      <c r="H2554" s="487" t="s">
        <v>1237</v>
      </c>
      <c r="I2554" s="452" t="s">
        <v>5850</v>
      </c>
      <c r="J2554" s="489" t="s">
        <v>1529</v>
      </c>
      <c r="K2554" s="490"/>
      <c r="L2554" s="491"/>
      <c r="M2554" s="491"/>
      <c r="N2554" s="456"/>
      <c r="O2554" s="492"/>
      <c r="P2554" s="430"/>
    </row>
    <row r="2555" spans="1:16" ht="13.5" hidden="1" customHeight="1" outlineLevel="3" x14ac:dyDescent="0.2">
      <c r="A2555" s="233">
        <v>0</v>
      </c>
      <c r="B2555" s="233">
        <v>17</v>
      </c>
      <c r="C2555" s="233">
        <v>10</v>
      </c>
      <c r="D2555" s="234">
        <v>2</v>
      </c>
      <c r="E2555" s="234">
        <v>1</v>
      </c>
      <c r="G2555" s="508" t="s">
        <v>50</v>
      </c>
      <c r="H2555" s="493" t="s">
        <v>1238</v>
      </c>
      <c r="I2555" s="460" t="s">
        <v>5851</v>
      </c>
      <c r="J2555" s="495" t="s">
        <v>2636</v>
      </c>
      <c r="K2555" s="496" t="s">
        <v>641</v>
      </c>
      <c r="L2555" s="497" t="e">
        <v>#REF!</v>
      </c>
      <c r="M2555" s="497">
        <v>1.7585555555555554</v>
      </c>
      <c r="N2555" s="464"/>
      <c r="O2555" s="498"/>
      <c r="P2555" s="431" t="s">
        <v>6711</v>
      </c>
    </row>
    <row r="2556" spans="1:16" ht="13.5" hidden="1" customHeight="1" outlineLevel="3" x14ac:dyDescent="0.2">
      <c r="A2556" s="233">
        <v>0</v>
      </c>
      <c r="B2556" s="233">
        <v>17</v>
      </c>
      <c r="C2556" s="233">
        <v>10</v>
      </c>
      <c r="D2556" s="234">
        <v>2</v>
      </c>
      <c r="E2556" s="234">
        <v>2</v>
      </c>
      <c r="G2556" s="508" t="s">
        <v>50</v>
      </c>
      <c r="H2556" s="493" t="s">
        <v>1238</v>
      </c>
      <c r="I2556" s="460" t="s">
        <v>5852</v>
      </c>
      <c r="J2556" s="495" t="s">
        <v>1868</v>
      </c>
      <c r="K2556" s="496" t="s">
        <v>641</v>
      </c>
      <c r="L2556" s="497" t="e">
        <v>#REF!</v>
      </c>
      <c r="M2556" s="497">
        <v>4.3491600000000004</v>
      </c>
      <c r="N2556" s="464"/>
      <c r="O2556" s="498"/>
      <c r="P2556" s="431" t="s">
        <v>6711</v>
      </c>
    </row>
    <row r="2557" spans="1:16" ht="13.5" hidden="1" customHeight="1" outlineLevel="3" x14ac:dyDescent="0.2">
      <c r="A2557" s="233">
        <v>0</v>
      </c>
      <c r="B2557" s="233">
        <v>17</v>
      </c>
      <c r="C2557" s="233">
        <v>10</v>
      </c>
      <c r="D2557" s="234">
        <v>2</v>
      </c>
      <c r="E2557" s="234">
        <v>3</v>
      </c>
      <c r="G2557" s="508" t="s">
        <v>50</v>
      </c>
      <c r="H2557" s="493" t="s">
        <v>1238</v>
      </c>
      <c r="I2557" s="460" t="s">
        <v>5853</v>
      </c>
      <c r="J2557" s="495" t="s">
        <v>2635</v>
      </c>
      <c r="K2557" s="496" t="s">
        <v>641</v>
      </c>
      <c r="L2557" s="497" t="e">
        <v>#REF!</v>
      </c>
      <c r="M2557" s="497">
        <v>12.1275</v>
      </c>
      <c r="N2557" s="464"/>
      <c r="O2557" s="498"/>
      <c r="P2557" s="431" t="s">
        <v>6711</v>
      </c>
    </row>
    <row r="2558" spans="1:16" ht="13.5" hidden="1" customHeight="1" outlineLevel="3" x14ac:dyDescent="0.2">
      <c r="A2558" s="233">
        <v>0</v>
      </c>
      <c r="B2558" s="233">
        <v>17</v>
      </c>
      <c r="C2558" s="233">
        <v>10</v>
      </c>
      <c r="D2558" s="234">
        <v>2</v>
      </c>
      <c r="E2558" s="234">
        <v>4</v>
      </c>
      <c r="G2558" s="508" t="s">
        <v>50</v>
      </c>
      <c r="H2558" s="493" t="s">
        <v>1238</v>
      </c>
      <c r="I2558" s="460" t="s">
        <v>5854</v>
      </c>
      <c r="J2558" s="495" t="s">
        <v>2637</v>
      </c>
      <c r="K2558" s="496" t="s">
        <v>641</v>
      </c>
      <c r="L2558" s="497" t="e">
        <v>#REF!</v>
      </c>
      <c r="M2558" s="497">
        <v>70.567030666666668</v>
      </c>
      <c r="N2558" s="464"/>
      <c r="O2558" s="498"/>
      <c r="P2558" s="431" t="s">
        <v>6711</v>
      </c>
    </row>
    <row r="2559" spans="1:16" ht="13.5" hidden="1" customHeight="1" outlineLevel="2" x14ac:dyDescent="0.2">
      <c r="A2559" s="233">
        <v>0</v>
      </c>
      <c r="B2559" s="233">
        <v>17</v>
      </c>
      <c r="C2559" s="233">
        <v>10</v>
      </c>
      <c r="D2559" s="234">
        <v>3</v>
      </c>
      <c r="E2559" s="234">
        <v>0</v>
      </c>
      <c r="G2559" s="507"/>
      <c r="H2559" s="487" t="s">
        <v>1237</v>
      </c>
      <c r="I2559" s="452" t="s">
        <v>5855</v>
      </c>
      <c r="J2559" s="489" t="s">
        <v>14</v>
      </c>
      <c r="K2559" s="490"/>
      <c r="L2559" s="491"/>
      <c r="M2559" s="491"/>
      <c r="N2559" s="456"/>
      <c r="O2559" s="492"/>
      <c r="P2559" s="430"/>
    </row>
    <row r="2560" spans="1:16" ht="12" hidden="1" customHeight="1" outlineLevel="3" x14ac:dyDescent="0.2">
      <c r="A2560" s="233">
        <v>0</v>
      </c>
      <c r="B2560" s="233">
        <v>17</v>
      </c>
      <c r="C2560" s="233">
        <v>10</v>
      </c>
      <c r="D2560" s="234">
        <v>3</v>
      </c>
      <c r="E2560" s="234">
        <v>1</v>
      </c>
      <c r="G2560" s="508" t="s">
        <v>50</v>
      </c>
      <c r="H2560" s="493" t="s">
        <v>1238</v>
      </c>
      <c r="I2560" s="460" t="s">
        <v>5856</v>
      </c>
      <c r="J2560" s="495" t="s">
        <v>2892</v>
      </c>
      <c r="K2560" s="496" t="s">
        <v>641</v>
      </c>
      <c r="L2560" s="497" t="e">
        <v>#REF!</v>
      </c>
      <c r="M2560" s="497">
        <v>42</v>
      </c>
      <c r="N2560" s="464"/>
      <c r="O2560" s="498"/>
      <c r="P2560" s="431" t="s">
        <v>6711</v>
      </c>
    </row>
    <row r="2561" spans="1:16" ht="13.5" hidden="1" customHeight="1" outlineLevel="3" x14ac:dyDescent="0.2">
      <c r="A2561" s="233">
        <v>0</v>
      </c>
      <c r="B2561" s="233">
        <v>17</v>
      </c>
      <c r="C2561" s="233">
        <v>10</v>
      </c>
      <c r="D2561" s="234">
        <v>3</v>
      </c>
      <c r="E2561" s="234">
        <v>2</v>
      </c>
      <c r="G2561" s="508" t="s">
        <v>50</v>
      </c>
      <c r="H2561" s="493" t="s">
        <v>1238</v>
      </c>
      <c r="I2561" s="460" t="s">
        <v>5857</v>
      </c>
      <c r="J2561" s="495" t="s">
        <v>783</v>
      </c>
      <c r="K2561" s="496" t="s">
        <v>641</v>
      </c>
      <c r="L2561" s="497" t="e">
        <v>#REF!</v>
      </c>
      <c r="M2561" s="497">
        <v>40</v>
      </c>
      <c r="N2561" s="464"/>
      <c r="O2561" s="498"/>
      <c r="P2561" s="431" t="s">
        <v>6711</v>
      </c>
    </row>
    <row r="2562" spans="1:16" ht="13.5" hidden="1" customHeight="1" outlineLevel="3" x14ac:dyDescent="0.2">
      <c r="A2562" s="233">
        <v>0</v>
      </c>
      <c r="B2562" s="233">
        <v>17</v>
      </c>
      <c r="C2562" s="233">
        <v>10</v>
      </c>
      <c r="D2562" s="234">
        <v>3</v>
      </c>
      <c r="E2562" s="234">
        <v>3</v>
      </c>
      <c r="G2562" s="508" t="s">
        <v>50</v>
      </c>
      <c r="H2562" s="493" t="s">
        <v>1238</v>
      </c>
      <c r="I2562" s="460" t="s">
        <v>5858</v>
      </c>
      <c r="J2562" s="495" t="s">
        <v>784</v>
      </c>
      <c r="K2562" s="496" t="s">
        <v>641</v>
      </c>
      <c r="L2562" s="497" t="e">
        <v>#REF!</v>
      </c>
      <c r="M2562" s="497">
        <v>40</v>
      </c>
      <c r="N2562" s="464"/>
      <c r="O2562" s="498"/>
      <c r="P2562" s="431" t="s">
        <v>6711</v>
      </c>
    </row>
    <row r="2563" spans="1:16" ht="13.5" hidden="1" customHeight="1" outlineLevel="3" x14ac:dyDescent="0.2">
      <c r="A2563" s="233">
        <v>0</v>
      </c>
      <c r="B2563" s="233">
        <v>17</v>
      </c>
      <c r="C2563" s="233">
        <v>10</v>
      </c>
      <c r="D2563" s="234">
        <v>3</v>
      </c>
      <c r="E2563" s="234">
        <v>4</v>
      </c>
      <c r="G2563" s="508" t="s">
        <v>50</v>
      </c>
      <c r="H2563" s="493" t="s">
        <v>1238</v>
      </c>
      <c r="I2563" s="460" t="s">
        <v>5859</v>
      </c>
      <c r="J2563" s="495" t="s">
        <v>2641</v>
      </c>
      <c r="K2563" s="496" t="s">
        <v>641</v>
      </c>
      <c r="L2563" s="497" t="e">
        <v>#REF!</v>
      </c>
      <c r="M2563" s="497">
        <v>40</v>
      </c>
      <c r="N2563" s="464"/>
      <c r="O2563" s="498"/>
      <c r="P2563" s="431" t="s">
        <v>6711</v>
      </c>
    </row>
    <row r="2564" spans="1:16" ht="13.5" hidden="1" customHeight="1" outlineLevel="1" x14ac:dyDescent="0.2">
      <c r="A2564" s="233">
        <v>0</v>
      </c>
      <c r="B2564" s="233">
        <v>17</v>
      </c>
      <c r="C2564" s="233">
        <v>11</v>
      </c>
      <c r="D2564" s="234">
        <v>0</v>
      </c>
      <c r="E2564" s="234">
        <v>4</v>
      </c>
      <c r="G2564" s="506"/>
      <c r="H2564" s="481" t="s">
        <v>38</v>
      </c>
      <c r="I2564" s="445" t="s">
        <v>5860</v>
      </c>
      <c r="J2564" s="483" t="s">
        <v>2651</v>
      </c>
      <c r="K2564" s="484"/>
      <c r="L2564" s="485"/>
      <c r="M2564" s="485"/>
      <c r="N2564" s="449"/>
      <c r="O2564" s="486"/>
      <c r="P2564" s="429"/>
    </row>
    <row r="2565" spans="1:16" ht="13.5" hidden="1" customHeight="1" outlineLevel="2" x14ac:dyDescent="0.2">
      <c r="A2565" s="233">
        <v>0</v>
      </c>
      <c r="B2565" s="233">
        <v>17</v>
      </c>
      <c r="C2565" s="233">
        <v>11</v>
      </c>
      <c r="D2565" s="234">
        <v>1</v>
      </c>
      <c r="E2565" s="234">
        <v>0</v>
      </c>
      <c r="G2565" s="507"/>
      <c r="H2565" s="487" t="s">
        <v>1237</v>
      </c>
      <c r="I2565" s="452" t="s">
        <v>5861</v>
      </c>
      <c r="J2565" s="489" t="s">
        <v>1551</v>
      </c>
      <c r="K2565" s="490"/>
      <c r="L2565" s="491"/>
      <c r="M2565" s="491"/>
      <c r="N2565" s="456"/>
      <c r="O2565" s="492"/>
      <c r="P2565" s="430"/>
    </row>
    <row r="2566" spans="1:16" ht="13.5" hidden="1" customHeight="1" outlineLevel="3" x14ac:dyDescent="0.2">
      <c r="A2566" s="233">
        <v>0</v>
      </c>
      <c r="B2566" s="233">
        <v>17</v>
      </c>
      <c r="C2566" s="233">
        <v>11</v>
      </c>
      <c r="D2566" s="234">
        <v>1</v>
      </c>
      <c r="E2566" s="234">
        <v>1</v>
      </c>
      <c r="G2566" s="508" t="s">
        <v>50</v>
      </c>
      <c r="H2566" s="493" t="s">
        <v>1238</v>
      </c>
      <c r="I2566" s="460" t="s">
        <v>5862</v>
      </c>
      <c r="J2566" s="495" t="s">
        <v>1542</v>
      </c>
      <c r="K2566" s="496" t="s">
        <v>641</v>
      </c>
      <c r="L2566" s="497" t="e">
        <v>#REF!</v>
      </c>
      <c r="M2566" s="497">
        <v>1.7585555555555554</v>
      </c>
      <c r="N2566" s="464"/>
      <c r="O2566" s="498"/>
      <c r="P2566" s="431" t="s">
        <v>6711</v>
      </c>
    </row>
    <row r="2567" spans="1:16" ht="13.5" hidden="1" customHeight="1" outlineLevel="3" x14ac:dyDescent="0.2">
      <c r="A2567" s="233">
        <v>0</v>
      </c>
      <c r="B2567" s="233">
        <v>17</v>
      </c>
      <c r="C2567" s="233">
        <v>11</v>
      </c>
      <c r="D2567" s="234">
        <v>1</v>
      </c>
      <c r="E2567" s="234">
        <v>2</v>
      </c>
      <c r="G2567" s="508" t="s">
        <v>50</v>
      </c>
      <c r="H2567" s="493" t="s">
        <v>1238</v>
      </c>
      <c r="I2567" s="460" t="s">
        <v>5863</v>
      </c>
      <c r="J2567" s="495" t="s">
        <v>1543</v>
      </c>
      <c r="K2567" s="496" t="s">
        <v>641</v>
      </c>
      <c r="L2567" s="497" t="e">
        <v>#REF!</v>
      </c>
      <c r="M2567" s="497">
        <v>4.3491600000000004</v>
      </c>
      <c r="N2567" s="464"/>
      <c r="O2567" s="498"/>
      <c r="P2567" s="431" t="s">
        <v>6711</v>
      </c>
    </row>
    <row r="2568" spans="1:16" ht="13.5" hidden="1" customHeight="1" outlineLevel="3" x14ac:dyDescent="0.2">
      <c r="A2568" s="233">
        <v>0</v>
      </c>
      <c r="B2568" s="233">
        <v>17</v>
      </c>
      <c r="C2568" s="233">
        <v>11</v>
      </c>
      <c r="D2568" s="234">
        <v>1</v>
      </c>
      <c r="E2568" s="234">
        <v>3</v>
      </c>
      <c r="G2568" s="508" t="s">
        <v>50</v>
      </c>
      <c r="H2568" s="493" t="s">
        <v>1238</v>
      </c>
      <c r="I2568" s="460" t="s">
        <v>5864</v>
      </c>
      <c r="J2568" s="495" t="s">
        <v>773</v>
      </c>
      <c r="K2568" s="496" t="s">
        <v>641</v>
      </c>
      <c r="L2568" s="497" t="e">
        <v>#REF!</v>
      </c>
      <c r="M2568" s="497">
        <v>12.1275</v>
      </c>
      <c r="N2568" s="464"/>
      <c r="O2568" s="498"/>
      <c r="P2568" s="431" t="s">
        <v>6711</v>
      </c>
    </row>
    <row r="2569" spans="1:16" ht="13.5" hidden="1" customHeight="1" outlineLevel="3" x14ac:dyDescent="0.2">
      <c r="A2569" s="233">
        <v>0</v>
      </c>
      <c r="B2569" s="233">
        <v>17</v>
      </c>
      <c r="C2569" s="233">
        <v>11</v>
      </c>
      <c r="D2569" s="234">
        <v>1</v>
      </c>
      <c r="E2569" s="234">
        <v>4</v>
      </c>
      <c r="G2569" s="508" t="s">
        <v>50</v>
      </c>
      <c r="H2569" s="493" t="s">
        <v>1238</v>
      </c>
      <c r="I2569" s="460" t="s">
        <v>5865</v>
      </c>
      <c r="J2569" s="461" t="s">
        <v>2891</v>
      </c>
      <c r="K2569" s="462" t="s">
        <v>641</v>
      </c>
      <c r="L2569" s="463" t="e">
        <v>#REF!</v>
      </c>
      <c r="M2569" s="497">
        <v>76.674746222222225</v>
      </c>
      <c r="N2569" s="464"/>
      <c r="O2569" s="465"/>
      <c r="P2569" s="431" t="s">
        <v>6711</v>
      </c>
    </row>
    <row r="2570" spans="1:16" ht="13.5" hidden="1" customHeight="1" outlineLevel="2" x14ac:dyDescent="0.2">
      <c r="A2570" s="233">
        <v>0</v>
      </c>
      <c r="B2570" s="233">
        <v>17</v>
      </c>
      <c r="C2570" s="233">
        <v>11</v>
      </c>
      <c r="D2570" s="234">
        <v>2</v>
      </c>
      <c r="E2570" s="234">
        <v>0</v>
      </c>
      <c r="G2570" s="507"/>
      <c r="H2570" s="487" t="s">
        <v>1237</v>
      </c>
      <c r="I2570" s="452" t="s">
        <v>5866</v>
      </c>
      <c r="J2570" s="489" t="s">
        <v>1529</v>
      </c>
      <c r="K2570" s="490"/>
      <c r="L2570" s="491"/>
      <c r="M2570" s="491"/>
      <c r="N2570" s="456"/>
      <c r="O2570" s="492"/>
      <c r="P2570" s="430"/>
    </row>
    <row r="2571" spans="1:16" ht="13.5" hidden="1" customHeight="1" outlineLevel="3" x14ac:dyDescent="0.2">
      <c r="A2571" s="233">
        <v>0</v>
      </c>
      <c r="B2571" s="233">
        <v>17</v>
      </c>
      <c r="C2571" s="233">
        <v>11</v>
      </c>
      <c r="D2571" s="234">
        <v>2</v>
      </c>
      <c r="E2571" s="234">
        <v>1</v>
      </c>
      <c r="G2571" s="508" t="s">
        <v>50</v>
      </c>
      <c r="H2571" s="493" t="s">
        <v>1238</v>
      </c>
      <c r="I2571" s="460" t="s">
        <v>5867</v>
      </c>
      <c r="J2571" s="495" t="s">
        <v>2636</v>
      </c>
      <c r="K2571" s="496" t="s">
        <v>641</v>
      </c>
      <c r="L2571" s="497" t="e">
        <v>#REF!</v>
      </c>
      <c r="M2571" s="497">
        <v>1.7585555555555554</v>
      </c>
      <c r="N2571" s="464"/>
      <c r="O2571" s="498"/>
      <c r="P2571" s="431" t="s">
        <v>6711</v>
      </c>
    </row>
    <row r="2572" spans="1:16" ht="13.5" hidden="1" customHeight="1" outlineLevel="3" x14ac:dyDescent="0.2">
      <c r="A2572" s="233">
        <v>0</v>
      </c>
      <c r="B2572" s="233">
        <v>17</v>
      </c>
      <c r="C2572" s="233">
        <v>11</v>
      </c>
      <c r="D2572" s="234">
        <v>2</v>
      </c>
      <c r="E2572" s="234">
        <v>2</v>
      </c>
      <c r="G2572" s="508" t="s">
        <v>50</v>
      </c>
      <c r="H2572" s="493" t="s">
        <v>1238</v>
      </c>
      <c r="I2572" s="460" t="s">
        <v>5868</v>
      </c>
      <c r="J2572" s="495" t="s">
        <v>1868</v>
      </c>
      <c r="K2572" s="496" t="s">
        <v>641</v>
      </c>
      <c r="L2572" s="497" t="e">
        <v>#REF!</v>
      </c>
      <c r="M2572" s="497">
        <v>4.3491600000000004</v>
      </c>
      <c r="N2572" s="464"/>
      <c r="O2572" s="498"/>
      <c r="P2572" s="431" t="s">
        <v>6711</v>
      </c>
    </row>
    <row r="2573" spans="1:16" ht="13.5" hidden="1" customHeight="1" outlineLevel="3" x14ac:dyDescent="0.2">
      <c r="A2573" s="233">
        <v>0</v>
      </c>
      <c r="B2573" s="233">
        <v>17</v>
      </c>
      <c r="C2573" s="233">
        <v>11</v>
      </c>
      <c r="D2573" s="234">
        <v>2</v>
      </c>
      <c r="E2573" s="234">
        <v>3</v>
      </c>
      <c r="G2573" s="508" t="s">
        <v>50</v>
      </c>
      <c r="H2573" s="493" t="s">
        <v>1238</v>
      </c>
      <c r="I2573" s="460" t="s">
        <v>5869</v>
      </c>
      <c r="J2573" s="495" t="s">
        <v>2635</v>
      </c>
      <c r="K2573" s="496" t="s">
        <v>641</v>
      </c>
      <c r="L2573" s="497" t="e">
        <v>#REF!</v>
      </c>
      <c r="M2573" s="497">
        <v>12.1275</v>
      </c>
      <c r="N2573" s="464"/>
      <c r="O2573" s="498"/>
      <c r="P2573" s="431" t="s">
        <v>6711</v>
      </c>
    </row>
    <row r="2574" spans="1:16" ht="13.5" hidden="1" customHeight="1" outlineLevel="3" x14ac:dyDescent="0.2">
      <c r="A2574" s="233">
        <v>0</v>
      </c>
      <c r="B2574" s="233">
        <v>17</v>
      </c>
      <c r="C2574" s="233">
        <v>11</v>
      </c>
      <c r="D2574" s="234">
        <v>2</v>
      </c>
      <c r="E2574" s="234">
        <v>4</v>
      </c>
      <c r="G2574" s="508" t="s">
        <v>50</v>
      </c>
      <c r="H2574" s="493" t="s">
        <v>1238</v>
      </c>
      <c r="I2574" s="460" t="s">
        <v>5870</v>
      </c>
      <c r="J2574" s="495" t="s">
        <v>2637</v>
      </c>
      <c r="K2574" s="496" t="s">
        <v>641</v>
      </c>
      <c r="L2574" s="497" t="e">
        <v>#REF!</v>
      </c>
      <c r="M2574" s="497">
        <v>70.567030666666668</v>
      </c>
      <c r="N2574" s="464"/>
      <c r="O2574" s="498"/>
      <c r="P2574" s="431" t="s">
        <v>6711</v>
      </c>
    </row>
    <row r="2575" spans="1:16" ht="13.5" hidden="1" customHeight="1" outlineLevel="2" x14ac:dyDescent="0.2">
      <c r="A2575" s="233">
        <v>0</v>
      </c>
      <c r="B2575" s="233">
        <v>17</v>
      </c>
      <c r="C2575" s="233">
        <v>11</v>
      </c>
      <c r="D2575" s="234">
        <v>3</v>
      </c>
      <c r="E2575" s="234">
        <v>0</v>
      </c>
      <c r="G2575" s="507"/>
      <c r="H2575" s="487" t="s">
        <v>1237</v>
      </c>
      <c r="I2575" s="452" t="s">
        <v>5871</v>
      </c>
      <c r="J2575" s="489" t="s">
        <v>14</v>
      </c>
      <c r="K2575" s="490"/>
      <c r="L2575" s="491"/>
      <c r="M2575" s="491"/>
      <c r="N2575" s="456"/>
      <c r="O2575" s="492"/>
      <c r="P2575" s="430"/>
    </row>
    <row r="2576" spans="1:16" ht="12" hidden="1" customHeight="1" outlineLevel="3" x14ac:dyDescent="0.2">
      <c r="A2576" s="233">
        <v>0</v>
      </c>
      <c r="B2576" s="233">
        <v>17</v>
      </c>
      <c r="C2576" s="233">
        <v>11</v>
      </c>
      <c r="D2576" s="234">
        <v>3</v>
      </c>
      <c r="E2576" s="234">
        <v>1</v>
      </c>
      <c r="G2576" s="508" t="s">
        <v>50</v>
      </c>
      <c r="H2576" s="493" t="s">
        <v>1238</v>
      </c>
      <c r="I2576" s="460" t="s">
        <v>5872</v>
      </c>
      <c r="J2576" s="495" t="s">
        <v>2892</v>
      </c>
      <c r="K2576" s="496" t="s">
        <v>641</v>
      </c>
      <c r="L2576" s="497" t="e">
        <v>#REF!</v>
      </c>
      <c r="M2576" s="497">
        <v>42</v>
      </c>
      <c r="N2576" s="464"/>
      <c r="O2576" s="498"/>
      <c r="P2576" s="431" t="s">
        <v>6711</v>
      </c>
    </row>
    <row r="2577" spans="1:16" ht="13.5" hidden="1" customHeight="1" outlineLevel="3" x14ac:dyDescent="0.2">
      <c r="A2577" s="233">
        <v>0</v>
      </c>
      <c r="B2577" s="233">
        <v>17</v>
      </c>
      <c r="C2577" s="233">
        <v>11</v>
      </c>
      <c r="D2577" s="234">
        <v>3</v>
      </c>
      <c r="E2577" s="234">
        <v>2</v>
      </c>
      <c r="G2577" s="508" t="s">
        <v>50</v>
      </c>
      <c r="H2577" s="493" t="s">
        <v>1238</v>
      </c>
      <c r="I2577" s="460" t="s">
        <v>5873</v>
      </c>
      <c r="J2577" s="495" t="s">
        <v>783</v>
      </c>
      <c r="K2577" s="496" t="s">
        <v>641</v>
      </c>
      <c r="L2577" s="497" t="e">
        <v>#REF!</v>
      </c>
      <c r="M2577" s="497">
        <v>40</v>
      </c>
      <c r="N2577" s="464"/>
      <c r="O2577" s="498"/>
      <c r="P2577" s="431" t="s">
        <v>6711</v>
      </c>
    </row>
    <row r="2578" spans="1:16" ht="13.5" hidden="1" customHeight="1" outlineLevel="3" x14ac:dyDescent="0.2">
      <c r="A2578" s="233">
        <v>0</v>
      </c>
      <c r="B2578" s="233">
        <v>17</v>
      </c>
      <c r="C2578" s="233">
        <v>11</v>
      </c>
      <c r="D2578" s="234">
        <v>3</v>
      </c>
      <c r="E2578" s="234">
        <v>3</v>
      </c>
      <c r="G2578" s="508" t="s">
        <v>50</v>
      </c>
      <c r="H2578" s="493" t="s">
        <v>1238</v>
      </c>
      <c r="I2578" s="460" t="s">
        <v>5874</v>
      </c>
      <c r="J2578" s="495" t="s">
        <v>784</v>
      </c>
      <c r="K2578" s="496" t="s">
        <v>641</v>
      </c>
      <c r="L2578" s="497" t="e">
        <v>#REF!</v>
      </c>
      <c r="M2578" s="497">
        <v>40</v>
      </c>
      <c r="N2578" s="464"/>
      <c r="O2578" s="498"/>
      <c r="P2578" s="431" t="s">
        <v>6711</v>
      </c>
    </row>
    <row r="2579" spans="1:16" ht="13.5" hidden="1" customHeight="1" outlineLevel="3" x14ac:dyDescent="0.2">
      <c r="A2579" s="233">
        <v>0</v>
      </c>
      <c r="B2579" s="233">
        <v>17</v>
      </c>
      <c r="C2579" s="233">
        <v>11</v>
      </c>
      <c r="D2579" s="234">
        <v>3</v>
      </c>
      <c r="E2579" s="234">
        <v>4</v>
      </c>
      <c r="G2579" s="508" t="s">
        <v>50</v>
      </c>
      <c r="H2579" s="493" t="s">
        <v>1238</v>
      </c>
      <c r="I2579" s="460" t="s">
        <v>5875</v>
      </c>
      <c r="J2579" s="495" t="s">
        <v>2641</v>
      </c>
      <c r="K2579" s="496" t="s">
        <v>641</v>
      </c>
      <c r="L2579" s="497" t="e">
        <v>#REF!</v>
      </c>
      <c r="M2579" s="497">
        <v>40</v>
      </c>
      <c r="N2579" s="464"/>
      <c r="O2579" s="498"/>
      <c r="P2579" s="431" t="s">
        <v>6711</v>
      </c>
    </row>
    <row r="2580" spans="1:16" ht="13.5" hidden="1" customHeight="1" outlineLevel="1" x14ac:dyDescent="0.2">
      <c r="A2580" s="233">
        <v>0</v>
      </c>
      <c r="B2580" s="233">
        <v>17</v>
      </c>
      <c r="C2580" s="233">
        <v>12</v>
      </c>
      <c r="D2580" s="234">
        <v>0</v>
      </c>
      <c r="E2580" s="234">
        <v>4</v>
      </c>
      <c r="G2580" s="506"/>
      <c r="H2580" s="481" t="s">
        <v>38</v>
      </c>
      <c r="I2580" s="445" t="s">
        <v>5876</v>
      </c>
      <c r="J2580" s="483" t="s">
        <v>2652</v>
      </c>
      <c r="K2580" s="484"/>
      <c r="L2580" s="485"/>
      <c r="M2580" s="485"/>
      <c r="N2580" s="449"/>
      <c r="O2580" s="486"/>
      <c r="P2580" s="429"/>
    </row>
    <row r="2581" spans="1:16" ht="13.5" hidden="1" customHeight="1" outlineLevel="2" x14ac:dyDescent="0.2">
      <c r="A2581" s="233">
        <v>0</v>
      </c>
      <c r="B2581" s="233">
        <v>17</v>
      </c>
      <c r="C2581" s="233">
        <v>12</v>
      </c>
      <c r="D2581" s="234">
        <v>1</v>
      </c>
      <c r="E2581" s="234">
        <v>0</v>
      </c>
      <c r="G2581" s="507"/>
      <c r="H2581" s="487" t="s">
        <v>1237</v>
      </c>
      <c r="I2581" s="452" t="s">
        <v>5877</v>
      </c>
      <c r="J2581" s="489" t="s">
        <v>1551</v>
      </c>
      <c r="K2581" s="490"/>
      <c r="L2581" s="491"/>
      <c r="M2581" s="491"/>
      <c r="N2581" s="456"/>
      <c r="O2581" s="492"/>
      <c r="P2581" s="430"/>
    </row>
    <row r="2582" spans="1:16" ht="13.5" hidden="1" customHeight="1" outlineLevel="3" x14ac:dyDescent="0.2">
      <c r="A2582" s="233">
        <v>0</v>
      </c>
      <c r="B2582" s="233">
        <v>17</v>
      </c>
      <c r="C2582" s="233">
        <v>12</v>
      </c>
      <c r="D2582" s="234">
        <v>1</v>
      </c>
      <c r="E2582" s="234">
        <v>1</v>
      </c>
      <c r="G2582" s="508" t="s">
        <v>50</v>
      </c>
      <c r="H2582" s="493" t="s">
        <v>1238</v>
      </c>
      <c r="I2582" s="460" t="s">
        <v>5878</v>
      </c>
      <c r="J2582" s="495" t="s">
        <v>1542</v>
      </c>
      <c r="K2582" s="496" t="s">
        <v>641</v>
      </c>
      <c r="L2582" s="497" t="e">
        <v>#REF!</v>
      </c>
      <c r="M2582" s="497">
        <v>1.7585555555555554</v>
      </c>
      <c r="N2582" s="464"/>
      <c r="O2582" s="498"/>
      <c r="P2582" s="431" t="s">
        <v>6711</v>
      </c>
    </row>
    <row r="2583" spans="1:16" ht="13.5" hidden="1" customHeight="1" outlineLevel="3" x14ac:dyDescent="0.2">
      <c r="A2583" s="233">
        <v>0</v>
      </c>
      <c r="B2583" s="233">
        <v>17</v>
      </c>
      <c r="C2583" s="233">
        <v>12</v>
      </c>
      <c r="D2583" s="234">
        <v>1</v>
      </c>
      <c r="E2583" s="234">
        <v>2</v>
      </c>
      <c r="G2583" s="508" t="s">
        <v>50</v>
      </c>
      <c r="H2583" s="493" t="s">
        <v>1238</v>
      </c>
      <c r="I2583" s="460" t="s">
        <v>5879</v>
      </c>
      <c r="J2583" s="495" t="s">
        <v>1543</v>
      </c>
      <c r="K2583" s="496" t="s">
        <v>641</v>
      </c>
      <c r="L2583" s="497" t="e">
        <v>#REF!</v>
      </c>
      <c r="M2583" s="497">
        <v>4.3491600000000004</v>
      </c>
      <c r="N2583" s="464"/>
      <c r="O2583" s="498"/>
      <c r="P2583" s="431" t="s">
        <v>6711</v>
      </c>
    </row>
    <row r="2584" spans="1:16" ht="13.5" hidden="1" customHeight="1" outlineLevel="3" x14ac:dyDescent="0.2">
      <c r="A2584" s="233">
        <v>0</v>
      </c>
      <c r="B2584" s="233">
        <v>17</v>
      </c>
      <c r="C2584" s="233">
        <v>12</v>
      </c>
      <c r="D2584" s="234">
        <v>1</v>
      </c>
      <c r="E2584" s="234">
        <v>3</v>
      </c>
      <c r="G2584" s="508" t="s">
        <v>50</v>
      </c>
      <c r="H2584" s="493" t="s">
        <v>1238</v>
      </c>
      <c r="I2584" s="460" t="s">
        <v>5880</v>
      </c>
      <c r="J2584" s="495" t="s">
        <v>773</v>
      </c>
      <c r="K2584" s="496" t="s">
        <v>641</v>
      </c>
      <c r="L2584" s="497" t="e">
        <v>#REF!</v>
      </c>
      <c r="M2584" s="497">
        <v>12.1275</v>
      </c>
      <c r="N2584" s="464"/>
      <c r="O2584" s="498"/>
      <c r="P2584" s="431" t="s">
        <v>6711</v>
      </c>
    </row>
    <row r="2585" spans="1:16" ht="13.5" hidden="1" customHeight="1" outlineLevel="3" x14ac:dyDescent="0.2">
      <c r="A2585" s="233">
        <v>0</v>
      </c>
      <c r="B2585" s="233">
        <v>17</v>
      </c>
      <c r="C2585" s="233">
        <v>12</v>
      </c>
      <c r="D2585" s="234">
        <v>1</v>
      </c>
      <c r="E2585" s="234">
        <v>4</v>
      </c>
      <c r="G2585" s="508" t="s">
        <v>50</v>
      </c>
      <c r="H2585" s="493" t="s">
        <v>1238</v>
      </c>
      <c r="I2585" s="460" t="s">
        <v>5881</v>
      </c>
      <c r="J2585" s="461" t="s">
        <v>2891</v>
      </c>
      <c r="K2585" s="462" t="s">
        <v>641</v>
      </c>
      <c r="L2585" s="463" t="e">
        <v>#REF!</v>
      </c>
      <c r="M2585" s="497">
        <v>76.674746222222225</v>
      </c>
      <c r="N2585" s="464"/>
      <c r="O2585" s="465"/>
      <c r="P2585" s="431" t="s">
        <v>6711</v>
      </c>
    </row>
    <row r="2586" spans="1:16" ht="13.5" hidden="1" customHeight="1" outlineLevel="2" x14ac:dyDescent="0.2">
      <c r="A2586" s="233">
        <v>0</v>
      </c>
      <c r="B2586" s="233">
        <v>17</v>
      </c>
      <c r="C2586" s="233">
        <v>12</v>
      </c>
      <c r="D2586" s="234">
        <v>2</v>
      </c>
      <c r="E2586" s="234">
        <v>0</v>
      </c>
      <c r="G2586" s="507"/>
      <c r="H2586" s="487" t="s">
        <v>1237</v>
      </c>
      <c r="I2586" s="452" t="s">
        <v>5882</v>
      </c>
      <c r="J2586" s="489" t="s">
        <v>1529</v>
      </c>
      <c r="K2586" s="490"/>
      <c r="L2586" s="491"/>
      <c r="M2586" s="491"/>
      <c r="N2586" s="456"/>
      <c r="O2586" s="492"/>
      <c r="P2586" s="430"/>
    </row>
    <row r="2587" spans="1:16" ht="13.5" hidden="1" customHeight="1" outlineLevel="3" x14ac:dyDescent="0.2">
      <c r="A2587" s="233">
        <v>0</v>
      </c>
      <c r="B2587" s="233">
        <v>17</v>
      </c>
      <c r="C2587" s="233">
        <v>12</v>
      </c>
      <c r="D2587" s="234">
        <v>2</v>
      </c>
      <c r="E2587" s="234">
        <v>1</v>
      </c>
      <c r="G2587" s="508" t="s">
        <v>50</v>
      </c>
      <c r="H2587" s="493" t="s">
        <v>1238</v>
      </c>
      <c r="I2587" s="460" t="s">
        <v>5883</v>
      </c>
      <c r="J2587" s="495" t="s">
        <v>2636</v>
      </c>
      <c r="K2587" s="496" t="s">
        <v>641</v>
      </c>
      <c r="L2587" s="497" t="e">
        <v>#REF!</v>
      </c>
      <c r="M2587" s="497">
        <v>1.7585555555555554</v>
      </c>
      <c r="N2587" s="464"/>
      <c r="O2587" s="498"/>
      <c r="P2587" s="431" t="s">
        <v>6711</v>
      </c>
    </row>
    <row r="2588" spans="1:16" ht="13.5" hidden="1" customHeight="1" outlineLevel="3" x14ac:dyDescent="0.2">
      <c r="A2588" s="233">
        <v>0</v>
      </c>
      <c r="B2588" s="233">
        <v>17</v>
      </c>
      <c r="C2588" s="233">
        <v>12</v>
      </c>
      <c r="D2588" s="234">
        <v>2</v>
      </c>
      <c r="E2588" s="234">
        <v>2</v>
      </c>
      <c r="G2588" s="508" t="s">
        <v>50</v>
      </c>
      <c r="H2588" s="493" t="s">
        <v>1238</v>
      </c>
      <c r="I2588" s="460" t="s">
        <v>5884</v>
      </c>
      <c r="J2588" s="495" t="s">
        <v>1868</v>
      </c>
      <c r="K2588" s="496" t="s">
        <v>641</v>
      </c>
      <c r="L2588" s="497" t="e">
        <v>#REF!</v>
      </c>
      <c r="M2588" s="497">
        <v>4.3491600000000004</v>
      </c>
      <c r="N2588" s="464"/>
      <c r="O2588" s="498"/>
      <c r="P2588" s="431" t="s">
        <v>6711</v>
      </c>
    </row>
    <row r="2589" spans="1:16" ht="18" hidden="1" customHeight="1" outlineLevel="3" x14ac:dyDescent="0.2">
      <c r="A2589" s="233">
        <v>0</v>
      </c>
      <c r="B2589" s="233">
        <v>17</v>
      </c>
      <c r="C2589" s="233">
        <v>12</v>
      </c>
      <c r="D2589" s="234">
        <v>2</v>
      </c>
      <c r="E2589" s="234">
        <v>3</v>
      </c>
      <c r="G2589" s="508" t="s">
        <v>50</v>
      </c>
      <c r="H2589" s="493" t="s">
        <v>1238</v>
      </c>
      <c r="I2589" s="460" t="s">
        <v>5885</v>
      </c>
      <c r="J2589" s="495" t="s">
        <v>2635</v>
      </c>
      <c r="K2589" s="496" t="s">
        <v>641</v>
      </c>
      <c r="L2589" s="497" t="e">
        <v>#REF!</v>
      </c>
      <c r="M2589" s="497">
        <v>12.1275</v>
      </c>
      <c r="N2589" s="464"/>
      <c r="O2589" s="498"/>
      <c r="P2589" s="431" t="s">
        <v>6711</v>
      </c>
    </row>
    <row r="2590" spans="1:16" ht="13.5" hidden="1" customHeight="1" outlineLevel="3" x14ac:dyDescent="0.2">
      <c r="A2590" s="233">
        <v>0</v>
      </c>
      <c r="B2590" s="233">
        <v>17</v>
      </c>
      <c r="C2590" s="233">
        <v>12</v>
      </c>
      <c r="D2590" s="234">
        <v>2</v>
      </c>
      <c r="E2590" s="234">
        <v>4</v>
      </c>
      <c r="G2590" s="508" t="s">
        <v>50</v>
      </c>
      <c r="H2590" s="493" t="s">
        <v>1238</v>
      </c>
      <c r="I2590" s="460" t="s">
        <v>5886</v>
      </c>
      <c r="J2590" s="495" t="s">
        <v>2637</v>
      </c>
      <c r="K2590" s="496" t="s">
        <v>641</v>
      </c>
      <c r="L2590" s="497" t="e">
        <v>#REF!</v>
      </c>
      <c r="M2590" s="497">
        <v>70.567030666666668</v>
      </c>
      <c r="N2590" s="464"/>
      <c r="O2590" s="498"/>
      <c r="P2590" s="431" t="s">
        <v>6711</v>
      </c>
    </row>
    <row r="2591" spans="1:16" ht="13.5" hidden="1" customHeight="1" outlineLevel="2" x14ac:dyDescent="0.2">
      <c r="A2591" s="233">
        <v>0</v>
      </c>
      <c r="B2591" s="233">
        <v>17</v>
      </c>
      <c r="C2591" s="233">
        <v>12</v>
      </c>
      <c r="D2591" s="234">
        <v>3</v>
      </c>
      <c r="E2591" s="234">
        <v>0</v>
      </c>
      <c r="G2591" s="507"/>
      <c r="H2591" s="487" t="s">
        <v>1237</v>
      </c>
      <c r="I2591" s="452" t="s">
        <v>5887</v>
      </c>
      <c r="J2591" s="489" t="s">
        <v>14</v>
      </c>
      <c r="K2591" s="490"/>
      <c r="L2591" s="491"/>
      <c r="M2591" s="491"/>
      <c r="N2591" s="456"/>
      <c r="O2591" s="492"/>
      <c r="P2591" s="430"/>
    </row>
    <row r="2592" spans="1:16" ht="12" hidden="1" customHeight="1" outlineLevel="3" x14ac:dyDescent="0.2">
      <c r="A2592" s="233">
        <v>0</v>
      </c>
      <c r="B2592" s="233">
        <v>17</v>
      </c>
      <c r="C2592" s="233">
        <v>12</v>
      </c>
      <c r="D2592" s="234">
        <v>3</v>
      </c>
      <c r="E2592" s="234">
        <v>1</v>
      </c>
      <c r="G2592" s="508" t="s">
        <v>50</v>
      </c>
      <c r="H2592" s="493" t="s">
        <v>1238</v>
      </c>
      <c r="I2592" s="460" t="s">
        <v>5888</v>
      </c>
      <c r="J2592" s="495" t="s">
        <v>2892</v>
      </c>
      <c r="K2592" s="496" t="s">
        <v>641</v>
      </c>
      <c r="L2592" s="497" t="e">
        <v>#REF!</v>
      </c>
      <c r="M2592" s="497">
        <v>42</v>
      </c>
      <c r="N2592" s="464"/>
      <c r="O2592" s="498"/>
      <c r="P2592" s="431" t="s">
        <v>6711</v>
      </c>
    </row>
    <row r="2593" spans="1:16" ht="13.5" hidden="1" customHeight="1" outlineLevel="3" x14ac:dyDescent="0.2">
      <c r="A2593" s="233">
        <v>0</v>
      </c>
      <c r="B2593" s="233">
        <v>17</v>
      </c>
      <c r="C2593" s="233">
        <v>12</v>
      </c>
      <c r="D2593" s="234">
        <v>3</v>
      </c>
      <c r="E2593" s="234">
        <v>2</v>
      </c>
      <c r="G2593" s="508" t="s">
        <v>50</v>
      </c>
      <c r="H2593" s="493" t="s">
        <v>1238</v>
      </c>
      <c r="I2593" s="460" t="s">
        <v>5889</v>
      </c>
      <c r="J2593" s="495" t="s">
        <v>783</v>
      </c>
      <c r="K2593" s="496" t="s">
        <v>641</v>
      </c>
      <c r="L2593" s="497" t="e">
        <v>#REF!</v>
      </c>
      <c r="M2593" s="497">
        <v>40</v>
      </c>
      <c r="N2593" s="464"/>
      <c r="O2593" s="498"/>
      <c r="P2593" s="431" t="s">
        <v>6711</v>
      </c>
    </row>
    <row r="2594" spans="1:16" ht="13.5" hidden="1" customHeight="1" outlineLevel="3" x14ac:dyDescent="0.2">
      <c r="A2594" s="233">
        <v>0</v>
      </c>
      <c r="B2594" s="233">
        <v>17</v>
      </c>
      <c r="C2594" s="233">
        <v>12</v>
      </c>
      <c r="D2594" s="234">
        <v>3</v>
      </c>
      <c r="E2594" s="234">
        <v>3</v>
      </c>
      <c r="G2594" s="508" t="s">
        <v>50</v>
      </c>
      <c r="H2594" s="493" t="s">
        <v>1238</v>
      </c>
      <c r="I2594" s="460" t="s">
        <v>5890</v>
      </c>
      <c r="J2594" s="495" t="s">
        <v>784</v>
      </c>
      <c r="K2594" s="496" t="s">
        <v>641</v>
      </c>
      <c r="L2594" s="497" t="e">
        <v>#REF!</v>
      </c>
      <c r="M2594" s="497">
        <v>40</v>
      </c>
      <c r="N2594" s="464"/>
      <c r="O2594" s="498"/>
      <c r="P2594" s="431" t="s">
        <v>6711</v>
      </c>
    </row>
    <row r="2595" spans="1:16" ht="13.5" hidden="1" customHeight="1" outlineLevel="3" x14ac:dyDescent="0.2">
      <c r="A2595" s="233">
        <v>0</v>
      </c>
      <c r="B2595" s="233">
        <v>17</v>
      </c>
      <c r="C2595" s="233">
        <v>12</v>
      </c>
      <c r="D2595" s="234">
        <v>3</v>
      </c>
      <c r="E2595" s="234">
        <v>4</v>
      </c>
      <c r="G2595" s="508" t="s">
        <v>50</v>
      </c>
      <c r="H2595" s="493" t="s">
        <v>1238</v>
      </c>
      <c r="I2595" s="460" t="s">
        <v>5891</v>
      </c>
      <c r="J2595" s="495" t="s">
        <v>2641</v>
      </c>
      <c r="K2595" s="496" t="s">
        <v>641</v>
      </c>
      <c r="L2595" s="497" t="e">
        <v>#REF!</v>
      </c>
      <c r="M2595" s="497">
        <v>40</v>
      </c>
      <c r="N2595" s="464"/>
      <c r="O2595" s="498"/>
      <c r="P2595" s="431" t="s">
        <v>6711</v>
      </c>
    </row>
    <row r="2596" spans="1:16" ht="13.5" hidden="1" customHeight="1" outlineLevel="1" x14ac:dyDescent="0.2">
      <c r="A2596" s="233">
        <v>0</v>
      </c>
      <c r="B2596" s="233">
        <v>17</v>
      </c>
      <c r="C2596" s="233">
        <v>13</v>
      </c>
      <c r="D2596" s="234">
        <v>0</v>
      </c>
      <c r="E2596" s="234">
        <v>4</v>
      </c>
      <c r="G2596" s="506"/>
      <c r="H2596" s="481" t="s">
        <v>38</v>
      </c>
      <c r="I2596" s="445" t="s">
        <v>5892</v>
      </c>
      <c r="J2596" s="483" t="s">
        <v>2653</v>
      </c>
      <c r="K2596" s="484"/>
      <c r="L2596" s="485"/>
      <c r="M2596" s="485"/>
      <c r="N2596" s="449"/>
      <c r="O2596" s="486"/>
      <c r="P2596" s="429"/>
    </row>
    <row r="2597" spans="1:16" ht="13.5" hidden="1" customHeight="1" outlineLevel="2" x14ac:dyDescent="0.2">
      <c r="A2597" s="233">
        <v>0</v>
      </c>
      <c r="B2597" s="233">
        <v>17</v>
      </c>
      <c r="C2597" s="233">
        <v>13</v>
      </c>
      <c r="D2597" s="234">
        <v>1</v>
      </c>
      <c r="E2597" s="234">
        <v>0</v>
      </c>
      <c r="G2597" s="507"/>
      <c r="H2597" s="487" t="s">
        <v>1237</v>
      </c>
      <c r="I2597" s="452" t="s">
        <v>5893</v>
      </c>
      <c r="J2597" s="489" t="s">
        <v>1551</v>
      </c>
      <c r="K2597" s="490"/>
      <c r="L2597" s="491"/>
      <c r="M2597" s="491"/>
      <c r="N2597" s="456"/>
      <c r="O2597" s="492"/>
      <c r="P2597" s="430"/>
    </row>
    <row r="2598" spans="1:16" ht="13.5" hidden="1" customHeight="1" outlineLevel="3" x14ac:dyDescent="0.2">
      <c r="A2598" s="233">
        <v>0</v>
      </c>
      <c r="B2598" s="233">
        <v>17</v>
      </c>
      <c r="C2598" s="233">
        <v>13</v>
      </c>
      <c r="D2598" s="234">
        <v>1</v>
      </c>
      <c r="E2598" s="234">
        <v>1</v>
      </c>
      <c r="G2598" s="508" t="s">
        <v>50</v>
      </c>
      <c r="H2598" s="493" t="s">
        <v>1238</v>
      </c>
      <c r="I2598" s="460" t="s">
        <v>5894</v>
      </c>
      <c r="J2598" s="495" t="s">
        <v>1542</v>
      </c>
      <c r="K2598" s="496" t="s">
        <v>641</v>
      </c>
      <c r="L2598" s="497" t="e">
        <v>#REF!</v>
      </c>
      <c r="M2598" s="497">
        <v>1.7585555555555554</v>
      </c>
      <c r="N2598" s="464"/>
      <c r="O2598" s="498"/>
      <c r="P2598" s="431" t="s">
        <v>6711</v>
      </c>
    </row>
    <row r="2599" spans="1:16" ht="13.5" hidden="1" customHeight="1" outlineLevel="3" x14ac:dyDescent="0.2">
      <c r="A2599" s="233">
        <v>0</v>
      </c>
      <c r="B2599" s="233">
        <v>17</v>
      </c>
      <c r="C2599" s="233">
        <v>13</v>
      </c>
      <c r="D2599" s="234">
        <v>1</v>
      </c>
      <c r="E2599" s="234">
        <v>2</v>
      </c>
      <c r="G2599" s="508" t="s">
        <v>50</v>
      </c>
      <c r="H2599" s="493" t="s">
        <v>1238</v>
      </c>
      <c r="I2599" s="460" t="s">
        <v>5895</v>
      </c>
      <c r="J2599" s="495" t="s">
        <v>1543</v>
      </c>
      <c r="K2599" s="496" t="s">
        <v>641</v>
      </c>
      <c r="L2599" s="497" t="e">
        <v>#REF!</v>
      </c>
      <c r="M2599" s="497">
        <v>4.3491600000000004</v>
      </c>
      <c r="N2599" s="464"/>
      <c r="O2599" s="498"/>
      <c r="P2599" s="431" t="s">
        <v>6711</v>
      </c>
    </row>
    <row r="2600" spans="1:16" ht="13.5" hidden="1" customHeight="1" outlineLevel="3" x14ac:dyDescent="0.2">
      <c r="A2600" s="233">
        <v>0</v>
      </c>
      <c r="B2600" s="233">
        <v>17</v>
      </c>
      <c r="C2600" s="233">
        <v>13</v>
      </c>
      <c r="D2600" s="234">
        <v>1</v>
      </c>
      <c r="E2600" s="234">
        <v>3</v>
      </c>
      <c r="G2600" s="508" t="s">
        <v>50</v>
      </c>
      <c r="H2600" s="493" t="s">
        <v>1238</v>
      </c>
      <c r="I2600" s="460" t="s">
        <v>5896</v>
      </c>
      <c r="J2600" s="495" t="s">
        <v>773</v>
      </c>
      <c r="K2600" s="496" t="s">
        <v>641</v>
      </c>
      <c r="L2600" s="497" t="e">
        <v>#REF!</v>
      </c>
      <c r="M2600" s="497">
        <v>12.1275</v>
      </c>
      <c r="N2600" s="464"/>
      <c r="O2600" s="498"/>
      <c r="P2600" s="431" t="s">
        <v>6711</v>
      </c>
    </row>
    <row r="2601" spans="1:16" ht="13.5" hidden="1" customHeight="1" outlineLevel="3" x14ac:dyDescent="0.2">
      <c r="A2601" s="233">
        <v>0</v>
      </c>
      <c r="B2601" s="233">
        <v>17</v>
      </c>
      <c r="C2601" s="233">
        <v>13</v>
      </c>
      <c r="D2601" s="234">
        <v>1</v>
      </c>
      <c r="E2601" s="234">
        <v>4</v>
      </c>
      <c r="G2601" s="508" t="s">
        <v>50</v>
      </c>
      <c r="H2601" s="493" t="s">
        <v>1238</v>
      </c>
      <c r="I2601" s="460" t="s">
        <v>5897</v>
      </c>
      <c r="J2601" s="461" t="s">
        <v>2891</v>
      </c>
      <c r="K2601" s="462" t="s">
        <v>641</v>
      </c>
      <c r="L2601" s="463" t="e">
        <v>#REF!</v>
      </c>
      <c r="M2601" s="497">
        <v>76.674746222222225</v>
      </c>
      <c r="N2601" s="464"/>
      <c r="O2601" s="465"/>
      <c r="P2601" s="431" t="s">
        <v>6711</v>
      </c>
    </row>
    <row r="2602" spans="1:16" ht="13.5" hidden="1" customHeight="1" outlineLevel="2" x14ac:dyDescent="0.2">
      <c r="A2602" s="233">
        <v>0</v>
      </c>
      <c r="B2602" s="233">
        <v>17</v>
      </c>
      <c r="C2602" s="233">
        <v>13</v>
      </c>
      <c r="D2602" s="234">
        <v>2</v>
      </c>
      <c r="E2602" s="234">
        <v>0</v>
      </c>
      <c r="G2602" s="507"/>
      <c r="H2602" s="487" t="s">
        <v>1237</v>
      </c>
      <c r="I2602" s="452" t="s">
        <v>5898</v>
      </c>
      <c r="J2602" s="489" t="s">
        <v>1529</v>
      </c>
      <c r="K2602" s="490"/>
      <c r="L2602" s="491"/>
      <c r="M2602" s="491"/>
      <c r="N2602" s="456"/>
      <c r="O2602" s="492"/>
      <c r="P2602" s="430"/>
    </row>
    <row r="2603" spans="1:16" ht="13.5" hidden="1" customHeight="1" outlineLevel="3" x14ac:dyDescent="0.2">
      <c r="A2603" s="233">
        <v>0</v>
      </c>
      <c r="B2603" s="233">
        <v>17</v>
      </c>
      <c r="C2603" s="233">
        <v>13</v>
      </c>
      <c r="D2603" s="234">
        <v>2</v>
      </c>
      <c r="E2603" s="234">
        <v>1</v>
      </c>
      <c r="G2603" s="508" t="s">
        <v>50</v>
      </c>
      <c r="H2603" s="493" t="s">
        <v>1238</v>
      </c>
      <c r="I2603" s="460" t="s">
        <v>5899</v>
      </c>
      <c r="J2603" s="495" t="s">
        <v>2636</v>
      </c>
      <c r="K2603" s="496" t="s">
        <v>641</v>
      </c>
      <c r="L2603" s="497" t="e">
        <v>#REF!</v>
      </c>
      <c r="M2603" s="497">
        <v>1.7585555555555554</v>
      </c>
      <c r="N2603" s="464"/>
      <c r="O2603" s="498"/>
      <c r="P2603" s="431" t="s">
        <v>6711</v>
      </c>
    </row>
    <row r="2604" spans="1:16" ht="13.5" hidden="1" customHeight="1" outlineLevel="3" x14ac:dyDescent="0.2">
      <c r="A2604" s="233">
        <v>0</v>
      </c>
      <c r="B2604" s="233">
        <v>17</v>
      </c>
      <c r="C2604" s="233">
        <v>13</v>
      </c>
      <c r="D2604" s="234">
        <v>2</v>
      </c>
      <c r="E2604" s="234">
        <v>2</v>
      </c>
      <c r="G2604" s="508" t="s">
        <v>50</v>
      </c>
      <c r="H2604" s="493" t="s">
        <v>1238</v>
      </c>
      <c r="I2604" s="460" t="s">
        <v>5900</v>
      </c>
      <c r="J2604" s="495" t="s">
        <v>1868</v>
      </c>
      <c r="K2604" s="496" t="s">
        <v>641</v>
      </c>
      <c r="L2604" s="497" t="e">
        <v>#REF!</v>
      </c>
      <c r="M2604" s="497">
        <v>4.3491600000000004</v>
      </c>
      <c r="N2604" s="464"/>
      <c r="O2604" s="498"/>
      <c r="P2604" s="431" t="s">
        <v>6711</v>
      </c>
    </row>
    <row r="2605" spans="1:16" ht="13.5" hidden="1" customHeight="1" outlineLevel="3" x14ac:dyDescent="0.2">
      <c r="A2605" s="233">
        <v>0</v>
      </c>
      <c r="B2605" s="233">
        <v>17</v>
      </c>
      <c r="C2605" s="233">
        <v>13</v>
      </c>
      <c r="D2605" s="234">
        <v>2</v>
      </c>
      <c r="E2605" s="234">
        <v>3</v>
      </c>
      <c r="G2605" s="508" t="s">
        <v>50</v>
      </c>
      <c r="H2605" s="493" t="s">
        <v>1238</v>
      </c>
      <c r="I2605" s="460" t="s">
        <v>5901</v>
      </c>
      <c r="J2605" s="495" t="s">
        <v>2635</v>
      </c>
      <c r="K2605" s="496" t="s">
        <v>641</v>
      </c>
      <c r="L2605" s="497" t="e">
        <v>#REF!</v>
      </c>
      <c r="M2605" s="497">
        <v>12.1275</v>
      </c>
      <c r="N2605" s="464"/>
      <c r="O2605" s="498"/>
      <c r="P2605" s="431" t="s">
        <v>6711</v>
      </c>
    </row>
    <row r="2606" spans="1:16" ht="13.5" hidden="1" customHeight="1" outlineLevel="3" x14ac:dyDescent="0.2">
      <c r="A2606" s="233">
        <v>0</v>
      </c>
      <c r="B2606" s="233">
        <v>17</v>
      </c>
      <c r="C2606" s="233">
        <v>13</v>
      </c>
      <c r="D2606" s="234">
        <v>2</v>
      </c>
      <c r="E2606" s="234">
        <v>4</v>
      </c>
      <c r="G2606" s="508" t="s">
        <v>50</v>
      </c>
      <c r="H2606" s="493" t="s">
        <v>1238</v>
      </c>
      <c r="I2606" s="460" t="s">
        <v>5902</v>
      </c>
      <c r="J2606" s="495" t="s">
        <v>2637</v>
      </c>
      <c r="K2606" s="496" t="s">
        <v>641</v>
      </c>
      <c r="L2606" s="497" t="e">
        <v>#REF!</v>
      </c>
      <c r="M2606" s="497">
        <v>70.567030666666668</v>
      </c>
      <c r="N2606" s="464"/>
      <c r="O2606" s="498"/>
      <c r="P2606" s="431" t="s">
        <v>6711</v>
      </c>
    </row>
    <row r="2607" spans="1:16" ht="13.5" hidden="1" customHeight="1" outlineLevel="2" x14ac:dyDescent="0.2">
      <c r="A2607" s="233">
        <v>0</v>
      </c>
      <c r="B2607" s="233">
        <v>17</v>
      </c>
      <c r="C2607" s="233">
        <v>13</v>
      </c>
      <c r="D2607" s="234">
        <v>3</v>
      </c>
      <c r="E2607" s="234">
        <v>0</v>
      </c>
      <c r="G2607" s="507"/>
      <c r="H2607" s="487" t="s">
        <v>1237</v>
      </c>
      <c r="I2607" s="452" t="s">
        <v>5903</v>
      </c>
      <c r="J2607" s="489" t="s">
        <v>14</v>
      </c>
      <c r="K2607" s="490"/>
      <c r="L2607" s="491"/>
      <c r="M2607" s="491"/>
      <c r="N2607" s="456"/>
      <c r="O2607" s="492"/>
      <c r="P2607" s="430"/>
    </row>
    <row r="2608" spans="1:16" ht="12" hidden="1" customHeight="1" outlineLevel="3" x14ac:dyDescent="0.2">
      <c r="A2608" s="233">
        <v>0</v>
      </c>
      <c r="B2608" s="233">
        <v>17</v>
      </c>
      <c r="C2608" s="233">
        <v>13</v>
      </c>
      <c r="D2608" s="234">
        <v>3</v>
      </c>
      <c r="E2608" s="234">
        <v>1</v>
      </c>
      <c r="G2608" s="508" t="s">
        <v>50</v>
      </c>
      <c r="H2608" s="493" t="s">
        <v>1238</v>
      </c>
      <c r="I2608" s="460" t="s">
        <v>5904</v>
      </c>
      <c r="J2608" s="495" t="s">
        <v>2892</v>
      </c>
      <c r="K2608" s="496" t="s">
        <v>641</v>
      </c>
      <c r="L2608" s="497" t="e">
        <v>#REF!</v>
      </c>
      <c r="M2608" s="497">
        <v>42</v>
      </c>
      <c r="N2608" s="464"/>
      <c r="O2608" s="498"/>
      <c r="P2608" s="431" t="s">
        <v>6711</v>
      </c>
    </row>
    <row r="2609" spans="1:16" ht="13.5" hidden="1" customHeight="1" outlineLevel="3" x14ac:dyDescent="0.2">
      <c r="A2609" s="233">
        <v>0</v>
      </c>
      <c r="B2609" s="233">
        <v>17</v>
      </c>
      <c r="C2609" s="233">
        <v>13</v>
      </c>
      <c r="D2609" s="234">
        <v>3</v>
      </c>
      <c r="E2609" s="234">
        <v>2</v>
      </c>
      <c r="G2609" s="508" t="s">
        <v>50</v>
      </c>
      <c r="H2609" s="493" t="s">
        <v>1238</v>
      </c>
      <c r="I2609" s="460" t="s">
        <v>5905</v>
      </c>
      <c r="J2609" s="495" t="s">
        <v>783</v>
      </c>
      <c r="K2609" s="496" t="s">
        <v>641</v>
      </c>
      <c r="L2609" s="497" t="e">
        <v>#REF!</v>
      </c>
      <c r="M2609" s="497">
        <v>40</v>
      </c>
      <c r="N2609" s="464"/>
      <c r="O2609" s="498"/>
      <c r="P2609" s="431" t="s">
        <v>6711</v>
      </c>
    </row>
    <row r="2610" spans="1:16" ht="13.5" hidden="1" customHeight="1" outlineLevel="3" x14ac:dyDescent="0.2">
      <c r="A2610" s="233">
        <v>0</v>
      </c>
      <c r="B2610" s="233">
        <v>17</v>
      </c>
      <c r="C2610" s="233">
        <v>13</v>
      </c>
      <c r="D2610" s="234">
        <v>3</v>
      </c>
      <c r="E2610" s="234">
        <v>3</v>
      </c>
      <c r="G2610" s="508" t="s">
        <v>50</v>
      </c>
      <c r="H2610" s="493" t="s">
        <v>1238</v>
      </c>
      <c r="I2610" s="460" t="s">
        <v>5906</v>
      </c>
      <c r="J2610" s="495" t="s">
        <v>784</v>
      </c>
      <c r="K2610" s="496" t="s">
        <v>641</v>
      </c>
      <c r="L2610" s="497" t="e">
        <v>#REF!</v>
      </c>
      <c r="M2610" s="497">
        <v>40</v>
      </c>
      <c r="N2610" s="464"/>
      <c r="O2610" s="498"/>
      <c r="P2610" s="431" t="s">
        <v>6711</v>
      </c>
    </row>
    <row r="2611" spans="1:16" ht="13.5" hidden="1" customHeight="1" outlineLevel="3" x14ac:dyDescent="0.2">
      <c r="A2611" s="233">
        <v>0</v>
      </c>
      <c r="B2611" s="233">
        <v>17</v>
      </c>
      <c r="C2611" s="233">
        <v>13</v>
      </c>
      <c r="D2611" s="234">
        <v>3</v>
      </c>
      <c r="E2611" s="234">
        <v>4</v>
      </c>
      <c r="G2611" s="508" t="s">
        <v>50</v>
      </c>
      <c r="H2611" s="493" t="s">
        <v>1238</v>
      </c>
      <c r="I2611" s="460" t="s">
        <v>5907</v>
      </c>
      <c r="J2611" s="495" t="s">
        <v>2641</v>
      </c>
      <c r="K2611" s="496" t="s">
        <v>641</v>
      </c>
      <c r="L2611" s="497" t="e">
        <v>#REF!</v>
      </c>
      <c r="M2611" s="497">
        <v>40</v>
      </c>
      <c r="N2611" s="464"/>
      <c r="O2611" s="498"/>
      <c r="P2611" s="431" t="s">
        <v>6711</v>
      </c>
    </row>
    <row r="2612" spans="1:16" ht="13.5" hidden="1" customHeight="1" outlineLevel="1" x14ac:dyDescent="0.2">
      <c r="A2612" s="233">
        <v>0</v>
      </c>
      <c r="B2612" s="233">
        <v>17</v>
      </c>
      <c r="C2612" s="233">
        <v>14</v>
      </c>
      <c r="D2612" s="234">
        <v>0</v>
      </c>
      <c r="E2612" s="234">
        <v>4</v>
      </c>
      <c r="G2612" s="506"/>
      <c r="H2612" s="481" t="s">
        <v>38</v>
      </c>
      <c r="I2612" s="445" t="s">
        <v>5908</v>
      </c>
      <c r="J2612" s="483" t="s">
        <v>2654</v>
      </c>
      <c r="K2612" s="484"/>
      <c r="L2612" s="485"/>
      <c r="M2612" s="485"/>
      <c r="N2612" s="449"/>
      <c r="O2612" s="486"/>
      <c r="P2612" s="429"/>
    </row>
    <row r="2613" spans="1:16" ht="13.5" hidden="1" customHeight="1" outlineLevel="2" x14ac:dyDescent="0.2">
      <c r="A2613" s="233">
        <v>0</v>
      </c>
      <c r="B2613" s="233">
        <v>17</v>
      </c>
      <c r="C2613" s="233">
        <v>14</v>
      </c>
      <c r="D2613" s="234">
        <v>1</v>
      </c>
      <c r="E2613" s="234">
        <v>0</v>
      </c>
      <c r="G2613" s="507"/>
      <c r="H2613" s="487" t="s">
        <v>1237</v>
      </c>
      <c r="I2613" s="452" t="s">
        <v>5909</v>
      </c>
      <c r="J2613" s="489" t="s">
        <v>1551</v>
      </c>
      <c r="K2613" s="490"/>
      <c r="L2613" s="491"/>
      <c r="M2613" s="491"/>
      <c r="N2613" s="456"/>
      <c r="O2613" s="492"/>
      <c r="P2613" s="430"/>
    </row>
    <row r="2614" spans="1:16" ht="13.5" hidden="1" customHeight="1" outlineLevel="3" x14ac:dyDescent="0.2">
      <c r="A2614" s="233">
        <v>0</v>
      </c>
      <c r="B2614" s="233">
        <v>17</v>
      </c>
      <c r="C2614" s="233">
        <v>14</v>
      </c>
      <c r="D2614" s="234">
        <v>1</v>
      </c>
      <c r="E2614" s="234">
        <v>1</v>
      </c>
      <c r="G2614" s="508" t="s">
        <v>50</v>
      </c>
      <c r="H2614" s="493" t="s">
        <v>1238</v>
      </c>
      <c r="I2614" s="460" t="s">
        <v>5910</v>
      </c>
      <c r="J2614" s="495" t="s">
        <v>1542</v>
      </c>
      <c r="K2614" s="496" t="s">
        <v>641</v>
      </c>
      <c r="L2614" s="497" t="e">
        <v>#REF!</v>
      </c>
      <c r="M2614" s="497">
        <v>1.7585555555555554</v>
      </c>
      <c r="N2614" s="464"/>
      <c r="O2614" s="498"/>
      <c r="P2614" s="431" t="s">
        <v>6711</v>
      </c>
    </row>
    <row r="2615" spans="1:16" ht="13.5" hidden="1" customHeight="1" outlineLevel="3" x14ac:dyDescent="0.2">
      <c r="A2615" s="233">
        <v>0</v>
      </c>
      <c r="B2615" s="233">
        <v>17</v>
      </c>
      <c r="C2615" s="233">
        <v>14</v>
      </c>
      <c r="D2615" s="234">
        <v>1</v>
      </c>
      <c r="E2615" s="234">
        <v>2</v>
      </c>
      <c r="G2615" s="508" t="s">
        <v>50</v>
      </c>
      <c r="H2615" s="493" t="s">
        <v>1238</v>
      </c>
      <c r="I2615" s="460" t="s">
        <v>5911</v>
      </c>
      <c r="J2615" s="495" t="s">
        <v>1543</v>
      </c>
      <c r="K2615" s="496" t="s">
        <v>641</v>
      </c>
      <c r="L2615" s="497" t="e">
        <v>#REF!</v>
      </c>
      <c r="M2615" s="497">
        <v>4.3491600000000004</v>
      </c>
      <c r="N2615" s="464"/>
      <c r="O2615" s="498"/>
      <c r="P2615" s="431" t="s">
        <v>6711</v>
      </c>
    </row>
    <row r="2616" spans="1:16" ht="13.5" hidden="1" customHeight="1" outlineLevel="3" x14ac:dyDescent="0.2">
      <c r="A2616" s="233">
        <v>0</v>
      </c>
      <c r="B2616" s="233">
        <v>17</v>
      </c>
      <c r="C2616" s="233">
        <v>14</v>
      </c>
      <c r="D2616" s="234">
        <v>1</v>
      </c>
      <c r="E2616" s="234">
        <v>3</v>
      </c>
      <c r="G2616" s="508" t="s">
        <v>50</v>
      </c>
      <c r="H2616" s="493" t="s">
        <v>1238</v>
      </c>
      <c r="I2616" s="460" t="s">
        <v>5912</v>
      </c>
      <c r="J2616" s="495" t="s">
        <v>773</v>
      </c>
      <c r="K2616" s="496" t="s">
        <v>641</v>
      </c>
      <c r="L2616" s="497" t="e">
        <v>#REF!</v>
      </c>
      <c r="M2616" s="497">
        <v>12.1275</v>
      </c>
      <c r="N2616" s="464"/>
      <c r="O2616" s="498"/>
      <c r="P2616" s="431" t="s">
        <v>6711</v>
      </c>
    </row>
    <row r="2617" spans="1:16" ht="13.5" hidden="1" customHeight="1" outlineLevel="3" x14ac:dyDescent="0.2">
      <c r="A2617" s="233">
        <v>0</v>
      </c>
      <c r="B2617" s="233">
        <v>17</v>
      </c>
      <c r="C2617" s="233">
        <v>14</v>
      </c>
      <c r="D2617" s="234">
        <v>1</v>
      </c>
      <c r="E2617" s="234">
        <v>4</v>
      </c>
      <c r="G2617" s="508" t="s">
        <v>50</v>
      </c>
      <c r="H2617" s="493" t="s">
        <v>1238</v>
      </c>
      <c r="I2617" s="460" t="s">
        <v>5913</v>
      </c>
      <c r="J2617" s="461" t="s">
        <v>2891</v>
      </c>
      <c r="K2617" s="462" t="s">
        <v>641</v>
      </c>
      <c r="L2617" s="463" t="e">
        <v>#REF!</v>
      </c>
      <c r="M2617" s="497">
        <v>76.674746222222225</v>
      </c>
      <c r="N2617" s="464"/>
      <c r="O2617" s="465"/>
      <c r="P2617" s="431" t="s">
        <v>6711</v>
      </c>
    </row>
    <row r="2618" spans="1:16" ht="13.5" hidden="1" customHeight="1" outlineLevel="2" x14ac:dyDescent="0.2">
      <c r="A2618" s="233">
        <v>0</v>
      </c>
      <c r="B2618" s="233">
        <v>17</v>
      </c>
      <c r="C2618" s="233">
        <v>14</v>
      </c>
      <c r="D2618" s="234">
        <v>2</v>
      </c>
      <c r="E2618" s="234">
        <v>0</v>
      </c>
      <c r="G2618" s="507"/>
      <c r="H2618" s="487" t="s">
        <v>1237</v>
      </c>
      <c r="I2618" s="452" t="s">
        <v>5914</v>
      </c>
      <c r="J2618" s="489" t="s">
        <v>1529</v>
      </c>
      <c r="K2618" s="490"/>
      <c r="L2618" s="491"/>
      <c r="M2618" s="491"/>
      <c r="N2618" s="456"/>
      <c r="O2618" s="492"/>
      <c r="P2618" s="430"/>
    </row>
    <row r="2619" spans="1:16" ht="13.5" hidden="1" customHeight="1" outlineLevel="3" x14ac:dyDescent="0.2">
      <c r="A2619" s="233">
        <v>0</v>
      </c>
      <c r="B2619" s="233">
        <v>17</v>
      </c>
      <c r="C2619" s="233">
        <v>14</v>
      </c>
      <c r="D2619" s="234">
        <v>2</v>
      </c>
      <c r="E2619" s="234">
        <v>1</v>
      </c>
      <c r="G2619" s="508" t="s">
        <v>50</v>
      </c>
      <c r="H2619" s="493" t="s">
        <v>1238</v>
      </c>
      <c r="I2619" s="460" t="s">
        <v>5915</v>
      </c>
      <c r="J2619" s="495" t="s">
        <v>2636</v>
      </c>
      <c r="K2619" s="496" t="s">
        <v>641</v>
      </c>
      <c r="L2619" s="497" t="e">
        <v>#REF!</v>
      </c>
      <c r="M2619" s="497">
        <v>1.7585555555555554</v>
      </c>
      <c r="N2619" s="464"/>
      <c r="O2619" s="498"/>
      <c r="P2619" s="431" t="s">
        <v>6711</v>
      </c>
    </row>
    <row r="2620" spans="1:16" ht="13.5" hidden="1" customHeight="1" outlineLevel="3" x14ac:dyDescent="0.2">
      <c r="A2620" s="233">
        <v>0</v>
      </c>
      <c r="B2620" s="233">
        <v>17</v>
      </c>
      <c r="C2620" s="233">
        <v>14</v>
      </c>
      <c r="D2620" s="234">
        <v>2</v>
      </c>
      <c r="E2620" s="234">
        <v>2</v>
      </c>
      <c r="G2620" s="508" t="s">
        <v>50</v>
      </c>
      <c r="H2620" s="493" t="s">
        <v>1238</v>
      </c>
      <c r="I2620" s="460" t="s">
        <v>5916</v>
      </c>
      <c r="J2620" s="495" t="s">
        <v>1868</v>
      </c>
      <c r="K2620" s="496" t="s">
        <v>641</v>
      </c>
      <c r="L2620" s="497" t="e">
        <v>#REF!</v>
      </c>
      <c r="M2620" s="497">
        <v>4.3491600000000004</v>
      </c>
      <c r="N2620" s="464"/>
      <c r="O2620" s="498"/>
      <c r="P2620" s="431" t="s">
        <v>6711</v>
      </c>
    </row>
    <row r="2621" spans="1:16" ht="13.5" hidden="1" customHeight="1" outlineLevel="3" x14ac:dyDescent="0.2">
      <c r="A2621" s="233">
        <v>0</v>
      </c>
      <c r="B2621" s="233">
        <v>17</v>
      </c>
      <c r="C2621" s="233">
        <v>14</v>
      </c>
      <c r="D2621" s="234">
        <v>2</v>
      </c>
      <c r="E2621" s="234">
        <v>3</v>
      </c>
      <c r="G2621" s="508" t="s">
        <v>50</v>
      </c>
      <c r="H2621" s="493" t="s">
        <v>1238</v>
      </c>
      <c r="I2621" s="460" t="s">
        <v>5917</v>
      </c>
      <c r="J2621" s="495" t="s">
        <v>2635</v>
      </c>
      <c r="K2621" s="496" t="s">
        <v>641</v>
      </c>
      <c r="L2621" s="497" t="e">
        <v>#REF!</v>
      </c>
      <c r="M2621" s="497">
        <v>12.1275</v>
      </c>
      <c r="N2621" s="464"/>
      <c r="O2621" s="498"/>
      <c r="P2621" s="431" t="s">
        <v>6711</v>
      </c>
    </row>
    <row r="2622" spans="1:16" ht="13.5" hidden="1" customHeight="1" outlineLevel="2" x14ac:dyDescent="0.2">
      <c r="A2622" s="233">
        <v>0</v>
      </c>
      <c r="B2622" s="233">
        <v>17</v>
      </c>
      <c r="C2622" s="233">
        <v>14</v>
      </c>
      <c r="D2622" s="234">
        <v>3</v>
      </c>
      <c r="E2622" s="234">
        <v>0</v>
      </c>
      <c r="G2622" s="507"/>
      <c r="H2622" s="487" t="s">
        <v>1237</v>
      </c>
      <c r="I2622" s="452" t="s">
        <v>5918</v>
      </c>
      <c r="J2622" s="489" t="s">
        <v>14</v>
      </c>
      <c r="K2622" s="490"/>
      <c r="L2622" s="491"/>
      <c r="M2622" s="491"/>
      <c r="N2622" s="456"/>
      <c r="O2622" s="492"/>
      <c r="P2622" s="430"/>
    </row>
    <row r="2623" spans="1:16" ht="12" hidden="1" customHeight="1" outlineLevel="3" x14ac:dyDescent="0.2">
      <c r="A2623" s="233">
        <v>0</v>
      </c>
      <c r="B2623" s="233">
        <v>17</v>
      </c>
      <c r="C2623" s="233">
        <v>14</v>
      </c>
      <c r="D2623" s="234">
        <v>3</v>
      </c>
      <c r="E2623" s="234">
        <v>1</v>
      </c>
      <c r="G2623" s="508" t="s">
        <v>50</v>
      </c>
      <c r="H2623" s="493" t="s">
        <v>1238</v>
      </c>
      <c r="I2623" s="460" t="s">
        <v>5919</v>
      </c>
      <c r="J2623" s="495" t="s">
        <v>2892</v>
      </c>
      <c r="K2623" s="496" t="s">
        <v>641</v>
      </c>
      <c r="L2623" s="497" t="e">
        <v>#REF!</v>
      </c>
      <c r="M2623" s="497">
        <v>42</v>
      </c>
      <c r="N2623" s="464"/>
      <c r="O2623" s="498"/>
      <c r="P2623" s="431" t="s">
        <v>6711</v>
      </c>
    </row>
    <row r="2624" spans="1:16" ht="13.5" hidden="1" customHeight="1" outlineLevel="3" x14ac:dyDescent="0.2">
      <c r="A2624" s="233">
        <v>0</v>
      </c>
      <c r="B2624" s="233">
        <v>17</v>
      </c>
      <c r="C2624" s="233">
        <v>14</v>
      </c>
      <c r="D2624" s="234">
        <v>3</v>
      </c>
      <c r="E2624" s="234">
        <v>2</v>
      </c>
      <c r="G2624" s="508" t="s">
        <v>50</v>
      </c>
      <c r="H2624" s="493" t="s">
        <v>1238</v>
      </c>
      <c r="I2624" s="460" t="s">
        <v>5920</v>
      </c>
      <c r="J2624" s="495" t="s">
        <v>783</v>
      </c>
      <c r="K2624" s="496" t="s">
        <v>641</v>
      </c>
      <c r="L2624" s="497" t="e">
        <v>#REF!</v>
      </c>
      <c r="M2624" s="497">
        <v>40</v>
      </c>
      <c r="N2624" s="464"/>
      <c r="O2624" s="498"/>
      <c r="P2624" s="431" t="s">
        <v>6711</v>
      </c>
    </row>
    <row r="2625" spans="1:16" ht="13.5" hidden="1" customHeight="1" outlineLevel="3" x14ac:dyDescent="0.2">
      <c r="A2625" s="233">
        <v>0</v>
      </c>
      <c r="B2625" s="233">
        <v>17</v>
      </c>
      <c r="C2625" s="233">
        <v>14</v>
      </c>
      <c r="D2625" s="234">
        <v>3</v>
      </c>
      <c r="E2625" s="234">
        <v>3</v>
      </c>
      <c r="G2625" s="508" t="s">
        <v>50</v>
      </c>
      <c r="H2625" s="493" t="s">
        <v>1238</v>
      </c>
      <c r="I2625" s="460" t="s">
        <v>5921</v>
      </c>
      <c r="J2625" s="495" t="s">
        <v>784</v>
      </c>
      <c r="K2625" s="496" t="s">
        <v>641</v>
      </c>
      <c r="L2625" s="497" t="e">
        <v>#REF!</v>
      </c>
      <c r="M2625" s="497">
        <v>40</v>
      </c>
      <c r="N2625" s="464"/>
      <c r="O2625" s="498"/>
      <c r="P2625" s="431" t="s">
        <v>6711</v>
      </c>
    </row>
    <row r="2626" spans="1:16" ht="13.5" customHeight="1" collapsed="1" x14ac:dyDescent="0.2">
      <c r="A2626" s="233">
        <v>0</v>
      </c>
      <c r="B2626" s="233">
        <v>18</v>
      </c>
      <c r="C2626" s="233">
        <v>0</v>
      </c>
      <c r="D2626" s="234">
        <v>3</v>
      </c>
      <c r="E2626" s="234">
        <v>3</v>
      </c>
      <c r="F2626" s="237"/>
      <c r="G2626" s="504"/>
      <c r="H2626" s="476" t="s">
        <v>1236</v>
      </c>
      <c r="I2626" s="438" t="s">
        <v>5922</v>
      </c>
      <c r="J2626" s="505" t="s">
        <v>51</v>
      </c>
      <c r="K2626" s="478"/>
      <c r="L2626" s="479"/>
      <c r="M2626" s="479"/>
      <c r="N2626" s="442"/>
      <c r="O2626" s="480"/>
      <c r="P2626" s="428"/>
    </row>
    <row r="2627" spans="1:16" ht="13.5" hidden="1" customHeight="1" outlineLevel="1" x14ac:dyDescent="0.2">
      <c r="A2627" s="233">
        <v>0</v>
      </c>
      <c r="B2627" s="233">
        <v>18</v>
      </c>
      <c r="C2627" s="233">
        <v>1</v>
      </c>
      <c r="D2627" s="234">
        <v>0</v>
      </c>
      <c r="E2627" s="234">
        <v>3</v>
      </c>
      <c r="G2627" s="506"/>
      <c r="H2627" s="481" t="s">
        <v>38</v>
      </c>
      <c r="I2627" s="445" t="s">
        <v>5923</v>
      </c>
      <c r="J2627" s="483" t="s">
        <v>3037</v>
      </c>
      <c r="K2627" s="484"/>
      <c r="L2627" s="485"/>
      <c r="M2627" s="485"/>
      <c r="N2627" s="449"/>
      <c r="O2627" s="486"/>
      <c r="P2627" s="429"/>
    </row>
    <row r="2628" spans="1:16" ht="13.5" hidden="1" customHeight="1" outlineLevel="2" x14ac:dyDescent="0.2">
      <c r="A2628" s="233">
        <v>0</v>
      </c>
      <c r="B2628" s="233">
        <v>18</v>
      </c>
      <c r="C2628" s="233">
        <v>1</v>
      </c>
      <c r="D2628" s="234">
        <v>1</v>
      </c>
      <c r="E2628" s="234">
        <v>0</v>
      </c>
      <c r="G2628" s="507"/>
      <c r="H2628" s="487" t="s">
        <v>1237</v>
      </c>
      <c r="I2628" s="452" t="s">
        <v>5924</v>
      </c>
      <c r="J2628" s="489" t="s">
        <v>27</v>
      </c>
      <c r="K2628" s="490"/>
      <c r="L2628" s="491"/>
      <c r="M2628" s="491"/>
      <c r="N2628" s="456">
        <v>10971.603999999999</v>
      </c>
      <c r="O2628" s="492">
        <v>0.65503403947659899</v>
      </c>
      <c r="P2628" s="430"/>
    </row>
    <row r="2629" spans="1:16" ht="13.5" hidden="1" customHeight="1" outlineLevel="3" x14ac:dyDescent="0.2">
      <c r="A2629" s="233">
        <v>0</v>
      </c>
      <c r="B2629" s="233">
        <v>18</v>
      </c>
      <c r="C2629" s="233">
        <v>1</v>
      </c>
      <c r="D2629" s="234">
        <v>1</v>
      </c>
      <c r="E2629" s="234">
        <v>1</v>
      </c>
      <c r="G2629" s="508" t="s">
        <v>51</v>
      </c>
      <c r="H2629" s="493" t="s">
        <v>1238</v>
      </c>
      <c r="I2629" s="460" t="s">
        <v>5925</v>
      </c>
      <c r="J2629" s="495" t="s">
        <v>790</v>
      </c>
      <c r="K2629" s="496" t="s">
        <v>787</v>
      </c>
      <c r="L2629" s="497">
        <v>472.09999999999991</v>
      </c>
      <c r="M2629" s="497">
        <v>23.240000000000002</v>
      </c>
      <c r="N2629" s="464">
        <v>10971.603999999999</v>
      </c>
      <c r="O2629" s="498" t="s">
        <v>2704</v>
      </c>
      <c r="P2629" s="431" t="s">
        <v>6711</v>
      </c>
    </row>
    <row r="2630" spans="1:16" ht="13.5" hidden="1" customHeight="1" outlineLevel="2" x14ac:dyDescent="0.2">
      <c r="A2630" s="233">
        <v>0</v>
      </c>
      <c r="B2630" s="233">
        <v>18</v>
      </c>
      <c r="C2630" s="233">
        <v>1</v>
      </c>
      <c r="D2630" s="234">
        <v>2</v>
      </c>
      <c r="E2630" s="234">
        <v>0</v>
      </c>
      <c r="G2630" s="507"/>
      <c r="H2630" s="487" t="s">
        <v>1237</v>
      </c>
      <c r="I2630" s="452" t="s">
        <v>5926</v>
      </c>
      <c r="J2630" s="489" t="s">
        <v>28</v>
      </c>
      <c r="K2630" s="490"/>
      <c r="L2630" s="491"/>
      <c r="M2630" s="491"/>
      <c r="N2630" s="456">
        <v>1066855.46829102</v>
      </c>
      <c r="O2630" s="492"/>
      <c r="P2630" s="430"/>
    </row>
    <row r="2631" spans="1:16" ht="13.5" hidden="1" customHeight="1" outlineLevel="3" x14ac:dyDescent="0.2">
      <c r="A2631" s="233">
        <v>0</v>
      </c>
      <c r="B2631" s="233">
        <v>18</v>
      </c>
      <c r="C2631" s="233">
        <v>1</v>
      </c>
      <c r="D2631" s="234">
        <v>2</v>
      </c>
      <c r="E2631" s="234">
        <v>1</v>
      </c>
      <c r="G2631" s="508" t="s">
        <v>51</v>
      </c>
      <c r="H2631" s="493" t="s">
        <v>1238</v>
      </c>
      <c r="I2631" s="460" t="s">
        <v>5927</v>
      </c>
      <c r="J2631" s="495" t="s">
        <v>2699</v>
      </c>
      <c r="K2631" s="496" t="s">
        <v>641</v>
      </c>
      <c r="L2631" s="497">
        <v>33.400000000000006</v>
      </c>
      <c r="M2631" s="497">
        <v>1906.3139681515586</v>
      </c>
      <c r="N2631" s="464">
        <v>63670.8865362621</v>
      </c>
      <c r="O2631" s="498" t="s">
        <v>2704</v>
      </c>
      <c r="P2631" s="431" t="s">
        <v>6711</v>
      </c>
    </row>
    <row r="2632" spans="1:16" ht="13.5" hidden="1" customHeight="1" outlineLevel="3" x14ac:dyDescent="0.2">
      <c r="A2632" s="233">
        <v>0</v>
      </c>
      <c r="B2632" s="233">
        <v>18</v>
      </c>
      <c r="C2632" s="233">
        <v>1</v>
      </c>
      <c r="D2632" s="234">
        <v>2</v>
      </c>
      <c r="E2632" s="234">
        <v>2</v>
      </c>
      <c r="G2632" s="508" t="s">
        <v>51</v>
      </c>
      <c r="H2632" s="493" t="s">
        <v>1238</v>
      </c>
      <c r="I2632" s="460" t="s">
        <v>5928</v>
      </c>
      <c r="J2632" s="495" t="s">
        <v>2700</v>
      </c>
      <c r="K2632" s="496" t="s">
        <v>641</v>
      </c>
      <c r="L2632" s="497">
        <v>4.0000000000000009</v>
      </c>
      <c r="M2632" s="497">
        <v>2650.4955587130289</v>
      </c>
      <c r="N2632" s="464">
        <v>10601.982234852099</v>
      </c>
      <c r="O2632" s="498" t="s">
        <v>2704</v>
      </c>
      <c r="P2632" s="431" t="s">
        <v>6711</v>
      </c>
    </row>
    <row r="2633" spans="1:16" ht="13.5" hidden="1" customHeight="1" outlineLevel="3" x14ac:dyDescent="0.2">
      <c r="A2633" s="233">
        <v>0</v>
      </c>
      <c r="B2633" s="233">
        <v>18</v>
      </c>
      <c r="C2633" s="233">
        <v>1</v>
      </c>
      <c r="D2633" s="234">
        <v>2</v>
      </c>
      <c r="E2633" s="234">
        <v>3</v>
      </c>
      <c r="G2633" s="508" t="s">
        <v>51</v>
      </c>
      <c r="H2633" s="493" t="s">
        <v>1238</v>
      </c>
      <c r="I2633" s="460" t="s">
        <v>5929</v>
      </c>
      <c r="J2633" s="495" t="s">
        <v>2701</v>
      </c>
      <c r="K2633" s="496" t="s">
        <v>641</v>
      </c>
      <c r="L2633" s="497">
        <v>107.01499999999997</v>
      </c>
      <c r="M2633" s="497">
        <v>2873.7896511695099</v>
      </c>
      <c r="N2633" s="464">
        <v>307538.59951990499</v>
      </c>
      <c r="O2633" s="498" t="s">
        <v>2704</v>
      </c>
      <c r="P2633" s="431" t="s">
        <v>6711</v>
      </c>
    </row>
    <row r="2634" spans="1:16" ht="13.5" hidden="1" customHeight="1" outlineLevel="3" x14ac:dyDescent="0.2">
      <c r="A2634" s="233">
        <v>0</v>
      </c>
      <c r="B2634" s="233">
        <v>18</v>
      </c>
      <c r="C2634" s="233">
        <v>1</v>
      </c>
      <c r="D2634" s="234">
        <v>2</v>
      </c>
      <c r="E2634" s="234">
        <v>4</v>
      </c>
      <c r="G2634" s="508" t="s">
        <v>51</v>
      </c>
      <c r="H2634" s="493" t="s">
        <v>1238</v>
      </c>
      <c r="I2634" s="460" t="s">
        <v>5930</v>
      </c>
      <c r="J2634" s="495" t="s">
        <v>2702</v>
      </c>
      <c r="K2634" s="496" t="s">
        <v>641</v>
      </c>
      <c r="L2634" s="497">
        <v>134.535</v>
      </c>
      <c r="M2634" s="497">
        <v>3623.4139814918053</v>
      </c>
      <c r="N2634" s="464">
        <v>487476</v>
      </c>
      <c r="O2634" s="498" t="s">
        <v>2704</v>
      </c>
      <c r="P2634" s="431" t="s">
        <v>6711</v>
      </c>
    </row>
    <row r="2635" spans="1:16" ht="13.5" hidden="1" customHeight="1" outlineLevel="3" x14ac:dyDescent="0.2">
      <c r="A2635" s="233">
        <v>0</v>
      </c>
      <c r="B2635" s="233">
        <v>18</v>
      </c>
      <c r="C2635" s="233">
        <v>1</v>
      </c>
      <c r="D2635" s="234">
        <v>2</v>
      </c>
      <c r="E2635" s="234">
        <v>5</v>
      </c>
      <c r="G2635" s="508" t="s">
        <v>51</v>
      </c>
      <c r="H2635" s="493" t="s">
        <v>1238</v>
      </c>
      <c r="I2635" s="460" t="s">
        <v>5931</v>
      </c>
      <c r="J2635" s="495" t="s">
        <v>2705</v>
      </c>
      <c r="K2635" s="496" t="s">
        <v>533</v>
      </c>
      <c r="L2635" s="497">
        <v>1</v>
      </c>
      <c r="M2635" s="497">
        <v>197568</v>
      </c>
      <c r="N2635" s="464">
        <v>197568</v>
      </c>
      <c r="O2635" s="498" t="s">
        <v>2703</v>
      </c>
      <c r="P2635" s="431" t="s">
        <v>6711</v>
      </c>
    </row>
    <row r="2636" spans="1:16" ht="12.75" hidden="1" customHeight="1" outlineLevel="2" x14ac:dyDescent="0.2">
      <c r="A2636" s="233">
        <v>0</v>
      </c>
      <c r="B2636" s="233">
        <v>18</v>
      </c>
      <c r="C2636" s="233">
        <v>1</v>
      </c>
      <c r="D2636" s="234">
        <v>3</v>
      </c>
      <c r="E2636" s="234">
        <v>0</v>
      </c>
      <c r="G2636" s="507"/>
      <c r="H2636" s="487" t="s">
        <v>1237</v>
      </c>
      <c r="I2636" s="452" t="s">
        <v>5932</v>
      </c>
      <c r="J2636" s="489" t="s">
        <v>2351</v>
      </c>
      <c r="K2636" s="490"/>
      <c r="L2636" s="491"/>
      <c r="M2636" s="491"/>
      <c r="N2636" s="456"/>
      <c r="O2636" s="492"/>
      <c r="P2636" s="430"/>
    </row>
    <row r="2637" spans="1:16" ht="12.75" hidden="1" customHeight="1" outlineLevel="3" x14ac:dyDescent="0.2">
      <c r="A2637" s="233">
        <v>0</v>
      </c>
      <c r="B2637" s="233">
        <v>18</v>
      </c>
      <c r="C2637" s="233">
        <v>1</v>
      </c>
      <c r="D2637" s="234">
        <v>3</v>
      </c>
      <c r="E2637" s="234">
        <v>1</v>
      </c>
      <c r="G2637" s="508" t="s">
        <v>51</v>
      </c>
      <c r="H2637" s="493" t="s">
        <v>1238</v>
      </c>
      <c r="I2637" s="460" t="s">
        <v>5933</v>
      </c>
      <c r="J2637" s="495" t="s">
        <v>796</v>
      </c>
      <c r="K2637" s="496" t="s">
        <v>641</v>
      </c>
      <c r="L2637" s="497" t="e">
        <v>#REF!</v>
      </c>
      <c r="M2637" s="497">
        <v>1403.9850000000001</v>
      </c>
      <c r="N2637" s="464"/>
      <c r="O2637" s="498" t="s">
        <v>2703</v>
      </c>
      <c r="P2637" s="431" t="s">
        <v>6711</v>
      </c>
    </row>
    <row r="2638" spans="1:16" ht="13.5" hidden="1" customHeight="1" outlineLevel="1" x14ac:dyDescent="0.2">
      <c r="A2638" s="233">
        <v>0</v>
      </c>
      <c r="B2638" s="233">
        <v>18</v>
      </c>
      <c r="C2638" s="233">
        <v>2</v>
      </c>
      <c r="D2638" s="234">
        <v>0</v>
      </c>
      <c r="E2638" s="234">
        <v>1</v>
      </c>
      <c r="G2638" s="506"/>
      <c r="H2638" s="481" t="s">
        <v>38</v>
      </c>
      <c r="I2638" s="445" t="s">
        <v>5934</v>
      </c>
      <c r="J2638" s="483" t="s">
        <v>3038</v>
      </c>
      <c r="K2638" s="484"/>
      <c r="L2638" s="485"/>
      <c r="M2638" s="485"/>
      <c r="N2638" s="449"/>
      <c r="O2638" s="486"/>
      <c r="P2638" s="429"/>
    </row>
    <row r="2639" spans="1:16" ht="13.5" hidden="1" customHeight="1" outlineLevel="2" x14ac:dyDescent="0.2">
      <c r="A2639" s="233">
        <v>0</v>
      </c>
      <c r="B2639" s="233">
        <v>18</v>
      </c>
      <c r="C2639" s="233">
        <v>2</v>
      </c>
      <c r="D2639" s="234">
        <v>1</v>
      </c>
      <c r="E2639" s="234">
        <v>0</v>
      </c>
      <c r="G2639" s="507"/>
      <c r="H2639" s="487" t="s">
        <v>1237</v>
      </c>
      <c r="I2639" s="452" t="s">
        <v>5935</v>
      </c>
      <c r="J2639" s="489" t="s">
        <v>27</v>
      </c>
      <c r="K2639" s="490"/>
      <c r="L2639" s="491"/>
      <c r="M2639" s="491"/>
      <c r="N2639" s="456">
        <v>478.74400000000003</v>
      </c>
      <c r="O2639" s="492">
        <v>2.85822944571445E-2</v>
      </c>
      <c r="P2639" s="430"/>
    </row>
    <row r="2640" spans="1:16" ht="13.5" hidden="1" customHeight="1" outlineLevel="3" x14ac:dyDescent="0.2">
      <c r="A2640" s="233">
        <v>0</v>
      </c>
      <c r="B2640" s="233">
        <v>18</v>
      </c>
      <c r="C2640" s="233">
        <v>2</v>
      </c>
      <c r="D2640" s="234">
        <v>1</v>
      </c>
      <c r="E2640" s="234">
        <v>1</v>
      </c>
      <c r="G2640" s="508" t="s">
        <v>51</v>
      </c>
      <c r="H2640" s="493" t="s">
        <v>1238</v>
      </c>
      <c r="I2640" s="460" t="s">
        <v>5936</v>
      </c>
      <c r="J2640" s="495" t="s">
        <v>790</v>
      </c>
      <c r="K2640" s="496" t="s">
        <v>787</v>
      </c>
      <c r="L2640" s="497">
        <v>20.6</v>
      </c>
      <c r="M2640" s="497">
        <v>23.240000000000002</v>
      </c>
      <c r="N2640" s="464">
        <v>478.74400000000003</v>
      </c>
      <c r="O2640" s="498" t="s">
        <v>2704</v>
      </c>
      <c r="P2640" s="431" t="s">
        <v>6711</v>
      </c>
    </row>
    <row r="2641" spans="1:16" ht="13.5" hidden="1" customHeight="1" outlineLevel="2" x14ac:dyDescent="0.2">
      <c r="A2641" s="233">
        <v>0</v>
      </c>
      <c r="B2641" s="233">
        <v>18</v>
      </c>
      <c r="C2641" s="233">
        <v>2</v>
      </c>
      <c r="D2641" s="234">
        <v>2</v>
      </c>
      <c r="E2641" s="234">
        <v>0</v>
      </c>
      <c r="G2641" s="507"/>
      <c r="H2641" s="487" t="s">
        <v>1237</v>
      </c>
      <c r="I2641" s="452" t="s">
        <v>5937</v>
      </c>
      <c r="J2641" s="489" t="s">
        <v>28</v>
      </c>
      <c r="K2641" s="490"/>
      <c r="L2641" s="491"/>
      <c r="M2641" s="491"/>
      <c r="N2641" s="456">
        <v>18223.1524392147</v>
      </c>
      <c r="O2641" s="492"/>
      <c r="P2641" s="430"/>
    </row>
    <row r="2642" spans="1:16" ht="13.5" hidden="1" customHeight="1" outlineLevel="3" x14ac:dyDescent="0.2">
      <c r="A2642" s="233">
        <v>0</v>
      </c>
      <c r="B2642" s="233">
        <v>18</v>
      </c>
      <c r="C2642" s="233">
        <v>2</v>
      </c>
      <c r="D2642" s="234">
        <v>2</v>
      </c>
      <c r="E2642" s="234">
        <v>1</v>
      </c>
      <c r="G2642" s="508" t="s">
        <v>51</v>
      </c>
      <c r="H2642" s="493" t="s">
        <v>1238</v>
      </c>
      <c r="I2642" s="460" t="s">
        <v>5938</v>
      </c>
      <c r="J2642" s="495" t="s">
        <v>2699</v>
      </c>
      <c r="K2642" s="496" t="s">
        <v>641</v>
      </c>
      <c r="L2642" s="497">
        <v>6</v>
      </c>
      <c r="M2642" s="497">
        <v>1906.3139681515586</v>
      </c>
      <c r="N2642" s="464">
        <v>11437.883808909401</v>
      </c>
      <c r="O2642" s="498" t="s">
        <v>2704</v>
      </c>
      <c r="P2642" s="431" t="s">
        <v>6711</v>
      </c>
    </row>
    <row r="2643" spans="1:16" ht="13.5" hidden="1" customHeight="1" outlineLevel="3" x14ac:dyDescent="0.2">
      <c r="A2643" s="233">
        <v>0</v>
      </c>
      <c r="B2643" s="233">
        <v>18</v>
      </c>
      <c r="C2643" s="233">
        <v>2</v>
      </c>
      <c r="D2643" s="234">
        <v>2</v>
      </c>
      <c r="E2643" s="234">
        <v>2</v>
      </c>
      <c r="G2643" s="508" t="s">
        <v>51</v>
      </c>
      <c r="H2643" s="493" t="s">
        <v>1238</v>
      </c>
      <c r="I2643" s="460" t="s">
        <v>5939</v>
      </c>
      <c r="J2643" s="495" t="s">
        <v>2700</v>
      </c>
      <c r="K2643" s="496" t="s">
        <v>641</v>
      </c>
      <c r="L2643" s="497">
        <v>2.5600000000000005</v>
      </c>
      <c r="M2643" s="497">
        <v>2650.4955587130289</v>
      </c>
      <c r="N2643" s="464">
        <v>6785.2686303053597</v>
      </c>
      <c r="O2643" s="498" t="s">
        <v>2704</v>
      </c>
      <c r="P2643" s="431" t="s">
        <v>6711</v>
      </c>
    </row>
    <row r="2644" spans="1:16" ht="12.75" hidden="1" customHeight="1" outlineLevel="2" x14ac:dyDescent="0.2">
      <c r="A2644" s="233">
        <v>0</v>
      </c>
      <c r="B2644" s="233">
        <v>18</v>
      </c>
      <c r="C2644" s="233">
        <v>2</v>
      </c>
      <c r="D2644" s="234">
        <v>3</v>
      </c>
      <c r="E2644" s="234">
        <v>0</v>
      </c>
      <c r="G2644" s="507"/>
      <c r="H2644" s="487" t="s">
        <v>1237</v>
      </c>
      <c r="I2644" s="452" t="s">
        <v>5940</v>
      </c>
      <c r="J2644" s="489" t="s">
        <v>2351</v>
      </c>
      <c r="K2644" s="490"/>
      <c r="L2644" s="491"/>
      <c r="M2644" s="491"/>
      <c r="N2644" s="456"/>
      <c r="O2644" s="492"/>
      <c r="P2644" s="430"/>
    </row>
    <row r="2645" spans="1:16" ht="12.75" hidden="1" customHeight="1" outlineLevel="3" x14ac:dyDescent="0.2">
      <c r="A2645" s="233">
        <v>0</v>
      </c>
      <c r="B2645" s="233">
        <v>18</v>
      </c>
      <c r="C2645" s="233">
        <v>2</v>
      </c>
      <c r="D2645" s="234">
        <v>3</v>
      </c>
      <c r="E2645" s="234">
        <v>1</v>
      </c>
      <c r="G2645" s="508" t="s">
        <v>51</v>
      </c>
      <c r="H2645" s="493" t="s">
        <v>1238</v>
      </c>
      <c r="I2645" s="460" t="s">
        <v>5941</v>
      </c>
      <c r="J2645" s="495" t="s">
        <v>796</v>
      </c>
      <c r="K2645" s="496" t="s">
        <v>641</v>
      </c>
      <c r="L2645" s="497" t="e">
        <v>#REF!</v>
      </c>
      <c r="M2645" s="497">
        <v>1403.9850000000001</v>
      </c>
      <c r="N2645" s="464"/>
      <c r="O2645" s="498" t="s">
        <v>2703</v>
      </c>
      <c r="P2645" s="431" t="s">
        <v>6711</v>
      </c>
    </row>
    <row r="2646" spans="1:16" ht="12.75" hidden="1" customHeight="1" outlineLevel="2" x14ac:dyDescent="0.2">
      <c r="A2646" s="233">
        <v>0</v>
      </c>
      <c r="B2646" s="233">
        <v>18</v>
      </c>
      <c r="C2646" s="233">
        <v>2</v>
      </c>
      <c r="D2646" s="234">
        <v>4</v>
      </c>
      <c r="E2646" s="234">
        <v>0</v>
      </c>
      <c r="G2646" s="507"/>
      <c r="H2646" s="487" t="s">
        <v>1237</v>
      </c>
      <c r="I2646" s="452" t="s">
        <v>5942</v>
      </c>
      <c r="J2646" s="489" t="s">
        <v>2711</v>
      </c>
      <c r="K2646" s="490"/>
      <c r="L2646" s="491"/>
      <c r="M2646" s="491"/>
      <c r="N2646" s="456"/>
      <c r="O2646" s="492"/>
      <c r="P2646" s="430"/>
    </row>
    <row r="2647" spans="1:16" ht="12.75" hidden="1" customHeight="1" outlineLevel="3" x14ac:dyDescent="0.2">
      <c r="A2647" s="233">
        <v>0</v>
      </c>
      <c r="B2647" s="233">
        <v>18</v>
      </c>
      <c r="C2647" s="233">
        <v>2</v>
      </c>
      <c r="D2647" s="234">
        <v>4</v>
      </c>
      <c r="E2647" s="234">
        <v>1</v>
      </c>
      <c r="G2647" s="508" t="s">
        <v>51</v>
      </c>
      <c r="H2647" s="493" t="s">
        <v>1238</v>
      </c>
      <c r="I2647" s="460" t="s">
        <v>5943</v>
      </c>
      <c r="J2647" s="495" t="s">
        <v>793</v>
      </c>
      <c r="K2647" s="496" t="s">
        <v>641</v>
      </c>
      <c r="L2647" s="497" t="e">
        <v>#REF!</v>
      </c>
      <c r="M2647" s="497">
        <v>2122.5413895570964</v>
      </c>
      <c r="N2647" s="464"/>
      <c r="O2647" s="498" t="s">
        <v>2703</v>
      </c>
      <c r="P2647" s="431" t="s">
        <v>6711</v>
      </c>
    </row>
    <row r="2648" spans="1:16" ht="13.5" hidden="1" customHeight="1" outlineLevel="1" x14ac:dyDescent="0.2">
      <c r="A2648" s="233">
        <v>0</v>
      </c>
      <c r="B2648" s="233">
        <v>18</v>
      </c>
      <c r="C2648" s="233">
        <v>3</v>
      </c>
      <c r="D2648" s="234">
        <v>0</v>
      </c>
      <c r="E2648" s="234">
        <v>1</v>
      </c>
      <c r="G2648" s="506"/>
      <c r="H2648" s="481" t="s">
        <v>38</v>
      </c>
      <c r="I2648" s="445" t="s">
        <v>5944</v>
      </c>
      <c r="J2648" s="483" t="s">
        <v>3040</v>
      </c>
      <c r="K2648" s="484"/>
      <c r="L2648" s="485"/>
      <c r="M2648" s="485"/>
      <c r="N2648" s="449"/>
      <c r="O2648" s="486"/>
      <c r="P2648" s="429"/>
    </row>
    <row r="2649" spans="1:16" ht="13.5" hidden="1" customHeight="1" outlineLevel="2" x14ac:dyDescent="0.2">
      <c r="A2649" s="233">
        <v>0</v>
      </c>
      <c r="B2649" s="233">
        <v>18</v>
      </c>
      <c r="C2649" s="233">
        <v>3</v>
      </c>
      <c r="D2649" s="234">
        <v>1</v>
      </c>
      <c r="E2649" s="234">
        <v>0</v>
      </c>
      <c r="G2649" s="507"/>
      <c r="H2649" s="487" t="s">
        <v>1237</v>
      </c>
      <c r="I2649" s="452" t="s">
        <v>5945</v>
      </c>
      <c r="J2649" s="489" t="s">
        <v>27</v>
      </c>
      <c r="K2649" s="490"/>
      <c r="L2649" s="491"/>
      <c r="M2649" s="491"/>
      <c r="N2649" s="456">
        <v>223.10400000000001</v>
      </c>
      <c r="O2649" s="492">
        <v>1.33199042130382E-2</v>
      </c>
      <c r="P2649" s="430"/>
    </row>
    <row r="2650" spans="1:16" ht="13.5" hidden="1" customHeight="1" outlineLevel="3" x14ac:dyDescent="0.2">
      <c r="A2650" s="233">
        <v>0</v>
      </c>
      <c r="B2650" s="233">
        <v>18</v>
      </c>
      <c r="C2650" s="233">
        <v>3</v>
      </c>
      <c r="D2650" s="234">
        <v>1</v>
      </c>
      <c r="E2650" s="234">
        <v>1</v>
      </c>
      <c r="G2650" s="508" t="s">
        <v>51</v>
      </c>
      <c r="H2650" s="493" t="s">
        <v>1238</v>
      </c>
      <c r="I2650" s="460" t="s">
        <v>5946</v>
      </c>
      <c r="J2650" s="495" t="s">
        <v>790</v>
      </c>
      <c r="K2650" s="496" t="s">
        <v>787</v>
      </c>
      <c r="L2650" s="497">
        <v>9.6000000000000014</v>
      </c>
      <c r="M2650" s="497">
        <v>23.240000000000002</v>
      </c>
      <c r="N2650" s="464">
        <v>223.10400000000001</v>
      </c>
      <c r="O2650" s="498" t="s">
        <v>2704</v>
      </c>
      <c r="P2650" s="431" t="s">
        <v>6711</v>
      </c>
    </row>
    <row r="2651" spans="1:16" ht="13.5" hidden="1" customHeight="1" outlineLevel="2" x14ac:dyDescent="0.2">
      <c r="A2651" s="233">
        <v>0</v>
      </c>
      <c r="B2651" s="233">
        <v>18</v>
      </c>
      <c r="C2651" s="233">
        <v>3</v>
      </c>
      <c r="D2651" s="234">
        <v>2</v>
      </c>
      <c r="E2651" s="234">
        <v>0</v>
      </c>
      <c r="G2651" s="507"/>
      <c r="H2651" s="487" t="s">
        <v>1237</v>
      </c>
      <c r="I2651" s="452" t="s">
        <v>5947</v>
      </c>
      <c r="J2651" s="489" t="s">
        <v>28</v>
      </c>
      <c r="K2651" s="490"/>
      <c r="L2651" s="491"/>
      <c r="M2651" s="491"/>
      <c r="N2651" s="456">
        <v>6785.2686303053597</v>
      </c>
      <c r="O2651" s="492"/>
      <c r="P2651" s="430"/>
    </row>
    <row r="2652" spans="1:16" ht="13.5" hidden="1" customHeight="1" outlineLevel="3" x14ac:dyDescent="0.2">
      <c r="A2652" s="233">
        <v>0</v>
      </c>
      <c r="B2652" s="233">
        <v>18</v>
      </c>
      <c r="C2652" s="233">
        <v>3</v>
      </c>
      <c r="D2652" s="234">
        <v>2</v>
      </c>
      <c r="E2652" s="234">
        <v>1</v>
      </c>
      <c r="G2652" s="508" t="s">
        <v>51</v>
      </c>
      <c r="H2652" s="493" t="s">
        <v>1238</v>
      </c>
      <c r="I2652" s="460" t="s">
        <v>5948</v>
      </c>
      <c r="J2652" s="495" t="s">
        <v>2700</v>
      </c>
      <c r="K2652" s="496" t="s">
        <v>641</v>
      </c>
      <c r="L2652" s="497">
        <v>2.5600000000000005</v>
      </c>
      <c r="M2652" s="497">
        <v>2650.4955587130289</v>
      </c>
      <c r="N2652" s="464">
        <v>6785.2686303053597</v>
      </c>
      <c r="O2652" s="498" t="s">
        <v>2704</v>
      </c>
      <c r="P2652" s="431" t="s">
        <v>6711</v>
      </c>
    </row>
    <row r="2653" spans="1:16" ht="12.75" hidden="1" customHeight="1" outlineLevel="2" x14ac:dyDescent="0.2">
      <c r="A2653" s="233">
        <v>0</v>
      </c>
      <c r="B2653" s="233">
        <v>18</v>
      </c>
      <c r="C2653" s="233">
        <v>3</v>
      </c>
      <c r="D2653" s="234">
        <v>3</v>
      </c>
      <c r="E2653" s="234">
        <v>0</v>
      </c>
      <c r="G2653" s="507"/>
      <c r="H2653" s="487" t="s">
        <v>1237</v>
      </c>
      <c r="I2653" s="452" t="s">
        <v>5949</v>
      </c>
      <c r="J2653" s="489" t="s">
        <v>2711</v>
      </c>
      <c r="K2653" s="490"/>
      <c r="L2653" s="491"/>
      <c r="M2653" s="491"/>
      <c r="N2653" s="456"/>
      <c r="O2653" s="492"/>
      <c r="P2653" s="430"/>
    </row>
    <row r="2654" spans="1:16" ht="12.75" hidden="1" customHeight="1" outlineLevel="3" x14ac:dyDescent="0.2">
      <c r="A2654" s="233">
        <v>0</v>
      </c>
      <c r="B2654" s="233">
        <v>18</v>
      </c>
      <c r="C2654" s="233">
        <v>3</v>
      </c>
      <c r="D2654" s="234">
        <v>3</v>
      </c>
      <c r="E2654" s="234">
        <v>1</v>
      </c>
      <c r="G2654" s="508" t="s">
        <v>51</v>
      </c>
      <c r="H2654" s="493" t="s">
        <v>1238</v>
      </c>
      <c r="I2654" s="460" t="s">
        <v>5950</v>
      </c>
      <c r="J2654" s="495" t="s">
        <v>793</v>
      </c>
      <c r="K2654" s="496" t="s">
        <v>641</v>
      </c>
      <c r="L2654" s="497" t="e">
        <v>#REF!</v>
      </c>
      <c r="M2654" s="497">
        <v>2122.5413895570964</v>
      </c>
      <c r="N2654" s="464"/>
      <c r="O2654" s="498" t="s">
        <v>2703</v>
      </c>
      <c r="P2654" s="431" t="s">
        <v>6711</v>
      </c>
    </row>
    <row r="2655" spans="1:16" ht="12.75" hidden="1" customHeight="1" outlineLevel="2" x14ac:dyDescent="0.2">
      <c r="A2655" s="233">
        <v>0</v>
      </c>
      <c r="B2655" s="233">
        <v>18</v>
      </c>
      <c r="C2655" s="233">
        <v>3</v>
      </c>
      <c r="D2655" s="234">
        <v>4</v>
      </c>
      <c r="E2655" s="234">
        <v>0</v>
      </c>
      <c r="G2655" s="507"/>
      <c r="H2655" s="487" t="s">
        <v>1237</v>
      </c>
      <c r="I2655" s="452" t="s">
        <v>5951</v>
      </c>
      <c r="J2655" s="489" t="s">
        <v>798</v>
      </c>
      <c r="K2655" s="490"/>
      <c r="L2655" s="491"/>
      <c r="M2655" s="491"/>
      <c r="N2655" s="456"/>
      <c r="O2655" s="492"/>
      <c r="P2655" s="430"/>
    </row>
    <row r="2656" spans="1:16" ht="13.5" hidden="1" customHeight="1" outlineLevel="3" x14ac:dyDescent="0.2">
      <c r="A2656" s="233">
        <v>0</v>
      </c>
      <c r="B2656" s="233">
        <v>18</v>
      </c>
      <c r="C2656" s="233">
        <v>3</v>
      </c>
      <c r="D2656" s="234">
        <v>4</v>
      </c>
      <c r="E2656" s="234">
        <v>1</v>
      </c>
      <c r="G2656" s="508" t="s">
        <v>51</v>
      </c>
      <c r="H2656" s="493" t="s">
        <v>1238</v>
      </c>
      <c r="I2656" s="460" t="s">
        <v>5952</v>
      </c>
      <c r="J2656" s="495" t="s">
        <v>798</v>
      </c>
      <c r="K2656" s="496" t="s">
        <v>641</v>
      </c>
      <c r="L2656" s="497" t="e">
        <v>#REF!</v>
      </c>
      <c r="M2656" s="497">
        <v>1533.99</v>
      </c>
      <c r="N2656" s="464"/>
      <c r="O2656" s="498" t="s">
        <v>2703</v>
      </c>
      <c r="P2656" s="431" t="s">
        <v>6711</v>
      </c>
    </row>
    <row r="2657" spans="1:16" ht="13.5" hidden="1" customHeight="1" outlineLevel="1" x14ac:dyDescent="0.2">
      <c r="A2657" s="233">
        <v>0</v>
      </c>
      <c r="B2657" s="233">
        <v>18</v>
      </c>
      <c r="C2657" s="233">
        <v>4</v>
      </c>
      <c r="D2657" s="234">
        <v>0</v>
      </c>
      <c r="E2657" s="234">
        <v>1</v>
      </c>
      <c r="G2657" s="506"/>
      <c r="H2657" s="481" t="s">
        <v>38</v>
      </c>
      <c r="I2657" s="445" t="s">
        <v>5953</v>
      </c>
      <c r="J2657" s="483" t="s">
        <v>3039</v>
      </c>
      <c r="K2657" s="484"/>
      <c r="L2657" s="485"/>
      <c r="M2657" s="485"/>
      <c r="N2657" s="449"/>
      <c r="O2657" s="486"/>
      <c r="P2657" s="429"/>
    </row>
    <row r="2658" spans="1:16" ht="13.5" hidden="1" customHeight="1" outlineLevel="2" x14ac:dyDescent="0.2">
      <c r="A2658" s="233">
        <v>0</v>
      </c>
      <c r="B2658" s="233">
        <v>18</v>
      </c>
      <c r="C2658" s="233">
        <v>4</v>
      </c>
      <c r="D2658" s="234">
        <v>1</v>
      </c>
      <c r="E2658" s="234">
        <v>0</v>
      </c>
      <c r="G2658" s="507"/>
      <c r="H2658" s="487" t="s">
        <v>1237</v>
      </c>
      <c r="I2658" s="452" t="s">
        <v>5954</v>
      </c>
      <c r="J2658" s="489" t="s">
        <v>27</v>
      </c>
      <c r="K2658" s="490"/>
      <c r="L2658" s="491"/>
      <c r="M2658" s="491"/>
      <c r="N2658" s="456">
        <v>223.10400000000001</v>
      </c>
      <c r="O2658" s="492">
        <v>1.33199042130382E-2</v>
      </c>
      <c r="P2658" s="430"/>
    </row>
    <row r="2659" spans="1:16" ht="13.5" hidden="1" customHeight="1" outlineLevel="3" x14ac:dyDescent="0.2">
      <c r="A2659" s="233">
        <v>0</v>
      </c>
      <c r="B2659" s="233">
        <v>18</v>
      </c>
      <c r="C2659" s="233">
        <v>4</v>
      </c>
      <c r="D2659" s="234">
        <v>1</v>
      </c>
      <c r="E2659" s="234">
        <v>1</v>
      </c>
      <c r="G2659" s="508" t="s">
        <v>51</v>
      </c>
      <c r="H2659" s="493" t="s">
        <v>1238</v>
      </c>
      <c r="I2659" s="460" t="s">
        <v>5955</v>
      </c>
      <c r="J2659" s="495" t="s">
        <v>790</v>
      </c>
      <c r="K2659" s="496" t="s">
        <v>787</v>
      </c>
      <c r="L2659" s="497">
        <v>9.6000000000000014</v>
      </c>
      <c r="M2659" s="497">
        <v>23.240000000000002</v>
      </c>
      <c r="N2659" s="464">
        <v>223.10400000000001</v>
      </c>
      <c r="O2659" s="498" t="s">
        <v>2704</v>
      </c>
      <c r="P2659" s="431" t="s">
        <v>6711</v>
      </c>
    </row>
    <row r="2660" spans="1:16" ht="13.5" hidden="1" customHeight="1" outlineLevel="2" x14ac:dyDescent="0.2">
      <c r="A2660" s="233">
        <v>0</v>
      </c>
      <c r="B2660" s="233">
        <v>18</v>
      </c>
      <c r="C2660" s="233">
        <v>4</v>
      </c>
      <c r="D2660" s="234">
        <v>2</v>
      </c>
      <c r="E2660" s="234">
        <v>0</v>
      </c>
      <c r="G2660" s="507"/>
      <c r="H2660" s="487" t="s">
        <v>1237</v>
      </c>
      <c r="I2660" s="452" t="s">
        <v>5956</v>
      </c>
      <c r="J2660" s="489" t="s">
        <v>28</v>
      </c>
      <c r="K2660" s="490"/>
      <c r="L2660" s="491"/>
      <c r="M2660" s="491"/>
      <c r="N2660" s="456">
        <v>6785.2686303053597</v>
      </c>
      <c r="O2660" s="492"/>
      <c r="P2660" s="430"/>
    </row>
    <row r="2661" spans="1:16" ht="13.5" hidden="1" customHeight="1" outlineLevel="3" x14ac:dyDescent="0.2">
      <c r="A2661" s="233">
        <v>0</v>
      </c>
      <c r="B2661" s="233">
        <v>18</v>
      </c>
      <c r="C2661" s="233">
        <v>4</v>
      </c>
      <c r="D2661" s="234">
        <v>2</v>
      </c>
      <c r="E2661" s="234">
        <v>1</v>
      </c>
      <c r="G2661" s="508" t="s">
        <v>51</v>
      </c>
      <c r="H2661" s="493" t="s">
        <v>1238</v>
      </c>
      <c r="I2661" s="460" t="s">
        <v>5957</v>
      </c>
      <c r="J2661" s="495" t="s">
        <v>2700</v>
      </c>
      <c r="K2661" s="496" t="s">
        <v>641</v>
      </c>
      <c r="L2661" s="497">
        <v>2.5600000000000005</v>
      </c>
      <c r="M2661" s="497">
        <v>2650.4955587130289</v>
      </c>
      <c r="N2661" s="464">
        <v>6785.2686303053597</v>
      </c>
      <c r="O2661" s="498" t="s">
        <v>2704</v>
      </c>
      <c r="P2661" s="431" t="s">
        <v>6711</v>
      </c>
    </row>
    <row r="2662" spans="1:16" ht="12.75" hidden="1" customHeight="1" outlineLevel="2" x14ac:dyDescent="0.2">
      <c r="A2662" s="233">
        <v>0</v>
      </c>
      <c r="B2662" s="233">
        <v>18</v>
      </c>
      <c r="C2662" s="233">
        <v>4</v>
      </c>
      <c r="D2662" s="234">
        <v>3</v>
      </c>
      <c r="E2662" s="234">
        <v>0</v>
      </c>
      <c r="G2662" s="507"/>
      <c r="H2662" s="487" t="s">
        <v>1237</v>
      </c>
      <c r="I2662" s="452" t="s">
        <v>5958</v>
      </c>
      <c r="J2662" s="489" t="s">
        <v>798</v>
      </c>
      <c r="K2662" s="490"/>
      <c r="L2662" s="491"/>
      <c r="M2662" s="491"/>
      <c r="N2662" s="456"/>
      <c r="O2662" s="492"/>
      <c r="P2662" s="430"/>
    </row>
    <row r="2663" spans="1:16" ht="13.5" hidden="1" customHeight="1" outlineLevel="3" x14ac:dyDescent="0.2">
      <c r="A2663" s="233">
        <v>0</v>
      </c>
      <c r="B2663" s="233">
        <v>18</v>
      </c>
      <c r="C2663" s="233">
        <v>4</v>
      </c>
      <c r="D2663" s="234">
        <v>3</v>
      </c>
      <c r="E2663" s="234">
        <v>1</v>
      </c>
      <c r="G2663" s="508" t="s">
        <v>51</v>
      </c>
      <c r="H2663" s="493" t="s">
        <v>1238</v>
      </c>
      <c r="I2663" s="460" t="s">
        <v>5959</v>
      </c>
      <c r="J2663" s="495" t="s">
        <v>798</v>
      </c>
      <c r="K2663" s="496" t="s">
        <v>641</v>
      </c>
      <c r="L2663" s="497" t="e">
        <v>#REF!</v>
      </c>
      <c r="M2663" s="497">
        <v>1533.99</v>
      </c>
      <c r="N2663" s="464"/>
      <c r="O2663" s="498" t="s">
        <v>2703</v>
      </c>
      <c r="P2663" s="431" t="s">
        <v>6711</v>
      </c>
    </row>
    <row r="2664" spans="1:16" ht="13.5" hidden="1" customHeight="1" outlineLevel="1" x14ac:dyDescent="0.2">
      <c r="A2664" s="233">
        <v>0</v>
      </c>
      <c r="B2664" s="233">
        <v>18</v>
      </c>
      <c r="C2664" s="233">
        <v>5</v>
      </c>
      <c r="D2664" s="234">
        <v>0</v>
      </c>
      <c r="E2664" s="234">
        <v>1</v>
      </c>
      <c r="G2664" s="506"/>
      <c r="H2664" s="481" t="s">
        <v>38</v>
      </c>
      <c r="I2664" s="445" t="s">
        <v>5960</v>
      </c>
      <c r="J2664" s="483" t="s">
        <v>3041</v>
      </c>
      <c r="K2664" s="484"/>
      <c r="L2664" s="485"/>
      <c r="M2664" s="485"/>
      <c r="N2664" s="449"/>
      <c r="O2664" s="486"/>
      <c r="P2664" s="429"/>
    </row>
    <row r="2665" spans="1:16" ht="13.5" hidden="1" customHeight="1" outlineLevel="2" x14ac:dyDescent="0.2">
      <c r="A2665" s="233">
        <v>0</v>
      </c>
      <c r="B2665" s="233">
        <v>18</v>
      </c>
      <c r="C2665" s="233">
        <v>5</v>
      </c>
      <c r="D2665" s="234">
        <v>1</v>
      </c>
      <c r="E2665" s="234">
        <v>0</v>
      </c>
      <c r="G2665" s="507"/>
      <c r="H2665" s="487" t="s">
        <v>1237</v>
      </c>
      <c r="I2665" s="452" t="s">
        <v>5961</v>
      </c>
      <c r="J2665" s="489" t="s">
        <v>27</v>
      </c>
      <c r="K2665" s="490"/>
      <c r="L2665" s="491"/>
      <c r="M2665" s="491"/>
      <c r="N2665" s="456">
        <v>223.10400000000001</v>
      </c>
      <c r="O2665" s="492">
        <v>1.33199042130382E-2</v>
      </c>
      <c r="P2665" s="430"/>
    </row>
    <row r="2666" spans="1:16" ht="13.5" hidden="1" customHeight="1" outlineLevel="3" x14ac:dyDescent="0.2">
      <c r="A2666" s="233">
        <v>0</v>
      </c>
      <c r="B2666" s="233">
        <v>18</v>
      </c>
      <c r="C2666" s="233">
        <v>5</v>
      </c>
      <c r="D2666" s="234">
        <v>1</v>
      </c>
      <c r="E2666" s="234">
        <v>1</v>
      </c>
      <c r="G2666" s="508" t="s">
        <v>51</v>
      </c>
      <c r="H2666" s="493" t="s">
        <v>1238</v>
      </c>
      <c r="I2666" s="460" t="s">
        <v>5962</v>
      </c>
      <c r="J2666" s="495" t="s">
        <v>790</v>
      </c>
      <c r="K2666" s="496" t="s">
        <v>787</v>
      </c>
      <c r="L2666" s="497">
        <v>9.6000000000000014</v>
      </c>
      <c r="M2666" s="497">
        <v>23.240000000000002</v>
      </c>
      <c r="N2666" s="464">
        <v>223.10400000000001</v>
      </c>
      <c r="O2666" s="498" t="s">
        <v>2704</v>
      </c>
      <c r="P2666" s="431" t="s">
        <v>6711</v>
      </c>
    </row>
    <row r="2667" spans="1:16" ht="13.5" hidden="1" customHeight="1" outlineLevel="2" x14ac:dyDescent="0.2">
      <c r="A2667" s="233">
        <v>0</v>
      </c>
      <c r="B2667" s="233">
        <v>18</v>
      </c>
      <c r="C2667" s="233">
        <v>5</v>
      </c>
      <c r="D2667" s="234">
        <v>2</v>
      </c>
      <c r="E2667" s="234">
        <v>0</v>
      </c>
      <c r="G2667" s="507"/>
      <c r="H2667" s="487" t="s">
        <v>1237</v>
      </c>
      <c r="I2667" s="452" t="s">
        <v>5963</v>
      </c>
      <c r="J2667" s="489" t="s">
        <v>28</v>
      </c>
      <c r="K2667" s="490"/>
      <c r="L2667" s="491"/>
      <c r="M2667" s="491"/>
      <c r="N2667" s="456">
        <v>6785.2686303053597</v>
      </c>
      <c r="O2667" s="492"/>
      <c r="P2667" s="430"/>
    </row>
    <row r="2668" spans="1:16" ht="13.5" hidden="1" customHeight="1" outlineLevel="3" x14ac:dyDescent="0.2">
      <c r="A2668" s="233">
        <v>0</v>
      </c>
      <c r="B2668" s="233">
        <v>18</v>
      </c>
      <c r="C2668" s="233">
        <v>5</v>
      </c>
      <c r="D2668" s="234">
        <v>2</v>
      </c>
      <c r="E2668" s="234">
        <v>1</v>
      </c>
      <c r="G2668" s="508" t="s">
        <v>51</v>
      </c>
      <c r="H2668" s="493" t="s">
        <v>1238</v>
      </c>
      <c r="I2668" s="460" t="s">
        <v>5964</v>
      </c>
      <c r="J2668" s="495" t="s">
        <v>2700</v>
      </c>
      <c r="K2668" s="496" t="s">
        <v>641</v>
      </c>
      <c r="L2668" s="497">
        <v>2.5600000000000005</v>
      </c>
      <c r="M2668" s="497">
        <v>2650.4955587130289</v>
      </c>
      <c r="N2668" s="464">
        <v>6785.2686303053597</v>
      </c>
      <c r="O2668" s="498" t="s">
        <v>2704</v>
      </c>
      <c r="P2668" s="431" t="s">
        <v>6711</v>
      </c>
    </row>
    <row r="2669" spans="1:16" ht="12.75" hidden="1" customHeight="1" outlineLevel="2" x14ac:dyDescent="0.2">
      <c r="A2669" s="233">
        <v>0</v>
      </c>
      <c r="B2669" s="233">
        <v>18</v>
      </c>
      <c r="C2669" s="233">
        <v>5</v>
      </c>
      <c r="D2669" s="234">
        <v>3</v>
      </c>
      <c r="E2669" s="234">
        <v>0</v>
      </c>
      <c r="G2669" s="507"/>
      <c r="H2669" s="487" t="s">
        <v>1237</v>
      </c>
      <c r="I2669" s="452" t="s">
        <v>5965</v>
      </c>
      <c r="J2669" s="489" t="s">
        <v>798</v>
      </c>
      <c r="K2669" s="490"/>
      <c r="L2669" s="491"/>
      <c r="M2669" s="491"/>
      <c r="N2669" s="456"/>
      <c r="O2669" s="492"/>
      <c r="P2669" s="430"/>
    </row>
    <row r="2670" spans="1:16" ht="13.5" hidden="1" customHeight="1" outlineLevel="3" x14ac:dyDescent="0.2">
      <c r="A2670" s="233">
        <v>0</v>
      </c>
      <c r="B2670" s="233">
        <v>18</v>
      </c>
      <c r="C2670" s="233">
        <v>5</v>
      </c>
      <c r="D2670" s="234">
        <v>3</v>
      </c>
      <c r="E2670" s="234">
        <v>1</v>
      </c>
      <c r="G2670" s="508" t="s">
        <v>51</v>
      </c>
      <c r="H2670" s="493" t="s">
        <v>1238</v>
      </c>
      <c r="I2670" s="460" t="s">
        <v>5966</v>
      </c>
      <c r="J2670" s="495" t="s">
        <v>798</v>
      </c>
      <c r="K2670" s="496" t="s">
        <v>641</v>
      </c>
      <c r="L2670" s="497" t="e">
        <v>#REF!</v>
      </c>
      <c r="M2670" s="497">
        <v>1533.99</v>
      </c>
      <c r="N2670" s="464"/>
      <c r="O2670" s="498" t="s">
        <v>2703</v>
      </c>
      <c r="P2670" s="431" t="s">
        <v>6711</v>
      </c>
    </row>
    <row r="2671" spans="1:16" ht="13.5" hidden="1" customHeight="1" outlineLevel="1" x14ac:dyDescent="0.2">
      <c r="A2671" s="233">
        <v>0</v>
      </c>
      <c r="B2671" s="233">
        <v>18</v>
      </c>
      <c r="C2671" s="233">
        <v>6</v>
      </c>
      <c r="D2671" s="234">
        <v>0</v>
      </c>
      <c r="E2671" s="234">
        <v>1</v>
      </c>
      <c r="G2671" s="506"/>
      <c r="H2671" s="481" t="s">
        <v>38</v>
      </c>
      <c r="I2671" s="445" t="s">
        <v>5967</v>
      </c>
      <c r="J2671" s="483" t="s">
        <v>3042</v>
      </c>
      <c r="K2671" s="484"/>
      <c r="L2671" s="485"/>
      <c r="M2671" s="485"/>
      <c r="N2671" s="449"/>
      <c r="O2671" s="486"/>
      <c r="P2671" s="429"/>
    </row>
    <row r="2672" spans="1:16" ht="13.5" hidden="1" customHeight="1" outlineLevel="2" x14ac:dyDescent="0.2">
      <c r="A2672" s="233">
        <v>0</v>
      </c>
      <c r="B2672" s="233">
        <v>18</v>
      </c>
      <c r="C2672" s="233">
        <v>6</v>
      </c>
      <c r="D2672" s="234">
        <v>1</v>
      </c>
      <c r="E2672" s="234">
        <v>0</v>
      </c>
      <c r="G2672" s="507"/>
      <c r="H2672" s="487" t="s">
        <v>1237</v>
      </c>
      <c r="I2672" s="452" t="s">
        <v>5968</v>
      </c>
      <c r="J2672" s="489" t="s">
        <v>27</v>
      </c>
      <c r="K2672" s="490"/>
      <c r="L2672" s="491"/>
      <c r="M2672" s="491"/>
      <c r="N2672" s="456">
        <v>341.62799999999999</v>
      </c>
      <c r="O2672" s="492">
        <v>2.03961033262148E-2</v>
      </c>
      <c r="P2672" s="430"/>
    </row>
    <row r="2673" spans="1:16" ht="13.5" hidden="1" customHeight="1" outlineLevel="3" x14ac:dyDescent="0.2">
      <c r="A2673" s="233">
        <v>0</v>
      </c>
      <c r="B2673" s="233">
        <v>18</v>
      </c>
      <c r="C2673" s="233">
        <v>6</v>
      </c>
      <c r="D2673" s="234">
        <v>1</v>
      </c>
      <c r="E2673" s="234">
        <v>1</v>
      </c>
      <c r="G2673" s="508" t="s">
        <v>51</v>
      </c>
      <c r="H2673" s="493" t="s">
        <v>1238</v>
      </c>
      <c r="I2673" s="460" t="s">
        <v>5969</v>
      </c>
      <c r="J2673" s="495" t="s">
        <v>790</v>
      </c>
      <c r="K2673" s="496" t="s">
        <v>787</v>
      </c>
      <c r="L2673" s="497">
        <v>14.700000000000001</v>
      </c>
      <c r="M2673" s="497">
        <v>23.240000000000002</v>
      </c>
      <c r="N2673" s="464">
        <v>341.62799999999999</v>
      </c>
      <c r="O2673" s="498" t="s">
        <v>2704</v>
      </c>
      <c r="P2673" s="431" t="s">
        <v>6711</v>
      </c>
    </row>
    <row r="2674" spans="1:16" ht="13.5" hidden="1" customHeight="1" outlineLevel="2" x14ac:dyDescent="0.2">
      <c r="A2674" s="233">
        <v>0</v>
      </c>
      <c r="B2674" s="233">
        <v>18</v>
      </c>
      <c r="C2674" s="233">
        <v>6</v>
      </c>
      <c r="D2674" s="234">
        <v>2</v>
      </c>
      <c r="E2674" s="234">
        <v>0</v>
      </c>
      <c r="G2674" s="507"/>
      <c r="H2674" s="487" t="s">
        <v>1237</v>
      </c>
      <c r="I2674" s="452" t="s">
        <v>5970</v>
      </c>
      <c r="J2674" s="489" t="s">
        <v>28</v>
      </c>
      <c r="K2674" s="490"/>
      <c r="L2674" s="491"/>
      <c r="M2674" s="491"/>
      <c r="N2674" s="456">
        <v>10388.202030111799</v>
      </c>
      <c r="O2674" s="492"/>
      <c r="P2674" s="430"/>
    </row>
    <row r="2675" spans="1:16" ht="13.5" hidden="1" customHeight="1" outlineLevel="3" x14ac:dyDescent="0.2">
      <c r="A2675" s="233">
        <v>0</v>
      </c>
      <c r="B2675" s="233">
        <v>18</v>
      </c>
      <c r="C2675" s="233">
        <v>6</v>
      </c>
      <c r="D2675" s="234">
        <v>2</v>
      </c>
      <c r="E2675" s="234">
        <v>1</v>
      </c>
      <c r="G2675" s="508" t="s">
        <v>51</v>
      </c>
      <c r="H2675" s="493" t="s">
        <v>1238</v>
      </c>
      <c r="I2675" s="460" t="s">
        <v>5971</v>
      </c>
      <c r="J2675" s="495" t="s">
        <v>2699</v>
      </c>
      <c r="K2675" s="496" t="s">
        <v>641</v>
      </c>
      <c r="L2675" s="497">
        <v>1.8900000000000001</v>
      </c>
      <c r="M2675" s="497">
        <v>1906.3139681515586</v>
      </c>
      <c r="N2675" s="464">
        <v>3602.9333998064499</v>
      </c>
      <c r="O2675" s="498" t="s">
        <v>2704</v>
      </c>
      <c r="P2675" s="431" t="s">
        <v>6711</v>
      </c>
    </row>
    <row r="2676" spans="1:16" ht="13.5" hidden="1" customHeight="1" outlineLevel="3" x14ac:dyDescent="0.2">
      <c r="A2676" s="233">
        <v>0</v>
      </c>
      <c r="B2676" s="233">
        <v>18</v>
      </c>
      <c r="C2676" s="233">
        <v>6</v>
      </c>
      <c r="D2676" s="234">
        <v>2</v>
      </c>
      <c r="E2676" s="234">
        <v>2</v>
      </c>
      <c r="G2676" s="508" t="s">
        <v>51</v>
      </c>
      <c r="H2676" s="493" t="s">
        <v>1238</v>
      </c>
      <c r="I2676" s="460" t="s">
        <v>5972</v>
      </c>
      <c r="J2676" s="495" t="s">
        <v>2700</v>
      </c>
      <c r="K2676" s="496" t="s">
        <v>641</v>
      </c>
      <c r="L2676" s="497">
        <v>2.5600000000000005</v>
      </c>
      <c r="M2676" s="497">
        <v>2650.4955587130289</v>
      </c>
      <c r="N2676" s="464">
        <v>6785.2686303053597</v>
      </c>
      <c r="O2676" s="498" t="s">
        <v>2704</v>
      </c>
      <c r="P2676" s="431" t="s">
        <v>6711</v>
      </c>
    </row>
    <row r="2677" spans="1:16" ht="12.75" hidden="1" customHeight="1" outlineLevel="2" x14ac:dyDescent="0.2">
      <c r="A2677" s="233">
        <v>0</v>
      </c>
      <c r="B2677" s="233">
        <v>18</v>
      </c>
      <c r="C2677" s="233">
        <v>6</v>
      </c>
      <c r="D2677" s="234">
        <v>3</v>
      </c>
      <c r="E2677" s="234">
        <v>0</v>
      </c>
      <c r="G2677" s="507"/>
      <c r="H2677" s="487" t="s">
        <v>1237</v>
      </c>
      <c r="I2677" s="452" t="s">
        <v>5973</v>
      </c>
      <c r="J2677" s="489" t="s">
        <v>798</v>
      </c>
      <c r="K2677" s="490"/>
      <c r="L2677" s="491"/>
      <c r="M2677" s="491"/>
      <c r="N2677" s="456"/>
      <c r="O2677" s="492"/>
      <c r="P2677" s="430"/>
    </row>
    <row r="2678" spans="1:16" ht="13.5" hidden="1" customHeight="1" outlineLevel="3" x14ac:dyDescent="0.2">
      <c r="A2678" s="233">
        <v>0</v>
      </c>
      <c r="B2678" s="233">
        <v>18</v>
      </c>
      <c r="C2678" s="233">
        <v>6</v>
      </c>
      <c r="D2678" s="234">
        <v>3</v>
      </c>
      <c r="E2678" s="234">
        <v>1</v>
      </c>
      <c r="G2678" s="508" t="s">
        <v>51</v>
      </c>
      <c r="H2678" s="493" t="s">
        <v>1238</v>
      </c>
      <c r="I2678" s="460" t="s">
        <v>5974</v>
      </c>
      <c r="J2678" s="495" t="s">
        <v>798</v>
      </c>
      <c r="K2678" s="496" t="s">
        <v>641</v>
      </c>
      <c r="L2678" s="497" t="e">
        <v>#REF!</v>
      </c>
      <c r="M2678" s="497">
        <v>1533.99</v>
      </c>
      <c r="N2678" s="464"/>
      <c r="O2678" s="498" t="s">
        <v>2703</v>
      </c>
      <c r="P2678" s="431" t="s">
        <v>6711</v>
      </c>
    </row>
    <row r="2679" spans="1:16" ht="13.5" hidden="1" customHeight="1" outlineLevel="1" x14ac:dyDescent="0.2">
      <c r="A2679" s="233">
        <v>0</v>
      </c>
      <c r="B2679" s="233">
        <v>18</v>
      </c>
      <c r="C2679" s="233">
        <v>7</v>
      </c>
      <c r="D2679" s="234">
        <v>0</v>
      </c>
      <c r="E2679" s="234">
        <v>1</v>
      </c>
      <c r="G2679" s="506"/>
      <c r="H2679" s="481" t="s">
        <v>38</v>
      </c>
      <c r="I2679" s="445" t="s">
        <v>5975</v>
      </c>
      <c r="J2679" s="483" t="s">
        <v>3043</v>
      </c>
      <c r="K2679" s="484"/>
      <c r="L2679" s="485"/>
      <c r="M2679" s="485"/>
      <c r="N2679" s="449"/>
      <c r="O2679" s="486"/>
      <c r="P2679" s="429"/>
    </row>
    <row r="2680" spans="1:16" ht="13.5" hidden="1" customHeight="1" outlineLevel="2" x14ac:dyDescent="0.2">
      <c r="A2680" s="233">
        <v>0</v>
      </c>
      <c r="B2680" s="233">
        <v>18</v>
      </c>
      <c r="C2680" s="233">
        <v>7</v>
      </c>
      <c r="D2680" s="234">
        <v>1</v>
      </c>
      <c r="E2680" s="234">
        <v>0</v>
      </c>
      <c r="G2680" s="507"/>
      <c r="H2680" s="487" t="s">
        <v>1237</v>
      </c>
      <c r="I2680" s="452" t="s">
        <v>5976</v>
      </c>
      <c r="J2680" s="489" t="s">
        <v>27</v>
      </c>
      <c r="K2680" s="490"/>
      <c r="L2680" s="491"/>
      <c r="M2680" s="491"/>
      <c r="N2680" s="456">
        <v>611.21199999999999</v>
      </c>
      <c r="O2680" s="492">
        <v>3.6490987583636003E-2</v>
      </c>
      <c r="P2680" s="430"/>
    </row>
    <row r="2681" spans="1:16" ht="13.5" hidden="1" customHeight="1" outlineLevel="3" x14ac:dyDescent="0.2">
      <c r="A2681" s="233">
        <v>0</v>
      </c>
      <c r="B2681" s="233">
        <v>18</v>
      </c>
      <c r="C2681" s="233">
        <v>7</v>
      </c>
      <c r="D2681" s="234">
        <v>1</v>
      </c>
      <c r="E2681" s="234">
        <v>1</v>
      </c>
      <c r="G2681" s="508" t="s">
        <v>51</v>
      </c>
      <c r="H2681" s="493" t="s">
        <v>1238</v>
      </c>
      <c r="I2681" s="460" t="s">
        <v>5977</v>
      </c>
      <c r="J2681" s="495" t="s">
        <v>790</v>
      </c>
      <c r="K2681" s="496" t="s">
        <v>787</v>
      </c>
      <c r="L2681" s="497">
        <v>26.3</v>
      </c>
      <c r="M2681" s="497">
        <v>23.240000000000002</v>
      </c>
      <c r="N2681" s="464">
        <v>611.21199999999999</v>
      </c>
      <c r="O2681" s="498" t="s">
        <v>2704</v>
      </c>
      <c r="P2681" s="431" t="s">
        <v>6711</v>
      </c>
    </row>
    <row r="2682" spans="1:16" ht="13.5" hidden="1" customHeight="1" outlineLevel="2" x14ac:dyDescent="0.2">
      <c r="A2682" s="233">
        <v>0</v>
      </c>
      <c r="B2682" s="233">
        <v>18</v>
      </c>
      <c r="C2682" s="233">
        <v>7</v>
      </c>
      <c r="D2682" s="234">
        <v>2</v>
      </c>
      <c r="E2682" s="234">
        <v>0</v>
      </c>
      <c r="G2682" s="507"/>
      <c r="H2682" s="487" t="s">
        <v>1237</v>
      </c>
      <c r="I2682" s="452" t="s">
        <v>5978</v>
      </c>
      <c r="J2682" s="489" t="s">
        <v>28</v>
      </c>
      <c r="K2682" s="490"/>
      <c r="L2682" s="491"/>
      <c r="M2682" s="491"/>
      <c r="N2682" s="456">
        <v>19195.372562971999</v>
      </c>
      <c r="O2682" s="492"/>
      <c r="P2682" s="430"/>
    </row>
    <row r="2683" spans="1:16" ht="13.5" hidden="1" customHeight="1" outlineLevel="3" x14ac:dyDescent="0.2">
      <c r="A2683" s="233">
        <v>0</v>
      </c>
      <c r="B2683" s="233">
        <v>18</v>
      </c>
      <c r="C2683" s="233">
        <v>7</v>
      </c>
      <c r="D2683" s="234">
        <v>2</v>
      </c>
      <c r="E2683" s="234">
        <v>1</v>
      </c>
      <c r="G2683" s="508" t="s">
        <v>51</v>
      </c>
      <c r="H2683" s="493" t="s">
        <v>1238</v>
      </c>
      <c r="I2683" s="460" t="s">
        <v>5979</v>
      </c>
      <c r="J2683" s="495" t="s">
        <v>2699</v>
      </c>
      <c r="K2683" s="496" t="s">
        <v>641</v>
      </c>
      <c r="L2683" s="497">
        <v>6.51</v>
      </c>
      <c r="M2683" s="497">
        <v>1906.3139681515586</v>
      </c>
      <c r="N2683" s="464">
        <v>12410.1039326666</v>
      </c>
      <c r="O2683" s="498" t="s">
        <v>2704</v>
      </c>
      <c r="P2683" s="431" t="s">
        <v>6711</v>
      </c>
    </row>
    <row r="2684" spans="1:16" ht="13.5" hidden="1" customHeight="1" outlineLevel="3" x14ac:dyDescent="0.2">
      <c r="A2684" s="233">
        <v>0</v>
      </c>
      <c r="B2684" s="233">
        <v>18</v>
      </c>
      <c r="C2684" s="233">
        <v>7</v>
      </c>
      <c r="D2684" s="234">
        <v>2</v>
      </c>
      <c r="E2684" s="234">
        <v>2</v>
      </c>
      <c r="G2684" s="508" t="s">
        <v>51</v>
      </c>
      <c r="H2684" s="493" t="s">
        <v>1238</v>
      </c>
      <c r="I2684" s="460" t="s">
        <v>5980</v>
      </c>
      <c r="J2684" s="495" t="s">
        <v>2700</v>
      </c>
      <c r="K2684" s="496" t="s">
        <v>641</v>
      </c>
      <c r="L2684" s="497">
        <v>2.5600000000000005</v>
      </c>
      <c r="M2684" s="497">
        <v>2650.4955587130289</v>
      </c>
      <c r="N2684" s="464">
        <v>6785.2686303053597</v>
      </c>
      <c r="O2684" s="498" t="s">
        <v>2704</v>
      </c>
      <c r="P2684" s="431" t="s">
        <v>6711</v>
      </c>
    </row>
    <row r="2685" spans="1:16" ht="12.75" hidden="1" customHeight="1" outlineLevel="2" x14ac:dyDescent="0.2">
      <c r="A2685" s="233">
        <v>0</v>
      </c>
      <c r="B2685" s="233">
        <v>18</v>
      </c>
      <c r="C2685" s="233">
        <v>7</v>
      </c>
      <c r="D2685" s="234">
        <v>3</v>
      </c>
      <c r="E2685" s="234">
        <v>0</v>
      </c>
      <c r="G2685" s="507"/>
      <c r="H2685" s="487" t="s">
        <v>1237</v>
      </c>
      <c r="I2685" s="452" t="s">
        <v>5981</v>
      </c>
      <c r="J2685" s="489" t="s">
        <v>2351</v>
      </c>
      <c r="K2685" s="490"/>
      <c r="L2685" s="491"/>
      <c r="M2685" s="491"/>
      <c r="N2685" s="456"/>
      <c r="O2685" s="492"/>
      <c r="P2685" s="430"/>
    </row>
    <row r="2686" spans="1:16" ht="12.75" hidden="1" customHeight="1" outlineLevel="3" x14ac:dyDescent="0.2">
      <c r="A2686" s="233">
        <v>0</v>
      </c>
      <c r="B2686" s="233">
        <v>18</v>
      </c>
      <c r="C2686" s="233">
        <v>7</v>
      </c>
      <c r="D2686" s="234">
        <v>3</v>
      </c>
      <c r="E2686" s="234">
        <v>1</v>
      </c>
      <c r="G2686" s="508" t="s">
        <v>51</v>
      </c>
      <c r="H2686" s="493" t="s">
        <v>1238</v>
      </c>
      <c r="I2686" s="460" t="s">
        <v>5982</v>
      </c>
      <c r="J2686" s="495" t="s">
        <v>796</v>
      </c>
      <c r="K2686" s="496" t="s">
        <v>641</v>
      </c>
      <c r="L2686" s="497" t="e">
        <v>#REF!</v>
      </c>
      <c r="M2686" s="497">
        <v>1403.9850000000001</v>
      </c>
      <c r="N2686" s="464"/>
      <c r="O2686" s="498" t="s">
        <v>2703</v>
      </c>
      <c r="P2686" s="431" t="s">
        <v>6711</v>
      </c>
    </row>
    <row r="2687" spans="1:16" ht="12.75" hidden="1" customHeight="1" outlineLevel="2" x14ac:dyDescent="0.2">
      <c r="A2687" s="233">
        <v>0</v>
      </c>
      <c r="B2687" s="233">
        <v>18</v>
      </c>
      <c r="C2687" s="233">
        <v>7</v>
      </c>
      <c r="D2687" s="234">
        <v>4</v>
      </c>
      <c r="E2687" s="234">
        <v>0</v>
      </c>
      <c r="G2687" s="507"/>
      <c r="H2687" s="487" t="s">
        <v>1237</v>
      </c>
      <c r="I2687" s="452" t="s">
        <v>5983</v>
      </c>
      <c r="J2687" s="489" t="s">
        <v>798</v>
      </c>
      <c r="K2687" s="490"/>
      <c r="L2687" s="491"/>
      <c r="M2687" s="491"/>
      <c r="N2687" s="456"/>
      <c r="O2687" s="492"/>
      <c r="P2687" s="430"/>
    </row>
    <row r="2688" spans="1:16" ht="13.5" hidden="1" customHeight="1" outlineLevel="3" x14ac:dyDescent="0.2">
      <c r="A2688" s="233">
        <v>0</v>
      </c>
      <c r="B2688" s="233">
        <v>18</v>
      </c>
      <c r="C2688" s="233">
        <v>7</v>
      </c>
      <c r="D2688" s="234">
        <v>4</v>
      </c>
      <c r="E2688" s="234">
        <v>1</v>
      </c>
      <c r="G2688" s="508" t="s">
        <v>51</v>
      </c>
      <c r="H2688" s="493" t="s">
        <v>1238</v>
      </c>
      <c r="I2688" s="460" t="s">
        <v>5984</v>
      </c>
      <c r="J2688" s="495" t="s">
        <v>798</v>
      </c>
      <c r="K2688" s="496" t="s">
        <v>641</v>
      </c>
      <c r="L2688" s="497" t="e">
        <v>#REF!</v>
      </c>
      <c r="M2688" s="497">
        <v>1533.99</v>
      </c>
      <c r="N2688" s="464"/>
      <c r="O2688" s="498" t="s">
        <v>2703</v>
      </c>
      <c r="P2688" s="431" t="s">
        <v>6711</v>
      </c>
    </row>
    <row r="2689" spans="1:16" ht="13.5" hidden="1" customHeight="1" outlineLevel="1" x14ac:dyDescent="0.2">
      <c r="A2689" s="233">
        <v>0</v>
      </c>
      <c r="B2689" s="233">
        <v>18</v>
      </c>
      <c r="C2689" s="233">
        <v>8</v>
      </c>
      <c r="D2689" s="234">
        <v>0</v>
      </c>
      <c r="E2689" s="234">
        <v>1</v>
      </c>
      <c r="G2689" s="506"/>
      <c r="H2689" s="481" t="s">
        <v>38</v>
      </c>
      <c r="I2689" s="445" t="s">
        <v>5985</v>
      </c>
      <c r="J2689" s="483" t="s">
        <v>3044</v>
      </c>
      <c r="K2689" s="484"/>
      <c r="L2689" s="485"/>
      <c r="M2689" s="485"/>
      <c r="N2689" s="449"/>
      <c r="O2689" s="486"/>
      <c r="P2689" s="429"/>
    </row>
    <row r="2690" spans="1:16" ht="13.5" hidden="1" customHeight="1" outlineLevel="2" x14ac:dyDescent="0.2">
      <c r="A2690" s="233">
        <v>0</v>
      </c>
      <c r="B2690" s="233">
        <v>18</v>
      </c>
      <c r="C2690" s="233">
        <v>8</v>
      </c>
      <c r="D2690" s="234">
        <v>1</v>
      </c>
      <c r="E2690" s="234">
        <v>0</v>
      </c>
      <c r="G2690" s="507"/>
      <c r="H2690" s="487" t="s">
        <v>1237</v>
      </c>
      <c r="I2690" s="452" t="s">
        <v>5986</v>
      </c>
      <c r="J2690" s="489" t="s">
        <v>27</v>
      </c>
      <c r="K2690" s="490"/>
      <c r="L2690" s="491"/>
      <c r="M2690" s="491"/>
      <c r="N2690" s="456">
        <v>1531.5160000000001</v>
      </c>
      <c r="O2690" s="492">
        <v>9.1435592462418697E-2</v>
      </c>
      <c r="P2690" s="430"/>
    </row>
    <row r="2691" spans="1:16" ht="13.5" hidden="1" customHeight="1" outlineLevel="3" x14ac:dyDescent="0.2">
      <c r="A2691" s="233">
        <v>0</v>
      </c>
      <c r="B2691" s="233">
        <v>18</v>
      </c>
      <c r="C2691" s="233">
        <v>8</v>
      </c>
      <c r="D2691" s="234">
        <v>1</v>
      </c>
      <c r="E2691" s="234">
        <v>1</v>
      </c>
      <c r="G2691" s="508" t="s">
        <v>51</v>
      </c>
      <c r="H2691" s="493" t="s">
        <v>1238</v>
      </c>
      <c r="I2691" s="460" t="s">
        <v>5987</v>
      </c>
      <c r="J2691" s="495" t="s">
        <v>790</v>
      </c>
      <c r="K2691" s="496" t="s">
        <v>787</v>
      </c>
      <c r="L2691" s="497">
        <v>65.900000000000006</v>
      </c>
      <c r="M2691" s="497">
        <v>23.240000000000002</v>
      </c>
      <c r="N2691" s="464">
        <v>1531.5160000000001</v>
      </c>
      <c r="O2691" s="498" t="s">
        <v>2704</v>
      </c>
      <c r="P2691" s="431" t="s">
        <v>6711</v>
      </c>
    </row>
    <row r="2692" spans="1:16" ht="13.5" hidden="1" customHeight="1" outlineLevel="2" x14ac:dyDescent="0.2">
      <c r="A2692" s="233">
        <v>0</v>
      </c>
      <c r="B2692" s="233">
        <v>18</v>
      </c>
      <c r="C2692" s="233">
        <v>8</v>
      </c>
      <c r="D2692" s="234">
        <v>2</v>
      </c>
      <c r="E2692" s="234">
        <v>0</v>
      </c>
      <c r="G2692" s="507"/>
      <c r="H2692" s="487" t="s">
        <v>1237</v>
      </c>
      <c r="I2692" s="452" t="s">
        <v>5988</v>
      </c>
      <c r="J2692" s="489" t="s">
        <v>28</v>
      </c>
      <c r="K2692" s="490"/>
      <c r="L2692" s="491"/>
      <c r="M2692" s="491"/>
      <c r="N2692" s="456">
        <v>112804.919969054</v>
      </c>
      <c r="O2692" s="492"/>
      <c r="P2692" s="430"/>
    </row>
    <row r="2693" spans="1:16" ht="13.5" hidden="1" customHeight="1" outlineLevel="3" x14ac:dyDescent="0.2">
      <c r="A2693" s="233">
        <v>0</v>
      </c>
      <c r="B2693" s="233">
        <v>18</v>
      </c>
      <c r="C2693" s="233">
        <v>8</v>
      </c>
      <c r="D2693" s="234">
        <v>2</v>
      </c>
      <c r="E2693" s="234">
        <v>1</v>
      </c>
      <c r="G2693" s="508" t="s">
        <v>51</v>
      </c>
      <c r="H2693" s="493" t="s">
        <v>1238</v>
      </c>
      <c r="I2693" s="460" t="s">
        <v>5989</v>
      </c>
      <c r="J2693" s="495" t="s">
        <v>2699</v>
      </c>
      <c r="K2693" s="496" t="s">
        <v>641</v>
      </c>
      <c r="L2693" s="497">
        <v>55.615000000000002</v>
      </c>
      <c r="M2693" s="497">
        <v>1906.3139681515586</v>
      </c>
      <c r="N2693" s="464">
        <v>106019.651338749</v>
      </c>
      <c r="O2693" s="498" t="s">
        <v>2704</v>
      </c>
      <c r="P2693" s="431" t="s">
        <v>6711</v>
      </c>
    </row>
    <row r="2694" spans="1:16" ht="13.5" hidden="1" customHeight="1" outlineLevel="3" x14ac:dyDescent="0.2">
      <c r="A2694" s="233">
        <v>0</v>
      </c>
      <c r="B2694" s="233">
        <v>18</v>
      </c>
      <c r="C2694" s="233">
        <v>8</v>
      </c>
      <c r="D2694" s="234">
        <v>2</v>
      </c>
      <c r="E2694" s="234">
        <v>2</v>
      </c>
      <c r="G2694" s="508" t="s">
        <v>51</v>
      </c>
      <c r="H2694" s="493" t="s">
        <v>1238</v>
      </c>
      <c r="I2694" s="460" t="s">
        <v>5990</v>
      </c>
      <c r="J2694" s="495" t="s">
        <v>2700</v>
      </c>
      <c r="K2694" s="496" t="s">
        <v>641</v>
      </c>
      <c r="L2694" s="497">
        <v>2.5600000000000005</v>
      </c>
      <c r="M2694" s="497">
        <v>2650.4955587130289</v>
      </c>
      <c r="N2694" s="464">
        <v>6785.2686303053597</v>
      </c>
      <c r="O2694" s="498" t="s">
        <v>2704</v>
      </c>
      <c r="P2694" s="431" t="s">
        <v>6711</v>
      </c>
    </row>
    <row r="2695" spans="1:16" ht="12.75" hidden="1" customHeight="1" outlineLevel="2" x14ac:dyDescent="0.2">
      <c r="A2695" s="233">
        <v>0</v>
      </c>
      <c r="B2695" s="233">
        <v>18</v>
      </c>
      <c r="C2695" s="233">
        <v>8</v>
      </c>
      <c r="D2695" s="234">
        <v>3</v>
      </c>
      <c r="E2695" s="234">
        <v>0</v>
      </c>
      <c r="G2695" s="507"/>
      <c r="H2695" s="487" t="s">
        <v>1237</v>
      </c>
      <c r="I2695" s="452" t="s">
        <v>5991</v>
      </c>
      <c r="J2695" s="489" t="s">
        <v>2711</v>
      </c>
      <c r="K2695" s="490"/>
      <c r="L2695" s="491"/>
      <c r="M2695" s="491"/>
      <c r="N2695" s="456"/>
      <c r="O2695" s="492"/>
      <c r="P2695" s="430"/>
    </row>
    <row r="2696" spans="1:16" ht="12.75" hidden="1" customHeight="1" outlineLevel="3" x14ac:dyDescent="0.2">
      <c r="A2696" s="233">
        <v>0</v>
      </c>
      <c r="B2696" s="233">
        <v>18</v>
      </c>
      <c r="C2696" s="233">
        <v>8</v>
      </c>
      <c r="D2696" s="234">
        <v>3</v>
      </c>
      <c r="E2696" s="234">
        <v>1</v>
      </c>
      <c r="G2696" s="508" t="s">
        <v>51</v>
      </c>
      <c r="H2696" s="493" t="s">
        <v>1238</v>
      </c>
      <c r="I2696" s="460" t="s">
        <v>5992</v>
      </c>
      <c r="J2696" s="495" t="s">
        <v>793</v>
      </c>
      <c r="K2696" s="496" t="s">
        <v>641</v>
      </c>
      <c r="L2696" s="497" t="e">
        <v>#REF!</v>
      </c>
      <c r="M2696" s="497">
        <v>2122.5413895570964</v>
      </c>
      <c r="N2696" s="464"/>
      <c r="O2696" s="498" t="s">
        <v>2703</v>
      </c>
      <c r="P2696" s="431" t="s">
        <v>6711</v>
      </c>
    </row>
    <row r="2697" spans="1:16" ht="13.5" hidden="1" customHeight="1" outlineLevel="1" x14ac:dyDescent="0.2">
      <c r="A2697" s="233">
        <v>0</v>
      </c>
      <c r="B2697" s="233">
        <v>18</v>
      </c>
      <c r="C2697" s="233">
        <v>9</v>
      </c>
      <c r="D2697" s="234">
        <v>0</v>
      </c>
      <c r="E2697" s="234">
        <v>1</v>
      </c>
      <c r="G2697" s="506"/>
      <c r="H2697" s="481" t="s">
        <v>38</v>
      </c>
      <c r="I2697" s="445" t="s">
        <v>5993</v>
      </c>
      <c r="J2697" s="483" t="s">
        <v>3045</v>
      </c>
      <c r="K2697" s="484"/>
      <c r="L2697" s="485"/>
      <c r="M2697" s="485"/>
      <c r="N2697" s="449"/>
      <c r="O2697" s="486"/>
      <c r="P2697" s="429"/>
    </row>
    <row r="2698" spans="1:16" ht="13.5" hidden="1" customHeight="1" outlineLevel="2" x14ac:dyDescent="0.2">
      <c r="A2698" s="233">
        <v>0</v>
      </c>
      <c r="B2698" s="233">
        <v>18</v>
      </c>
      <c r="C2698" s="233">
        <v>9</v>
      </c>
      <c r="D2698" s="234">
        <v>1</v>
      </c>
      <c r="E2698" s="234">
        <v>0</v>
      </c>
      <c r="G2698" s="507"/>
      <c r="H2698" s="487" t="s">
        <v>1237</v>
      </c>
      <c r="I2698" s="452" t="s">
        <v>5994</v>
      </c>
      <c r="J2698" s="489" t="s">
        <v>27</v>
      </c>
      <c r="K2698" s="490"/>
      <c r="L2698" s="491"/>
      <c r="M2698" s="491"/>
      <c r="N2698" s="456">
        <v>4080.944</v>
      </c>
      <c r="O2698" s="492">
        <v>0.24364324789682401</v>
      </c>
      <c r="P2698" s="430"/>
    </row>
    <row r="2699" spans="1:16" ht="13.5" hidden="1" customHeight="1" outlineLevel="3" x14ac:dyDescent="0.2">
      <c r="A2699" s="233">
        <v>0</v>
      </c>
      <c r="B2699" s="233">
        <v>18</v>
      </c>
      <c r="C2699" s="233">
        <v>9</v>
      </c>
      <c r="D2699" s="234">
        <v>1</v>
      </c>
      <c r="E2699" s="234">
        <v>1</v>
      </c>
      <c r="G2699" s="508" t="s">
        <v>51</v>
      </c>
      <c r="H2699" s="493" t="s">
        <v>1238</v>
      </c>
      <c r="I2699" s="460" t="s">
        <v>5995</v>
      </c>
      <c r="J2699" s="495" t="s">
        <v>790</v>
      </c>
      <c r="K2699" s="496" t="s">
        <v>787</v>
      </c>
      <c r="L2699" s="497">
        <v>175.59999999999997</v>
      </c>
      <c r="M2699" s="497">
        <v>23.240000000000002</v>
      </c>
      <c r="N2699" s="464">
        <v>4080.944</v>
      </c>
      <c r="O2699" s="498" t="s">
        <v>2704</v>
      </c>
      <c r="P2699" s="431" t="s">
        <v>6711</v>
      </c>
    </row>
    <row r="2700" spans="1:16" ht="13.5" hidden="1" customHeight="1" outlineLevel="2" x14ac:dyDescent="0.2">
      <c r="A2700" s="233">
        <v>0</v>
      </c>
      <c r="B2700" s="233">
        <v>18</v>
      </c>
      <c r="C2700" s="233">
        <v>9</v>
      </c>
      <c r="D2700" s="234">
        <v>2</v>
      </c>
      <c r="E2700" s="234">
        <v>0</v>
      </c>
      <c r="G2700" s="507"/>
      <c r="H2700" s="487" t="s">
        <v>1237</v>
      </c>
      <c r="I2700" s="452" t="s">
        <v>5996</v>
      </c>
      <c r="J2700" s="489" t="s">
        <v>28</v>
      </c>
      <c r="K2700" s="490"/>
      <c r="L2700" s="491"/>
      <c r="M2700" s="491"/>
      <c r="N2700" s="456">
        <v>180422.03830841501</v>
      </c>
      <c r="O2700" s="492"/>
      <c r="P2700" s="430"/>
    </row>
    <row r="2701" spans="1:16" ht="13.5" hidden="1" customHeight="1" outlineLevel="3" x14ac:dyDescent="0.2">
      <c r="A2701" s="233">
        <v>0</v>
      </c>
      <c r="B2701" s="233">
        <v>18</v>
      </c>
      <c r="C2701" s="233">
        <v>9</v>
      </c>
      <c r="D2701" s="234">
        <v>2</v>
      </c>
      <c r="E2701" s="234">
        <v>1</v>
      </c>
      <c r="G2701" s="508" t="s">
        <v>51</v>
      </c>
      <c r="H2701" s="493" t="s">
        <v>1238</v>
      </c>
      <c r="I2701" s="460" t="s">
        <v>5997</v>
      </c>
      <c r="J2701" s="495" t="s">
        <v>2699</v>
      </c>
      <c r="K2701" s="496" t="s">
        <v>641</v>
      </c>
      <c r="L2701" s="497">
        <v>16.41</v>
      </c>
      <c r="M2701" s="497">
        <v>1906.3139681515586</v>
      </c>
      <c r="N2701" s="464">
        <v>31282.612217367099</v>
      </c>
      <c r="O2701" s="498" t="s">
        <v>2704</v>
      </c>
      <c r="P2701" s="431" t="s">
        <v>6711</v>
      </c>
    </row>
    <row r="2702" spans="1:16" ht="13.5" hidden="1" customHeight="1" outlineLevel="3" x14ac:dyDescent="0.2">
      <c r="A2702" s="233">
        <v>0</v>
      </c>
      <c r="B2702" s="233">
        <v>18</v>
      </c>
      <c r="C2702" s="233">
        <v>9</v>
      </c>
      <c r="D2702" s="234">
        <v>2</v>
      </c>
      <c r="E2702" s="234">
        <v>2</v>
      </c>
      <c r="G2702" s="508" t="s">
        <v>51</v>
      </c>
      <c r="H2702" s="493" t="s">
        <v>1238</v>
      </c>
      <c r="I2702" s="460" t="s">
        <v>5998</v>
      </c>
      <c r="J2702" s="495" t="s">
        <v>2700</v>
      </c>
      <c r="K2702" s="496" t="s">
        <v>641</v>
      </c>
      <c r="L2702" s="497">
        <v>18.45</v>
      </c>
      <c r="M2702" s="497">
        <v>2650.4955587130289</v>
      </c>
      <c r="N2702" s="464">
        <v>48901.643058255402</v>
      </c>
      <c r="O2702" s="498" t="s">
        <v>2704</v>
      </c>
      <c r="P2702" s="431" t="s">
        <v>6711</v>
      </c>
    </row>
    <row r="2703" spans="1:16" ht="13.5" hidden="1" customHeight="1" outlineLevel="3" x14ac:dyDescent="0.2">
      <c r="A2703" s="233">
        <v>0</v>
      </c>
      <c r="B2703" s="233">
        <v>18</v>
      </c>
      <c r="C2703" s="233">
        <v>9</v>
      </c>
      <c r="D2703" s="234">
        <v>2</v>
      </c>
      <c r="E2703" s="234">
        <v>3</v>
      </c>
      <c r="G2703" s="508" t="s">
        <v>51</v>
      </c>
      <c r="H2703" s="493" t="s">
        <v>1238</v>
      </c>
      <c r="I2703" s="460" t="s">
        <v>5999</v>
      </c>
      <c r="J2703" s="495" t="s">
        <v>2701</v>
      </c>
      <c r="K2703" s="496" t="s">
        <v>641</v>
      </c>
      <c r="L2703" s="497">
        <v>34.880000000000003</v>
      </c>
      <c r="M2703" s="497">
        <v>2873.7896511695099</v>
      </c>
      <c r="N2703" s="464">
        <v>100237.783032793</v>
      </c>
      <c r="O2703" s="498" t="s">
        <v>2704</v>
      </c>
      <c r="P2703" s="431" t="s">
        <v>6711</v>
      </c>
    </row>
    <row r="2704" spans="1:16" ht="12.75" hidden="1" customHeight="1" outlineLevel="2" x14ac:dyDescent="0.2">
      <c r="A2704" s="233">
        <v>0</v>
      </c>
      <c r="B2704" s="233">
        <v>18</v>
      </c>
      <c r="C2704" s="233">
        <v>9</v>
      </c>
      <c r="D2704" s="234">
        <v>3</v>
      </c>
      <c r="E2704" s="234">
        <v>0</v>
      </c>
      <c r="G2704" s="507"/>
      <c r="H2704" s="487" t="s">
        <v>1237</v>
      </c>
      <c r="I2704" s="452" t="s">
        <v>6000</v>
      </c>
      <c r="J2704" s="489" t="s">
        <v>2351</v>
      </c>
      <c r="K2704" s="490"/>
      <c r="L2704" s="491"/>
      <c r="M2704" s="491"/>
      <c r="N2704" s="456"/>
      <c r="O2704" s="492"/>
      <c r="P2704" s="430"/>
    </row>
    <row r="2705" spans="1:16" ht="12.75" hidden="1" customHeight="1" outlineLevel="3" x14ac:dyDescent="0.2">
      <c r="A2705" s="233">
        <v>0</v>
      </c>
      <c r="B2705" s="233">
        <v>18</v>
      </c>
      <c r="C2705" s="233">
        <v>9</v>
      </c>
      <c r="D2705" s="234">
        <v>3</v>
      </c>
      <c r="E2705" s="234">
        <v>1</v>
      </c>
      <c r="G2705" s="508" t="s">
        <v>51</v>
      </c>
      <c r="H2705" s="493" t="s">
        <v>1238</v>
      </c>
      <c r="I2705" s="460" t="s">
        <v>6001</v>
      </c>
      <c r="J2705" s="495" t="s">
        <v>796</v>
      </c>
      <c r="K2705" s="496" t="s">
        <v>641</v>
      </c>
      <c r="L2705" s="497" t="e">
        <v>#REF!</v>
      </c>
      <c r="M2705" s="497">
        <v>1403.9850000000001</v>
      </c>
      <c r="N2705" s="464"/>
      <c r="O2705" s="498" t="s">
        <v>2703</v>
      </c>
      <c r="P2705" s="431" t="s">
        <v>6711</v>
      </c>
    </row>
    <row r="2706" spans="1:16" ht="12.75" hidden="1" customHeight="1" outlineLevel="2" x14ac:dyDescent="0.2">
      <c r="A2706" s="233">
        <v>0</v>
      </c>
      <c r="B2706" s="233">
        <v>18</v>
      </c>
      <c r="C2706" s="233">
        <v>9</v>
      </c>
      <c r="D2706" s="234">
        <v>4</v>
      </c>
      <c r="E2706" s="234">
        <v>0</v>
      </c>
      <c r="G2706" s="507"/>
      <c r="H2706" s="487" t="s">
        <v>1237</v>
      </c>
      <c r="I2706" s="452" t="s">
        <v>6002</v>
      </c>
      <c r="J2706" s="489" t="s">
        <v>2711</v>
      </c>
      <c r="K2706" s="490"/>
      <c r="L2706" s="491"/>
      <c r="M2706" s="491"/>
      <c r="N2706" s="456"/>
      <c r="O2706" s="492"/>
      <c r="P2706" s="430"/>
    </row>
    <row r="2707" spans="1:16" ht="12.75" hidden="1" customHeight="1" outlineLevel="3" x14ac:dyDescent="0.2">
      <c r="A2707" s="233">
        <v>0</v>
      </c>
      <c r="B2707" s="233">
        <v>18</v>
      </c>
      <c r="C2707" s="233">
        <v>9</v>
      </c>
      <c r="D2707" s="234">
        <v>4</v>
      </c>
      <c r="E2707" s="234">
        <v>1</v>
      </c>
      <c r="G2707" s="508" t="s">
        <v>51</v>
      </c>
      <c r="H2707" s="493" t="s">
        <v>1238</v>
      </c>
      <c r="I2707" s="460" t="s">
        <v>6003</v>
      </c>
      <c r="J2707" s="495" t="s">
        <v>793</v>
      </c>
      <c r="K2707" s="496" t="s">
        <v>641</v>
      </c>
      <c r="L2707" s="497" t="e">
        <v>#REF!</v>
      </c>
      <c r="M2707" s="497">
        <v>2122.5413895570964</v>
      </c>
      <c r="N2707" s="464"/>
      <c r="O2707" s="498" t="s">
        <v>2703</v>
      </c>
      <c r="P2707" s="431" t="s">
        <v>6711</v>
      </c>
    </row>
    <row r="2708" spans="1:16" ht="13.5" hidden="1" customHeight="1" outlineLevel="1" x14ac:dyDescent="0.2">
      <c r="A2708" s="233">
        <v>0</v>
      </c>
      <c r="B2708" s="233">
        <v>18</v>
      </c>
      <c r="C2708" s="233">
        <v>10</v>
      </c>
      <c r="D2708" s="234">
        <v>0</v>
      </c>
      <c r="E2708" s="234">
        <v>1</v>
      </c>
      <c r="G2708" s="506"/>
      <c r="H2708" s="481" t="s">
        <v>38</v>
      </c>
      <c r="I2708" s="445" t="s">
        <v>6004</v>
      </c>
      <c r="J2708" s="483" t="s">
        <v>3046</v>
      </c>
      <c r="K2708" s="484"/>
      <c r="L2708" s="485"/>
      <c r="M2708" s="485"/>
      <c r="N2708" s="449"/>
      <c r="O2708" s="486"/>
      <c r="P2708" s="429"/>
    </row>
    <row r="2709" spans="1:16" ht="13.5" hidden="1" customHeight="1" outlineLevel="2" x14ac:dyDescent="0.2">
      <c r="A2709" s="233">
        <v>0</v>
      </c>
      <c r="B2709" s="233">
        <v>18</v>
      </c>
      <c r="C2709" s="233">
        <v>10</v>
      </c>
      <c r="D2709" s="234">
        <v>1</v>
      </c>
      <c r="E2709" s="234">
        <v>0</v>
      </c>
      <c r="G2709" s="507"/>
      <c r="H2709" s="487" t="s">
        <v>1237</v>
      </c>
      <c r="I2709" s="452" t="s">
        <v>6005</v>
      </c>
      <c r="J2709" s="489" t="s">
        <v>27</v>
      </c>
      <c r="K2709" s="490"/>
      <c r="L2709" s="491"/>
      <c r="M2709" s="491"/>
      <c r="N2709" s="456">
        <v>32647.552</v>
      </c>
      <c r="O2709" s="492">
        <v>1.9491459831745901</v>
      </c>
      <c r="P2709" s="430"/>
    </row>
    <row r="2710" spans="1:16" ht="13.5" hidden="1" customHeight="1" outlineLevel="3" x14ac:dyDescent="0.2">
      <c r="A2710" s="233">
        <v>0</v>
      </c>
      <c r="B2710" s="233">
        <v>18</v>
      </c>
      <c r="C2710" s="233">
        <v>10</v>
      </c>
      <c r="D2710" s="234">
        <v>1</v>
      </c>
      <c r="E2710" s="234">
        <v>1</v>
      </c>
      <c r="G2710" s="508" t="s">
        <v>51</v>
      </c>
      <c r="H2710" s="493" t="s">
        <v>1238</v>
      </c>
      <c r="I2710" s="460" t="s">
        <v>6006</v>
      </c>
      <c r="J2710" s="495" t="s">
        <v>790</v>
      </c>
      <c r="K2710" s="496" t="s">
        <v>787</v>
      </c>
      <c r="L2710" s="497">
        <v>1404.7999999999997</v>
      </c>
      <c r="M2710" s="497">
        <v>23.240000000000002</v>
      </c>
      <c r="N2710" s="464">
        <v>32647.552</v>
      </c>
      <c r="O2710" s="498" t="s">
        <v>2704</v>
      </c>
      <c r="P2710" s="431" t="s">
        <v>6711</v>
      </c>
    </row>
    <row r="2711" spans="1:16" ht="13.5" hidden="1" customHeight="1" outlineLevel="2" x14ac:dyDescent="0.2">
      <c r="A2711" s="233">
        <v>0</v>
      </c>
      <c r="B2711" s="233">
        <v>18</v>
      </c>
      <c r="C2711" s="233">
        <v>10</v>
      </c>
      <c r="D2711" s="234">
        <v>2</v>
      </c>
      <c r="E2711" s="234">
        <v>0</v>
      </c>
      <c r="G2711" s="507"/>
      <c r="H2711" s="487" t="s">
        <v>1237</v>
      </c>
      <c r="I2711" s="452" t="s">
        <v>6007</v>
      </c>
      <c r="J2711" s="489" t="s">
        <v>28</v>
      </c>
      <c r="K2711" s="490"/>
      <c r="L2711" s="491"/>
      <c r="M2711" s="491"/>
      <c r="N2711" s="456">
        <v>1443376.3064673201</v>
      </c>
      <c r="O2711" s="492"/>
      <c r="P2711" s="430"/>
    </row>
    <row r="2712" spans="1:16" ht="13.5" hidden="1" customHeight="1" outlineLevel="3" x14ac:dyDescent="0.2">
      <c r="A2712" s="233">
        <v>0</v>
      </c>
      <c r="B2712" s="233">
        <v>18</v>
      </c>
      <c r="C2712" s="233">
        <v>10</v>
      </c>
      <c r="D2712" s="234">
        <v>2</v>
      </c>
      <c r="E2712" s="234">
        <v>1</v>
      </c>
      <c r="G2712" s="508" t="s">
        <v>51</v>
      </c>
      <c r="H2712" s="493" t="s">
        <v>1238</v>
      </c>
      <c r="I2712" s="460" t="s">
        <v>6008</v>
      </c>
      <c r="J2712" s="495" t="s">
        <v>2699</v>
      </c>
      <c r="K2712" s="496" t="s">
        <v>641</v>
      </c>
      <c r="L2712" s="497">
        <v>131.28</v>
      </c>
      <c r="M2712" s="497">
        <v>1906.3139681515586</v>
      </c>
      <c r="N2712" s="464">
        <v>250260.897738937</v>
      </c>
      <c r="O2712" s="498" t="s">
        <v>2704</v>
      </c>
      <c r="P2712" s="431" t="s">
        <v>6711</v>
      </c>
    </row>
    <row r="2713" spans="1:16" ht="13.5" hidden="1" customHeight="1" outlineLevel="3" x14ac:dyDescent="0.2">
      <c r="A2713" s="233">
        <v>0</v>
      </c>
      <c r="B2713" s="233">
        <v>18</v>
      </c>
      <c r="C2713" s="233">
        <v>10</v>
      </c>
      <c r="D2713" s="234">
        <v>2</v>
      </c>
      <c r="E2713" s="234">
        <v>2</v>
      </c>
      <c r="G2713" s="508" t="s">
        <v>51</v>
      </c>
      <c r="H2713" s="493" t="s">
        <v>1238</v>
      </c>
      <c r="I2713" s="460" t="s">
        <v>6009</v>
      </c>
      <c r="J2713" s="495" t="s">
        <v>2700</v>
      </c>
      <c r="K2713" s="496" t="s">
        <v>641</v>
      </c>
      <c r="L2713" s="497">
        <v>147.6</v>
      </c>
      <c r="M2713" s="497">
        <v>2650.4955587130289</v>
      </c>
      <c r="N2713" s="464">
        <v>391213.14446604298</v>
      </c>
      <c r="O2713" s="498" t="s">
        <v>2704</v>
      </c>
      <c r="P2713" s="431" t="s">
        <v>6711</v>
      </c>
    </row>
    <row r="2714" spans="1:16" ht="13.5" hidden="1" customHeight="1" outlineLevel="3" x14ac:dyDescent="0.2">
      <c r="A2714" s="233">
        <v>0</v>
      </c>
      <c r="B2714" s="233">
        <v>18</v>
      </c>
      <c r="C2714" s="233">
        <v>10</v>
      </c>
      <c r="D2714" s="234">
        <v>2</v>
      </c>
      <c r="E2714" s="234">
        <v>3</v>
      </c>
      <c r="G2714" s="508" t="s">
        <v>51</v>
      </c>
      <c r="H2714" s="493" t="s">
        <v>1238</v>
      </c>
      <c r="I2714" s="460" t="s">
        <v>6010</v>
      </c>
      <c r="J2714" s="495" t="s">
        <v>2701</v>
      </c>
      <c r="K2714" s="496" t="s">
        <v>641</v>
      </c>
      <c r="L2714" s="497">
        <v>279.04000000000002</v>
      </c>
      <c r="M2714" s="497">
        <v>2873.7896511695099</v>
      </c>
      <c r="N2714" s="464">
        <v>801902.26426234003</v>
      </c>
      <c r="O2714" s="498" t="s">
        <v>2704</v>
      </c>
      <c r="P2714" s="431" t="s">
        <v>6711</v>
      </c>
    </row>
    <row r="2715" spans="1:16" ht="12.75" hidden="1" customHeight="1" outlineLevel="2" x14ac:dyDescent="0.2">
      <c r="A2715" s="233">
        <v>0</v>
      </c>
      <c r="B2715" s="233">
        <v>18</v>
      </c>
      <c r="C2715" s="233">
        <v>10</v>
      </c>
      <c r="D2715" s="234">
        <v>3</v>
      </c>
      <c r="E2715" s="234">
        <v>0</v>
      </c>
      <c r="G2715" s="507"/>
      <c r="H2715" s="487" t="s">
        <v>1237</v>
      </c>
      <c r="I2715" s="452" t="s">
        <v>6011</v>
      </c>
      <c r="J2715" s="489" t="s">
        <v>2351</v>
      </c>
      <c r="K2715" s="490"/>
      <c r="L2715" s="491"/>
      <c r="M2715" s="491"/>
      <c r="N2715" s="456"/>
      <c r="O2715" s="492"/>
      <c r="P2715" s="430"/>
    </row>
    <row r="2716" spans="1:16" ht="12.75" hidden="1" customHeight="1" outlineLevel="3" x14ac:dyDescent="0.2">
      <c r="A2716" s="233">
        <v>0</v>
      </c>
      <c r="B2716" s="233">
        <v>18</v>
      </c>
      <c r="C2716" s="233">
        <v>10</v>
      </c>
      <c r="D2716" s="234">
        <v>3</v>
      </c>
      <c r="E2716" s="234">
        <v>1</v>
      </c>
      <c r="G2716" s="508" t="s">
        <v>51</v>
      </c>
      <c r="H2716" s="493" t="s">
        <v>1238</v>
      </c>
      <c r="I2716" s="460" t="s">
        <v>6012</v>
      </c>
      <c r="J2716" s="495" t="s">
        <v>796</v>
      </c>
      <c r="K2716" s="496" t="s">
        <v>641</v>
      </c>
      <c r="L2716" s="497" t="e">
        <v>#REF!</v>
      </c>
      <c r="M2716" s="497">
        <v>1403.9850000000001</v>
      </c>
      <c r="N2716" s="464"/>
      <c r="O2716" s="498" t="s">
        <v>2703</v>
      </c>
      <c r="P2716" s="431" t="s">
        <v>6711</v>
      </c>
    </row>
    <row r="2717" spans="1:16" ht="12.75" hidden="1" customHeight="1" outlineLevel="2" x14ac:dyDescent="0.2">
      <c r="A2717" s="233">
        <v>0</v>
      </c>
      <c r="B2717" s="233">
        <v>18</v>
      </c>
      <c r="C2717" s="233">
        <v>10</v>
      </c>
      <c r="D2717" s="234">
        <v>4</v>
      </c>
      <c r="E2717" s="234">
        <v>0</v>
      </c>
      <c r="G2717" s="507"/>
      <c r="H2717" s="487" t="s">
        <v>1237</v>
      </c>
      <c r="I2717" s="452" t="s">
        <v>6013</v>
      </c>
      <c r="J2717" s="489" t="s">
        <v>2711</v>
      </c>
      <c r="K2717" s="490"/>
      <c r="L2717" s="491"/>
      <c r="M2717" s="491"/>
      <c r="N2717" s="456"/>
      <c r="O2717" s="492"/>
      <c r="P2717" s="430"/>
    </row>
    <row r="2718" spans="1:16" ht="12.75" hidden="1" customHeight="1" outlineLevel="3" x14ac:dyDescent="0.2">
      <c r="A2718" s="233">
        <v>0</v>
      </c>
      <c r="B2718" s="233">
        <v>18</v>
      </c>
      <c r="C2718" s="233">
        <v>10</v>
      </c>
      <c r="D2718" s="234">
        <v>4</v>
      </c>
      <c r="E2718" s="234">
        <v>1</v>
      </c>
      <c r="G2718" s="508" t="s">
        <v>51</v>
      </c>
      <c r="H2718" s="493" t="s">
        <v>1238</v>
      </c>
      <c r="I2718" s="460" t="s">
        <v>6014</v>
      </c>
      <c r="J2718" s="495" t="s">
        <v>793</v>
      </c>
      <c r="K2718" s="496" t="s">
        <v>641</v>
      </c>
      <c r="L2718" s="497" t="e">
        <v>#REF!</v>
      </c>
      <c r="M2718" s="497">
        <v>2122.5413895570964</v>
      </c>
      <c r="N2718" s="464"/>
      <c r="O2718" s="498" t="s">
        <v>2703</v>
      </c>
      <c r="P2718" s="431" t="s">
        <v>6711</v>
      </c>
    </row>
    <row r="2719" spans="1:16" ht="13.5" hidden="1" customHeight="1" outlineLevel="1" x14ac:dyDescent="0.2">
      <c r="A2719" s="233">
        <v>0</v>
      </c>
      <c r="B2719" s="233">
        <v>18</v>
      </c>
      <c r="C2719" s="233">
        <v>11</v>
      </c>
      <c r="D2719" s="234">
        <v>0</v>
      </c>
      <c r="E2719" s="234">
        <v>1</v>
      </c>
      <c r="G2719" s="506"/>
      <c r="H2719" s="481" t="s">
        <v>38</v>
      </c>
      <c r="I2719" s="445" t="s">
        <v>6015</v>
      </c>
      <c r="J2719" s="483" t="s">
        <v>3047</v>
      </c>
      <c r="K2719" s="484"/>
      <c r="L2719" s="485"/>
      <c r="M2719" s="485"/>
      <c r="N2719" s="449"/>
      <c r="O2719" s="486"/>
      <c r="P2719" s="429"/>
    </row>
    <row r="2720" spans="1:16" ht="13.5" hidden="1" customHeight="1" outlineLevel="2" x14ac:dyDescent="0.2">
      <c r="A2720" s="233">
        <v>0</v>
      </c>
      <c r="B2720" s="233">
        <v>18</v>
      </c>
      <c r="C2720" s="233">
        <v>11</v>
      </c>
      <c r="D2720" s="234">
        <v>1</v>
      </c>
      <c r="E2720" s="234">
        <v>0</v>
      </c>
      <c r="G2720" s="507"/>
      <c r="H2720" s="487" t="s">
        <v>1237</v>
      </c>
      <c r="I2720" s="452" t="s">
        <v>6016</v>
      </c>
      <c r="J2720" s="489" t="s">
        <v>27</v>
      </c>
      <c r="K2720" s="490"/>
      <c r="L2720" s="491"/>
      <c r="M2720" s="491"/>
      <c r="N2720" s="456">
        <v>58746.072</v>
      </c>
      <c r="O2720" s="492">
        <v>3.50729727809563</v>
      </c>
      <c r="P2720" s="430"/>
    </row>
    <row r="2721" spans="1:16" ht="13.5" hidden="1" customHeight="1" outlineLevel="3" x14ac:dyDescent="0.2">
      <c r="A2721" s="233">
        <v>0</v>
      </c>
      <c r="B2721" s="233">
        <v>18</v>
      </c>
      <c r="C2721" s="233">
        <v>11</v>
      </c>
      <c r="D2721" s="234">
        <v>1</v>
      </c>
      <c r="E2721" s="234">
        <v>1</v>
      </c>
      <c r="G2721" s="508" t="s">
        <v>51</v>
      </c>
      <c r="H2721" s="493" t="s">
        <v>1238</v>
      </c>
      <c r="I2721" s="460" t="s">
        <v>6017</v>
      </c>
      <c r="J2721" s="495" t="s">
        <v>790</v>
      </c>
      <c r="K2721" s="496" t="s">
        <v>787</v>
      </c>
      <c r="L2721" s="497">
        <v>2527.7999999999993</v>
      </c>
      <c r="M2721" s="497">
        <v>23.240000000000002</v>
      </c>
      <c r="N2721" s="464">
        <v>58746.072</v>
      </c>
      <c r="O2721" s="498" t="s">
        <v>2704</v>
      </c>
      <c r="P2721" s="431" t="s">
        <v>6711</v>
      </c>
    </row>
    <row r="2722" spans="1:16" ht="13.5" hidden="1" customHeight="1" outlineLevel="2" x14ac:dyDescent="0.2">
      <c r="A2722" s="233">
        <v>0</v>
      </c>
      <c r="B2722" s="233">
        <v>18</v>
      </c>
      <c r="C2722" s="233">
        <v>11</v>
      </c>
      <c r="D2722" s="234">
        <v>2</v>
      </c>
      <c r="E2722" s="234">
        <v>0</v>
      </c>
      <c r="G2722" s="507"/>
      <c r="H2722" s="487" t="s">
        <v>1237</v>
      </c>
      <c r="I2722" s="452" t="s">
        <v>6018</v>
      </c>
      <c r="J2722" s="489" t="s">
        <v>28</v>
      </c>
      <c r="K2722" s="490"/>
      <c r="L2722" s="491"/>
      <c r="M2722" s="491"/>
      <c r="N2722" s="456">
        <v>2758088.76857745</v>
      </c>
      <c r="O2722" s="492"/>
      <c r="P2722" s="430"/>
    </row>
    <row r="2723" spans="1:16" ht="13.5" hidden="1" customHeight="1" outlineLevel="3" x14ac:dyDescent="0.2">
      <c r="A2723" s="233">
        <v>0</v>
      </c>
      <c r="B2723" s="233">
        <v>18</v>
      </c>
      <c r="C2723" s="233">
        <v>11</v>
      </c>
      <c r="D2723" s="234">
        <v>2</v>
      </c>
      <c r="E2723" s="234">
        <v>1</v>
      </c>
      <c r="G2723" s="508" t="s">
        <v>51</v>
      </c>
      <c r="H2723" s="493" t="s">
        <v>1238</v>
      </c>
      <c r="I2723" s="460" t="s">
        <v>6019</v>
      </c>
      <c r="J2723" s="495" t="s">
        <v>2699</v>
      </c>
      <c r="K2723" s="496" t="s">
        <v>641</v>
      </c>
      <c r="L2723" s="497">
        <v>217.8</v>
      </c>
      <c r="M2723" s="497">
        <v>1906.3139681515586</v>
      </c>
      <c r="N2723" s="464">
        <v>415195.18226340902</v>
      </c>
      <c r="O2723" s="498" t="s">
        <v>2704</v>
      </c>
      <c r="P2723" s="431" t="s">
        <v>6711</v>
      </c>
    </row>
    <row r="2724" spans="1:16" ht="13.5" hidden="1" customHeight="1" outlineLevel="3" x14ac:dyDescent="0.2">
      <c r="A2724" s="233">
        <v>0</v>
      </c>
      <c r="B2724" s="233">
        <v>18</v>
      </c>
      <c r="C2724" s="233">
        <v>11</v>
      </c>
      <c r="D2724" s="234">
        <v>2</v>
      </c>
      <c r="E2724" s="234">
        <v>2</v>
      </c>
      <c r="G2724" s="508" t="s">
        <v>51</v>
      </c>
      <c r="H2724" s="493" t="s">
        <v>1238</v>
      </c>
      <c r="I2724" s="460" t="s">
        <v>6020</v>
      </c>
      <c r="J2724" s="495" t="s">
        <v>2700</v>
      </c>
      <c r="K2724" s="496" t="s">
        <v>641</v>
      </c>
      <c r="L2724" s="497">
        <v>356.78500000000003</v>
      </c>
      <c r="M2724" s="497">
        <v>2650.4955587130289</v>
      </c>
      <c r="N2724" s="464">
        <v>945657.05791542795</v>
      </c>
      <c r="O2724" s="498" t="s">
        <v>2704</v>
      </c>
      <c r="P2724" s="431" t="s">
        <v>6711</v>
      </c>
    </row>
    <row r="2725" spans="1:16" ht="13.5" hidden="1" customHeight="1" outlineLevel="3" x14ac:dyDescent="0.2">
      <c r="A2725" s="233">
        <v>0</v>
      </c>
      <c r="B2725" s="233">
        <v>18</v>
      </c>
      <c r="C2725" s="233">
        <v>11</v>
      </c>
      <c r="D2725" s="234">
        <v>2</v>
      </c>
      <c r="E2725" s="234">
        <v>3</v>
      </c>
      <c r="G2725" s="508" t="s">
        <v>51</v>
      </c>
      <c r="H2725" s="493" t="s">
        <v>1238</v>
      </c>
      <c r="I2725" s="460" t="s">
        <v>6021</v>
      </c>
      <c r="J2725" s="495" t="s">
        <v>2701</v>
      </c>
      <c r="K2725" s="496" t="s">
        <v>641</v>
      </c>
      <c r="L2725" s="497">
        <v>486.20000000000005</v>
      </c>
      <c r="M2725" s="497">
        <v>2873.7896511695099</v>
      </c>
      <c r="N2725" s="464">
        <v>1397236.52839862</v>
      </c>
      <c r="O2725" s="498" t="s">
        <v>2704</v>
      </c>
      <c r="P2725" s="431" t="s">
        <v>6711</v>
      </c>
    </row>
    <row r="2726" spans="1:16" ht="12.75" hidden="1" customHeight="1" outlineLevel="2" x14ac:dyDescent="0.2">
      <c r="A2726" s="233">
        <v>0</v>
      </c>
      <c r="B2726" s="233">
        <v>18</v>
      </c>
      <c r="C2726" s="233">
        <v>11</v>
      </c>
      <c r="D2726" s="234">
        <v>3</v>
      </c>
      <c r="E2726" s="234">
        <v>0</v>
      </c>
      <c r="G2726" s="507"/>
      <c r="H2726" s="487" t="s">
        <v>1237</v>
      </c>
      <c r="I2726" s="452" t="s">
        <v>6022</v>
      </c>
      <c r="J2726" s="489" t="s">
        <v>2351</v>
      </c>
      <c r="K2726" s="490"/>
      <c r="L2726" s="491"/>
      <c r="M2726" s="491"/>
      <c r="N2726" s="456"/>
      <c r="O2726" s="492"/>
      <c r="P2726" s="430"/>
    </row>
    <row r="2727" spans="1:16" ht="12.75" hidden="1" customHeight="1" outlineLevel="3" x14ac:dyDescent="0.2">
      <c r="A2727" s="233">
        <v>0</v>
      </c>
      <c r="B2727" s="233">
        <v>18</v>
      </c>
      <c r="C2727" s="233">
        <v>11</v>
      </c>
      <c r="D2727" s="234">
        <v>3</v>
      </c>
      <c r="E2727" s="234">
        <v>1</v>
      </c>
      <c r="G2727" s="508" t="s">
        <v>51</v>
      </c>
      <c r="H2727" s="493" t="s">
        <v>1238</v>
      </c>
      <c r="I2727" s="460" t="s">
        <v>6023</v>
      </c>
      <c r="J2727" s="495" t="s">
        <v>796</v>
      </c>
      <c r="K2727" s="496" t="s">
        <v>641</v>
      </c>
      <c r="L2727" s="497" t="e">
        <v>#REF!</v>
      </c>
      <c r="M2727" s="497">
        <v>1403.9850000000001</v>
      </c>
      <c r="N2727" s="464"/>
      <c r="O2727" s="498" t="s">
        <v>2703</v>
      </c>
      <c r="P2727" s="431" t="s">
        <v>6711</v>
      </c>
    </row>
    <row r="2728" spans="1:16" ht="12.75" hidden="1" customHeight="1" outlineLevel="2" x14ac:dyDescent="0.2">
      <c r="A2728" s="233">
        <v>0</v>
      </c>
      <c r="B2728" s="233">
        <v>18</v>
      </c>
      <c r="C2728" s="233">
        <v>11</v>
      </c>
      <c r="D2728" s="234">
        <v>4</v>
      </c>
      <c r="E2728" s="234">
        <v>0</v>
      </c>
      <c r="G2728" s="507"/>
      <c r="H2728" s="487" t="s">
        <v>1237</v>
      </c>
      <c r="I2728" s="452" t="s">
        <v>6024</v>
      </c>
      <c r="J2728" s="489" t="s">
        <v>2711</v>
      </c>
      <c r="K2728" s="490"/>
      <c r="L2728" s="491"/>
      <c r="M2728" s="491"/>
      <c r="N2728" s="456"/>
      <c r="O2728" s="492"/>
      <c r="P2728" s="430"/>
    </row>
    <row r="2729" spans="1:16" ht="12.75" hidden="1" customHeight="1" outlineLevel="3" x14ac:dyDescent="0.2">
      <c r="A2729" s="233">
        <v>0</v>
      </c>
      <c r="B2729" s="233">
        <v>18</v>
      </c>
      <c r="C2729" s="233">
        <v>11</v>
      </c>
      <c r="D2729" s="234">
        <v>4</v>
      </c>
      <c r="E2729" s="234">
        <v>1</v>
      </c>
      <c r="G2729" s="508" t="s">
        <v>51</v>
      </c>
      <c r="H2729" s="493" t="s">
        <v>1238</v>
      </c>
      <c r="I2729" s="460" t="s">
        <v>6025</v>
      </c>
      <c r="J2729" s="495" t="s">
        <v>793</v>
      </c>
      <c r="K2729" s="496" t="s">
        <v>641</v>
      </c>
      <c r="L2729" s="497" t="e">
        <v>#REF!</v>
      </c>
      <c r="M2729" s="497">
        <v>2122.5413895570964</v>
      </c>
      <c r="N2729" s="464"/>
      <c r="O2729" s="498" t="s">
        <v>2703</v>
      </c>
      <c r="P2729" s="431" t="s">
        <v>6711</v>
      </c>
    </row>
    <row r="2730" spans="1:16" ht="13.5" hidden="1" customHeight="1" outlineLevel="1" x14ac:dyDescent="0.2">
      <c r="A2730" s="233">
        <v>0</v>
      </c>
      <c r="B2730" s="233">
        <v>18</v>
      </c>
      <c r="C2730" s="233">
        <v>12</v>
      </c>
      <c r="D2730" s="234">
        <v>0</v>
      </c>
      <c r="E2730" s="234">
        <v>1</v>
      </c>
      <c r="G2730" s="506"/>
      <c r="H2730" s="481" t="s">
        <v>38</v>
      </c>
      <c r="I2730" s="445" t="s">
        <v>6026</v>
      </c>
      <c r="J2730" s="483" t="s">
        <v>3048</v>
      </c>
      <c r="K2730" s="484"/>
      <c r="L2730" s="485"/>
      <c r="M2730" s="485"/>
      <c r="N2730" s="449"/>
      <c r="O2730" s="486"/>
      <c r="P2730" s="429"/>
    </row>
    <row r="2731" spans="1:16" ht="13.5" hidden="1" customHeight="1" outlineLevel="2" x14ac:dyDescent="0.2">
      <c r="A2731" s="233">
        <v>0</v>
      </c>
      <c r="B2731" s="233">
        <v>18</v>
      </c>
      <c r="C2731" s="233">
        <v>12</v>
      </c>
      <c r="D2731" s="234">
        <v>1</v>
      </c>
      <c r="E2731" s="234">
        <v>0</v>
      </c>
      <c r="G2731" s="507"/>
      <c r="H2731" s="487" t="s">
        <v>1237</v>
      </c>
      <c r="I2731" s="452" t="s">
        <v>6027</v>
      </c>
      <c r="J2731" s="489" t="s">
        <v>27</v>
      </c>
      <c r="K2731" s="490"/>
      <c r="L2731" s="491"/>
      <c r="M2731" s="491"/>
      <c r="N2731" s="456">
        <v>3160.64</v>
      </c>
      <c r="O2731" s="492">
        <v>0.18869864301804201</v>
      </c>
      <c r="P2731" s="430"/>
    </row>
    <row r="2732" spans="1:16" ht="13.5" hidden="1" customHeight="1" outlineLevel="3" x14ac:dyDescent="0.2">
      <c r="A2732" s="233">
        <v>0</v>
      </c>
      <c r="B2732" s="233">
        <v>18</v>
      </c>
      <c r="C2732" s="233">
        <v>12</v>
      </c>
      <c r="D2732" s="234">
        <v>1</v>
      </c>
      <c r="E2732" s="234">
        <v>1</v>
      </c>
      <c r="G2732" s="508" t="s">
        <v>51</v>
      </c>
      <c r="H2732" s="493" t="s">
        <v>1238</v>
      </c>
      <c r="I2732" s="460" t="s">
        <v>6028</v>
      </c>
      <c r="J2732" s="495" t="s">
        <v>790</v>
      </c>
      <c r="K2732" s="496" t="s">
        <v>787</v>
      </c>
      <c r="L2732" s="497">
        <v>136</v>
      </c>
      <c r="M2732" s="497">
        <v>23.240000000000002</v>
      </c>
      <c r="N2732" s="464">
        <v>3160.64</v>
      </c>
      <c r="O2732" s="498" t="s">
        <v>2704</v>
      </c>
      <c r="P2732" s="431" t="s">
        <v>6711</v>
      </c>
    </row>
    <row r="2733" spans="1:16" ht="13.5" hidden="1" customHeight="1" outlineLevel="2" x14ac:dyDescent="0.2">
      <c r="A2733" s="233">
        <v>0</v>
      </c>
      <c r="B2733" s="233">
        <v>18</v>
      </c>
      <c r="C2733" s="233">
        <v>12</v>
      </c>
      <c r="D2733" s="234">
        <v>2</v>
      </c>
      <c r="E2733" s="234">
        <v>0</v>
      </c>
      <c r="G2733" s="507"/>
      <c r="H2733" s="487" t="s">
        <v>1237</v>
      </c>
      <c r="I2733" s="452" t="s">
        <v>6029</v>
      </c>
      <c r="J2733" s="489" t="s">
        <v>28</v>
      </c>
      <c r="K2733" s="490"/>
      <c r="L2733" s="491"/>
      <c r="M2733" s="491"/>
      <c r="N2733" s="456">
        <v>142210.563665903</v>
      </c>
      <c r="O2733" s="492"/>
      <c r="P2733" s="430"/>
    </row>
    <row r="2734" spans="1:16" ht="13.5" hidden="1" customHeight="1" outlineLevel="3" x14ac:dyDescent="0.2">
      <c r="A2734" s="233">
        <v>0</v>
      </c>
      <c r="B2734" s="233">
        <v>18</v>
      </c>
      <c r="C2734" s="233">
        <v>12</v>
      </c>
      <c r="D2734" s="234">
        <v>2</v>
      </c>
      <c r="E2734" s="234">
        <v>1</v>
      </c>
      <c r="G2734" s="508" t="s">
        <v>51</v>
      </c>
      <c r="H2734" s="493" t="s">
        <v>1238</v>
      </c>
      <c r="I2734" s="460" t="s">
        <v>6030</v>
      </c>
      <c r="J2734" s="495" t="s">
        <v>2699</v>
      </c>
      <c r="K2734" s="496" t="s">
        <v>641</v>
      </c>
      <c r="L2734" s="497">
        <v>9.9</v>
      </c>
      <c r="M2734" s="497">
        <v>1906.3139681515586</v>
      </c>
      <c r="N2734" s="464">
        <v>18872.508284700401</v>
      </c>
      <c r="O2734" s="498" t="s">
        <v>2704</v>
      </c>
      <c r="P2734" s="431" t="s">
        <v>6711</v>
      </c>
    </row>
    <row r="2735" spans="1:16" ht="13.5" hidden="1" customHeight="1" outlineLevel="3" x14ac:dyDescent="0.2">
      <c r="A2735" s="233">
        <v>0</v>
      </c>
      <c r="B2735" s="233">
        <v>18</v>
      </c>
      <c r="C2735" s="233">
        <v>12</v>
      </c>
      <c r="D2735" s="234">
        <v>2</v>
      </c>
      <c r="E2735" s="234">
        <v>2</v>
      </c>
      <c r="G2735" s="508" t="s">
        <v>51</v>
      </c>
      <c r="H2735" s="493" t="s">
        <v>1238</v>
      </c>
      <c r="I2735" s="460" t="s">
        <v>6031</v>
      </c>
      <c r="J2735" s="495" t="s">
        <v>2700</v>
      </c>
      <c r="K2735" s="496" t="s">
        <v>641</v>
      </c>
      <c r="L2735" s="497">
        <v>14.115</v>
      </c>
      <c r="M2735" s="497">
        <v>2650.4955587130289</v>
      </c>
      <c r="N2735" s="464">
        <v>37411.744811234399</v>
      </c>
      <c r="O2735" s="498" t="s">
        <v>2704</v>
      </c>
      <c r="P2735" s="431" t="s">
        <v>6711</v>
      </c>
    </row>
    <row r="2736" spans="1:16" ht="13.5" hidden="1" customHeight="1" outlineLevel="3" x14ac:dyDescent="0.2">
      <c r="A2736" s="233">
        <v>0</v>
      </c>
      <c r="B2736" s="233">
        <v>18</v>
      </c>
      <c r="C2736" s="233">
        <v>12</v>
      </c>
      <c r="D2736" s="234">
        <v>2</v>
      </c>
      <c r="E2736" s="234">
        <v>3</v>
      </c>
      <c r="G2736" s="508" t="s">
        <v>51</v>
      </c>
      <c r="H2736" s="493" t="s">
        <v>1238</v>
      </c>
      <c r="I2736" s="460" t="s">
        <v>6032</v>
      </c>
      <c r="J2736" s="495" t="s">
        <v>2701</v>
      </c>
      <c r="K2736" s="496" t="s">
        <v>641</v>
      </c>
      <c r="L2736" s="497">
        <v>29.900000000000006</v>
      </c>
      <c r="M2736" s="497">
        <v>2873.7896511695099</v>
      </c>
      <c r="N2736" s="464">
        <v>85926.310569968395</v>
      </c>
      <c r="O2736" s="498" t="s">
        <v>2704</v>
      </c>
      <c r="P2736" s="431" t="s">
        <v>6711</v>
      </c>
    </row>
    <row r="2737" spans="1:16" ht="12.75" hidden="1" customHeight="1" outlineLevel="2" x14ac:dyDescent="0.2">
      <c r="A2737" s="233">
        <v>0</v>
      </c>
      <c r="B2737" s="233">
        <v>18</v>
      </c>
      <c r="C2737" s="233">
        <v>12</v>
      </c>
      <c r="D2737" s="234">
        <v>3</v>
      </c>
      <c r="E2737" s="234">
        <v>0</v>
      </c>
      <c r="G2737" s="507"/>
      <c r="H2737" s="487" t="s">
        <v>1237</v>
      </c>
      <c r="I2737" s="452" t="s">
        <v>6033</v>
      </c>
      <c r="J2737" s="489" t="s">
        <v>2351</v>
      </c>
      <c r="K2737" s="490"/>
      <c r="L2737" s="491"/>
      <c r="M2737" s="491"/>
      <c r="N2737" s="456"/>
      <c r="O2737" s="492"/>
      <c r="P2737" s="430"/>
    </row>
    <row r="2738" spans="1:16" ht="12.75" hidden="1" customHeight="1" outlineLevel="3" x14ac:dyDescent="0.2">
      <c r="A2738" s="233">
        <v>0</v>
      </c>
      <c r="B2738" s="233">
        <v>18</v>
      </c>
      <c r="C2738" s="233">
        <v>12</v>
      </c>
      <c r="D2738" s="234">
        <v>3</v>
      </c>
      <c r="E2738" s="234">
        <v>1</v>
      </c>
      <c r="G2738" s="508" t="s">
        <v>51</v>
      </c>
      <c r="H2738" s="493" t="s">
        <v>1238</v>
      </c>
      <c r="I2738" s="460" t="s">
        <v>6034</v>
      </c>
      <c r="J2738" s="495" t="s">
        <v>796</v>
      </c>
      <c r="K2738" s="496" t="s">
        <v>641</v>
      </c>
      <c r="L2738" s="497" t="e">
        <v>#REF!</v>
      </c>
      <c r="M2738" s="497">
        <v>1403.9850000000001</v>
      </c>
      <c r="N2738" s="464"/>
      <c r="O2738" s="498" t="s">
        <v>2703</v>
      </c>
      <c r="P2738" s="431" t="s">
        <v>6711</v>
      </c>
    </row>
    <row r="2739" spans="1:16" ht="12.75" hidden="1" customHeight="1" outlineLevel="2" x14ac:dyDescent="0.2">
      <c r="A2739" s="233">
        <v>0</v>
      </c>
      <c r="B2739" s="233">
        <v>18</v>
      </c>
      <c r="C2739" s="233">
        <v>12</v>
      </c>
      <c r="D2739" s="234">
        <v>4</v>
      </c>
      <c r="E2739" s="234">
        <v>0</v>
      </c>
      <c r="G2739" s="507"/>
      <c r="H2739" s="487" t="s">
        <v>1237</v>
      </c>
      <c r="I2739" s="452" t="s">
        <v>6035</v>
      </c>
      <c r="J2739" s="489" t="s">
        <v>2711</v>
      </c>
      <c r="K2739" s="490"/>
      <c r="L2739" s="491"/>
      <c r="M2739" s="491"/>
      <c r="N2739" s="456"/>
      <c r="O2739" s="492"/>
      <c r="P2739" s="430"/>
    </row>
    <row r="2740" spans="1:16" ht="12.75" hidden="1" customHeight="1" outlineLevel="3" x14ac:dyDescent="0.2">
      <c r="A2740" s="233">
        <v>0</v>
      </c>
      <c r="B2740" s="233">
        <v>18</v>
      </c>
      <c r="C2740" s="233">
        <v>12</v>
      </c>
      <c r="D2740" s="234">
        <v>4</v>
      </c>
      <c r="E2740" s="234">
        <v>1</v>
      </c>
      <c r="G2740" s="508" t="s">
        <v>51</v>
      </c>
      <c r="H2740" s="493" t="s">
        <v>1238</v>
      </c>
      <c r="I2740" s="460" t="s">
        <v>6036</v>
      </c>
      <c r="J2740" s="495" t="s">
        <v>793</v>
      </c>
      <c r="K2740" s="496" t="s">
        <v>641</v>
      </c>
      <c r="L2740" s="497" t="e">
        <v>#REF!</v>
      </c>
      <c r="M2740" s="497">
        <v>2122.5413895570964</v>
      </c>
      <c r="N2740" s="464"/>
      <c r="O2740" s="498" t="s">
        <v>2703</v>
      </c>
      <c r="P2740" s="431" t="s">
        <v>6711</v>
      </c>
    </row>
    <row r="2741" spans="1:16" ht="13.5" hidden="1" customHeight="1" outlineLevel="1" x14ac:dyDescent="0.2">
      <c r="A2741" s="233">
        <v>0</v>
      </c>
      <c r="B2741" s="233">
        <v>18</v>
      </c>
      <c r="C2741" s="233">
        <v>13</v>
      </c>
      <c r="D2741" s="234">
        <v>0</v>
      </c>
      <c r="E2741" s="234">
        <v>1</v>
      </c>
      <c r="G2741" s="506"/>
      <c r="H2741" s="481" t="s">
        <v>38</v>
      </c>
      <c r="I2741" s="445" t="s">
        <v>6037</v>
      </c>
      <c r="J2741" s="483" t="s">
        <v>3049</v>
      </c>
      <c r="K2741" s="484"/>
      <c r="L2741" s="485"/>
      <c r="M2741" s="485"/>
      <c r="N2741" s="449"/>
      <c r="O2741" s="486"/>
      <c r="P2741" s="429"/>
    </row>
    <row r="2742" spans="1:16" ht="13.5" hidden="1" customHeight="1" outlineLevel="2" x14ac:dyDescent="0.2">
      <c r="A2742" s="233">
        <v>0</v>
      </c>
      <c r="B2742" s="233">
        <v>18</v>
      </c>
      <c r="C2742" s="233">
        <v>13</v>
      </c>
      <c r="D2742" s="234">
        <v>1</v>
      </c>
      <c r="E2742" s="234">
        <v>0</v>
      </c>
      <c r="G2742" s="507"/>
      <c r="H2742" s="487" t="s">
        <v>1237</v>
      </c>
      <c r="I2742" s="452" t="s">
        <v>6038</v>
      </c>
      <c r="J2742" s="489" t="s">
        <v>27</v>
      </c>
      <c r="K2742" s="490"/>
      <c r="L2742" s="491"/>
      <c r="M2742" s="491"/>
      <c r="N2742" s="456">
        <v>1861.5239999999999</v>
      </c>
      <c r="O2742" s="492">
        <v>0.11113795077753801</v>
      </c>
      <c r="P2742" s="430"/>
    </row>
    <row r="2743" spans="1:16" ht="13.5" hidden="1" customHeight="1" outlineLevel="3" x14ac:dyDescent="0.2">
      <c r="A2743" s="233">
        <v>0</v>
      </c>
      <c r="B2743" s="233">
        <v>18</v>
      </c>
      <c r="C2743" s="233">
        <v>13</v>
      </c>
      <c r="D2743" s="234">
        <v>1</v>
      </c>
      <c r="E2743" s="234">
        <v>1</v>
      </c>
      <c r="G2743" s="508" t="s">
        <v>51</v>
      </c>
      <c r="H2743" s="493" t="s">
        <v>1238</v>
      </c>
      <c r="I2743" s="460" t="s">
        <v>6039</v>
      </c>
      <c r="J2743" s="495" t="s">
        <v>790</v>
      </c>
      <c r="K2743" s="496" t="s">
        <v>787</v>
      </c>
      <c r="L2743" s="497">
        <v>80.099999999999994</v>
      </c>
      <c r="M2743" s="497">
        <v>23.240000000000002</v>
      </c>
      <c r="N2743" s="464">
        <v>1861.5239999999999</v>
      </c>
      <c r="O2743" s="498" t="s">
        <v>2704</v>
      </c>
      <c r="P2743" s="431" t="s">
        <v>6711</v>
      </c>
    </row>
    <row r="2744" spans="1:16" ht="13.5" hidden="1" customHeight="1" outlineLevel="2" x14ac:dyDescent="0.2">
      <c r="A2744" s="233">
        <v>0</v>
      </c>
      <c r="B2744" s="233">
        <v>18</v>
      </c>
      <c r="C2744" s="233">
        <v>13</v>
      </c>
      <c r="D2744" s="234">
        <v>2</v>
      </c>
      <c r="E2744" s="234">
        <v>0</v>
      </c>
      <c r="G2744" s="507"/>
      <c r="H2744" s="487" t="s">
        <v>1237</v>
      </c>
      <c r="I2744" s="452" t="s">
        <v>6040</v>
      </c>
      <c r="J2744" s="489" t="s">
        <v>28</v>
      </c>
      <c r="K2744" s="490"/>
      <c r="L2744" s="491"/>
      <c r="M2744" s="491"/>
      <c r="N2744" s="456">
        <v>94528.5867973969</v>
      </c>
      <c r="O2744" s="492"/>
      <c r="P2744" s="430"/>
    </row>
    <row r="2745" spans="1:16" ht="13.5" hidden="1" customHeight="1" outlineLevel="3" x14ac:dyDescent="0.2">
      <c r="A2745" s="233">
        <v>0</v>
      </c>
      <c r="B2745" s="233">
        <v>18</v>
      </c>
      <c r="C2745" s="233">
        <v>13</v>
      </c>
      <c r="D2745" s="234">
        <v>2</v>
      </c>
      <c r="E2745" s="234">
        <v>1</v>
      </c>
      <c r="G2745" s="508" t="s">
        <v>51</v>
      </c>
      <c r="H2745" s="493" t="s">
        <v>1238</v>
      </c>
      <c r="I2745" s="460" t="s">
        <v>6041</v>
      </c>
      <c r="J2745" s="495" t="s">
        <v>2699</v>
      </c>
      <c r="K2745" s="496" t="s">
        <v>641</v>
      </c>
      <c r="L2745" s="497">
        <v>11.94</v>
      </c>
      <c r="M2745" s="497">
        <v>1906.3139681515586</v>
      </c>
      <c r="N2745" s="464">
        <v>22761.388779729601</v>
      </c>
      <c r="O2745" s="498" t="s">
        <v>2704</v>
      </c>
      <c r="P2745" s="431" t="s">
        <v>6711</v>
      </c>
    </row>
    <row r="2746" spans="1:16" ht="13.5" hidden="1" customHeight="1" outlineLevel="3" x14ac:dyDescent="0.2">
      <c r="A2746" s="233">
        <v>0</v>
      </c>
      <c r="B2746" s="233">
        <v>18</v>
      </c>
      <c r="C2746" s="233">
        <v>13</v>
      </c>
      <c r="D2746" s="234">
        <v>2</v>
      </c>
      <c r="E2746" s="234">
        <v>2</v>
      </c>
      <c r="G2746" s="508" t="s">
        <v>51</v>
      </c>
      <c r="H2746" s="493" t="s">
        <v>1238</v>
      </c>
      <c r="I2746" s="460" t="s">
        <v>6042</v>
      </c>
      <c r="J2746" s="495" t="s">
        <v>2700</v>
      </c>
      <c r="K2746" s="496" t="s">
        <v>641</v>
      </c>
      <c r="L2746" s="497">
        <v>10.965</v>
      </c>
      <c r="M2746" s="497">
        <v>2650.4955587130289</v>
      </c>
      <c r="N2746" s="464">
        <v>29062.6838012884</v>
      </c>
      <c r="O2746" s="498" t="s">
        <v>2704</v>
      </c>
      <c r="P2746" s="431" t="s">
        <v>6711</v>
      </c>
    </row>
    <row r="2747" spans="1:16" ht="13.5" hidden="1" customHeight="1" outlineLevel="3" x14ac:dyDescent="0.2">
      <c r="A2747" s="233">
        <v>0</v>
      </c>
      <c r="B2747" s="233">
        <v>18</v>
      </c>
      <c r="C2747" s="233">
        <v>13</v>
      </c>
      <c r="D2747" s="234">
        <v>2</v>
      </c>
      <c r="E2747" s="234">
        <v>3</v>
      </c>
      <c r="G2747" s="508" t="s">
        <v>51</v>
      </c>
      <c r="H2747" s="493" t="s">
        <v>1238</v>
      </c>
      <c r="I2747" s="460" t="s">
        <v>6043</v>
      </c>
      <c r="J2747" s="495" t="s">
        <v>2701</v>
      </c>
      <c r="K2747" s="496" t="s">
        <v>641</v>
      </c>
      <c r="L2747" s="497">
        <v>14.86</v>
      </c>
      <c r="M2747" s="497">
        <v>2873.7896511695099</v>
      </c>
      <c r="N2747" s="464">
        <v>42704.514216378899</v>
      </c>
      <c r="O2747" s="498" t="s">
        <v>2704</v>
      </c>
      <c r="P2747" s="431" t="s">
        <v>6711</v>
      </c>
    </row>
    <row r="2748" spans="1:16" ht="12.75" hidden="1" customHeight="1" outlineLevel="2" x14ac:dyDescent="0.2">
      <c r="A2748" s="233">
        <v>0</v>
      </c>
      <c r="B2748" s="233">
        <v>18</v>
      </c>
      <c r="C2748" s="233">
        <v>13</v>
      </c>
      <c r="D2748" s="234">
        <v>3</v>
      </c>
      <c r="E2748" s="234">
        <v>0</v>
      </c>
      <c r="G2748" s="507"/>
      <c r="H2748" s="487" t="s">
        <v>1237</v>
      </c>
      <c r="I2748" s="452" t="s">
        <v>6044</v>
      </c>
      <c r="J2748" s="489" t="s">
        <v>2351</v>
      </c>
      <c r="K2748" s="490"/>
      <c r="L2748" s="491"/>
      <c r="M2748" s="491"/>
      <c r="N2748" s="456"/>
      <c r="O2748" s="492"/>
      <c r="P2748" s="430"/>
    </row>
    <row r="2749" spans="1:16" ht="12.75" hidden="1" customHeight="1" outlineLevel="3" x14ac:dyDescent="0.2">
      <c r="A2749" s="233">
        <v>0</v>
      </c>
      <c r="B2749" s="233">
        <v>18</v>
      </c>
      <c r="C2749" s="233">
        <v>13</v>
      </c>
      <c r="D2749" s="234">
        <v>3</v>
      </c>
      <c r="E2749" s="234">
        <v>1</v>
      </c>
      <c r="G2749" s="508" t="s">
        <v>51</v>
      </c>
      <c r="H2749" s="493" t="s">
        <v>1238</v>
      </c>
      <c r="I2749" s="460" t="s">
        <v>6045</v>
      </c>
      <c r="J2749" s="495" t="s">
        <v>796</v>
      </c>
      <c r="K2749" s="496" t="s">
        <v>641</v>
      </c>
      <c r="L2749" s="497" t="e">
        <v>#REF!</v>
      </c>
      <c r="M2749" s="497">
        <v>1403.9850000000001</v>
      </c>
      <c r="N2749" s="464"/>
      <c r="O2749" s="498" t="s">
        <v>2703</v>
      </c>
      <c r="P2749" s="431" t="s">
        <v>6711</v>
      </c>
    </row>
    <row r="2750" spans="1:16" ht="12.75" hidden="1" customHeight="1" outlineLevel="2" x14ac:dyDescent="0.2">
      <c r="A2750" s="233">
        <v>0</v>
      </c>
      <c r="B2750" s="233">
        <v>18</v>
      </c>
      <c r="C2750" s="233">
        <v>13</v>
      </c>
      <c r="D2750" s="234">
        <v>4</v>
      </c>
      <c r="E2750" s="234">
        <v>0</v>
      </c>
      <c r="G2750" s="507"/>
      <c r="H2750" s="487" t="s">
        <v>1237</v>
      </c>
      <c r="I2750" s="452" t="s">
        <v>6046</v>
      </c>
      <c r="J2750" s="489" t="s">
        <v>2711</v>
      </c>
      <c r="K2750" s="490"/>
      <c r="L2750" s="491"/>
      <c r="M2750" s="491"/>
      <c r="N2750" s="456"/>
      <c r="O2750" s="492"/>
      <c r="P2750" s="430"/>
    </row>
    <row r="2751" spans="1:16" ht="12.75" hidden="1" customHeight="1" outlineLevel="3" x14ac:dyDescent="0.2">
      <c r="A2751" s="233">
        <v>0</v>
      </c>
      <c r="B2751" s="233">
        <v>18</v>
      </c>
      <c r="C2751" s="233">
        <v>13</v>
      </c>
      <c r="D2751" s="234">
        <v>4</v>
      </c>
      <c r="E2751" s="234">
        <v>1</v>
      </c>
      <c r="G2751" s="508" t="s">
        <v>51</v>
      </c>
      <c r="H2751" s="493" t="s">
        <v>1238</v>
      </c>
      <c r="I2751" s="460" t="s">
        <v>6047</v>
      </c>
      <c r="J2751" s="495" t="s">
        <v>793</v>
      </c>
      <c r="K2751" s="496" t="s">
        <v>641</v>
      </c>
      <c r="L2751" s="497" t="e">
        <v>#REF!</v>
      </c>
      <c r="M2751" s="497">
        <v>2122.5413895570964</v>
      </c>
      <c r="N2751" s="464"/>
      <c r="O2751" s="498" t="s">
        <v>2703</v>
      </c>
      <c r="P2751" s="431" t="s">
        <v>6711</v>
      </c>
    </row>
    <row r="2752" spans="1:16" ht="13.5" hidden="1" customHeight="1" outlineLevel="1" x14ac:dyDescent="0.2">
      <c r="A2752" s="233">
        <v>0</v>
      </c>
      <c r="B2752" s="233">
        <v>18</v>
      </c>
      <c r="C2752" s="233">
        <v>14</v>
      </c>
      <c r="D2752" s="234">
        <v>0</v>
      </c>
      <c r="E2752" s="234">
        <v>1</v>
      </c>
      <c r="G2752" s="506"/>
      <c r="H2752" s="481" t="s">
        <v>38</v>
      </c>
      <c r="I2752" s="445" t="s">
        <v>6048</v>
      </c>
      <c r="J2752" s="483" t="s">
        <v>3050</v>
      </c>
      <c r="K2752" s="484"/>
      <c r="L2752" s="485"/>
      <c r="M2752" s="485"/>
      <c r="N2752" s="449">
        <v>51022.711000224299</v>
      </c>
      <c r="O2752" s="486">
        <v>3.0461920145426302</v>
      </c>
      <c r="P2752" s="429"/>
    </row>
    <row r="2753" spans="1:16" ht="13.5" hidden="1" customHeight="1" outlineLevel="2" x14ac:dyDescent="0.2">
      <c r="A2753" s="233">
        <v>0</v>
      </c>
      <c r="B2753" s="233">
        <v>18</v>
      </c>
      <c r="C2753" s="233">
        <v>14</v>
      </c>
      <c r="D2753" s="234">
        <v>1</v>
      </c>
      <c r="E2753" s="234">
        <v>0</v>
      </c>
      <c r="G2753" s="507"/>
      <c r="H2753" s="487" t="s">
        <v>1237</v>
      </c>
      <c r="I2753" s="452" t="s">
        <v>6049</v>
      </c>
      <c r="J2753" s="489" t="s">
        <v>27</v>
      </c>
      <c r="K2753" s="490"/>
      <c r="L2753" s="491"/>
      <c r="M2753" s="491"/>
      <c r="N2753" s="456">
        <v>1519.896</v>
      </c>
      <c r="O2753" s="492">
        <v>9.0741847451322896E-2</v>
      </c>
      <c r="P2753" s="430"/>
    </row>
    <row r="2754" spans="1:16" ht="13.5" hidden="1" customHeight="1" outlineLevel="3" x14ac:dyDescent="0.2">
      <c r="A2754" s="233">
        <v>0</v>
      </c>
      <c r="B2754" s="233">
        <v>18</v>
      </c>
      <c r="C2754" s="233">
        <v>14</v>
      </c>
      <c r="D2754" s="234">
        <v>1</v>
      </c>
      <c r="E2754" s="234">
        <v>1</v>
      </c>
      <c r="G2754" s="508" t="s">
        <v>51</v>
      </c>
      <c r="H2754" s="493" t="s">
        <v>1238</v>
      </c>
      <c r="I2754" s="460" t="s">
        <v>6050</v>
      </c>
      <c r="J2754" s="495" t="s">
        <v>790</v>
      </c>
      <c r="K2754" s="496" t="s">
        <v>787</v>
      </c>
      <c r="L2754" s="497">
        <v>65.400000000000006</v>
      </c>
      <c r="M2754" s="497">
        <v>23.240000000000002</v>
      </c>
      <c r="N2754" s="464">
        <v>1519.896</v>
      </c>
      <c r="O2754" s="498" t="s">
        <v>2704</v>
      </c>
      <c r="P2754" s="431" t="s">
        <v>6711</v>
      </c>
    </row>
    <row r="2755" spans="1:16" ht="13.5" hidden="1" customHeight="1" outlineLevel="2" x14ac:dyDescent="0.2">
      <c r="A2755" s="233">
        <v>0</v>
      </c>
      <c r="B2755" s="233">
        <v>18</v>
      </c>
      <c r="C2755" s="233">
        <v>14</v>
      </c>
      <c r="D2755" s="234">
        <v>2</v>
      </c>
      <c r="E2755" s="234">
        <v>0</v>
      </c>
      <c r="G2755" s="507"/>
      <c r="H2755" s="487" t="s">
        <v>1237</v>
      </c>
      <c r="I2755" s="452" t="s">
        <v>6051</v>
      </c>
      <c r="J2755" s="489" t="s">
        <v>28</v>
      </c>
      <c r="K2755" s="490"/>
      <c r="L2755" s="491"/>
      <c r="M2755" s="491"/>
      <c r="N2755" s="456">
        <v>49502.815000224298</v>
      </c>
      <c r="O2755" s="492"/>
      <c r="P2755" s="430"/>
    </row>
    <row r="2756" spans="1:16" ht="13.5" hidden="1" customHeight="1" outlineLevel="3" x14ac:dyDescent="0.2">
      <c r="A2756" s="233">
        <v>0</v>
      </c>
      <c r="B2756" s="233">
        <v>18</v>
      </c>
      <c r="C2756" s="233">
        <v>14</v>
      </c>
      <c r="D2756" s="234">
        <v>2</v>
      </c>
      <c r="E2756" s="234">
        <v>1</v>
      </c>
      <c r="G2756" s="508" t="s">
        <v>51</v>
      </c>
      <c r="H2756" s="493" t="s">
        <v>1238</v>
      </c>
      <c r="I2756" s="460" t="s">
        <v>6052</v>
      </c>
      <c r="J2756" s="495" t="s">
        <v>2699</v>
      </c>
      <c r="K2756" s="496" t="s">
        <v>641</v>
      </c>
      <c r="L2756" s="497">
        <v>20.740000000000002</v>
      </c>
      <c r="M2756" s="497">
        <v>1906.3139681515586</v>
      </c>
      <c r="N2756" s="464">
        <v>39536.951699463301</v>
      </c>
      <c r="O2756" s="498" t="s">
        <v>2704</v>
      </c>
      <c r="P2756" s="431" t="s">
        <v>6711</v>
      </c>
    </row>
    <row r="2757" spans="1:16" ht="13.5" hidden="1" customHeight="1" outlineLevel="3" x14ac:dyDescent="0.2">
      <c r="A2757" s="233">
        <v>0</v>
      </c>
      <c r="B2757" s="233">
        <v>18</v>
      </c>
      <c r="C2757" s="233">
        <v>14</v>
      </c>
      <c r="D2757" s="234">
        <v>2</v>
      </c>
      <c r="E2757" s="234">
        <v>2</v>
      </c>
      <c r="G2757" s="508" t="s">
        <v>51</v>
      </c>
      <c r="H2757" s="493" t="s">
        <v>1238</v>
      </c>
      <c r="I2757" s="460" t="s">
        <v>6053</v>
      </c>
      <c r="J2757" s="495" t="s">
        <v>2700</v>
      </c>
      <c r="K2757" s="496" t="s">
        <v>641</v>
      </c>
      <c r="L2757" s="497">
        <v>3.7600000000000007</v>
      </c>
      <c r="M2757" s="497">
        <v>2650.4955587130289</v>
      </c>
      <c r="N2757" s="464">
        <v>9965.8633007609897</v>
      </c>
      <c r="O2757" s="498" t="s">
        <v>2704</v>
      </c>
      <c r="P2757" s="431" t="s">
        <v>6711</v>
      </c>
    </row>
    <row r="2758" spans="1:16" ht="13.5" hidden="1" customHeight="1" outlineLevel="1" x14ac:dyDescent="0.2">
      <c r="A2758" s="233">
        <v>0</v>
      </c>
      <c r="B2758" s="233">
        <v>18</v>
      </c>
      <c r="C2758" s="233">
        <v>15</v>
      </c>
      <c r="D2758" s="234">
        <v>0</v>
      </c>
      <c r="E2758" s="234">
        <v>2</v>
      </c>
      <c r="G2758" s="506"/>
      <c r="H2758" s="481" t="s">
        <v>38</v>
      </c>
      <c r="I2758" s="445" t="s">
        <v>6054</v>
      </c>
      <c r="J2758" s="483" t="s">
        <v>3051</v>
      </c>
      <c r="K2758" s="484"/>
      <c r="L2758" s="485"/>
      <c r="M2758" s="485"/>
      <c r="N2758" s="449">
        <v>23283.38</v>
      </c>
      <c r="O2758" s="486">
        <v>1.39007992396268</v>
      </c>
      <c r="P2758" s="429"/>
    </row>
    <row r="2759" spans="1:16" ht="12.75" hidden="1" customHeight="1" outlineLevel="2" x14ac:dyDescent="0.2">
      <c r="A2759" s="233">
        <v>0</v>
      </c>
      <c r="B2759" s="233">
        <v>18</v>
      </c>
      <c r="C2759" s="233">
        <v>15</v>
      </c>
      <c r="D2759" s="234">
        <v>1</v>
      </c>
      <c r="E2759" s="234">
        <v>0</v>
      </c>
      <c r="G2759" s="507"/>
      <c r="H2759" s="487" t="s">
        <v>1237</v>
      </c>
      <c r="I2759" s="452" t="s">
        <v>6055</v>
      </c>
      <c r="J2759" s="489" t="s">
        <v>2278</v>
      </c>
      <c r="K2759" s="490"/>
      <c r="L2759" s="491"/>
      <c r="M2759" s="491"/>
      <c r="N2759" s="456">
        <v>20883.38</v>
      </c>
      <c r="O2759" s="492"/>
      <c r="P2759" s="430"/>
    </row>
    <row r="2760" spans="1:16" ht="12.75" hidden="1" customHeight="1" outlineLevel="3" x14ac:dyDescent="0.2">
      <c r="A2760" s="233">
        <v>0</v>
      </c>
      <c r="B2760" s="233">
        <v>18</v>
      </c>
      <c r="C2760" s="233">
        <v>15</v>
      </c>
      <c r="D2760" s="234">
        <v>1</v>
      </c>
      <c r="E2760" s="234">
        <v>1</v>
      </c>
      <c r="G2760" s="508" t="s">
        <v>51</v>
      </c>
      <c r="H2760" s="493" t="s">
        <v>1238</v>
      </c>
      <c r="I2760" s="460" t="s">
        <v>6056</v>
      </c>
      <c r="J2760" s="495" t="s">
        <v>816</v>
      </c>
      <c r="K2760" s="496" t="s">
        <v>533</v>
      </c>
      <c r="L2760" s="497">
        <v>1</v>
      </c>
      <c r="M2760" s="497">
        <v>2306.36</v>
      </c>
      <c r="N2760" s="464">
        <v>2306.36</v>
      </c>
      <c r="O2760" s="498" t="s">
        <v>2704</v>
      </c>
      <c r="P2760" s="431" t="s">
        <v>6711</v>
      </c>
    </row>
    <row r="2761" spans="1:16" ht="13.5" hidden="1" customHeight="1" outlineLevel="3" x14ac:dyDescent="0.2">
      <c r="A2761" s="233">
        <v>0</v>
      </c>
      <c r="B2761" s="233">
        <v>18</v>
      </c>
      <c r="C2761" s="233">
        <v>15</v>
      </c>
      <c r="D2761" s="234">
        <v>1</v>
      </c>
      <c r="E2761" s="234">
        <v>2</v>
      </c>
      <c r="G2761" s="508" t="s">
        <v>51</v>
      </c>
      <c r="H2761" s="493" t="s">
        <v>1238</v>
      </c>
      <c r="I2761" s="460" t="s">
        <v>6057</v>
      </c>
      <c r="J2761" s="495" t="s">
        <v>818</v>
      </c>
      <c r="K2761" s="496" t="s">
        <v>533</v>
      </c>
      <c r="L2761" s="497">
        <v>7</v>
      </c>
      <c r="M2761" s="497">
        <v>2653.86</v>
      </c>
      <c r="N2761" s="464">
        <v>18577.02</v>
      </c>
      <c r="O2761" s="498" t="s">
        <v>2704</v>
      </c>
      <c r="P2761" s="431" t="s">
        <v>6711</v>
      </c>
    </row>
    <row r="2762" spans="1:16" ht="13.5" hidden="1" customHeight="1" outlineLevel="2" x14ac:dyDescent="0.2">
      <c r="A2762" s="233">
        <v>0</v>
      </c>
      <c r="B2762" s="233">
        <v>18</v>
      </c>
      <c r="C2762" s="233">
        <v>15</v>
      </c>
      <c r="D2762" s="234">
        <v>2</v>
      </c>
      <c r="E2762" s="234">
        <v>0</v>
      </c>
      <c r="G2762" s="507"/>
      <c r="H2762" s="487" t="s">
        <v>1237</v>
      </c>
      <c r="I2762" s="452" t="s">
        <v>6058</v>
      </c>
      <c r="J2762" s="489" t="s">
        <v>14</v>
      </c>
      <c r="K2762" s="490"/>
      <c r="L2762" s="491"/>
      <c r="M2762" s="491"/>
      <c r="N2762" s="456">
        <v>2400</v>
      </c>
      <c r="O2762" s="492"/>
      <c r="P2762" s="430"/>
    </row>
    <row r="2763" spans="1:16" ht="13.5" hidden="1" customHeight="1" outlineLevel="3" x14ac:dyDescent="0.2">
      <c r="A2763" s="233">
        <v>0</v>
      </c>
      <c r="B2763" s="233">
        <v>18</v>
      </c>
      <c r="C2763" s="233">
        <v>15</v>
      </c>
      <c r="D2763" s="234">
        <v>2</v>
      </c>
      <c r="E2763" s="234">
        <v>1</v>
      </c>
      <c r="G2763" s="508" t="s">
        <v>51</v>
      </c>
      <c r="H2763" s="493" t="s">
        <v>1238</v>
      </c>
      <c r="I2763" s="460" t="s">
        <v>6059</v>
      </c>
      <c r="J2763" s="495" t="s">
        <v>845</v>
      </c>
      <c r="K2763" s="496" t="s">
        <v>533</v>
      </c>
      <c r="L2763" s="497">
        <v>8</v>
      </c>
      <c r="M2763" s="497">
        <v>300</v>
      </c>
      <c r="N2763" s="464">
        <v>2400</v>
      </c>
      <c r="O2763" s="498" t="s">
        <v>2704</v>
      </c>
      <c r="P2763" s="431" t="s">
        <v>6711</v>
      </c>
    </row>
    <row r="2764" spans="1:16" ht="13.5" hidden="1" customHeight="1" outlineLevel="1" x14ac:dyDescent="0.2">
      <c r="A2764" s="233">
        <v>0</v>
      </c>
      <c r="B2764" s="233">
        <v>18</v>
      </c>
      <c r="C2764" s="233">
        <v>16</v>
      </c>
      <c r="D2764" s="234">
        <v>0</v>
      </c>
      <c r="E2764" s="234">
        <v>1</v>
      </c>
      <c r="G2764" s="506"/>
      <c r="H2764" s="481" t="s">
        <v>38</v>
      </c>
      <c r="I2764" s="445" t="s">
        <v>6060</v>
      </c>
      <c r="J2764" s="483" t="s">
        <v>3052</v>
      </c>
      <c r="K2764" s="484"/>
      <c r="L2764" s="485"/>
      <c r="M2764" s="485"/>
      <c r="N2764" s="449">
        <v>16680.66</v>
      </c>
      <c r="O2764" s="486">
        <v>0.995879918828251</v>
      </c>
      <c r="P2764" s="429"/>
    </row>
    <row r="2765" spans="1:16" ht="12.75" hidden="1" customHeight="1" outlineLevel="2" x14ac:dyDescent="0.2">
      <c r="A2765" s="233">
        <v>0</v>
      </c>
      <c r="B2765" s="233">
        <v>18</v>
      </c>
      <c r="C2765" s="233">
        <v>16</v>
      </c>
      <c r="D2765" s="234">
        <v>1</v>
      </c>
      <c r="E2765" s="234">
        <v>0</v>
      </c>
      <c r="G2765" s="507"/>
      <c r="H2765" s="487" t="s">
        <v>1237</v>
      </c>
      <c r="I2765" s="452" t="s">
        <v>6061</v>
      </c>
      <c r="J2765" s="489" t="s">
        <v>2278</v>
      </c>
      <c r="K2765" s="490"/>
      <c r="L2765" s="491"/>
      <c r="M2765" s="491"/>
      <c r="N2765" s="456">
        <v>14880.66</v>
      </c>
      <c r="O2765" s="492"/>
      <c r="P2765" s="430"/>
    </row>
    <row r="2766" spans="1:16" ht="12.75" hidden="1" customHeight="1" outlineLevel="3" x14ac:dyDescent="0.2">
      <c r="A2766" s="233">
        <v>0</v>
      </c>
      <c r="B2766" s="233">
        <v>18</v>
      </c>
      <c r="C2766" s="233">
        <v>16</v>
      </c>
      <c r="D2766" s="234">
        <v>1</v>
      </c>
      <c r="E2766" s="234">
        <v>1</v>
      </c>
      <c r="G2766" s="508" t="s">
        <v>51</v>
      </c>
      <c r="H2766" s="493" t="s">
        <v>1238</v>
      </c>
      <c r="I2766" s="460" t="s">
        <v>6062</v>
      </c>
      <c r="J2766" s="495" t="s">
        <v>816</v>
      </c>
      <c r="K2766" s="496" t="s">
        <v>533</v>
      </c>
      <c r="L2766" s="497">
        <v>3</v>
      </c>
      <c r="M2766" s="497">
        <v>2306.36</v>
      </c>
      <c r="N2766" s="464">
        <v>6919.08</v>
      </c>
      <c r="O2766" s="498" t="s">
        <v>2704</v>
      </c>
      <c r="P2766" s="431" t="s">
        <v>6711</v>
      </c>
    </row>
    <row r="2767" spans="1:16" ht="13.5" hidden="1" customHeight="1" outlineLevel="3" x14ac:dyDescent="0.2">
      <c r="A2767" s="233">
        <v>0</v>
      </c>
      <c r="B2767" s="233">
        <v>18</v>
      </c>
      <c r="C2767" s="233">
        <v>16</v>
      </c>
      <c r="D2767" s="234">
        <v>1</v>
      </c>
      <c r="E2767" s="234">
        <v>2</v>
      </c>
      <c r="G2767" s="508" t="s">
        <v>51</v>
      </c>
      <c r="H2767" s="493" t="s">
        <v>1238</v>
      </c>
      <c r="I2767" s="460" t="s">
        <v>6063</v>
      </c>
      <c r="J2767" s="495" t="s">
        <v>818</v>
      </c>
      <c r="K2767" s="496" t="s">
        <v>533</v>
      </c>
      <c r="L2767" s="497">
        <v>3</v>
      </c>
      <c r="M2767" s="497">
        <v>2653.86</v>
      </c>
      <c r="N2767" s="464">
        <v>7961.58</v>
      </c>
      <c r="O2767" s="498" t="s">
        <v>2704</v>
      </c>
      <c r="P2767" s="431" t="s">
        <v>6711</v>
      </c>
    </row>
    <row r="2768" spans="1:16" ht="13.5" hidden="1" customHeight="1" outlineLevel="2" x14ac:dyDescent="0.2">
      <c r="A2768" s="233">
        <v>0</v>
      </c>
      <c r="B2768" s="233">
        <v>18</v>
      </c>
      <c r="C2768" s="233">
        <v>16</v>
      </c>
      <c r="D2768" s="234">
        <v>2</v>
      </c>
      <c r="E2768" s="234">
        <v>0</v>
      </c>
      <c r="G2768" s="507"/>
      <c r="H2768" s="487" t="s">
        <v>1237</v>
      </c>
      <c r="I2768" s="452" t="s">
        <v>6064</v>
      </c>
      <c r="J2768" s="489" t="s">
        <v>14</v>
      </c>
      <c r="K2768" s="490"/>
      <c r="L2768" s="491"/>
      <c r="M2768" s="491"/>
      <c r="N2768" s="456">
        <v>1800</v>
      </c>
      <c r="O2768" s="492"/>
      <c r="P2768" s="430"/>
    </row>
    <row r="2769" spans="1:16" ht="13.5" hidden="1" customHeight="1" outlineLevel="3" x14ac:dyDescent="0.2">
      <c r="A2769" s="233">
        <v>0</v>
      </c>
      <c r="B2769" s="233">
        <v>18</v>
      </c>
      <c r="C2769" s="233">
        <v>16</v>
      </c>
      <c r="D2769" s="234">
        <v>2</v>
      </c>
      <c r="E2769" s="234">
        <v>1</v>
      </c>
      <c r="G2769" s="508" t="s">
        <v>51</v>
      </c>
      <c r="H2769" s="493" t="s">
        <v>1238</v>
      </c>
      <c r="I2769" s="460" t="s">
        <v>6065</v>
      </c>
      <c r="J2769" s="495" t="s">
        <v>845</v>
      </c>
      <c r="K2769" s="496" t="s">
        <v>533</v>
      </c>
      <c r="L2769" s="497">
        <v>6</v>
      </c>
      <c r="M2769" s="497">
        <v>300</v>
      </c>
      <c r="N2769" s="464">
        <v>1800</v>
      </c>
      <c r="O2769" s="498" t="s">
        <v>2704</v>
      </c>
      <c r="P2769" s="431" t="s">
        <v>6711</v>
      </c>
    </row>
    <row r="2770" spans="1:16" ht="13.5" hidden="1" customHeight="1" outlineLevel="1" x14ac:dyDescent="0.2">
      <c r="A2770" s="233">
        <v>0</v>
      </c>
      <c r="B2770" s="233">
        <v>18</v>
      </c>
      <c r="C2770" s="233">
        <v>17</v>
      </c>
      <c r="D2770" s="234">
        <v>0</v>
      </c>
      <c r="E2770" s="234">
        <v>1</v>
      </c>
      <c r="G2770" s="506"/>
      <c r="H2770" s="481" t="s">
        <v>38</v>
      </c>
      <c r="I2770" s="445" t="s">
        <v>6066</v>
      </c>
      <c r="J2770" s="483" t="s">
        <v>3053</v>
      </c>
      <c r="K2770" s="484"/>
      <c r="L2770" s="485"/>
      <c r="M2770" s="485"/>
      <c r="N2770" s="449">
        <v>20329.52</v>
      </c>
      <c r="O2770" s="486">
        <v>1.21372659879269</v>
      </c>
      <c r="P2770" s="429"/>
    </row>
    <row r="2771" spans="1:16" ht="12.75" hidden="1" customHeight="1" outlineLevel="2" x14ac:dyDescent="0.2">
      <c r="A2771" s="233">
        <v>0</v>
      </c>
      <c r="B2771" s="233">
        <v>18</v>
      </c>
      <c r="C2771" s="233">
        <v>17</v>
      </c>
      <c r="D2771" s="234">
        <v>1</v>
      </c>
      <c r="E2771" s="234">
        <v>0</v>
      </c>
      <c r="G2771" s="507"/>
      <c r="H2771" s="487" t="s">
        <v>1237</v>
      </c>
      <c r="I2771" s="452" t="s">
        <v>6067</v>
      </c>
      <c r="J2771" s="489" t="s">
        <v>2278</v>
      </c>
      <c r="K2771" s="490"/>
      <c r="L2771" s="491"/>
      <c r="M2771" s="491"/>
      <c r="N2771" s="456">
        <v>18229.52</v>
      </c>
      <c r="O2771" s="492"/>
      <c r="P2771" s="430"/>
    </row>
    <row r="2772" spans="1:16" ht="12.75" hidden="1" customHeight="1" outlineLevel="3" x14ac:dyDescent="0.2">
      <c r="A2772" s="233">
        <v>0</v>
      </c>
      <c r="B2772" s="233">
        <v>18</v>
      </c>
      <c r="C2772" s="233">
        <v>17</v>
      </c>
      <c r="D2772" s="234">
        <v>1</v>
      </c>
      <c r="E2772" s="234">
        <v>1</v>
      </c>
      <c r="G2772" s="508" t="s">
        <v>51</v>
      </c>
      <c r="H2772" s="493" t="s">
        <v>1238</v>
      </c>
      <c r="I2772" s="460" t="s">
        <v>6068</v>
      </c>
      <c r="J2772" s="495" t="s">
        <v>816</v>
      </c>
      <c r="K2772" s="496" t="s">
        <v>533</v>
      </c>
      <c r="L2772" s="497">
        <v>1</v>
      </c>
      <c r="M2772" s="497">
        <v>2306.36</v>
      </c>
      <c r="N2772" s="464">
        <v>2306.36</v>
      </c>
      <c r="O2772" s="498" t="s">
        <v>2704</v>
      </c>
      <c r="P2772" s="431" t="s">
        <v>6711</v>
      </c>
    </row>
    <row r="2773" spans="1:16" ht="13.5" hidden="1" customHeight="1" outlineLevel="3" x14ac:dyDescent="0.2">
      <c r="A2773" s="233">
        <v>0</v>
      </c>
      <c r="B2773" s="233">
        <v>18</v>
      </c>
      <c r="C2773" s="233">
        <v>17</v>
      </c>
      <c r="D2773" s="234">
        <v>1</v>
      </c>
      <c r="E2773" s="234">
        <v>2</v>
      </c>
      <c r="G2773" s="508" t="s">
        <v>51</v>
      </c>
      <c r="H2773" s="493" t="s">
        <v>1238</v>
      </c>
      <c r="I2773" s="460" t="s">
        <v>6069</v>
      </c>
      <c r="J2773" s="495" t="s">
        <v>818</v>
      </c>
      <c r="K2773" s="496" t="s">
        <v>533</v>
      </c>
      <c r="L2773" s="497">
        <v>6</v>
      </c>
      <c r="M2773" s="497">
        <v>2653.86</v>
      </c>
      <c r="N2773" s="464">
        <v>15923.16</v>
      </c>
      <c r="O2773" s="498" t="s">
        <v>2704</v>
      </c>
      <c r="P2773" s="431" t="s">
        <v>6711</v>
      </c>
    </row>
    <row r="2774" spans="1:16" ht="13.5" hidden="1" customHeight="1" outlineLevel="2" x14ac:dyDescent="0.2">
      <c r="A2774" s="233">
        <v>0</v>
      </c>
      <c r="B2774" s="233">
        <v>18</v>
      </c>
      <c r="C2774" s="233">
        <v>17</v>
      </c>
      <c r="D2774" s="234">
        <v>2</v>
      </c>
      <c r="E2774" s="234">
        <v>0</v>
      </c>
      <c r="G2774" s="507"/>
      <c r="H2774" s="487" t="s">
        <v>1237</v>
      </c>
      <c r="I2774" s="452" t="s">
        <v>6070</v>
      </c>
      <c r="J2774" s="489" t="s">
        <v>14</v>
      </c>
      <c r="K2774" s="490"/>
      <c r="L2774" s="491"/>
      <c r="M2774" s="491"/>
      <c r="N2774" s="456">
        <v>2100</v>
      </c>
      <c r="O2774" s="492"/>
      <c r="P2774" s="430"/>
    </row>
    <row r="2775" spans="1:16" ht="13.5" hidden="1" customHeight="1" outlineLevel="3" x14ac:dyDescent="0.2">
      <c r="A2775" s="233">
        <v>0</v>
      </c>
      <c r="B2775" s="233">
        <v>18</v>
      </c>
      <c r="C2775" s="233">
        <v>17</v>
      </c>
      <c r="D2775" s="234">
        <v>2</v>
      </c>
      <c r="E2775" s="234">
        <v>1</v>
      </c>
      <c r="G2775" s="508" t="s">
        <v>51</v>
      </c>
      <c r="H2775" s="493" t="s">
        <v>1238</v>
      </c>
      <c r="I2775" s="460" t="s">
        <v>6071</v>
      </c>
      <c r="J2775" s="495" t="s">
        <v>845</v>
      </c>
      <c r="K2775" s="496" t="s">
        <v>533</v>
      </c>
      <c r="L2775" s="497">
        <v>7</v>
      </c>
      <c r="M2775" s="497">
        <v>300</v>
      </c>
      <c r="N2775" s="464">
        <v>2100</v>
      </c>
      <c r="O2775" s="498" t="s">
        <v>2704</v>
      </c>
      <c r="P2775" s="431" t="s">
        <v>6711</v>
      </c>
    </row>
    <row r="2776" spans="1:16" ht="13.5" hidden="1" customHeight="1" outlineLevel="1" x14ac:dyDescent="0.2">
      <c r="A2776" s="233">
        <v>0</v>
      </c>
      <c r="B2776" s="233">
        <v>18</v>
      </c>
      <c r="C2776" s="233">
        <v>18</v>
      </c>
      <c r="D2776" s="234">
        <v>0</v>
      </c>
      <c r="E2776" s="234">
        <v>1</v>
      </c>
      <c r="G2776" s="506"/>
      <c r="H2776" s="481" t="s">
        <v>38</v>
      </c>
      <c r="I2776" s="445" t="s">
        <v>6072</v>
      </c>
      <c r="J2776" s="483" t="s">
        <v>3054</v>
      </c>
      <c r="K2776" s="484"/>
      <c r="L2776" s="485"/>
      <c r="M2776" s="485"/>
      <c r="N2776" s="449">
        <v>39767.32</v>
      </c>
      <c r="O2776" s="486">
        <v>2.3742151337906998</v>
      </c>
      <c r="P2776" s="429"/>
    </row>
    <row r="2777" spans="1:16" ht="12.75" hidden="1" customHeight="1" outlineLevel="2" x14ac:dyDescent="0.2">
      <c r="A2777" s="233">
        <v>0</v>
      </c>
      <c r="B2777" s="233">
        <v>18</v>
      </c>
      <c r="C2777" s="233">
        <v>18</v>
      </c>
      <c r="D2777" s="234">
        <v>1</v>
      </c>
      <c r="E2777" s="234">
        <v>0</v>
      </c>
      <c r="G2777" s="507"/>
      <c r="H2777" s="487" t="s">
        <v>1237</v>
      </c>
      <c r="I2777" s="452" t="s">
        <v>6073</v>
      </c>
      <c r="J2777" s="489" t="s">
        <v>2278</v>
      </c>
      <c r="K2777" s="490"/>
      <c r="L2777" s="491"/>
      <c r="M2777" s="491"/>
      <c r="N2777" s="456">
        <v>32984.04</v>
      </c>
      <c r="O2777" s="492"/>
      <c r="P2777" s="430"/>
    </row>
    <row r="2778" spans="1:16" ht="12.75" hidden="1" customHeight="1" outlineLevel="3" x14ac:dyDescent="0.2">
      <c r="A2778" s="233">
        <v>0</v>
      </c>
      <c r="B2778" s="233">
        <v>18</v>
      </c>
      <c r="C2778" s="233">
        <v>18</v>
      </c>
      <c r="D2778" s="234">
        <v>1</v>
      </c>
      <c r="E2778" s="234">
        <v>1</v>
      </c>
      <c r="G2778" s="508" t="s">
        <v>51</v>
      </c>
      <c r="H2778" s="493" t="s">
        <v>1238</v>
      </c>
      <c r="I2778" s="460" t="s">
        <v>6074</v>
      </c>
      <c r="J2778" s="495" t="s">
        <v>808</v>
      </c>
      <c r="K2778" s="496" t="s">
        <v>533</v>
      </c>
      <c r="L2778" s="497">
        <v>7</v>
      </c>
      <c r="M2778" s="497">
        <v>2306.36</v>
      </c>
      <c r="N2778" s="464">
        <v>16144.52</v>
      </c>
      <c r="O2778" s="498" t="s">
        <v>2704</v>
      </c>
      <c r="P2778" s="431" t="s">
        <v>6711</v>
      </c>
    </row>
    <row r="2779" spans="1:16" ht="12.75" hidden="1" customHeight="1" outlineLevel="3" x14ac:dyDescent="0.2">
      <c r="A2779" s="233">
        <v>0</v>
      </c>
      <c r="B2779" s="233">
        <v>18</v>
      </c>
      <c r="C2779" s="233">
        <v>18</v>
      </c>
      <c r="D2779" s="234">
        <v>1</v>
      </c>
      <c r="E2779" s="234">
        <v>2</v>
      </c>
      <c r="G2779" s="508" t="s">
        <v>51</v>
      </c>
      <c r="H2779" s="493" t="s">
        <v>1238</v>
      </c>
      <c r="I2779" s="460" t="s">
        <v>6075</v>
      </c>
      <c r="J2779" s="495" t="s">
        <v>816</v>
      </c>
      <c r="K2779" s="496" t="s">
        <v>533</v>
      </c>
      <c r="L2779" s="497">
        <v>5</v>
      </c>
      <c r="M2779" s="497">
        <v>2306.36</v>
      </c>
      <c r="N2779" s="464">
        <v>11531.8</v>
      </c>
      <c r="O2779" s="498" t="s">
        <v>2704</v>
      </c>
      <c r="P2779" s="431" t="s">
        <v>6711</v>
      </c>
    </row>
    <row r="2780" spans="1:16" ht="13.5" hidden="1" customHeight="1" outlineLevel="3" x14ac:dyDescent="0.2">
      <c r="A2780" s="233">
        <v>0</v>
      </c>
      <c r="B2780" s="233">
        <v>18</v>
      </c>
      <c r="C2780" s="233">
        <v>18</v>
      </c>
      <c r="D2780" s="234">
        <v>1</v>
      </c>
      <c r="E2780" s="234">
        <v>3</v>
      </c>
      <c r="G2780" s="508" t="s">
        <v>51</v>
      </c>
      <c r="H2780" s="493" t="s">
        <v>1238</v>
      </c>
      <c r="I2780" s="460" t="s">
        <v>6076</v>
      </c>
      <c r="J2780" s="495" t="s">
        <v>818</v>
      </c>
      <c r="K2780" s="496" t="s">
        <v>533</v>
      </c>
      <c r="L2780" s="497">
        <v>2</v>
      </c>
      <c r="M2780" s="497">
        <v>2653.86</v>
      </c>
      <c r="N2780" s="464">
        <v>5307.72</v>
      </c>
      <c r="O2780" s="498" t="s">
        <v>2704</v>
      </c>
      <c r="P2780" s="431" t="s">
        <v>6711</v>
      </c>
    </row>
    <row r="2781" spans="1:16" ht="13.5" hidden="1" customHeight="1" outlineLevel="2" x14ac:dyDescent="0.2">
      <c r="A2781" s="233">
        <v>0</v>
      </c>
      <c r="B2781" s="233">
        <v>18</v>
      </c>
      <c r="C2781" s="233">
        <v>18</v>
      </c>
      <c r="D2781" s="234">
        <v>2</v>
      </c>
      <c r="E2781" s="234">
        <v>0</v>
      </c>
      <c r="G2781" s="507"/>
      <c r="H2781" s="487" t="s">
        <v>1237</v>
      </c>
      <c r="I2781" s="452" t="s">
        <v>6077</v>
      </c>
      <c r="J2781" s="489" t="s">
        <v>2352</v>
      </c>
      <c r="K2781" s="490"/>
      <c r="L2781" s="491"/>
      <c r="M2781" s="491"/>
      <c r="N2781" s="456">
        <v>2583.2800000000002</v>
      </c>
      <c r="O2781" s="492"/>
      <c r="P2781" s="430"/>
    </row>
    <row r="2782" spans="1:16" ht="13.5" hidden="1" customHeight="1" outlineLevel="3" x14ac:dyDescent="0.2">
      <c r="A2782" s="233">
        <v>0</v>
      </c>
      <c r="B2782" s="233">
        <v>18</v>
      </c>
      <c r="C2782" s="233">
        <v>18</v>
      </c>
      <c r="D2782" s="234">
        <v>2</v>
      </c>
      <c r="E2782" s="234">
        <v>1</v>
      </c>
      <c r="G2782" s="508" t="s">
        <v>51</v>
      </c>
      <c r="H2782" s="493" t="s">
        <v>1238</v>
      </c>
      <c r="I2782" s="460" t="s">
        <v>6078</v>
      </c>
      <c r="J2782" s="495" t="s">
        <v>1264</v>
      </c>
      <c r="K2782" s="496" t="s">
        <v>533</v>
      </c>
      <c r="L2782" s="497">
        <v>2</v>
      </c>
      <c r="M2782" s="497">
        <v>1291.6400000000001</v>
      </c>
      <c r="N2782" s="464">
        <v>2583.2800000000002</v>
      </c>
      <c r="O2782" s="498" t="s">
        <v>2710</v>
      </c>
      <c r="P2782" s="431" t="s">
        <v>6711</v>
      </c>
    </row>
    <row r="2783" spans="1:16" ht="13.5" hidden="1" customHeight="1" outlineLevel="2" x14ac:dyDescent="0.2">
      <c r="A2783" s="233">
        <v>0</v>
      </c>
      <c r="B2783" s="233">
        <v>18</v>
      </c>
      <c r="C2783" s="233">
        <v>18</v>
      </c>
      <c r="D2783" s="234">
        <v>3</v>
      </c>
      <c r="E2783" s="234">
        <v>0</v>
      </c>
      <c r="G2783" s="507"/>
      <c r="H2783" s="487" t="s">
        <v>1237</v>
      </c>
      <c r="I2783" s="452" t="s">
        <v>6079</v>
      </c>
      <c r="J2783" s="489" t="s">
        <v>14</v>
      </c>
      <c r="K2783" s="490"/>
      <c r="L2783" s="491"/>
      <c r="M2783" s="491"/>
      <c r="N2783" s="456">
        <v>4200</v>
      </c>
      <c r="O2783" s="492"/>
      <c r="P2783" s="430"/>
    </row>
    <row r="2784" spans="1:16" ht="13.5" hidden="1" customHeight="1" outlineLevel="3" x14ac:dyDescent="0.2">
      <c r="A2784" s="233">
        <v>0</v>
      </c>
      <c r="B2784" s="233">
        <v>18</v>
      </c>
      <c r="C2784" s="233">
        <v>18</v>
      </c>
      <c r="D2784" s="234">
        <v>3</v>
      </c>
      <c r="E2784" s="234">
        <v>1</v>
      </c>
      <c r="G2784" s="508" t="s">
        <v>51</v>
      </c>
      <c r="H2784" s="493" t="s">
        <v>1238</v>
      </c>
      <c r="I2784" s="460" t="s">
        <v>6080</v>
      </c>
      <c r="J2784" s="495" t="s">
        <v>845</v>
      </c>
      <c r="K2784" s="496" t="s">
        <v>533</v>
      </c>
      <c r="L2784" s="497">
        <v>14</v>
      </c>
      <c r="M2784" s="497">
        <v>300</v>
      </c>
      <c r="N2784" s="464">
        <v>4200</v>
      </c>
      <c r="O2784" s="498" t="s">
        <v>2704</v>
      </c>
      <c r="P2784" s="431" t="s">
        <v>6711</v>
      </c>
    </row>
    <row r="2785" spans="1:16" ht="13.5" hidden="1" customHeight="1" outlineLevel="1" x14ac:dyDescent="0.2">
      <c r="A2785" s="233">
        <v>0</v>
      </c>
      <c r="B2785" s="233">
        <v>18</v>
      </c>
      <c r="C2785" s="233">
        <v>19</v>
      </c>
      <c r="D2785" s="234">
        <v>0</v>
      </c>
      <c r="E2785" s="234">
        <v>1</v>
      </c>
      <c r="G2785" s="506"/>
      <c r="H2785" s="481" t="s">
        <v>38</v>
      </c>
      <c r="I2785" s="445" t="s">
        <v>6081</v>
      </c>
      <c r="J2785" s="483" t="s">
        <v>3055</v>
      </c>
      <c r="K2785" s="484"/>
      <c r="L2785" s="485"/>
      <c r="M2785" s="485"/>
      <c r="N2785" s="449">
        <v>318138.56</v>
      </c>
      <c r="O2785" s="486">
        <v>18.993721070325599</v>
      </c>
      <c r="P2785" s="429"/>
    </row>
    <row r="2786" spans="1:16" ht="12.75" hidden="1" customHeight="1" outlineLevel="2" x14ac:dyDescent="0.2">
      <c r="A2786" s="233">
        <v>0</v>
      </c>
      <c r="B2786" s="233">
        <v>18</v>
      </c>
      <c r="C2786" s="233">
        <v>19</v>
      </c>
      <c r="D2786" s="234">
        <v>1</v>
      </c>
      <c r="E2786" s="234">
        <v>0</v>
      </c>
      <c r="G2786" s="507"/>
      <c r="H2786" s="487" t="s">
        <v>1237</v>
      </c>
      <c r="I2786" s="452" t="s">
        <v>6082</v>
      </c>
      <c r="J2786" s="489" t="s">
        <v>2278</v>
      </c>
      <c r="K2786" s="490"/>
      <c r="L2786" s="491"/>
      <c r="M2786" s="491"/>
      <c r="N2786" s="456">
        <v>263872.32</v>
      </c>
      <c r="O2786" s="492"/>
      <c r="P2786" s="430"/>
    </row>
    <row r="2787" spans="1:16" ht="12.75" hidden="1" customHeight="1" outlineLevel="3" x14ac:dyDescent="0.2">
      <c r="A2787" s="233">
        <v>0</v>
      </c>
      <c r="B2787" s="233">
        <v>18</v>
      </c>
      <c r="C2787" s="233">
        <v>19</v>
      </c>
      <c r="D2787" s="234">
        <v>1</v>
      </c>
      <c r="E2787" s="234">
        <v>1</v>
      </c>
      <c r="G2787" s="508" t="s">
        <v>51</v>
      </c>
      <c r="H2787" s="493" t="s">
        <v>1238</v>
      </c>
      <c r="I2787" s="460" t="s">
        <v>6083</v>
      </c>
      <c r="J2787" s="495" t="s">
        <v>808</v>
      </c>
      <c r="K2787" s="496" t="s">
        <v>533</v>
      </c>
      <c r="L2787" s="497">
        <v>56</v>
      </c>
      <c r="M2787" s="497">
        <v>2306.36</v>
      </c>
      <c r="N2787" s="464">
        <v>129156.16</v>
      </c>
      <c r="O2787" s="498" t="s">
        <v>2704</v>
      </c>
      <c r="P2787" s="431" t="s">
        <v>6711</v>
      </c>
    </row>
    <row r="2788" spans="1:16" ht="12.75" hidden="1" customHeight="1" outlineLevel="3" x14ac:dyDescent="0.2">
      <c r="A2788" s="233">
        <v>0</v>
      </c>
      <c r="B2788" s="233">
        <v>18</v>
      </c>
      <c r="C2788" s="233">
        <v>19</v>
      </c>
      <c r="D2788" s="234">
        <v>1</v>
      </c>
      <c r="E2788" s="234">
        <v>2</v>
      </c>
      <c r="G2788" s="508" t="s">
        <v>51</v>
      </c>
      <c r="H2788" s="493" t="s">
        <v>1238</v>
      </c>
      <c r="I2788" s="460" t="s">
        <v>6084</v>
      </c>
      <c r="J2788" s="495" t="s">
        <v>816</v>
      </c>
      <c r="K2788" s="496" t="s">
        <v>533</v>
      </c>
      <c r="L2788" s="497">
        <v>40</v>
      </c>
      <c r="M2788" s="497">
        <v>2306.36</v>
      </c>
      <c r="N2788" s="464">
        <v>92254.399999999994</v>
      </c>
      <c r="O2788" s="498" t="s">
        <v>2704</v>
      </c>
      <c r="P2788" s="431" t="s">
        <v>6711</v>
      </c>
    </row>
    <row r="2789" spans="1:16" ht="13.5" hidden="1" customHeight="1" outlineLevel="3" x14ac:dyDescent="0.2">
      <c r="A2789" s="233">
        <v>0</v>
      </c>
      <c r="B2789" s="233">
        <v>18</v>
      </c>
      <c r="C2789" s="233">
        <v>19</v>
      </c>
      <c r="D2789" s="234">
        <v>1</v>
      </c>
      <c r="E2789" s="234">
        <v>3</v>
      </c>
      <c r="G2789" s="508" t="s">
        <v>51</v>
      </c>
      <c r="H2789" s="493" t="s">
        <v>1238</v>
      </c>
      <c r="I2789" s="460" t="s">
        <v>6085</v>
      </c>
      <c r="J2789" s="495" t="s">
        <v>818</v>
      </c>
      <c r="K2789" s="496" t="s">
        <v>533</v>
      </c>
      <c r="L2789" s="497">
        <v>16</v>
      </c>
      <c r="M2789" s="497">
        <v>2653.86</v>
      </c>
      <c r="N2789" s="464">
        <v>42461.760000000002</v>
      </c>
      <c r="O2789" s="498" t="s">
        <v>2704</v>
      </c>
      <c r="P2789" s="431" t="s">
        <v>6711</v>
      </c>
    </row>
    <row r="2790" spans="1:16" ht="13.5" hidden="1" customHeight="1" outlineLevel="2" x14ac:dyDescent="0.2">
      <c r="A2790" s="233">
        <v>0</v>
      </c>
      <c r="B2790" s="233">
        <v>18</v>
      </c>
      <c r="C2790" s="233">
        <v>19</v>
      </c>
      <c r="D2790" s="234">
        <v>2</v>
      </c>
      <c r="E2790" s="234">
        <v>0</v>
      </c>
      <c r="G2790" s="507"/>
      <c r="H2790" s="487" t="s">
        <v>1237</v>
      </c>
      <c r="I2790" s="452" t="s">
        <v>6086</v>
      </c>
      <c r="J2790" s="489" t="s">
        <v>2352</v>
      </c>
      <c r="K2790" s="490"/>
      <c r="L2790" s="491"/>
      <c r="M2790" s="491"/>
      <c r="N2790" s="456">
        <v>20666.240000000002</v>
      </c>
      <c r="O2790" s="492"/>
      <c r="P2790" s="430"/>
    </row>
    <row r="2791" spans="1:16" ht="13.5" hidden="1" customHeight="1" outlineLevel="3" x14ac:dyDescent="0.2">
      <c r="A2791" s="233">
        <v>0</v>
      </c>
      <c r="B2791" s="233">
        <v>18</v>
      </c>
      <c r="C2791" s="233">
        <v>19</v>
      </c>
      <c r="D2791" s="234">
        <v>2</v>
      </c>
      <c r="E2791" s="234">
        <v>1</v>
      </c>
      <c r="G2791" s="508" t="s">
        <v>51</v>
      </c>
      <c r="H2791" s="493" t="s">
        <v>1238</v>
      </c>
      <c r="I2791" s="460" t="s">
        <v>6087</v>
      </c>
      <c r="J2791" s="495" t="s">
        <v>1264</v>
      </c>
      <c r="K2791" s="496" t="s">
        <v>533</v>
      </c>
      <c r="L2791" s="497">
        <v>16</v>
      </c>
      <c r="M2791" s="497">
        <v>1291.6400000000001</v>
      </c>
      <c r="N2791" s="464">
        <v>20666.240000000002</v>
      </c>
      <c r="O2791" s="498" t="s">
        <v>2710</v>
      </c>
      <c r="P2791" s="431" t="s">
        <v>6711</v>
      </c>
    </row>
    <row r="2792" spans="1:16" ht="13.5" hidden="1" customHeight="1" outlineLevel="2" x14ac:dyDescent="0.2">
      <c r="A2792" s="233">
        <v>0</v>
      </c>
      <c r="B2792" s="233">
        <v>18</v>
      </c>
      <c r="C2792" s="233">
        <v>19</v>
      </c>
      <c r="D2792" s="234">
        <v>3</v>
      </c>
      <c r="E2792" s="234">
        <v>0</v>
      </c>
      <c r="G2792" s="507"/>
      <c r="H2792" s="487" t="s">
        <v>1237</v>
      </c>
      <c r="I2792" s="452" t="s">
        <v>6088</v>
      </c>
      <c r="J2792" s="489" t="s">
        <v>14</v>
      </c>
      <c r="K2792" s="490"/>
      <c r="L2792" s="491"/>
      <c r="M2792" s="491"/>
      <c r="N2792" s="456">
        <v>33600</v>
      </c>
      <c r="O2792" s="492"/>
      <c r="P2792" s="430"/>
    </row>
    <row r="2793" spans="1:16" ht="13.5" hidden="1" customHeight="1" outlineLevel="3" x14ac:dyDescent="0.2">
      <c r="A2793" s="233">
        <v>0</v>
      </c>
      <c r="B2793" s="233">
        <v>18</v>
      </c>
      <c r="C2793" s="233">
        <v>19</v>
      </c>
      <c r="D2793" s="234">
        <v>3</v>
      </c>
      <c r="E2793" s="234">
        <v>1</v>
      </c>
      <c r="G2793" s="508" t="s">
        <v>51</v>
      </c>
      <c r="H2793" s="493" t="s">
        <v>1238</v>
      </c>
      <c r="I2793" s="460" t="s">
        <v>6089</v>
      </c>
      <c r="J2793" s="495" t="s">
        <v>845</v>
      </c>
      <c r="K2793" s="496" t="s">
        <v>533</v>
      </c>
      <c r="L2793" s="497">
        <v>112</v>
      </c>
      <c r="M2793" s="497">
        <v>300</v>
      </c>
      <c r="N2793" s="464">
        <v>33600</v>
      </c>
      <c r="O2793" s="498" t="s">
        <v>2704</v>
      </c>
      <c r="P2793" s="431" t="s">
        <v>6711</v>
      </c>
    </row>
    <row r="2794" spans="1:16" ht="13.5" hidden="1" customHeight="1" outlineLevel="1" x14ac:dyDescent="0.2">
      <c r="A2794" s="233">
        <v>0</v>
      </c>
      <c r="B2794" s="233">
        <v>18</v>
      </c>
      <c r="C2794" s="233">
        <v>20</v>
      </c>
      <c r="D2794" s="234">
        <v>0</v>
      </c>
      <c r="E2794" s="234">
        <v>1</v>
      </c>
      <c r="G2794" s="506"/>
      <c r="H2794" s="481" t="s">
        <v>38</v>
      </c>
      <c r="I2794" s="445" t="s">
        <v>6090</v>
      </c>
      <c r="J2794" s="483" t="s">
        <v>3056</v>
      </c>
      <c r="K2794" s="484"/>
      <c r="L2794" s="485"/>
      <c r="M2794" s="485"/>
      <c r="N2794" s="449">
        <v>724140.12</v>
      </c>
      <c r="O2794" s="486">
        <v>43.233097726701502</v>
      </c>
      <c r="P2794" s="429"/>
    </row>
    <row r="2795" spans="1:16" ht="12.75" hidden="1" customHeight="1" outlineLevel="2" x14ac:dyDescent="0.2">
      <c r="A2795" s="233">
        <v>0</v>
      </c>
      <c r="B2795" s="233">
        <v>18</v>
      </c>
      <c r="C2795" s="233">
        <v>20</v>
      </c>
      <c r="D2795" s="234">
        <v>1</v>
      </c>
      <c r="E2795" s="234">
        <v>0</v>
      </c>
      <c r="G2795" s="507"/>
      <c r="H2795" s="487" t="s">
        <v>1237</v>
      </c>
      <c r="I2795" s="452" t="s">
        <v>6091</v>
      </c>
      <c r="J2795" s="489" t="s">
        <v>2278</v>
      </c>
      <c r="K2795" s="490"/>
      <c r="L2795" s="491"/>
      <c r="M2795" s="491"/>
      <c r="N2795" s="456">
        <v>616524.04</v>
      </c>
      <c r="O2795" s="492"/>
      <c r="P2795" s="430"/>
    </row>
    <row r="2796" spans="1:16" ht="12.75" hidden="1" customHeight="1" outlineLevel="3" x14ac:dyDescent="0.2">
      <c r="A2796" s="233">
        <v>0</v>
      </c>
      <c r="B2796" s="233">
        <v>18</v>
      </c>
      <c r="C2796" s="233">
        <v>20</v>
      </c>
      <c r="D2796" s="234">
        <v>1</v>
      </c>
      <c r="E2796" s="234">
        <v>1</v>
      </c>
      <c r="G2796" s="508" t="s">
        <v>51</v>
      </c>
      <c r="H2796" s="493" t="s">
        <v>1238</v>
      </c>
      <c r="I2796" s="460" t="s">
        <v>6092</v>
      </c>
      <c r="J2796" s="495" t="s">
        <v>808</v>
      </c>
      <c r="K2796" s="496" t="s">
        <v>533</v>
      </c>
      <c r="L2796" s="497">
        <v>132</v>
      </c>
      <c r="M2796" s="497">
        <v>2306.36</v>
      </c>
      <c r="N2796" s="464">
        <v>304439.52</v>
      </c>
      <c r="O2796" s="498" t="s">
        <v>2704</v>
      </c>
      <c r="P2796" s="431" t="s">
        <v>6711</v>
      </c>
    </row>
    <row r="2797" spans="1:16" ht="12.75" hidden="1" customHeight="1" outlineLevel="3" x14ac:dyDescent="0.2">
      <c r="A2797" s="233">
        <v>0</v>
      </c>
      <c r="B2797" s="233">
        <v>18</v>
      </c>
      <c r="C2797" s="233">
        <v>20</v>
      </c>
      <c r="D2797" s="234">
        <v>1</v>
      </c>
      <c r="E2797" s="234">
        <v>2</v>
      </c>
      <c r="G2797" s="508" t="s">
        <v>51</v>
      </c>
      <c r="H2797" s="493" t="s">
        <v>1238</v>
      </c>
      <c r="I2797" s="460" t="s">
        <v>6093</v>
      </c>
      <c r="J2797" s="495" t="s">
        <v>816</v>
      </c>
      <c r="K2797" s="496" t="s">
        <v>533</v>
      </c>
      <c r="L2797" s="497">
        <v>110</v>
      </c>
      <c r="M2797" s="497">
        <v>2306.36</v>
      </c>
      <c r="N2797" s="464">
        <v>253699.6</v>
      </c>
      <c r="O2797" s="498" t="s">
        <v>2704</v>
      </c>
      <c r="P2797" s="431" t="s">
        <v>6711</v>
      </c>
    </row>
    <row r="2798" spans="1:16" ht="13.5" hidden="1" customHeight="1" outlineLevel="3" x14ac:dyDescent="0.2">
      <c r="A2798" s="233">
        <v>0</v>
      </c>
      <c r="B2798" s="233">
        <v>18</v>
      </c>
      <c r="C2798" s="233">
        <v>20</v>
      </c>
      <c r="D2798" s="234">
        <v>1</v>
      </c>
      <c r="E2798" s="234">
        <v>3</v>
      </c>
      <c r="G2798" s="508" t="s">
        <v>51</v>
      </c>
      <c r="H2798" s="493" t="s">
        <v>1238</v>
      </c>
      <c r="I2798" s="460" t="s">
        <v>6094</v>
      </c>
      <c r="J2798" s="495" t="s">
        <v>818</v>
      </c>
      <c r="K2798" s="496" t="s">
        <v>533</v>
      </c>
      <c r="L2798" s="497">
        <v>22</v>
      </c>
      <c r="M2798" s="497">
        <v>2653.86</v>
      </c>
      <c r="N2798" s="464">
        <v>58384.92</v>
      </c>
      <c r="O2798" s="498" t="s">
        <v>2704</v>
      </c>
      <c r="P2798" s="431" t="s">
        <v>6711</v>
      </c>
    </row>
    <row r="2799" spans="1:16" ht="13.5" hidden="1" customHeight="1" outlineLevel="2" x14ac:dyDescent="0.2">
      <c r="A2799" s="233">
        <v>0</v>
      </c>
      <c r="B2799" s="233">
        <v>18</v>
      </c>
      <c r="C2799" s="233">
        <v>20</v>
      </c>
      <c r="D2799" s="234">
        <v>2</v>
      </c>
      <c r="E2799" s="234">
        <v>0</v>
      </c>
      <c r="G2799" s="507"/>
      <c r="H2799" s="487" t="s">
        <v>1237</v>
      </c>
      <c r="I2799" s="452" t="s">
        <v>6095</v>
      </c>
      <c r="J2799" s="489" t="s">
        <v>2352</v>
      </c>
      <c r="K2799" s="490"/>
      <c r="L2799" s="491"/>
      <c r="M2799" s="491"/>
      <c r="N2799" s="456">
        <v>28416.080000000002</v>
      </c>
      <c r="O2799" s="492"/>
      <c r="P2799" s="430"/>
    </row>
    <row r="2800" spans="1:16" ht="13.5" hidden="1" customHeight="1" outlineLevel="3" x14ac:dyDescent="0.2">
      <c r="A2800" s="233">
        <v>0</v>
      </c>
      <c r="B2800" s="233">
        <v>18</v>
      </c>
      <c r="C2800" s="233">
        <v>20</v>
      </c>
      <c r="D2800" s="234">
        <v>2</v>
      </c>
      <c r="E2800" s="234">
        <v>1</v>
      </c>
      <c r="G2800" s="508" t="s">
        <v>51</v>
      </c>
      <c r="H2800" s="493" t="s">
        <v>1238</v>
      </c>
      <c r="I2800" s="460" t="s">
        <v>6096</v>
      </c>
      <c r="J2800" s="495" t="s">
        <v>1264</v>
      </c>
      <c r="K2800" s="496" t="s">
        <v>533</v>
      </c>
      <c r="L2800" s="497">
        <v>22</v>
      </c>
      <c r="M2800" s="497">
        <v>1291.6400000000001</v>
      </c>
      <c r="N2800" s="464">
        <v>28416.080000000002</v>
      </c>
      <c r="O2800" s="498" t="s">
        <v>2710</v>
      </c>
      <c r="P2800" s="431" t="s">
        <v>6711</v>
      </c>
    </row>
    <row r="2801" spans="1:16" ht="13.5" hidden="1" customHeight="1" outlineLevel="2" x14ac:dyDescent="0.2">
      <c r="A2801" s="233">
        <v>0</v>
      </c>
      <c r="B2801" s="233">
        <v>18</v>
      </c>
      <c r="C2801" s="233">
        <v>20</v>
      </c>
      <c r="D2801" s="234">
        <v>3</v>
      </c>
      <c r="E2801" s="234">
        <v>0</v>
      </c>
      <c r="G2801" s="507"/>
      <c r="H2801" s="487" t="s">
        <v>1237</v>
      </c>
      <c r="I2801" s="452" t="s">
        <v>6097</v>
      </c>
      <c r="J2801" s="489" t="s">
        <v>14</v>
      </c>
      <c r="K2801" s="490"/>
      <c r="L2801" s="491"/>
      <c r="M2801" s="491"/>
      <c r="N2801" s="456">
        <v>79200</v>
      </c>
      <c r="O2801" s="492"/>
      <c r="P2801" s="430"/>
    </row>
    <row r="2802" spans="1:16" ht="13.5" hidden="1" customHeight="1" outlineLevel="3" x14ac:dyDescent="0.2">
      <c r="A2802" s="233">
        <v>0</v>
      </c>
      <c r="B2802" s="233">
        <v>18</v>
      </c>
      <c r="C2802" s="233">
        <v>20</v>
      </c>
      <c r="D2802" s="234">
        <v>3</v>
      </c>
      <c r="E2802" s="234">
        <v>1</v>
      </c>
      <c r="G2802" s="508" t="s">
        <v>51</v>
      </c>
      <c r="H2802" s="493" t="s">
        <v>1238</v>
      </c>
      <c r="I2802" s="460" t="s">
        <v>6098</v>
      </c>
      <c r="J2802" s="495" t="s">
        <v>845</v>
      </c>
      <c r="K2802" s="496" t="s">
        <v>533</v>
      </c>
      <c r="L2802" s="497">
        <v>264</v>
      </c>
      <c r="M2802" s="497">
        <v>300</v>
      </c>
      <c r="N2802" s="464">
        <v>79200</v>
      </c>
      <c r="O2802" s="498" t="s">
        <v>2704</v>
      </c>
      <c r="P2802" s="431" t="s">
        <v>6711</v>
      </c>
    </row>
    <row r="2803" spans="1:16" ht="13.5" hidden="1" customHeight="1" outlineLevel="1" x14ac:dyDescent="0.2">
      <c r="A2803" s="233">
        <v>0</v>
      </c>
      <c r="B2803" s="233">
        <v>18</v>
      </c>
      <c r="C2803" s="233">
        <v>21</v>
      </c>
      <c r="D2803" s="234">
        <v>0</v>
      </c>
      <c r="E2803" s="234">
        <v>1</v>
      </c>
      <c r="G2803" s="506"/>
      <c r="H2803" s="481" t="s">
        <v>38</v>
      </c>
      <c r="I2803" s="445" t="s">
        <v>6099</v>
      </c>
      <c r="J2803" s="483" t="s">
        <v>3057</v>
      </c>
      <c r="K2803" s="484"/>
      <c r="L2803" s="485"/>
      <c r="M2803" s="485"/>
      <c r="N2803" s="449">
        <v>45947.26</v>
      </c>
      <c r="O2803" s="486">
        <v>2.74317404462297</v>
      </c>
      <c r="P2803" s="429"/>
    </row>
    <row r="2804" spans="1:16" ht="12.75" hidden="1" customHeight="1" outlineLevel="2" x14ac:dyDescent="0.2">
      <c r="A2804" s="233">
        <v>0</v>
      </c>
      <c r="B2804" s="233">
        <v>18</v>
      </c>
      <c r="C2804" s="233">
        <v>21</v>
      </c>
      <c r="D2804" s="234">
        <v>1</v>
      </c>
      <c r="E2804" s="234">
        <v>0</v>
      </c>
      <c r="G2804" s="507"/>
      <c r="H2804" s="487" t="s">
        <v>1237</v>
      </c>
      <c r="I2804" s="452" t="s">
        <v>6100</v>
      </c>
      <c r="J2804" s="489" t="s">
        <v>2278</v>
      </c>
      <c r="K2804" s="490"/>
      <c r="L2804" s="491"/>
      <c r="M2804" s="491"/>
      <c r="N2804" s="456">
        <v>39555.620000000003</v>
      </c>
      <c r="O2804" s="492"/>
      <c r="P2804" s="430"/>
    </row>
    <row r="2805" spans="1:16" ht="12.75" hidden="1" customHeight="1" outlineLevel="3" x14ac:dyDescent="0.2">
      <c r="A2805" s="233">
        <v>0</v>
      </c>
      <c r="B2805" s="233">
        <v>18</v>
      </c>
      <c r="C2805" s="233">
        <v>21</v>
      </c>
      <c r="D2805" s="234">
        <v>1</v>
      </c>
      <c r="E2805" s="234">
        <v>1</v>
      </c>
      <c r="G2805" s="508" t="s">
        <v>51</v>
      </c>
      <c r="H2805" s="493" t="s">
        <v>1238</v>
      </c>
      <c r="I2805" s="460" t="s">
        <v>6101</v>
      </c>
      <c r="J2805" s="495" t="s">
        <v>808</v>
      </c>
      <c r="K2805" s="496" t="s">
        <v>533</v>
      </c>
      <c r="L2805" s="497">
        <v>8</v>
      </c>
      <c r="M2805" s="497">
        <v>2306.36</v>
      </c>
      <c r="N2805" s="464">
        <v>18450.88</v>
      </c>
      <c r="O2805" s="498" t="s">
        <v>2704</v>
      </c>
      <c r="P2805" s="431" t="s">
        <v>6711</v>
      </c>
    </row>
    <row r="2806" spans="1:16" ht="12.75" hidden="1" customHeight="1" outlineLevel="3" x14ac:dyDescent="0.2">
      <c r="A2806" s="233">
        <v>0</v>
      </c>
      <c r="B2806" s="233">
        <v>18</v>
      </c>
      <c r="C2806" s="233">
        <v>21</v>
      </c>
      <c r="D2806" s="234">
        <v>1</v>
      </c>
      <c r="E2806" s="234">
        <v>2</v>
      </c>
      <c r="G2806" s="508" t="s">
        <v>51</v>
      </c>
      <c r="H2806" s="493" t="s">
        <v>1238</v>
      </c>
      <c r="I2806" s="460" t="s">
        <v>6102</v>
      </c>
      <c r="J2806" s="495" t="s">
        <v>816</v>
      </c>
      <c r="K2806" s="496" t="s">
        <v>533</v>
      </c>
      <c r="L2806" s="497">
        <v>8</v>
      </c>
      <c r="M2806" s="497">
        <v>2306.36</v>
      </c>
      <c r="N2806" s="464">
        <v>18450.88</v>
      </c>
      <c r="O2806" s="498" t="s">
        <v>2704</v>
      </c>
      <c r="P2806" s="431" t="s">
        <v>6711</v>
      </c>
    </row>
    <row r="2807" spans="1:16" ht="13.5" hidden="1" customHeight="1" outlineLevel="3" x14ac:dyDescent="0.2">
      <c r="A2807" s="233">
        <v>0</v>
      </c>
      <c r="B2807" s="233">
        <v>18</v>
      </c>
      <c r="C2807" s="233">
        <v>21</v>
      </c>
      <c r="D2807" s="234">
        <v>1</v>
      </c>
      <c r="E2807" s="234">
        <v>3</v>
      </c>
      <c r="G2807" s="508" t="s">
        <v>51</v>
      </c>
      <c r="H2807" s="493" t="s">
        <v>1238</v>
      </c>
      <c r="I2807" s="460" t="s">
        <v>6103</v>
      </c>
      <c r="J2807" s="495" t="s">
        <v>818</v>
      </c>
      <c r="K2807" s="496" t="s">
        <v>533</v>
      </c>
      <c r="L2807" s="497">
        <v>1</v>
      </c>
      <c r="M2807" s="497">
        <v>2653.86</v>
      </c>
      <c r="N2807" s="464">
        <v>2653.86</v>
      </c>
      <c r="O2807" s="498" t="s">
        <v>2704</v>
      </c>
      <c r="P2807" s="431" t="s">
        <v>6711</v>
      </c>
    </row>
    <row r="2808" spans="1:16" ht="13.5" hidden="1" customHeight="1" outlineLevel="2" x14ac:dyDescent="0.2">
      <c r="A2808" s="233">
        <v>0</v>
      </c>
      <c r="B2808" s="233">
        <v>18</v>
      </c>
      <c r="C2808" s="233">
        <v>21</v>
      </c>
      <c r="D2808" s="234">
        <v>2</v>
      </c>
      <c r="E2808" s="234">
        <v>0</v>
      </c>
      <c r="G2808" s="507"/>
      <c r="H2808" s="487" t="s">
        <v>1237</v>
      </c>
      <c r="I2808" s="452" t="s">
        <v>6104</v>
      </c>
      <c r="J2808" s="489" t="s">
        <v>2352</v>
      </c>
      <c r="K2808" s="490"/>
      <c r="L2808" s="491"/>
      <c r="M2808" s="491"/>
      <c r="N2808" s="456">
        <v>1291.6400000000001</v>
      </c>
      <c r="O2808" s="492"/>
      <c r="P2808" s="430"/>
    </row>
    <row r="2809" spans="1:16" ht="13.5" hidden="1" customHeight="1" outlineLevel="3" x14ac:dyDescent="0.2">
      <c r="A2809" s="233">
        <v>0</v>
      </c>
      <c r="B2809" s="233">
        <v>18</v>
      </c>
      <c r="C2809" s="233">
        <v>21</v>
      </c>
      <c r="D2809" s="234">
        <v>2</v>
      </c>
      <c r="E2809" s="234">
        <v>1</v>
      </c>
      <c r="G2809" s="508" t="s">
        <v>51</v>
      </c>
      <c r="H2809" s="493" t="s">
        <v>1238</v>
      </c>
      <c r="I2809" s="460" t="s">
        <v>6105</v>
      </c>
      <c r="J2809" s="495" t="s">
        <v>1264</v>
      </c>
      <c r="K2809" s="496" t="s">
        <v>533</v>
      </c>
      <c r="L2809" s="497">
        <v>1</v>
      </c>
      <c r="M2809" s="497">
        <v>1291.6400000000001</v>
      </c>
      <c r="N2809" s="464">
        <v>1291.6400000000001</v>
      </c>
      <c r="O2809" s="498" t="s">
        <v>2710</v>
      </c>
      <c r="P2809" s="431" t="s">
        <v>6711</v>
      </c>
    </row>
    <row r="2810" spans="1:16" ht="13.5" hidden="1" customHeight="1" outlineLevel="2" x14ac:dyDescent="0.2">
      <c r="A2810" s="233">
        <v>0</v>
      </c>
      <c r="B2810" s="233">
        <v>18</v>
      </c>
      <c r="C2810" s="233">
        <v>21</v>
      </c>
      <c r="D2810" s="234">
        <v>3</v>
      </c>
      <c r="E2810" s="234">
        <v>0</v>
      </c>
      <c r="G2810" s="507"/>
      <c r="H2810" s="487" t="s">
        <v>1237</v>
      </c>
      <c r="I2810" s="452" t="s">
        <v>6106</v>
      </c>
      <c r="J2810" s="489" t="s">
        <v>14</v>
      </c>
      <c r="K2810" s="490"/>
      <c r="L2810" s="491"/>
      <c r="M2810" s="491"/>
      <c r="N2810" s="456">
        <v>5100</v>
      </c>
      <c r="O2810" s="492"/>
      <c r="P2810" s="430"/>
    </row>
    <row r="2811" spans="1:16" ht="13.5" hidden="1" customHeight="1" outlineLevel="3" x14ac:dyDescent="0.2">
      <c r="A2811" s="233">
        <v>0</v>
      </c>
      <c r="B2811" s="233">
        <v>18</v>
      </c>
      <c r="C2811" s="233">
        <v>21</v>
      </c>
      <c r="D2811" s="234">
        <v>3</v>
      </c>
      <c r="E2811" s="234">
        <v>1</v>
      </c>
      <c r="G2811" s="508" t="s">
        <v>51</v>
      </c>
      <c r="H2811" s="493" t="s">
        <v>1238</v>
      </c>
      <c r="I2811" s="460" t="s">
        <v>6107</v>
      </c>
      <c r="J2811" s="495" t="s">
        <v>845</v>
      </c>
      <c r="K2811" s="496" t="s">
        <v>533</v>
      </c>
      <c r="L2811" s="497">
        <v>17</v>
      </c>
      <c r="M2811" s="497">
        <v>300</v>
      </c>
      <c r="N2811" s="464">
        <v>5100</v>
      </c>
      <c r="O2811" s="498" t="s">
        <v>2704</v>
      </c>
      <c r="P2811" s="431" t="s">
        <v>6711</v>
      </c>
    </row>
    <row r="2812" spans="1:16" ht="13.5" hidden="1" customHeight="1" outlineLevel="1" x14ac:dyDescent="0.2">
      <c r="A2812" s="233">
        <v>0</v>
      </c>
      <c r="B2812" s="233">
        <v>18</v>
      </c>
      <c r="C2812" s="233">
        <v>22</v>
      </c>
      <c r="D2812" s="234">
        <v>0</v>
      </c>
      <c r="E2812" s="234">
        <v>1</v>
      </c>
      <c r="G2812" s="506"/>
      <c r="H2812" s="481" t="s">
        <v>38</v>
      </c>
      <c r="I2812" s="445" t="s">
        <v>6108</v>
      </c>
      <c r="J2812" s="483" t="s">
        <v>3058</v>
      </c>
      <c r="K2812" s="484"/>
      <c r="L2812" s="485"/>
      <c r="M2812" s="485"/>
      <c r="N2812" s="449">
        <v>10772.94</v>
      </c>
      <c r="O2812" s="486">
        <v>0.64317326848827505</v>
      </c>
      <c r="P2812" s="429"/>
    </row>
    <row r="2813" spans="1:16" ht="12.75" hidden="1" customHeight="1" outlineLevel="2" x14ac:dyDescent="0.2">
      <c r="A2813" s="233">
        <v>0</v>
      </c>
      <c r="B2813" s="233">
        <v>18</v>
      </c>
      <c r="C2813" s="233">
        <v>22</v>
      </c>
      <c r="D2813" s="234">
        <v>1</v>
      </c>
      <c r="E2813" s="234">
        <v>0</v>
      </c>
      <c r="G2813" s="507"/>
      <c r="H2813" s="487" t="s">
        <v>1237</v>
      </c>
      <c r="I2813" s="452" t="s">
        <v>6109</v>
      </c>
      <c r="J2813" s="489" t="s">
        <v>2278</v>
      </c>
      <c r="K2813" s="490"/>
      <c r="L2813" s="491"/>
      <c r="M2813" s="491"/>
      <c r="N2813" s="456">
        <v>9572.94</v>
      </c>
      <c r="O2813" s="492"/>
      <c r="P2813" s="430"/>
    </row>
    <row r="2814" spans="1:16" ht="12.75" hidden="1" customHeight="1" outlineLevel="3" x14ac:dyDescent="0.2">
      <c r="A2814" s="233">
        <v>0</v>
      </c>
      <c r="B2814" s="233">
        <v>18</v>
      </c>
      <c r="C2814" s="233">
        <v>22</v>
      </c>
      <c r="D2814" s="234">
        <v>1</v>
      </c>
      <c r="E2814" s="234">
        <v>1</v>
      </c>
      <c r="G2814" s="508" t="s">
        <v>51</v>
      </c>
      <c r="H2814" s="493" t="s">
        <v>1238</v>
      </c>
      <c r="I2814" s="460" t="s">
        <v>6110</v>
      </c>
      <c r="J2814" s="495" t="s">
        <v>808</v>
      </c>
      <c r="K2814" s="496" t="s">
        <v>533</v>
      </c>
      <c r="L2814" s="497">
        <v>1</v>
      </c>
      <c r="M2814" s="497">
        <v>2306.36</v>
      </c>
      <c r="N2814" s="464">
        <v>2306.36</v>
      </c>
      <c r="O2814" s="498" t="s">
        <v>2704</v>
      </c>
      <c r="P2814" s="431" t="s">
        <v>6711</v>
      </c>
    </row>
    <row r="2815" spans="1:16" ht="12.75" hidden="1" customHeight="1" outlineLevel="3" x14ac:dyDescent="0.2">
      <c r="A2815" s="233">
        <v>0</v>
      </c>
      <c r="B2815" s="233">
        <v>18</v>
      </c>
      <c r="C2815" s="233">
        <v>22</v>
      </c>
      <c r="D2815" s="234">
        <v>1</v>
      </c>
      <c r="E2815" s="234">
        <v>2</v>
      </c>
      <c r="G2815" s="508" t="s">
        <v>51</v>
      </c>
      <c r="H2815" s="493" t="s">
        <v>1238</v>
      </c>
      <c r="I2815" s="460" t="s">
        <v>6111</v>
      </c>
      <c r="J2815" s="495" t="s">
        <v>816</v>
      </c>
      <c r="K2815" s="496" t="s">
        <v>533</v>
      </c>
      <c r="L2815" s="497">
        <v>2</v>
      </c>
      <c r="M2815" s="497">
        <v>2306.36</v>
      </c>
      <c r="N2815" s="464">
        <v>4612.72</v>
      </c>
      <c r="O2815" s="498" t="s">
        <v>2704</v>
      </c>
      <c r="P2815" s="431" t="s">
        <v>6711</v>
      </c>
    </row>
    <row r="2816" spans="1:16" ht="13.5" hidden="1" customHeight="1" outlineLevel="3" x14ac:dyDescent="0.2">
      <c r="A2816" s="233">
        <v>0</v>
      </c>
      <c r="B2816" s="233">
        <v>18</v>
      </c>
      <c r="C2816" s="233">
        <v>22</v>
      </c>
      <c r="D2816" s="234">
        <v>1</v>
      </c>
      <c r="E2816" s="234">
        <v>3</v>
      </c>
      <c r="G2816" s="508" t="s">
        <v>51</v>
      </c>
      <c r="H2816" s="493" t="s">
        <v>1238</v>
      </c>
      <c r="I2816" s="460" t="s">
        <v>6112</v>
      </c>
      <c r="J2816" s="495" t="s">
        <v>818</v>
      </c>
      <c r="K2816" s="496" t="s">
        <v>533</v>
      </c>
      <c r="L2816" s="497">
        <v>1</v>
      </c>
      <c r="M2816" s="497">
        <v>2653.86</v>
      </c>
      <c r="N2816" s="464">
        <v>2653.86</v>
      </c>
      <c r="O2816" s="498" t="s">
        <v>2704</v>
      </c>
      <c r="P2816" s="431" t="s">
        <v>6711</v>
      </c>
    </row>
    <row r="2817" spans="1:16" ht="13.5" hidden="1" customHeight="1" outlineLevel="2" x14ac:dyDescent="0.2">
      <c r="A2817" s="233">
        <v>0</v>
      </c>
      <c r="B2817" s="233">
        <v>18</v>
      </c>
      <c r="C2817" s="233">
        <v>22</v>
      </c>
      <c r="D2817" s="234">
        <v>2</v>
      </c>
      <c r="E2817" s="234">
        <v>0</v>
      </c>
      <c r="G2817" s="507"/>
      <c r="H2817" s="487" t="s">
        <v>1237</v>
      </c>
      <c r="I2817" s="452" t="s">
        <v>6113</v>
      </c>
      <c r="J2817" s="489" t="s">
        <v>14</v>
      </c>
      <c r="K2817" s="490"/>
      <c r="L2817" s="491"/>
      <c r="M2817" s="491"/>
      <c r="N2817" s="456">
        <v>1200</v>
      </c>
      <c r="O2817" s="492"/>
      <c r="P2817" s="430"/>
    </row>
    <row r="2818" spans="1:16" ht="13.5" hidden="1" customHeight="1" outlineLevel="3" x14ac:dyDescent="0.2">
      <c r="A2818" s="233">
        <v>0</v>
      </c>
      <c r="B2818" s="233">
        <v>18</v>
      </c>
      <c r="C2818" s="233">
        <v>22</v>
      </c>
      <c r="D2818" s="234">
        <v>2</v>
      </c>
      <c r="E2818" s="234">
        <v>1</v>
      </c>
      <c r="G2818" s="508" t="s">
        <v>51</v>
      </c>
      <c r="H2818" s="493" t="s">
        <v>1238</v>
      </c>
      <c r="I2818" s="460" t="s">
        <v>6114</v>
      </c>
      <c r="J2818" s="495" t="s">
        <v>845</v>
      </c>
      <c r="K2818" s="496" t="s">
        <v>533</v>
      </c>
      <c r="L2818" s="497">
        <v>4</v>
      </c>
      <c r="M2818" s="497">
        <v>300</v>
      </c>
      <c r="N2818" s="464">
        <v>1200</v>
      </c>
      <c r="O2818" s="498" t="s">
        <v>2704</v>
      </c>
      <c r="P2818" s="431" t="s">
        <v>6711</v>
      </c>
    </row>
    <row r="2819" spans="1:16" ht="13.5" hidden="1" customHeight="1" outlineLevel="1" x14ac:dyDescent="0.2">
      <c r="A2819" s="233">
        <v>0</v>
      </c>
      <c r="B2819" s="233">
        <v>18</v>
      </c>
      <c r="C2819" s="233">
        <v>23</v>
      </c>
      <c r="D2819" s="234">
        <v>0</v>
      </c>
      <c r="E2819" s="234">
        <v>1</v>
      </c>
      <c r="G2819" s="506"/>
      <c r="H2819" s="481" t="s">
        <v>38</v>
      </c>
      <c r="I2819" s="445" t="s">
        <v>6115</v>
      </c>
      <c r="J2819" s="483" t="s">
        <v>3059</v>
      </c>
      <c r="K2819" s="484"/>
      <c r="L2819" s="485"/>
      <c r="M2819" s="485"/>
      <c r="N2819" s="449"/>
      <c r="O2819" s="486"/>
      <c r="P2819" s="429"/>
    </row>
    <row r="2820" spans="1:16" ht="13.5" hidden="1" customHeight="1" outlineLevel="2" x14ac:dyDescent="0.2">
      <c r="A2820" s="233">
        <v>0</v>
      </c>
      <c r="B2820" s="233">
        <v>18</v>
      </c>
      <c r="C2820" s="233">
        <v>23</v>
      </c>
      <c r="D2820" s="234">
        <v>1</v>
      </c>
      <c r="E2820" s="234">
        <v>0</v>
      </c>
      <c r="G2820" s="507"/>
      <c r="H2820" s="487" t="s">
        <v>1237</v>
      </c>
      <c r="I2820" s="452" t="s">
        <v>6116</v>
      </c>
      <c r="J2820" s="489" t="s">
        <v>2279</v>
      </c>
      <c r="K2820" s="490"/>
      <c r="L2820" s="491"/>
      <c r="M2820" s="491"/>
      <c r="N2820" s="456">
        <v>6313.74</v>
      </c>
      <c r="O2820" s="492"/>
      <c r="P2820" s="430"/>
    </row>
    <row r="2821" spans="1:16" ht="13.5" hidden="1" customHeight="1" outlineLevel="3" x14ac:dyDescent="0.2">
      <c r="A2821" s="233">
        <v>0</v>
      </c>
      <c r="B2821" s="233">
        <v>18</v>
      </c>
      <c r="C2821" s="233">
        <v>23</v>
      </c>
      <c r="D2821" s="234">
        <v>1</v>
      </c>
      <c r="E2821" s="234">
        <v>1</v>
      </c>
      <c r="G2821" s="508" t="s">
        <v>51</v>
      </c>
      <c r="H2821" s="493" t="s">
        <v>1238</v>
      </c>
      <c r="I2821" s="460" t="s">
        <v>6117</v>
      </c>
      <c r="J2821" s="495" t="s">
        <v>2893</v>
      </c>
      <c r="K2821" s="496" t="s">
        <v>787</v>
      </c>
      <c r="L2821" s="497">
        <v>20.399999999999999</v>
      </c>
      <c r="M2821" s="497">
        <v>66.849999999999994</v>
      </c>
      <c r="N2821" s="464">
        <v>1363.74</v>
      </c>
      <c r="O2821" s="498" t="s">
        <v>2704</v>
      </c>
      <c r="P2821" s="431" t="s">
        <v>6711</v>
      </c>
    </row>
    <row r="2822" spans="1:16" ht="13.5" hidden="1" customHeight="1" outlineLevel="3" x14ac:dyDescent="0.2">
      <c r="A2822" s="233">
        <v>0</v>
      </c>
      <c r="B2822" s="233">
        <v>18</v>
      </c>
      <c r="C2822" s="233">
        <v>23</v>
      </c>
      <c r="D2822" s="234">
        <v>1</v>
      </c>
      <c r="E2822" s="234">
        <v>2</v>
      </c>
      <c r="G2822" s="508" t="s">
        <v>51</v>
      </c>
      <c r="H2822" s="493" t="s">
        <v>1238</v>
      </c>
      <c r="I2822" s="460" t="s">
        <v>6118</v>
      </c>
      <c r="J2822" s="495" t="s">
        <v>1892</v>
      </c>
      <c r="K2822" s="496" t="s">
        <v>533</v>
      </c>
      <c r="L2822" s="497">
        <v>4</v>
      </c>
      <c r="M2822" s="497">
        <v>1237.5</v>
      </c>
      <c r="N2822" s="464">
        <v>4950</v>
      </c>
      <c r="O2822" s="498" t="s">
        <v>2704</v>
      </c>
      <c r="P2822" s="431" t="s">
        <v>6711</v>
      </c>
    </row>
    <row r="2823" spans="1:16" ht="13.5" hidden="1" customHeight="1" outlineLevel="2" x14ac:dyDescent="0.2">
      <c r="A2823" s="233">
        <v>0</v>
      </c>
      <c r="B2823" s="233">
        <v>18</v>
      </c>
      <c r="C2823" s="233">
        <v>23</v>
      </c>
      <c r="D2823" s="234">
        <v>2</v>
      </c>
      <c r="E2823" s="234">
        <v>0</v>
      </c>
      <c r="G2823" s="507"/>
      <c r="H2823" s="487" t="s">
        <v>1237</v>
      </c>
      <c r="I2823" s="452" t="s">
        <v>6119</v>
      </c>
      <c r="J2823" s="489" t="s">
        <v>1885</v>
      </c>
      <c r="K2823" s="490"/>
      <c r="L2823" s="491"/>
      <c r="M2823" s="491"/>
      <c r="N2823" s="456"/>
      <c r="O2823" s="492"/>
      <c r="P2823" s="430"/>
    </row>
    <row r="2824" spans="1:16" ht="13.5" hidden="1" customHeight="1" outlineLevel="3" x14ac:dyDescent="0.2">
      <c r="A2824" s="233">
        <v>0</v>
      </c>
      <c r="B2824" s="233">
        <v>18</v>
      </c>
      <c r="C2824" s="233">
        <v>23</v>
      </c>
      <c r="D2824" s="234">
        <v>2</v>
      </c>
      <c r="E2824" s="234">
        <v>1</v>
      </c>
      <c r="G2824" s="508" t="s">
        <v>51</v>
      </c>
      <c r="H2824" s="493" t="s">
        <v>1238</v>
      </c>
      <c r="I2824" s="460" t="s">
        <v>6120</v>
      </c>
      <c r="J2824" s="495" t="s">
        <v>2706</v>
      </c>
      <c r="K2824" s="496" t="s">
        <v>787</v>
      </c>
      <c r="L2824" s="497" t="e">
        <v>#REF!</v>
      </c>
      <c r="M2824" s="497">
        <v>820</v>
      </c>
      <c r="N2824" s="464"/>
      <c r="O2824" s="498" t="s">
        <v>2703</v>
      </c>
      <c r="P2824" s="431" t="s">
        <v>6711</v>
      </c>
    </row>
    <row r="2825" spans="1:16" ht="13.5" hidden="1" customHeight="1" outlineLevel="3" x14ac:dyDescent="0.2">
      <c r="A2825" s="233">
        <v>0</v>
      </c>
      <c r="B2825" s="233">
        <v>18</v>
      </c>
      <c r="C2825" s="233">
        <v>23</v>
      </c>
      <c r="D2825" s="234">
        <v>2</v>
      </c>
      <c r="E2825" s="234">
        <v>2</v>
      </c>
      <c r="G2825" s="508" t="s">
        <v>51</v>
      </c>
      <c r="H2825" s="493" t="s">
        <v>1238</v>
      </c>
      <c r="I2825" s="460" t="s">
        <v>6121</v>
      </c>
      <c r="J2825" s="495" t="s">
        <v>2707</v>
      </c>
      <c r="K2825" s="496" t="s">
        <v>787</v>
      </c>
      <c r="L2825" s="497" t="e">
        <v>#REF!</v>
      </c>
      <c r="M2825" s="497">
        <v>520</v>
      </c>
      <c r="N2825" s="464"/>
      <c r="O2825" s="498" t="s">
        <v>2703</v>
      </c>
      <c r="P2825" s="431" t="s">
        <v>6711</v>
      </c>
    </row>
    <row r="2826" spans="1:16" ht="12.75" hidden="1" customHeight="1" outlineLevel="2" x14ac:dyDescent="0.2">
      <c r="A2826" s="233">
        <v>0</v>
      </c>
      <c r="B2826" s="233">
        <v>18</v>
      </c>
      <c r="C2826" s="233">
        <v>23</v>
      </c>
      <c r="D2826" s="234">
        <v>3</v>
      </c>
      <c r="E2826" s="234">
        <v>0</v>
      </c>
      <c r="G2826" s="507"/>
      <c r="H2826" s="487" t="s">
        <v>1237</v>
      </c>
      <c r="I2826" s="452" t="s">
        <v>6122</v>
      </c>
      <c r="J2826" s="489" t="s">
        <v>2709</v>
      </c>
      <c r="K2826" s="490"/>
      <c r="L2826" s="491"/>
      <c r="M2826" s="491"/>
      <c r="N2826" s="456"/>
      <c r="O2826" s="492"/>
      <c r="P2826" s="430"/>
    </row>
    <row r="2827" spans="1:16" ht="12.75" hidden="1" customHeight="1" outlineLevel="3" x14ac:dyDescent="0.2">
      <c r="A2827" s="233">
        <v>0</v>
      </c>
      <c r="B2827" s="233">
        <v>18</v>
      </c>
      <c r="C2827" s="233">
        <v>23</v>
      </c>
      <c r="D2827" s="234">
        <v>3</v>
      </c>
      <c r="E2827" s="234">
        <v>1</v>
      </c>
      <c r="G2827" s="508" t="s">
        <v>51</v>
      </c>
      <c r="H2827" s="493" t="s">
        <v>1238</v>
      </c>
      <c r="I2827" s="460" t="s">
        <v>6123</v>
      </c>
      <c r="J2827" s="495" t="s">
        <v>2708</v>
      </c>
      <c r="K2827" s="496" t="s">
        <v>641</v>
      </c>
      <c r="L2827" s="497" t="e">
        <v>#REF!</v>
      </c>
      <c r="M2827" s="497">
        <v>1240</v>
      </c>
      <c r="N2827" s="464"/>
      <c r="O2827" s="498" t="s">
        <v>2703</v>
      </c>
      <c r="P2827" s="431" t="s">
        <v>6711</v>
      </c>
    </row>
    <row r="2828" spans="1:16" ht="13.5" hidden="1" customHeight="1" outlineLevel="2" x14ac:dyDescent="0.2">
      <c r="A2828" s="233">
        <v>0</v>
      </c>
      <c r="B2828" s="233">
        <v>18</v>
      </c>
      <c r="C2828" s="233">
        <v>23</v>
      </c>
      <c r="D2828" s="234">
        <v>4</v>
      </c>
      <c r="E2828" s="234">
        <v>0</v>
      </c>
      <c r="G2828" s="507"/>
      <c r="H2828" s="487" t="s">
        <v>1237</v>
      </c>
      <c r="I2828" s="452" t="s">
        <v>6124</v>
      </c>
      <c r="J2828" s="489" t="s">
        <v>14</v>
      </c>
      <c r="K2828" s="490"/>
      <c r="L2828" s="491"/>
      <c r="M2828" s="491"/>
      <c r="N2828" s="456">
        <v>1200</v>
      </c>
      <c r="O2828" s="492">
        <v>7.1643202522796004E-2</v>
      </c>
      <c r="P2828" s="430"/>
    </row>
    <row r="2829" spans="1:16" ht="13.5" hidden="1" customHeight="1" outlineLevel="3" x14ac:dyDescent="0.2">
      <c r="A2829" s="233">
        <v>0</v>
      </c>
      <c r="B2829" s="233">
        <v>18</v>
      </c>
      <c r="C2829" s="233">
        <v>23</v>
      </c>
      <c r="D2829" s="234">
        <v>4</v>
      </c>
      <c r="E2829" s="234">
        <v>1</v>
      </c>
      <c r="G2829" s="508" t="s">
        <v>51</v>
      </c>
      <c r="H2829" s="493" t="s">
        <v>1238</v>
      </c>
      <c r="I2829" s="460" t="s">
        <v>6125</v>
      </c>
      <c r="J2829" s="495" t="s">
        <v>844</v>
      </c>
      <c r="K2829" s="496" t="s">
        <v>533</v>
      </c>
      <c r="L2829" s="497">
        <v>4</v>
      </c>
      <c r="M2829" s="497">
        <v>300</v>
      </c>
      <c r="N2829" s="464">
        <v>1200</v>
      </c>
      <c r="O2829" s="498" t="s">
        <v>2704</v>
      </c>
      <c r="P2829" s="431" t="s">
        <v>6711</v>
      </c>
    </row>
    <row r="2830" spans="1:16" ht="13.5" hidden="1" customHeight="1" outlineLevel="1" x14ac:dyDescent="0.2">
      <c r="A2830" s="233">
        <v>0</v>
      </c>
      <c r="B2830" s="233">
        <v>18</v>
      </c>
      <c r="C2830" s="233">
        <v>24</v>
      </c>
      <c r="D2830" s="234">
        <v>0</v>
      </c>
      <c r="E2830" s="234">
        <v>1</v>
      </c>
      <c r="G2830" s="506"/>
      <c r="H2830" s="481" t="s">
        <v>38</v>
      </c>
      <c r="I2830" s="445" t="s">
        <v>6126</v>
      </c>
      <c r="J2830" s="483" t="s">
        <v>3060</v>
      </c>
      <c r="K2830" s="484"/>
      <c r="L2830" s="485"/>
      <c r="M2830" s="485"/>
      <c r="N2830" s="449"/>
      <c r="O2830" s="486"/>
      <c r="P2830" s="429"/>
    </row>
    <row r="2831" spans="1:16" ht="13.5" hidden="1" customHeight="1" outlineLevel="2" x14ac:dyDescent="0.2">
      <c r="A2831" s="233">
        <v>0</v>
      </c>
      <c r="B2831" s="233">
        <v>18</v>
      </c>
      <c r="C2831" s="233">
        <v>24</v>
      </c>
      <c r="D2831" s="234">
        <v>1</v>
      </c>
      <c r="E2831" s="234">
        <v>0</v>
      </c>
      <c r="G2831" s="507"/>
      <c r="H2831" s="487" t="s">
        <v>1237</v>
      </c>
      <c r="I2831" s="452" t="s">
        <v>6127</v>
      </c>
      <c r="J2831" s="489" t="s">
        <v>2279</v>
      </c>
      <c r="K2831" s="490"/>
      <c r="L2831" s="491"/>
      <c r="M2831" s="491"/>
      <c r="N2831" s="456">
        <v>3156.87</v>
      </c>
      <c r="O2831" s="492"/>
      <c r="P2831" s="430"/>
    </row>
    <row r="2832" spans="1:16" ht="13.5" hidden="1" customHeight="1" outlineLevel="3" x14ac:dyDescent="0.2">
      <c r="A2832" s="233">
        <v>0</v>
      </c>
      <c r="B2832" s="233">
        <v>18</v>
      </c>
      <c r="C2832" s="233">
        <v>24</v>
      </c>
      <c r="D2832" s="234">
        <v>1</v>
      </c>
      <c r="E2832" s="234">
        <v>1</v>
      </c>
      <c r="G2832" s="508" t="s">
        <v>51</v>
      </c>
      <c r="H2832" s="493" t="s">
        <v>1238</v>
      </c>
      <c r="I2832" s="460" t="s">
        <v>6128</v>
      </c>
      <c r="J2832" s="495" t="s">
        <v>2893</v>
      </c>
      <c r="K2832" s="496" t="s">
        <v>787</v>
      </c>
      <c r="L2832" s="497">
        <v>10.199999999999999</v>
      </c>
      <c r="M2832" s="497">
        <v>66.849999999999994</v>
      </c>
      <c r="N2832" s="464">
        <v>681.87</v>
      </c>
      <c r="O2832" s="498" t="s">
        <v>2704</v>
      </c>
      <c r="P2832" s="431" t="s">
        <v>6711</v>
      </c>
    </row>
    <row r="2833" spans="1:16" ht="13.5" hidden="1" customHeight="1" outlineLevel="3" x14ac:dyDescent="0.2">
      <c r="A2833" s="233">
        <v>0</v>
      </c>
      <c r="B2833" s="233">
        <v>18</v>
      </c>
      <c r="C2833" s="233">
        <v>24</v>
      </c>
      <c r="D2833" s="234">
        <v>1</v>
      </c>
      <c r="E2833" s="234">
        <v>2</v>
      </c>
      <c r="G2833" s="508" t="s">
        <v>51</v>
      </c>
      <c r="H2833" s="493" t="s">
        <v>1238</v>
      </c>
      <c r="I2833" s="460" t="s">
        <v>6129</v>
      </c>
      <c r="J2833" s="495" t="s">
        <v>1892</v>
      </c>
      <c r="K2833" s="496" t="s">
        <v>533</v>
      </c>
      <c r="L2833" s="497">
        <v>2</v>
      </c>
      <c r="M2833" s="497">
        <v>1237.5</v>
      </c>
      <c r="N2833" s="464">
        <v>2475</v>
      </c>
      <c r="O2833" s="498" t="s">
        <v>2704</v>
      </c>
      <c r="P2833" s="431" t="s">
        <v>6711</v>
      </c>
    </row>
    <row r="2834" spans="1:16" ht="13.5" hidden="1" customHeight="1" outlineLevel="2" x14ac:dyDescent="0.2">
      <c r="A2834" s="233">
        <v>0</v>
      </c>
      <c r="B2834" s="233">
        <v>18</v>
      </c>
      <c r="C2834" s="233">
        <v>24</v>
      </c>
      <c r="D2834" s="234">
        <v>2</v>
      </c>
      <c r="E2834" s="234">
        <v>0</v>
      </c>
      <c r="G2834" s="507"/>
      <c r="H2834" s="487" t="s">
        <v>1237</v>
      </c>
      <c r="I2834" s="452" t="s">
        <v>6130</v>
      </c>
      <c r="J2834" s="489" t="s">
        <v>1885</v>
      </c>
      <c r="K2834" s="490"/>
      <c r="L2834" s="491"/>
      <c r="M2834" s="491"/>
      <c r="N2834" s="456"/>
      <c r="O2834" s="492"/>
      <c r="P2834" s="430"/>
    </row>
    <row r="2835" spans="1:16" ht="13.5" hidden="1" customHeight="1" outlineLevel="3" x14ac:dyDescent="0.2">
      <c r="A2835" s="233">
        <v>0</v>
      </c>
      <c r="B2835" s="233">
        <v>18</v>
      </c>
      <c r="C2835" s="233">
        <v>24</v>
      </c>
      <c r="D2835" s="234">
        <v>2</v>
      </c>
      <c r="E2835" s="234">
        <v>1</v>
      </c>
      <c r="G2835" s="508" t="s">
        <v>51</v>
      </c>
      <c r="H2835" s="493" t="s">
        <v>1238</v>
      </c>
      <c r="I2835" s="460" t="s">
        <v>6131</v>
      </c>
      <c r="J2835" s="495" t="s">
        <v>2706</v>
      </c>
      <c r="K2835" s="496" t="s">
        <v>787</v>
      </c>
      <c r="L2835" s="497" t="e">
        <v>#REF!</v>
      </c>
      <c r="M2835" s="497">
        <v>820</v>
      </c>
      <c r="N2835" s="464"/>
      <c r="O2835" s="498" t="s">
        <v>2703</v>
      </c>
      <c r="P2835" s="431" t="s">
        <v>6711</v>
      </c>
    </row>
    <row r="2836" spans="1:16" ht="13.5" hidden="1" customHeight="1" outlineLevel="3" x14ac:dyDescent="0.2">
      <c r="A2836" s="233">
        <v>0</v>
      </c>
      <c r="B2836" s="233">
        <v>18</v>
      </c>
      <c r="C2836" s="233">
        <v>24</v>
      </c>
      <c r="D2836" s="234">
        <v>2</v>
      </c>
      <c r="E2836" s="234">
        <v>2</v>
      </c>
      <c r="G2836" s="508" t="s">
        <v>51</v>
      </c>
      <c r="H2836" s="493" t="s">
        <v>1238</v>
      </c>
      <c r="I2836" s="460" t="s">
        <v>6132</v>
      </c>
      <c r="J2836" s="495" t="s">
        <v>2707</v>
      </c>
      <c r="K2836" s="496" t="s">
        <v>787</v>
      </c>
      <c r="L2836" s="497" t="e">
        <v>#REF!</v>
      </c>
      <c r="M2836" s="497">
        <v>520</v>
      </c>
      <c r="N2836" s="464"/>
      <c r="O2836" s="498" t="s">
        <v>2703</v>
      </c>
      <c r="P2836" s="431" t="s">
        <v>6711</v>
      </c>
    </row>
    <row r="2837" spans="1:16" ht="13.5" hidden="1" customHeight="1" outlineLevel="2" x14ac:dyDescent="0.2">
      <c r="A2837" s="233">
        <v>0</v>
      </c>
      <c r="B2837" s="233">
        <v>18</v>
      </c>
      <c r="C2837" s="233">
        <v>24</v>
      </c>
      <c r="D2837" s="234">
        <v>3</v>
      </c>
      <c r="E2837" s="234">
        <v>0</v>
      </c>
      <c r="G2837" s="507"/>
      <c r="H2837" s="487" t="s">
        <v>1237</v>
      </c>
      <c r="I2837" s="452" t="s">
        <v>6133</v>
      </c>
      <c r="J2837" s="489" t="s">
        <v>14</v>
      </c>
      <c r="K2837" s="490"/>
      <c r="L2837" s="491"/>
      <c r="M2837" s="491"/>
      <c r="N2837" s="456">
        <v>600</v>
      </c>
      <c r="O2837" s="492">
        <v>3.5821601261398002E-2</v>
      </c>
      <c r="P2837" s="430"/>
    </row>
    <row r="2838" spans="1:16" ht="13.5" hidden="1" customHeight="1" outlineLevel="3" x14ac:dyDescent="0.2">
      <c r="A2838" s="233">
        <v>0</v>
      </c>
      <c r="B2838" s="233">
        <v>18</v>
      </c>
      <c r="C2838" s="233">
        <v>24</v>
      </c>
      <c r="D2838" s="234">
        <v>3</v>
      </c>
      <c r="E2838" s="234">
        <v>1</v>
      </c>
      <c r="G2838" s="508" t="s">
        <v>51</v>
      </c>
      <c r="H2838" s="493" t="s">
        <v>1238</v>
      </c>
      <c r="I2838" s="460" t="s">
        <v>6134</v>
      </c>
      <c r="J2838" s="495" t="s">
        <v>844</v>
      </c>
      <c r="K2838" s="496" t="s">
        <v>533</v>
      </c>
      <c r="L2838" s="497">
        <v>2</v>
      </c>
      <c r="M2838" s="497">
        <v>300</v>
      </c>
      <c r="N2838" s="464">
        <v>600</v>
      </c>
      <c r="O2838" s="498" t="s">
        <v>2704</v>
      </c>
      <c r="P2838" s="431" t="s">
        <v>6711</v>
      </c>
    </row>
    <row r="2839" spans="1:16" ht="13.5" hidden="1" customHeight="1" outlineLevel="1" x14ac:dyDescent="0.2">
      <c r="A2839" s="233">
        <v>0</v>
      </c>
      <c r="B2839" s="233">
        <v>18</v>
      </c>
      <c r="C2839" s="233">
        <v>25</v>
      </c>
      <c r="D2839" s="234">
        <v>0</v>
      </c>
      <c r="E2839" s="234">
        <v>1</v>
      </c>
      <c r="G2839" s="506"/>
      <c r="H2839" s="481" t="s">
        <v>38</v>
      </c>
      <c r="I2839" s="445" t="s">
        <v>6135</v>
      </c>
      <c r="J2839" s="483" t="s">
        <v>3061</v>
      </c>
      <c r="K2839" s="484"/>
      <c r="L2839" s="485"/>
      <c r="M2839" s="485"/>
      <c r="N2839" s="449"/>
      <c r="O2839" s="486"/>
      <c r="P2839" s="429"/>
    </row>
    <row r="2840" spans="1:16" ht="13.5" hidden="1" customHeight="1" outlineLevel="2" x14ac:dyDescent="0.2">
      <c r="A2840" s="233">
        <v>0</v>
      </c>
      <c r="B2840" s="233">
        <v>18</v>
      </c>
      <c r="C2840" s="233">
        <v>25</v>
      </c>
      <c r="D2840" s="234">
        <v>1</v>
      </c>
      <c r="E2840" s="234">
        <v>0</v>
      </c>
      <c r="G2840" s="507"/>
      <c r="H2840" s="487" t="s">
        <v>1237</v>
      </c>
      <c r="I2840" s="452" t="s">
        <v>6136</v>
      </c>
      <c r="J2840" s="489" t="s">
        <v>2279</v>
      </c>
      <c r="K2840" s="490"/>
      <c r="L2840" s="491"/>
      <c r="M2840" s="491"/>
      <c r="N2840" s="456">
        <v>4735.3050000000003</v>
      </c>
      <c r="O2840" s="492"/>
      <c r="P2840" s="430"/>
    </row>
    <row r="2841" spans="1:16" ht="13.5" hidden="1" customHeight="1" outlineLevel="3" x14ac:dyDescent="0.2">
      <c r="A2841" s="233">
        <v>0</v>
      </c>
      <c r="B2841" s="233">
        <v>18</v>
      </c>
      <c r="C2841" s="233">
        <v>25</v>
      </c>
      <c r="D2841" s="234">
        <v>1</v>
      </c>
      <c r="E2841" s="234">
        <v>1</v>
      </c>
      <c r="G2841" s="508" t="s">
        <v>51</v>
      </c>
      <c r="H2841" s="493" t="s">
        <v>1238</v>
      </c>
      <c r="I2841" s="460" t="s">
        <v>6137</v>
      </c>
      <c r="J2841" s="495" t="s">
        <v>2893</v>
      </c>
      <c r="K2841" s="496" t="s">
        <v>787</v>
      </c>
      <c r="L2841" s="497">
        <v>15.299999999999999</v>
      </c>
      <c r="M2841" s="497">
        <v>66.849999999999994</v>
      </c>
      <c r="N2841" s="464">
        <v>1022.8049999999999</v>
      </c>
      <c r="O2841" s="498" t="s">
        <v>2704</v>
      </c>
      <c r="P2841" s="431" t="s">
        <v>6711</v>
      </c>
    </row>
    <row r="2842" spans="1:16" ht="13.5" hidden="1" customHeight="1" outlineLevel="3" x14ac:dyDescent="0.2">
      <c r="A2842" s="233">
        <v>0</v>
      </c>
      <c r="B2842" s="233">
        <v>18</v>
      </c>
      <c r="C2842" s="233">
        <v>25</v>
      </c>
      <c r="D2842" s="234">
        <v>1</v>
      </c>
      <c r="E2842" s="234">
        <v>2</v>
      </c>
      <c r="G2842" s="508" t="s">
        <v>51</v>
      </c>
      <c r="H2842" s="493" t="s">
        <v>1238</v>
      </c>
      <c r="I2842" s="460" t="s">
        <v>6138</v>
      </c>
      <c r="J2842" s="495" t="s">
        <v>1892</v>
      </c>
      <c r="K2842" s="496" t="s">
        <v>533</v>
      </c>
      <c r="L2842" s="497">
        <v>3</v>
      </c>
      <c r="M2842" s="497">
        <v>1237.5</v>
      </c>
      <c r="N2842" s="464">
        <v>3712.5</v>
      </c>
      <c r="O2842" s="498" t="s">
        <v>2704</v>
      </c>
      <c r="P2842" s="431" t="s">
        <v>6711</v>
      </c>
    </row>
    <row r="2843" spans="1:16" ht="13.5" hidden="1" customHeight="1" outlineLevel="2" x14ac:dyDescent="0.2">
      <c r="A2843" s="233">
        <v>0</v>
      </c>
      <c r="B2843" s="233">
        <v>18</v>
      </c>
      <c r="C2843" s="233">
        <v>25</v>
      </c>
      <c r="D2843" s="234">
        <v>2</v>
      </c>
      <c r="E2843" s="234">
        <v>0</v>
      </c>
      <c r="G2843" s="507"/>
      <c r="H2843" s="487" t="s">
        <v>1237</v>
      </c>
      <c r="I2843" s="452" t="s">
        <v>6139</v>
      </c>
      <c r="J2843" s="489" t="s">
        <v>1885</v>
      </c>
      <c r="K2843" s="490"/>
      <c r="L2843" s="491"/>
      <c r="M2843" s="491"/>
      <c r="N2843" s="456"/>
      <c r="O2843" s="492"/>
      <c r="P2843" s="430"/>
    </row>
    <row r="2844" spans="1:16" ht="13.5" hidden="1" customHeight="1" outlineLevel="3" x14ac:dyDescent="0.2">
      <c r="A2844" s="233">
        <v>0</v>
      </c>
      <c r="B2844" s="233">
        <v>18</v>
      </c>
      <c r="C2844" s="233">
        <v>25</v>
      </c>
      <c r="D2844" s="234">
        <v>2</v>
      </c>
      <c r="E2844" s="234">
        <v>1</v>
      </c>
      <c r="G2844" s="508" t="s">
        <v>51</v>
      </c>
      <c r="H2844" s="493" t="s">
        <v>1238</v>
      </c>
      <c r="I2844" s="460" t="s">
        <v>6140</v>
      </c>
      <c r="J2844" s="495" t="s">
        <v>2706</v>
      </c>
      <c r="K2844" s="496" t="s">
        <v>787</v>
      </c>
      <c r="L2844" s="497" t="e">
        <v>#REF!</v>
      </c>
      <c r="M2844" s="497">
        <v>820</v>
      </c>
      <c r="N2844" s="464"/>
      <c r="O2844" s="498" t="s">
        <v>2703</v>
      </c>
      <c r="P2844" s="431" t="s">
        <v>6711</v>
      </c>
    </row>
    <row r="2845" spans="1:16" ht="13.5" hidden="1" customHeight="1" outlineLevel="3" x14ac:dyDescent="0.2">
      <c r="A2845" s="233">
        <v>0</v>
      </c>
      <c r="B2845" s="233">
        <v>18</v>
      </c>
      <c r="C2845" s="233">
        <v>25</v>
      </c>
      <c r="D2845" s="234">
        <v>2</v>
      </c>
      <c r="E2845" s="234">
        <v>2</v>
      </c>
      <c r="G2845" s="508" t="s">
        <v>51</v>
      </c>
      <c r="H2845" s="493" t="s">
        <v>1238</v>
      </c>
      <c r="I2845" s="460" t="s">
        <v>6141</v>
      </c>
      <c r="J2845" s="495" t="s">
        <v>2707</v>
      </c>
      <c r="K2845" s="496" t="s">
        <v>787</v>
      </c>
      <c r="L2845" s="497" t="e">
        <v>#REF!</v>
      </c>
      <c r="M2845" s="497">
        <v>520</v>
      </c>
      <c r="N2845" s="464"/>
      <c r="O2845" s="498" t="s">
        <v>2703</v>
      </c>
      <c r="P2845" s="431" t="s">
        <v>6711</v>
      </c>
    </row>
    <row r="2846" spans="1:16" ht="13.5" hidden="1" customHeight="1" outlineLevel="2" x14ac:dyDescent="0.2">
      <c r="A2846" s="233">
        <v>0</v>
      </c>
      <c r="B2846" s="233">
        <v>18</v>
      </c>
      <c r="C2846" s="233">
        <v>25</v>
      </c>
      <c r="D2846" s="234">
        <v>3</v>
      </c>
      <c r="E2846" s="234">
        <v>0</v>
      </c>
      <c r="G2846" s="507"/>
      <c r="H2846" s="487" t="s">
        <v>1237</v>
      </c>
      <c r="I2846" s="452" t="s">
        <v>6142</v>
      </c>
      <c r="J2846" s="489" t="s">
        <v>14</v>
      </c>
      <c r="K2846" s="490"/>
      <c r="L2846" s="491"/>
      <c r="M2846" s="491"/>
      <c r="N2846" s="456">
        <v>900</v>
      </c>
      <c r="O2846" s="492">
        <v>5.3732401892097E-2</v>
      </c>
      <c r="P2846" s="430"/>
    </row>
    <row r="2847" spans="1:16" ht="13.5" hidden="1" customHeight="1" outlineLevel="3" x14ac:dyDescent="0.2">
      <c r="A2847" s="233">
        <v>0</v>
      </c>
      <c r="B2847" s="233">
        <v>18</v>
      </c>
      <c r="C2847" s="233">
        <v>25</v>
      </c>
      <c r="D2847" s="234">
        <v>3</v>
      </c>
      <c r="E2847" s="234">
        <v>1</v>
      </c>
      <c r="G2847" s="508" t="s">
        <v>51</v>
      </c>
      <c r="H2847" s="493" t="s">
        <v>1238</v>
      </c>
      <c r="I2847" s="460" t="s">
        <v>6143</v>
      </c>
      <c r="J2847" s="495" t="s">
        <v>844</v>
      </c>
      <c r="K2847" s="496" t="s">
        <v>533</v>
      </c>
      <c r="L2847" s="497">
        <v>3</v>
      </c>
      <c r="M2847" s="497">
        <v>300</v>
      </c>
      <c r="N2847" s="464">
        <v>900</v>
      </c>
      <c r="O2847" s="498" t="s">
        <v>2704</v>
      </c>
      <c r="P2847" s="431" t="s">
        <v>6711</v>
      </c>
    </row>
    <row r="2848" spans="1:16" ht="13.5" hidden="1" customHeight="1" outlineLevel="1" x14ac:dyDescent="0.2">
      <c r="A2848" s="233">
        <v>0</v>
      </c>
      <c r="B2848" s="233">
        <v>18</v>
      </c>
      <c r="C2848" s="233">
        <v>26</v>
      </c>
      <c r="D2848" s="234">
        <v>0</v>
      </c>
      <c r="E2848" s="234">
        <v>1</v>
      </c>
      <c r="G2848" s="506"/>
      <c r="H2848" s="481" t="s">
        <v>38</v>
      </c>
      <c r="I2848" s="445" t="s">
        <v>6144</v>
      </c>
      <c r="J2848" s="483" t="s">
        <v>3062</v>
      </c>
      <c r="K2848" s="484"/>
      <c r="L2848" s="485"/>
      <c r="M2848" s="485"/>
      <c r="N2848" s="449"/>
      <c r="O2848" s="486"/>
      <c r="P2848" s="429"/>
    </row>
    <row r="2849" spans="1:16" ht="13.5" hidden="1" customHeight="1" outlineLevel="2" x14ac:dyDescent="0.2">
      <c r="A2849" s="233">
        <v>0</v>
      </c>
      <c r="B2849" s="233">
        <v>18</v>
      </c>
      <c r="C2849" s="233">
        <v>26</v>
      </c>
      <c r="D2849" s="234">
        <v>1</v>
      </c>
      <c r="E2849" s="234">
        <v>0</v>
      </c>
      <c r="G2849" s="507"/>
      <c r="H2849" s="487" t="s">
        <v>1237</v>
      </c>
      <c r="I2849" s="452" t="s">
        <v>6145</v>
      </c>
      <c r="J2849" s="489" t="s">
        <v>2279</v>
      </c>
      <c r="K2849" s="490"/>
      <c r="L2849" s="491"/>
      <c r="M2849" s="491"/>
      <c r="N2849" s="456">
        <v>4735.3050000000003</v>
      </c>
      <c r="O2849" s="492"/>
      <c r="P2849" s="430"/>
    </row>
    <row r="2850" spans="1:16" ht="13.5" hidden="1" customHeight="1" outlineLevel="3" x14ac:dyDescent="0.2">
      <c r="A2850" s="233">
        <v>0</v>
      </c>
      <c r="B2850" s="233">
        <v>18</v>
      </c>
      <c r="C2850" s="233">
        <v>26</v>
      </c>
      <c r="D2850" s="234">
        <v>1</v>
      </c>
      <c r="E2850" s="234">
        <v>1</v>
      </c>
      <c r="G2850" s="508" t="s">
        <v>51</v>
      </c>
      <c r="H2850" s="493" t="s">
        <v>1238</v>
      </c>
      <c r="I2850" s="460" t="s">
        <v>6146</v>
      </c>
      <c r="J2850" s="495" t="s">
        <v>2893</v>
      </c>
      <c r="K2850" s="496" t="s">
        <v>787</v>
      </c>
      <c r="L2850" s="497">
        <v>15.299999999999999</v>
      </c>
      <c r="M2850" s="497">
        <v>66.849999999999994</v>
      </c>
      <c r="N2850" s="464">
        <v>1022.8049999999999</v>
      </c>
      <c r="O2850" s="498" t="s">
        <v>2704</v>
      </c>
      <c r="P2850" s="431" t="s">
        <v>6711</v>
      </c>
    </row>
    <row r="2851" spans="1:16" ht="13.5" hidden="1" customHeight="1" outlineLevel="3" x14ac:dyDescent="0.2">
      <c r="A2851" s="233">
        <v>0</v>
      </c>
      <c r="B2851" s="233">
        <v>18</v>
      </c>
      <c r="C2851" s="233">
        <v>26</v>
      </c>
      <c r="D2851" s="234">
        <v>1</v>
      </c>
      <c r="E2851" s="234">
        <v>2</v>
      </c>
      <c r="G2851" s="508" t="s">
        <v>51</v>
      </c>
      <c r="H2851" s="493" t="s">
        <v>1238</v>
      </c>
      <c r="I2851" s="460" t="s">
        <v>6147</v>
      </c>
      <c r="J2851" s="495" t="s">
        <v>1892</v>
      </c>
      <c r="K2851" s="496" t="s">
        <v>533</v>
      </c>
      <c r="L2851" s="497">
        <v>3</v>
      </c>
      <c r="M2851" s="497">
        <v>1237.5</v>
      </c>
      <c r="N2851" s="464">
        <v>3712.5</v>
      </c>
      <c r="O2851" s="498" t="s">
        <v>2704</v>
      </c>
      <c r="P2851" s="431" t="s">
        <v>6711</v>
      </c>
    </row>
    <row r="2852" spans="1:16" ht="13.5" hidden="1" customHeight="1" outlineLevel="2" x14ac:dyDescent="0.2">
      <c r="A2852" s="233">
        <v>0</v>
      </c>
      <c r="B2852" s="233">
        <v>18</v>
      </c>
      <c r="C2852" s="233">
        <v>26</v>
      </c>
      <c r="D2852" s="234">
        <v>2</v>
      </c>
      <c r="E2852" s="234">
        <v>0</v>
      </c>
      <c r="G2852" s="507"/>
      <c r="H2852" s="487" t="s">
        <v>1237</v>
      </c>
      <c r="I2852" s="452" t="s">
        <v>6148</v>
      </c>
      <c r="J2852" s="489" t="s">
        <v>1885</v>
      </c>
      <c r="K2852" s="490"/>
      <c r="L2852" s="491"/>
      <c r="M2852" s="491"/>
      <c r="N2852" s="456"/>
      <c r="O2852" s="492"/>
      <c r="P2852" s="430"/>
    </row>
    <row r="2853" spans="1:16" ht="13.5" hidden="1" customHeight="1" outlineLevel="3" x14ac:dyDescent="0.2">
      <c r="A2853" s="233">
        <v>0</v>
      </c>
      <c r="B2853" s="233">
        <v>18</v>
      </c>
      <c r="C2853" s="233">
        <v>26</v>
      </c>
      <c r="D2853" s="234">
        <v>2</v>
      </c>
      <c r="E2853" s="234">
        <v>1</v>
      </c>
      <c r="G2853" s="508" t="s">
        <v>51</v>
      </c>
      <c r="H2853" s="493" t="s">
        <v>1238</v>
      </c>
      <c r="I2853" s="460" t="s">
        <v>6149</v>
      </c>
      <c r="J2853" s="495" t="s">
        <v>2706</v>
      </c>
      <c r="K2853" s="496" t="s">
        <v>787</v>
      </c>
      <c r="L2853" s="497" t="e">
        <v>#REF!</v>
      </c>
      <c r="M2853" s="497">
        <v>820</v>
      </c>
      <c r="N2853" s="464"/>
      <c r="O2853" s="498" t="s">
        <v>2703</v>
      </c>
      <c r="P2853" s="431" t="s">
        <v>6711</v>
      </c>
    </row>
    <row r="2854" spans="1:16" ht="13.5" hidden="1" customHeight="1" outlineLevel="3" x14ac:dyDescent="0.2">
      <c r="A2854" s="233">
        <v>0</v>
      </c>
      <c r="B2854" s="233">
        <v>18</v>
      </c>
      <c r="C2854" s="233">
        <v>26</v>
      </c>
      <c r="D2854" s="234">
        <v>2</v>
      </c>
      <c r="E2854" s="234">
        <v>2</v>
      </c>
      <c r="G2854" s="508" t="s">
        <v>51</v>
      </c>
      <c r="H2854" s="493" t="s">
        <v>1238</v>
      </c>
      <c r="I2854" s="460" t="s">
        <v>6150</v>
      </c>
      <c r="J2854" s="495" t="s">
        <v>2707</v>
      </c>
      <c r="K2854" s="496" t="s">
        <v>787</v>
      </c>
      <c r="L2854" s="497" t="e">
        <v>#REF!</v>
      </c>
      <c r="M2854" s="497">
        <v>520</v>
      </c>
      <c r="N2854" s="464"/>
      <c r="O2854" s="498" t="s">
        <v>2703</v>
      </c>
      <c r="P2854" s="431" t="s">
        <v>6711</v>
      </c>
    </row>
    <row r="2855" spans="1:16" ht="13.5" hidden="1" customHeight="1" outlineLevel="2" x14ac:dyDescent="0.2">
      <c r="A2855" s="233">
        <v>0</v>
      </c>
      <c r="B2855" s="233">
        <v>18</v>
      </c>
      <c r="C2855" s="233">
        <v>26</v>
      </c>
      <c r="D2855" s="234">
        <v>3</v>
      </c>
      <c r="E2855" s="234">
        <v>0</v>
      </c>
      <c r="G2855" s="507"/>
      <c r="H2855" s="487" t="s">
        <v>1237</v>
      </c>
      <c r="I2855" s="452" t="s">
        <v>6151</v>
      </c>
      <c r="J2855" s="489" t="s">
        <v>14</v>
      </c>
      <c r="K2855" s="490"/>
      <c r="L2855" s="491"/>
      <c r="M2855" s="491"/>
      <c r="N2855" s="456">
        <v>900</v>
      </c>
      <c r="O2855" s="492">
        <v>5.3732401892097E-2</v>
      </c>
      <c r="P2855" s="430"/>
    </row>
    <row r="2856" spans="1:16" ht="13.5" hidden="1" customHeight="1" outlineLevel="3" x14ac:dyDescent="0.2">
      <c r="A2856" s="233">
        <v>0</v>
      </c>
      <c r="B2856" s="233">
        <v>18</v>
      </c>
      <c r="C2856" s="233">
        <v>26</v>
      </c>
      <c r="D2856" s="234">
        <v>3</v>
      </c>
      <c r="E2856" s="234">
        <v>1</v>
      </c>
      <c r="G2856" s="508" t="s">
        <v>51</v>
      </c>
      <c r="H2856" s="493" t="s">
        <v>1238</v>
      </c>
      <c r="I2856" s="460" t="s">
        <v>6152</v>
      </c>
      <c r="J2856" s="495" t="s">
        <v>844</v>
      </c>
      <c r="K2856" s="496" t="s">
        <v>533</v>
      </c>
      <c r="L2856" s="497">
        <v>3</v>
      </c>
      <c r="M2856" s="497">
        <v>300</v>
      </c>
      <c r="N2856" s="464">
        <v>900</v>
      </c>
      <c r="O2856" s="498" t="s">
        <v>2704</v>
      </c>
      <c r="P2856" s="431" t="s">
        <v>6711</v>
      </c>
    </row>
    <row r="2857" spans="1:16" ht="13.5" hidden="1" customHeight="1" outlineLevel="1" x14ac:dyDescent="0.2">
      <c r="A2857" s="233">
        <v>0</v>
      </c>
      <c r="B2857" s="233">
        <v>18</v>
      </c>
      <c r="C2857" s="233">
        <v>27</v>
      </c>
      <c r="D2857" s="234">
        <v>0</v>
      </c>
      <c r="E2857" s="234">
        <v>1</v>
      </c>
      <c r="G2857" s="506"/>
      <c r="H2857" s="481" t="s">
        <v>38</v>
      </c>
      <c r="I2857" s="445" t="s">
        <v>6153</v>
      </c>
      <c r="J2857" s="483" t="s">
        <v>3063</v>
      </c>
      <c r="K2857" s="484"/>
      <c r="L2857" s="485"/>
      <c r="M2857" s="485"/>
      <c r="N2857" s="449"/>
      <c r="O2857" s="486"/>
      <c r="P2857" s="429"/>
    </row>
    <row r="2858" spans="1:16" ht="13.5" hidden="1" customHeight="1" outlineLevel="2" x14ac:dyDescent="0.2">
      <c r="A2858" s="233">
        <v>0</v>
      </c>
      <c r="B2858" s="233">
        <v>18</v>
      </c>
      <c r="C2858" s="233">
        <v>27</v>
      </c>
      <c r="D2858" s="234">
        <v>1</v>
      </c>
      <c r="E2858" s="234">
        <v>0</v>
      </c>
      <c r="G2858" s="507"/>
      <c r="H2858" s="487" t="s">
        <v>1237</v>
      </c>
      <c r="I2858" s="452" t="s">
        <v>6154</v>
      </c>
      <c r="J2858" s="489" t="s">
        <v>2279</v>
      </c>
      <c r="K2858" s="490"/>
      <c r="L2858" s="491"/>
      <c r="M2858" s="491"/>
      <c r="N2858" s="456">
        <v>6313.74</v>
      </c>
      <c r="O2858" s="492"/>
      <c r="P2858" s="430"/>
    </row>
    <row r="2859" spans="1:16" ht="13.5" hidden="1" customHeight="1" outlineLevel="3" x14ac:dyDescent="0.2">
      <c r="A2859" s="233">
        <v>0</v>
      </c>
      <c r="B2859" s="233">
        <v>18</v>
      </c>
      <c r="C2859" s="233">
        <v>27</v>
      </c>
      <c r="D2859" s="234">
        <v>1</v>
      </c>
      <c r="E2859" s="234">
        <v>1</v>
      </c>
      <c r="G2859" s="508" t="s">
        <v>51</v>
      </c>
      <c r="H2859" s="493" t="s">
        <v>1238</v>
      </c>
      <c r="I2859" s="460" t="s">
        <v>6155</v>
      </c>
      <c r="J2859" s="495" t="s">
        <v>2893</v>
      </c>
      <c r="K2859" s="496" t="s">
        <v>787</v>
      </c>
      <c r="L2859" s="497">
        <v>20.399999999999999</v>
      </c>
      <c r="M2859" s="497">
        <v>66.849999999999994</v>
      </c>
      <c r="N2859" s="464">
        <v>1363.74</v>
      </c>
      <c r="O2859" s="498" t="s">
        <v>2704</v>
      </c>
      <c r="P2859" s="431" t="s">
        <v>6711</v>
      </c>
    </row>
    <row r="2860" spans="1:16" ht="13.5" hidden="1" customHeight="1" outlineLevel="3" x14ac:dyDescent="0.2">
      <c r="A2860" s="233">
        <v>0</v>
      </c>
      <c r="B2860" s="233">
        <v>18</v>
      </c>
      <c r="C2860" s="233">
        <v>27</v>
      </c>
      <c r="D2860" s="234">
        <v>1</v>
      </c>
      <c r="E2860" s="234">
        <v>2</v>
      </c>
      <c r="G2860" s="508" t="s">
        <v>51</v>
      </c>
      <c r="H2860" s="493" t="s">
        <v>1238</v>
      </c>
      <c r="I2860" s="460" t="s">
        <v>6156</v>
      </c>
      <c r="J2860" s="495" t="s">
        <v>1892</v>
      </c>
      <c r="K2860" s="496" t="s">
        <v>533</v>
      </c>
      <c r="L2860" s="497">
        <v>4</v>
      </c>
      <c r="M2860" s="497">
        <v>1237.5</v>
      </c>
      <c r="N2860" s="464">
        <v>4950</v>
      </c>
      <c r="O2860" s="498" t="s">
        <v>2704</v>
      </c>
      <c r="P2860" s="431" t="s">
        <v>6711</v>
      </c>
    </row>
    <row r="2861" spans="1:16" ht="13.5" hidden="1" customHeight="1" outlineLevel="2" x14ac:dyDescent="0.2">
      <c r="A2861" s="233">
        <v>0</v>
      </c>
      <c r="B2861" s="233">
        <v>18</v>
      </c>
      <c r="C2861" s="233">
        <v>27</v>
      </c>
      <c r="D2861" s="234">
        <v>2</v>
      </c>
      <c r="E2861" s="234">
        <v>0</v>
      </c>
      <c r="G2861" s="507"/>
      <c r="H2861" s="487" t="s">
        <v>1237</v>
      </c>
      <c r="I2861" s="452" t="s">
        <v>6157</v>
      </c>
      <c r="J2861" s="489" t="s">
        <v>1885</v>
      </c>
      <c r="K2861" s="490"/>
      <c r="L2861" s="491"/>
      <c r="M2861" s="491"/>
      <c r="N2861" s="456"/>
      <c r="O2861" s="492"/>
      <c r="P2861" s="430"/>
    </row>
    <row r="2862" spans="1:16" ht="13.5" hidden="1" customHeight="1" outlineLevel="3" x14ac:dyDescent="0.2">
      <c r="A2862" s="233">
        <v>0</v>
      </c>
      <c r="B2862" s="233">
        <v>18</v>
      </c>
      <c r="C2862" s="233">
        <v>27</v>
      </c>
      <c r="D2862" s="234">
        <v>2</v>
      </c>
      <c r="E2862" s="234">
        <v>1</v>
      </c>
      <c r="G2862" s="508" t="s">
        <v>51</v>
      </c>
      <c r="H2862" s="493" t="s">
        <v>1238</v>
      </c>
      <c r="I2862" s="460" t="s">
        <v>6158</v>
      </c>
      <c r="J2862" s="495" t="s">
        <v>2706</v>
      </c>
      <c r="K2862" s="496" t="s">
        <v>787</v>
      </c>
      <c r="L2862" s="497" t="e">
        <v>#REF!</v>
      </c>
      <c r="M2862" s="497">
        <v>820</v>
      </c>
      <c r="N2862" s="464"/>
      <c r="O2862" s="498" t="s">
        <v>2703</v>
      </c>
      <c r="P2862" s="431" t="s">
        <v>6711</v>
      </c>
    </row>
    <row r="2863" spans="1:16" ht="13.5" hidden="1" customHeight="1" outlineLevel="3" x14ac:dyDescent="0.2">
      <c r="A2863" s="233">
        <v>0</v>
      </c>
      <c r="B2863" s="233">
        <v>18</v>
      </c>
      <c r="C2863" s="233">
        <v>27</v>
      </c>
      <c r="D2863" s="234">
        <v>2</v>
      </c>
      <c r="E2863" s="234">
        <v>2</v>
      </c>
      <c r="G2863" s="508" t="s">
        <v>51</v>
      </c>
      <c r="H2863" s="493" t="s">
        <v>1238</v>
      </c>
      <c r="I2863" s="460" t="s">
        <v>6159</v>
      </c>
      <c r="J2863" s="495" t="s">
        <v>2707</v>
      </c>
      <c r="K2863" s="496" t="s">
        <v>787</v>
      </c>
      <c r="L2863" s="497" t="e">
        <v>#REF!</v>
      </c>
      <c r="M2863" s="497">
        <v>520</v>
      </c>
      <c r="N2863" s="464"/>
      <c r="O2863" s="498" t="s">
        <v>2703</v>
      </c>
      <c r="P2863" s="431" t="s">
        <v>6711</v>
      </c>
    </row>
    <row r="2864" spans="1:16" ht="13.5" hidden="1" customHeight="1" outlineLevel="2" x14ac:dyDescent="0.2">
      <c r="A2864" s="233">
        <v>0</v>
      </c>
      <c r="B2864" s="233">
        <v>18</v>
      </c>
      <c r="C2864" s="233">
        <v>27</v>
      </c>
      <c r="D2864" s="234">
        <v>3</v>
      </c>
      <c r="E2864" s="234">
        <v>0</v>
      </c>
      <c r="G2864" s="507"/>
      <c r="H2864" s="487" t="s">
        <v>1237</v>
      </c>
      <c r="I2864" s="452" t="s">
        <v>6160</v>
      </c>
      <c r="J2864" s="489" t="s">
        <v>14</v>
      </c>
      <c r="K2864" s="490"/>
      <c r="L2864" s="491"/>
      <c r="M2864" s="491"/>
      <c r="N2864" s="456">
        <v>1200</v>
      </c>
      <c r="O2864" s="492">
        <v>7.1643202522796004E-2</v>
      </c>
      <c r="P2864" s="430"/>
    </row>
    <row r="2865" spans="1:16" ht="13.5" hidden="1" customHeight="1" outlineLevel="3" x14ac:dyDescent="0.2">
      <c r="A2865" s="233">
        <v>0</v>
      </c>
      <c r="B2865" s="233">
        <v>18</v>
      </c>
      <c r="C2865" s="233">
        <v>27</v>
      </c>
      <c r="D2865" s="234">
        <v>3</v>
      </c>
      <c r="E2865" s="234">
        <v>1</v>
      </c>
      <c r="G2865" s="508" t="s">
        <v>51</v>
      </c>
      <c r="H2865" s="493" t="s">
        <v>1238</v>
      </c>
      <c r="I2865" s="460" t="s">
        <v>6161</v>
      </c>
      <c r="J2865" s="495" t="s">
        <v>844</v>
      </c>
      <c r="K2865" s="496" t="s">
        <v>533</v>
      </c>
      <c r="L2865" s="497">
        <v>4</v>
      </c>
      <c r="M2865" s="497">
        <v>300</v>
      </c>
      <c r="N2865" s="464">
        <v>1200</v>
      </c>
      <c r="O2865" s="498" t="s">
        <v>2704</v>
      </c>
      <c r="P2865" s="431" t="s">
        <v>6711</v>
      </c>
    </row>
    <row r="2866" spans="1:16" ht="13.5" hidden="1" customHeight="1" outlineLevel="1" x14ac:dyDescent="0.2">
      <c r="A2866" s="233">
        <v>0</v>
      </c>
      <c r="B2866" s="233">
        <v>18</v>
      </c>
      <c r="C2866" s="233">
        <v>28</v>
      </c>
      <c r="D2866" s="234">
        <v>0</v>
      </c>
      <c r="E2866" s="234">
        <v>1</v>
      </c>
      <c r="G2866" s="506"/>
      <c r="H2866" s="481" t="s">
        <v>38</v>
      </c>
      <c r="I2866" s="445" t="s">
        <v>6162</v>
      </c>
      <c r="J2866" s="483" t="s">
        <v>3064</v>
      </c>
      <c r="K2866" s="484"/>
      <c r="L2866" s="485"/>
      <c r="M2866" s="485"/>
      <c r="N2866" s="449"/>
      <c r="O2866" s="486"/>
      <c r="P2866" s="429"/>
    </row>
    <row r="2867" spans="1:16" ht="13.5" hidden="1" customHeight="1" outlineLevel="2" x14ac:dyDescent="0.2">
      <c r="A2867" s="233">
        <v>0</v>
      </c>
      <c r="B2867" s="233">
        <v>18</v>
      </c>
      <c r="C2867" s="233">
        <v>28</v>
      </c>
      <c r="D2867" s="234">
        <v>1</v>
      </c>
      <c r="E2867" s="234">
        <v>0</v>
      </c>
      <c r="G2867" s="507"/>
      <c r="H2867" s="487" t="s">
        <v>1237</v>
      </c>
      <c r="I2867" s="452" t="s">
        <v>6163</v>
      </c>
      <c r="J2867" s="489" t="s">
        <v>2279</v>
      </c>
      <c r="K2867" s="490"/>
      <c r="L2867" s="491"/>
      <c r="M2867" s="491"/>
      <c r="N2867" s="456">
        <v>6313.74</v>
      </c>
      <c r="O2867" s="492"/>
      <c r="P2867" s="430"/>
    </row>
    <row r="2868" spans="1:16" ht="13.5" hidden="1" customHeight="1" outlineLevel="3" x14ac:dyDescent="0.2">
      <c r="A2868" s="233">
        <v>0</v>
      </c>
      <c r="B2868" s="233">
        <v>18</v>
      </c>
      <c r="C2868" s="233">
        <v>28</v>
      </c>
      <c r="D2868" s="234">
        <v>1</v>
      </c>
      <c r="E2868" s="234">
        <v>1</v>
      </c>
      <c r="G2868" s="508" t="s">
        <v>51</v>
      </c>
      <c r="H2868" s="493" t="s">
        <v>1238</v>
      </c>
      <c r="I2868" s="460" t="s">
        <v>6164</v>
      </c>
      <c r="J2868" s="495" t="s">
        <v>2893</v>
      </c>
      <c r="K2868" s="496" t="s">
        <v>787</v>
      </c>
      <c r="L2868" s="497">
        <v>20.399999999999999</v>
      </c>
      <c r="M2868" s="497">
        <v>66.849999999999994</v>
      </c>
      <c r="N2868" s="464">
        <v>1363.74</v>
      </c>
      <c r="O2868" s="498" t="s">
        <v>2704</v>
      </c>
      <c r="P2868" s="431" t="s">
        <v>6711</v>
      </c>
    </row>
    <row r="2869" spans="1:16" ht="13.5" hidden="1" customHeight="1" outlineLevel="3" x14ac:dyDescent="0.2">
      <c r="A2869" s="233">
        <v>0</v>
      </c>
      <c r="B2869" s="233">
        <v>18</v>
      </c>
      <c r="C2869" s="233">
        <v>28</v>
      </c>
      <c r="D2869" s="234">
        <v>1</v>
      </c>
      <c r="E2869" s="234">
        <v>2</v>
      </c>
      <c r="G2869" s="508" t="s">
        <v>51</v>
      </c>
      <c r="H2869" s="493" t="s">
        <v>1238</v>
      </c>
      <c r="I2869" s="460" t="s">
        <v>6165</v>
      </c>
      <c r="J2869" s="495" t="s">
        <v>1892</v>
      </c>
      <c r="K2869" s="496" t="s">
        <v>533</v>
      </c>
      <c r="L2869" s="497">
        <v>4</v>
      </c>
      <c r="M2869" s="497">
        <v>1237.5</v>
      </c>
      <c r="N2869" s="464">
        <v>4950</v>
      </c>
      <c r="O2869" s="498" t="s">
        <v>2704</v>
      </c>
      <c r="P2869" s="431" t="s">
        <v>6711</v>
      </c>
    </row>
    <row r="2870" spans="1:16" ht="13.5" hidden="1" customHeight="1" outlineLevel="2" x14ac:dyDescent="0.2">
      <c r="A2870" s="233">
        <v>0</v>
      </c>
      <c r="B2870" s="233">
        <v>18</v>
      </c>
      <c r="C2870" s="233">
        <v>28</v>
      </c>
      <c r="D2870" s="234">
        <v>2</v>
      </c>
      <c r="E2870" s="234">
        <v>0</v>
      </c>
      <c r="G2870" s="507"/>
      <c r="H2870" s="487" t="s">
        <v>1237</v>
      </c>
      <c r="I2870" s="452" t="s">
        <v>6166</v>
      </c>
      <c r="J2870" s="489" t="s">
        <v>1885</v>
      </c>
      <c r="K2870" s="490"/>
      <c r="L2870" s="491"/>
      <c r="M2870" s="491"/>
      <c r="N2870" s="456"/>
      <c r="O2870" s="492"/>
      <c r="P2870" s="430"/>
    </row>
    <row r="2871" spans="1:16" ht="13.5" hidden="1" customHeight="1" outlineLevel="3" x14ac:dyDescent="0.2">
      <c r="A2871" s="233">
        <v>0</v>
      </c>
      <c r="B2871" s="233">
        <v>18</v>
      </c>
      <c r="C2871" s="233">
        <v>28</v>
      </c>
      <c r="D2871" s="234">
        <v>2</v>
      </c>
      <c r="E2871" s="234">
        <v>1</v>
      </c>
      <c r="G2871" s="508" t="s">
        <v>51</v>
      </c>
      <c r="H2871" s="493" t="s">
        <v>1238</v>
      </c>
      <c r="I2871" s="460" t="s">
        <v>6167</v>
      </c>
      <c r="J2871" s="495" t="s">
        <v>2706</v>
      </c>
      <c r="K2871" s="496" t="s">
        <v>787</v>
      </c>
      <c r="L2871" s="497" t="e">
        <v>#REF!</v>
      </c>
      <c r="M2871" s="497">
        <v>820</v>
      </c>
      <c r="N2871" s="464"/>
      <c r="O2871" s="498" t="s">
        <v>2703</v>
      </c>
      <c r="P2871" s="431" t="s">
        <v>6711</v>
      </c>
    </row>
    <row r="2872" spans="1:16" ht="13.5" hidden="1" customHeight="1" outlineLevel="3" x14ac:dyDescent="0.2">
      <c r="A2872" s="233">
        <v>0</v>
      </c>
      <c r="B2872" s="233">
        <v>18</v>
      </c>
      <c r="C2872" s="233">
        <v>28</v>
      </c>
      <c r="D2872" s="234">
        <v>2</v>
      </c>
      <c r="E2872" s="234">
        <v>2</v>
      </c>
      <c r="G2872" s="508" t="s">
        <v>51</v>
      </c>
      <c r="H2872" s="493" t="s">
        <v>1238</v>
      </c>
      <c r="I2872" s="460" t="s">
        <v>6168</v>
      </c>
      <c r="J2872" s="495" t="s">
        <v>2707</v>
      </c>
      <c r="K2872" s="496" t="s">
        <v>787</v>
      </c>
      <c r="L2872" s="497" t="e">
        <v>#REF!</v>
      </c>
      <c r="M2872" s="497">
        <v>520</v>
      </c>
      <c r="N2872" s="464"/>
      <c r="O2872" s="498" t="s">
        <v>2703</v>
      </c>
      <c r="P2872" s="431" t="s">
        <v>6711</v>
      </c>
    </row>
    <row r="2873" spans="1:16" ht="13.5" hidden="1" customHeight="1" outlineLevel="2" x14ac:dyDescent="0.2">
      <c r="A2873" s="233">
        <v>0</v>
      </c>
      <c r="B2873" s="233">
        <v>18</v>
      </c>
      <c r="C2873" s="233">
        <v>28</v>
      </c>
      <c r="D2873" s="234">
        <v>3</v>
      </c>
      <c r="E2873" s="234">
        <v>0</v>
      </c>
      <c r="G2873" s="507"/>
      <c r="H2873" s="487" t="s">
        <v>1237</v>
      </c>
      <c r="I2873" s="452" t="s">
        <v>6169</v>
      </c>
      <c r="J2873" s="489" t="s">
        <v>14</v>
      </c>
      <c r="K2873" s="490"/>
      <c r="L2873" s="491"/>
      <c r="M2873" s="491"/>
      <c r="N2873" s="456">
        <v>1200</v>
      </c>
      <c r="O2873" s="492">
        <v>7.1643202522796004E-2</v>
      </c>
      <c r="P2873" s="430"/>
    </row>
    <row r="2874" spans="1:16" ht="13.5" hidden="1" customHeight="1" outlineLevel="3" x14ac:dyDescent="0.2">
      <c r="A2874" s="233">
        <v>0</v>
      </c>
      <c r="B2874" s="233">
        <v>18</v>
      </c>
      <c r="C2874" s="233">
        <v>28</v>
      </c>
      <c r="D2874" s="234">
        <v>3</v>
      </c>
      <c r="E2874" s="234">
        <v>1</v>
      </c>
      <c r="G2874" s="508" t="s">
        <v>51</v>
      </c>
      <c r="H2874" s="493" t="s">
        <v>1238</v>
      </c>
      <c r="I2874" s="460" t="s">
        <v>6170</v>
      </c>
      <c r="J2874" s="495" t="s">
        <v>844</v>
      </c>
      <c r="K2874" s="496" t="s">
        <v>533</v>
      </c>
      <c r="L2874" s="497">
        <v>4</v>
      </c>
      <c r="M2874" s="497">
        <v>300</v>
      </c>
      <c r="N2874" s="464">
        <v>1200</v>
      </c>
      <c r="O2874" s="498" t="s">
        <v>2704</v>
      </c>
      <c r="P2874" s="431" t="s">
        <v>6711</v>
      </c>
    </row>
    <row r="2875" spans="1:16" ht="13.5" hidden="1" customHeight="1" outlineLevel="1" x14ac:dyDescent="0.2">
      <c r="A2875" s="233">
        <v>0</v>
      </c>
      <c r="B2875" s="233">
        <v>18</v>
      </c>
      <c r="C2875" s="233">
        <v>29</v>
      </c>
      <c r="D2875" s="234">
        <v>0</v>
      </c>
      <c r="E2875" s="234">
        <v>1</v>
      </c>
      <c r="G2875" s="506"/>
      <c r="H2875" s="481" t="s">
        <v>38</v>
      </c>
      <c r="I2875" s="445" t="s">
        <v>6171</v>
      </c>
      <c r="J2875" s="483" t="s">
        <v>3065</v>
      </c>
      <c r="K2875" s="484"/>
      <c r="L2875" s="485"/>
      <c r="M2875" s="485"/>
      <c r="N2875" s="449"/>
      <c r="O2875" s="486"/>
      <c r="P2875" s="429"/>
    </row>
    <row r="2876" spans="1:16" ht="13.5" hidden="1" customHeight="1" outlineLevel="2" x14ac:dyDescent="0.2">
      <c r="A2876" s="233">
        <v>0</v>
      </c>
      <c r="B2876" s="233">
        <v>18</v>
      </c>
      <c r="C2876" s="233">
        <v>29</v>
      </c>
      <c r="D2876" s="234">
        <v>1</v>
      </c>
      <c r="E2876" s="234">
        <v>0</v>
      </c>
      <c r="G2876" s="507"/>
      <c r="H2876" s="487" t="s">
        <v>1237</v>
      </c>
      <c r="I2876" s="452" t="s">
        <v>6172</v>
      </c>
      <c r="J2876" s="489" t="s">
        <v>2279</v>
      </c>
      <c r="K2876" s="490"/>
      <c r="L2876" s="491"/>
      <c r="M2876" s="491"/>
      <c r="N2876" s="456">
        <v>4735.3050000000003</v>
      </c>
      <c r="O2876" s="492"/>
      <c r="P2876" s="430"/>
    </row>
    <row r="2877" spans="1:16" ht="13.5" hidden="1" customHeight="1" outlineLevel="3" x14ac:dyDescent="0.2">
      <c r="A2877" s="233">
        <v>0</v>
      </c>
      <c r="B2877" s="233">
        <v>18</v>
      </c>
      <c r="C2877" s="233">
        <v>29</v>
      </c>
      <c r="D2877" s="234">
        <v>1</v>
      </c>
      <c r="E2877" s="234">
        <v>1</v>
      </c>
      <c r="G2877" s="508" t="s">
        <v>51</v>
      </c>
      <c r="H2877" s="493" t="s">
        <v>1238</v>
      </c>
      <c r="I2877" s="460" t="s">
        <v>6173</v>
      </c>
      <c r="J2877" s="495" t="s">
        <v>2893</v>
      </c>
      <c r="K2877" s="496" t="s">
        <v>787</v>
      </c>
      <c r="L2877" s="497">
        <v>15.299999999999999</v>
      </c>
      <c r="M2877" s="497">
        <v>66.849999999999994</v>
      </c>
      <c r="N2877" s="464">
        <v>1022.8049999999999</v>
      </c>
      <c r="O2877" s="498" t="s">
        <v>2704</v>
      </c>
      <c r="P2877" s="431" t="s">
        <v>6711</v>
      </c>
    </row>
    <row r="2878" spans="1:16" ht="13.5" hidden="1" customHeight="1" outlineLevel="3" x14ac:dyDescent="0.2">
      <c r="A2878" s="233">
        <v>0</v>
      </c>
      <c r="B2878" s="233">
        <v>18</v>
      </c>
      <c r="C2878" s="233">
        <v>29</v>
      </c>
      <c r="D2878" s="234">
        <v>1</v>
      </c>
      <c r="E2878" s="234">
        <v>2</v>
      </c>
      <c r="G2878" s="508" t="s">
        <v>51</v>
      </c>
      <c r="H2878" s="493" t="s">
        <v>1238</v>
      </c>
      <c r="I2878" s="460" t="s">
        <v>6174</v>
      </c>
      <c r="J2878" s="495" t="s">
        <v>1892</v>
      </c>
      <c r="K2878" s="496" t="s">
        <v>533</v>
      </c>
      <c r="L2878" s="497">
        <v>3</v>
      </c>
      <c r="M2878" s="497">
        <v>1237.5</v>
      </c>
      <c r="N2878" s="464">
        <v>3712.5</v>
      </c>
      <c r="O2878" s="498" t="s">
        <v>2704</v>
      </c>
      <c r="P2878" s="431" t="s">
        <v>6711</v>
      </c>
    </row>
    <row r="2879" spans="1:16" ht="13.5" hidden="1" customHeight="1" outlineLevel="2" x14ac:dyDescent="0.2">
      <c r="A2879" s="233">
        <v>0</v>
      </c>
      <c r="B2879" s="233">
        <v>18</v>
      </c>
      <c r="C2879" s="233">
        <v>29</v>
      </c>
      <c r="D2879" s="234">
        <v>2</v>
      </c>
      <c r="E2879" s="234">
        <v>0</v>
      </c>
      <c r="G2879" s="507"/>
      <c r="H2879" s="487" t="s">
        <v>1237</v>
      </c>
      <c r="I2879" s="452" t="s">
        <v>6175</v>
      </c>
      <c r="J2879" s="489" t="s">
        <v>1885</v>
      </c>
      <c r="K2879" s="490"/>
      <c r="L2879" s="491"/>
      <c r="M2879" s="491"/>
      <c r="N2879" s="456"/>
      <c r="O2879" s="492"/>
      <c r="P2879" s="430"/>
    </row>
    <row r="2880" spans="1:16" ht="13.5" hidden="1" customHeight="1" outlineLevel="3" x14ac:dyDescent="0.2">
      <c r="A2880" s="233">
        <v>0</v>
      </c>
      <c r="B2880" s="233">
        <v>18</v>
      </c>
      <c r="C2880" s="233">
        <v>29</v>
      </c>
      <c r="D2880" s="234">
        <v>2</v>
      </c>
      <c r="E2880" s="234">
        <v>1</v>
      </c>
      <c r="G2880" s="508" t="s">
        <v>51</v>
      </c>
      <c r="H2880" s="493" t="s">
        <v>1238</v>
      </c>
      <c r="I2880" s="460" t="s">
        <v>6176</v>
      </c>
      <c r="J2880" s="495" t="s">
        <v>2706</v>
      </c>
      <c r="K2880" s="496" t="s">
        <v>787</v>
      </c>
      <c r="L2880" s="497" t="e">
        <v>#REF!</v>
      </c>
      <c r="M2880" s="497">
        <v>820</v>
      </c>
      <c r="N2880" s="464"/>
      <c r="O2880" s="498" t="s">
        <v>2703</v>
      </c>
      <c r="P2880" s="431" t="s">
        <v>6711</v>
      </c>
    </row>
    <row r="2881" spans="1:16" ht="13.5" hidden="1" customHeight="1" outlineLevel="3" x14ac:dyDescent="0.2">
      <c r="A2881" s="233">
        <v>0</v>
      </c>
      <c r="B2881" s="233">
        <v>18</v>
      </c>
      <c r="C2881" s="233">
        <v>29</v>
      </c>
      <c r="D2881" s="234">
        <v>2</v>
      </c>
      <c r="E2881" s="234">
        <v>2</v>
      </c>
      <c r="G2881" s="508" t="s">
        <v>51</v>
      </c>
      <c r="H2881" s="493" t="s">
        <v>1238</v>
      </c>
      <c r="I2881" s="460" t="s">
        <v>6177</v>
      </c>
      <c r="J2881" s="495" t="s">
        <v>2707</v>
      </c>
      <c r="K2881" s="496" t="s">
        <v>787</v>
      </c>
      <c r="L2881" s="497" t="e">
        <v>#REF!</v>
      </c>
      <c r="M2881" s="497">
        <v>520</v>
      </c>
      <c r="N2881" s="464"/>
      <c r="O2881" s="498" t="s">
        <v>2703</v>
      </c>
      <c r="P2881" s="431" t="s">
        <v>6711</v>
      </c>
    </row>
    <row r="2882" spans="1:16" ht="12.75" hidden="1" customHeight="1" outlineLevel="2" x14ac:dyDescent="0.2">
      <c r="A2882" s="233">
        <v>0</v>
      </c>
      <c r="B2882" s="233">
        <v>18</v>
      </c>
      <c r="C2882" s="233">
        <v>29</v>
      </c>
      <c r="D2882" s="234">
        <v>3</v>
      </c>
      <c r="E2882" s="234">
        <v>0</v>
      </c>
      <c r="G2882" s="507"/>
      <c r="H2882" s="487" t="s">
        <v>1237</v>
      </c>
      <c r="I2882" s="452" t="s">
        <v>6178</v>
      </c>
      <c r="J2882" s="489" t="s">
        <v>2709</v>
      </c>
      <c r="K2882" s="490"/>
      <c r="L2882" s="491"/>
      <c r="M2882" s="491"/>
      <c r="N2882" s="456"/>
      <c r="O2882" s="492"/>
      <c r="P2882" s="430"/>
    </row>
    <row r="2883" spans="1:16" ht="12.75" hidden="1" customHeight="1" outlineLevel="3" x14ac:dyDescent="0.2">
      <c r="A2883" s="233">
        <v>0</v>
      </c>
      <c r="B2883" s="233">
        <v>18</v>
      </c>
      <c r="C2883" s="233">
        <v>29</v>
      </c>
      <c r="D2883" s="234">
        <v>3</v>
      </c>
      <c r="E2883" s="234">
        <v>1</v>
      </c>
      <c r="G2883" s="508" t="s">
        <v>51</v>
      </c>
      <c r="H2883" s="493" t="s">
        <v>1238</v>
      </c>
      <c r="I2883" s="460" t="s">
        <v>6179</v>
      </c>
      <c r="J2883" s="495" t="s">
        <v>2708</v>
      </c>
      <c r="K2883" s="496" t="s">
        <v>641</v>
      </c>
      <c r="L2883" s="497" t="e">
        <v>#REF!</v>
      </c>
      <c r="M2883" s="497">
        <v>1240</v>
      </c>
      <c r="N2883" s="464"/>
      <c r="O2883" s="498" t="s">
        <v>2703</v>
      </c>
      <c r="P2883" s="431" t="s">
        <v>6711</v>
      </c>
    </row>
    <row r="2884" spans="1:16" ht="13.5" hidden="1" customHeight="1" outlineLevel="2" x14ac:dyDescent="0.2">
      <c r="A2884" s="233">
        <v>0</v>
      </c>
      <c r="B2884" s="233">
        <v>18</v>
      </c>
      <c r="C2884" s="233">
        <v>29</v>
      </c>
      <c r="D2884" s="234">
        <v>4</v>
      </c>
      <c r="E2884" s="234">
        <v>0</v>
      </c>
      <c r="G2884" s="507"/>
      <c r="H2884" s="487" t="s">
        <v>1237</v>
      </c>
      <c r="I2884" s="452" t="s">
        <v>6180</v>
      </c>
      <c r="J2884" s="489" t="s">
        <v>14</v>
      </c>
      <c r="K2884" s="490"/>
      <c r="L2884" s="491"/>
      <c r="M2884" s="491"/>
      <c r="N2884" s="456">
        <v>900</v>
      </c>
      <c r="O2884" s="492">
        <v>5.3732401892097E-2</v>
      </c>
      <c r="P2884" s="430"/>
    </row>
    <row r="2885" spans="1:16" ht="13.5" hidden="1" customHeight="1" outlineLevel="3" x14ac:dyDescent="0.2">
      <c r="A2885" s="233">
        <v>0</v>
      </c>
      <c r="B2885" s="233">
        <v>18</v>
      </c>
      <c r="C2885" s="233">
        <v>29</v>
      </c>
      <c r="D2885" s="234">
        <v>4</v>
      </c>
      <c r="E2885" s="234">
        <v>1</v>
      </c>
      <c r="G2885" s="508" t="s">
        <v>51</v>
      </c>
      <c r="H2885" s="493" t="s">
        <v>1238</v>
      </c>
      <c r="I2885" s="460" t="s">
        <v>6181</v>
      </c>
      <c r="J2885" s="495" t="s">
        <v>844</v>
      </c>
      <c r="K2885" s="496" t="s">
        <v>533</v>
      </c>
      <c r="L2885" s="497">
        <v>3</v>
      </c>
      <c r="M2885" s="497">
        <v>300</v>
      </c>
      <c r="N2885" s="464">
        <v>900</v>
      </c>
      <c r="O2885" s="498" t="s">
        <v>2704</v>
      </c>
      <c r="P2885" s="431" t="s">
        <v>6711</v>
      </c>
    </row>
    <row r="2886" spans="1:16" ht="13.5" hidden="1" customHeight="1" outlineLevel="1" x14ac:dyDescent="0.2">
      <c r="A2886" s="233">
        <v>0</v>
      </c>
      <c r="B2886" s="233">
        <v>18</v>
      </c>
      <c r="C2886" s="233">
        <v>30</v>
      </c>
      <c r="D2886" s="234">
        <v>0</v>
      </c>
      <c r="E2886" s="234">
        <v>1</v>
      </c>
      <c r="G2886" s="506"/>
      <c r="H2886" s="481" t="s">
        <v>38</v>
      </c>
      <c r="I2886" s="445" t="s">
        <v>6182</v>
      </c>
      <c r="J2886" s="483" t="s">
        <v>3066</v>
      </c>
      <c r="K2886" s="484"/>
      <c r="L2886" s="485"/>
      <c r="M2886" s="485"/>
      <c r="N2886" s="449"/>
      <c r="O2886" s="486"/>
      <c r="P2886" s="429"/>
    </row>
    <row r="2887" spans="1:16" ht="13.5" hidden="1" customHeight="1" outlineLevel="2" x14ac:dyDescent="0.2">
      <c r="A2887" s="233">
        <v>0</v>
      </c>
      <c r="B2887" s="233">
        <v>18</v>
      </c>
      <c r="C2887" s="233">
        <v>30</v>
      </c>
      <c r="D2887" s="234">
        <v>1</v>
      </c>
      <c r="E2887" s="234">
        <v>0</v>
      </c>
      <c r="G2887" s="507"/>
      <c r="H2887" s="487" t="s">
        <v>1237</v>
      </c>
      <c r="I2887" s="452" t="s">
        <v>6183</v>
      </c>
      <c r="J2887" s="489" t="s">
        <v>2279</v>
      </c>
      <c r="K2887" s="490"/>
      <c r="L2887" s="491"/>
      <c r="M2887" s="491"/>
      <c r="N2887" s="456">
        <v>3156.87</v>
      </c>
      <c r="O2887" s="492"/>
      <c r="P2887" s="430"/>
    </row>
    <row r="2888" spans="1:16" ht="13.5" hidden="1" customHeight="1" outlineLevel="3" x14ac:dyDescent="0.2">
      <c r="A2888" s="233">
        <v>0</v>
      </c>
      <c r="B2888" s="233">
        <v>18</v>
      </c>
      <c r="C2888" s="233">
        <v>30</v>
      </c>
      <c r="D2888" s="234">
        <v>1</v>
      </c>
      <c r="E2888" s="234">
        <v>1</v>
      </c>
      <c r="G2888" s="508" t="s">
        <v>51</v>
      </c>
      <c r="H2888" s="493" t="s">
        <v>1238</v>
      </c>
      <c r="I2888" s="460" t="s">
        <v>6184</v>
      </c>
      <c r="J2888" s="495" t="s">
        <v>2893</v>
      </c>
      <c r="K2888" s="496" t="s">
        <v>787</v>
      </c>
      <c r="L2888" s="497">
        <v>10.199999999999999</v>
      </c>
      <c r="M2888" s="497">
        <v>66.849999999999994</v>
      </c>
      <c r="N2888" s="464">
        <v>681.87</v>
      </c>
      <c r="O2888" s="498" t="s">
        <v>2704</v>
      </c>
      <c r="P2888" s="431" t="s">
        <v>6711</v>
      </c>
    </row>
    <row r="2889" spans="1:16" ht="13.5" hidden="1" customHeight="1" outlineLevel="3" x14ac:dyDescent="0.2">
      <c r="A2889" s="233">
        <v>0</v>
      </c>
      <c r="B2889" s="233">
        <v>18</v>
      </c>
      <c r="C2889" s="233">
        <v>30</v>
      </c>
      <c r="D2889" s="234">
        <v>1</v>
      </c>
      <c r="E2889" s="234">
        <v>2</v>
      </c>
      <c r="G2889" s="508" t="s">
        <v>51</v>
      </c>
      <c r="H2889" s="493" t="s">
        <v>1238</v>
      </c>
      <c r="I2889" s="460" t="s">
        <v>6185</v>
      </c>
      <c r="J2889" s="495" t="s">
        <v>1892</v>
      </c>
      <c r="K2889" s="496" t="s">
        <v>533</v>
      </c>
      <c r="L2889" s="497">
        <v>2</v>
      </c>
      <c r="M2889" s="497">
        <v>1237.5</v>
      </c>
      <c r="N2889" s="464">
        <v>2475</v>
      </c>
      <c r="O2889" s="498" t="s">
        <v>2704</v>
      </c>
      <c r="P2889" s="431" t="s">
        <v>6711</v>
      </c>
    </row>
    <row r="2890" spans="1:16" ht="13.5" hidden="1" customHeight="1" outlineLevel="2" x14ac:dyDescent="0.2">
      <c r="A2890" s="233">
        <v>0</v>
      </c>
      <c r="B2890" s="233">
        <v>18</v>
      </c>
      <c r="C2890" s="233">
        <v>30</v>
      </c>
      <c r="D2890" s="234">
        <v>2</v>
      </c>
      <c r="E2890" s="234">
        <v>0</v>
      </c>
      <c r="G2890" s="507"/>
      <c r="H2890" s="487" t="s">
        <v>1237</v>
      </c>
      <c r="I2890" s="452" t="s">
        <v>6186</v>
      </c>
      <c r="J2890" s="489" t="s">
        <v>1885</v>
      </c>
      <c r="K2890" s="490"/>
      <c r="L2890" s="491"/>
      <c r="M2890" s="491"/>
      <c r="N2890" s="456"/>
      <c r="O2890" s="492"/>
      <c r="P2890" s="430"/>
    </row>
    <row r="2891" spans="1:16" ht="13.5" hidden="1" customHeight="1" outlineLevel="3" x14ac:dyDescent="0.2">
      <c r="A2891" s="233">
        <v>0</v>
      </c>
      <c r="B2891" s="233">
        <v>18</v>
      </c>
      <c r="C2891" s="233">
        <v>30</v>
      </c>
      <c r="D2891" s="234">
        <v>2</v>
      </c>
      <c r="E2891" s="234">
        <v>1</v>
      </c>
      <c r="G2891" s="508" t="s">
        <v>51</v>
      </c>
      <c r="H2891" s="493" t="s">
        <v>1238</v>
      </c>
      <c r="I2891" s="460" t="s">
        <v>6187</v>
      </c>
      <c r="J2891" s="495" t="s">
        <v>2706</v>
      </c>
      <c r="K2891" s="496" t="s">
        <v>787</v>
      </c>
      <c r="L2891" s="497" t="e">
        <v>#REF!</v>
      </c>
      <c r="M2891" s="497">
        <v>820</v>
      </c>
      <c r="N2891" s="464"/>
      <c r="O2891" s="498" t="s">
        <v>2703</v>
      </c>
      <c r="P2891" s="431" t="s">
        <v>6711</v>
      </c>
    </row>
    <row r="2892" spans="1:16" ht="13.5" hidden="1" customHeight="1" outlineLevel="3" x14ac:dyDescent="0.2">
      <c r="A2892" s="233">
        <v>0</v>
      </c>
      <c r="B2892" s="233">
        <v>18</v>
      </c>
      <c r="C2892" s="233">
        <v>30</v>
      </c>
      <c r="D2892" s="234">
        <v>2</v>
      </c>
      <c r="E2892" s="234">
        <v>2</v>
      </c>
      <c r="G2892" s="508" t="s">
        <v>51</v>
      </c>
      <c r="H2892" s="493" t="s">
        <v>1238</v>
      </c>
      <c r="I2892" s="460" t="s">
        <v>6188</v>
      </c>
      <c r="J2892" s="495" t="s">
        <v>2707</v>
      </c>
      <c r="K2892" s="496" t="s">
        <v>787</v>
      </c>
      <c r="L2892" s="497" t="e">
        <v>#REF!</v>
      </c>
      <c r="M2892" s="497">
        <v>520</v>
      </c>
      <c r="N2892" s="464"/>
      <c r="O2892" s="498" t="s">
        <v>2703</v>
      </c>
      <c r="P2892" s="431" t="s">
        <v>6711</v>
      </c>
    </row>
    <row r="2893" spans="1:16" ht="12.75" hidden="1" customHeight="1" outlineLevel="2" x14ac:dyDescent="0.2">
      <c r="A2893" s="233">
        <v>0</v>
      </c>
      <c r="B2893" s="233">
        <v>18</v>
      </c>
      <c r="C2893" s="233">
        <v>30</v>
      </c>
      <c r="D2893" s="234">
        <v>3</v>
      </c>
      <c r="E2893" s="234">
        <v>0</v>
      </c>
      <c r="G2893" s="507"/>
      <c r="H2893" s="487" t="s">
        <v>1237</v>
      </c>
      <c r="I2893" s="452" t="s">
        <v>6189</v>
      </c>
      <c r="J2893" s="489" t="s">
        <v>2709</v>
      </c>
      <c r="K2893" s="490"/>
      <c r="L2893" s="491"/>
      <c r="M2893" s="491"/>
      <c r="N2893" s="456"/>
      <c r="O2893" s="492"/>
      <c r="P2893" s="430"/>
    </row>
    <row r="2894" spans="1:16" ht="12.75" hidden="1" customHeight="1" outlineLevel="3" x14ac:dyDescent="0.2">
      <c r="A2894" s="233">
        <v>0</v>
      </c>
      <c r="B2894" s="233">
        <v>18</v>
      </c>
      <c r="C2894" s="233">
        <v>30</v>
      </c>
      <c r="D2894" s="234">
        <v>3</v>
      </c>
      <c r="E2894" s="234">
        <v>1</v>
      </c>
      <c r="G2894" s="508" t="s">
        <v>51</v>
      </c>
      <c r="H2894" s="493" t="s">
        <v>1238</v>
      </c>
      <c r="I2894" s="460" t="s">
        <v>6190</v>
      </c>
      <c r="J2894" s="495" t="s">
        <v>2708</v>
      </c>
      <c r="K2894" s="496" t="s">
        <v>641</v>
      </c>
      <c r="L2894" s="497" t="e">
        <v>#REF!</v>
      </c>
      <c r="M2894" s="497">
        <v>1240</v>
      </c>
      <c r="N2894" s="464"/>
      <c r="O2894" s="498" t="s">
        <v>2703</v>
      </c>
      <c r="P2894" s="431" t="s">
        <v>6711</v>
      </c>
    </row>
    <row r="2895" spans="1:16" ht="13.5" hidden="1" customHeight="1" outlineLevel="2" x14ac:dyDescent="0.2">
      <c r="A2895" s="233">
        <v>0</v>
      </c>
      <c r="B2895" s="233">
        <v>18</v>
      </c>
      <c r="C2895" s="233">
        <v>30</v>
      </c>
      <c r="D2895" s="234">
        <v>4</v>
      </c>
      <c r="E2895" s="234">
        <v>0</v>
      </c>
      <c r="G2895" s="507"/>
      <c r="H2895" s="487" t="s">
        <v>1237</v>
      </c>
      <c r="I2895" s="452" t="s">
        <v>6191</v>
      </c>
      <c r="J2895" s="489" t="s">
        <v>14</v>
      </c>
      <c r="K2895" s="490"/>
      <c r="L2895" s="491"/>
      <c r="M2895" s="491"/>
      <c r="N2895" s="456">
        <v>600</v>
      </c>
      <c r="O2895" s="492">
        <v>3.5821601261398002E-2</v>
      </c>
      <c r="P2895" s="430"/>
    </row>
    <row r="2896" spans="1:16" ht="13.5" hidden="1" customHeight="1" outlineLevel="3" x14ac:dyDescent="0.2">
      <c r="A2896" s="233">
        <v>0</v>
      </c>
      <c r="B2896" s="233">
        <v>18</v>
      </c>
      <c r="C2896" s="233">
        <v>30</v>
      </c>
      <c r="D2896" s="234">
        <v>4</v>
      </c>
      <c r="E2896" s="234">
        <v>1</v>
      </c>
      <c r="G2896" s="508" t="s">
        <v>51</v>
      </c>
      <c r="H2896" s="493" t="s">
        <v>1238</v>
      </c>
      <c r="I2896" s="460" t="s">
        <v>6192</v>
      </c>
      <c r="J2896" s="495" t="s">
        <v>844</v>
      </c>
      <c r="K2896" s="496" t="s">
        <v>533</v>
      </c>
      <c r="L2896" s="497">
        <v>2</v>
      </c>
      <c r="M2896" s="497">
        <v>300</v>
      </c>
      <c r="N2896" s="464">
        <v>600</v>
      </c>
      <c r="O2896" s="498" t="s">
        <v>2704</v>
      </c>
      <c r="P2896" s="431" t="s">
        <v>6711</v>
      </c>
    </row>
    <row r="2897" spans="1:16" ht="13.5" hidden="1" customHeight="1" outlineLevel="1" x14ac:dyDescent="0.2">
      <c r="A2897" s="233">
        <v>0</v>
      </c>
      <c r="B2897" s="233">
        <v>18</v>
      </c>
      <c r="C2897" s="233">
        <v>31</v>
      </c>
      <c r="D2897" s="234">
        <v>0</v>
      </c>
      <c r="E2897" s="234">
        <v>1</v>
      </c>
      <c r="G2897" s="506"/>
      <c r="H2897" s="481" t="s">
        <v>38</v>
      </c>
      <c r="I2897" s="445" t="s">
        <v>6193</v>
      </c>
      <c r="J2897" s="483" t="s">
        <v>3067</v>
      </c>
      <c r="K2897" s="484"/>
      <c r="L2897" s="485"/>
      <c r="M2897" s="485"/>
      <c r="N2897" s="449"/>
      <c r="O2897" s="486"/>
      <c r="P2897" s="429"/>
    </row>
    <row r="2898" spans="1:16" ht="13.5" hidden="1" customHeight="1" outlineLevel="2" x14ac:dyDescent="0.2">
      <c r="A2898" s="233">
        <v>0</v>
      </c>
      <c r="B2898" s="233">
        <v>18</v>
      </c>
      <c r="C2898" s="233">
        <v>31</v>
      </c>
      <c r="D2898" s="234">
        <v>1</v>
      </c>
      <c r="E2898" s="234">
        <v>0</v>
      </c>
      <c r="G2898" s="507"/>
      <c r="H2898" s="487" t="s">
        <v>1237</v>
      </c>
      <c r="I2898" s="452" t="s">
        <v>6194</v>
      </c>
      <c r="J2898" s="489" t="s">
        <v>2279</v>
      </c>
      <c r="K2898" s="490"/>
      <c r="L2898" s="491"/>
      <c r="M2898" s="491"/>
      <c r="N2898" s="456">
        <v>2868.5</v>
      </c>
      <c r="O2898" s="492"/>
      <c r="P2898" s="430"/>
    </row>
    <row r="2899" spans="1:16" ht="13.5" hidden="1" customHeight="1" outlineLevel="3" x14ac:dyDescent="0.2">
      <c r="A2899" s="233">
        <v>0</v>
      </c>
      <c r="B2899" s="233">
        <v>18</v>
      </c>
      <c r="C2899" s="233">
        <v>31</v>
      </c>
      <c r="D2899" s="234">
        <v>1</v>
      </c>
      <c r="E2899" s="234">
        <v>1</v>
      </c>
      <c r="G2899" s="508" t="s">
        <v>51</v>
      </c>
      <c r="H2899" s="493" t="s">
        <v>1238</v>
      </c>
      <c r="I2899" s="460" t="s">
        <v>6195</v>
      </c>
      <c r="J2899" s="495" t="s">
        <v>2893</v>
      </c>
      <c r="K2899" s="496" t="s">
        <v>787</v>
      </c>
      <c r="L2899" s="497">
        <v>10</v>
      </c>
      <c r="M2899" s="497">
        <v>66.849999999999994</v>
      </c>
      <c r="N2899" s="464">
        <v>668.5</v>
      </c>
      <c r="O2899" s="498" t="s">
        <v>2704</v>
      </c>
      <c r="P2899" s="431" t="s">
        <v>6711</v>
      </c>
    </row>
    <row r="2900" spans="1:16" ht="13.5" hidden="1" customHeight="1" outlineLevel="3" x14ac:dyDescent="0.2">
      <c r="A2900" s="233">
        <v>0</v>
      </c>
      <c r="B2900" s="233">
        <v>18</v>
      </c>
      <c r="C2900" s="233">
        <v>31</v>
      </c>
      <c r="D2900" s="234">
        <v>1</v>
      </c>
      <c r="E2900" s="234">
        <v>2</v>
      </c>
      <c r="G2900" s="508" t="s">
        <v>51</v>
      </c>
      <c r="H2900" s="493" t="s">
        <v>1238</v>
      </c>
      <c r="I2900" s="460" t="s">
        <v>6196</v>
      </c>
      <c r="J2900" s="495" t="s">
        <v>836</v>
      </c>
      <c r="K2900" s="496" t="s">
        <v>533</v>
      </c>
      <c r="L2900" s="497">
        <v>2</v>
      </c>
      <c r="M2900" s="497">
        <v>1100</v>
      </c>
      <c r="N2900" s="464">
        <v>2200</v>
      </c>
      <c r="O2900" s="498" t="s">
        <v>2704</v>
      </c>
      <c r="P2900" s="431" t="s">
        <v>6711</v>
      </c>
    </row>
    <row r="2901" spans="1:16" ht="13.5" hidden="1" customHeight="1" outlineLevel="2" x14ac:dyDescent="0.2">
      <c r="A2901" s="233">
        <v>0</v>
      </c>
      <c r="B2901" s="233">
        <v>18</v>
      </c>
      <c r="C2901" s="233">
        <v>31</v>
      </c>
      <c r="D2901" s="234">
        <v>2</v>
      </c>
      <c r="E2901" s="234">
        <v>0</v>
      </c>
      <c r="G2901" s="507"/>
      <c r="H2901" s="487" t="s">
        <v>1237</v>
      </c>
      <c r="I2901" s="452" t="s">
        <v>6197</v>
      </c>
      <c r="J2901" s="489" t="s">
        <v>1885</v>
      </c>
      <c r="K2901" s="490"/>
      <c r="L2901" s="491"/>
      <c r="M2901" s="491"/>
      <c r="N2901" s="456"/>
      <c r="O2901" s="492"/>
      <c r="P2901" s="430"/>
    </row>
    <row r="2902" spans="1:16" ht="13.5" hidden="1" customHeight="1" outlineLevel="3" x14ac:dyDescent="0.2">
      <c r="A2902" s="233">
        <v>0</v>
      </c>
      <c r="B2902" s="233">
        <v>18</v>
      </c>
      <c r="C2902" s="233">
        <v>31</v>
      </c>
      <c r="D2902" s="234">
        <v>2</v>
      </c>
      <c r="E2902" s="234">
        <v>1</v>
      </c>
      <c r="G2902" s="508" t="s">
        <v>51</v>
      </c>
      <c r="H2902" s="493" t="s">
        <v>1238</v>
      </c>
      <c r="I2902" s="460" t="s">
        <v>6198</v>
      </c>
      <c r="J2902" s="495" t="s">
        <v>2706</v>
      </c>
      <c r="K2902" s="496" t="s">
        <v>787</v>
      </c>
      <c r="L2902" s="497" t="e">
        <v>#REF!</v>
      </c>
      <c r="M2902" s="497">
        <v>820</v>
      </c>
      <c r="N2902" s="464"/>
      <c r="O2902" s="498" t="s">
        <v>2703</v>
      </c>
      <c r="P2902" s="431" t="s">
        <v>6711</v>
      </c>
    </row>
    <row r="2903" spans="1:16" ht="13.5" hidden="1" customHeight="1" outlineLevel="3" x14ac:dyDescent="0.2">
      <c r="A2903" s="233">
        <v>0</v>
      </c>
      <c r="B2903" s="233">
        <v>18</v>
      </c>
      <c r="C2903" s="233">
        <v>31</v>
      </c>
      <c r="D2903" s="234">
        <v>2</v>
      </c>
      <c r="E2903" s="234">
        <v>2</v>
      </c>
      <c r="G2903" s="508" t="s">
        <v>51</v>
      </c>
      <c r="H2903" s="493" t="s">
        <v>1238</v>
      </c>
      <c r="I2903" s="460" t="s">
        <v>6199</v>
      </c>
      <c r="J2903" s="495" t="s">
        <v>2707</v>
      </c>
      <c r="K2903" s="496" t="s">
        <v>787</v>
      </c>
      <c r="L2903" s="497" t="e">
        <v>#REF!</v>
      </c>
      <c r="M2903" s="497">
        <v>520</v>
      </c>
      <c r="N2903" s="464"/>
      <c r="O2903" s="498" t="s">
        <v>2703</v>
      </c>
      <c r="P2903" s="431" t="s">
        <v>6711</v>
      </c>
    </row>
    <row r="2904" spans="1:16" ht="13.5" hidden="1" customHeight="1" outlineLevel="2" x14ac:dyDescent="0.2">
      <c r="A2904" s="233">
        <v>0</v>
      </c>
      <c r="B2904" s="233">
        <v>18</v>
      </c>
      <c r="C2904" s="233">
        <v>31</v>
      </c>
      <c r="D2904" s="234">
        <v>3</v>
      </c>
      <c r="E2904" s="234">
        <v>0</v>
      </c>
      <c r="G2904" s="507"/>
      <c r="H2904" s="487" t="s">
        <v>1237</v>
      </c>
      <c r="I2904" s="452" t="s">
        <v>6200</v>
      </c>
      <c r="J2904" s="489" t="s">
        <v>14</v>
      </c>
      <c r="K2904" s="490"/>
      <c r="L2904" s="491"/>
      <c r="M2904" s="491"/>
      <c r="N2904" s="456">
        <v>600</v>
      </c>
      <c r="O2904" s="492">
        <v>3.5821601261398002E-2</v>
      </c>
      <c r="P2904" s="430"/>
    </row>
    <row r="2905" spans="1:16" ht="13.5" hidden="1" customHeight="1" outlineLevel="3" x14ac:dyDescent="0.2">
      <c r="A2905" s="233">
        <v>0</v>
      </c>
      <c r="B2905" s="233">
        <v>18</v>
      </c>
      <c r="C2905" s="233">
        <v>31</v>
      </c>
      <c r="D2905" s="234">
        <v>3</v>
      </c>
      <c r="E2905" s="234">
        <v>1</v>
      </c>
      <c r="G2905" s="508" t="s">
        <v>51</v>
      </c>
      <c r="H2905" s="493" t="s">
        <v>1238</v>
      </c>
      <c r="I2905" s="460" t="s">
        <v>6201</v>
      </c>
      <c r="J2905" s="495" t="s">
        <v>844</v>
      </c>
      <c r="K2905" s="496" t="s">
        <v>533</v>
      </c>
      <c r="L2905" s="497">
        <v>2</v>
      </c>
      <c r="M2905" s="497">
        <v>300</v>
      </c>
      <c r="N2905" s="464">
        <v>600</v>
      </c>
      <c r="O2905" s="498" t="s">
        <v>2704</v>
      </c>
      <c r="P2905" s="431" t="s">
        <v>6711</v>
      </c>
    </row>
    <row r="2906" spans="1:16" ht="13.5" hidden="1" customHeight="1" outlineLevel="1" x14ac:dyDescent="0.2">
      <c r="A2906" s="233">
        <v>0</v>
      </c>
      <c r="B2906" s="233">
        <v>18</v>
      </c>
      <c r="C2906" s="233">
        <v>32</v>
      </c>
      <c r="D2906" s="234">
        <v>0</v>
      </c>
      <c r="E2906" s="234">
        <v>1</v>
      </c>
      <c r="G2906" s="506"/>
      <c r="H2906" s="481" t="s">
        <v>38</v>
      </c>
      <c r="I2906" s="445" t="s">
        <v>6202</v>
      </c>
      <c r="J2906" s="483" t="s">
        <v>3068</v>
      </c>
      <c r="K2906" s="484"/>
      <c r="L2906" s="485"/>
      <c r="M2906" s="485"/>
      <c r="N2906" s="449"/>
      <c r="O2906" s="486"/>
      <c r="P2906" s="429"/>
    </row>
    <row r="2907" spans="1:16" ht="13.5" hidden="1" customHeight="1" outlineLevel="2" x14ac:dyDescent="0.2">
      <c r="A2907" s="233">
        <v>0</v>
      </c>
      <c r="B2907" s="233">
        <v>18</v>
      </c>
      <c r="C2907" s="233">
        <v>32</v>
      </c>
      <c r="D2907" s="234">
        <v>1</v>
      </c>
      <c r="E2907" s="234">
        <v>0</v>
      </c>
      <c r="G2907" s="507"/>
      <c r="H2907" s="487" t="s">
        <v>1237</v>
      </c>
      <c r="I2907" s="452" t="s">
        <v>6203</v>
      </c>
      <c r="J2907" s="489" t="s">
        <v>2279</v>
      </c>
      <c r="K2907" s="490"/>
      <c r="L2907" s="491"/>
      <c r="M2907" s="491"/>
      <c r="N2907" s="456">
        <v>22948</v>
      </c>
      <c r="O2907" s="492"/>
      <c r="P2907" s="430"/>
    </row>
    <row r="2908" spans="1:16" ht="13.5" hidden="1" customHeight="1" outlineLevel="3" x14ac:dyDescent="0.2">
      <c r="A2908" s="233">
        <v>0</v>
      </c>
      <c r="B2908" s="233">
        <v>18</v>
      </c>
      <c r="C2908" s="233">
        <v>32</v>
      </c>
      <c r="D2908" s="234">
        <v>1</v>
      </c>
      <c r="E2908" s="234">
        <v>1</v>
      </c>
      <c r="G2908" s="508" t="s">
        <v>51</v>
      </c>
      <c r="H2908" s="493" t="s">
        <v>1238</v>
      </c>
      <c r="I2908" s="460" t="s">
        <v>6204</v>
      </c>
      <c r="J2908" s="495" t="s">
        <v>2893</v>
      </c>
      <c r="K2908" s="496" t="s">
        <v>787</v>
      </c>
      <c r="L2908" s="497">
        <v>80</v>
      </c>
      <c r="M2908" s="497">
        <v>66.849999999999994</v>
      </c>
      <c r="N2908" s="464">
        <v>5348</v>
      </c>
      <c r="O2908" s="498" t="s">
        <v>2704</v>
      </c>
      <c r="P2908" s="431" t="s">
        <v>6711</v>
      </c>
    </row>
    <row r="2909" spans="1:16" ht="13.5" hidden="1" customHeight="1" outlineLevel="3" x14ac:dyDescent="0.2">
      <c r="A2909" s="233">
        <v>0</v>
      </c>
      <c r="B2909" s="233">
        <v>18</v>
      </c>
      <c r="C2909" s="233">
        <v>32</v>
      </c>
      <c r="D2909" s="234">
        <v>1</v>
      </c>
      <c r="E2909" s="234">
        <v>2</v>
      </c>
      <c r="G2909" s="508" t="s">
        <v>51</v>
      </c>
      <c r="H2909" s="493" t="s">
        <v>1238</v>
      </c>
      <c r="I2909" s="460" t="s">
        <v>6205</v>
      </c>
      <c r="J2909" s="495" t="s">
        <v>836</v>
      </c>
      <c r="K2909" s="496" t="s">
        <v>533</v>
      </c>
      <c r="L2909" s="497">
        <v>16</v>
      </c>
      <c r="M2909" s="497">
        <v>1100</v>
      </c>
      <c r="N2909" s="464">
        <v>17600</v>
      </c>
      <c r="O2909" s="498" t="s">
        <v>2704</v>
      </c>
      <c r="P2909" s="431" t="s">
        <v>6711</v>
      </c>
    </row>
    <row r="2910" spans="1:16" ht="13.5" hidden="1" customHeight="1" outlineLevel="2" x14ac:dyDescent="0.2">
      <c r="A2910" s="233">
        <v>0</v>
      </c>
      <c r="B2910" s="233">
        <v>18</v>
      </c>
      <c r="C2910" s="233">
        <v>32</v>
      </c>
      <c r="D2910" s="234">
        <v>2</v>
      </c>
      <c r="E2910" s="234">
        <v>0</v>
      </c>
      <c r="G2910" s="507"/>
      <c r="H2910" s="487" t="s">
        <v>1237</v>
      </c>
      <c r="I2910" s="452" t="s">
        <v>6206</v>
      </c>
      <c r="J2910" s="489" t="s">
        <v>1885</v>
      </c>
      <c r="K2910" s="490"/>
      <c r="L2910" s="491"/>
      <c r="M2910" s="491"/>
      <c r="N2910" s="456"/>
      <c r="O2910" s="492"/>
      <c r="P2910" s="430"/>
    </row>
    <row r="2911" spans="1:16" ht="13.5" hidden="1" customHeight="1" outlineLevel="3" x14ac:dyDescent="0.2">
      <c r="A2911" s="233">
        <v>0</v>
      </c>
      <c r="B2911" s="233">
        <v>18</v>
      </c>
      <c r="C2911" s="233">
        <v>32</v>
      </c>
      <c r="D2911" s="234">
        <v>2</v>
      </c>
      <c r="E2911" s="234">
        <v>1</v>
      </c>
      <c r="G2911" s="508" t="s">
        <v>51</v>
      </c>
      <c r="H2911" s="493" t="s">
        <v>1238</v>
      </c>
      <c r="I2911" s="460" t="s">
        <v>6207</v>
      </c>
      <c r="J2911" s="495" t="s">
        <v>2706</v>
      </c>
      <c r="K2911" s="496" t="s">
        <v>787</v>
      </c>
      <c r="L2911" s="497" t="e">
        <v>#REF!</v>
      </c>
      <c r="M2911" s="497">
        <v>820</v>
      </c>
      <c r="N2911" s="464"/>
      <c r="O2911" s="498" t="s">
        <v>2703</v>
      </c>
      <c r="P2911" s="431" t="s">
        <v>6711</v>
      </c>
    </row>
    <row r="2912" spans="1:16" ht="13.5" hidden="1" customHeight="1" outlineLevel="3" x14ac:dyDescent="0.2">
      <c r="A2912" s="233">
        <v>0</v>
      </c>
      <c r="B2912" s="233">
        <v>18</v>
      </c>
      <c r="C2912" s="233">
        <v>32</v>
      </c>
      <c r="D2912" s="234">
        <v>2</v>
      </c>
      <c r="E2912" s="234">
        <v>2</v>
      </c>
      <c r="G2912" s="508" t="s">
        <v>51</v>
      </c>
      <c r="H2912" s="493" t="s">
        <v>1238</v>
      </c>
      <c r="I2912" s="460" t="s">
        <v>6208</v>
      </c>
      <c r="J2912" s="495" t="s">
        <v>2707</v>
      </c>
      <c r="K2912" s="496" t="s">
        <v>787</v>
      </c>
      <c r="L2912" s="497" t="e">
        <v>#REF!</v>
      </c>
      <c r="M2912" s="497">
        <v>520</v>
      </c>
      <c r="N2912" s="464"/>
      <c r="O2912" s="498" t="s">
        <v>2703</v>
      </c>
      <c r="P2912" s="431" t="s">
        <v>6711</v>
      </c>
    </row>
    <row r="2913" spans="1:16" ht="13.5" hidden="1" customHeight="1" outlineLevel="2" x14ac:dyDescent="0.2">
      <c r="A2913" s="233">
        <v>0</v>
      </c>
      <c r="B2913" s="233">
        <v>18</v>
      </c>
      <c r="C2913" s="233">
        <v>32</v>
      </c>
      <c r="D2913" s="234">
        <v>3</v>
      </c>
      <c r="E2913" s="234">
        <v>0</v>
      </c>
      <c r="G2913" s="507"/>
      <c r="H2913" s="487" t="s">
        <v>1237</v>
      </c>
      <c r="I2913" s="452" t="s">
        <v>6209</v>
      </c>
      <c r="J2913" s="489" t="s">
        <v>14</v>
      </c>
      <c r="K2913" s="490"/>
      <c r="L2913" s="491"/>
      <c r="M2913" s="491"/>
      <c r="N2913" s="456">
        <v>4800</v>
      </c>
      <c r="O2913" s="492">
        <v>0.28657281009118402</v>
      </c>
      <c r="P2913" s="430"/>
    </row>
    <row r="2914" spans="1:16" ht="13.5" hidden="1" customHeight="1" outlineLevel="3" x14ac:dyDescent="0.2">
      <c r="A2914" s="233">
        <v>0</v>
      </c>
      <c r="B2914" s="233">
        <v>18</v>
      </c>
      <c r="C2914" s="233">
        <v>32</v>
      </c>
      <c r="D2914" s="234">
        <v>3</v>
      </c>
      <c r="E2914" s="234">
        <v>1</v>
      </c>
      <c r="G2914" s="508" t="s">
        <v>51</v>
      </c>
      <c r="H2914" s="493" t="s">
        <v>1238</v>
      </c>
      <c r="I2914" s="460" t="s">
        <v>6210</v>
      </c>
      <c r="J2914" s="495" t="s">
        <v>844</v>
      </c>
      <c r="K2914" s="496" t="s">
        <v>533</v>
      </c>
      <c r="L2914" s="497">
        <v>16</v>
      </c>
      <c r="M2914" s="497">
        <v>300</v>
      </c>
      <c r="N2914" s="464">
        <v>4800</v>
      </c>
      <c r="O2914" s="498" t="s">
        <v>2704</v>
      </c>
      <c r="P2914" s="431" t="s">
        <v>6711</v>
      </c>
    </row>
    <row r="2915" spans="1:16" ht="13.5" hidden="1" customHeight="1" outlineLevel="1" x14ac:dyDescent="0.2">
      <c r="A2915" s="233">
        <v>0</v>
      </c>
      <c r="B2915" s="233">
        <v>18</v>
      </c>
      <c r="C2915" s="233">
        <v>33</v>
      </c>
      <c r="D2915" s="234">
        <v>0</v>
      </c>
      <c r="E2915" s="234">
        <v>1</v>
      </c>
      <c r="G2915" s="506"/>
      <c r="H2915" s="481" t="s">
        <v>38</v>
      </c>
      <c r="I2915" s="445" t="s">
        <v>6211</v>
      </c>
      <c r="J2915" s="483" t="s">
        <v>3069</v>
      </c>
      <c r="K2915" s="484"/>
      <c r="L2915" s="485"/>
      <c r="M2915" s="485"/>
      <c r="N2915" s="449"/>
      <c r="O2915" s="486"/>
      <c r="P2915" s="429"/>
    </row>
    <row r="2916" spans="1:16" ht="13.5" hidden="1" customHeight="1" outlineLevel="2" x14ac:dyDescent="0.2">
      <c r="A2916" s="233">
        <v>0</v>
      </c>
      <c r="B2916" s="233">
        <v>18</v>
      </c>
      <c r="C2916" s="233">
        <v>33</v>
      </c>
      <c r="D2916" s="234">
        <v>1</v>
      </c>
      <c r="E2916" s="234">
        <v>0</v>
      </c>
      <c r="G2916" s="507"/>
      <c r="H2916" s="487" t="s">
        <v>1237</v>
      </c>
      <c r="I2916" s="452" t="s">
        <v>6212</v>
      </c>
      <c r="J2916" s="489" t="s">
        <v>2279</v>
      </c>
      <c r="K2916" s="490"/>
      <c r="L2916" s="491"/>
      <c r="M2916" s="491"/>
      <c r="N2916" s="456">
        <v>63107</v>
      </c>
      <c r="O2916" s="492"/>
      <c r="P2916" s="430"/>
    </row>
    <row r="2917" spans="1:16" ht="13.5" hidden="1" customHeight="1" outlineLevel="3" x14ac:dyDescent="0.2">
      <c r="A2917" s="233">
        <v>0</v>
      </c>
      <c r="B2917" s="233">
        <v>18</v>
      </c>
      <c r="C2917" s="233">
        <v>33</v>
      </c>
      <c r="D2917" s="234">
        <v>1</v>
      </c>
      <c r="E2917" s="234">
        <v>1</v>
      </c>
      <c r="G2917" s="508" t="s">
        <v>51</v>
      </c>
      <c r="H2917" s="493" t="s">
        <v>1238</v>
      </c>
      <c r="I2917" s="460" t="s">
        <v>6213</v>
      </c>
      <c r="J2917" s="495" t="s">
        <v>2893</v>
      </c>
      <c r="K2917" s="496" t="s">
        <v>787</v>
      </c>
      <c r="L2917" s="497">
        <v>220</v>
      </c>
      <c r="M2917" s="497">
        <v>66.849999999999994</v>
      </c>
      <c r="N2917" s="464">
        <v>14707</v>
      </c>
      <c r="O2917" s="498" t="s">
        <v>2704</v>
      </c>
      <c r="P2917" s="431" t="s">
        <v>6711</v>
      </c>
    </row>
    <row r="2918" spans="1:16" ht="13.5" hidden="1" customHeight="1" outlineLevel="3" x14ac:dyDescent="0.2">
      <c r="A2918" s="233">
        <v>0</v>
      </c>
      <c r="B2918" s="233">
        <v>18</v>
      </c>
      <c r="C2918" s="233">
        <v>33</v>
      </c>
      <c r="D2918" s="234">
        <v>1</v>
      </c>
      <c r="E2918" s="234">
        <v>2</v>
      </c>
      <c r="G2918" s="508" t="s">
        <v>51</v>
      </c>
      <c r="H2918" s="493" t="s">
        <v>1238</v>
      </c>
      <c r="I2918" s="460" t="s">
        <v>6214</v>
      </c>
      <c r="J2918" s="495" t="s">
        <v>836</v>
      </c>
      <c r="K2918" s="496" t="s">
        <v>533</v>
      </c>
      <c r="L2918" s="497">
        <v>44</v>
      </c>
      <c r="M2918" s="497">
        <v>1100</v>
      </c>
      <c r="N2918" s="464">
        <v>48400</v>
      </c>
      <c r="O2918" s="498" t="s">
        <v>2704</v>
      </c>
      <c r="P2918" s="431" t="s">
        <v>6711</v>
      </c>
    </row>
    <row r="2919" spans="1:16" ht="13.5" hidden="1" customHeight="1" outlineLevel="2" x14ac:dyDescent="0.2">
      <c r="A2919" s="233">
        <v>0</v>
      </c>
      <c r="B2919" s="233">
        <v>18</v>
      </c>
      <c r="C2919" s="233">
        <v>33</v>
      </c>
      <c r="D2919" s="234">
        <v>2</v>
      </c>
      <c r="E2919" s="234">
        <v>0</v>
      </c>
      <c r="G2919" s="507"/>
      <c r="H2919" s="487" t="s">
        <v>1237</v>
      </c>
      <c r="I2919" s="452" t="s">
        <v>6215</v>
      </c>
      <c r="J2919" s="489" t="s">
        <v>1885</v>
      </c>
      <c r="K2919" s="490"/>
      <c r="L2919" s="491"/>
      <c r="M2919" s="491"/>
      <c r="N2919" s="456"/>
      <c r="O2919" s="492"/>
      <c r="P2919" s="430"/>
    </row>
    <row r="2920" spans="1:16" ht="13.5" hidden="1" customHeight="1" outlineLevel="3" x14ac:dyDescent="0.2">
      <c r="A2920" s="233">
        <v>0</v>
      </c>
      <c r="B2920" s="233">
        <v>18</v>
      </c>
      <c r="C2920" s="233">
        <v>33</v>
      </c>
      <c r="D2920" s="234">
        <v>2</v>
      </c>
      <c r="E2920" s="234">
        <v>1</v>
      </c>
      <c r="G2920" s="508" t="s">
        <v>51</v>
      </c>
      <c r="H2920" s="493" t="s">
        <v>1238</v>
      </c>
      <c r="I2920" s="460" t="s">
        <v>6216</v>
      </c>
      <c r="J2920" s="495" t="s">
        <v>2706</v>
      </c>
      <c r="K2920" s="496" t="s">
        <v>787</v>
      </c>
      <c r="L2920" s="497" t="e">
        <v>#REF!</v>
      </c>
      <c r="M2920" s="497">
        <v>820</v>
      </c>
      <c r="N2920" s="464"/>
      <c r="O2920" s="498" t="s">
        <v>2703</v>
      </c>
      <c r="P2920" s="431" t="s">
        <v>6711</v>
      </c>
    </row>
    <row r="2921" spans="1:16" ht="13.5" hidden="1" customHeight="1" outlineLevel="3" x14ac:dyDescent="0.2">
      <c r="A2921" s="233">
        <v>0</v>
      </c>
      <c r="B2921" s="233">
        <v>18</v>
      </c>
      <c r="C2921" s="233">
        <v>33</v>
      </c>
      <c r="D2921" s="234">
        <v>2</v>
      </c>
      <c r="E2921" s="234">
        <v>2</v>
      </c>
      <c r="G2921" s="508" t="s">
        <v>51</v>
      </c>
      <c r="H2921" s="493" t="s">
        <v>1238</v>
      </c>
      <c r="I2921" s="460" t="s">
        <v>6217</v>
      </c>
      <c r="J2921" s="495" t="s">
        <v>2707</v>
      </c>
      <c r="K2921" s="496" t="s">
        <v>787</v>
      </c>
      <c r="L2921" s="497" t="e">
        <v>#REF!</v>
      </c>
      <c r="M2921" s="497">
        <v>520</v>
      </c>
      <c r="N2921" s="464"/>
      <c r="O2921" s="498" t="s">
        <v>2703</v>
      </c>
      <c r="P2921" s="431" t="s">
        <v>6711</v>
      </c>
    </row>
    <row r="2922" spans="1:16" ht="13.5" hidden="1" customHeight="1" outlineLevel="2" x14ac:dyDescent="0.2">
      <c r="A2922" s="233">
        <v>0</v>
      </c>
      <c r="B2922" s="233">
        <v>18</v>
      </c>
      <c r="C2922" s="233">
        <v>33</v>
      </c>
      <c r="D2922" s="234">
        <v>3</v>
      </c>
      <c r="E2922" s="234">
        <v>0</v>
      </c>
      <c r="G2922" s="507"/>
      <c r="H2922" s="487" t="s">
        <v>1237</v>
      </c>
      <c r="I2922" s="452" t="s">
        <v>6218</v>
      </c>
      <c r="J2922" s="489" t="s">
        <v>14</v>
      </c>
      <c r="K2922" s="490"/>
      <c r="L2922" s="491"/>
      <c r="M2922" s="491"/>
      <c r="N2922" s="456">
        <v>13200</v>
      </c>
      <c r="O2922" s="492">
        <v>0.788075227750756</v>
      </c>
      <c r="P2922" s="430"/>
    </row>
    <row r="2923" spans="1:16" ht="13.5" hidden="1" customHeight="1" outlineLevel="3" x14ac:dyDescent="0.2">
      <c r="A2923" s="233">
        <v>0</v>
      </c>
      <c r="B2923" s="233">
        <v>18</v>
      </c>
      <c r="C2923" s="233">
        <v>33</v>
      </c>
      <c r="D2923" s="234">
        <v>3</v>
      </c>
      <c r="E2923" s="234">
        <v>1</v>
      </c>
      <c r="G2923" s="508" t="s">
        <v>51</v>
      </c>
      <c r="H2923" s="493" t="s">
        <v>1238</v>
      </c>
      <c r="I2923" s="460" t="s">
        <v>6219</v>
      </c>
      <c r="J2923" s="495" t="s">
        <v>844</v>
      </c>
      <c r="K2923" s="496" t="s">
        <v>533</v>
      </c>
      <c r="L2923" s="497">
        <v>44</v>
      </c>
      <c r="M2923" s="497">
        <v>300</v>
      </c>
      <c r="N2923" s="464">
        <v>13200</v>
      </c>
      <c r="O2923" s="498" t="s">
        <v>2704</v>
      </c>
      <c r="P2923" s="431" t="s">
        <v>6711</v>
      </c>
    </row>
    <row r="2924" spans="1:16" ht="13.5" hidden="1" customHeight="1" outlineLevel="1" x14ac:dyDescent="0.2">
      <c r="A2924" s="233">
        <v>0</v>
      </c>
      <c r="B2924" s="233">
        <v>18</v>
      </c>
      <c r="C2924" s="233">
        <v>34</v>
      </c>
      <c r="D2924" s="234">
        <v>0</v>
      </c>
      <c r="E2924" s="234">
        <v>1</v>
      </c>
      <c r="G2924" s="506"/>
      <c r="H2924" s="481" t="s">
        <v>38</v>
      </c>
      <c r="I2924" s="445" t="s">
        <v>6220</v>
      </c>
      <c r="J2924" s="483" t="s">
        <v>3070</v>
      </c>
      <c r="K2924" s="484"/>
      <c r="L2924" s="485"/>
      <c r="M2924" s="485"/>
      <c r="N2924" s="449"/>
      <c r="O2924" s="486"/>
      <c r="P2924" s="429"/>
    </row>
    <row r="2925" spans="1:16" ht="13.5" hidden="1" customHeight="1" outlineLevel="2" x14ac:dyDescent="0.2">
      <c r="A2925" s="233">
        <v>0</v>
      </c>
      <c r="B2925" s="233">
        <v>18</v>
      </c>
      <c r="C2925" s="233">
        <v>34</v>
      </c>
      <c r="D2925" s="234">
        <v>1</v>
      </c>
      <c r="E2925" s="234">
        <v>0</v>
      </c>
      <c r="G2925" s="507"/>
      <c r="H2925" s="487" t="s">
        <v>1237</v>
      </c>
      <c r="I2925" s="452" t="s">
        <v>6221</v>
      </c>
      <c r="J2925" s="489" t="s">
        <v>2279</v>
      </c>
      <c r="K2925" s="490"/>
      <c r="L2925" s="491"/>
      <c r="M2925" s="491"/>
      <c r="N2925" s="456">
        <v>2868.5</v>
      </c>
      <c r="O2925" s="492"/>
      <c r="P2925" s="430"/>
    </row>
    <row r="2926" spans="1:16" ht="13.5" hidden="1" customHeight="1" outlineLevel="3" x14ac:dyDescent="0.2">
      <c r="A2926" s="233">
        <v>0</v>
      </c>
      <c r="B2926" s="233">
        <v>18</v>
      </c>
      <c r="C2926" s="233">
        <v>34</v>
      </c>
      <c r="D2926" s="234">
        <v>1</v>
      </c>
      <c r="E2926" s="234">
        <v>1</v>
      </c>
      <c r="G2926" s="508" t="s">
        <v>51</v>
      </c>
      <c r="H2926" s="493" t="s">
        <v>1238</v>
      </c>
      <c r="I2926" s="460" t="s">
        <v>6222</v>
      </c>
      <c r="J2926" s="495" t="s">
        <v>2893</v>
      </c>
      <c r="K2926" s="496" t="s">
        <v>787</v>
      </c>
      <c r="L2926" s="497">
        <v>10</v>
      </c>
      <c r="M2926" s="497">
        <v>66.849999999999994</v>
      </c>
      <c r="N2926" s="464">
        <v>668.5</v>
      </c>
      <c r="O2926" s="498" t="s">
        <v>2704</v>
      </c>
      <c r="P2926" s="431" t="s">
        <v>6711</v>
      </c>
    </row>
    <row r="2927" spans="1:16" ht="13.5" hidden="1" customHeight="1" outlineLevel="3" x14ac:dyDescent="0.2">
      <c r="A2927" s="233">
        <v>0</v>
      </c>
      <c r="B2927" s="233">
        <v>18</v>
      </c>
      <c r="C2927" s="233">
        <v>34</v>
      </c>
      <c r="D2927" s="234">
        <v>1</v>
      </c>
      <c r="E2927" s="234">
        <v>2</v>
      </c>
      <c r="G2927" s="508" t="s">
        <v>51</v>
      </c>
      <c r="H2927" s="493" t="s">
        <v>1238</v>
      </c>
      <c r="I2927" s="460" t="s">
        <v>6223</v>
      </c>
      <c r="J2927" s="495" t="s">
        <v>836</v>
      </c>
      <c r="K2927" s="496" t="s">
        <v>533</v>
      </c>
      <c r="L2927" s="497">
        <v>2</v>
      </c>
      <c r="M2927" s="497">
        <v>1100</v>
      </c>
      <c r="N2927" s="464">
        <v>2200</v>
      </c>
      <c r="O2927" s="498" t="s">
        <v>2704</v>
      </c>
      <c r="P2927" s="431" t="s">
        <v>6711</v>
      </c>
    </row>
    <row r="2928" spans="1:16" ht="13.5" hidden="1" customHeight="1" outlineLevel="2" x14ac:dyDescent="0.2">
      <c r="A2928" s="233">
        <v>0</v>
      </c>
      <c r="B2928" s="233">
        <v>18</v>
      </c>
      <c r="C2928" s="233">
        <v>34</v>
      </c>
      <c r="D2928" s="234">
        <v>2</v>
      </c>
      <c r="E2928" s="234">
        <v>0</v>
      </c>
      <c r="G2928" s="507"/>
      <c r="H2928" s="487" t="s">
        <v>1237</v>
      </c>
      <c r="I2928" s="452" t="s">
        <v>6224</v>
      </c>
      <c r="J2928" s="489" t="s">
        <v>1885</v>
      </c>
      <c r="K2928" s="490"/>
      <c r="L2928" s="491"/>
      <c r="M2928" s="491"/>
      <c r="N2928" s="456"/>
      <c r="O2928" s="492"/>
      <c r="P2928" s="430"/>
    </row>
    <row r="2929" spans="1:16" ht="13.5" hidden="1" customHeight="1" outlineLevel="3" x14ac:dyDescent="0.2">
      <c r="A2929" s="233">
        <v>0</v>
      </c>
      <c r="B2929" s="233">
        <v>18</v>
      </c>
      <c r="C2929" s="233">
        <v>34</v>
      </c>
      <c r="D2929" s="234">
        <v>2</v>
      </c>
      <c r="E2929" s="234">
        <v>1</v>
      </c>
      <c r="G2929" s="508" t="s">
        <v>51</v>
      </c>
      <c r="H2929" s="493" t="s">
        <v>1238</v>
      </c>
      <c r="I2929" s="460" t="s">
        <v>6225</v>
      </c>
      <c r="J2929" s="495" t="s">
        <v>2706</v>
      </c>
      <c r="K2929" s="496" t="s">
        <v>787</v>
      </c>
      <c r="L2929" s="497" t="e">
        <v>#REF!</v>
      </c>
      <c r="M2929" s="497">
        <v>820</v>
      </c>
      <c r="N2929" s="464"/>
      <c r="O2929" s="498" t="s">
        <v>2703</v>
      </c>
      <c r="P2929" s="431" t="s">
        <v>6711</v>
      </c>
    </row>
    <row r="2930" spans="1:16" ht="13.5" hidden="1" customHeight="1" outlineLevel="3" x14ac:dyDescent="0.2">
      <c r="A2930" s="233">
        <v>0</v>
      </c>
      <c r="B2930" s="233">
        <v>18</v>
      </c>
      <c r="C2930" s="233">
        <v>34</v>
      </c>
      <c r="D2930" s="234">
        <v>2</v>
      </c>
      <c r="E2930" s="234">
        <v>2</v>
      </c>
      <c r="G2930" s="508" t="s">
        <v>51</v>
      </c>
      <c r="H2930" s="493" t="s">
        <v>1238</v>
      </c>
      <c r="I2930" s="460" t="s">
        <v>6226</v>
      </c>
      <c r="J2930" s="495" t="s">
        <v>2707</v>
      </c>
      <c r="K2930" s="496" t="s">
        <v>787</v>
      </c>
      <c r="L2930" s="497" t="e">
        <v>#REF!</v>
      </c>
      <c r="M2930" s="497">
        <v>520</v>
      </c>
      <c r="N2930" s="464"/>
      <c r="O2930" s="498" t="s">
        <v>2703</v>
      </c>
      <c r="P2930" s="431" t="s">
        <v>6711</v>
      </c>
    </row>
    <row r="2931" spans="1:16" ht="13.5" hidden="1" customHeight="1" outlineLevel="2" x14ac:dyDescent="0.2">
      <c r="A2931" s="233">
        <v>0</v>
      </c>
      <c r="B2931" s="233">
        <v>18</v>
      </c>
      <c r="C2931" s="233">
        <v>34</v>
      </c>
      <c r="D2931" s="234">
        <v>3</v>
      </c>
      <c r="E2931" s="234">
        <v>0</v>
      </c>
      <c r="G2931" s="507"/>
      <c r="H2931" s="487" t="s">
        <v>1237</v>
      </c>
      <c r="I2931" s="452" t="s">
        <v>6227</v>
      </c>
      <c r="J2931" s="489" t="s">
        <v>14</v>
      </c>
      <c r="K2931" s="490"/>
      <c r="L2931" s="491"/>
      <c r="M2931" s="491"/>
      <c r="N2931" s="456">
        <v>600</v>
      </c>
      <c r="O2931" s="492">
        <v>3.5821601261398002E-2</v>
      </c>
      <c r="P2931" s="430"/>
    </row>
    <row r="2932" spans="1:16" ht="13.5" hidden="1" customHeight="1" outlineLevel="3" x14ac:dyDescent="0.2">
      <c r="A2932" s="233">
        <v>0</v>
      </c>
      <c r="B2932" s="233">
        <v>18</v>
      </c>
      <c r="C2932" s="233">
        <v>34</v>
      </c>
      <c r="D2932" s="234">
        <v>3</v>
      </c>
      <c r="E2932" s="234">
        <v>1</v>
      </c>
      <c r="G2932" s="508" t="s">
        <v>51</v>
      </c>
      <c r="H2932" s="493" t="s">
        <v>1238</v>
      </c>
      <c r="I2932" s="460" t="s">
        <v>6228</v>
      </c>
      <c r="J2932" s="495" t="s">
        <v>844</v>
      </c>
      <c r="K2932" s="496" t="s">
        <v>533</v>
      </c>
      <c r="L2932" s="497">
        <v>2</v>
      </c>
      <c r="M2932" s="497">
        <v>300</v>
      </c>
      <c r="N2932" s="464">
        <v>600</v>
      </c>
      <c r="O2932" s="498" t="s">
        <v>2704</v>
      </c>
      <c r="P2932" s="431" t="s">
        <v>6711</v>
      </c>
    </row>
    <row r="2933" spans="1:16" ht="13.5" hidden="1" customHeight="1" outlineLevel="1" x14ac:dyDescent="0.2">
      <c r="A2933" s="233">
        <v>0</v>
      </c>
      <c r="B2933" s="233">
        <v>18</v>
      </c>
      <c r="C2933" s="233">
        <v>35</v>
      </c>
      <c r="D2933" s="234">
        <v>0</v>
      </c>
      <c r="E2933" s="234">
        <v>1</v>
      </c>
      <c r="G2933" s="506"/>
      <c r="H2933" s="481" t="s">
        <v>38</v>
      </c>
      <c r="I2933" s="445" t="s">
        <v>6229</v>
      </c>
      <c r="J2933" s="483" t="s">
        <v>3071</v>
      </c>
      <c r="K2933" s="484"/>
      <c r="L2933" s="485"/>
      <c r="M2933" s="485"/>
      <c r="N2933" s="449"/>
      <c r="O2933" s="486"/>
      <c r="P2933" s="429"/>
    </row>
    <row r="2934" spans="1:16" ht="13.5" hidden="1" customHeight="1" outlineLevel="2" x14ac:dyDescent="0.2">
      <c r="A2934" s="233">
        <v>0</v>
      </c>
      <c r="B2934" s="233">
        <v>18</v>
      </c>
      <c r="C2934" s="233">
        <v>35</v>
      </c>
      <c r="D2934" s="234">
        <v>1</v>
      </c>
      <c r="E2934" s="234">
        <v>0</v>
      </c>
      <c r="G2934" s="507"/>
      <c r="H2934" s="487" t="s">
        <v>1237</v>
      </c>
      <c r="I2934" s="452" t="s">
        <v>6230</v>
      </c>
      <c r="J2934" s="489" t="s">
        <v>2279</v>
      </c>
      <c r="K2934" s="490"/>
      <c r="L2934" s="491"/>
      <c r="M2934" s="491"/>
      <c r="N2934" s="456">
        <v>2868.5</v>
      </c>
      <c r="O2934" s="492"/>
      <c r="P2934" s="430"/>
    </row>
    <row r="2935" spans="1:16" ht="13.5" hidden="1" customHeight="1" outlineLevel="3" x14ac:dyDescent="0.2">
      <c r="A2935" s="233">
        <v>0</v>
      </c>
      <c r="B2935" s="233">
        <v>18</v>
      </c>
      <c r="C2935" s="233">
        <v>35</v>
      </c>
      <c r="D2935" s="234">
        <v>1</v>
      </c>
      <c r="E2935" s="234">
        <v>1</v>
      </c>
      <c r="G2935" s="508" t="s">
        <v>51</v>
      </c>
      <c r="H2935" s="493" t="s">
        <v>1238</v>
      </c>
      <c r="I2935" s="460" t="s">
        <v>6231</v>
      </c>
      <c r="J2935" s="495" t="s">
        <v>2893</v>
      </c>
      <c r="K2935" s="496" t="s">
        <v>787</v>
      </c>
      <c r="L2935" s="497">
        <v>10</v>
      </c>
      <c r="M2935" s="497">
        <v>66.849999999999994</v>
      </c>
      <c r="N2935" s="464">
        <v>668.5</v>
      </c>
      <c r="O2935" s="498" t="s">
        <v>2704</v>
      </c>
      <c r="P2935" s="431" t="s">
        <v>6711</v>
      </c>
    </row>
    <row r="2936" spans="1:16" ht="13.5" hidden="1" customHeight="1" outlineLevel="3" x14ac:dyDescent="0.2">
      <c r="A2936" s="233">
        <v>0</v>
      </c>
      <c r="B2936" s="233">
        <v>18</v>
      </c>
      <c r="C2936" s="233">
        <v>35</v>
      </c>
      <c r="D2936" s="234">
        <v>1</v>
      </c>
      <c r="E2936" s="234">
        <v>2</v>
      </c>
      <c r="G2936" s="508" t="s">
        <v>51</v>
      </c>
      <c r="H2936" s="493" t="s">
        <v>1238</v>
      </c>
      <c r="I2936" s="460" t="s">
        <v>6232</v>
      </c>
      <c r="J2936" s="495" t="s">
        <v>836</v>
      </c>
      <c r="K2936" s="496" t="s">
        <v>533</v>
      </c>
      <c r="L2936" s="497">
        <v>2</v>
      </c>
      <c r="M2936" s="497">
        <v>1100</v>
      </c>
      <c r="N2936" s="464">
        <v>2200</v>
      </c>
      <c r="O2936" s="498" t="s">
        <v>2704</v>
      </c>
      <c r="P2936" s="431" t="s">
        <v>6711</v>
      </c>
    </row>
    <row r="2937" spans="1:16" ht="13.5" hidden="1" customHeight="1" outlineLevel="2" x14ac:dyDescent="0.2">
      <c r="A2937" s="233">
        <v>0</v>
      </c>
      <c r="B2937" s="233">
        <v>18</v>
      </c>
      <c r="C2937" s="233">
        <v>35</v>
      </c>
      <c r="D2937" s="234">
        <v>2</v>
      </c>
      <c r="E2937" s="234">
        <v>0</v>
      </c>
      <c r="G2937" s="507"/>
      <c r="H2937" s="487" t="s">
        <v>1237</v>
      </c>
      <c r="I2937" s="452" t="s">
        <v>6233</v>
      </c>
      <c r="J2937" s="489" t="s">
        <v>1885</v>
      </c>
      <c r="K2937" s="490"/>
      <c r="L2937" s="491"/>
      <c r="M2937" s="491"/>
      <c r="N2937" s="456"/>
      <c r="O2937" s="492"/>
      <c r="P2937" s="430"/>
    </row>
    <row r="2938" spans="1:16" ht="13.5" hidden="1" customHeight="1" outlineLevel="3" x14ac:dyDescent="0.2">
      <c r="A2938" s="233">
        <v>0</v>
      </c>
      <c r="B2938" s="233">
        <v>18</v>
      </c>
      <c r="C2938" s="233">
        <v>35</v>
      </c>
      <c r="D2938" s="234">
        <v>2</v>
      </c>
      <c r="E2938" s="234">
        <v>1</v>
      </c>
      <c r="G2938" s="508" t="s">
        <v>51</v>
      </c>
      <c r="H2938" s="493" t="s">
        <v>1238</v>
      </c>
      <c r="I2938" s="460" t="s">
        <v>6234</v>
      </c>
      <c r="J2938" s="495" t="s">
        <v>2706</v>
      </c>
      <c r="K2938" s="496" t="s">
        <v>787</v>
      </c>
      <c r="L2938" s="497" t="e">
        <v>#REF!</v>
      </c>
      <c r="M2938" s="497">
        <v>820</v>
      </c>
      <c r="N2938" s="464"/>
      <c r="O2938" s="498" t="s">
        <v>2703</v>
      </c>
      <c r="P2938" s="431" t="s">
        <v>6711</v>
      </c>
    </row>
    <row r="2939" spans="1:16" ht="13.5" hidden="1" customHeight="1" outlineLevel="3" x14ac:dyDescent="0.2">
      <c r="A2939" s="233">
        <v>0</v>
      </c>
      <c r="B2939" s="233">
        <v>18</v>
      </c>
      <c r="C2939" s="233">
        <v>35</v>
      </c>
      <c r="D2939" s="234">
        <v>2</v>
      </c>
      <c r="E2939" s="234">
        <v>2</v>
      </c>
      <c r="G2939" s="508" t="s">
        <v>51</v>
      </c>
      <c r="H2939" s="493" t="s">
        <v>1238</v>
      </c>
      <c r="I2939" s="460" t="s">
        <v>6235</v>
      </c>
      <c r="J2939" s="495" t="s">
        <v>2707</v>
      </c>
      <c r="K2939" s="496" t="s">
        <v>787</v>
      </c>
      <c r="L2939" s="497" t="e">
        <v>#REF!</v>
      </c>
      <c r="M2939" s="497">
        <v>520</v>
      </c>
      <c r="N2939" s="464"/>
      <c r="O2939" s="498" t="s">
        <v>2703</v>
      </c>
      <c r="P2939" s="431" t="s">
        <v>6711</v>
      </c>
    </row>
    <row r="2940" spans="1:16" ht="12.75" hidden="1" customHeight="1" outlineLevel="2" x14ac:dyDescent="0.2">
      <c r="A2940" s="233">
        <v>0</v>
      </c>
      <c r="B2940" s="233">
        <v>18</v>
      </c>
      <c r="C2940" s="233">
        <v>35</v>
      </c>
      <c r="D2940" s="234">
        <v>3</v>
      </c>
      <c r="E2940" s="234">
        <v>0</v>
      </c>
      <c r="G2940" s="507"/>
      <c r="H2940" s="487" t="s">
        <v>1237</v>
      </c>
      <c r="I2940" s="452" t="s">
        <v>6236</v>
      </c>
      <c r="J2940" s="489" t="s">
        <v>2709</v>
      </c>
      <c r="K2940" s="490"/>
      <c r="L2940" s="491"/>
      <c r="M2940" s="491"/>
      <c r="N2940" s="456"/>
      <c r="O2940" s="492"/>
      <c r="P2940" s="430"/>
    </row>
    <row r="2941" spans="1:16" ht="12.75" hidden="1" customHeight="1" outlineLevel="3" x14ac:dyDescent="0.2">
      <c r="A2941" s="233">
        <v>0</v>
      </c>
      <c r="B2941" s="233">
        <v>18</v>
      </c>
      <c r="C2941" s="233">
        <v>35</v>
      </c>
      <c r="D2941" s="234">
        <v>3</v>
      </c>
      <c r="E2941" s="234">
        <v>1</v>
      </c>
      <c r="G2941" s="508" t="s">
        <v>51</v>
      </c>
      <c r="H2941" s="493" t="s">
        <v>1238</v>
      </c>
      <c r="I2941" s="460" t="s">
        <v>6237</v>
      </c>
      <c r="J2941" s="495" t="s">
        <v>2708</v>
      </c>
      <c r="K2941" s="496" t="s">
        <v>641</v>
      </c>
      <c r="L2941" s="497" t="e">
        <v>#REF!</v>
      </c>
      <c r="M2941" s="497">
        <v>1240</v>
      </c>
      <c r="N2941" s="464"/>
      <c r="O2941" s="498" t="s">
        <v>2703</v>
      </c>
      <c r="P2941" s="431" t="s">
        <v>6711</v>
      </c>
    </row>
    <row r="2942" spans="1:16" ht="13.5" hidden="1" customHeight="1" outlineLevel="2" x14ac:dyDescent="0.2">
      <c r="A2942" s="233">
        <v>0</v>
      </c>
      <c r="B2942" s="233">
        <v>18</v>
      </c>
      <c r="C2942" s="233">
        <v>35</v>
      </c>
      <c r="D2942" s="234">
        <v>4</v>
      </c>
      <c r="E2942" s="234">
        <v>0</v>
      </c>
      <c r="G2942" s="507"/>
      <c r="H2942" s="487" t="s">
        <v>1237</v>
      </c>
      <c r="I2942" s="452" t="s">
        <v>6238</v>
      </c>
      <c r="J2942" s="489" t="s">
        <v>14</v>
      </c>
      <c r="K2942" s="490"/>
      <c r="L2942" s="491"/>
      <c r="M2942" s="491"/>
      <c r="N2942" s="456">
        <v>600</v>
      </c>
      <c r="O2942" s="492">
        <v>3.5821601261398002E-2</v>
      </c>
      <c r="P2942" s="430"/>
    </row>
    <row r="2943" spans="1:16" ht="13.5" hidden="1" customHeight="1" outlineLevel="3" x14ac:dyDescent="0.2">
      <c r="A2943" s="233">
        <v>0</v>
      </c>
      <c r="B2943" s="233">
        <v>18</v>
      </c>
      <c r="C2943" s="233">
        <v>35</v>
      </c>
      <c r="D2943" s="234">
        <v>4</v>
      </c>
      <c r="E2943" s="234">
        <v>1</v>
      </c>
      <c r="G2943" s="508" t="s">
        <v>51</v>
      </c>
      <c r="H2943" s="493" t="s">
        <v>1238</v>
      </c>
      <c r="I2943" s="460" t="s">
        <v>6239</v>
      </c>
      <c r="J2943" s="495" t="s">
        <v>844</v>
      </c>
      <c r="K2943" s="496" t="s">
        <v>533</v>
      </c>
      <c r="L2943" s="497">
        <v>2</v>
      </c>
      <c r="M2943" s="497">
        <v>300</v>
      </c>
      <c r="N2943" s="464">
        <v>600</v>
      </c>
      <c r="O2943" s="498" t="s">
        <v>2704</v>
      </c>
      <c r="P2943" s="431" t="s">
        <v>6711</v>
      </c>
    </row>
    <row r="2944" spans="1:16" ht="13.5" hidden="1" customHeight="1" outlineLevel="1" x14ac:dyDescent="0.2">
      <c r="A2944" s="233">
        <v>0</v>
      </c>
      <c r="B2944" s="233">
        <v>18</v>
      </c>
      <c r="C2944" s="233">
        <v>36</v>
      </c>
      <c r="D2944" s="234">
        <v>0</v>
      </c>
      <c r="E2944" s="234">
        <v>1</v>
      </c>
      <c r="G2944" s="506"/>
      <c r="H2944" s="481" t="s">
        <v>38</v>
      </c>
      <c r="I2944" s="445" t="s">
        <v>6240</v>
      </c>
      <c r="J2944" s="483" t="s">
        <v>3072</v>
      </c>
      <c r="K2944" s="484"/>
      <c r="L2944" s="485"/>
      <c r="M2944" s="485"/>
      <c r="N2944" s="449"/>
      <c r="O2944" s="486"/>
      <c r="P2944" s="429"/>
    </row>
    <row r="2945" spans="1:16" ht="13.5" hidden="1" customHeight="1" outlineLevel="2" x14ac:dyDescent="0.2">
      <c r="A2945" s="233">
        <v>0</v>
      </c>
      <c r="B2945" s="233">
        <v>18</v>
      </c>
      <c r="C2945" s="233">
        <v>36</v>
      </c>
      <c r="D2945" s="234">
        <v>1</v>
      </c>
      <c r="E2945" s="234">
        <v>0</v>
      </c>
      <c r="G2945" s="507"/>
      <c r="H2945" s="487" t="s">
        <v>1237</v>
      </c>
      <c r="I2945" s="452" t="s">
        <v>6241</v>
      </c>
      <c r="J2945" s="489" t="s">
        <v>2279</v>
      </c>
      <c r="K2945" s="490"/>
      <c r="L2945" s="491"/>
      <c r="M2945" s="491"/>
      <c r="N2945" s="456">
        <v>1434.25</v>
      </c>
      <c r="O2945" s="492"/>
      <c r="P2945" s="430"/>
    </row>
    <row r="2946" spans="1:16" ht="13.5" hidden="1" customHeight="1" outlineLevel="3" x14ac:dyDescent="0.2">
      <c r="A2946" s="233">
        <v>0</v>
      </c>
      <c r="B2946" s="233">
        <v>18</v>
      </c>
      <c r="C2946" s="233">
        <v>36</v>
      </c>
      <c r="D2946" s="234">
        <v>1</v>
      </c>
      <c r="E2946" s="234">
        <v>1</v>
      </c>
      <c r="G2946" s="508" t="s">
        <v>51</v>
      </c>
      <c r="H2946" s="493" t="s">
        <v>1238</v>
      </c>
      <c r="I2946" s="460" t="s">
        <v>6242</v>
      </c>
      <c r="J2946" s="495" t="s">
        <v>2893</v>
      </c>
      <c r="K2946" s="496" t="s">
        <v>787</v>
      </c>
      <c r="L2946" s="497">
        <v>5</v>
      </c>
      <c r="M2946" s="497">
        <v>66.849999999999994</v>
      </c>
      <c r="N2946" s="464">
        <v>334.25</v>
      </c>
      <c r="O2946" s="498" t="s">
        <v>2704</v>
      </c>
      <c r="P2946" s="431" t="s">
        <v>6711</v>
      </c>
    </row>
    <row r="2947" spans="1:16" ht="13.5" hidden="1" customHeight="1" outlineLevel="3" x14ac:dyDescent="0.2">
      <c r="A2947" s="233">
        <v>0</v>
      </c>
      <c r="B2947" s="233">
        <v>18</v>
      </c>
      <c r="C2947" s="233">
        <v>36</v>
      </c>
      <c r="D2947" s="234">
        <v>1</v>
      </c>
      <c r="E2947" s="234">
        <v>2</v>
      </c>
      <c r="G2947" s="508" t="s">
        <v>51</v>
      </c>
      <c r="H2947" s="493" t="s">
        <v>1238</v>
      </c>
      <c r="I2947" s="460" t="s">
        <v>6243</v>
      </c>
      <c r="J2947" s="495" t="s">
        <v>836</v>
      </c>
      <c r="K2947" s="496" t="s">
        <v>533</v>
      </c>
      <c r="L2947" s="497">
        <v>1</v>
      </c>
      <c r="M2947" s="497">
        <v>1100</v>
      </c>
      <c r="N2947" s="464">
        <v>1100</v>
      </c>
      <c r="O2947" s="498" t="s">
        <v>2704</v>
      </c>
      <c r="P2947" s="431" t="s">
        <v>6711</v>
      </c>
    </row>
    <row r="2948" spans="1:16" ht="12.75" hidden="1" customHeight="1" outlineLevel="2" x14ac:dyDescent="0.2">
      <c r="A2948" s="233">
        <v>0</v>
      </c>
      <c r="B2948" s="233">
        <v>18</v>
      </c>
      <c r="C2948" s="233">
        <v>36</v>
      </c>
      <c r="D2948" s="234">
        <v>2</v>
      </c>
      <c r="E2948" s="234">
        <v>0</v>
      </c>
      <c r="G2948" s="507"/>
      <c r="H2948" s="487" t="s">
        <v>1237</v>
      </c>
      <c r="I2948" s="452" t="s">
        <v>6244</v>
      </c>
      <c r="J2948" s="489" t="s">
        <v>2709</v>
      </c>
      <c r="K2948" s="490"/>
      <c r="L2948" s="491"/>
      <c r="M2948" s="491"/>
      <c r="N2948" s="456"/>
      <c r="O2948" s="492"/>
      <c r="P2948" s="430"/>
    </row>
    <row r="2949" spans="1:16" ht="12.75" hidden="1" customHeight="1" outlineLevel="3" x14ac:dyDescent="0.2">
      <c r="A2949" s="233">
        <v>0</v>
      </c>
      <c r="B2949" s="233">
        <v>18</v>
      </c>
      <c r="C2949" s="233">
        <v>36</v>
      </c>
      <c r="D2949" s="234">
        <v>2</v>
      </c>
      <c r="E2949" s="234">
        <v>1</v>
      </c>
      <c r="G2949" s="508" t="s">
        <v>51</v>
      </c>
      <c r="H2949" s="493" t="s">
        <v>1238</v>
      </c>
      <c r="I2949" s="460" t="s">
        <v>6245</v>
      </c>
      <c r="J2949" s="495" t="s">
        <v>2708</v>
      </c>
      <c r="K2949" s="496" t="s">
        <v>641</v>
      </c>
      <c r="L2949" s="497" t="e">
        <v>#REF!</v>
      </c>
      <c r="M2949" s="497">
        <v>1240</v>
      </c>
      <c r="N2949" s="464"/>
      <c r="O2949" s="498" t="s">
        <v>2703</v>
      </c>
      <c r="P2949" s="431" t="s">
        <v>6711</v>
      </c>
    </row>
    <row r="2950" spans="1:16" ht="12.75" hidden="1" customHeight="1" outlineLevel="2" x14ac:dyDescent="0.2">
      <c r="A2950" s="233">
        <v>0</v>
      </c>
      <c r="B2950" s="233">
        <v>18</v>
      </c>
      <c r="C2950" s="233">
        <v>36</v>
      </c>
      <c r="D2950" s="234">
        <v>3</v>
      </c>
      <c r="E2950" s="234">
        <v>0</v>
      </c>
      <c r="G2950" s="507"/>
      <c r="H2950" s="487" t="s">
        <v>1237</v>
      </c>
      <c r="I2950" s="452" t="s">
        <v>6246</v>
      </c>
      <c r="J2950" s="489" t="s">
        <v>29</v>
      </c>
      <c r="K2950" s="490"/>
      <c r="L2950" s="491"/>
      <c r="M2950" s="491"/>
      <c r="N2950" s="456">
        <v>2405</v>
      </c>
      <c r="O2950" s="492"/>
      <c r="P2950" s="430"/>
    </row>
    <row r="2951" spans="1:16" ht="12.75" hidden="1" customHeight="1" outlineLevel="3" x14ac:dyDescent="0.2">
      <c r="A2951" s="233">
        <v>0</v>
      </c>
      <c r="B2951" s="233">
        <v>18</v>
      </c>
      <c r="C2951" s="233">
        <v>36</v>
      </c>
      <c r="D2951" s="234">
        <v>3</v>
      </c>
      <c r="E2951" s="234">
        <v>1</v>
      </c>
      <c r="G2951" s="508" t="s">
        <v>51</v>
      </c>
      <c r="H2951" s="493" t="s">
        <v>1238</v>
      </c>
      <c r="I2951" s="460" t="s">
        <v>6247</v>
      </c>
      <c r="J2951" s="495" t="s">
        <v>842</v>
      </c>
      <c r="K2951" s="496" t="s">
        <v>533</v>
      </c>
      <c r="L2951" s="497">
        <v>1</v>
      </c>
      <c r="M2951" s="497">
        <v>2405</v>
      </c>
      <c r="N2951" s="464">
        <v>2405</v>
      </c>
      <c r="O2951" s="498"/>
      <c r="P2951" s="431" t="s">
        <v>6711</v>
      </c>
    </row>
    <row r="2952" spans="1:16" ht="13.5" hidden="1" customHeight="1" outlineLevel="2" x14ac:dyDescent="0.2">
      <c r="A2952" s="233">
        <v>0</v>
      </c>
      <c r="B2952" s="233">
        <v>18</v>
      </c>
      <c r="C2952" s="233">
        <v>36</v>
      </c>
      <c r="D2952" s="234">
        <v>4</v>
      </c>
      <c r="E2952" s="234">
        <v>0</v>
      </c>
      <c r="G2952" s="507"/>
      <c r="H2952" s="487" t="s">
        <v>1237</v>
      </c>
      <c r="I2952" s="452" t="s">
        <v>6248</v>
      </c>
      <c r="J2952" s="489" t="s">
        <v>14</v>
      </c>
      <c r="K2952" s="490"/>
      <c r="L2952" s="491"/>
      <c r="M2952" s="491"/>
      <c r="N2952" s="456">
        <v>300</v>
      </c>
      <c r="O2952" s="492">
        <v>1.7910800630699001E-2</v>
      </c>
      <c r="P2952" s="430"/>
    </row>
    <row r="2953" spans="1:16" ht="13.5" hidden="1" customHeight="1" outlineLevel="3" x14ac:dyDescent="0.2">
      <c r="A2953" s="233">
        <v>0</v>
      </c>
      <c r="B2953" s="233">
        <v>18</v>
      </c>
      <c r="C2953" s="233">
        <v>36</v>
      </c>
      <c r="D2953" s="234">
        <v>4</v>
      </c>
      <c r="E2953" s="234">
        <v>1</v>
      </c>
      <c r="G2953" s="508" t="s">
        <v>51</v>
      </c>
      <c r="H2953" s="493" t="s">
        <v>1238</v>
      </c>
      <c r="I2953" s="460" t="s">
        <v>6249</v>
      </c>
      <c r="J2953" s="495" t="s">
        <v>844</v>
      </c>
      <c r="K2953" s="496" t="s">
        <v>533</v>
      </c>
      <c r="L2953" s="497">
        <v>1</v>
      </c>
      <c r="M2953" s="497">
        <v>300</v>
      </c>
      <c r="N2953" s="464">
        <v>300</v>
      </c>
      <c r="O2953" s="498" t="s">
        <v>2704</v>
      </c>
      <c r="P2953" s="431" t="s">
        <v>6711</v>
      </c>
    </row>
    <row r="2954" spans="1:16" ht="13.9" customHeight="1" collapsed="1" x14ac:dyDescent="0.2">
      <c r="A2954" s="233">
        <v>0</v>
      </c>
      <c r="B2954" s="233">
        <v>19</v>
      </c>
      <c r="C2954" s="233">
        <v>0</v>
      </c>
      <c r="D2954" s="234">
        <v>4</v>
      </c>
      <c r="E2954" s="234">
        <v>1</v>
      </c>
      <c r="F2954" s="238"/>
      <c r="G2954" s="504"/>
      <c r="H2954" s="476" t="s">
        <v>1236</v>
      </c>
      <c r="I2954" s="438" t="s">
        <v>6250</v>
      </c>
      <c r="J2954" s="505" t="s">
        <v>52</v>
      </c>
      <c r="K2954" s="478"/>
      <c r="L2954" s="479"/>
      <c r="M2954" s="479"/>
      <c r="N2954" s="442">
        <v>500535.85</v>
      </c>
      <c r="O2954" s="480">
        <v>29.8833260595582</v>
      </c>
      <c r="P2954" s="434"/>
    </row>
    <row r="2955" spans="1:16" ht="13.9" hidden="1" customHeight="1" outlineLevel="1" x14ac:dyDescent="0.2">
      <c r="A2955" s="233">
        <v>0</v>
      </c>
      <c r="B2955" s="233">
        <v>19</v>
      </c>
      <c r="C2955" s="233">
        <v>1</v>
      </c>
      <c r="D2955" s="234">
        <v>0</v>
      </c>
      <c r="E2955" s="234">
        <v>1</v>
      </c>
      <c r="F2955" s="238"/>
      <c r="G2955" s="506"/>
      <c r="H2955" s="481" t="s">
        <v>38</v>
      </c>
      <c r="I2955" s="445" t="s">
        <v>6251</v>
      </c>
      <c r="J2955" s="483" t="s">
        <v>2609</v>
      </c>
      <c r="K2955" s="484"/>
      <c r="L2955" s="485"/>
      <c r="M2955" s="485"/>
      <c r="N2955" s="449">
        <v>110511.67</v>
      </c>
      <c r="O2955" s="486"/>
      <c r="P2955" s="435"/>
    </row>
    <row r="2956" spans="1:16" ht="15.75" hidden="1" customHeight="1" outlineLevel="2" x14ac:dyDescent="0.2">
      <c r="A2956" s="233">
        <v>0</v>
      </c>
      <c r="B2956" s="233">
        <v>19</v>
      </c>
      <c r="C2956" s="233">
        <v>1</v>
      </c>
      <c r="D2956" s="234">
        <v>1</v>
      </c>
      <c r="E2956" s="234">
        <v>0</v>
      </c>
      <c r="F2956" s="238"/>
      <c r="G2956" s="507"/>
      <c r="H2956" s="487" t="s">
        <v>1237</v>
      </c>
      <c r="I2956" s="452" t="s">
        <v>6252</v>
      </c>
      <c r="J2956" s="489" t="s">
        <v>31</v>
      </c>
      <c r="K2956" s="490"/>
      <c r="L2956" s="491"/>
      <c r="M2956" s="491"/>
      <c r="N2956" s="456">
        <v>14835.12</v>
      </c>
      <c r="O2956" s="492"/>
      <c r="P2956" s="430"/>
    </row>
    <row r="2957" spans="1:16" ht="13.9" hidden="1" customHeight="1" outlineLevel="3" x14ac:dyDescent="0.2">
      <c r="A2957" s="233">
        <v>0</v>
      </c>
      <c r="B2957" s="233">
        <v>19</v>
      </c>
      <c r="C2957" s="233">
        <v>1</v>
      </c>
      <c r="D2957" s="234">
        <v>1</v>
      </c>
      <c r="E2957" s="234">
        <v>1</v>
      </c>
      <c r="F2957" s="238"/>
      <c r="G2957" s="508" t="s">
        <v>52</v>
      </c>
      <c r="H2957" s="493" t="s">
        <v>1238</v>
      </c>
      <c r="I2957" s="460" t="s">
        <v>6253</v>
      </c>
      <c r="J2957" s="495" t="s">
        <v>1265</v>
      </c>
      <c r="K2957" s="496" t="s">
        <v>1129</v>
      </c>
      <c r="L2957" s="497">
        <v>1</v>
      </c>
      <c r="M2957" s="497">
        <v>14835.119999999999</v>
      </c>
      <c r="N2957" s="464">
        <v>14835.12</v>
      </c>
      <c r="O2957" s="498"/>
      <c r="P2957" s="431" t="s">
        <v>6711</v>
      </c>
    </row>
    <row r="2958" spans="1:16" ht="13.9" hidden="1" customHeight="1" outlineLevel="2" x14ac:dyDescent="0.2">
      <c r="A2958" s="233">
        <v>0</v>
      </c>
      <c r="B2958" s="233">
        <v>19</v>
      </c>
      <c r="C2958" s="233">
        <v>1</v>
      </c>
      <c r="D2958" s="234">
        <v>2</v>
      </c>
      <c r="E2958" s="234">
        <v>0</v>
      </c>
      <c r="F2958" s="238"/>
      <c r="G2958" s="507"/>
      <c r="H2958" s="487" t="s">
        <v>1237</v>
      </c>
      <c r="I2958" s="452" t="s">
        <v>6254</v>
      </c>
      <c r="J2958" s="489" t="s">
        <v>2353</v>
      </c>
      <c r="K2958" s="490"/>
      <c r="L2958" s="491"/>
      <c r="M2958" s="491"/>
      <c r="N2958" s="456">
        <v>67242.11</v>
      </c>
      <c r="O2958" s="492"/>
      <c r="P2958" s="430"/>
    </row>
    <row r="2959" spans="1:16" ht="13.9" hidden="1" customHeight="1" outlineLevel="3" x14ac:dyDescent="0.2">
      <c r="A2959" s="233">
        <v>0</v>
      </c>
      <c r="B2959" s="233">
        <v>19</v>
      </c>
      <c r="C2959" s="233">
        <v>1</v>
      </c>
      <c r="D2959" s="234">
        <v>2</v>
      </c>
      <c r="E2959" s="234">
        <v>1</v>
      </c>
      <c r="F2959" s="238"/>
      <c r="G2959" s="508" t="s">
        <v>52</v>
      </c>
      <c r="H2959" s="493" t="s">
        <v>1238</v>
      </c>
      <c r="I2959" s="460" t="s">
        <v>6255</v>
      </c>
      <c r="J2959" s="495" t="s">
        <v>1266</v>
      </c>
      <c r="K2959" s="496" t="s">
        <v>1129</v>
      </c>
      <c r="L2959" s="497">
        <v>1</v>
      </c>
      <c r="M2959" s="497">
        <v>67242.11</v>
      </c>
      <c r="N2959" s="464">
        <v>67242.11</v>
      </c>
      <c r="O2959" s="498"/>
      <c r="P2959" s="431" t="s">
        <v>6711</v>
      </c>
    </row>
    <row r="2960" spans="1:16" ht="13.9" hidden="1" customHeight="1" outlineLevel="2" x14ac:dyDescent="0.2">
      <c r="A2960" s="233">
        <v>0</v>
      </c>
      <c r="B2960" s="233">
        <v>19</v>
      </c>
      <c r="C2960" s="233">
        <v>1</v>
      </c>
      <c r="D2960" s="234">
        <v>3</v>
      </c>
      <c r="E2960" s="234">
        <v>0</v>
      </c>
      <c r="F2960" s="238"/>
      <c r="G2960" s="507"/>
      <c r="H2960" s="487" t="s">
        <v>1237</v>
      </c>
      <c r="I2960" s="452" t="s">
        <v>6256</v>
      </c>
      <c r="J2960" s="489" t="s">
        <v>2354</v>
      </c>
      <c r="K2960" s="490"/>
      <c r="L2960" s="491"/>
      <c r="M2960" s="491"/>
      <c r="N2960" s="456">
        <v>22157.8</v>
      </c>
      <c r="O2960" s="492"/>
      <c r="P2960" s="430"/>
    </row>
    <row r="2961" spans="1:16" ht="13.9" hidden="1" customHeight="1" outlineLevel="3" x14ac:dyDescent="0.2">
      <c r="A2961" s="233">
        <v>0</v>
      </c>
      <c r="B2961" s="233">
        <v>19</v>
      </c>
      <c r="C2961" s="233">
        <v>1</v>
      </c>
      <c r="D2961" s="234">
        <v>3</v>
      </c>
      <c r="E2961" s="234">
        <v>1</v>
      </c>
      <c r="F2961" s="238"/>
      <c r="G2961" s="508" t="s">
        <v>52</v>
      </c>
      <c r="H2961" s="493" t="s">
        <v>1238</v>
      </c>
      <c r="I2961" s="460" t="s">
        <v>6257</v>
      </c>
      <c r="J2961" s="495" t="s">
        <v>1267</v>
      </c>
      <c r="K2961" s="496" t="s">
        <v>1129</v>
      </c>
      <c r="L2961" s="497">
        <v>1</v>
      </c>
      <c r="M2961" s="497">
        <v>22157.8</v>
      </c>
      <c r="N2961" s="464">
        <v>22157.8</v>
      </c>
      <c r="O2961" s="498"/>
      <c r="P2961" s="431" t="s">
        <v>6711</v>
      </c>
    </row>
    <row r="2962" spans="1:16" ht="13.9" hidden="1" customHeight="1" outlineLevel="2" x14ac:dyDescent="0.2">
      <c r="A2962" s="233">
        <v>0</v>
      </c>
      <c r="B2962" s="233">
        <v>19</v>
      </c>
      <c r="C2962" s="233">
        <v>1</v>
      </c>
      <c r="D2962" s="234">
        <v>4</v>
      </c>
      <c r="E2962" s="234">
        <v>0</v>
      </c>
      <c r="F2962" s="238"/>
      <c r="G2962" s="507"/>
      <c r="H2962" s="487" t="s">
        <v>1237</v>
      </c>
      <c r="I2962" s="452" t="s">
        <v>6258</v>
      </c>
      <c r="J2962" s="489" t="s">
        <v>14</v>
      </c>
      <c r="K2962" s="490"/>
      <c r="L2962" s="491"/>
      <c r="M2962" s="491"/>
      <c r="N2962" s="456">
        <v>6276.64</v>
      </c>
      <c r="O2962" s="492"/>
      <c r="P2962" s="430"/>
    </row>
    <row r="2963" spans="1:16" ht="13.9" hidden="1" customHeight="1" outlineLevel="3" x14ac:dyDescent="0.2">
      <c r="A2963" s="233">
        <v>0</v>
      </c>
      <c r="B2963" s="233">
        <v>19</v>
      </c>
      <c r="C2963" s="233">
        <v>1</v>
      </c>
      <c r="D2963" s="234">
        <v>4</v>
      </c>
      <c r="E2963" s="234">
        <v>1</v>
      </c>
      <c r="F2963" s="238"/>
      <c r="G2963" s="508" t="s">
        <v>52</v>
      </c>
      <c r="H2963" s="493" t="s">
        <v>1238</v>
      </c>
      <c r="I2963" s="460" t="s">
        <v>6259</v>
      </c>
      <c r="J2963" s="495" t="s">
        <v>1268</v>
      </c>
      <c r="K2963" s="496" t="s">
        <v>1129</v>
      </c>
      <c r="L2963" s="497">
        <v>1</v>
      </c>
      <c r="M2963" s="497">
        <v>6276.64</v>
      </c>
      <c r="N2963" s="464">
        <v>6276.64</v>
      </c>
      <c r="O2963" s="498"/>
      <c r="P2963" s="431" t="s">
        <v>6711</v>
      </c>
    </row>
    <row r="2964" spans="1:16" ht="13.9" hidden="1" customHeight="1" outlineLevel="1" x14ac:dyDescent="0.2">
      <c r="A2964" s="233">
        <v>0</v>
      </c>
      <c r="B2964" s="233">
        <v>19</v>
      </c>
      <c r="C2964" s="233">
        <v>2</v>
      </c>
      <c r="D2964" s="234">
        <v>0</v>
      </c>
      <c r="E2964" s="234">
        <v>1</v>
      </c>
      <c r="F2964" s="238"/>
      <c r="G2964" s="506"/>
      <c r="H2964" s="481" t="s">
        <v>38</v>
      </c>
      <c r="I2964" s="445" t="s">
        <v>6260</v>
      </c>
      <c r="J2964" s="483" t="s">
        <v>2610</v>
      </c>
      <c r="K2964" s="484"/>
      <c r="L2964" s="485"/>
      <c r="M2964" s="485"/>
      <c r="N2964" s="449">
        <v>6937.22</v>
      </c>
      <c r="O2964" s="486"/>
      <c r="P2964" s="435"/>
    </row>
    <row r="2965" spans="1:16" ht="13.9" hidden="1" customHeight="1" outlineLevel="2" x14ac:dyDescent="0.2">
      <c r="A2965" s="233">
        <v>0</v>
      </c>
      <c r="B2965" s="233">
        <v>19</v>
      </c>
      <c r="C2965" s="233">
        <v>2</v>
      </c>
      <c r="D2965" s="234">
        <v>1</v>
      </c>
      <c r="E2965" s="234">
        <v>0</v>
      </c>
      <c r="F2965" s="238"/>
      <c r="G2965" s="507"/>
      <c r="H2965" s="487" t="s">
        <v>1237</v>
      </c>
      <c r="I2965" s="452" t="s">
        <v>6261</v>
      </c>
      <c r="J2965" s="489" t="s">
        <v>2353</v>
      </c>
      <c r="K2965" s="490"/>
      <c r="L2965" s="491"/>
      <c r="M2965" s="491"/>
      <c r="N2965" s="456">
        <v>528.02</v>
      </c>
      <c r="O2965" s="492"/>
      <c r="P2965" s="430"/>
    </row>
    <row r="2966" spans="1:16" ht="13.9" hidden="1" customHeight="1" outlineLevel="3" x14ac:dyDescent="0.2">
      <c r="A2966" s="233">
        <v>0</v>
      </c>
      <c r="B2966" s="233">
        <v>19</v>
      </c>
      <c r="C2966" s="233">
        <v>2</v>
      </c>
      <c r="D2966" s="234">
        <v>1</v>
      </c>
      <c r="E2966" s="234">
        <v>1</v>
      </c>
      <c r="F2966" s="238"/>
      <c r="G2966" s="508" t="s">
        <v>52</v>
      </c>
      <c r="H2966" s="493" t="s">
        <v>1238</v>
      </c>
      <c r="I2966" s="460" t="s">
        <v>6262</v>
      </c>
      <c r="J2966" s="495" t="s">
        <v>1266</v>
      </c>
      <c r="K2966" s="496" t="s">
        <v>1129</v>
      </c>
      <c r="L2966" s="497">
        <v>1</v>
      </c>
      <c r="M2966" s="497">
        <v>528.02</v>
      </c>
      <c r="N2966" s="464">
        <v>528.02</v>
      </c>
      <c r="O2966" s="498"/>
      <c r="P2966" s="431" t="s">
        <v>6711</v>
      </c>
    </row>
    <row r="2967" spans="1:16" ht="13.9" hidden="1" customHeight="1" outlineLevel="2" x14ac:dyDescent="0.2">
      <c r="A2967" s="233">
        <v>0</v>
      </c>
      <c r="B2967" s="233">
        <v>19</v>
      </c>
      <c r="C2967" s="233">
        <v>2</v>
      </c>
      <c r="D2967" s="234">
        <v>2</v>
      </c>
      <c r="E2967" s="234">
        <v>0</v>
      </c>
      <c r="F2967" s="238"/>
      <c r="G2967" s="507"/>
      <c r="H2967" s="487" t="s">
        <v>1237</v>
      </c>
      <c r="I2967" s="452" t="s">
        <v>6263</v>
      </c>
      <c r="J2967" s="489" t="s">
        <v>14</v>
      </c>
      <c r="K2967" s="490"/>
      <c r="L2967" s="491"/>
      <c r="M2967" s="491"/>
      <c r="N2967" s="456">
        <v>6409.2</v>
      </c>
      <c r="O2967" s="492"/>
      <c r="P2967" s="430"/>
    </row>
    <row r="2968" spans="1:16" ht="13.9" hidden="1" customHeight="1" outlineLevel="3" x14ac:dyDescent="0.2">
      <c r="A2968" s="233">
        <v>0</v>
      </c>
      <c r="B2968" s="233">
        <v>19</v>
      </c>
      <c r="C2968" s="233">
        <v>2</v>
      </c>
      <c r="D2968" s="234">
        <v>2</v>
      </c>
      <c r="E2968" s="234">
        <v>1</v>
      </c>
      <c r="F2968" s="238"/>
      <c r="G2968" s="508" t="s">
        <v>52</v>
      </c>
      <c r="H2968" s="493" t="s">
        <v>1238</v>
      </c>
      <c r="I2968" s="460" t="s">
        <v>6264</v>
      </c>
      <c r="J2968" s="495" t="s">
        <v>1268</v>
      </c>
      <c r="K2968" s="496" t="s">
        <v>1129</v>
      </c>
      <c r="L2968" s="497">
        <v>1</v>
      </c>
      <c r="M2968" s="497">
        <v>6409.2</v>
      </c>
      <c r="N2968" s="464">
        <v>6409.2</v>
      </c>
      <c r="O2968" s="498"/>
      <c r="P2968" s="431" t="s">
        <v>6711</v>
      </c>
    </row>
    <row r="2969" spans="1:16" ht="13.9" hidden="1" customHeight="1" outlineLevel="1" x14ac:dyDescent="0.2">
      <c r="A2969" s="233">
        <v>0</v>
      </c>
      <c r="B2969" s="233">
        <v>19</v>
      </c>
      <c r="C2969" s="233">
        <v>3</v>
      </c>
      <c r="D2969" s="234">
        <v>0</v>
      </c>
      <c r="E2969" s="234">
        <v>1</v>
      </c>
      <c r="F2969" s="238"/>
      <c r="G2969" s="506"/>
      <c r="H2969" s="481" t="s">
        <v>38</v>
      </c>
      <c r="I2969" s="445" t="s">
        <v>6265</v>
      </c>
      <c r="J2969" s="483" t="s">
        <v>2611</v>
      </c>
      <c r="K2969" s="484"/>
      <c r="L2969" s="485"/>
      <c r="M2969" s="485"/>
      <c r="N2969" s="449">
        <v>7556.02</v>
      </c>
      <c r="O2969" s="486"/>
      <c r="P2969" s="435"/>
    </row>
    <row r="2970" spans="1:16" ht="13.9" hidden="1" customHeight="1" outlineLevel="2" x14ac:dyDescent="0.2">
      <c r="A2970" s="233">
        <v>0</v>
      </c>
      <c r="B2970" s="233">
        <v>19</v>
      </c>
      <c r="C2970" s="233">
        <v>3</v>
      </c>
      <c r="D2970" s="234">
        <v>1</v>
      </c>
      <c r="E2970" s="234">
        <v>0</v>
      </c>
      <c r="F2970" s="238"/>
      <c r="G2970" s="507"/>
      <c r="H2970" s="487" t="s">
        <v>1237</v>
      </c>
      <c r="I2970" s="452" t="s">
        <v>6266</v>
      </c>
      <c r="J2970" s="489" t="s">
        <v>2353</v>
      </c>
      <c r="K2970" s="490"/>
      <c r="L2970" s="491"/>
      <c r="M2970" s="491"/>
      <c r="N2970" s="456">
        <v>528.02</v>
      </c>
      <c r="O2970" s="492"/>
      <c r="P2970" s="430"/>
    </row>
    <row r="2971" spans="1:16" ht="13.9" hidden="1" customHeight="1" outlineLevel="3" x14ac:dyDescent="0.2">
      <c r="A2971" s="233">
        <v>0</v>
      </c>
      <c r="B2971" s="233">
        <v>19</v>
      </c>
      <c r="C2971" s="233">
        <v>3</v>
      </c>
      <c r="D2971" s="234">
        <v>1</v>
      </c>
      <c r="E2971" s="234">
        <v>1</v>
      </c>
      <c r="F2971" s="238"/>
      <c r="G2971" s="508" t="s">
        <v>52</v>
      </c>
      <c r="H2971" s="493" t="s">
        <v>1238</v>
      </c>
      <c r="I2971" s="460" t="s">
        <v>6267</v>
      </c>
      <c r="J2971" s="495" t="s">
        <v>1266</v>
      </c>
      <c r="K2971" s="496" t="s">
        <v>1129</v>
      </c>
      <c r="L2971" s="497">
        <v>1</v>
      </c>
      <c r="M2971" s="497">
        <v>528.02</v>
      </c>
      <c r="N2971" s="464">
        <v>528.02</v>
      </c>
      <c r="O2971" s="498"/>
      <c r="P2971" s="431" t="s">
        <v>6711</v>
      </c>
    </row>
    <row r="2972" spans="1:16" ht="13.9" hidden="1" customHeight="1" outlineLevel="2" x14ac:dyDescent="0.2">
      <c r="A2972" s="233">
        <v>0</v>
      </c>
      <c r="B2972" s="233">
        <v>19</v>
      </c>
      <c r="C2972" s="233">
        <v>3</v>
      </c>
      <c r="D2972" s="234">
        <v>2</v>
      </c>
      <c r="E2972" s="234">
        <v>0</v>
      </c>
      <c r="F2972" s="238"/>
      <c r="G2972" s="507"/>
      <c r="H2972" s="487" t="s">
        <v>1237</v>
      </c>
      <c r="I2972" s="452" t="s">
        <v>6268</v>
      </c>
      <c r="J2972" s="489" t="s">
        <v>14</v>
      </c>
      <c r="K2972" s="490"/>
      <c r="L2972" s="491"/>
      <c r="M2972" s="491"/>
      <c r="N2972" s="456">
        <v>7028</v>
      </c>
      <c r="O2972" s="492"/>
      <c r="P2972" s="430"/>
    </row>
    <row r="2973" spans="1:16" ht="13.9" hidden="1" customHeight="1" outlineLevel="3" x14ac:dyDescent="0.2">
      <c r="A2973" s="233">
        <v>0</v>
      </c>
      <c r="B2973" s="233">
        <v>19</v>
      </c>
      <c r="C2973" s="233">
        <v>3</v>
      </c>
      <c r="D2973" s="234">
        <v>2</v>
      </c>
      <c r="E2973" s="234">
        <v>1</v>
      </c>
      <c r="F2973" s="238"/>
      <c r="G2973" s="508" t="s">
        <v>52</v>
      </c>
      <c r="H2973" s="493" t="s">
        <v>1238</v>
      </c>
      <c r="I2973" s="460" t="s">
        <v>6269</v>
      </c>
      <c r="J2973" s="495" t="s">
        <v>1268</v>
      </c>
      <c r="K2973" s="496" t="s">
        <v>1129</v>
      </c>
      <c r="L2973" s="497">
        <v>1</v>
      </c>
      <c r="M2973" s="497">
        <v>7028</v>
      </c>
      <c r="N2973" s="464">
        <v>7028</v>
      </c>
      <c r="O2973" s="498"/>
      <c r="P2973" s="431" t="s">
        <v>6711</v>
      </c>
    </row>
    <row r="2974" spans="1:16" ht="13.9" hidden="1" customHeight="1" outlineLevel="1" x14ac:dyDescent="0.2">
      <c r="A2974" s="233">
        <v>0</v>
      </c>
      <c r="B2974" s="233">
        <v>19</v>
      </c>
      <c r="C2974" s="233">
        <v>4</v>
      </c>
      <c r="D2974" s="234">
        <v>0</v>
      </c>
      <c r="E2974" s="234">
        <v>1</v>
      </c>
      <c r="F2974" s="238"/>
      <c r="G2974" s="506"/>
      <c r="H2974" s="481" t="s">
        <v>38</v>
      </c>
      <c r="I2974" s="445" t="s">
        <v>6270</v>
      </c>
      <c r="J2974" s="483" t="s">
        <v>2612</v>
      </c>
      <c r="K2974" s="484"/>
      <c r="L2974" s="485"/>
      <c r="M2974" s="485"/>
      <c r="N2974" s="449">
        <v>7556.02</v>
      </c>
      <c r="O2974" s="486"/>
      <c r="P2974" s="435"/>
    </row>
    <row r="2975" spans="1:16" ht="13.9" hidden="1" customHeight="1" outlineLevel="2" x14ac:dyDescent="0.2">
      <c r="A2975" s="233">
        <v>0</v>
      </c>
      <c r="B2975" s="233">
        <v>19</v>
      </c>
      <c r="C2975" s="233">
        <v>4</v>
      </c>
      <c r="D2975" s="234">
        <v>1</v>
      </c>
      <c r="E2975" s="234">
        <v>0</v>
      </c>
      <c r="F2975" s="238"/>
      <c r="G2975" s="507"/>
      <c r="H2975" s="487" t="s">
        <v>1237</v>
      </c>
      <c r="I2975" s="452" t="s">
        <v>6271</v>
      </c>
      <c r="J2975" s="489" t="s">
        <v>2353</v>
      </c>
      <c r="K2975" s="490"/>
      <c r="L2975" s="491"/>
      <c r="M2975" s="491"/>
      <c r="N2975" s="456">
        <v>528.02</v>
      </c>
      <c r="O2975" s="492"/>
      <c r="P2975" s="430"/>
    </row>
    <row r="2976" spans="1:16" ht="13.9" hidden="1" customHeight="1" outlineLevel="3" x14ac:dyDescent="0.2">
      <c r="A2976" s="233">
        <v>0</v>
      </c>
      <c r="B2976" s="233">
        <v>19</v>
      </c>
      <c r="C2976" s="233">
        <v>4</v>
      </c>
      <c r="D2976" s="234">
        <v>1</v>
      </c>
      <c r="E2976" s="234">
        <v>1</v>
      </c>
      <c r="F2976" s="238"/>
      <c r="G2976" s="508" t="s">
        <v>52</v>
      </c>
      <c r="H2976" s="493" t="s">
        <v>1238</v>
      </c>
      <c r="I2976" s="460" t="s">
        <v>6272</v>
      </c>
      <c r="J2976" s="495" t="s">
        <v>1266</v>
      </c>
      <c r="K2976" s="496" t="s">
        <v>1129</v>
      </c>
      <c r="L2976" s="497">
        <v>1</v>
      </c>
      <c r="M2976" s="497">
        <v>528.02</v>
      </c>
      <c r="N2976" s="464">
        <v>528.02</v>
      </c>
      <c r="O2976" s="498"/>
      <c r="P2976" s="431" t="s">
        <v>6711</v>
      </c>
    </row>
    <row r="2977" spans="1:16" ht="13.9" hidden="1" customHeight="1" outlineLevel="2" x14ac:dyDescent="0.2">
      <c r="A2977" s="233">
        <v>0</v>
      </c>
      <c r="B2977" s="233">
        <v>19</v>
      </c>
      <c r="C2977" s="233">
        <v>4</v>
      </c>
      <c r="D2977" s="234">
        <v>2</v>
      </c>
      <c r="E2977" s="234">
        <v>0</v>
      </c>
      <c r="F2977" s="238"/>
      <c r="G2977" s="507"/>
      <c r="H2977" s="487" t="s">
        <v>1237</v>
      </c>
      <c r="I2977" s="452" t="s">
        <v>6273</v>
      </c>
      <c r="J2977" s="489" t="s">
        <v>14</v>
      </c>
      <c r="K2977" s="490"/>
      <c r="L2977" s="491"/>
      <c r="M2977" s="491"/>
      <c r="N2977" s="456">
        <v>7028</v>
      </c>
      <c r="O2977" s="492"/>
      <c r="P2977" s="430"/>
    </row>
    <row r="2978" spans="1:16" ht="13.9" hidden="1" customHeight="1" outlineLevel="3" x14ac:dyDescent="0.2">
      <c r="A2978" s="233">
        <v>0</v>
      </c>
      <c r="B2978" s="233">
        <v>19</v>
      </c>
      <c r="C2978" s="233">
        <v>4</v>
      </c>
      <c r="D2978" s="234">
        <v>2</v>
      </c>
      <c r="E2978" s="234">
        <v>1</v>
      </c>
      <c r="F2978" s="238"/>
      <c r="G2978" s="508" t="s">
        <v>52</v>
      </c>
      <c r="H2978" s="493" t="s">
        <v>1238</v>
      </c>
      <c r="I2978" s="460" t="s">
        <v>6274</v>
      </c>
      <c r="J2978" s="495" t="s">
        <v>1268</v>
      </c>
      <c r="K2978" s="496" t="s">
        <v>1129</v>
      </c>
      <c r="L2978" s="497">
        <v>1</v>
      </c>
      <c r="M2978" s="497">
        <v>7028</v>
      </c>
      <c r="N2978" s="464">
        <v>7028</v>
      </c>
      <c r="O2978" s="498"/>
      <c r="P2978" s="431" t="s">
        <v>6711</v>
      </c>
    </row>
    <row r="2979" spans="1:16" ht="13.9" hidden="1" customHeight="1" outlineLevel="1" x14ac:dyDescent="0.2">
      <c r="A2979" s="233">
        <v>0</v>
      </c>
      <c r="B2979" s="233">
        <v>19</v>
      </c>
      <c r="C2979" s="233">
        <v>5</v>
      </c>
      <c r="D2979" s="234">
        <v>0</v>
      </c>
      <c r="E2979" s="234">
        <v>1</v>
      </c>
      <c r="F2979" s="238"/>
      <c r="G2979" s="506"/>
      <c r="H2979" s="481" t="s">
        <v>38</v>
      </c>
      <c r="I2979" s="445" t="s">
        <v>6275</v>
      </c>
      <c r="J2979" s="483" t="s">
        <v>2613</v>
      </c>
      <c r="K2979" s="484"/>
      <c r="L2979" s="485"/>
      <c r="M2979" s="485"/>
      <c r="N2979" s="449">
        <v>7556.02</v>
      </c>
      <c r="O2979" s="486"/>
      <c r="P2979" s="435"/>
    </row>
    <row r="2980" spans="1:16" ht="13.9" hidden="1" customHeight="1" outlineLevel="2" x14ac:dyDescent="0.2">
      <c r="A2980" s="233">
        <v>0</v>
      </c>
      <c r="B2980" s="233">
        <v>19</v>
      </c>
      <c r="C2980" s="233">
        <v>5</v>
      </c>
      <c r="D2980" s="234">
        <v>1</v>
      </c>
      <c r="E2980" s="234">
        <v>0</v>
      </c>
      <c r="F2980" s="238"/>
      <c r="G2980" s="507"/>
      <c r="H2980" s="487" t="s">
        <v>1237</v>
      </c>
      <c r="I2980" s="452" t="s">
        <v>6276</v>
      </c>
      <c r="J2980" s="489" t="s">
        <v>2353</v>
      </c>
      <c r="K2980" s="490"/>
      <c r="L2980" s="491"/>
      <c r="M2980" s="491"/>
      <c r="N2980" s="456">
        <v>528.02</v>
      </c>
      <c r="O2980" s="492"/>
      <c r="P2980" s="430"/>
    </row>
    <row r="2981" spans="1:16" ht="13.9" hidden="1" customHeight="1" outlineLevel="3" x14ac:dyDescent="0.2">
      <c r="A2981" s="233">
        <v>0</v>
      </c>
      <c r="B2981" s="233">
        <v>19</v>
      </c>
      <c r="C2981" s="233">
        <v>5</v>
      </c>
      <c r="D2981" s="234">
        <v>1</v>
      </c>
      <c r="E2981" s="234">
        <v>1</v>
      </c>
      <c r="F2981" s="238"/>
      <c r="G2981" s="508" t="s">
        <v>52</v>
      </c>
      <c r="H2981" s="493" t="s">
        <v>1238</v>
      </c>
      <c r="I2981" s="460" t="s">
        <v>6277</v>
      </c>
      <c r="J2981" s="495" t="s">
        <v>1266</v>
      </c>
      <c r="K2981" s="496" t="s">
        <v>1129</v>
      </c>
      <c r="L2981" s="497">
        <v>1</v>
      </c>
      <c r="M2981" s="497">
        <v>528.02</v>
      </c>
      <c r="N2981" s="464">
        <v>528.02</v>
      </c>
      <c r="O2981" s="498"/>
      <c r="P2981" s="431" t="s">
        <v>6711</v>
      </c>
    </row>
    <row r="2982" spans="1:16" ht="13.9" hidden="1" customHeight="1" outlineLevel="2" x14ac:dyDescent="0.2">
      <c r="A2982" s="233">
        <v>0</v>
      </c>
      <c r="B2982" s="233">
        <v>19</v>
      </c>
      <c r="C2982" s="233">
        <v>5</v>
      </c>
      <c r="D2982" s="234">
        <v>2</v>
      </c>
      <c r="E2982" s="234">
        <v>0</v>
      </c>
      <c r="F2982" s="238"/>
      <c r="G2982" s="507"/>
      <c r="H2982" s="487" t="s">
        <v>1237</v>
      </c>
      <c r="I2982" s="452" t="s">
        <v>6278</v>
      </c>
      <c r="J2982" s="489" t="s">
        <v>14</v>
      </c>
      <c r="K2982" s="490"/>
      <c r="L2982" s="491"/>
      <c r="M2982" s="491"/>
      <c r="N2982" s="456">
        <v>7028</v>
      </c>
      <c r="O2982" s="492"/>
      <c r="P2982" s="430"/>
    </row>
    <row r="2983" spans="1:16" ht="13.9" hidden="1" customHeight="1" outlineLevel="3" x14ac:dyDescent="0.2">
      <c r="A2983" s="233">
        <v>0</v>
      </c>
      <c r="B2983" s="233">
        <v>19</v>
      </c>
      <c r="C2983" s="233">
        <v>5</v>
      </c>
      <c r="D2983" s="234">
        <v>2</v>
      </c>
      <c r="E2983" s="234">
        <v>1</v>
      </c>
      <c r="F2983" s="238"/>
      <c r="G2983" s="508" t="s">
        <v>52</v>
      </c>
      <c r="H2983" s="493" t="s">
        <v>1238</v>
      </c>
      <c r="I2983" s="460" t="s">
        <v>6279</v>
      </c>
      <c r="J2983" s="495" t="s">
        <v>1268</v>
      </c>
      <c r="K2983" s="496" t="s">
        <v>1129</v>
      </c>
      <c r="L2983" s="497">
        <v>1</v>
      </c>
      <c r="M2983" s="497">
        <v>7028</v>
      </c>
      <c r="N2983" s="464">
        <v>7028</v>
      </c>
      <c r="O2983" s="498"/>
      <c r="P2983" s="431" t="s">
        <v>6711</v>
      </c>
    </row>
    <row r="2984" spans="1:16" ht="13.9" hidden="1" customHeight="1" outlineLevel="1" x14ac:dyDescent="0.2">
      <c r="A2984" s="233">
        <v>0</v>
      </c>
      <c r="B2984" s="233">
        <v>19</v>
      </c>
      <c r="C2984" s="233">
        <v>6</v>
      </c>
      <c r="D2984" s="234">
        <v>0</v>
      </c>
      <c r="E2984" s="234">
        <v>1</v>
      </c>
      <c r="F2984" s="238"/>
      <c r="G2984" s="506"/>
      <c r="H2984" s="481" t="s">
        <v>38</v>
      </c>
      <c r="I2984" s="445" t="s">
        <v>6280</v>
      </c>
      <c r="J2984" s="483" t="s">
        <v>2614</v>
      </c>
      <c r="K2984" s="484"/>
      <c r="L2984" s="485"/>
      <c r="M2984" s="485"/>
      <c r="N2984" s="449">
        <v>7667.62</v>
      </c>
      <c r="O2984" s="486"/>
      <c r="P2984" s="435"/>
    </row>
    <row r="2985" spans="1:16" ht="13.9" hidden="1" customHeight="1" outlineLevel="2" x14ac:dyDescent="0.2">
      <c r="A2985" s="233">
        <v>0</v>
      </c>
      <c r="B2985" s="233">
        <v>19</v>
      </c>
      <c r="C2985" s="233">
        <v>6</v>
      </c>
      <c r="D2985" s="234">
        <v>1</v>
      </c>
      <c r="E2985" s="234">
        <v>0</v>
      </c>
      <c r="F2985" s="238"/>
      <c r="G2985" s="507"/>
      <c r="H2985" s="487" t="s">
        <v>1237</v>
      </c>
      <c r="I2985" s="452" t="s">
        <v>6281</v>
      </c>
      <c r="J2985" s="489" t="s">
        <v>2353</v>
      </c>
      <c r="K2985" s="490"/>
      <c r="L2985" s="491"/>
      <c r="M2985" s="491"/>
      <c r="N2985" s="456">
        <v>528.02</v>
      </c>
      <c r="O2985" s="492"/>
      <c r="P2985" s="430"/>
    </row>
    <row r="2986" spans="1:16" ht="13.9" hidden="1" customHeight="1" outlineLevel="3" x14ac:dyDescent="0.2">
      <c r="A2986" s="233">
        <v>0</v>
      </c>
      <c r="B2986" s="233">
        <v>19</v>
      </c>
      <c r="C2986" s="233">
        <v>6</v>
      </c>
      <c r="D2986" s="234">
        <v>1</v>
      </c>
      <c r="E2986" s="234">
        <v>1</v>
      </c>
      <c r="F2986" s="238"/>
      <c r="G2986" s="508" t="s">
        <v>52</v>
      </c>
      <c r="H2986" s="493" t="s">
        <v>1238</v>
      </c>
      <c r="I2986" s="460" t="s">
        <v>6282</v>
      </c>
      <c r="J2986" s="495" t="s">
        <v>1266</v>
      </c>
      <c r="K2986" s="496" t="s">
        <v>1129</v>
      </c>
      <c r="L2986" s="497">
        <v>1</v>
      </c>
      <c r="M2986" s="497">
        <v>528.02</v>
      </c>
      <c r="N2986" s="464">
        <v>528.02</v>
      </c>
      <c r="O2986" s="498"/>
      <c r="P2986" s="431" t="s">
        <v>6711</v>
      </c>
    </row>
    <row r="2987" spans="1:16" ht="13.9" hidden="1" customHeight="1" outlineLevel="2" x14ac:dyDescent="0.2">
      <c r="A2987" s="233">
        <v>0</v>
      </c>
      <c r="B2987" s="233">
        <v>19</v>
      </c>
      <c r="C2987" s="233">
        <v>6</v>
      </c>
      <c r="D2987" s="234">
        <v>2</v>
      </c>
      <c r="E2987" s="234">
        <v>0</v>
      </c>
      <c r="F2987" s="238"/>
      <c r="G2987" s="507"/>
      <c r="H2987" s="487" t="s">
        <v>1237</v>
      </c>
      <c r="I2987" s="452" t="s">
        <v>6283</v>
      </c>
      <c r="J2987" s="489" t="s">
        <v>14</v>
      </c>
      <c r="K2987" s="490"/>
      <c r="L2987" s="491"/>
      <c r="M2987" s="491"/>
      <c r="N2987" s="456">
        <v>7139.6</v>
      </c>
      <c r="O2987" s="492"/>
      <c r="P2987" s="430"/>
    </row>
    <row r="2988" spans="1:16" ht="13.9" hidden="1" customHeight="1" outlineLevel="3" x14ac:dyDescent="0.2">
      <c r="A2988" s="233">
        <v>0</v>
      </c>
      <c r="B2988" s="233">
        <v>19</v>
      </c>
      <c r="C2988" s="233">
        <v>6</v>
      </c>
      <c r="D2988" s="234">
        <v>2</v>
      </c>
      <c r="E2988" s="234">
        <v>1</v>
      </c>
      <c r="F2988" s="238"/>
      <c r="G2988" s="508" t="s">
        <v>52</v>
      </c>
      <c r="H2988" s="493" t="s">
        <v>1238</v>
      </c>
      <c r="I2988" s="460" t="s">
        <v>6284</v>
      </c>
      <c r="J2988" s="495" t="s">
        <v>1268</v>
      </c>
      <c r="K2988" s="496" t="s">
        <v>1129</v>
      </c>
      <c r="L2988" s="497">
        <v>1</v>
      </c>
      <c r="M2988" s="497">
        <v>7139.6</v>
      </c>
      <c r="N2988" s="464">
        <v>7139.6</v>
      </c>
      <c r="O2988" s="498"/>
      <c r="P2988" s="431" t="s">
        <v>6711</v>
      </c>
    </row>
    <row r="2989" spans="1:16" ht="13.9" hidden="1" customHeight="1" outlineLevel="1" x14ac:dyDescent="0.2">
      <c r="A2989" s="233">
        <v>0</v>
      </c>
      <c r="B2989" s="233">
        <v>19</v>
      </c>
      <c r="C2989" s="233">
        <v>7</v>
      </c>
      <c r="D2989" s="234">
        <v>0</v>
      </c>
      <c r="E2989" s="234">
        <v>1</v>
      </c>
      <c r="F2989" s="238"/>
      <c r="G2989" s="506"/>
      <c r="H2989" s="481" t="s">
        <v>38</v>
      </c>
      <c r="I2989" s="445" t="s">
        <v>6285</v>
      </c>
      <c r="J2989" s="483" t="s">
        <v>2615</v>
      </c>
      <c r="K2989" s="484"/>
      <c r="L2989" s="485"/>
      <c r="M2989" s="485"/>
      <c r="N2989" s="449">
        <v>28431.88</v>
      </c>
      <c r="O2989" s="486"/>
      <c r="P2989" s="435"/>
    </row>
    <row r="2990" spans="1:16" ht="15.75" hidden="1" customHeight="1" outlineLevel="2" x14ac:dyDescent="0.2">
      <c r="A2990" s="233">
        <v>0</v>
      </c>
      <c r="B2990" s="233">
        <v>19</v>
      </c>
      <c r="C2990" s="233">
        <v>7</v>
      </c>
      <c r="D2990" s="234">
        <v>1</v>
      </c>
      <c r="E2990" s="234">
        <v>0</v>
      </c>
      <c r="F2990" s="238"/>
      <c r="G2990" s="507"/>
      <c r="H2990" s="487" t="s">
        <v>1237</v>
      </c>
      <c r="I2990" s="452" t="s">
        <v>6286</v>
      </c>
      <c r="J2990" s="489" t="s">
        <v>31</v>
      </c>
      <c r="K2990" s="490"/>
      <c r="L2990" s="491"/>
      <c r="M2990" s="491"/>
      <c r="N2990" s="456">
        <v>4387.07</v>
      </c>
      <c r="O2990" s="492"/>
      <c r="P2990" s="430"/>
    </row>
    <row r="2991" spans="1:16" ht="13.9" hidden="1" customHeight="1" outlineLevel="3" x14ac:dyDescent="0.2">
      <c r="A2991" s="233">
        <v>0</v>
      </c>
      <c r="B2991" s="233">
        <v>19</v>
      </c>
      <c r="C2991" s="233">
        <v>7</v>
      </c>
      <c r="D2991" s="234">
        <v>1</v>
      </c>
      <c r="E2991" s="234">
        <v>1</v>
      </c>
      <c r="F2991" s="238"/>
      <c r="G2991" s="508" t="s">
        <v>52</v>
      </c>
      <c r="H2991" s="493" t="s">
        <v>1238</v>
      </c>
      <c r="I2991" s="460" t="s">
        <v>6287</v>
      </c>
      <c r="J2991" s="495" t="s">
        <v>1265</v>
      </c>
      <c r="K2991" s="496" t="s">
        <v>1129</v>
      </c>
      <c r="L2991" s="497">
        <v>1</v>
      </c>
      <c r="M2991" s="497">
        <v>4387.07</v>
      </c>
      <c r="N2991" s="464">
        <v>4387.07</v>
      </c>
      <c r="O2991" s="498"/>
      <c r="P2991" s="431" t="s">
        <v>6711</v>
      </c>
    </row>
    <row r="2992" spans="1:16" ht="13.9" hidden="1" customHeight="1" outlineLevel="2" x14ac:dyDescent="0.2">
      <c r="A2992" s="233">
        <v>0</v>
      </c>
      <c r="B2992" s="233">
        <v>19</v>
      </c>
      <c r="C2992" s="233">
        <v>7</v>
      </c>
      <c r="D2992" s="234">
        <v>2</v>
      </c>
      <c r="E2992" s="234">
        <v>0</v>
      </c>
      <c r="F2992" s="238"/>
      <c r="G2992" s="507"/>
      <c r="H2992" s="487" t="s">
        <v>1237</v>
      </c>
      <c r="I2992" s="452" t="s">
        <v>6288</v>
      </c>
      <c r="J2992" s="489" t="s">
        <v>2353</v>
      </c>
      <c r="K2992" s="490"/>
      <c r="L2992" s="491"/>
      <c r="M2992" s="491"/>
      <c r="N2992" s="456">
        <v>16905.21</v>
      </c>
      <c r="O2992" s="492"/>
      <c r="P2992" s="430"/>
    </row>
    <row r="2993" spans="1:16" ht="13.9" hidden="1" customHeight="1" outlineLevel="3" x14ac:dyDescent="0.2">
      <c r="A2993" s="233">
        <v>0</v>
      </c>
      <c r="B2993" s="233">
        <v>19</v>
      </c>
      <c r="C2993" s="233">
        <v>7</v>
      </c>
      <c r="D2993" s="234">
        <v>2</v>
      </c>
      <c r="E2993" s="234">
        <v>1</v>
      </c>
      <c r="F2993" s="238"/>
      <c r="G2993" s="508" t="s">
        <v>52</v>
      </c>
      <c r="H2993" s="493" t="s">
        <v>1238</v>
      </c>
      <c r="I2993" s="460" t="s">
        <v>6289</v>
      </c>
      <c r="J2993" s="495" t="s">
        <v>1266</v>
      </c>
      <c r="K2993" s="496" t="s">
        <v>1129</v>
      </c>
      <c r="L2993" s="497">
        <v>1</v>
      </c>
      <c r="M2993" s="497">
        <v>16905.21</v>
      </c>
      <c r="N2993" s="464">
        <v>16905.21</v>
      </c>
      <c r="O2993" s="498"/>
      <c r="P2993" s="431" t="s">
        <v>6711</v>
      </c>
    </row>
    <row r="2994" spans="1:16" ht="13.9" hidden="1" customHeight="1" outlineLevel="2" x14ac:dyDescent="0.2">
      <c r="A2994" s="233">
        <v>0</v>
      </c>
      <c r="B2994" s="233">
        <v>19</v>
      </c>
      <c r="C2994" s="233">
        <v>7</v>
      </c>
      <c r="D2994" s="234">
        <v>3</v>
      </c>
      <c r="E2994" s="234">
        <v>0</v>
      </c>
      <c r="F2994" s="238"/>
      <c r="G2994" s="507"/>
      <c r="H2994" s="487" t="s">
        <v>1237</v>
      </c>
      <c r="I2994" s="452" t="s">
        <v>6290</v>
      </c>
      <c r="J2994" s="489" t="s">
        <v>14</v>
      </c>
      <c r="K2994" s="490"/>
      <c r="L2994" s="491"/>
      <c r="M2994" s="491"/>
      <c r="N2994" s="456">
        <v>7139.6</v>
      </c>
      <c r="O2994" s="492"/>
      <c r="P2994" s="430"/>
    </row>
    <row r="2995" spans="1:16" ht="13.9" hidden="1" customHeight="1" outlineLevel="3" x14ac:dyDescent="0.2">
      <c r="A2995" s="233">
        <v>0</v>
      </c>
      <c r="B2995" s="233">
        <v>19</v>
      </c>
      <c r="C2995" s="233">
        <v>7</v>
      </c>
      <c r="D2995" s="234">
        <v>3</v>
      </c>
      <c r="E2995" s="234">
        <v>1</v>
      </c>
      <c r="F2995" s="238"/>
      <c r="G2995" s="508" t="s">
        <v>52</v>
      </c>
      <c r="H2995" s="493" t="s">
        <v>1238</v>
      </c>
      <c r="I2995" s="460" t="s">
        <v>6291</v>
      </c>
      <c r="J2995" s="495" t="s">
        <v>1268</v>
      </c>
      <c r="K2995" s="496" t="s">
        <v>1129</v>
      </c>
      <c r="L2995" s="497">
        <v>1</v>
      </c>
      <c r="M2995" s="497">
        <v>7139.6</v>
      </c>
      <c r="N2995" s="464">
        <v>7139.6</v>
      </c>
      <c r="O2995" s="498"/>
      <c r="P2995" s="431" t="s">
        <v>6711</v>
      </c>
    </row>
    <row r="2996" spans="1:16" ht="13.9" hidden="1" customHeight="1" outlineLevel="1" x14ac:dyDescent="0.2">
      <c r="A2996" s="233">
        <v>0</v>
      </c>
      <c r="B2996" s="233">
        <v>19</v>
      </c>
      <c r="C2996" s="233">
        <v>8</v>
      </c>
      <c r="D2996" s="234">
        <v>0</v>
      </c>
      <c r="E2996" s="234">
        <v>1</v>
      </c>
      <c r="F2996" s="238"/>
      <c r="G2996" s="506"/>
      <c r="H2996" s="481" t="s">
        <v>38</v>
      </c>
      <c r="I2996" s="445" t="s">
        <v>6292</v>
      </c>
      <c r="J2996" s="483" t="s">
        <v>2616</v>
      </c>
      <c r="K2996" s="484"/>
      <c r="L2996" s="485"/>
      <c r="M2996" s="485"/>
      <c r="N2996" s="449">
        <v>38811.06</v>
      </c>
      <c r="O2996" s="486"/>
      <c r="P2996" s="435"/>
    </row>
    <row r="2997" spans="1:16" ht="15.75" hidden="1" customHeight="1" outlineLevel="2" x14ac:dyDescent="0.2">
      <c r="A2997" s="233">
        <v>0</v>
      </c>
      <c r="B2997" s="233">
        <v>19</v>
      </c>
      <c r="C2997" s="233">
        <v>8</v>
      </c>
      <c r="D2997" s="234">
        <v>1</v>
      </c>
      <c r="E2997" s="234">
        <v>0</v>
      </c>
      <c r="F2997" s="238"/>
      <c r="G2997" s="507"/>
      <c r="H2997" s="487" t="s">
        <v>1237</v>
      </c>
      <c r="I2997" s="452" t="s">
        <v>6293</v>
      </c>
      <c r="J2997" s="489" t="s">
        <v>31</v>
      </c>
      <c r="K2997" s="490"/>
      <c r="L2997" s="491"/>
      <c r="M2997" s="491"/>
      <c r="N2997" s="456">
        <v>5408.04</v>
      </c>
      <c r="O2997" s="492"/>
      <c r="P2997" s="430"/>
    </row>
    <row r="2998" spans="1:16" ht="13.9" hidden="1" customHeight="1" outlineLevel="3" x14ac:dyDescent="0.2">
      <c r="A2998" s="233">
        <v>0</v>
      </c>
      <c r="B2998" s="233">
        <v>19</v>
      </c>
      <c r="C2998" s="233">
        <v>8</v>
      </c>
      <c r="D2998" s="234">
        <v>1</v>
      </c>
      <c r="E2998" s="234">
        <v>1</v>
      </c>
      <c r="F2998" s="238"/>
      <c r="G2998" s="508" t="s">
        <v>52</v>
      </c>
      <c r="H2998" s="493" t="s">
        <v>1238</v>
      </c>
      <c r="I2998" s="460" t="s">
        <v>6294</v>
      </c>
      <c r="J2998" s="495" t="s">
        <v>1265</v>
      </c>
      <c r="K2998" s="496" t="s">
        <v>1129</v>
      </c>
      <c r="L2998" s="497">
        <v>1</v>
      </c>
      <c r="M2998" s="497">
        <v>5408.04</v>
      </c>
      <c r="N2998" s="464">
        <v>5408.04</v>
      </c>
      <c r="O2998" s="498"/>
      <c r="P2998" s="431" t="s">
        <v>6711</v>
      </c>
    </row>
    <row r="2999" spans="1:16" ht="13.9" hidden="1" customHeight="1" outlineLevel="2" x14ac:dyDescent="0.2">
      <c r="A2999" s="233">
        <v>0</v>
      </c>
      <c r="B2999" s="233">
        <v>19</v>
      </c>
      <c r="C2999" s="233">
        <v>8</v>
      </c>
      <c r="D2999" s="234">
        <v>2</v>
      </c>
      <c r="E2999" s="234">
        <v>0</v>
      </c>
      <c r="F2999" s="238"/>
      <c r="G2999" s="507"/>
      <c r="H2999" s="487" t="s">
        <v>1237</v>
      </c>
      <c r="I2999" s="452" t="s">
        <v>6295</v>
      </c>
      <c r="J2999" s="489" t="s">
        <v>2353</v>
      </c>
      <c r="K2999" s="490"/>
      <c r="L2999" s="491"/>
      <c r="M2999" s="491"/>
      <c r="N2999" s="456">
        <v>20630.86</v>
      </c>
      <c r="O2999" s="492"/>
      <c r="P2999" s="430"/>
    </row>
    <row r="3000" spans="1:16" ht="13.9" hidden="1" customHeight="1" outlineLevel="3" x14ac:dyDescent="0.2">
      <c r="A3000" s="233">
        <v>0</v>
      </c>
      <c r="B3000" s="233">
        <v>19</v>
      </c>
      <c r="C3000" s="233">
        <v>8</v>
      </c>
      <c r="D3000" s="234">
        <v>2</v>
      </c>
      <c r="E3000" s="234">
        <v>1</v>
      </c>
      <c r="F3000" s="238"/>
      <c r="G3000" s="508" t="s">
        <v>52</v>
      </c>
      <c r="H3000" s="493" t="s">
        <v>1238</v>
      </c>
      <c r="I3000" s="460" t="s">
        <v>6296</v>
      </c>
      <c r="J3000" s="495" t="s">
        <v>1266</v>
      </c>
      <c r="K3000" s="496" t="s">
        <v>1129</v>
      </c>
      <c r="L3000" s="497">
        <v>1</v>
      </c>
      <c r="M3000" s="497">
        <v>20630.860000000004</v>
      </c>
      <c r="N3000" s="464">
        <v>20630.86</v>
      </c>
      <c r="O3000" s="498"/>
      <c r="P3000" s="431" t="s">
        <v>6711</v>
      </c>
    </row>
    <row r="3001" spans="1:16" ht="13.9" hidden="1" customHeight="1" outlineLevel="2" x14ac:dyDescent="0.2">
      <c r="A3001" s="233">
        <v>0</v>
      </c>
      <c r="B3001" s="233">
        <v>19</v>
      </c>
      <c r="C3001" s="233">
        <v>8</v>
      </c>
      <c r="D3001" s="234">
        <v>3</v>
      </c>
      <c r="E3001" s="234">
        <v>0</v>
      </c>
      <c r="F3001" s="238"/>
      <c r="G3001" s="507"/>
      <c r="H3001" s="487" t="s">
        <v>1237</v>
      </c>
      <c r="I3001" s="452" t="s">
        <v>6297</v>
      </c>
      <c r="J3001" s="489" t="s">
        <v>2354</v>
      </c>
      <c r="K3001" s="490"/>
      <c r="L3001" s="491"/>
      <c r="M3001" s="491"/>
      <c r="N3001" s="456">
        <v>8778</v>
      </c>
      <c r="O3001" s="492"/>
      <c r="P3001" s="430"/>
    </row>
    <row r="3002" spans="1:16" ht="13.9" hidden="1" customHeight="1" outlineLevel="3" x14ac:dyDescent="0.2">
      <c r="A3002" s="233">
        <v>0</v>
      </c>
      <c r="B3002" s="233">
        <v>19</v>
      </c>
      <c r="C3002" s="233">
        <v>8</v>
      </c>
      <c r="D3002" s="234">
        <v>3</v>
      </c>
      <c r="E3002" s="234">
        <v>1</v>
      </c>
      <c r="F3002" s="238"/>
      <c r="G3002" s="508" t="s">
        <v>52</v>
      </c>
      <c r="H3002" s="493" t="s">
        <v>1238</v>
      </c>
      <c r="I3002" s="460" t="s">
        <v>6298</v>
      </c>
      <c r="J3002" s="495" t="s">
        <v>1267</v>
      </c>
      <c r="K3002" s="496" t="s">
        <v>1129</v>
      </c>
      <c r="L3002" s="497">
        <v>1</v>
      </c>
      <c r="M3002" s="497">
        <v>8778</v>
      </c>
      <c r="N3002" s="464">
        <v>8778</v>
      </c>
      <c r="O3002" s="498"/>
      <c r="P3002" s="431" t="s">
        <v>6711</v>
      </c>
    </row>
    <row r="3003" spans="1:16" ht="13.9" hidden="1" customHeight="1" outlineLevel="2" x14ac:dyDescent="0.2">
      <c r="A3003" s="233">
        <v>0</v>
      </c>
      <c r="B3003" s="233">
        <v>19</v>
      </c>
      <c r="C3003" s="233">
        <v>8</v>
      </c>
      <c r="D3003" s="234">
        <v>4</v>
      </c>
      <c r="E3003" s="234">
        <v>0</v>
      </c>
      <c r="F3003" s="238"/>
      <c r="G3003" s="507"/>
      <c r="H3003" s="487" t="s">
        <v>1237</v>
      </c>
      <c r="I3003" s="452" t="s">
        <v>6299</v>
      </c>
      <c r="J3003" s="489" t="s">
        <v>14</v>
      </c>
      <c r="K3003" s="490"/>
      <c r="L3003" s="491"/>
      <c r="M3003" s="491"/>
      <c r="N3003" s="456">
        <v>3994.16</v>
      </c>
      <c r="O3003" s="492"/>
      <c r="P3003" s="430"/>
    </row>
    <row r="3004" spans="1:16" ht="13.9" hidden="1" customHeight="1" outlineLevel="3" x14ac:dyDescent="0.2">
      <c r="A3004" s="233">
        <v>0</v>
      </c>
      <c r="B3004" s="233">
        <v>19</v>
      </c>
      <c r="C3004" s="233">
        <v>8</v>
      </c>
      <c r="D3004" s="234">
        <v>4</v>
      </c>
      <c r="E3004" s="234">
        <v>1</v>
      </c>
      <c r="F3004" s="238"/>
      <c r="G3004" s="508" t="s">
        <v>52</v>
      </c>
      <c r="H3004" s="493" t="s">
        <v>1238</v>
      </c>
      <c r="I3004" s="460" t="s">
        <v>6300</v>
      </c>
      <c r="J3004" s="495" t="s">
        <v>1268</v>
      </c>
      <c r="K3004" s="496" t="s">
        <v>1129</v>
      </c>
      <c r="L3004" s="497">
        <v>1</v>
      </c>
      <c r="M3004" s="497">
        <v>3994.16</v>
      </c>
      <c r="N3004" s="464">
        <v>3994.16</v>
      </c>
      <c r="O3004" s="498"/>
      <c r="P3004" s="431" t="s">
        <v>6711</v>
      </c>
    </row>
    <row r="3005" spans="1:16" ht="13.9" hidden="1" customHeight="1" outlineLevel="1" x14ac:dyDescent="0.2">
      <c r="A3005" s="233">
        <v>0</v>
      </c>
      <c r="B3005" s="233">
        <v>19</v>
      </c>
      <c r="C3005" s="233">
        <v>9</v>
      </c>
      <c r="D3005" s="234">
        <v>0</v>
      </c>
      <c r="E3005" s="234">
        <v>1</v>
      </c>
      <c r="F3005" s="238"/>
      <c r="G3005" s="506"/>
      <c r="H3005" s="481" t="s">
        <v>38</v>
      </c>
      <c r="I3005" s="445" t="s">
        <v>6301</v>
      </c>
      <c r="J3005" s="483" t="s">
        <v>2617</v>
      </c>
      <c r="K3005" s="484"/>
      <c r="L3005" s="485"/>
      <c r="M3005" s="485"/>
      <c r="N3005" s="449">
        <v>10604.46</v>
      </c>
      <c r="O3005" s="486"/>
      <c r="P3005" s="435"/>
    </row>
    <row r="3006" spans="1:16" ht="15.75" hidden="1" customHeight="1" outlineLevel="2" x14ac:dyDescent="0.2">
      <c r="A3006" s="233">
        <v>0</v>
      </c>
      <c r="B3006" s="233">
        <v>19</v>
      </c>
      <c r="C3006" s="233">
        <v>9</v>
      </c>
      <c r="D3006" s="234">
        <v>1</v>
      </c>
      <c r="E3006" s="234">
        <v>0</v>
      </c>
      <c r="F3006" s="238"/>
      <c r="G3006" s="507"/>
      <c r="H3006" s="487" t="s">
        <v>1237</v>
      </c>
      <c r="I3006" s="452" t="s">
        <v>6302</v>
      </c>
      <c r="J3006" s="489" t="s">
        <v>31</v>
      </c>
      <c r="K3006" s="490"/>
      <c r="L3006" s="491"/>
      <c r="M3006" s="491"/>
      <c r="N3006" s="456">
        <v>5974.08</v>
      </c>
      <c r="O3006" s="492"/>
      <c r="P3006" s="430"/>
    </row>
    <row r="3007" spans="1:16" ht="13.9" hidden="1" customHeight="1" outlineLevel="3" x14ac:dyDescent="0.2">
      <c r="A3007" s="233">
        <v>0</v>
      </c>
      <c r="B3007" s="233">
        <v>19</v>
      </c>
      <c r="C3007" s="233">
        <v>9</v>
      </c>
      <c r="D3007" s="234">
        <v>1</v>
      </c>
      <c r="E3007" s="234">
        <v>1</v>
      </c>
      <c r="F3007" s="238"/>
      <c r="G3007" s="508" t="s">
        <v>52</v>
      </c>
      <c r="H3007" s="493" t="s">
        <v>1238</v>
      </c>
      <c r="I3007" s="460" t="s">
        <v>6303</v>
      </c>
      <c r="J3007" s="495" t="s">
        <v>1265</v>
      </c>
      <c r="K3007" s="496" t="s">
        <v>1129</v>
      </c>
      <c r="L3007" s="497">
        <v>1</v>
      </c>
      <c r="M3007" s="497">
        <v>5974.08</v>
      </c>
      <c r="N3007" s="464">
        <v>5974.08</v>
      </c>
      <c r="O3007" s="498"/>
      <c r="P3007" s="431" t="s">
        <v>6711</v>
      </c>
    </row>
    <row r="3008" spans="1:16" ht="13.9" hidden="1" customHeight="1" outlineLevel="2" x14ac:dyDescent="0.2">
      <c r="A3008" s="233">
        <v>0</v>
      </c>
      <c r="B3008" s="233">
        <v>19</v>
      </c>
      <c r="C3008" s="233">
        <v>9</v>
      </c>
      <c r="D3008" s="234">
        <v>2</v>
      </c>
      <c r="E3008" s="234">
        <v>0</v>
      </c>
      <c r="F3008" s="238"/>
      <c r="G3008" s="507"/>
      <c r="H3008" s="487" t="s">
        <v>1237</v>
      </c>
      <c r="I3008" s="452" t="s">
        <v>6304</v>
      </c>
      <c r="J3008" s="489" t="s">
        <v>2353</v>
      </c>
      <c r="K3008" s="490"/>
      <c r="L3008" s="491"/>
      <c r="M3008" s="491"/>
      <c r="N3008" s="456">
        <v>1866.14</v>
      </c>
      <c r="O3008" s="492"/>
      <c r="P3008" s="430"/>
    </row>
    <row r="3009" spans="1:16" ht="13.9" hidden="1" customHeight="1" outlineLevel="3" x14ac:dyDescent="0.2">
      <c r="A3009" s="233">
        <v>0</v>
      </c>
      <c r="B3009" s="233">
        <v>19</v>
      </c>
      <c r="C3009" s="233">
        <v>9</v>
      </c>
      <c r="D3009" s="234">
        <v>2</v>
      </c>
      <c r="E3009" s="234">
        <v>1</v>
      </c>
      <c r="F3009" s="238"/>
      <c r="G3009" s="508" t="s">
        <v>52</v>
      </c>
      <c r="H3009" s="493" t="s">
        <v>1238</v>
      </c>
      <c r="I3009" s="460" t="s">
        <v>6305</v>
      </c>
      <c r="J3009" s="495" t="s">
        <v>1266</v>
      </c>
      <c r="K3009" s="496" t="s">
        <v>1129</v>
      </c>
      <c r="L3009" s="497">
        <v>1</v>
      </c>
      <c r="M3009" s="497">
        <v>1866.1399999999999</v>
      </c>
      <c r="N3009" s="464">
        <v>1866.14</v>
      </c>
      <c r="O3009" s="498"/>
      <c r="P3009" s="431" t="s">
        <v>6711</v>
      </c>
    </row>
    <row r="3010" spans="1:16" ht="13.9" hidden="1" customHeight="1" outlineLevel="2" x14ac:dyDescent="0.2">
      <c r="A3010" s="233">
        <v>0</v>
      </c>
      <c r="B3010" s="233">
        <v>19</v>
      </c>
      <c r="C3010" s="233">
        <v>9</v>
      </c>
      <c r="D3010" s="234">
        <v>3</v>
      </c>
      <c r="E3010" s="234">
        <v>0</v>
      </c>
      <c r="F3010" s="238"/>
      <c r="G3010" s="507"/>
      <c r="H3010" s="487" t="s">
        <v>1237</v>
      </c>
      <c r="I3010" s="452" t="s">
        <v>6306</v>
      </c>
      <c r="J3010" s="489" t="s">
        <v>14</v>
      </c>
      <c r="K3010" s="490"/>
      <c r="L3010" s="491"/>
      <c r="M3010" s="491"/>
      <c r="N3010" s="456">
        <v>2764.24</v>
      </c>
      <c r="O3010" s="492"/>
      <c r="P3010" s="430"/>
    </row>
    <row r="3011" spans="1:16" ht="13.9" hidden="1" customHeight="1" outlineLevel="3" x14ac:dyDescent="0.2">
      <c r="A3011" s="233">
        <v>0</v>
      </c>
      <c r="B3011" s="233">
        <v>19</v>
      </c>
      <c r="C3011" s="233">
        <v>9</v>
      </c>
      <c r="D3011" s="234">
        <v>3</v>
      </c>
      <c r="E3011" s="234">
        <v>1</v>
      </c>
      <c r="F3011" s="238"/>
      <c r="G3011" s="508" t="s">
        <v>52</v>
      </c>
      <c r="H3011" s="493" t="s">
        <v>1238</v>
      </c>
      <c r="I3011" s="460" t="s">
        <v>6307</v>
      </c>
      <c r="J3011" s="495" t="s">
        <v>1268</v>
      </c>
      <c r="K3011" s="496" t="s">
        <v>1129</v>
      </c>
      <c r="L3011" s="497">
        <v>1</v>
      </c>
      <c r="M3011" s="497">
        <v>2764.24</v>
      </c>
      <c r="N3011" s="464">
        <v>2764.24</v>
      </c>
      <c r="O3011" s="498"/>
      <c r="P3011" s="431" t="s">
        <v>6711</v>
      </c>
    </row>
    <row r="3012" spans="1:16" ht="13.9" hidden="1" customHeight="1" outlineLevel="1" x14ac:dyDescent="0.2">
      <c r="A3012" s="233">
        <v>0</v>
      </c>
      <c r="B3012" s="233">
        <v>19</v>
      </c>
      <c r="C3012" s="233">
        <v>10</v>
      </c>
      <c r="D3012" s="234">
        <v>0</v>
      </c>
      <c r="E3012" s="234">
        <v>1</v>
      </c>
      <c r="F3012" s="238"/>
      <c r="G3012" s="506"/>
      <c r="H3012" s="481" t="s">
        <v>38</v>
      </c>
      <c r="I3012" s="445" t="s">
        <v>6308</v>
      </c>
      <c r="J3012" s="483" t="s">
        <v>2618</v>
      </c>
      <c r="K3012" s="484"/>
      <c r="L3012" s="485"/>
      <c r="M3012" s="485"/>
      <c r="N3012" s="449">
        <v>82140</v>
      </c>
      <c r="O3012" s="486"/>
      <c r="P3012" s="435"/>
    </row>
    <row r="3013" spans="1:16" ht="15.75" hidden="1" customHeight="1" outlineLevel="2" x14ac:dyDescent="0.2">
      <c r="A3013" s="233">
        <v>0</v>
      </c>
      <c r="B3013" s="233">
        <v>19</v>
      </c>
      <c r="C3013" s="233">
        <v>10</v>
      </c>
      <c r="D3013" s="234">
        <v>1</v>
      </c>
      <c r="E3013" s="234">
        <v>0</v>
      </c>
      <c r="F3013" s="238"/>
      <c r="G3013" s="507"/>
      <c r="H3013" s="487" t="s">
        <v>1237</v>
      </c>
      <c r="I3013" s="452" t="s">
        <v>6309</v>
      </c>
      <c r="J3013" s="489" t="s">
        <v>31</v>
      </c>
      <c r="K3013" s="490"/>
      <c r="L3013" s="491"/>
      <c r="M3013" s="491"/>
      <c r="N3013" s="456">
        <v>47792.639999999999</v>
      </c>
      <c r="O3013" s="492"/>
      <c r="P3013" s="430"/>
    </row>
    <row r="3014" spans="1:16" ht="13.9" hidden="1" customHeight="1" outlineLevel="3" x14ac:dyDescent="0.2">
      <c r="A3014" s="233">
        <v>0</v>
      </c>
      <c r="B3014" s="233">
        <v>19</v>
      </c>
      <c r="C3014" s="233">
        <v>10</v>
      </c>
      <c r="D3014" s="234">
        <v>1</v>
      </c>
      <c r="E3014" s="234">
        <v>1</v>
      </c>
      <c r="F3014" s="238"/>
      <c r="G3014" s="508" t="s">
        <v>52</v>
      </c>
      <c r="H3014" s="493" t="s">
        <v>1238</v>
      </c>
      <c r="I3014" s="460" t="s">
        <v>6310</v>
      </c>
      <c r="J3014" s="495" t="s">
        <v>1265</v>
      </c>
      <c r="K3014" s="496" t="s">
        <v>1129</v>
      </c>
      <c r="L3014" s="497">
        <v>1</v>
      </c>
      <c r="M3014" s="497">
        <v>47792.639999999999</v>
      </c>
      <c r="N3014" s="464">
        <v>47792.639999999999</v>
      </c>
      <c r="O3014" s="498"/>
      <c r="P3014" s="431" t="s">
        <v>6711</v>
      </c>
    </row>
    <row r="3015" spans="1:16" ht="13.9" hidden="1" customHeight="1" outlineLevel="2" x14ac:dyDescent="0.2">
      <c r="A3015" s="233">
        <v>0</v>
      </c>
      <c r="B3015" s="233">
        <v>19</v>
      </c>
      <c r="C3015" s="233">
        <v>10</v>
      </c>
      <c r="D3015" s="234">
        <v>2</v>
      </c>
      <c r="E3015" s="234">
        <v>0</v>
      </c>
      <c r="F3015" s="238"/>
      <c r="G3015" s="507"/>
      <c r="H3015" s="487" t="s">
        <v>1237</v>
      </c>
      <c r="I3015" s="452" t="s">
        <v>6311</v>
      </c>
      <c r="J3015" s="489" t="s">
        <v>2353</v>
      </c>
      <c r="K3015" s="490"/>
      <c r="L3015" s="491"/>
      <c r="M3015" s="491"/>
      <c r="N3015" s="456">
        <v>14929.12</v>
      </c>
      <c r="O3015" s="492"/>
      <c r="P3015" s="430"/>
    </row>
    <row r="3016" spans="1:16" ht="13.9" hidden="1" customHeight="1" outlineLevel="3" x14ac:dyDescent="0.2">
      <c r="A3016" s="233">
        <v>0</v>
      </c>
      <c r="B3016" s="233">
        <v>19</v>
      </c>
      <c r="C3016" s="233">
        <v>10</v>
      </c>
      <c r="D3016" s="234">
        <v>2</v>
      </c>
      <c r="E3016" s="234">
        <v>1</v>
      </c>
      <c r="F3016" s="238"/>
      <c r="G3016" s="508" t="s">
        <v>52</v>
      </c>
      <c r="H3016" s="493" t="s">
        <v>1238</v>
      </c>
      <c r="I3016" s="460" t="s">
        <v>6312</v>
      </c>
      <c r="J3016" s="495" t="s">
        <v>1266</v>
      </c>
      <c r="K3016" s="496" t="s">
        <v>1129</v>
      </c>
      <c r="L3016" s="497">
        <v>1</v>
      </c>
      <c r="M3016" s="497">
        <v>14929.119999999999</v>
      </c>
      <c r="N3016" s="464">
        <v>14929.12</v>
      </c>
      <c r="O3016" s="498"/>
      <c r="P3016" s="431" t="s">
        <v>6711</v>
      </c>
    </row>
    <row r="3017" spans="1:16" ht="13.9" hidden="1" customHeight="1" outlineLevel="2" x14ac:dyDescent="0.2">
      <c r="A3017" s="233">
        <v>0</v>
      </c>
      <c r="B3017" s="233">
        <v>19</v>
      </c>
      <c r="C3017" s="233">
        <v>10</v>
      </c>
      <c r="D3017" s="234">
        <v>3</v>
      </c>
      <c r="E3017" s="234">
        <v>0</v>
      </c>
      <c r="F3017" s="238"/>
      <c r="G3017" s="507"/>
      <c r="H3017" s="487" t="s">
        <v>1237</v>
      </c>
      <c r="I3017" s="452" t="s">
        <v>6313</v>
      </c>
      <c r="J3017" s="489" t="s">
        <v>14</v>
      </c>
      <c r="K3017" s="490"/>
      <c r="L3017" s="491"/>
      <c r="M3017" s="491"/>
      <c r="N3017" s="456">
        <v>19418.240000000002</v>
      </c>
      <c r="O3017" s="492"/>
      <c r="P3017" s="430"/>
    </row>
    <row r="3018" spans="1:16" ht="13.9" hidden="1" customHeight="1" outlineLevel="3" x14ac:dyDescent="0.2">
      <c r="A3018" s="233">
        <v>0</v>
      </c>
      <c r="B3018" s="233">
        <v>19</v>
      </c>
      <c r="C3018" s="233">
        <v>10</v>
      </c>
      <c r="D3018" s="234">
        <v>3</v>
      </c>
      <c r="E3018" s="234">
        <v>1</v>
      </c>
      <c r="F3018" s="238"/>
      <c r="G3018" s="508" t="s">
        <v>52</v>
      </c>
      <c r="H3018" s="493" t="s">
        <v>1238</v>
      </c>
      <c r="I3018" s="460" t="s">
        <v>6314</v>
      </c>
      <c r="J3018" s="495" t="s">
        <v>1268</v>
      </c>
      <c r="K3018" s="496" t="s">
        <v>1129</v>
      </c>
      <c r="L3018" s="497">
        <v>1</v>
      </c>
      <c r="M3018" s="497">
        <v>19418.240000000002</v>
      </c>
      <c r="N3018" s="464">
        <v>19418.240000000002</v>
      </c>
      <c r="O3018" s="498"/>
      <c r="P3018" s="431" t="s">
        <v>6711</v>
      </c>
    </row>
    <row r="3019" spans="1:16" ht="13.9" hidden="1" customHeight="1" outlineLevel="1" x14ac:dyDescent="0.2">
      <c r="A3019" s="233">
        <v>0</v>
      </c>
      <c r="B3019" s="233">
        <v>19</v>
      </c>
      <c r="C3019" s="233">
        <v>11</v>
      </c>
      <c r="D3019" s="234">
        <v>0</v>
      </c>
      <c r="E3019" s="234">
        <v>1</v>
      </c>
      <c r="F3019" s="238"/>
      <c r="G3019" s="506"/>
      <c r="H3019" s="481" t="s">
        <v>38</v>
      </c>
      <c r="I3019" s="445" t="s">
        <v>6315</v>
      </c>
      <c r="J3019" s="483" t="s">
        <v>2619</v>
      </c>
      <c r="K3019" s="484"/>
      <c r="L3019" s="485"/>
      <c r="M3019" s="485"/>
      <c r="N3019" s="449">
        <v>179316.28</v>
      </c>
      <c r="O3019" s="486"/>
      <c r="P3019" s="435"/>
    </row>
    <row r="3020" spans="1:16" ht="15.75" hidden="1" customHeight="1" outlineLevel="2" x14ac:dyDescent="0.2">
      <c r="A3020" s="233">
        <v>0</v>
      </c>
      <c r="B3020" s="233">
        <v>19</v>
      </c>
      <c r="C3020" s="233">
        <v>11</v>
      </c>
      <c r="D3020" s="234">
        <v>1</v>
      </c>
      <c r="E3020" s="234">
        <v>0</v>
      </c>
      <c r="F3020" s="238"/>
      <c r="G3020" s="507"/>
      <c r="H3020" s="487" t="s">
        <v>1237</v>
      </c>
      <c r="I3020" s="452" t="s">
        <v>6316</v>
      </c>
      <c r="J3020" s="489" t="s">
        <v>31</v>
      </c>
      <c r="K3020" s="490"/>
      <c r="L3020" s="491"/>
      <c r="M3020" s="491"/>
      <c r="N3020" s="456">
        <v>93083.32</v>
      </c>
      <c r="O3020" s="492"/>
      <c r="P3020" s="430"/>
    </row>
    <row r="3021" spans="1:16" ht="13.9" hidden="1" customHeight="1" outlineLevel="3" x14ac:dyDescent="0.2">
      <c r="A3021" s="233">
        <v>0</v>
      </c>
      <c r="B3021" s="233">
        <v>19</v>
      </c>
      <c r="C3021" s="233">
        <v>11</v>
      </c>
      <c r="D3021" s="234">
        <v>1</v>
      </c>
      <c r="E3021" s="234">
        <v>1</v>
      </c>
      <c r="F3021" s="238"/>
      <c r="G3021" s="508" t="s">
        <v>52</v>
      </c>
      <c r="H3021" s="493" t="s">
        <v>1238</v>
      </c>
      <c r="I3021" s="460" t="s">
        <v>6317</v>
      </c>
      <c r="J3021" s="495" t="s">
        <v>1265</v>
      </c>
      <c r="K3021" s="496" t="s">
        <v>1129</v>
      </c>
      <c r="L3021" s="497">
        <v>1</v>
      </c>
      <c r="M3021" s="497">
        <v>93083.319999999992</v>
      </c>
      <c r="N3021" s="464">
        <v>93083.32</v>
      </c>
      <c r="O3021" s="498"/>
      <c r="P3021" s="431" t="s">
        <v>6711</v>
      </c>
    </row>
    <row r="3022" spans="1:16" ht="13.9" hidden="1" customHeight="1" outlineLevel="2" x14ac:dyDescent="0.2">
      <c r="A3022" s="233">
        <v>0</v>
      </c>
      <c r="B3022" s="233">
        <v>19</v>
      </c>
      <c r="C3022" s="233">
        <v>11</v>
      </c>
      <c r="D3022" s="234">
        <v>2</v>
      </c>
      <c r="E3022" s="234">
        <v>0</v>
      </c>
      <c r="F3022" s="238"/>
      <c r="G3022" s="507"/>
      <c r="H3022" s="487" t="s">
        <v>1237</v>
      </c>
      <c r="I3022" s="452" t="s">
        <v>6318</v>
      </c>
      <c r="J3022" s="489" t="s">
        <v>2353</v>
      </c>
      <c r="K3022" s="490"/>
      <c r="L3022" s="491"/>
      <c r="M3022" s="491"/>
      <c r="N3022" s="456">
        <v>32804.639999999999</v>
      </c>
      <c r="O3022" s="492"/>
      <c r="P3022" s="430"/>
    </row>
    <row r="3023" spans="1:16" ht="13.9" hidden="1" customHeight="1" outlineLevel="3" x14ac:dyDescent="0.2">
      <c r="A3023" s="233">
        <v>0</v>
      </c>
      <c r="B3023" s="233">
        <v>19</v>
      </c>
      <c r="C3023" s="233">
        <v>11</v>
      </c>
      <c r="D3023" s="234">
        <v>2</v>
      </c>
      <c r="E3023" s="234">
        <v>1</v>
      </c>
      <c r="F3023" s="238"/>
      <c r="G3023" s="508" t="s">
        <v>52</v>
      </c>
      <c r="H3023" s="493" t="s">
        <v>1238</v>
      </c>
      <c r="I3023" s="460" t="s">
        <v>6319</v>
      </c>
      <c r="J3023" s="495" t="s">
        <v>1266</v>
      </c>
      <c r="K3023" s="496" t="s">
        <v>1129</v>
      </c>
      <c r="L3023" s="497">
        <v>1</v>
      </c>
      <c r="M3023" s="497">
        <v>32804.639999999999</v>
      </c>
      <c r="N3023" s="464">
        <v>32804.639999999999</v>
      </c>
      <c r="O3023" s="498"/>
      <c r="P3023" s="431" t="s">
        <v>6711</v>
      </c>
    </row>
    <row r="3024" spans="1:16" ht="13.9" hidden="1" customHeight="1" outlineLevel="2" x14ac:dyDescent="0.2">
      <c r="A3024" s="233">
        <v>0</v>
      </c>
      <c r="B3024" s="233">
        <v>19</v>
      </c>
      <c r="C3024" s="233">
        <v>11</v>
      </c>
      <c r="D3024" s="234">
        <v>3</v>
      </c>
      <c r="E3024" s="234">
        <v>0</v>
      </c>
      <c r="F3024" s="238"/>
      <c r="G3024" s="507"/>
      <c r="H3024" s="487" t="s">
        <v>1237</v>
      </c>
      <c r="I3024" s="452" t="s">
        <v>6320</v>
      </c>
      <c r="J3024" s="489" t="s">
        <v>14</v>
      </c>
      <c r="K3024" s="490"/>
      <c r="L3024" s="491"/>
      <c r="M3024" s="491"/>
      <c r="N3024" s="456">
        <v>53428.32</v>
      </c>
      <c r="O3024" s="492"/>
      <c r="P3024" s="430"/>
    </row>
    <row r="3025" spans="1:16" ht="13.9" hidden="1" customHeight="1" outlineLevel="3" x14ac:dyDescent="0.2">
      <c r="A3025" s="233">
        <v>0</v>
      </c>
      <c r="B3025" s="233">
        <v>19</v>
      </c>
      <c r="C3025" s="233">
        <v>11</v>
      </c>
      <c r="D3025" s="234">
        <v>3</v>
      </c>
      <c r="E3025" s="234">
        <v>1</v>
      </c>
      <c r="F3025" s="238"/>
      <c r="G3025" s="508" t="s">
        <v>52</v>
      </c>
      <c r="H3025" s="493" t="s">
        <v>1238</v>
      </c>
      <c r="I3025" s="460" t="s">
        <v>6321</v>
      </c>
      <c r="J3025" s="495" t="s">
        <v>1268</v>
      </c>
      <c r="K3025" s="496" t="s">
        <v>1129</v>
      </c>
      <c r="L3025" s="497">
        <v>1</v>
      </c>
      <c r="M3025" s="497">
        <v>53428.32</v>
      </c>
      <c r="N3025" s="464">
        <v>53428.32</v>
      </c>
      <c r="O3025" s="498"/>
      <c r="P3025" s="431" t="s">
        <v>6711</v>
      </c>
    </row>
    <row r="3026" spans="1:16" ht="13.9" hidden="1" customHeight="1" outlineLevel="1" x14ac:dyDescent="0.2">
      <c r="A3026" s="233">
        <v>0</v>
      </c>
      <c r="B3026" s="233">
        <v>19</v>
      </c>
      <c r="C3026" s="233">
        <v>12</v>
      </c>
      <c r="D3026" s="234">
        <v>0</v>
      </c>
      <c r="E3026" s="234">
        <v>1</v>
      </c>
      <c r="F3026" s="238"/>
      <c r="G3026" s="506"/>
      <c r="H3026" s="481" t="s">
        <v>38</v>
      </c>
      <c r="I3026" s="445" t="s">
        <v>6322</v>
      </c>
      <c r="J3026" s="483" t="s">
        <v>2620</v>
      </c>
      <c r="K3026" s="484"/>
      <c r="L3026" s="485"/>
      <c r="M3026" s="485"/>
      <c r="N3026" s="449">
        <v>8437.39</v>
      </c>
      <c r="O3026" s="486"/>
      <c r="P3026" s="435"/>
    </row>
    <row r="3027" spans="1:16" ht="15.75" hidden="1" customHeight="1" outlineLevel="2" x14ac:dyDescent="0.2">
      <c r="A3027" s="233">
        <v>0</v>
      </c>
      <c r="B3027" s="233">
        <v>19</v>
      </c>
      <c r="C3027" s="233">
        <v>12</v>
      </c>
      <c r="D3027" s="234">
        <v>1</v>
      </c>
      <c r="E3027" s="234">
        <v>0</v>
      </c>
      <c r="F3027" s="238"/>
      <c r="G3027" s="507"/>
      <c r="H3027" s="487" t="s">
        <v>1237</v>
      </c>
      <c r="I3027" s="452" t="s">
        <v>6323</v>
      </c>
      <c r="J3027" s="489" t="s">
        <v>31</v>
      </c>
      <c r="K3027" s="490"/>
      <c r="L3027" s="491"/>
      <c r="M3027" s="491"/>
      <c r="N3027" s="456">
        <v>4354.07</v>
      </c>
      <c r="O3027" s="492"/>
      <c r="P3027" s="430"/>
    </row>
    <row r="3028" spans="1:16" ht="13.9" hidden="1" customHeight="1" outlineLevel="3" x14ac:dyDescent="0.2">
      <c r="A3028" s="233">
        <v>0</v>
      </c>
      <c r="B3028" s="233">
        <v>19</v>
      </c>
      <c r="C3028" s="233">
        <v>12</v>
      </c>
      <c r="D3028" s="234">
        <v>1</v>
      </c>
      <c r="E3028" s="234">
        <v>1</v>
      </c>
      <c r="F3028" s="238"/>
      <c r="G3028" s="508" t="s">
        <v>52</v>
      </c>
      <c r="H3028" s="493" t="s">
        <v>1238</v>
      </c>
      <c r="I3028" s="460" t="s">
        <v>6324</v>
      </c>
      <c r="J3028" s="495" t="s">
        <v>1265</v>
      </c>
      <c r="K3028" s="496" t="s">
        <v>1129</v>
      </c>
      <c r="L3028" s="497">
        <v>1</v>
      </c>
      <c r="M3028" s="497">
        <v>4354.07</v>
      </c>
      <c r="N3028" s="464">
        <v>4354.07</v>
      </c>
      <c r="O3028" s="498"/>
      <c r="P3028" s="431" t="s">
        <v>6711</v>
      </c>
    </row>
    <row r="3029" spans="1:16" ht="13.9" hidden="1" customHeight="1" outlineLevel="2" x14ac:dyDescent="0.2">
      <c r="A3029" s="233">
        <v>0</v>
      </c>
      <c r="B3029" s="233">
        <v>19</v>
      </c>
      <c r="C3029" s="233">
        <v>12</v>
      </c>
      <c r="D3029" s="234">
        <v>2</v>
      </c>
      <c r="E3029" s="234">
        <v>0</v>
      </c>
      <c r="F3029" s="238"/>
      <c r="G3029" s="507"/>
      <c r="H3029" s="487" t="s">
        <v>1237</v>
      </c>
      <c r="I3029" s="452" t="s">
        <v>6325</v>
      </c>
      <c r="J3029" s="489" t="s">
        <v>2353</v>
      </c>
      <c r="K3029" s="490"/>
      <c r="L3029" s="491"/>
      <c r="M3029" s="491"/>
      <c r="N3029" s="456">
        <v>1739.64</v>
      </c>
      <c r="O3029" s="492"/>
      <c r="P3029" s="430"/>
    </row>
    <row r="3030" spans="1:16" ht="13.9" hidden="1" customHeight="1" outlineLevel="3" x14ac:dyDescent="0.2">
      <c r="A3030" s="233">
        <v>0</v>
      </c>
      <c r="B3030" s="233">
        <v>19</v>
      </c>
      <c r="C3030" s="233">
        <v>12</v>
      </c>
      <c r="D3030" s="234">
        <v>2</v>
      </c>
      <c r="E3030" s="234">
        <v>1</v>
      </c>
      <c r="F3030" s="238"/>
      <c r="G3030" s="508" t="s">
        <v>52</v>
      </c>
      <c r="H3030" s="493" t="s">
        <v>1238</v>
      </c>
      <c r="I3030" s="460" t="s">
        <v>6326</v>
      </c>
      <c r="J3030" s="495" t="s">
        <v>1266</v>
      </c>
      <c r="K3030" s="496" t="s">
        <v>1129</v>
      </c>
      <c r="L3030" s="497">
        <v>1</v>
      </c>
      <c r="M3030" s="497">
        <v>1739.6399999999999</v>
      </c>
      <c r="N3030" s="464">
        <v>1739.64</v>
      </c>
      <c r="O3030" s="498"/>
      <c r="P3030" s="431" t="s">
        <v>6711</v>
      </c>
    </row>
    <row r="3031" spans="1:16" ht="13.9" hidden="1" customHeight="1" outlineLevel="2" x14ac:dyDescent="0.2">
      <c r="A3031" s="233">
        <v>0</v>
      </c>
      <c r="B3031" s="233">
        <v>19</v>
      </c>
      <c r="C3031" s="233">
        <v>12</v>
      </c>
      <c r="D3031" s="234">
        <v>3</v>
      </c>
      <c r="E3031" s="234">
        <v>0</v>
      </c>
      <c r="F3031" s="238"/>
      <c r="G3031" s="507"/>
      <c r="H3031" s="487" t="s">
        <v>1237</v>
      </c>
      <c r="I3031" s="452" t="s">
        <v>6327</v>
      </c>
      <c r="J3031" s="489" t="s">
        <v>14</v>
      </c>
      <c r="K3031" s="490"/>
      <c r="L3031" s="491"/>
      <c r="M3031" s="491"/>
      <c r="N3031" s="456">
        <v>2343.6799999999998</v>
      </c>
      <c r="O3031" s="492"/>
      <c r="P3031" s="430"/>
    </row>
    <row r="3032" spans="1:16" ht="13.9" hidden="1" customHeight="1" outlineLevel="3" x14ac:dyDescent="0.2">
      <c r="A3032" s="233">
        <v>0</v>
      </c>
      <c r="B3032" s="233">
        <v>19</v>
      </c>
      <c r="C3032" s="233">
        <v>12</v>
      </c>
      <c r="D3032" s="234">
        <v>3</v>
      </c>
      <c r="E3032" s="234">
        <v>1</v>
      </c>
      <c r="F3032" s="238"/>
      <c r="G3032" s="508" t="s">
        <v>52</v>
      </c>
      <c r="H3032" s="493" t="s">
        <v>1238</v>
      </c>
      <c r="I3032" s="460" t="s">
        <v>6328</v>
      </c>
      <c r="J3032" s="495" t="s">
        <v>1268</v>
      </c>
      <c r="K3032" s="496" t="s">
        <v>1129</v>
      </c>
      <c r="L3032" s="497">
        <v>1</v>
      </c>
      <c r="M3032" s="497">
        <v>2343.6799999999998</v>
      </c>
      <c r="N3032" s="464">
        <v>2343.6799999999998</v>
      </c>
      <c r="O3032" s="498"/>
      <c r="P3032" s="431" t="s">
        <v>6711</v>
      </c>
    </row>
    <row r="3033" spans="1:16" ht="13.9" hidden="1" customHeight="1" outlineLevel="1" x14ac:dyDescent="0.2">
      <c r="A3033" s="233">
        <v>0</v>
      </c>
      <c r="B3033" s="233">
        <v>19</v>
      </c>
      <c r="C3033" s="233">
        <v>13</v>
      </c>
      <c r="D3033" s="234">
        <v>0</v>
      </c>
      <c r="E3033" s="234">
        <v>1</v>
      </c>
      <c r="F3033" s="238"/>
      <c r="G3033" s="506"/>
      <c r="H3033" s="481" t="s">
        <v>38</v>
      </c>
      <c r="I3033" s="445" t="s">
        <v>6329</v>
      </c>
      <c r="J3033" s="483" t="s">
        <v>2621</v>
      </c>
      <c r="K3033" s="484"/>
      <c r="L3033" s="485"/>
      <c r="M3033" s="485"/>
      <c r="N3033" s="449">
        <v>3820.45</v>
      </c>
      <c r="O3033" s="486"/>
      <c r="P3033" s="435"/>
    </row>
    <row r="3034" spans="1:16" ht="15.75" hidden="1" customHeight="1" outlineLevel="2" x14ac:dyDescent="0.2">
      <c r="A3034" s="233">
        <v>0</v>
      </c>
      <c r="B3034" s="233">
        <v>19</v>
      </c>
      <c r="C3034" s="233">
        <v>13</v>
      </c>
      <c r="D3034" s="234">
        <v>1</v>
      </c>
      <c r="E3034" s="234">
        <v>0</v>
      </c>
      <c r="F3034" s="238"/>
      <c r="G3034" s="507"/>
      <c r="H3034" s="487" t="s">
        <v>1237</v>
      </c>
      <c r="I3034" s="452" t="s">
        <v>6330</v>
      </c>
      <c r="J3034" s="489" t="s">
        <v>31</v>
      </c>
      <c r="K3034" s="490"/>
      <c r="L3034" s="491"/>
      <c r="M3034" s="491"/>
      <c r="N3034" s="456">
        <v>1244.02</v>
      </c>
      <c r="O3034" s="492"/>
      <c r="P3034" s="430"/>
    </row>
    <row r="3035" spans="1:16" ht="13.9" hidden="1" customHeight="1" outlineLevel="3" x14ac:dyDescent="0.2">
      <c r="A3035" s="233">
        <v>0</v>
      </c>
      <c r="B3035" s="233">
        <v>19</v>
      </c>
      <c r="C3035" s="233">
        <v>13</v>
      </c>
      <c r="D3035" s="234">
        <v>1</v>
      </c>
      <c r="E3035" s="234">
        <v>1</v>
      </c>
      <c r="F3035" s="238"/>
      <c r="G3035" s="508" t="s">
        <v>52</v>
      </c>
      <c r="H3035" s="493" t="s">
        <v>1238</v>
      </c>
      <c r="I3035" s="460" t="s">
        <v>6331</v>
      </c>
      <c r="J3035" s="495" t="s">
        <v>1265</v>
      </c>
      <c r="K3035" s="496" t="s">
        <v>1129</v>
      </c>
      <c r="L3035" s="497">
        <v>1</v>
      </c>
      <c r="M3035" s="497">
        <v>1244.02</v>
      </c>
      <c r="N3035" s="464">
        <v>1244.02</v>
      </c>
      <c r="O3035" s="498"/>
      <c r="P3035" s="431" t="s">
        <v>6711</v>
      </c>
    </row>
    <row r="3036" spans="1:16" ht="13.9" hidden="1" customHeight="1" outlineLevel="2" x14ac:dyDescent="0.2">
      <c r="A3036" s="233">
        <v>0</v>
      </c>
      <c r="B3036" s="233">
        <v>19</v>
      </c>
      <c r="C3036" s="233">
        <v>13</v>
      </c>
      <c r="D3036" s="234">
        <v>2</v>
      </c>
      <c r="E3036" s="234">
        <v>0</v>
      </c>
      <c r="F3036" s="238"/>
      <c r="G3036" s="507"/>
      <c r="H3036" s="487" t="s">
        <v>1237</v>
      </c>
      <c r="I3036" s="452" t="s">
        <v>6332</v>
      </c>
      <c r="J3036" s="489" t="s">
        <v>2353</v>
      </c>
      <c r="K3036" s="490"/>
      <c r="L3036" s="491"/>
      <c r="M3036" s="491"/>
      <c r="N3036" s="456">
        <v>346.03</v>
      </c>
      <c r="O3036" s="492"/>
      <c r="P3036" s="430"/>
    </row>
    <row r="3037" spans="1:16" ht="13.9" hidden="1" customHeight="1" outlineLevel="3" x14ac:dyDescent="0.2">
      <c r="A3037" s="233">
        <v>0</v>
      </c>
      <c r="B3037" s="233">
        <v>19</v>
      </c>
      <c r="C3037" s="233">
        <v>13</v>
      </c>
      <c r="D3037" s="234">
        <v>2</v>
      </c>
      <c r="E3037" s="234">
        <v>1</v>
      </c>
      <c r="F3037" s="238"/>
      <c r="G3037" s="508" t="s">
        <v>52</v>
      </c>
      <c r="H3037" s="493" t="s">
        <v>1238</v>
      </c>
      <c r="I3037" s="460" t="s">
        <v>6333</v>
      </c>
      <c r="J3037" s="495" t="s">
        <v>1266</v>
      </c>
      <c r="K3037" s="496" t="s">
        <v>1129</v>
      </c>
      <c r="L3037" s="497">
        <v>1</v>
      </c>
      <c r="M3037" s="497">
        <v>346.03</v>
      </c>
      <c r="N3037" s="464">
        <v>346.03</v>
      </c>
      <c r="O3037" s="498"/>
      <c r="P3037" s="431" t="s">
        <v>6711</v>
      </c>
    </row>
    <row r="3038" spans="1:16" ht="13.9" hidden="1" customHeight="1" outlineLevel="2" x14ac:dyDescent="0.2">
      <c r="A3038" s="233">
        <v>0</v>
      </c>
      <c r="B3038" s="233">
        <v>19</v>
      </c>
      <c r="C3038" s="233">
        <v>13</v>
      </c>
      <c r="D3038" s="234">
        <v>3</v>
      </c>
      <c r="E3038" s="234">
        <v>0</v>
      </c>
      <c r="F3038" s="238"/>
      <c r="G3038" s="507"/>
      <c r="H3038" s="487" t="s">
        <v>1237</v>
      </c>
      <c r="I3038" s="452" t="s">
        <v>6334</v>
      </c>
      <c r="J3038" s="489" t="s">
        <v>14</v>
      </c>
      <c r="K3038" s="490"/>
      <c r="L3038" s="491"/>
      <c r="M3038" s="491"/>
      <c r="N3038" s="456">
        <v>2230.4</v>
      </c>
      <c r="O3038" s="492"/>
      <c r="P3038" s="430"/>
    </row>
    <row r="3039" spans="1:16" ht="13.9" hidden="1" customHeight="1" outlineLevel="3" x14ac:dyDescent="0.2">
      <c r="A3039" s="233">
        <v>0</v>
      </c>
      <c r="B3039" s="233">
        <v>19</v>
      </c>
      <c r="C3039" s="233">
        <v>13</v>
      </c>
      <c r="D3039" s="234">
        <v>3</v>
      </c>
      <c r="E3039" s="234">
        <v>1</v>
      </c>
      <c r="F3039" s="238"/>
      <c r="G3039" s="508" t="s">
        <v>52</v>
      </c>
      <c r="H3039" s="493" t="s">
        <v>1238</v>
      </c>
      <c r="I3039" s="460" t="s">
        <v>6335</v>
      </c>
      <c r="J3039" s="495" t="s">
        <v>1268</v>
      </c>
      <c r="K3039" s="496" t="s">
        <v>1129</v>
      </c>
      <c r="L3039" s="497">
        <v>1</v>
      </c>
      <c r="M3039" s="497">
        <v>2230.4</v>
      </c>
      <c r="N3039" s="464">
        <v>2230.4</v>
      </c>
      <c r="O3039" s="498"/>
      <c r="P3039" s="431" t="s">
        <v>6711</v>
      </c>
    </row>
    <row r="3040" spans="1:16" ht="13.9" hidden="1" customHeight="1" outlineLevel="1" x14ac:dyDescent="0.2">
      <c r="A3040" s="233">
        <v>0</v>
      </c>
      <c r="B3040" s="233">
        <v>19</v>
      </c>
      <c r="C3040" s="233">
        <v>14</v>
      </c>
      <c r="D3040" s="234">
        <v>0</v>
      </c>
      <c r="E3040" s="234">
        <v>1</v>
      </c>
      <c r="F3040" s="238"/>
      <c r="G3040" s="506"/>
      <c r="H3040" s="481" t="s">
        <v>38</v>
      </c>
      <c r="I3040" s="445" t="s">
        <v>6336</v>
      </c>
      <c r="J3040" s="483" t="s">
        <v>2622</v>
      </c>
      <c r="K3040" s="484"/>
      <c r="L3040" s="485"/>
      <c r="M3040" s="485"/>
      <c r="N3040" s="449">
        <v>1189.76</v>
      </c>
      <c r="O3040" s="486"/>
      <c r="P3040" s="435"/>
    </row>
    <row r="3041" spans="1:16" ht="13.9" hidden="1" customHeight="1" outlineLevel="2" x14ac:dyDescent="0.2">
      <c r="A3041" s="233">
        <v>0</v>
      </c>
      <c r="B3041" s="233">
        <v>19</v>
      </c>
      <c r="C3041" s="233">
        <v>14</v>
      </c>
      <c r="D3041" s="234">
        <v>1</v>
      </c>
      <c r="E3041" s="234">
        <v>0</v>
      </c>
      <c r="F3041" s="238"/>
      <c r="G3041" s="507"/>
      <c r="H3041" s="487" t="s">
        <v>1237</v>
      </c>
      <c r="I3041" s="452" t="s">
        <v>6337</v>
      </c>
      <c r="J3041" s="489" t="s">
        <v>2353</v>
      </c>
      <c r="K3041" s="490"/>
      <c r="L3041" s="491"/>
      <c r="M3041" s="491"/>
      <c r="N3041" s="456">
        <v>600</v>
      </c>
      <c r="O3041" s="492"/>
      <c r="P3041" s="430"/>
    </row>
    <row r="3042" spans="1:16" ht="13.9" hidden="1" customHeight="1" outlineLevel="3" x14ac:dyDescent="0.2">
      <c r="A3042" s="233">
        <v>0</v>
      </c>
      <c r="B3042" s="233">
        <v>19</v>
      </c>
      <c r="C3042" s="233">
        <v>14</v>
      </c>
      <c r="D3042" s="234">
        <v>1</v>
      </c>
      <c r="E3042" s="234">
        <v>1</v>
      </c>
      <c r="F3042" s="238"/>
      <c r="G3042" s="508" t="s">
        <v>52</v>
      </c>
      <c r="H3042" s="493" t="s">
        <v>1238</v>
      </c>
      <c r="I3042" s="460" t="s">
        <v>6338</v>
      </c>
      <c r="J3042" s="495" t="s">
        <v>1266</v>
      </c>
      <c r="K3042" s="496" t="s">
        <v>1129</v>
      </c>
      <c r="L3042" s="497">
        <v>1</v>
      </c>
      <c r="M3042" s="497">
        <v>600</v>
      </c>
      <c r="N3042" s="464">
        <v>600</v>
      </c>
      <c r="O3042" s="498"/>
      <c r="P3042" s="431" t="s">
        <v>6711</v>
      </c>
    </row>
    <row r="3043" spans="1:16" ht="13.9" hidden="1" customHeight="1" outlineLevel="2" x14ac:dyDescent="0.2">
      <c r="A3043" s="233">
        <v>0</v>
      </c>
      <c r="B3043" s="233">
        <v>19</v>
      </c>
      <c r="C3043" s="233">
        <v>14</v>
      </c>
      <c r="D3043" s="234">
        <v>2</v>
      </c>
      <c r="E3043" s="234">
        <v>0</v>
      </c>
      <c r="F3043" s="238"/>
      <c r="G3043" s="507"/>
      <c r="H3043" s="487" t="s">
        <v>1237</v>
      </c>
      <c r="I3043" s="452" t="s">
        <v>6339</v>
      </c>
      <c r="J3043" s="489" t="s">
        <v>14</v>
      </c>
      <c r="K3043" s="490"/>
      <c r="L3043" s="491"/>
      <c r="M3043" s="491"/>
      <c r="N3043" s="456">
        <v>589.76</v>
      </c>
      <c r="O3043" s="492"/>
      <c r="P3043" s="430"/>
    </row>
    <row r="3044" spans="1:16" ht="13.9" hidden="1" customHeight="1" outlineLevel="3" x14ac:dyDescent="0.2">
      <c r="A3044" s="233">
        <v>0</v>
      </c>
      <c r="B3044" s="233">
        <v>19</v>
      </c>
      <c r="C3044" s="233">
        <v>14</v>
      </c>
      <c r="D3044" s="234">
        <v>2</v>
      </c>
      <c r="E3044" s="234">
        <v>1</v>
      </c>
      <c r="F3044" s="238"/>
      <c r="G3044" s="508" t="s">
        <v>52</v>
      </c>
      <c r="H3044" s="493" t="s">
        <v>1238</v>
      </c>
      <c r="I3044" s="460" t="s">
        <v>6340</v>
      </c>
      <c r="J3044" s="495" t="s">
        <v>1268</v>
      </c>
      <c r="K3044" s="496" t="s">
        <v>1129</v>
      </c>
      <c r="L3044" s="497">
        <v>1</v>
      </c>
      <c r="M3044" s="497">
        <v>589.76</v>
      </c>
      <c r="N3044" s="464">
        <v>589.76</v>
      </c>
      <c r="O3044" s="498"/>
      <c r="P3044" s="431" t="s">
        <v>6711</v>
      </c>
    </row>
    <row r="3045" spans="1:16" ht="13.9" customHeight="1" collapsed="1" x14ac:dyDescent="0.2">
      <c r="A3045" s="233">
        <v>0</v>
      </c>
      <c r="B3045" s="233">
        <v>20</v>
      </c>
      <c r="C3045" s="233">
        <v>0</v>
      </c>
      <c r="D3045" s="234">
        <v>2</v>
      </c>
      <c r="E3045" s="234">
        <v>1</v>
      </c>
      <c r="F3045" s="238"/>
      <c r="G3045" s="504"/>
      <c r="H3045" s="476" t="s">
        <v>1236</v>
      </c>
      <c r="I3045" s="438" t="s">
        <v>6341</v>
      </c>
      <c r="J3045" s="505" t="s">
        <v>32</v>
      </c>
      <c r="K3045" s="478"/>
      <c r="L3045" s="479"/>
      <c r="M3045" s="479"/>
      <c r="N3045" s="442">
        <v>34721</v>
      </c>
      <c r="O3045" s="480">
        <v>2.0729363623283299</v>
      </c>
      <c r="P3045" s="434"/>
    </row>
    <row r="3046" spans="1:16" ht="13.9" hidden="1" customHeight="1" outlineLevel="1" x14ac:dyDescent="0.2">
      <c r="A3046" s="233">
        <v>0</v>
      </c>
      <c r="B3046" s="233">
        <v>20</v>
      </c>
      <c r="C3046" s="233">
        <v>1</v>
      </c>
      <c r="D3046" s="234">
        <v>0</v>
      </c>
      <c r="E3046" s="234">
        <v>1</v>
      </c>
      <c r="F3046" s="238"/>
      <c r="G3046" s="506"/>
      <c r="H3046" s="481" t="s">
        <v>38</v>
      </c>
      <c r="I3046" s="445" t="s">
        <v>6342</v>
      </c>
      <c r="J3046" s="483" t="s">
        <v>32</v>
      </c>
      <c r="K3046" s="484"/>
      <c r="L3046" s="485"/>
      <c r="M3046" s="485"/>
      <c r="N3046" s="449">
        <v>34721</v>
      </c>
      <c r="O3046" s="486"/>
      <c r="P3046" s="435"/>
    </row>
    <row r="3047" spans="1:16" ht="13.9" hidden="1" customHeight="1" outlineLevel="2" x14ac:dyDescent="0.2">
      <c r="A3047" s="233">
        <v>0</v>
      </c>
      <c r="B3047" s="233">
        <v>20</v>
      </c>
      <c r="C3047" s="233">
        <v>1</v>
      </c>
      <c r="D3047" s="234">
        <v>1</v>
      </c>
      <c r="E3047" s="234">
        <v>0</v>
      </c>
      <c r="F3047" s="238"/>
      <c r="G3047" s="507"/>
      <c r="H3047" s="487" t="s">
        <v>1237</v>
      </c>
      <c r="I3047" s="452" t="s">
        <v>6343</v>
      </c>
      <c r="J3047" s="489" t="s">
        <v>2355</v>
      </c>
      <c r="K3047" s="490"/>
      <c r="L3047" s="491"/>
      <c r="M3047" s="491"/>
      <c r="N3047" s="456">
        <v>34721</v>
      </c>
      <c r="O3047" s="492"/>
      <c r="P3047" s="430"/>
    </row>
    <row r="3048" spans="1:16" ht="13.9" hidden="1" customHeight="1" outlineLevel="3" x14ac:dyDescent="0.2">
      <c r="A3048" s="233">
        <v>0</v>
      </c>
      <c r="B3048" s="233">
        <v>20</v>
      </c>
      <c r="C3048" s="233">
        <v>1</v>
      </c>
      <c r="D3048" s="234">
        <v>1</v>
      </c>
      <c r="E3048" s="234">
        <v>1</v>
      </c>
      <c r="F3048" s="238"/>
      <c r="G3048" s="508" t="s">
        <v>32</v>
      </c>
      <c r="H3048" s="493" t="s">
        <v>1238</v>
      </c>
      <c r="I3048" s="460" t="s">
        <v>6344</v>
      </c>
      <c r="J3048" s="495" t="s">
        <v>1005</v>
      </c>
      <c r="K3048" s="496" t="s">
        <v>2712</v>
      </c>
      <c r="L3048" s="497">
        <v>1</v>
      </c>
      <c r="M3048" s="497">
        <v>34721</v>
      </c>
      <c r="N3048" s="464">
        <v>34721</v>
      </c>
      <c r="O3048" s="498"/>
      <c r="P3048" s="431" t="s">
        <v>6711</v>
      </c>
    </row>
    <row r="3049" spans="1:16" ht="13.9" customHeight="1" collapsed="1" x14ac:dyDescent="0.2">
      <c r="A3049" s="233">
        <v>0</v>
      </c>
      <c r="B3049" s="233">
        <v>21</v>
      </c>
      <c r="C3049" s="233">
        <v>0</v>
      </c>
      <c r="D3049" s="234">
        <v>1</v>
      </c>
      <c r="E3049" s="234">
        <v>1</v>
      </c>
      <c r="F3049" s="238"/>
      <c r="G3049" s="504"/>
      <c r="H3049" s="476" t="s">
        <v>1236</v>
      </c>
      <c r="I3049" s="438" t="s">
        <v>6345</v>
      </c>
      <c r="J3049" s="505" t="s">
        <v>2248</v>
      </c>
      <c r="K3049" s="478"/>
      <c r="L3049" s="479"/>
      <c r="M3049" s="479"/>
      <c r="N3049" s="442"/>
      <c r="O3049" s="480"/>
      <c r="P3049" s="433"/>
    </row>
    <row r="3050" spans="1:16" ht="13.9" hidden="1" customHeight="1" outlineLevel="1" x14ac:dyDescent="0.2">
      <c r="A3050" s="233">
        <v>0</v>
      </c>
      <c r="B3050" s="233">
        <v>21</v>
      </c>
      <c r="C3050" s="233">
        <v>1</v>
      </c>
      <c r="D3050" s="234">
        <v>0</v>
      </c>
      <c r="E3050" s="234">
        <v>1</v>
      </c>
      <c r="F3050" s="125"/>
      <c r="G3050" s="506"/>
      <c r="H3050" s="481" t="s">
        <v>38</v>
      </c>
      <c r="I3050" s="445" t="s">
        <v>6346</v>
      </c>
      <c r="J3050" s="483" t="s">
        <v>2655</v>
      </c>
      <c r="K3050" s="484"/>
      <c r="L3050" s="485"/>
      <c r="M3050" s="485"/>
      <c r="N3050" s="449"/>
      <c r="O3050" s="486"/>
      <c r="P3050" s="435"/>
    </row>
    <row r="3051" spans="1:16" ht="13.9" hidden="1" customHeight="1" outlineLevel="2" x14ac:dyDescent="0.2">
      <c r="A3051" s="233">
        <v>0</v>
      </c>
      <c r="B3051" s="233">
        <v>21</v>
      </c>
      <c r="C3051" s="233">
        <v>1</v>
      </c>
      <c r="D3051" s="234">
        <v>1</v>
      </c>
      <c r="E3051" s="234">
        <v>0</v>
      </c>
      <c r="F3051" s="125"/>
      <c r="G3051" s="507"/>
      <c r="H3051" s="487" t="s">
        <v>1237</v>
      </c>
      <c r="I3051" s="452" t="s">
        <v>6347</v>
      </c>
      <c r="J3051" s="489" t="s">
        <v>2356</v>
      </c>
      <c r="K3051" s="490"/>
      <c r="L3051" s="491"/>
      <c r="M3051" s="491"/>
      <c r="N3051" s="456"/>
      <c r="O3051" s="492"/>
      <c r="P3051" s="430"/>
    </row>
    <row r="3052" spans="1:16" ht="13.9" hidden="1" customHeight="1" outlineLevel="3" x14ac:dyDescent="0.2">
      <c r="A3052" s="233">
        <v>0</v>
      </c>
      <c r="B3052" s="233">
        <v>21</v>
      </c>
      <c r="C3052" s="233">
        <v>1</v>
      </c>
      <c r="D3052" s="234">
        <v>1</v>
      </c>
      <c r="E3052" s="234">
        <v>1</v>
      </c>
      <c r="F3052" s="125"/>
      <c r="G3052" s="508" t="s">
        <v>2133</v>
      </c>
      <c r="H3052" s="493" t="s">
        <v>1238</v>
      </c>
      <c r="I3052" s="460" t="s">
        <v>6348</v>
      </c>
      <c r="J3052" s="495" t="s">
        <v>893</v>
      </c>
      <c r="K3052" s="496" t="s">
        <v>641</v>
      </c>
      <c r="L3052" s="497" t="e">
        <v>#REF!</v>
      </c>
      <c r="M3052" s="497">
        <v>10.11778</v>
      </c>
      <c r="N3052" s="464"/>
      <c r="O3052" s="498"/>
      <c r="P3052" s="431" t="s">
        <v>6711</v>
      </c>
    </row>
    <row r="3053" spans="1:16" ht="13.9" hidden="1" customHeight="1" outlineLevel="3" x14ac:dyDescent="0.2">
      <c r="A3053" s="233">
        <v>0</v>
      </c>
      <c r="B3053" s="233">
        <v>21</v>
      </c>
      <c r="C3053" s="233">
        <v>1</v>
      </c>
      <c r="D3053" s="234">
        <v>1</v>
      </c>
      <c r="E3053" s="234">
        <v>2</v>
      </c>
      <c r="F3053" s="125"/>
      <c r="G3053" s="508" t="s">
        <v>2133</v>
      </c>
      <c r="H3053" s="493" t="s">
        <v>1238</v>
      </c>
      <c r="I3053" s="460" t="s">
        <v>6349</v>
      </c>
      <c r="J3053" s="495" t="s">
        <v>853</v>
      </c>
      <c r="K3053" s="496" t="s">
        <v>641</v>
      </c>
      <c r="L3053" s="497" t="e">
        <v>#REF!</v>
      </c>
      <c r="M3053" s="497">
        <v>3.28945</v>
      </c>
      <c r="N3053" s="464"/>
      <c r="O3053" s="498"/>
      <c r="P3053" s="431" t="s">
        <v>6711</v>
      </c>
    </row>
    <row r="3054" spans="1:16" ht="13.9" hidden="1" customHeight="1" outlineLevel="3" x14ac:dyDescent="0.2">
      <c r="A3054" s="233">
        <v>0</v>
      </c>
      <c r="B3054" s="233">
        <v>21</v>
      </c>
      <c r="C3054" s="233">
        <v>1</v>
      </c>
      <c r="D3054" s="234">
        <v>1</v>
      </c>
      <c r="E3054" s="234">
        <v>3</v>
      </c>
      <c r="F3054" s="125"/>
      <c r="G3054" s="508" t="s">
        <v>2133</v>
      </c>
      <c r="H3054" s="493" t="s">
        <v>1238</v>
      </c>
      <c r="I3054" s="460" t="s">
        <v>6350</v>
      </c>
      <c r="J3054" s="495" t="s">
        <v>852</v>
      </c>
      <c r="K3054" s="496" t="s">
        <v>641</v>
      </c>
      <c r="L3054" s="497" t="e">
        <v>#REF!</v>
      </c>
      <c r="M3054" s="497">
        <v>10.893750000000001</v>
      </c>
      <c r="N3054" s="464"/>
      <c r="O3054" s="498"/>
      <c r="P3054" s="431" t="s">
        <v>6711</v>
      </c>
    </row>
    <row r="3055" spans="1:16" ht="13.9" hidden="1" customHeight="1" outlineLevel="2" x14ac:dyDescent="0.2">
      <c r="A3055" s="233">
        <v>0</v>
      </c>
      <c r="B3055" s="233">
        <v>21</v>
      </c>
      <c r="C3055" s="233">
        <v>1</v>
      </c>
      <c r="D3055" s="234">
        <v>2</v>
      </c>
      <c r="E3055" s="234">
        <v>0</v>
      </c>
      <c r="F3055" s="125"/>
      <c r="G3055" s="507"/>
      <c r="H3055" s="487" t="s">
        <v>1237</v>
      </c>
      <c r="I3055" s="452" t="s">
        <v>6351</v>
      </c>
      <c r="J3055" s="489" t="s">
        <v>2282</v>
      </c>
      <c r="K3055" s="490"/>
      <c r="L3055" s="491"/>
      <c r="M3055" s="491"/>
      <c r="N3055" s="456"/>
      <c r="O3055" s="492"/>
      <c r="P3055" s="430"/>
    </row>
    <row r="3056" spans="1:16" ht="12.75" hidden="1" outlineLevel="3" x14ac:dyDescent="0.2">
      <c r="A3056" s="233">
        <v>0</v>
      </c>
      <c r="B3056" s="233">
        <v>21</v>
      </c>
      <c r="C3056" s="233">
        <v>1</v>
      </c>
      <c r="D3056" s="234">
        <v>2</v>
      </c>
      <c r="E3056" s="234">
        <v>1</v>
      </c>
      <c r="F3056" s="125"/>
      <c r="G3056" s="508" t="s">
        <v>2133</v>
      </c>
      <c r="H3056" s="493" t="s">
        <v>1238</v>
      </c>
      <c r="I3056" s="460" t="s">
        <v>6352</v>
      </c>
      <c r="J3056" s="495" t="s">
        <v>2894</v>
      </c>
      <c r="K3056" s="496" t="s">
        <v>641</v>
      </c>
      <c r="L3056" s="497" t="e">
        <v>#REF!</v>
      </c>
      <c r="M3056" s="497">
        <v>35.786235333333337</v>
      </c>
      <c r="N3056" s="464"/>
      <c r="O3056" s="498"/>
      <c r="P3056" s="431" t="s">
        <v>6711</v>
      </c>
    </row>
    <row r="3057" spans="1:16" ht="12.75" hidden="1" outlineLevel="3" x14ac:dyDescent="0.2">
      <c r="A3057" s="233">
        <v>0</v>
      </c>
      <c r="B3057" s="233">
        <v>21</v>
      </c>
      <c r="C3057" s="233">
        <v>1</v>
      </c>
      <c r="D3057" s="234">
        <v>2</v>
      </c>
      <c r="E3057" s="234">
        <v>2</v>
      </c>
      <c r="F3057" s="125"/>
      <c r="G3057" s="508" t="s">
        <v>2133</v>
      </c>
      <c r="H3057" s="493" t="s">
        <v>1238</v>
      </c>
      <c r="I3057" s="460" t="s">
        <v>6353</v>
      </c>
      <c r="J3057" s="495" t="s">
        <v>2894</v>
      </c>
      <c r="K3057" s="496" t="s">
        <v>641</v>
      </c>
      <c r="L3057" s="497" t="e">
        <v>#REF!</v>
      </c>
      <c r="M3057" s="497">
        <v>35.786235333333337</v>
      </c>
      <c r="N3057" s="464"/>
      <c r="O3057" s="498"/>
      <c r="P3057" s="431" t="s">
        <v>6711</v>
      </c>
    </row>
    <row r="3058" spans="1:16" ht="12.75" hidden="1" outlineLevel="3" x14ac:dyDescent="0.2">
      <c r="A3058" s="233">
        <v>0</v>
      </c>
      <c r="B3058" s="233">
        <v>21</v>
      </c>
      <c r="C3058" s="233">
        <v>1</v>
      </c>
      <c r="D3058" s="234">
        <v>2</v>
      </c>
      <c r="E3058" s="234">
        <v>3</v>
      </c>
      <c r="F3058" s="125"/>
      <c r="G3058" s="508" t="s">
        <v>2133</v>
      </c>
      <c r="H3058" s="493" t="s">
        <v>1238</v>
      </c>
      <c r="I3058" s="460" t="s">
        <v>6354</v>
      </c>
      <c r="J3058" s="495" t="s">
        <v>2952</v>
      </c>
      <c r="K3058" s="496" t="s">
        <v>641</v>
      </c>
      <c r="L3058" s="497" t="e">
        <v>#REF!</v>
      </c>
      <c r="M3058" s="497">
        <v>68.50855555555556</v>
      </c>
      <c r="N3058" s="464"/>
      <c r="O3058" s="498"/>
      <c r="P3058" s="431" t="s">
        <v>6711</v>
      </c>
    </row>
    <row r="3059" spans="1:16" ht="13.9" hidden="1" customHeight="1" outlineLevel="2" x14ac:dyDescent="0.2">
      <c r="A3059" s="233">
        <v>0</v>
      </c>
      <c r="B3059" s="233">
        <v>21</v>
      </c>
      <c r="C3059" s="233">
        <v>1</v>
      </c>
      <c r="D3059" s="234">
        <v>3</v>
      </c>
      <c r="E3059" s="234">
        <v>0</v>
      </c>
      <c r="F3059" s="125"/>
      <c r="G3059" s="507"/>
      <c r="H3059" s="487" t="s">
        <v>1237</v>
      </c>
      <c r="I3059" s="452" t="s">
        <v>6355</v>
      </c>
      <c r="J3059" s="489" t="s">
        <v>2357</v>
      </c>
      <c r="K3059" s="490"/>
      <c r="L3059" s="491"/>
      <c r="M3059" s="491"/>
      <c r="N3059" s="456"/>
      <c r="O3059" s="492"/>
      <c r="P3059" s="430"/>
    </row>
    <row r="3060" spans="1:16" ht="13.9" hidden="1" customHeight="1" outlineLevel="3" x14ac:dyDescent="0.2">
      <c r="A3060" s="233">
        <v>0</v>
      </c>
      <c r="B3060" s="233">
        <v>21</v>
      </c>
      <c r="C3060" s="233">
        <v>1</v>
      </c>
      <c r="D3060" s="234">
        <v>3</v>
      </c>
      <c r="E3060" s="234">
        <v>1</v>
      </c>
      <c r="F3060" s="125"/>
      <c r="G3060" s="508" t="s">
        <v>2133</v>
      </c>
      <c r="H3060" s="493" t="s">
        <v>1238</v>
      </c>
      <c r="I3060" s="460" t="s">
        <v>6356</v>
      </c>
      <c r="J3060" s="495" t="s">
        <v>2661</v>
      </c>
      <c r="K3060" s="496" t="s">
        <v>641</v>
      </c>
      <c r="L3060" s="497" t="e">
        <v>#REF!</v>
      </c>
      <c r="M3060" s="497">
        <v>412.93298484848486</v>
      </c>
      <c r="N3060" s="464"/>
      <c r="O3060" s="498" t="s">
        <v>2657</v>
      </c>
      <c r="P3060" s="431" t="s">
        <v>6711</v>
      </c>
    </row>
    <row r="3061" spans="1:16" ht="13.9" hidden="1" customHeight="1" outlineLevel="3" x14ac:dyDescent="0.2">
      <c r="A3061" s="233">
        <v>0</v>
      </c>
      <c r="B3061" s="233">
        <v>21</v>
      </c>
      <c r="C3061" s="233">
        <v>1</v>
      </c>
      <c r="D3061" s="234">
        <v>3</v>
      </c>
      <c r="E3061" s="234">
        <v>2</v>
      </c>
      <c r="F3061" s="125"/>
      <c r="G3061" s="508" t="s">
        <v>2133</v>
      </c>
      <c r="H3061" s="493" t="s">
        <v>1238</v>
      </c>
      <c r="I3061" s="460" t="s">
        <v>6357</v>
      </c>
      <c r="J3061" s="495" t="s">
        <v>2961</v>
      </c>
      <c r="K3061" s="496" t="s">
        <v>641</v>
      </c>
      <c r="L3061" s="497" t="e">
        <v>#REF!</v>
      </c>
      <c r="M3061" s="497">
        <v>1102</v>
      </c>
      <c r="N3061" s="464"/>
      <c r="O3061" s="498"/>
      <c r="P3061" s="431" t="s">
        <v>6711</v>
      </c>
    </row>
    <row r="3062" spans="1:16" ht="13.9" hidden="1" customHeight="1" outlineLevel="3" x14ac:dyDescent="0.2">
      <c r="A3062" s="233">
        <v>0</v>
      </c>
      <c r="B3062" s="233">
        <v>21</v>
      </c>
      <c r="C3062" s="233">
        <v>1</v>
      </c>
      <c r="D3062" s="234">
        <v>3</v>
      </c>
      <c r="E3062" s="234">
        <v>3</v>
      </c>
      <c r="F3062" s="125"/>
      <c r="G3062" s="508" t="s">
        <v>2133</v>
      </c>
      <c r="H3062" s="493" t="s">
        <v>1238</v>
      </c>
      <c r="I3062" s="460" t="s">
        <v>6358</v>
      </c>
      <c r="J3062" s="495" t="s">
        <v>2962</v>
      </c>
      <c r="K3062" s="496" t="s">
        <v>787</v>
      </c>
      <c r="L3062" s="497" t="e">
        <v>#REF!</v>
      </c>
      <c r="M3062" s="497">
        <v>211.47737545454549</v>
      </c>
      <c r="N3062" s="464"/>
      <c r="O3062" s="498"/>
      <c r="P3062" s="431" t="s">
        <v>6711</v>
      </c>
    </row>
    <row r="3063" spans="1:16" ht="13.9" hidden="1" customHeight="1" outlineLevel="3" x14ac:dyDescent="0.2">
      <c r="A3063" s="233">
        <v>0</v>
      </c>
      <c r="B3063" s="233">
        <v>21</v>
      </c>
      <c r="C3063" s="233">
        <v>1</v>
      </c>
      <c r="D3063" s="234">
        <v>3</v>
      </c>
      <c r="E3063" s="234">
        <v>4</v>
      </c>
      <c r="F3063" s="125"/>
      <c r="G3063" s="508" t="s">
        <v>2133</v>
      </c>
      <c r="H3063" s="493" t="s">
        <v>1238</v>
      </c>
      <c r="I3063" s="460" t="s">
        <v>6359</v>
      </c>
      <c r="J3063" s="495" t="s">
        <v>2957</v>
      </c>
      <c r="K3063" s="496" t="s">
        <v>787</v>
      </c>
      <c r="L3063" s="497" t="e">
        <v>#REF!</v>
      </c>
      <c r="M3063" s="497">
        <v>150.38018545454545</v>
      </c>
      <c r="N3063" s="464"/>
      <c r="O3063" s="498"/>
      <c r="P3063" s="431" t="s">
        <v>6711</v>
      </c>
    </row>
    <row r="3064" spans="1:16" ht="13.9" hidden="1" customHeight="1" outlineLevel="3" x14ac:dyDescent="0.2">
      <c r="A3064" s="233">
        <v>0</v>
      </c>
      <c r="B3064" s="233">
        <v>21</v>
      </c>
      <c r="C3064" s="233">
        <v>1</v>
      </c>
      <c r="D3064" s="234">
        <v>3</v>
      </c>
      <c r="E3064" s="234">
        <v>5</v>
      </c>
      <c r="F3064" s="125"/>
      <c r="G3064" s="508" t="s">
        <v>2133</v>
      </c>
      <c r="H3064" s="493" t="s">
        <v>1238</v>
      </c>
      <c r="I3064" s="460" t="s">
        <v>6360</v>
      </c>
      <c r="J3064" s="495" t="s">
        <v>2963</v>
      </c>
      <c r="K3064" s="496" t="s">
        <v>641</v>
      </c>
      <c r="L3064" s="497" t="e">
        <v>#REF!</v>
      </c>
      <c r="M3064" s="497">
        <v>443.28559999999999</v>
      </c>
      <c r="N3064" s="464"/>
      <c r="O3064" s="498"/>
      <c r="P3064" s="431" t="s">
        <v>6711</v>
      </c>
    </row>
    <row r="3065" spans="1:16" ht="13.9" hidden="1" customHeight="1" outlineLevel="3" x14ac:dyDescent="0.2">
      <c r="A3065" s="233">
        <v>0</v>
      </c>
      <c r="B3065" s="233">
        <v>21</v>
      </c>
      <c r="C3065" s="233">
        <v>1</v>
      </c>
      <c r="D3065" s="234">
        <v>3</v>
      </c>
      <c r="E3065" s="234">
        <v>6</v>
      </c>
      <c r="F3065" s="125"/>
      <c r="G3065" s="508" t="s">
        <v>2133</v>
      </c>
      <c r="H3065" s="493" t="s">
        <v>1238</v>
      </c>
      <c r="I3065" s="460" t="s">
        <v>6361</v>
      </c>
      <c r="J3065" s="495" t="s">
        <v>2697</v>
      </c>
      <c r="K3065" s="496" t="s">
        <v>787</v>
      </c>
      <c r="L3065" s="497" t="e">
        <v>#REF!</v>
      </c>
      <c r="M3065" s="497">
        <v>173.83200000000002</v>
      </c>
      <c r="N3065" s="464"/>
      <c r="O3065" s="498"/>
      <c r="P3065" s="431" t="s">
        <v>6711</v>
      </c>
    </row>
    <row r="3066" spans="1:16" ht="13.9" hidden="1" customHeight="1" outlineLevel="3" x14ac:dyDescent="0.2">
      <c r="A3066" s="233">
        <v>0</v>
      </c>
      <c r="B3066" s="233">
        <v>21</v>
      </c>
      <c r="C3066" s="233">
        <v>1</v>
      </c>
      <c r="D3066" s="234">
        <v>3</v>
      </c>
      <c r="E3066" s="234">
        <v>7</v>
      </c>
      <c r="F3066" s="125"/>
      <c r="G3066" s="508" t="s">
        <v>2133</v>
      </c>
      <c r="H3066" s="493" t="s">
        <v>1238</v>
      </c>
      <c r="I3066" s="460" t="s">
        <v>6362</v>
      </c>
      <c r="J3066" s="495" t="s">
        <v>2676</v>
      </c>
      <c r="K3066" s="496" t="s">
        <v>641</v>
      </c>
      <c r="L3066" s="497" t="e">
        <v>#REF!</v>
      </c>
      <c r="M3066" s="497">
        <v>1843.3440000000001</v>
      </c>
      <c r="N3066" s="464"/>
      <c r="O3066" s="498"/>
      <c r="P3066" s="431" t="s">
        <v>6711</v>
      </c>
    </row>
    <row r="3067" spans="1:16" ht="13.9" hidden="1" customHeight="1" outlineLevel="3" x14ac:dyDescent="0.2">
      <c r="A3067" s="233">
        <v>0</v>
      </c>
      <c r="B3067" s="233">
        <v>21</v>
      </c>
      <c r="C3067" s="233">
        <v>1</v>
      </c>
      <c r="D3067" s="234">
        <v>3</v>
      </c>
      <c r="E3067" s="234">
        <v>8</v>
      </c>
      <c r="F3067" s="125"/>
      <c r="G3067" s="508" t="s">
        <v>2133</v>
      </c>
      <c r="H3067" s="493" t="s">
        <v>1238</v>
      </c>
      <c r="I3067" s="460" t="s">
        <v>6363</v>
      </c>
      <c r="J3067" s="495" t="s">
        <v>2954</v>
      </c>
      <c r="K3067" s="496" t="s">
        <v>641</v>
      </c>
      <c r="L3067" s="497" t="e">
        <v>#REF!</v>
      </c>
      <c r="M3067" s="497">
        <v>807.74</v>
      </c>
      <c r="N3067" s="464"/>
      <c r="O3067" s="498"/>
      <c r="P3067" s="431" t="s">
        <v>6711</v>
      </c>
    </row>
    <row r="3068" spans="1:16" ht="13.9" hidden="1" customHeight="1" outlineLevel="3" x14ac:dyDescent="0.2">
      <c r="A3068" s="233">
        <v>0</v>
      </c>
      <c r="B3068" s="233">
        <v>21</v>
      </c>
      <c r="C3068" s="233">
        <v>1</v>
      </c>
      <c r="D3068" s="234">
        <v>3</v>
      </c>
      <c r="E3068" s="234">
        <v>9</v>
      </c>
      <c r="F3068" s="125"/>
      <c r="G3068" s="508" t="s">
        <v>2133</v>
      </c>
      <c r="H3068" s="493" t="s">
        <v>1238</v>
      </c>
      <c r="I3068" s="460" t="s">
        <v>6364</v>
      </c>
      <c r="J3068" s="495" t="s">
        <v>2955</v>
      </c>
      <c r="K3068" s="496" t="s">
        <v>641</v>
      </c>
      <c r="L3068" s="497" t="e">
        <v>#REF!</v>
      </c>
      <c r="M3068" s="497">
        <v>172.02560000000003</v>
      </c>
      <c r="N3068" s="464"/>
      <c r="O3068" s="498" t="s">
        <v>2964</v>
      </c>
      <c r="P3068" s="431" t="s">
        <v>6711</v>
      </c>
    </row>
    <row r="3069" spans="1:16" ht="13.9" hidden="1" customHeight="1" outlineLevel="3" x14ac:dyDescent="0.2">
      <c r="A3069" s="233">
        <v>0</v>
      </c>
      <c r="B3069" s="233">
        <v>21</v>
      </c>
      <c r="C3069" s="233">
        <v>1</v>
      </c>
      <c r="D3069" s="234">
        <v>3</v>
      </c>
      <c r="E3069" s="234">
        <v>10</v>
      </c>
      <c r="F3069" s="125"/>
      <c r="G3069" s="508" t="s">
        <v>2133</v>
      </c>
      <c r="H3069" s="493" t="s">
        <v>1238</v>
      </c>
      <c r="I3069" s="460" t="s">
        <v>6365</v>
      </c>
      <c r="J3069" s="495" t="s">
        <v>2956</v>
      </c>
      <c r="K3069" s="496" t="s">
        <v>787</v>
      </c>
      <c r="L3069" s="497" t="e">
        <v>#REF!</v>
      </c>
      <c r="M3069" s="497">
        <v>130.09937545454545</v>
      </c>
      <c r="N3069" s="464"/>
      <c r="O3069" s="498" t="s">
        <v>1601</v>
      </c>
      <c r="P3069" s="431" t="s">
        <v>6711</v>
      </c>
    </row>
    <row r="3070" spans="1:16" ht="13.9" hidden="1" customHeight="1" outlineLevel="3" x14ac:dyDescent="0.2">
      <c r="A3070" s="233">
        <v>0</v>
      </c>
      <c r="B3070" s="233">
        <v>21</v>
      </c>
      <c r="C3070" s="233">
        <v>1</v>
      </c>
      <c r="D3070" s="234">
        <v>3</v>
      </c>
      <c r="E3070" s="234">
        <v>11</v>
      </c>
      <c r="F3070" s="125"/>
      <c r="G3070" s="508" t="s">
        <v>2133</v>
      </c>
      <c r="H3070" s="493" t="s">
        <v>1238</v>
      </c>
      <c r="I3070" s="460" t="s">
        <v>6366</v>
      </c>
      <c r="J3070" s="495" t="s">
        <v>2678</v>
      </c>
      <c r="K3070" s="496" t="s">
        <v>641</v>
      </c>
      <c r="L3070" s="497" t="e">
        <v>#REF!</v>
      </c>
      <c r="M3070" s="497">
        <v>164.30200000000002</v>
      </c>
      <c r="N3070" s="464"/>
      <c r="O3070" s="498"/>
      <c r="P3070" s="431" t="s">
        <v>6711</v>
      </c>
    </row>
    <row r="3071" spans="1:16" ht="13.9" hidden="1" customHeight="1" outlineLevel="3" x14ac:dyDescent="0.2">
      <c r="A3071" s="233">
        <v>0</v>
      </c>
      <c r="B3071" s="233">
        <v>21</v>
      </c>
      <c r="C3071" s="233">
        <v>1</v>
      </c>
      <c r="D3071" s="234">
        <v>3</v>
      </c>
      <c r="E3071" s="234">
        <v>12</v>
      </c>
      <c r="F3071" s="125"/>
      <c r="G3071" s="508" t="s">
        <v>2133</v>
      </c>
      <c r="H3071" s="493" t="s">
        <v>1238</v>
      </c>
      <c r="I3071" s="460" t="s">
        <v>6367</v>
      </c>
      <c r="J3071" s="495" t="s">
        <v>2408</v>
      </c>
      <c r="K3071" s="496" t="s">
        <v>641</v>
      </c>
      <c r="L3071" s="497" t="e">
        <v>#REF!</v>
      </c>
      <c r="M3071" s="497">
        <v>1448.2455000000002</v>
      </c>
      <c r="N3071" s="464"/>
      <c r="O3071" s="498"/>
      <c r="P3071" s="431" t="s">
        <v>6711</v>
      </c>
    </row>
    <row r="3072" spans="1:16" ht="13.9" hidden="1" customHeight="1" outlineLevel="3" x14ac:dyDescent="0.2">
      <c r="A3072" s="233">
        <v>0</v>
      </c>
      <c r="B3072" s="233">
        <v>21</v>
      </c>
      <c r="C3072" s="233">
        <v>1</v>
      </c>
      <c r="D3072" s="234">
        <v>3</v>
      </c>
      <c r="E3072" s="234">
        <v>13</v>
      </c>
      <c r="F3072" s="125"/>
      <c r="G3072" s="508" t="s">
        <v>2133</v>
      </c>
      <c r="H3072" s="493" t="s">
        <v>1238</v>
      </c>
      <c r="I3072" s="460" t="s">
        <v>6368</v>
      </c>
      <c r="J3072" s="495" t="s">
        <v>2404</v>
      </c>
      <c r="K3072" s="496" t="s">
        <v>641</v>
      </c>
      <c r="L3072" s="497" t="e">
        <v>#REF!</v>
      </c>
      <c r="M3072" s="497">
        <v>898.24550000000011</v>
      </c>
      <c r="N3072" s="464"/>
      <c r="O3072" s="498"/>
      <c r="P3072" s="431" t="s">
        <v>6711</v>
      </c>
    </row>
    <row r="3073" spans="1:16" ht="13.9" hidden="1" customHeight="1" outlineLevel="2" x14ac:dyDescent="0.2">
      <c r="A3073" s="233">
        <v>0</v>
      </c>
      <c r="B3073" s="233">
        <v>21</v>
      </c>
      <c r="C3073" s="233">
        <v>1</v>
      </c>
      <c r="D3073" s="234">
        <v>4</v>
      </c>
      <c r="E3073" s="234">
        <v>0</v>
      </c>
      <c r="F3073" s="125"/>
      <c r="G3073" s="507"/>
      <c r="H3073" s="487" t="s">
        <v>1237</v>
      </c>
      <c r="I3073" s="452" t="s">
        <v>6369</v>
      </c>
      <c r="J3073" s="489" t="s">
        <v>1262</v>
      </c>
      <c r="K3073" s="490"/>
      <c r="L3073" s="491"/>
      <c r="M3073" s="491"/>
      <c r="N3073" s="456"/>
      <c r="O3073" s="492"/>
      <c r="P3073" s="430"/>
    </row>
    <row r="3074" spans="1:16" ht="13.9" hidden="1" customHeight="1" outlineLevel="3" x14ac:dyDescent="0.2">
      <c r="A3074" s="233">
        <v>0</v>
      </c>
      <c r="B3074" s="233">
        <v>21</v>
      </c>
      <c r="C3074" s="233">
        <v>1</v>
      </c>
      <c r="D3074" s="234">
        <v>4</v>
      </c>
      <c r="E3074" s="234">
        <v>1</v>
      </c>
      <c r="F3074" s="125"/>
      <c r="G3074" s="508" t="s">
        <v>2133</v>
      </c>
      <c r="H3074" s="493" t="s">
        <v>1238</v>
      </c>
      <c r="I3074" s="460" t="s">
        <v>6370</v>
      </c>
      <c r="J3074" s="495" t="s">
        <v>923</v>
      </c>
      <c r="K3074" s="496" t="s">
        <v>641</v>
      </c>
      <c r="L3074" s="497" t="e">
        <v>#REF!</v>
      </c>
      <c r="M3074" s="497">
        <v>62</v>
      </c>
      <c r="N3074" s="464"/>
      <c r="O3074" s="498"/>
      <c r="P3074" s="431" t="s">
        <v>6711</v>
      </c>
    </row>
    <row r="3075" spans="1:16" ht="13.9" hidden="1" customHeight="1" outlineLevel="3" x14ac:dyDescent="0.2">
      <c r="A3075" s="233">
        <v>0</v>
      </c>
      <c r="B3075" s="233">
        <v>21</v>
      </c>
      <c r="C3075" s="233">
        <v>1</v>
      </c>
      <c r="D3075" s="234">
        <v>4</v>
      </c>
      <c r="E3075" s="234">
        <v>2</v>
      </c>
      <c r="F3075" s="125"/>
      <c r="G3075" s="508" t="s">
        <v>2133</v>
      </c>
      <c r="H3075" s="493" t="s">
        <v>1238</v>
      </c>
      <c r="I3075" s="460" t="s">
        <v>6371</v>
      </c>
      <c r="J3075" s="495" t="s">
        <v>926</v>
      </c>
      <c r="K3075" s="496" t="s">
        <v>641</v>
      </c>
      <c r="L3075" s="497" t="e">
        <v>#REF!</v>
      </c>
      <c r="M3075" s="497">
        <v>95</v>
      </c>
      <c r="N3075" s="464"/>
      <c r="O3075" s="498"/>
      <c r="P3075" s="431" t="s">
        <v>6711</v>
      </c>
    </row>
    <row r="3076" spans="1:16" ht="13.9" hidden="1" customHeight="1" outlineLevel="3" x14ac:dyDescent="0.2">
      <c r="A3076" s="233">
        <v>0</v>
      </c>
      <c r="B3076" s="233">
        <v>21</v>
      </c>
      <c r="C3076" s="233">
        <v>1</v>
      </c>
      <c r="D3076" s="234">
        <v>4</v>
      </c>
      <c r="E3076" s="234">
        <v>3</v>
      </c>
      <c r="F3076" s="125"/>
      <c r="G3076" s="508" t="s">
        <v>2133</v>
      </c>
      <c r="H3076" s="493" t="s">
        <v>1238</v>
      </c>
      <c r="I3076" s="460" t="s">
        <v>6372</v>
      </c>
      <c r="J3076" s="495" t="s">
        <v>927</v>
      </c>
      <c r="K3076" s="496" t="s">
        <v>641</v>
      </c>
      <c r="L3076" s="497" t="e">
        <v>#REF!</v>
      </c>
      <c r="M3076" s="497">
        <v>85</v>
      </c>
      <c r="N3076" s="464"/>
      <c r="O3076" s="498"/>
      <c r="P3076" s="431" t="s">
        <v>6711</v>
      </c>
    </row>
    <row r="3077" spans="1:16" ht="13.9" hidden="1" customHeight="1" outlineLevel="3" x14ac:dyDescent="0.2">
      <c r="A3077" s="233">
        <v>0</v>
      </c>
      <c r="B3077" s="233">
        <v>21</v>
      </c>
      <c r="C3077" s="233">
        <v>1</v>
      </c>
      <c r="D3077" s="234">
        <v>4</v>
      </c>
      <c r="E3077" s="234">
        <v>4</v>
      </c>
      <c r="F3077" s="125"/>
      <c r="G3077" s="508" t="s">
        <v>2133</v>
      </c>
      <c r="H3077" s="493" t="s">
        <v>1238</v>
      </c>
      <c r="I3077" s="460" t="s">
        <v>6373</v>
      </c>
      <c r="J3077" s="495" t="s">
        <v>2684</v>
      </c>
      <c r="K3077" s="496" t="s">
        <v>787</v>
      </c>
      <c r="L3077" s="497" t="e">
        <v>#REF!</v>
      </c>
      <c r="M3077" s="497">
        <v>120</v>
      </c>
      <c r="N3077" s="464"/>
      <c r="O3077" s="498"/>
      <c r="P3077" s="431" t="s">
        <v>6711</v>
      </c>
    </row>
    <row r="3078" spans="1:16" ht="13.9" hidden="1" customHeight="1" outlineLevel="3" x14ac:dyDescent="0.2">
      <c r="A3078" s="233">
        <v>0</v>
      </c>
      <c r="B3078" s="233">
        <v>21</v>
      </c>
      <c r="C3078" s="233">
        <v>1</v>
      </c>
      <c r="D3078" s="234">
        <v>4</v>
      </c>
      <c r="E3078" s="234">
        <v>5</v>
      </c>
      <c r="F3078" s="125"/>
      <c r="G3078" s="508" t="s">
        <v>2133</v>
      </c>
      <c r="H3078" s="493" t="s">
        <v>1238</v>
      </c>
      <c r="I3078" s="460" t="s">
        <v>6374</v>
      </c>
      <c r="J3078" s="495" t="s">
        <v>2685</v>
      </c>
      <c r="K3078" s="496" t="s">
        <v>641</v>
      </c>
      <c r="L3078" s="497" t="e">
        <v>#REF!</v>
      </c>
      <c r="M3078" s="497">
        <v>95</v>
      </c>
      <c r="N3078" s="464"/>
      <c r="O3078" s="498"/>
      <c r="P3078" s="431" t="s">
        <v>6711</v>
      </c>
    </row>
    <row r="3079" spans="1:16" ht="13.9" hidden="1" customHeight="1" outlineLevel="3" x14ac:dyDescent="0.2">
      <c r="A3079" s="233">
        <v>0</v>
      </c>
      <c r="B3079" s="233">
        <v>21</v>
      </c>
      <c r="C3079" s="233">
        <v>1</v>
      </c>
      <c r="D3079" s="234">
        <v>4</v>
      </c>
      <c r="E3079" s="234">
        <v>6</v>
      </c>
      <c r="F3079" s="125"/>
      <c r="G3079" s="508" t="s">
        <v>2133</v>
      </c>
      <c r="H3079" s="493" t="s">
        <v>1238</v>
      </c>
      <c r="I3079" s="460" t="s">
        <v>6375</v>
      </c>
      <c r="J3079" s="495" t="s">
        <v>924</v>
      </c>
      <c r="K3079" s="496" t="s">
        <v>641</v>
      </c>
      <c r="L3079" s="497" t="e">
        <v>#REF!</v>
      </c>
      <c r="M3079" s="497">
        <v>58</v>
      </c>
      <c r="N3079" s="464"/>
      <c r="O3079" s="498"/>
      <c r="P3079" s="431" t="s">
        <v>6711</v>
      </c>
    </row>
    <row r="3080" spans="1:16" ht="13.9" hidden="1" customHeight="1" outlineLevel="3" x14ac:dyDescent="0.2">
      <c r="A3080" s="233">
        <v>0</v>
      </c>
      <c r="B3080" s="233">
        <v>21</v>
      </c>
      <c r="C3080" s="233">
        <v>1</v>
      </c>
      <c r="D3080" s="234">
        <v>4</v>
      </c>
      <c r="E3080" s="234">
        <v>7</v>
      </c>
      <c r="F3080" s="125"/>
      <c r="G3080" s="508" t="s">
        <v>2133</v>
      </c>
      <c r="H3080" s="493" t="s">
        <v>1238</v>
      </c>
      <c r="I3080" s="460" t="s">
        <v>6376</v>
      </c>
      <c r="J3080" s="495" t="s">
        <v>925</v>
      </c>
      <c r="K3080" s="496" t="s">
        <v>641</v>
      </c>
      <c r="L3080" s="497" t="e">
        <v>#REF!</v>
      </c>
      <c r="M3080" s="497">
        <v>58</v>
      </c>
      <c r="N3080" s="464"/>
      <c r="O3080" s="498"/>
      <c r="P3080" s="431" t="s">
        <v>6711</v>
      </c>
    </row>
    <row r="3081" spans="1:16" ht="13.9" hidden="1" customHeight="1" outlineLevel="1" x14ac:dyDescent="0.2">
      <c r="A3081" s="233">
        <v>0</v>
      </c>
      <c r="B3081" s="233">
        <v>21</v>
      </c>
      <c r="C3081" s="233">
        <v>2</v>
      </c>
      <c r="D3081" s="234">
        <v>0</v>
      </c>
      <c r="E3081" s="234">
        <v>7</v>
      </c>
      <c r="F3081" s="125"/>
      <c r="G3081" s="506"/>
      <c r="H3081" s="481" t="s">
        <v>38</v>
      </c>
      <c r="I3081" s="445" t="s">
        <v>6377</v>
      </c>
      <c r="J3081" s="483" t="s">
        <v>2687</v>
      </c>
      <c r="K3081" s="484"/>
      <c r="L3081" s="485"/>
      <c r="M3081" s="485"/>
      <c r="N3081" s="449"/>
      <c r="O3081" s="486"/>
      <c r="P3081" s="435"/>
    </row>
    <row r="3082" spans="1:16" ht="13.9" hidden="1" customHeight="1" outlineLevel="2" x14ac:dyDescent="0.2">
      <c r="A3082" s="233">
        <v>0</v>
      </c>
      <c r="B3082" s="233">
        <v>21</v>
      </c>
      <c r="C3082" s="233">
        <v>2</v>
      </c>
      <c r="D3082" s="234">
        <v>1</v>
      </c>
      <c r="E3082" s="234">
        <v>0</v>
      </c>
      <c r="F3082" s="125"/>
      <c r="G3082" s="507"/>
      <c r="H3082" s="487" t="s">
        <v>1237</v>
      </c>
      <c r="I3082" s="452" t="s">
        <v>6378</v>
      </c>
      <c r="J3082" s="489" t="s">
        <v>2356</v>
      </c>
      <c r="K3082" s="490"/>
      <c r="L3082" s="491"/>
      <c r="M3082" s="491"/>
      <c r="N3082" s="456"/>
      <c r="O3082" s="492"/>
      <c r="P3082" s="430"/>
    </row>
    <row r="3083" spans="1:16" ht="13.9" hidden="1" customHeight="1" outlineLevel="3" x14ac:dyDescent="0.2">
      <c r="A3083" s="233">
        <v>0</v>
      </c>
      <c r="B3083" s="233">
        <v>21</v>
      </c>
      <c r="C3083" s="233">
        <v>2</v>
      </c>
      <c r="D3083" s="234">
        <v>1</v>
      </c>
      <c r="E3083" s="234">
        <v>1</v>
      </c>
      <c r="F3083" s="125"/>
      <c r="G3083" s="508" t="s">
        <v>2133</v>
      </c>
      <c r="H3083" s="493" t="s">
        <v>1238</v>
      </c>
      <c r="I3083" s="460" t="s">
        <v>6379</v>
      </c>
      <c r="J3083" s="495" t="s">
        <v>893</v>
      </c>
      <c r="K3083" s="496" t="s">
        <v>641</v>
      </c>
      <c r="L3083" s="497" t="e">
        <v>#REF!</v>
      </c>
      <c r="M3083" s="497">
        <v>10.11778</v>
      </c>
      <c r="N3083" s="464"/>
      <c r="O3083" s="498"/>
      <c r="P3083" s="431" t="s">
        <v>6711</v>
      </c>
    </row>
    <row r="3084" spans="1:16" ht="13.9" hidden="1" customHeight="1" outlineLevel="3" x14ac:dyDescent="0.2">
      <c r="A3084" s="233">
        <v>0</v>
      </c>
      <c r="B3084" s="233">
        <v>21</v>
      </c>
      <c r="C3084" s="233">
        <v>2</v>
      </c>
      <c r="D3084" s="234">
        <v>1</v>
      </c>
      <c r="E3084" s="234">
        <v>2</v>
      </c>
      <c r="F3084" s="125"/>
      <c r="G3084" s="508" t="s">
        <v>2133</v>
      </c>
      <c r="H3084" s="493" t="s">
        <v>1238</v>
      </c>
      <c r="I3084" s="460" t="s">
        <v>6380</v>
      </c>
      <c r="J3084" s="495" t="s">
        <v>853</v>
      </c>
      <c r="K3084" s="496" t="s">
        <v>641</v>
      </c>
      <c r="L3084" s="497" t="e">
        <v>#REF!</v>
      </c>
      <c r="M3084" s="497">
        <v>3.28945</v>
      </c>
      <c r="N3084" s="464"/>
      <c r="O3084" s="498"/>
      <c r="P3084" s="431" t="s">
        <v>6711</v>
      </c>
    </row>
    <row r="3085" spans="1:16" ht="13.9" hidden="1" customHeight="1" outlineLevel="3" x14ac:dyDescent="0.2">
      <c r="A3085" s="233">
        <v>0</v>
      </c>
      <c r="B3085" s="233">
        <v>21</v>
      </c>
      <c r="C3085" s="233">
        <v>2</v>
      </c>
      <c r="D3085" s="234">
        <v>1</v>
      </c>
      <c r="E3085" s="234">
        <v>3</v>
      </c>
      <c r="F3085" s="125"/>
      <c r="G3085" s="508" t="s">
        <v>2133</v>
      </c>
      <c r="H3085" s="493" t="s">
        <v>1238</v>
      </c>
      <c r="I3085" s="460" t="s">
        <v>6381</v>
      </c>
      <c r="J3085" s="495" t="s">
        <v>852</v>
      </c>
      <c r="K3085" s="496" t="s">
        <v>641</v>
      </c>
      <c r="L3085" s="497" t="e">
        <v>#REF!</v>
      </c>
      <c r="M3085" s="497">
        <v>10.893750000000001</v>
      </c>
      <c r="N3085" s="464"/>
      <c r="O3085" s="498"/>
      <c r="P3085" s="431" t="s">
        <v>6711</v>
      </c>
    </row>
    <row r="3086" spans="1:16" ht="13.9" hidden="1" customHeight="1" outlineLevel="2" x14ac:dyDescent="0.2">
      <c r="A3086" s="233">
        <v>0</v>
      </c>
      <c r="B3086" s="233">
        <v>21</v>
      </c>
      <c r="C3086" s="233">
        <v>2</v>
      </c>
      <c r="D3086" s="234">
        <v>2</v>
      </c>
      <c r="E3086" s="234">
        <v>0</v>
      </c>
      <c r="F3086" s="125"/>
      <c r="G3086" s="507"/>
      <c r="H3086" s="487" t="s">
        <v>1237</v>
      </c>
      <c r="I3086" s="452" t="s">
        <v>6382</v>
      </c>
      <c r="J3086" s="489" t="s">
        <v>2357</v>
      </c>
      <c r="K3086" s="490"/>
      <c r="L3086" s="491"/>
      <c r="M3086" s="491"/>
      <c r="N3086" s="456"/>
      <c r="O3086" s="492"/>
      <c r="P3086" s="430"/>
    </row>
    <row r="3087" spans="1:16" ht="13.9" hidden="1" customHeight="1" outlineLevel="3" x14ac:dyDescent="0.2">
      <c r="A3087" s="233">
        <v>0</v>
      </c>
      <c r="B3087" s="233">
        <v>21</v>
      </c>
      <c r="C3087" s="233">
        <v>2</v>
      </c>
      <c r="D3087" s="234">
        <v>2</v>
      </c>
      <c r="E3087" s="234">
        <v>1</v>
      </c>
      <c r="F3087" s="125"/>
      <c r="G3087" s="508" t="s">
        <v>2133</v>
      </c>
      <c r="H3087" s="493" t="s">
        <v>1238</v>
      </c>
      <c r="I3087" s="460" t="s">
        <v>6383</v>
      </c>
      <c r="J3087" s="495" t="s">
        <v>2961</v>
      </c>
      <c r="K3087" s="496" t="s">
        <v>641</v>
      </c>
      <c r="L3087" s="497" t="e">
        <v>#REF!</v>
      </c>
      <c r="M3087" s="497">
        <v>1102</v>
      </c>
      <c r="N3087" s="464"/>
      <c r="O3087" s="498"/>
      <c r="P3087" s="431" t="s">
        <v>6711</v>
      </c>
    </row>
    <row r="3088" spans="1:16" ht="13.9" hidden="1" customHeight="1" outlineLevel="3" x14ac:dyDescent="0.2">
      <c r="A3088" s="233">
        <v>0</v>
      </c>
      <c r="B3088" s="233">
        <v>21</v>
      </c>
      <c r="C3088" s="233">
        <v>2</v>
      </c>
      <c r="D3088" s="234">
        <v>2</v>
      </c>
      <c r="E3088" s="234">
        <v>2</v>
      </c>
      <c r="F3088" s="125"/>
      <c r="G3088" s="508" t="s">
        <v>2133</v>
      </c>
      <c r="H3088" s="493" t="s">
        <v>1238</v>
      </c>
      <c r="I3088" s="460" t="s">
        <v>6384</v>
      </c>
      <c r="J3088" s="495" t="s">
        <v>2962</v>
      </c>
      <c r="K3088" s="496" t="s">
        <v>787</v>
      </c>
      <c r="L3088" s="497" t="e">
        <v>#REF!</v>
      </c>
      <c r="M3088" s="497">
        <v>211.47737545454549</v>
      </c>
      <c r="N3088" s="464"/>
      <c r="O3088" s="498"/>
      <c r="P3088" s="431" t="s">
        <v>6711</v>
      </c>
    </row>
    <row r="3089" spans="1:16" ht="13.9" hidden="1" customHeight="1" outlineLevel="3" x14ac:dyDescent="0.2">
      <c r="A3089" s="233">
        <v>0</v>
      </c>
      <c r="B3089" s="233">
        <v>21</v>
      </c>
      <c r="C3089" s="233">
        <v>2</v>
      </c>
      <c r="D3089" s="234">
        <v>2</v>
      </c>
      <c r="E3089" s="234">
        <v>3</v>
      </c>
      <c r="F3089" s="125"/>
      <c r="G3089" s="508" t="s">
        <v>2133</v>
      </c>
      <c r="H3089" s="493" t="s">
        <v>1238</v>
      </c>
      <c r="I3089" s="460" t="s">
        <v>6385</v>
      </c>
      <c r="J3089" s="495" t="s">
        <v>2957</v>
      </c>
      <c r="K3089" s="496" t="s">
        <v>787</v>
      </c>
      <c r="L3089" s="497" t="e">
        <v>#REF!</v>
      </c>
      <c r="M3089" s="497">
        <v>150.38018545454545</v>
      </c>
      <c r="N3089" s="464"/>
      <c r="O3089" s="498"/>
      <c r="P3089" s="431" t="s">
        <v>6711</v>
      </c>
    </row>
    <row r="3090" spans="1:16" ht="13.9" hidden="1" customHeight="1" outlineLevel="3" x14ac:dyDescent="0.2">
      <c r="A3090" s="233">
        <v>0</v>
      </c>
      <c r="B3090" s="233">
        <v>21</v>
      </c>
      <c r="C3090" s="233">
        <v>2</v>
      </c>
      <c r="D3090" s="234">
        <v>2</v>
      </c>
      <c r="E3090" s="234">
        <v>4</v>
      </c>
      <c r="F3090" s="125"/>
      <c r="G3090" s="508" t="s">
        <v>2133</v>
      </c>
      <c r="H3090" s="493" t="s">
        <v>1238</v>
      </c>
      <c r="I3090" s="460" t="s">
        <v>6386</v>
      </c>
      <c r="J3090" s="495" t="s">
        <v>2963</v>
      </c>
      <c r="K3090" s="496" t="s">
        <v>641</v>
      </c>
      <c r="L3090" s="497" t="e">
        <v>#REF!</v>
      </c>
      <c r="M3090" s="497">
        <v>443.28559999999999</v>
      </c>
      <c r="N3090" s="464"/>
      <c r="O3090" s="498"/>
      <c r="P3090" s="431" t="s">
        <v>6711</v>
      </c>
    </row>
    <row r="3091" spans="1:16" ht="13.9" hidden="1" customHeight="1" outlineLevel="3" x14ac:dyDescent="0.2">
      <c r="A3091" s="233">
        <v>0</v>
      </c>
      <c r="B3091" s="233">
        <v>21</v>
      </c>
      <c r="C3091" s="233">
        <v>2</v>
      </c>
      <c r="D3091" s="234">
        <v>2</v>
      </c>
      <c r="E3091" s="234">
        <v>5</v>
      </c>
      <c r="F3091" s="125"/>
      <c r="G3091" s="508" t="s">
        <v>2133</v>
      </c>
      <c r="H3091" s="493" t="s">
        <v>1238</v>
      </c>
      <c r="I3091" s="460" t="s">
        <v>6387</v>
      </c>
      <c r="J3091" s="495" t="s">
        <v>2954</v>
      </c>
      <c r="K3091" s="496" t="s">
        <v>641</v>
      </c>
      <c r="L3091" s="497" t="e">
        <v>#REF!</v>
      </c>
      <c r="M3091" s="497">
        <v>807.74</v>
      </c>
      <c r="N3091" s="464"/>
      <c r="O3091" s="498"/>
      <c r="P3091" s="431" t="s">
        <v>6711</v>
      </c>
    </row>
    <row r="3092" spans="1:16" ht="13.9" hidden="1" customHeight="1" outlineLevel="3" x14ac:dyDescent="0.2">
      <c r="A3092" s="233">
        <v>0</v>
      </c>
      <c r="B3092" s="233">
        <v>21</v>
      </c>
      <c r="C3092" s="233">
        <v>2</v>
      </c>
      <c r="D3092" s="234">
        <v>2</v>
      </c>
      <c r="E3092" s="234">
        <v>6</v>
      </c>
      <c r="F3092" s="125"/>
      <c r="G3092" s="508" t="s">
        <v>2133</v>
      </c>
      <c r="H3092" s="493" t="s">
        <v>1238</v>
      </c>
      <c r="I3092" s="460" t="s">
        <v>6388</v>
      </c>
      <c r="J3092" s="495" t="s">
        <v>2955</v>
      </c>
      <c r="K3092" s="496" t="s">
        <v>641</v>
      </c>
      <c r="L3092" s="497" t="e">
        <v>#REF!</v>
      </c>
      <c r="M3092" s="497">
        <v>172.02560000000003</v>
      </c>
      <c r="N3092" s="464"/>
      <c r="O3092" s="498" t="s">
        <v>2964</v>
      </c>
      <c r="P3092" s="431" t="s">
        <v>6711</v>
      </c>
    </row>
    <row r="3093" spans="1:16" ht="13.9" hidden="1" customHeight="1" outlineLevel="3" x14ac:dyDescent="0.2">
      <c r="A3093" s="233">
        <v>0</v>
      </c>
      <c r="B3093" s="233">
        <v>21</v>
      </c>
      <c r="C3093" s="233">
        <v>2</v>
      </c>
      <c r="D3093" s="234">
        <v>2</v>
      </c>
      <c r="E3093" s="234">
        <v>7</v>
      </c>
      <c r="F3093" s="125"/>
      <c r="G3093" s="508" t="s">
        <v>2133</v>
      </c>
      <c r="H3093" s="493" t="s">
        <v>1238</v>
      </c>
      <c r="I3093" s="460" t="s">
        <v>6389</v>
      </c>
      <c r="J3093" s="495" t="s">
        <v>2956</v>
      </c>
      <c r="K3093" s="496" t="s">
        <v>787</v>
      </c>
      <c r="L3093" s="497" t="e">
        <v>#REF!</v>
      </c>
      <c r="M3093" s="497">
        <v>130.09937545454545</v>
      </c>
      <c r="N3093" s="464"/>
      <c r="O3093" s="498" t="s">
        <v>1601</v>
      </c>
      <c r="P3093" s="431" t="s">
        <v>6711</v>
      </c>
    </row>
    <row r="3094" spans="1:16" ht="13.9" hidden="1" customHeight="1" outlineLevel="3" x14ac:dyDescent="0.2">
      <c r="A3094" s="233">
        <v>0</v>
      </c>
      <c r="B3094" s="233">
        <v>21</v>
      </c>
      <c r="C3094" s="233">
        <v>2</v>
      </c>
      <c r="D3094" s="234">
        <v>2</v>
      </c>
      <c r="E3094" s="234">
        <v>8</v>
      </c>
      <c r="F3094" s="125"/>
      <c r="G3094" s="508" t="s">
        <v>2133</v>
      </c>
      <c r="H3094" s="493" t="s">
        <v>1238</v>
      </c>
      <c r="I3094" s="460" t="s">
        <v>6390</v>
      </c>
      <c r="J3094" s="495" t="s">
        <v>2678</v>
      </c>
      <c r="K3094" s="496" t="s">
        <v>641</v>
      </c>
      <c r="L3094" s="497" t="e">
        <v>#REF!</v>
      </c>
      <c r="M3094" s="497">
        <v>164.30200000000002</v>
      </c>
      <c r="N3094" s="464"/>
      <c r="O3094" s="498"/>
      <c r="P3094" s="431" t="s">
        <v>6711</v>
      </c>
    </row>
    <row r="3095" spans="1:16" ht="13.9" hidden="1" customHeight="1" outlineLevel="2" x14ac:dyDescent="0.2">
      <c r="A3095" s="233">
        <v>0</v>
      </c>
      <c r="B3095" s="233">
        <v>21</v>
      </c>
      <c r="C3095" s="233">
        <v>2</v>
      </c>
      <c r="D3095" s="234">
        <v>3</v>
      </c>
      <c r="E3095" s="234">
        <v>0</v>
      </c>
      <c r="F3095" s="125"/>
      <c r="G3095" s="507"/>
      <c r="H3095" s="487" t="s">
        <v>1237</v>
      </c>
      <c r="I3095" s="452" t="s">
        <v>6391</v>
      </c>
      <c r="J3095" s="489" t="s">
        <v>1262</v>
      </c>
      <c r="K3095" s="490"/>
      <c r="L3095" s="491"/>
      <c r="M3095" s="491"/>
      <c r="N3095" s="456"/>
      <c r="O3095" s="492"/>
      <c r="P3095" s="430"/>
    </row>
    <row r="3096" spans="1:16" ht="13.9" hidden="1" customHeight="1" outlineLevel="3" x14ac:dyDescent="0.2">
      <c r="A3096" s="233">
        <v>0</v>
      </c>
      <c r="B3096" s="233">
        <v>21</v>
      </c>
      <c r="C3096" s="233">
        <v>2</v>
      </c>
      <c r="D3096" s="234">
        <v>3</v>
      </c>
      <c r="E3096" s="234">
        <v>1</v>
      </c>
      <c r="F3096" s="125"/>
      <c r="G3096" s="508" t="s">
        <v>2133</v>
      </c>
      <c r="H3096" s="493" t="s">
        <v>1238</v>
      </c>
      <c r="I3096" s="460" t="s">
        <v>6392</v>
      </c>
      <c r="J3096" s="495" t="s">
        <v>923</v>
      </c>
      <c r="K3096" s="496" t="s">
        <v>641</v>
      </c>
      <c r="L3096" s="497" t="e">
        <v>#REF!</v>
      </c>
      <c r="M3096" s="497">
        <v>62</v>
      </c>
      <c r="N3096" s="464"/>
      <c r="O3096" s="498"/>
      <c r="P3096" s="431" t="s">
        <v>6711</v>
      </c>
    </row>
    <row r="3097" spans="1:16" ht="13.9" hidden="1" customHeight="1" outlineLevel="3" x14ac:dyDescent="0.2">
      <c r="A3097" s="233">
        <v>0</v>
      </c>
      <c r="B3097" s="233">
        <v>21</v>
      </c>
      <c r="C3097" s="233">
        <v>2</v>
      </c>
      <c r="D3097" s="234">
        <v>3</v>
      </c>
      <c r="E3097" s="234">
        <v>2</v>
      </c>
      <c r="F3097" s="125"/>
      <c r="G3097" s="508" t="s">
        <v>2133</v>
      </c>
      <c r="H3097" s="493" t="s">
        <v>1238</v>
      </c>
      <c r="I3097" s="460" t="s">
        <v>6393</v>
      </c>
      <c r="J3097" s="495" t="s">
        <v>926</v>
      </c>
      <c r="K3097" s="496" t="s">
        <v>641</v>
      </c>
      <c r="L3097" s="497" t="e">
        <v>#REF!</v>
      </c>
      <c r="M3097" s="497">
        <v>95</v>
      </c>
      <c r="N3097" s="464"/>
      <c r="O3097" s="498"/>
      <c r="P3097" s="431" t="s">
        <v>6711</v>
      </c>
    </row>
    <row r="3098" spans="1:16" ht="13.9" hidden="1" customHeight="1" outlineLevel="3" x14ac:dyDescent="0.2">
      <c r="A3098" s="233">
        <v>0</v>
      </c>
      <c r="B3098" s="233">
        <v>21</v>
      </c>
      <c r="C3098" s="233">
        <v>2</v>
      </c>
      <c r="D3098" s="234">
        <v>3</v>
      </c>
      <c r="E3098" s="234">
        <v>3</v>
      </c>
      <c r="F3098" s="125"/>
      <c r="G3098" s="508" t="s">
        <v>2133</v>
      </c>
      <c r="H3098" s="493" t="s">
        <v>1238</v>
      </c>
      <c r="I3098" s="460" t="s">
        <v>6394</v>
      </c>
      <c r="J3098" s="495" t="s">
        <v>927</v>
      </c>
      <c r="K3098" s="496" t="s">
        <v>641</v>
      </c>
      <c r="L3098" s="497" t="e">
        <v>#REF!</v>
      </c>
      <c r="M3098" s="497">
        <v>85</v>
      </c>
      <c r="N3098" s="464"/>
      <c r="O3098" s="498"/>
      <c r="P3098" s="431" t="s">
        <v>6711</v>
      </c>
    </row>
    <row r="3099" spans="1:16" ht="13.9" hidden="1" customHeight="1" outlineLevel="3" x14ac:dyDescent="0.2">
      <c r="A3099" s="233">
        <v>0</v>
      </c>
      <c r="B3099" s="233">
        <v>21</v>
      </c>
      <c r="C3099" s="233">
        <v>2</v>
      </c>
      <c r="D3099" s="234">
        <v>3</v>
      </c>
      <c r="E3099" s="234">
        <v>4</v>
      </c>
      <c r="F3099" s="125"/>
      <c r="G3099" s="508" t="s">
        <v>2133</v>
      </c>
      <c r="H3099" s="493" t="s">
        <v>1238</v>
      </c>
      <c r="I3099" s="460" t="s">
        <v>6395</v>
      </c>
      <c r="J3099" s="495" t="s">
        <v>2684</v>
      </c>
      <c r="K3099" s="496" t="s">
        <v>641</v>
      </c>
      <c r="L3099" s="497" t="e">
        <v>#REF!</v>
      </c>
      <c r="M3099" s="497">
        <v>120</v>
      </c>
      <c r="N3099" s="464"/>
      <c r="O3099" s="498"/>
      <c r="P3099" s="431" t="s">
        <v>6711</v>
      </c>
    </row>
    <row r="3100" spans="1:16" ht="13.9" hidden="1" customHeight="1" outlineLevel="1" x14ac:dyDescent="0.2">
      <c r="A3100" s="233">
        <v>0</v>
      </c>
      <c r="B3100" s="233">
        <v>21</v>
      </c>
      <c r="C3100" s="233">
        <v>3</v>
      </c>
      <c r="D3100" s="234">
        <v>0</v>
      </c>
      <c r="E3100" s="234">
        <v>4</v>
      </c>
      <c r="F3100" s="125"/>
      <c r="G3100" s="506"/>
      <c r="H3100" s="481" t="s">
        <v>38</v>
      </c>
      <c r="I3100" s="445" t="s">
        <v>6396</v>
      </c>
      <c r="J3100" s="483" t="s">
        <v>2688</v>
      </c>
      <c r="K3100" s="484"/>
      <c r="L3100" s="485"/>
      <c r="M3100" s="485"/>
      <c r="N3100" s="449"/>
      <c r="O3100" s="486"/>
      <c r="P3100" s="435"/>
    </row>
    <row r="3101" spans="1:16" ht="13.9" hidden="1" customHeight="1" outlineLevel="2" x14ac:dyDescent="0.2">
      <c r="A3101" s="233">
        <v>0</v>
      </c>
      <c r="B3101" s="233">
        <v>21</v>
      </c>
      <c r="C3101" s="233">
        <v>3</v>
      </c>
      <c r="D3101" s="234">
        <v>1</v>
      </c>
      <c r="E3101" s="234">
        <v>0</v>
      </c>
      <c r="F3101" s="125"/>
      <c r="G3101" s="507"/>
      <c r="H3101" s="487" t="s">
        <v>1237</v>
      </c>
      <c r="I3101" s="452" t="s">
        <v>6397</v>
      </c>
      <c r="J3101" s="489" t="s">
        <v>2356</v>
      </c>
      <c r="K3101" s="490"/>
      <c r="L3101" s="491"/>
      <c r="M3101" s="491"/>
      <c r="N3101" s="456"/>
      <c r="O3101" s="492"/>
      <c r="P3101" s="430"/>
    </row>
    <row r="3102" spans="1:16" ht="13.9" hidden="1" customHeight="1" outlineLevel="3" x14ac:dyDescent="0.2">
      <c r="A3102" s="233">
        <v>0</v>
      </c>
      <c r="B3102" s="233">
        <v>21</v>
      </c>
      <c r="C3102" s="233">
        <v>3</v>
      </c>
      <c r="D3102" s="234">
        <v>1</v>
      </c>
      <c r="E3102" s="234">
        <v>1</v>
      </c>
      <c r="F3102" s="125"/>
      <c r="G3102" s="508" t="s">
        <v>2133</v>
      </c>
      <c r="H3102" s="493" t="s">
        <v>1238</v>
      </c>
      <c r="I3102" s="460" t="s">
        <v>6398</v>
      </c>
      <c r="J3102" s="495" t="s">
        <v>893</v>
      </c>
      <c r="K3102" s="496" t="s">
        <v>641</v>
      </c>
      <c r="L3102" s="497" t="e">
        <v>#REF!</v>
      </c>
      <c r="M3102" s="497">
        <v>10.11778</v>
      </c>
      <c r="N3102" s="464"/>
      <c r="O3102" s="498"/>
      <c r="P3102" s="431" t="s">
        <v>6711</v>
      </c>
    </row>
    <row r="3103" spans="1:16" ht="13.9" hidden="1" customHeight="1" outlineLevel="3" x14ac:dyDescent="0.2">
      <c r="A3103" s="233">
        <v>0</v>
      </c>
      <c r="B3103" s="233">
        <v>21</v>
      </c>
      <c r="C3103" s="233">
        <v>3</v>
      </c>
      <c r="D3103" s="234">
        <v>1</v>
      </c>
      <c r="E3103" s="234">
        <v>2</v>
      </c>
      <c r="F3103" s="125"/>
      <c r="G3103" s="508" t="s">
        <v>2133</v>
      </c>
      <c r="H3103" s="493" t="s">
        <v>1238</v>
      </c>
      <c r="I3103" s="460" t="s">
        <v>6399</v>
      </c>
      <c r="J3103" s="495" t="s">
        <v>853</v>
      </c>
      <c r="K3103" s="496" t="s">
        <v>641</v>
      </c>
      <c r="L3103" s="497" t="e">
        <v>#REF!</v>
      </c>
      <c r="M3103" s="497">
        <v>3.28945</v>
      </c>
      <c r="N3103" s="464"/>
      <c r="O3103" s="498"/>
      <c r="P3103" s="431" t="s">
        <v>6711</v>
      </c>
    </row>
    <row r="3104" spans="1:16" ht="13.9" hidden="1" customHeight="1" outlineLevel="3" x14ac:dyDescent="0.2">
      <c r="A3104" s="233">
        <v>0</v>
      </c>
      <c r="B3104" s="233">
        <v>21</v>
      </c>
      <c r="C3104" s="233">
        <v>3</v>
      </c>
      <c r="D3104" s="234">
        <v>1</v>
      </c>
      <c r="E3104" s="234">
        <v>3</v>
      </c>
      <c r="F3104" s="125"/>
      <c r="G3104" s="508" t="s">
        <v>2133</v>
      </c>
      <c r="H3104" s="493" t="s">
        <v>1238</v>
      </c>
      <c r="I3104" s="460" t="s">
        <v>6400</v>
      </c>
      <c r="J3104" s="495" t="s">
        <v>852</v>
      </c>
      <c r="K3104" s="496" t="s">
        <v>641</v>
      </c>
      <c r="L3104" s="497" t="e">
        <v>#REF!</v>
      </c>
      <c r="M3104" s="497">
        <v>10.893750000000001</v>
      </c>
      <c r="N3104" s="464"/>
      <c r="O3104" s="498"/>
      <c r="P3104" s="431" t="s">
        <v>6711</v>
      </c>
    </row>
    <row r="3105" spans="1:16" ht="13.9" hidden="1" customHeight="1" outlineLevel="2" x14ac:dyDescent="0.2">
      <c r="A3105" s="233">
        <v>0</v>
      </c>
      <c r="B3105" s="233">
        <v>21</v>
      </c>
      <c r="C3105" s="233">
        <v>3</v>
      </c>
      <c r="D3105" s="234">
        <v>2</v>
      </c>
      <c r="E3105" s="234">
        <v>0</v>
      </c>
      <c r="F3105" s="125"/>
      <c r="G3105" s="507"/>
      <c r="H3105" s="487" t="s">
        <v>1237</v>
      </c>
      <c r="I3105" s="452" t="s">
        <v>6401</v>
      </c>
      <c r="J3105" s="489" t="s">
        <v>2282</v>
      </c>
      <c r="K3105" s="490"/>
      <c r="L3105" s="491"/>
      <c r="M3105" s="491"/>
      <c r="N3105" s="456"/>
      <c r="O3105" s="492"/>
      <c r="P3105" s="430"/>
    </row>
    <row r="3106" spans="1:16" ht="12.75" hidden="1" outlineLevel="3" x14ac:dyDescent="0.2">
      <c r="A3106" s="233">
        <v>0</v>
      </c>
      <c r="B3106" s="233">
        <v>21</v>
      </c>
      <c r="C3106" s="233">
        <v>3</v>
      </c>
      <c r="D3106" s="234">
        <v>2</v>
      </c>
      <c r="E3106" s="234">
        <v>1</v>
      </c>
      <c r="F3106" s="125"/>
      <c r="G3106" s="508" t="s">
        <v>2133</v>
      </c>
      <c r="H3106" s="493" t="s">
        <v>1238</v>
      </c>
      <c r="I3106" s="460" t="s">
        <v>6402</v>
      </c>
      <c r="J3106" s="495" t="s">
        <v>2952</v>
      </c>
      <c r="K3106" s="496" t="s">
        <v>641</v>
      </c>
      <c r="L3106" s="497" t="e">
        <v>#REF!</v>
      </c>
      <c r="M3106" s="497">
        <v>68.50855555555556</v>
      </c>
      <c r="N3106" s="464"/>
      <c r="O3106" s="498"/>
      <c r="P3106" s="431" t="s">
        <v>6711</v>
      </c>
    </row>
    <row r="3107" spans="1:16" ht="13.9" hidden="1" customHeight="1" outlineLevel="2" x14ac:dyDescent="0.2">
      <c r="A3107" s="233">
        <v>0</v>
      </c>
      <c r="B3107" s="233">
        <v>21</v>
      </c>
      <c r="C3107" s="233">
        <v>3</v>
      </c>
      <c r="D3107" s="234">
        <v>3</v>
      </c>
      <c r="E3107" s="234">
        <v>0</v>
      </c>
      <c r="F3107" s="125"/>
      <c r="G3107" s="507"/>
      <c r="H3107" s="487" t="s">
        <v>1237</v>
      </c>
      <c r="I3107" s="452" t="s">
        <v>6403</v>
      </c>
      <c r="J3107" s="489" t="s">
        <v>2357</v>
      </c>
      <c r="K3107" s="490"/>
      <c r="L3107" s="491"/>
      <c r="M3107" s="491"/>
      <c r="N3107" s="456"/>
      <c r="O3107" s="492"/>
      <c r="P3107" s="430"/>
    </row>
    <row r="3108" spans="1:16" ht="13.9" hidden="1" customHeight="1" outlineLevel="3" x14ac:dyDescent="0.2">
      <c r="A3108" s="233">
        <v>0</v>
      </c>
      <c r="B3108" s="233">
        <v>21</v>
      </c>
      <c r="C3108" s="233">
        <v>3</v>
      </c>
      <c r="D3108" s="234">
        <v>3</v>
      </c>
      <c r="E3108" s="234">
        <v>1</v>
      </c>
      <c r="F3108" s="125"/>
      <c r="G3108" s="508" t="s">
        <v>2133</v>
      </c>
      <c r="H3108" s="493" t="s">
        <v>1238</v>
      </c>
      <c r="I3108" s="460" t="s">
        <v>6404</v>
      </c>
      <c r="J3108" s="495" t="s">
        <v>2961</v>
      </c>
      <c r="K3108" s="496" t="s">
        <v>641</v>
      </c>
      <c r="L3108" s="497" t="e">
        <v>#REF!</v>
      </c>
      <c r="M3108" s="497">
        <v>1102</v>
      </c>
      <c r="N3108" s="464"/>
      <c r="O3108" s="498"/>
      <c r="P3108" s="431" t="s">
        <v>6711</v>
      </c>
    </row>
    <row r="3109" spans="1:16" ht="13.9" hidden="1" customHeight="1" outlineLevel="3" x14ac:dyDescent="0.2">
      <c r="A3109" s="233">
        <v>0</v>
      </c>
      <c r="B3109" s="233">
        <v>21</v>
      </c>
      <c r="C3109" s="233">
        <v>3</v>
      </c>
      <c r="D3109" s="234">
        <v>3</v>
      </c>
      <c r="E3109" s="234">
        <v>2</v>
      </c>
      <c r="F3109" s="125"/>
      <c r="G3109" s="508" t="s">
        <v>2133</v>
      </c>
      <c r="H3109" s="493" t="s">
        <v>1238</v>
      </c>
      <c r="I3109" s="460" t="s">
        <v>6405</v>
      </c>
      <c r="J3109" s="495" t="s">
        <v>2962</v>
      </c>
      <c r="K3109" s="496" t="s">
        <v>787</v>
      </c>
      <c r="L3109" s="497" t="e">
        <v>#REF!</v>
      </c>
      <c r="M3109" s="497">
        <v>211.47737545454549</v>
      </c>
      <c r="N3109" s="464"/>
      <c r="O3109" s="498"/>
      <c r="P3109" s="431" t="s">
        <v>6711</v>
      </c>
    </row>
    <row r="3110" spans="1:16" ht="13.9" hidden="1" customHeight="1" outlineLevel="3" x14ac:dyDescent="0.2">
      <c r="A3110" s="233">
        <v>0</v>
      </c>
      <c r="B3110" s="233">
        <v>21</v>
      </c>
      <c r="C3110" s="233">
        <v>3</v>
      </c>
      <c r="D3110" s="234">
        <v>3</v>
      </c>
      <c r="E3110" s="234">
        <v>3</v>
      </c>
      <c r="F3110" s="125"/>
      <c r="G3110" s="508" t="s">
        <v>2133</v>
      </c>
      <c r="H3110" s="493" t="s">
        <v>1238</v>
      </c>
      <c r="I3110" s="460" t="s">
        <v>6406</v>
      </c>
      <c r="J3110" s="495" t="s">
        <v>2957</v>
      </c>
      <c r="K3110" s="496" t="s">
        <v>787</v>
      </c>
      <c r="L3110" s="497" t="e">
        <v>#REF!</v>
      </c>
      <c r="M3110" s="497">
        <v>150.38018545454545</v>
      </c>
      <c r="N3110" s="464"/>
      <c r="O3110" s="498"/>
      <c r="P3110" s="431" t="s">
        <v>6711</v>
      </c>
    </row>
    <row r="3111" spans="1:16" ht="13.9" hidden="1" customHeight="1" outlineLevel="3" x14ac:dyDescent="0.2">
      <c r="A3111" s="233">
        <v>0</v>
      </c>
      <c r="B3111" s="233">
        <v>21</v>
      </c>
      <c r="C3111" s="233">
        <v>3</v>
      </c>
      <c r="D3111" s="234">
        <v>3</v>
      </c>
      <c r="E3111" s="234">
        <v>4</v>
      </c>
      <c r="F3111" s="125"/>
      <c r="G3111" s="508" t="s">
        <v>2133</v>
      </c>
      <c r="H3111" s="493" t="s">
        <v>1238</v>
      </c>
      <c r="I3111" s="460" t="s">
        <v>6407</v>
      </c>
      <c r="J3111" s="495" t="s">
        <v>2963</v>
      </c>
      <c r="K3111" s="496" t="s">
        <v>641</v>
      </c>
      <c r="L3111" s="497" t="e">
        <v>#REF!</v>
      </c>
      <c r="M3111" s="497">
        <v>443.28559999999999</v>
      </c>
      <c r="N3111" s="464"/>
      <c r="O3111" s="498"/>
      <c r="P3111" s="431" t="s">
        <v>6711</v>
      </c>
    </row>
    <row r="3112" spans="1:16" ht="13.9" hidden="1" customHeight="1" outlineLevel="3" x14ac:dyDescent="0.2">
      <c r="A3112" s="233">
        <v>0</v>
      </c>
      <c r="B3112" s="233">
        <v>21</v>
      </c>
      <c r="C3112" s="233">
        <v>3</v>
      </c>
      <c r="D3112" s="234">
        <v>3</v>
      </c>
      <c r="E3112" s="234">
        <v>5</v>
      </c>
      <c r="F3112" s="125"/>
      <c r="G3112" s="508" t="s">
        <v>2133</v>
      </c>
      <c r="H3112" s="493" t="s">
        <v>1238</v>
      </c>
      <c r="I3112" s="460" t="s">
        <v>6408</v>
      </c>
      <c r="J3112" s="495" t="s">
        <v>2954</v>
      </c>
      <c r="K3112" s="496" t="s">
        <v>641</v>
      </c>
      <c r="L3112" s="497" t="e">
        <v>#REF!</v>
      </c>
      <c r="M3112" s="497">
        <v>807.74</v>
      </c>
      <c r="N3112" s="464"/>
      <c r="O3112" s="498"/>
      <c r="P3112" s="431" t="s">
        <v>6711</v>
      </c>
    </row>
    <row r="3113" spans="1:16" ht="13.9" hidden="1" customHeight="1" outlineLevel="3" x14ac:dyDescent="0.2">
      <c r="A3113" s="233">
        <v>0</v>
      </c>
      <c r="B3113" s="233">
        <v>21</v>
      </c>
      <c r="C3113" s="233">
        <v>3</v>
      </c>
      <c r="D3113" s="234">
        <v>3</v>
      </c>
      <c r="E3113" s="234">
        <v>6</v>
      </c>
      <c r="F3113" s="125"/>
      <c r="G3113" s="508" t="s">
        <v>2133</v>
      </c>
      <c r="H3113" s="493" t="s">
        <v>1238</v>
      </c>
      <c r="I3113" s="460" t="s">
        <v>6409</v>
      </c>
      <c r="J3113" s="495" t="s">
        <v>2955</v>
      </c>
      <c r="K3113" s="496" t="s">
        <v>641</v>
      </c>
      <c r="L3113" s="497" t="e">
        <v>#REF!</v>
      </c>
      <c r="M3113" s="497">
        <v>172.02560000000003</v>
      </c>
      <c r="N3113" s="464"/>
      <c r="O3113" s="498" t="s">
        <v>2964</v>
      </c>
      <c r="P3113" s="431" t="s">
        <v>6711</v>
      </c>
    </row>
    <row r="3114" spans="1:16" ht="13.9" hidden="1" customHeight="1" outlineLevel="3" x14ac:dyDescent="0.2">
      <c r="A3114" s="233">
        <v>0</v>
      </c>
      <c r="B3114" s="233">
        <v>21</v>
      </c>
      <c r="C3114" s="233">
        <v>3</v>
      </c>
      <c r="D3114" s="234">
        <v>3</v>
      </c>
      <c r="E3114" s="234">
        <v>7</v>
      </c>
      <c r="F3114" s="125"/>
      <c r="G3114" s="508" t="s">
        <v>2133</v>
      </c>
      <c r="H3114" s="493" t="s">
        <v>1238</v>
      </c>
      <c r="I3114" s="460" t="s">
        <v>6410</v>
      </c>
      <c r="J3114" s="495" t="s">
        <v>2956</v>
      </c>
      <c r="K3114" s="496" t="s">
        <v>787</v>
      </c>
      <c r="L3114" s="497" t="e">
        <v>#REF!</v>
      </c>
      <c r="M3114" s="497">
        <v>130.09937545454545</v>
      </c>
      <c r="N3114" s="464"/>
      <c r="O3114" s="498" t="s">
        <v>1601</v>
      </c>
      <c r="P3114" s="431" t="s">
        <v>6711</v>
      </c>
    </row>
    <row r="3115" spans="1:16" ht="13.9" hidden="1" customHeight="1" outlineLevel="3" x14ac:dyDescent="0.2">
      <c r="A3115" s="233">
        <v>0</v>
      </c>
      <c r="B3115" s="233">
        <v>21</v>
      </c>
      <c r="C3115" s="233">
        <v>3</v>
      </c>
      <c r="D3115" s="234">
        <v>3</v>
      </c>
      <c r="E3115" s="234">
        <v>8</v>
      </c>
      <c r="F3115" s="125"/>
      <c r="G3115" s="508" t="s">
        <v>2133</v>
      </c>
      <c r="H3115" s="493" t="s">
        <v>1238</v>
      </c>
      <c r="I3115" s="460" t="s">
        <v>6411</v>
      </c>
      <c r="J3115" s="495" t="s">
        <v>2678</v>
      </c>
      <c r="K3115" s="496" t="s">
        <v>641</v>
      </c>
      <c r="L3115" s="497" t="e">
        <v>#REF!</v>
      </c>
      <c r="M3115" s="497">
        <v>164.30200000000002</v>
      </c>
      <c r="N3115" s="464"/>
      <c r="O3115" s="498"/>
      <c r="P3115" s="431" t="s">
        <v>6711</v>
      </c>
    </row>
    <row r="3116" spans="1:16" ht="13.9" hidden="1" customHeight="1" outlineLevel="3" x14ac:dyDescent="0.2">
      <c r="A3116" s="233">
        <v>0</v>
      </c>
      <c r="B3116" s="233">
        <v>21</v>
      </c>
      <c r="C3116" s="233">
        <v>3</v>
      </c>
      <c r="D3116" s="234">
        <v>3</v>
      </c>
      <c r="E3116" s="234">
        <v>9</v>
      </c>
      <c r="F3116" s="125"/>
      <c r="G3116" s="508" t="s">
        <v>2133</v>
      </c>
      <c r="H3116" s="493" t="s">
        <v>1238</v>
      </c>
      <c r="I3116" s="460" t="s">
        <v>6412</v>
      </c>
      <c r="J3116" s="495" t="s">
        <v>2948</v>
      </c>
      <c r="K3116" s="496" t="s">
        <v>641</v>
      </c>
      <c r="L3116" s="497" t="e">
        <v>#REF!</v>
      </c>
      <c r="M3116" s="497">
        <v>450.23927500000002</v>
      </c>
      <c r="N3116" s="464"/>
      <c r="O3116" s="498"/>
      <c r="P3116" s="431" t="s">
        <v>6711</v>
      </c>
    </row>
    <row r="3117" spans="1:16" ht="13.9" hidden="1" customHeight="1" outlineLevel="2" x14ac:dyDescent="0.2">
      <c r="A3117" s="233">
        <v>0</v>
      </c>
      <c r="B3117" s="233">
        <v>21</v>
      </c>
      <c r="C3117" s="233">
        <v>3</v>
      </c>
      <c r="D3117" s="234">
        <v>4</v>
      </c>
      <c r="E3117" s="234">
        <v>0</v>
      </c>
      <c r="F3117" s="125"/>
      <c r="G3117" s="507"/>
      <c r="H3117" s="487" t="s">
        <v>1237</v>
      </c>
      <c r="I3117" s="452" t="s">
        <v>6413</v>
      </c>
      <c r="J3117" s="489" t="s">
        <v>1262</v>
      </c>
      <c r="K3117" s="490"/>
      <c r="L3117" s="491"/>
      <c r="M3117" s="491"/>
      <c r="N3117" s="456"/>
      <c r="O3117" s="492"/>
      <c r="P3117" s="430"/>
    </row>
    <row r="3118" spans="1:16" ht="13.9" hidden="1" customHeight="1" outlineLevel="3" x14ac:dyDescent="0.2">
      <c r="A3118" s="233">
        <v>0</v>
      </c>
      <c r="B3118" s="233">
        <v>21</v>
      </c>
      <c r="C3118" s="233">
        <v>3</v>
      </c>
      <c r="D3118" s="234">
        <v>4</v>
      </c>
      <c r="E3118" s="234">
        <v>1</v>
      </c>
      <c r="F3118" s="125"/>
      <c r="G3118" s="508" t="s">
        <v>2133</v>
      </c>
      <c r="H3118" s="493" t="s">
        <v>1238</v>
      </c>
      <c r="I3118" s="460" t="s">
        <v>6414</v>
      </c>
      <c r="J3118" s="495" t="s">
        <v>923</v>
      </c>
      <c r="K3118" s="496" t="s">
        <v>641</v>
      </c>
      <c r="L3118" s="497" t="e">
        <v>#REF!</v>
      </c>
      <c r="M3118" s="497">
        <v>62</v>
      </c>
      <c r="N3118" s="464"/>
      <c r="O3118" s="498"/>
      <c r="P3118" s="431" t="s">
        <v>6711</v>
      </c>
    </row>
    <row r="3119" spans="1:16" ht="13.9" hidden="1" customHeight="1" outlineLevel="3" x14ac:dyDescent="0.2">
      <c r="A3119" s="233">
        <v>0</v>
      </c>
      <c r="B3119" s="233">
        <v>21</v>
      </c>
      <c r="C3119" s="233">
        <v>3</v>
      </c>
      <c r="D3119" s="234">
        <v>4</v>
      </c>
      <c r="E3119" s="234">
        <v>2</v>
      </c>
      <c r="F3119" s="125"/>
      <c r="G3119" s="508" t="s">
        <v>2133</v>
      </c>
      <c r="H3119" s="493" t="s">
        <v>1238</v>
      </c>
      <c r="I3119" s="460" t="s">
        <v>6415</v>
      </c>
      <c r="J3119" s="495" t="s">
        <v>926</v>
      </c>
      <c r="K3119" s="496" t="s">
        <v>641</v>
      </c>
      <c r="L3119" s="497" t="e">
        <v>#REF!</v>
      </c>
      <c r="M3119" s="497">
        <v>95</v>
      </c>
      <c r="N3119" s="464"/>
      <c r="O3119" s="498"/>
      <c r="P3119" s="431" t="s">
        <v>6711</v>
      </c>
    </row>
    <row r="3120" spans="1:16" ht="13.9" hidden="1" customHeight="1" outlineLevel="3" x14ac:dyDescent="0.2">
      <c r="A3120" s="233">
        <v>0</v>
      </c>
      <c r="B3120" s="233">
        <v>21</v>
      </c>
      <c r="C3120" s="233">
        <v>3</v>
      </c>
      <c r="D3120" s="234">
        <v>4</v>
      </c>
      <c r="E3120" s="234">
        <v>3</v>
      </c>
      <c r="F3120" s="125"/>
      <c r="G3120" s="508" t="s">
        <v>2133</v>
      </c>
      <c r="H3120" s="493" t="s">
        <v>1238</v>
      </c>
      <c r="I3120" s="460" t="s">
        <v>6416</v>
      </c>
      <c r="J3120" s="495" t="s">
        <v>927</v>
      </c>
      <c r="K3120" s="496" t="s">
        <v>641</v>
      </c>
      <c r="L3120" s="497" t="e">
        <v>#REF!</v>
      </c>
      <c r="M3120" s="497">
        <v>85</v>
      </c>
      <c r="N3120" s="464"/>
      <c r="O3120" s="498"/>
      <c r="P3120" s="431" t="s">
        <v>6711</v>
      </c>
    </row>
    <row r="3121" spans="1:16" ht="13.9" hidden="1" customHeight="1" outlineLevel="3" x14ac:dyDescent="0.2">
      <c r="A3121" s="233">
        <v>0</v>
      </c>
      <c r="B3121" s="233">
        <v>21</v>
      </c>
      <c r="C3121" s="233">
        <v>3</v>
      </c>
      <c r="D3121" s="234">
        <v>4</v>
      </c>
      <c r="E3121" s="234">
        <v>4</v>
      </c>
      <c r="F3121" s="125"/>
      <c r="G3121" s="508" t="s">
        <v>2133</v>
      </c>
      <c r="H3121" s="493" t="s">
        <v>1238</v>
      </c>
      <c r="I3121" s="460" t="s">
        <v>6417</v>
      </c>
      <c r="J3121" s="495" t="s">
        <v>2684</v>
      </c>
      <c r="K3121" s="496" t="s">
        <v>641</v>
      </c>
      <c r="L3121" s="497" t="e">
        <v>#REF!</v>
      </c>
      <c r="M3121" s="497">
        <v>120</v>
      </c>
      <c r="N3121" s="464"/>
      <c r="O3121" s="498"/>
      <c r="P3121" s="431" t="s">
        <v>6711</v>
      </c>
    </row>
    <row r="3122" spans="1:16" ht="13.9" hidden="1" customHeight="1" outlineLevel="3" x14ac:dyDescent="0.2">
      <c r="A3122" s="233">
        <v>0</v>
      </c>
      <c r="B3122" s="233">
        <v>21</v>
      </c>
      <c r="C3122" s="233">
        <v>3</v>
      </c>
      <c r="D3122" s="234">
        <v>4</v>
      </c>
      <c r="E3122" s="234">
        <v>5</v>
      </c>
      <c r="F3122" s="125"/>
      <c r="G3122" s="508" t="s">
        <v>2133</v>
      </c>
      <c r="H3122" s="493" t="s">
        <v>1238</v>
      </c>
      <c r="I3122" s="460" t="s">
        <v>6418</v>
      </c>
      <c r="J3122" s="495" t="s">
        <v>925</v>
      </c>
      <c r="K3122" s="496" t="s">
        <v>641</v>
      </c>
      <c r="L3122" s="497" t="e">
        <v>#REF!</v>
      </c>
      <c r="M3122" s="497">
        <v>58</v>
      </c>
      <c r="N3122" s="464"/>
      <c r="O3122" s="498"/>
      <c r="P3122" s="431" t="s">
        <v>6711</v>
      </c>
    </row>
    <row r="3123" spans="1:16" ht="13.9" hidden="1" customHeight="1" outlineLevel="1" x14ac:dyDescent="0.2">
      <c r="A3123" s="233">
        <v>0</v>
      </c>
      <c r="B3123" s="233">
        <v>21</v>
      </c>
      <c r="C3123" s="233">
        <v>4</v>
      </c>
      <c r="D3123" s="234">
        <v>0</v>
      </c>
      <c r="E3123" s="234">
        <v>5</v>
      </c>
      <c r="F3123" s="125"/>
      <c r="G3123" s="506"/>
      <c r="H3123" s="481" t="s">
        <v>38</v>
      </c>
      <c r="I3123" s="445" t="s">
        <v>6419</v>
      </c>
      <c r="J3123" s="483" t="s">
        <v>2689</v>
      </c>
      <c r="K3123" s="484"/>
      <c r="L3123" s="485"/>
      <c r="M3123" s="485"/>
      <c r="N3123" s="449"/>
      <c r="O3123" s="486"/>
      <c r="P3123" s="435"/>
    </row>
    <row r="3124" spans="1:16" ht="13.9" hidden="1" customHeight="1" outlineLevel="2" x14ac:dyDescent="0.2">
      <c r="A3124" s="233">
        <v>0</v>
      </c>
      <c r="B3124" s="233">
        <v>21</v>
      </c>
      <c r="C3124" s="233">
        <v>4</v>
      </c>
      <c r="D3124" s="234">
        <v>1</v>
      </c>
      <c r="E3124" s="234">
        <v>0</v>
      </c>
      <c r="F3124" s="125"/>
      <c r="G3124" s="507"/>
      <c r="H3124" s="487" t="s">
        <v>1237</v>
      </c>
      <c r="I3124" s="452" t="s">
        <v>6420</v>
      </c>
      <c r="J3124" s="489" t="s">
        <v>2356</v>
      </c>
      <c r="K3124" s="490"/>
      <c r="L3124" s="491"/>
      <c r="M3124" s="491"/>
      <c r="N3124" s="456"/>
      <c r="O3124" s="492"/>
      <c r="P3124" s="430"/>
    </row>
    <row r="3125" spans="1:16" ht="13.9" hidden="1" customHeight="1" outlineLevel="3" x14ac:dyDescent="0.2">
      <c r="A3125" s="233">
        <v>0</v>
      </c>
      <c r="B3125" s="233">
        <v>21</v>
      </c>
      <c r="C3125" s="233">
        <v>4</v>
      </c>
      <c r="D3125" s="234">
        <v>1</v>
      </c>
      <c r="E3125" s="234">
        <v>1</v>
      </c>
      <c r="F3125" s="125"/>
      <c r="G3125" s="508" t="s">
        <v>2133</v>
      </c>
      <c r="H3125" s="493" t="s">
        <v>1238</v>
      </c>
      <c r="I3125" s="460" t="s">
        <v>6421</v>
      </c>
      <c r="J3125" s="495" t="s">
        <v>893</v>
      </c>
      <c r="K3125" s="496" t="s">
        <v>641</v>
      </c>
      <c r="L3125" s="497" t="e">
        <v>#REF!</v>
      </c>
      <c r="M3125" s="497">
        <v>10.11778</v>
      </c>
      <c r="N3125" s="464"/>
      <c r="O3125" s="498"/>
      <c r="P3125" s="431" t="s">
        <v>6711</v>
      </c>
    </row>
    <row r="3126" spans="1:16" ht="13.9" hidden="1" customHeight="1" outlineLevel="3" x14ac:dyDescent="0.2">
      <c r="A3126" s="233">
        <v>0</v>
      </c>
      <c r="B3126" s="233">
        <v>21</v>
      </c>
      <c r="C3126" s="233">
        <v>4</v>
      </c>
      <c r="D3126" s="234">
        <v>1</v>
      </c>
      <c r="E3126" s="234">
        <v>2</v>
      </c>
      <c r="F3126" s="125"/>
      <c r="G3126" s="508" t="s">
        <v>2133</v>
      </c>
      <c r="H3126" s="493" t="s">
        <v>1238</v>
      </c>
      <c r="I3126" s="460" t="s">
        <v>6422</v>
      </c>
      <c r="J3126" s="495" t="s">
        <v>853</v>
      </c>
      <c r="K3126" s="496" t="s">
        <v>641</v>
      </c>
      <c r="L3126" s="497" t="e">
        <v>#REF!</v>
      </c>
      <c r="M3126" s="497">
        <v>3.28945</v>
      </c>
      <c r="N3126" s="464"/>
      <c r="O3126" s="498"/>
      <c r="P3126" s="431" t="s">
        <v>6711</v>
      </c>
    </row>
    <row r="3127" spans="1:16" ht="13.9" hidden="1" customHeight="1" outlineLevel="3" x14ac:dyDescent="0.2">
      <c r="A3127" s="233">
        <v>0</v>
      </c>
      <c r="B3127" s="233">
        <v>21</v>
      </c>
      <c r="C3127" s="233">
        <v>4</v>
      </c>
      <c r="D3127" s="234">
        <v>1</v>
      </c>
      <c r="E3127" s="234">
        <v>3</v>
      </c>
      <c r="F3127" s="125"/>
      <c r="G3127" s="508" t="s">
        <v>2133</v>
      </c>
      <c r="H3127" s="493" t="s">
        <v>1238</v>
      </c>
      <c r="I3127" s="460" t="s">
        <v>6423</v>
      </c>
      <c r="J3127" s="495" t="s">
        <v>852</v>
      </c>
      <c r="K3127" s="496" t="s">
        <v>641</v>
      </c>
      <c r="L3127" s="497" t="e">
        <v>#REF!</v>
      </c>
      <c r="M3127" s="497">
        <v>10.893750000000001</v>
      </c>
      <c r="N3127" s="464"/>
      <c r="O3127" s="498"/>
      <c r="P3127" s="431" t="s">
        <v>6711</v>
      </c>
    </row>
    <row r="3128" spans="1:16" ht="13.9" hidden="1" customHeight="1" outlineLevel="2" x14ac:dyDescent="0.2">
      <c r="A3128" s="233">
        <v>0</v>
      </c>
      <c r="B3128" s="233">
        <v>21</v>
      </c>
      <c r="C3128" s="233">
        <v>4</v>
      </c>
      <c r="D3128" s="234">
        <v>2</v>
      </c>
      <c r="E3128" s="234">
        <v>0</v>
      </c>
      <c r="F3128" s="125"/>
      <c r="G3128" s="507"/>
      <c r="H3128" s="487" t="s">
        <v>1237</v>
      </c>
      <c r="I3128" s="452" t="s">
        <v>6424</v>
      </c>
      <c r="J3128" s="489" t="s">
        <v>2282</v>
      </c>
      <c r="K3128" s="490"/>
      <c r="L3128" s="491"/>
      <c r="M3128" s="491"/>
      <c r="N3128" s="456"/>
      <c r="O3128" s="492"/>
      <c r="P3128" s="430"/>
    </row>
    <row r="3129" spans="1:16" ht="12.75" hidden="1" outlineLevel="3" x14ac:dyDescent="0.2">
      <c r="A3129" s="233">
        <v>0</v>
      </c>
      <c r="B3129" s="233">
        <v>21</v>
      </c>
      <c r="C3129" s="233">
        <v>4</v>
      </c>
      <c r="D3129" s="234">
        <v>2</v>
      </c>
      <c r="E3129" s="234">
        <v>1</v>
      </c>
      <c r="F3129" s="125"/>
      <c r="G3129" s="508" t="s">
        <v>2133</v>
      </c>
      <c r="H3129" s="493" t="s">
        <v>1238</v>
      </c>
      <c r="I3129" s="460" t="s">
        <v>6425</v>
      </c>
      <c r="J3129" s="495" t="s">
        <v>2894</v>
      </c>
      <c r="K3129" s="496" t="s">
        <v>641</v>
      </c>
      <c r="L3129" s="497" t="e">
        <v>#REF!</v>
      </c>
      <c r="M3129" s="497">
        <v>35.786235333333337</v>
      </c>
      <c r="N3129" s="464"/>
      <c r="O3129" s="498"/>
      <c r="P3129" s="431" t="s">
        <v>6711</v>
      </c>
    </row>
    <row r="3130" spans="1:16" ht="13.9" hidden="1" customHeight="1" outlineLevel="2" x14ac:dyDescent="0.2">
      <c r="A3130" s="233">
        <v>0</v>
      </c>
      <c r="B3130" s="233">
        <v>21</v>
      </c>
      <c r="C3130" s="233">
        <v>4</v>
      </c>
      <c r="D3130" s="234">
        <v>3</v>
      </c>
      <c r="E3130" s="234">
        <v>0</v>
      </c>
      <c r="F3130" s="125"/>
      <c r="G3130" s="507"/>
      <c r="H3130" s="487" t="s">
        <v>1237</v>
      </c>
      <c r="I3130" s="452" t="s">
        <v>6426</v>
      </c>
      <c r="J3130" s="489" t="s">
        <v>2357</v>
      </c>
      <c r="K3130" s="490"/>
      <c r="L3130" s="491"/>
      <c r="M3130" s="491"/>
      <c r="N3130" s="456"/>
      <c r="O3130" s="492"/>
      <c r="P3130" s="430"/>
    </row>
    <row r="3131" spans="1:16" ht="13.9" hidden="1" customHeight="1" outlineLevel="3" x14ac:dyDescent="0.2">
      <c r="A3131" s="233">
        <v>0</v>
      </c>
      <c r="B3131" s="233">
        <v>21</v>
      </c>
      <c r="C3131" s="233">
        <v>4</v>
      </c>
      <c r="D3131" s="234">
        <v>3</v>
      </c>
      <c r="E3131" s="234">
        <v>1</v>
      </c>
      <c r="F3131" s="125"/>
      <c r="G3131" s="508" t="s">
        <v>2133</v>
      </c>
      <c r="H3131" s="493" t="s">
        <v>1238</v>
      </c>
      <c r="I3131" s="460" t="s">
        <v>6427</v>
      </c>
      <c r="J3131" s="495" t="s">
        <v>2961</v>
      </c>
      <c r="K3131" s="496" t="s">
        <v>641</v>
      </c>
      <c r="L3131" s="497" t="e">
        <v>#REF!</v>
      </c>
      <c r="M3131" s="497">
        <v>1102</v>
      </c>
      <c r="N3131" s="464"/>
      <c r="O3131" s="498"/>
      <c r="P3131" s="431" t="s">
        <v>6711</v>
      </c>
    </row>
    <row r="3132" spans="1:16" ht="13.9" hidden="1" customHeight="1" outlineLevel="3" x14ac:dyDescent="0.2">
      <c r="A3132" s="233">
        <v>0</v>
      </c>
      <c r="B3132" s="233">
        <v>21</v>
      </c>
      <c r="C3132" s="233">
        <v>4</v>
      </c>
      <c r="D3132" s="234">
        <v>3</v>
      </c>
      <c r="E3132" s="234">
        <v>2</v>
      </c>
      <c r="F3132" s="125"/>
      <c r="G3132" s="508" t="s">
        <v>2133</v>
      </c>
      <c r="H3132" s="493" t="s">
        <v>1238</v>
      </c>
      <c r="I3132" s="460" t="s">
        <v>6428</v>
      </c>
      <c r="J3132" s="495" t="s">
        <v>2962</v>
      </c>
      <c r="K3132" s="496" t="s">
        <v>787</v>
      </c>
      <c r="L3132" s="497" t="e">
        <v>#REF!</v>
      </c>
      <c r="M3132" s="497">
        <v>211.47737545454549</v>
      </c>
      <c r="N3132" s="464"/>
      <c r="O3132" s="498"/>
      <c r="P3132" s="431" t="s">
        <v>6711</v>
      </c>
    </row>
    <row r="3133" spans="1:16" ht="13.9" hidden="1" customHeight="1" outlineLevel="3" x14ac:dyDescent="0.2">
      <c r="A3133" s="233">
        <v>0</v>
      </c>
      <c r="B3133" s="233">
        <v>21</v>
      </c>
      <c r="C3133" s="233">
        <v>4</v>
      </c>
      <c r="D3133" s="234">
        <v>3</v>
      </c>
      <c r="E3133" s="234">
        <v>3</v>
      </c>
      <c r="F3133" s="125"/>
      <c r="G3133" s="508" t="s">
        <v>2133</v>
      </c>
      <c r="H3133" s="493" t="s">
        <v>1238</v>
      </c>
      <c r="I3133" s="460" t="s">
        <v>6429</v>
      </c>
      <c r="J3133" s="495" t="s">
        <v>2957</v>
      </c>
      <c r="K3133" s="496" t="s">
        <v>787</v>
      </c>
      <c r="L3133" s="497" t="e">
        <v>#REF!</v>
      </c>
      <c r="M3133" s="497">
        <v>150.38018545454545</v>
      </c>
      <c r="N3133" s="464"/>
      <c r="O3133" s="498"/>
      <c r="P3133" s="431" t="s">
        <v>6711</v>
      </c>
    </row>
    <row r="3134" spans="1:16" ht="13.9" hidden="1" customHeight="1" outlineLevel="3" x14ac:dyDescent="0.2">
      <c r="A3134" s="233">
        <v>0</v>
      </c>
      <c r="B3134" s="233">
        <v>21</v>
      </c>
      <c r="C3134" s="233">
        <v>4</v>
      </c>
      <c r="D3134" s="234">
        <v>3</v>
      </c>
      <c r="E3134" s="234">
        <v>4</v>
      </c>
      <c r="F3134" s="125"/>
      <c r="G3134" s="508" t="s">
        <v>2133</v>
      </c>
      <c r="H3134" s="493" t="s">
        <v>1238</v>
      </c>
      <c r="I3134" s="460" t="s">
        <v>6430</v>
      </c>
      <c r="J3134" s="495" t="s">
        <v>2963</v>
      </c>
      <c r="K3134" s="496" t="s">
        <v>641</v>
      </c>
      <c r="L3134" s="497" t="e">
        <v>#REF!</v>
      </c>
      <c r="M3134" s="497">
        <v>443.28559999999999</v>
      </c>
      <c r="N3134" s="464"/>
      <c r="O3134" s="498"/>
      <c r="P3134" s="431" t="s">
        <v>6711</v>
      </c>
    </row>
    <row r="3135" spans="1:16" ht="13.9" hidden="1" customHeight="1" outlineLevel="3" x14ac:dyDescent="0.2">
      <c r="A3135" s="233">
        <v>0</v>
      </c>
      <c r="B3135" s="233">
        <v>21</v>
      </c>
      <c r="C3135" s="233">
        <v>4</v>
      </c>
      <c r="D3135" s="234">
        <v>3</v>
      </c>
      <c r="E3135" s="234">
        <v>5</v>
      </c>
      <c r="F3135" s="125"/>
      <c r="G3135" s="508" t="s">
        <v>2133</v>
      </c>
      <c r="H3135" s="493" t="s">
        <v>1238</v>
      </c>
      <c r="I3135" s="460" t="s">
        <v>6431</v>
      </c>
      <c r="J3135" s="495" t="s">
        <v>2676</v>
      </c>
      <c r="K3135" s="496" t="s">
        <v>641</v>
      </c>
      <c r="L3135" s="497" t="e">
        <v>#REF!</v>
      </c>
      <c r="M3135" s="497">
        <v>1843.3440000000001</v>
      </c>
      <c r="N3135" s="464"/>
      <c r="O3135" s="498" t="s">
        <v>2677</v>
      </c>
      <c r="P3135" s="431" t="s">
        <v>6711</v>
      </c>
    </row>
    <row r="3136" spans="1:16" ht="13.9" hidden="1" customHeight="1" outlineLevel="3" x14ac:dyDescent="0.2">
      <c r="A3136" s="233">
        <v>0</v>
      </c>
      <c r="B3136" s="233">
        <v>21</v>
      </c>
      <c r="C3136" s="233">
        <v>4</v>
      </c>
      <c r="D3136" s="234">
        <v>3</v>
      </c>
      <c r="E3136" s="234">
        <v>6</v>
      </c>
      <c r="F3136" s="125"/>
      <c r="G3136" s="508" t="s">
        <v>2133</v>
      </c>
      <c r="H3136" s="493" t="s">
        <v>1238</v>
      </c>
      <c r="I3136" s="460" t="s">
        <v>6432</v>
      </c>
      <c r="J3136" s="495" t="s">
        <v>2954</v>
      </c>
      <c r="K3136" s="496" t="s">
        <v>641</v>
      </c>
      <c r="L3136" s="497" t="e">
        <v>#REF!</v>
      </c>
      <c r="M3136" s="497">
        <v>807.74</v>
      </c>
      <c r="N3136" s="464"/>
      <c r="O3136" s="498"/>
      <c r="P3136" s="431" t="s">
        <v>6711</v>
      </c>
    </row>
    <row r="3137" spans="1:16" ht="13.9" hidden="1" customHeight="1" outlineLevel="3" x14ac:dyDescent="0.2">
      <c r="A3137" s="233">
        <v>0</v>
      </c>
      <c r="B3137" s="233">
        <v>21</v>
      </c>
      <c r="C3137" s="233">
        <v>4</v>
      </c>
      <c r="D3137" s="234">
        <v>3</v>
      </c>
      <c r="E3137" s="234">
        <v>7</v>
      </c>
      <c r="F3137" s="125"/>
      <c r="G3137" s="508" t="s">
        <v>2133</v>
      </c>
      <c r="H3137" s="493" t="s">
        <v>1238</v>
      </c>
      <c r="I3137" s="460" t="s">
        <v>6433</v>
      </c>
      <c r="J3137" s="495" t="s">
        <v>2955</v>
      </c>
      <c r="K3137" s="496" t="s">
        <v>641</v>
      </c>
      <c r="L3137" s="497" t="e">
        <v>#REF!</v>
      </c>
      <c r="M3137" s="497">
        <v>172.02560000000003</v>
      </c>
      <c r="N3137" s="464"/>
      <c r="O3137" s="498" t="s">
        <v>2964</v>
      </c>
      <c r="P3137" s="431" t="s">
        <v>6711</v>
      </c>
    </row>
    <row r="3138" spans="1:16" ht="13.9" hidden="1" customHeight="1" outlineLevel="3" x14ac:dyDescent="0.2">
      <c r="A3138" s="233">
        <v>0</v>
      </c>
      <c r="B3138" s="233">
        <v>21</v>
      </c>
      <c r="C3138" s="233">
        <v>4</v>
      </c>
      <c r="D3138" s="234">
        <v>3</v>
      </c>
      <c r="E3138" s="234">
        <v>8</v>
      </c>
      <c r="F3138" s="125"/>
      <c r="G3138" s="508" t="s">
        <v>2133</v>
      </c>
      <c r="H3138" s="493" t="s">
        <v>1238</v>
      </c>
      <c r="I3138" s="460" t="s">
        <v>6434</v>
      </c>
      <c r="J3138" s="495" t="s">
        <v>2956</v>
      </c>
      <c r="K3138" s="496" t="s">
        <v>787</v>
      </c>
      <c r="L3138" s="497" t="e">
        <v>#REF!</v>
      </c>
      <c r="M3138" s="497">
        <v>130.09937545454545</v>
      </c>
      <c r="N3138" s="464"/>
      <c r="O3138" s="498" t="s">
        <v>1601</v>
      </c>
      <c r="P3138" s="431" t="s">
        <v>6711</v>
      </c>
    </row>
    <row r="3139" spans="1:16" ht="13.9" hidden="1" customHeight="1" outlineLevel="3" x14ac:dyDescent="0.2">
      <c r="A3139" s="233">
        <v>0</v>
      </c>
      <c r="B3139" s="233">
        <v>21</v>
      </c>
      <c r="C3139" s="233">
        <v>4</v>
      </c>
      <c r="D3139" s="234">
        <v>3</v>
      </c>
      <c r="E3139" s="234">
        <v>9</v>
      </c>
      <c r="F3139" s="125"/>
      <c r="G3139" s="508" t="s">
        <v>2133</v>
      </c>
      <c r="H3139" s="493" t="s">
        <v>1238</v>
      </c>
      <c r="I3139" s="460" t="s">
        <v>6435</v>
      </c>
      <c r="J3139" s="495" t="s">
        <v>2678</v>
      </c>
      <c r="K3139" s="496" t="s">
        <v>641</v>
      </c>
      <c r="L3139" s="497" t="e">
        <v>#REF!</v>
      </c>
      <c r="M3139" s="497">
        <v>164.30200000000002</v>
      </c>
      <c r="N3139" s="464"/>
      <c r="O3139" s="498"/>
      <c r="P3139" s="431" t="s">
        <v>6711</v>
      </c>
    </row>
    <row r="3140" spans="1:16" ht="13.9" hidden="1" customHeight="1" outlineLevel="2" x14ac:dyDescent="0.2">
      <c r="A3140" s="233">
        <v>0</v>
      </c>
      <c r="B3140" s="233">
        <v>21</v>
      </c>
      <c r="C3140" s="233">
        <v>4</v>
      </c>
      <c r="D3140" s="234">
        <v>4</v>
      </c>
      <c r="E3140" s="234">
        <v>0</v>
      </c>
      <c r="F3140" s="125"/>
      <c r="G3140" s="507"/>
      <c r="H3140" s="487" t="s">
        <v>1237</v>
      </c>
      <c r="I3140" s="452" t="s">
        <v>6436</v>
      </c>
      <c r="J3140" s="489" t="s">
        <v>1262</v>
      </c>
      <c r="K3140" s="490"/>
      <c r="L3140" s="491"/>
      <c r="M3140" s="491"/>
      <c r="N3140" s="456"/>
      <c r="O3140" s="492"/>
      <c r="P3140" s="430"/>
    </row>
    <row r="3141" spans="1:16" ht="13.9" hidden="1" customHeight="1" outlineLevel="3" x14ac:dyDescent="0.2">
      <c r="A3141" s="233">
        <v>0</v>
      </c>
      <c r="B3141" s="233">
        <v>21</v>
      </c>
      <c r="C3141" s="233">
        <v>4</v>
      </c>
      <c r="D3141" s="234">
        <v>4</v>
      </c>
      <c r="E3141" s="234">
        <v>1</v>
      </c>
      <c r="F3141" s="125"/>
      <c r="G3141" s="508" t="s">
        <v>2133</v>
      </c>
      <c r="H3141" s="493" t="s">
        <v>1238</v>
      </c>
      <c r="I3141" s="460" t="s">
        <v>6437</v>
      </c>
      <c r="J3141" s="495" t="s">
        <v>923</v>
      </c>
      <c r="K3141" s="496" t="s">
        <v>641</v>
      </c>
      <c r="L3141" s="497" t="e">
        <v>#REF!</v>
      </c>
      <c r="M3141" s="497">
        <v>62</v>
      </c>
      <c r="N3141" s="464"/>
      <c r="O3141" s="498"/>
      <c r="P3141" s="431" t="s">
        <v>6711</v>
      </c>
    </row>
    <row r="3142" spans="1:16" ht="13.9" hidden="1" customHeight="1" outlineLevel="3" x14ac:dyDescent="0.2">
      <c r="A3142" s="233">
        <v>0</v>
      </c>
      <c r="B3142" s="233">
        <v>21</v>
      </c>
      <c r="C3142" s="233">
        <v>4</v>
      </c>
      <c r="D3142" s="234">
        <v>4</v>
      </c>
      <c r="E3142" s="234">
        <v>2</v>
      </c>
      <c r="F3142" s="125"/>
      <c r="G3142" s="508" t="s">
        <v>2133</v>
      </c>
      <c r="H3142" s="493" t="s">
        <v>1238</v>
      </c>
      <c r="I3142" s="460" t="s">
        <v>6438</v>
      </c>
      <c r="J3142" s="495" t="s">
        <v>926</v>
      </c>
      <c r="K3142" s="496" t="s">
        <v>641</v>
      </c>
      <c r="L3142" s="497" t="e">
        <v>#REF!</v>
      </c>
      <c r="M3142" s="497">
        <v>95</v>
      </c>
      <c r="N3142" s="464"/>
      <c r="O3142" s="498"/>
      <c r="P3142" s="431" t="s">
        <v>6711</v>
      </c>
    </row>
    <row r="3143" spans="1:16" ht="13.9" hidden="1" customHeight="1" outlineLevel="3" x14ac:dyDescent="0.2">
      <c r="A3143" s="233">
        <v>0</v>
      </c>
      <c r="B3143" s="233">
        <v>21</v>
      </c>
      <c r="C3143" s="233">
        <v>4</v>
      </c>
      <c r="D3143" s="234">
        <v>4</v>
      </c>
      <c r="E3143" s="234">
        <v>3</v>
      </c>
      <c r="F3143" s="125"/>
      <c r="G3143" s="508" t="s">
        <v>2133</v>
      </c>
      <c r="H3143" s="493" t="s">
        <v>1238</v>
      </c>
      <c r="I3143" s="460" t="s">
        <v>6439</v>
      </c>
      <c r="J3143" s="495" t="s">
        <v>927</v>
      </c>
      <c r="K3143" s="496" t="s">
        <v>641</v>
      </c>
      <c r="L3143" s="497" t="e">
        <v>#REF!</v>
      </c>
      <c r="M3143" s="497">
        <v>85</v>
      </c>
      <c r="N3143" s="464"/>
      <c r="O3143" s="498"/>
      <c r="P3143" s="431" t="s">
        <v>6711</v>
      </c>
    </row>
    <row r="3144" spans="1:16" ht="13.9" hidden="1" customHeight="1" outlineLevel="3" x14ac:dyDescent="0.2">
      <c r="A3144" s="233">
        <v>0</v>
      </c>
      <c r="B3144" s="233">
        <v>21</v>
      </c>
      <c r="C3144" s="233">
        <v>4</v>
      </c>
      <c r="D3144" s="234">
        <v>4</v>
      </c>
      <c r="E3144" s="234">
        <v>4</v>
      </c>
      <c r="F3144" s="125"/>
      <c r="G3144" s="508" t="s">
        <v>2133</v>
      </c>
      <c r="H3144" s="493" t="s">
        <v>1238</v>
      </c>
      <c r="I3144" s="460" t="s">
        <v>6440</v>
      </c>
      <c r="J3144" s="495" t="s">
        <v>2684</v>
      </c>
      <c r="K3144" s="496" t="s">
        <v>641</v>
      </c>
      <c r="L3144" s="497" t="e">
        <v>#REF!</v>
      </c>
      <c r="M3144" s="497">
        <v>120</v>
      </c>
      <c r="N3144" s="464"/>
      <c r="O3144" s="498"/>
      <c r="P3144" s="431" t="s">
        <v>6711</v>
      </c>
    </row>
    <row r="3145" spans="1:16" ht="13.9" hidden="1" customHeight="1" outlineLevel="3" x14ac:dyDescent="0.2">
      <c r="A3145" s="233">
        <v>0</v>
      </c>
      <c r="B3145" s="233">
        <v>21</v>
      </c>
      <c r="C3145" s="233">
        <v>4</v>
      </c>
      <c r="D3145" s="234">
        <v>4</v>
      </c>
      <c r="E3145" s="234">
        <v>5</v>
      </c>
      <c r="F3145" s="125"/>
      <c r="G3145" s="508" t="s">
        <v>2133</v>
      </c>
      <c r="H3145" s="493" t="s">
        <v>1238</v>
      </c>
      <c r="I3145" s="460" t="s">
        <v>6441</v>
      </c>
      <c r="J3145" s="495" t="s">
        <v>924</v>
      </c>
      <c r="K3145" s="496" t="s">
        <v>641</v>
      </c>
      <c r="L3145" s="497" t="e">
        <v>#REF!</v>
      </c>
      <c r="M3145" s="497">
        <v>58</v>
      </c>
      <c r="N3145" s="464"/>
      <c r="O3145" s="498"/>
      <c r="P3145" s="431" t="s">
        <v>6711</v>
      </c>
    </row>
    <row r="3146" spans="1:16" ht="13.9" customHeight="1" collapsed="1" x14ac:dyDescent="0.2">
      <c r="A3146" s="233">
        <v>0</v>
      </c>
      <c r="B3146" s="233">
        <v>22</v>
      </c>
      <c r="C3146" s="233">
        <v>0</v>
      </c>
      <c r="D3146" s="234">
        <v>4</v>
      </c>
      <c r="E3146" s="234">
        <v>5</v>
      </c>
      <c r="F3146" s="238"/>
      <c r="G3146" s="504"/>
      <c r="H3146" s="476" t="s">
        <v>1236</v>
      </c>
      <c r="I3146" s="438" t="s">
        <v>6442</v>
      </c>
      <c r="J3146" s="505" t="s">
        <v>30</v>
      </c>
      <c r="K3146" s="478"/>
      <c r="L3146" s="479"/>
      <c r="M3146" s="479"/>
      <c r="N3146" s="442"/>
      <c r="O3146" s="480"/>
      <c r="P3146" s="433"/>
    </row>
    <row r="3147" spans="1:16" ht="13.9" hidden="1" customHeight="1" outlineLevel="1" x14ac:dyDescent="0.2">
      <c r="A3147" s="233">
        <v>0</v>
      </c>
      <c r="B3147" s="233">
        <v>22</v>
      </c>
      <c r="C3147" s="233">
        <v>1</v>
      </c>
      <c r="D3147" s="234">
        <v>0</v>
      </c>
      <c r="E3147" s="234">
        <v>5</v>
      </c>
      <c r="F3147" s="125"/>
      <c r="G3147" s="506"/>
      <c r="H3147" s="481" t="s">
        <v>38</v>
      </c>
      <c r="I3147" s="445" t="s">
        <v>6443</v>
      </c>
      <c r="J3147" s="483" t="s">
        <v>33</v>
      </c>
      <c r="K3147" s="484"/>
      <c r="L3147" s="485"/>
      <c r="M3147" s="485"/>
      <c r="N3147" s="449"/>
      <c r="O3147" s="486"/>
      <c r="P3147" s="435"/>
    </row>
    <row r="3148" spans="1:16" ht="13.9" hidden="1" customHeight="1" outlineLevel="2" x14ac:dyDescent="0.2">
      <c r="A3148" s="233">
        <v>0</v>
      </c>
      <c r="B3148" s="233">
        <v>22</v>
      </c>
      <c r="C3148" s="233">
        <v>1</v>
      </c>
      <c r="D3148" s="234">
        <v>1</v>
      </c>
      <c r="E3148" s="234">
        <v>0</v>
      </c>
      <c r="F3148" s="125"/>
      <c r="G3148" s="507"/>
      <c r="H3148" s="487" t="s">
        <v>1237</v>
      </c>
      <c r="I3148" s="452" t="s">
        <v>6444</v>
      </c>
      <c r="J3148" s="489" t="s">
        <v>2249</v>
      </c>
      <c r="K3148" s="490"/>
      <c r="L3148" s="491"/>
      <c r="M3148" s="491"/>
      <c r="N3148" s="456"/>
      <c r="O3148" s="492"/>
      <c r="P3148" s="430"/>
    </row>
    <row r="3149" spans="1:16" ht="13.9" hidden="1" customHeight="1" outlineLevel="3" x14ac:dyDescent="0.2">
      <c r="A3149" s="233">
        <v>0</v>
      </c>
      <c r="B3149" s="233">
        <v>22</v>
      </c>
      <c r="C3149" s="233">
        <v>1</v>
      </c>
      <c r="D3149" s="234">
        <v>1</v>
      </c>
      <c r="E3149" s="234">
        <v>1</v>
      </c>
      <c r="F3149" s="125"/>
      <c r="G3149" s="508" t="s">
        <v>53</v>
      </c>
      <c r="H3149" s="493" t="s">
        <v>1238</v>
      </c>
      <c r="I3149" s="460" t="s">
        <v>6445</v>
      </c>
      <c r="J3149" s="495" t="s">
        <v>1798</v>
      </c>
      <c r="K3149" s="496" t="s">
        <v>641</v>
      </c>
      <c r="L3149" s="497" t="e">
        <v>#REF!</v>
      </c>
      <c r="M3149" s="497">
        <v>77.366820666666669</v>
      </c>
      <c r="N3149" s="464"/>
      <c r="O3149" s="498" t="s">
        <v>2508</v>
      </c>
      <c r="P3149" s="431" t="s">
        <v>6711</v>
      </c>
    </row>
    <row r="3150" spans="1:16" ht="13.9" hidden="1" customHeight="1" outlineLevel="3" x14ac:dyDescent="0.2">
      <c r="A3150" s="233">
        <v>0</v>
      </c>
      <c r="B3150" s="233">
        <v>22</v>
      </c>
      <c r="C3150" s="233">
        <v>1</v>
      </c>
      <c r="D3150" s="234">
        <v>1</v>
      </c>
      <c r="E3150" s="234">
        <v>2</v>
      </c>
      <c r="F3150" s="125"/>
      <c r="G3150" s="508" t="s">
        <v>53</v>
      </c>
      <c r="H3150" s="493" t="s">
        <v>1238</v>
      </c>
      <c r="I3150" s="460" t="s">
        <v>6446</v>
      </c>
      <c r="J3150" s="495" t="s">
        <v>740</v>
      </c>
      <c r="K3150" s="496" t="s">
        <v>641</v>
      </c>
      <c r="L3150" s="497" t="e">
        <v>#REF!</v>
      </c>
      <c r="M3150" s="497">
        <v>25</v>
      </c>
      <c r="N3150" s="464"/>
      <c r="O3150" s="498"/>
      <c r="P3150" s="431" t="s">
        <v>6711</v>
      </c>
    </row>
    <row r="3151" spans="1:16" ht="13.9" hidden="1" customHeight="1" outlineLevel="2" x14ac:dyDescent="0.2">
      <c r="A3151" s="233">
        <v>0</v>
      </c>
      <c r="B3151" s="233">
        <v>22</v>
      </c>
      <c r="C3151" s="233">
        <v>1</v>
      </c>
      <c r="D3151" s="234">
        <v>2</v>
      </c>
      <c r="E3151" s="234">
        <v>0</v>
      </c>
      <c r="F3151" s="125"/>
      <c r="G3151" s="507"/>
      <c r="H3151" s="487" t="s">
        <v>1237</v>
      </c>
      <c r="I3151" s="452" t="s">
        <v>6447</v>
      </c>
      <c r="J3151" s="489" t="s">
        <v>2250</v>
      </c>
      <c r="K3151" s="490"/>
      <c r="L3151" s="491"/>
      <c r="M3151" s="491"/>
      <c r="N3151" s="456">
        <v>167496.70000000001</v>
      </c>
      <c r="O3151" s="492"/>
      <c r="P3151" s="430"/>
    </row>
    <row r="3152" spans="1:16" ht="13.9" hidden="1" customHeight="1" outlineLevel="3" x14ac:dyDescent="0.2">
      <c r="A3152" s="233">
        <v>0</v>
      </c>
      <c r="B3152" s="233">
        <v>22</v>
      </c>
      <c r="C3152" s="233">
        <v>1</v>
      </c>
      <c r="D3152" s="234">
        <v>2</v>
      </c>
      <c r="E3152" s="234">
        <v>1</v>
      </c>
      <c r="F3152" s="125"/>
      <c r="G3152" s="508" t="s">
        <v>53</v>
      </c>
      <c r="H3152" s="493" t="s">
        <v>1238</v>
      </c>
      <c r="I3152" s="460" t="s">
        <v>6448</v>
      </c>
      <c r="J3152" s="495" t="s">
        <v>2250</v>
      </c>
      <c r="K3152" s="496" t="s">
        <v>1129</v>
      </c>
      <c r="L3152" s="497">
        <v>1</v>
      </c>
      <c r="M3152" s="497">
        <v>167496.70000000001</v>
      </c>
      <c r="N3152" s="464">
        <v>167496.70000000001</v>
      </c>
      <c r="O3152" s="498"/>
      <c r="P3152" s="431" t="s">
        <v>6711</v>
      </c>
    </row>
    <row r="3153" spans="1:16" ht="13.9" hidden="1" customHeight="1" outlineLevel="2" x14ac:dyDescent="0.2">
      <c r="A3153" s="233">
        <v>0</v>
      </c>
      <c r="B3153" s="233">
        <v>22</v>
      </c>
      <c r="C3153" s="233">
        <v>1</v>
      </c>
      <c r="D3153" s="234">
        <v>3</v>
      </c>
      <c r="E3153" s="234">
        <v>0</v>
      </c>
      <c r="F3153" s="125"/>
      <c r="G3153" s="507"/>
      <c r="H3153" s="487" t="s">
        <v>1237</v>
      </c>
      <c r="I3153" s="452" t="s">
        <v>6449</v>
      </c>
      <c r="J3153" s="489" t="s">
        <v>2251</v>
      </c>
      <c r="K3153" s="490"/>
      <c r="L3153" s="491"/>
      <c r="M3153" s="491"/>
      <c r="N3153" s="456">
        <v>167496.70000000001</v>
      </c>
      <c r="O3153" s="492"/>
      <c r="P3153" s="430"/>
    </row>
    <row r="3154" spans="1:16" ht="13.9" hidden="1" customHeight="1" outlineLevel="3" x14ac:dyDescent="0.2">
      <c r="A3154" s="233">
        <v>0</v>
      </c>
      <c r="B3154" s="233">
        <v>22</v>
      </c>
      <c r="C3154" s="233">
        <v>1</v>
      </c>
      <c r="D3154" s="234">
        <v>3</v>
      </c>
      <c r="E3154" s="234">
        <v>1</v>
      </c>
      <c r="F3154" s="125"/>
      <c r="G3154" s="508" t="s">
        <v>53</v>
      </c>
      <c r="H3154" s="493" t="s">
        <v>1238</v>
      </c>
      <c r="I3154" s="460" t="s">
        <v>6450</v>
      </c>
      <c r="J3154" s="495" t="s">
        <v>2251</v>
      </c>
      <c r="K3154" s="496" t="s">
        <v>1129</v>
      </c>
      <c r="L3154" s="497">
        <v>1</v>
      </c>
      <c r="M3154" s="497">
        <v>167496.70000000001</v>
      </c>
      <c r="N3154" s="464">
        <v>167496.70000000001</v>
      </c>
      <c r="O3154" s="498"/>
      <c r="P3154" s="431" t="s">
        <v>6711</v>
      </c>
    </row>
    <row r="3155" spans="1:16" ht="13.9" hidden="1" customHeight="1" outlineLevel="1" x14ac:dyDescent="0.2">
      <c r="A3155" s="233">
        <v>0</v>
      </c>
      <c r="B3155" s="233">
        <v>22</v>
      </c>
      <c r="C3155" s="233">
        <v>2</v>
      </c>
      <c r="D3155" s="234">
        <v>0</v>
      </c>
      <c r="E3155" s="234">
        <v>1</v>
      </c>
      <c r="F3155" s="125"/>
      <c r="G3155" s="506"/>
      <c r="H3155" s="481" t="s">
        <v>38</v>
      </c>
      <c r="I3155" s="445" t="s">
        <v>6451</v>
      </c>
      <c r="J3155" s="483" t="s">
        <v>53</v>
      </c>
      <c r="K3155" s="484"/>
      <c r="L3155" s="485"/>
      <c r="M3155" s="485"/>
      <c r="N3155" s="449">
        <v>5698605.0458000004</v>
      </c>
      <c r="O3155" s="486"/>
      <c r="P3155" s="435"/>
    </row>
    <row r="3156" spans="1:16" ht="13.9" hidden="1" customHeight="1" outlineLevel="2" x14ac:dyDescent="0.2">
      <c r="A3156" s="233">
        <v>0</v>
      </c>
      <c r="B3156" s="233">
        <v>22</v>
      </c>
      <c r="C3156" s="233">
        <v>2</v>
      </c>
      <c r="D3156" s="234">
        <v>1</v>
      </c>
      <c r="E3156" s="234">
        <v>0</v>
      </c>
      <c r="F3156" s="125"/>
      <c r="G3156" s="507"/>
      <c r="H3156" s="487" t="s">
        <v>1237</v>
      </c>
      <c r="I3156" s="452" t="s">
        <v>6452</v>
      </c>
      <c r="J3156" s="489" t="s">
        <v>34</v>
      </c>
      <c r="K3156" s="490"/>
      <c r="L3156" s="491"/>
      <c r="M3156" s="491"/>
      <c r="N3156" s="456">
        <v>586238.44999999995</v>
      </c>
      <c r="O3156" s="492"/>
      <c r="P3156" s="430"/>
    </row>
    <row r="3157" spans="1:16" ht="13.9" hidden="1" customHeight="1" outlineLevel="3" x14ac:dyDescent="0.2">
      <c r="A3157" s="233">
        <v>0</v>
      </c>
      <c r="B3157" s="233">
        <v>22</v>
      </c>
      <c r="C3157" s="233">
        <v>2</v>
      </c>
      <c r="D3157" s="234">
        <v>1</v>
      </c>
      <c r="E3157" s="234">
        <v>1</v>
      </c>
      <c r="F3157" s="125"/>
      <c r="G3157" s="508" t="s">
        <v>53</v>
      </c>
      <c r="H3157" s="493" t="s">
        <v>1238</v>
      </c>
      <c r="I3157" s="460" t="s">
        <v>6453</v>
      </c>
      <c r="J3157" s="495" t="s">
        <v>1269</v>
      </c>
      <c r="K3157" s="496" t="s">
        <v>1129</v>
      </c>
      <c r="L3157" s="497">
        <v>1</v>
      </c>
      <c r="M3157" s="497">
        <v>586238.45000000007</v>
      </c>
      <c r="N3157" s="464">
        <v>586238.44999999995</v>
      </c>
      <c r="O3157" s="498"/>
      <c r="P3157" s="431" t="s">
        <v>6711</v>
      </c>
    </row>
    <row r="3158" spans="1:16" ht="13.9" hidden="1" customHeight="1" outlineLevel="2" x14ac:dyDescent="0.2">
      <c r="A3158" s="233">
        <v>0</v>
      </c>
      <c r="B3158" s="233">
        <v>22</v>
      </c>
      <c r="C3158" s="233">
        <v>2</v>
      </c>
      <c r="D3158" s="234">
        <v>2</v>
      </c>
      <c r="E3158" s="234">
        <v>0</v>
      </c>
      <c r="F3158" s="125"/>
      <c r="G3158" s="507"/>
      <c r="H3158" s="487" t="s">
        <v>1237</v>
      </c>
      <c r="I3158" s="452" t="s">
        <v>6454</v>
      </c>
      <c r="J3158" s="489" t="s">
        <v>35</v>
      </c>
      <c r="K3158" s="490"/>
      <c r="L3158" s="491"/>
      <c r="M3158" s="491"/>
      <c r="N3158" s="456">
        <v>4563982.4000000004</v>
      </c>
      <c r="O3158" s="492"/>
      <c r="P3158" s="430"/>
    </row>
    <row r="3159" spans="1:16" ht="13.9" hidden="1" customHeight="1" outlineLevel="3" x14ac:dyDescent="0.2">
      <c r="A3159" s="233">
        <v>0</v>
      </c>
      <c r="B3159" s="233">
        <v>22</v>
      </c>
      <c r="C3159" s="233">
        <v>2</v>
      </c>
      <c r="D3159" s="234">
        <v>2</v>
      </c>
      <c r="E3159" s="234">
        <v>1</v>
      </c>
      <c r="F3159" s="125"/>
      <c r="G3159" s="508" t="s">
        <v>53</v>
      </c>
      <c r="H3159" s="493" t="s">
        <v>1238</v>
      </c>
      <c r="I3159" s="460" t="s">
        <v>6455</v>
      </c>
      <c r="J3159" s="495" t="s">
        <v>1270</v>
      </c>
      <c r="K3159" s="496" t="s">
        <v>1129</v>
      </c>
      <c r="L3159" s="497">
        <v>1</v>
      </c>
      <c r="M3159" s="497">
        <v>4563982.4000000004</v>
      </c>
      <c r="N3159" s="464">
        <v>4563982.4000000004</v>
      </c>
      <c r="O3159" s="498"/>
      <c r="P3159" s="431" t="s">
        <v>6711</v>
      </c>
    </row>
    <row r="3160" spans="1:16" ht="13.9" hidden="1" customHeight="1" outlineLevel="2" x14ac:dyDescent="0.2">
      <c r="A3160" s="233">
        <v>0</v>
      </c>
      <c r="B3160" s="233">
        <v>22</v>
      </c>
      <c r="C3160" s="233">
        <v>2</v>
      </c>
      <c r="D3160" s="234">
        <v>3</v>
      </c>
      <c r="E3160" s="234">
        <v>0</v>
      </c>
      <c r="F3160" s="125"/>
      <c r="G3160" s="507"/>
      <c r="H3160" s="487" t="s">
        <v>1237</v>
      </c>
      <c r="I3160" s="452" t="s">
        <v>6456</v>
      </c>
      <c r="J3160" s="489" t="s">
        <v>36</v>
      </c>
      <c r="K3160" s="490"/>
      <c r="L3160" s="491"/>
      <c r="M3160" s="491"/>
      <c r="N3160" s="456">
        <v>184246.37</v>
      </c>
      <c r="O3160" s="492"/>
      <c r="P3160" s="430"/>
    </row>
    <row r="3161" spans="1:16" ht="13.9" hidden="1" customHeight="1" outlineLevel="3" x14ac:dyDescent="0.2">
      <c r="A3161" s="233">
        <v>0</v>
      </c>
      <c r="B3161" s="233">
        <v>22</v>
      </c>
      <c r="C3161" s="233">
        <v>2</v>
      </c>
      <c r="D3161" s="234">
        <v>3</v>
      </c>
      <c r="E3161" s="234">
        <v>1</v>
      </c>
      <c r="F3161" s="125"/>
      <c r="G3161" s="508" t="s">
        <v>53</v>
      </c>
      <c r="H3161" s="493" t="s">
        <v>1238</v>
      </c>
      <c r="I3161" s="460" t="s">
        <v>6457</v>
      </c>
      <c r="J3161" s="495" t="s">
        <v>36</v>
      </c>
      <c r="K3161" s="496" t="s">
        <v>1129</v>
      </c>
      <c r="L3161" s="497">
        <v>1</v>
      </c>
      <c r="M3161" s="497">
        <v>184246.37000000002</v>
      </c>
      <c r="N3161" s="464">
        <v>184246.37</v>
      </c>
      <c r="O3161" s="498"/>
      <c r="P3161" s="431" t="s">
        <v>6711</v>
      </c>
    </row>
    <row r="3162" spans="1:16" ht="13.9" hidden="1" customHeight="1" outlineLevel="2" x14ac:dyDescent="0.2">
      <c r="A3162" s="233">
        <v>0</v>
      </c>
      <c r="B3162" s="233">
        <v>22</v>
      </c>
      <c r="C3162" s="233">
        <v>2</v>
      </c>
      <c r="D3162" s="234">
        <v>4</v>
      </c>
      <c r="E3162" s="234">
        <v>0</v>
      </c>
      <c r="F3162" s="125"/>
      <c r="G3162" s="507"/>
      <c r="H3162" s="487" t="s">
        <v>1237</v>
      </c>
      <c r="I3162" s="452" t="s">
        <v>6458</v>
      </c>
      <c r="J3162" s="489" t="s">
        <v>37</v>
      </c>
      <c r="K3162" s="490"/>
      <c r="L3162" s="491"/>
      <c r="M3162" s="491"/>
      <c r="N3162" s="456">
        <v>213390.79579999999</v>
      </c>
      <c r="O3162" s="492"/>
      <c r="P3162" s="430"/>
    </row>
    <row r="3163" spans="1:16" ht="13.9" hidden="1" customHeight="1" outlineLevel="3" x14ac:dyDescent="0.2">
      <c r="A3163" s="233">
        <v>0</v>
      </c>
      <c r="B3163" s="233">
        <v>22</v>
      </c>
      <c r="C3163" s="233">
        <v>2</v>
      </c>
      <c r="D3163" s="234">
        <v>4</v>
      </c>
      <c r="E3163" s="234">
        <v>1</v>
      </c>
      <c r="F3163" s="125"/>
      <c r="G3163" s="508" t="s">
        <v>53</v>
      </c>
      <c r="H3163" s="493" t="s">
        <v>1238</v>
      </c>
      <c r="I3163" s="460" t="s">
        <v>6459</v>
      </c>
      <c r="J3163" s="495" t="s">
        <v>1271</v>
      </c>
      <c r="K3163" s="496" t="s">
        <v>1129</v>
      </c>
      <c r="L3163" s="497">
        <v>1</v>
      </c>
      <c r="M3163" s="497">
        <v>133997.36000000002</v>
      </c>
      <c r="N3163" s="464">
        <v>133997.35999999999</v>
      </c>
      <c r="O3163" s="471" t="s">
        <v>3017</v>
      </c>
      <c r="P3163" s="431" t="s">
        <v>6711</v>
      </c>
    </row>
    <row r="3164" spans="1:16" ht="13.9" hidden="1" customHeight="1" outlineLevel="3" x14ac:dyDescent="0.2">
      <c r="A3164" s="233">
        <v>0</v>
      </c>
      <c r="B3164" s="233">
        <v>22</v>
      </c>
      <c r="C3164" s="233">
        <v>2</v>
      </c>
      <c r="D3164" s="234">
        <v>4</v>
      </c>
      <c r="E3164" s="234">
        <v>2</v>
      </c>
      <c r="F3164" s="125"/>
      <c r="G3164" s="508" t="s">
        <v>53</v>
      </c>
      <c r="H3164" s="493" t="s">
        <v>1238</v>
      </c>
      <c r="I3164" s="460" t="s">
        <v>6460</v>
      </c>
      <c r="J3164" s="495" t="s">
        <v>2358</v>
      </c>
      <c r="K3164" s="496" t="s">
        <v>1129</v>
      </c>
      <c r="L3164" s="497">
        <v>1</v>
      </c>
      <c r="M3164" s="497">
        <v>45894.09580000001</v>
      </c>
      <c r="N3164" s="464">
        <v>45894.095800000003</v>
      </c>
      <c r="O3164" s="498"/>
      <c r="P3164" s="431" t="s">
        <v>6711</v>
      </c>
    </row>
    <row r="3165" spans="1:16" ht="13.9" hidden="1" customHeight="1" outlineLevel="3" x14ac:dyDescent="0.2">
      <c r="A3165" s="233">
        <v>0</v>
      </c>
      <c r="B3165" s="233">
        <v>22</v>
      </c>
      <c r="C3165" s="233">
        <v>2</v>
      </c>
      <c r="D3165" s="234">
        <v>4</v>
      </c>
      <c r="E3165" s="234">
        <v>3</v>
      </c>
      <c r="F3165" s="125"/>
      <c r="G3165" s="508" t="s">
        <v>53</v>
      </c>
      <c r="H3165" s="493" t="s">
        <v>1238</v>
      </c>
      <c r="I3165" s="460" t="s">
        <v>6461</v>
      </c>
      <c r="J3165" s="495" t="s">
        <v>2359</v>
      </c>
      <c r="K3165" s="496" t="s">
        <v>1129</v>
      </c>
      <c r="L3165" s="497">
        <v>1</v>
      </c>
      <c r="M3165" s="497">
        <v>33499.340000000004</v>
      </c>
      <c r="N3165" s="464">
        <v>33499.339999999997</v>
      </c>
      <c r="O3165" s="498"/>
      <c r="P3165" s="431" t="s">
        <v>6711</v>
      </c>
    </row>
    <row r="3166" spans="1:16" ht="13.9" hidden="1" customHeight="1" outlineLevel="2" x14ac:dyDescent="0.2">
      <c r="A3166" s="233">
        <v>0</v>
      </c>
      <c r="B3166" s="233">
        <v>22</v>
      </c>
      <c r="C3166" s="233">
        <v>2</v>
      </c>
      <c r="D3166" s="234">
        <v>5</v>
      </c>
      <c r="E3166" s="234">
        <v>0</v>
      </c>
      <c r="F3166" s="125"/>
      <c r="G3166" s="507"/>
      <c r="H3166" s="487" t="s">
        <v>1237</v>
      </c>
      <c r="I3166" s="452" t="s">
        <v>6462</v>
      </c>
      <c r="J3166" s="489" t="s">
        <v>1272</v>
      </c>
      <c r="K3166" s="490"/>
      <c r="L3166" s="491"/>
      <c r="M3166" s="491"/>
      <c r="N3166" s="456">
        <v>150747.03</v>
      </c>
      <c r="O3166" s="492"/>
      <c r="P3166" s="430"/>
    </row>
    <row r="3167" spans="1:16" ht="13.9" hidden="1" customHeight="1" outlineLevel="3" x14ac:dyDescent="0.2">
      <c r="A3167" s="233">
        <v>0</v>
      </c>
      <c r="B3167" s="233">
        <v>22</v>
      </c>
      <c r="C3167" s="233">
        <v>2</v>
      </c>
      <c r="D3167" s="234">
        <v>5</v>
      </c>
      <c r="E3167" s="234">
        <v>1</v>
      </c>
      <c r="F3167" s="125"/>
      <c r="G3167" s="508" t="s">
        <v>53</v>
      </c>
      <c r="H3167" s="493" t="s">
        <v>1238</v>
      </c>
      <c r="I3167" s="460" t="s">
        <v>6463</v>
      </c>
      <c r="J3167" s="495" t="s">
        <v>1273</v>
      </c>
      <c r="K3167" s="496" t="s">
        <v>1129</v>
      </c>
      <c r="L3167" s="497">
        <v>1</v>
      </c>
      <c r="M3167" s="497">
        <v>83748.350000000006</v>
      </c>
      <c r="N3167" s="464">
        <v>83748.350000000006</v>
      </c>
      <c r="O3167" s="498"/>
      <c r="P3167" s="431" t="s">
        <v>6711</v>
      </c>
    </row>
    <row r="3168" spans="1:16" ht="11.25" hidden="1" customHeight="1" outlineLevel="3" x14ac:dyDescent="0.2">
      <c r="A3168" s="233">
        <v>0</v>
      </c>
      <c r="B3168" s="233">
        <v>22</v>
      </c>
      <c r="C3168" s="233">
        <v>2</v>
      </c>
      <c r="D3168" s="234">
        <v>5</v>
      </c>
      <c r="E3168" s="234">
        <v>2</v>
      </c>
      <c r="F3168" s="125"/>
      <c r="G3168" s="508" t="s">
        <v>53</v>
      </c>
      <c r="H3168" s="493" t="s">
        <v>1238</v>
      </c>
      <c r="I3168" s="460" t="s">
        <v>6464</v>
      </c>
      <c r="J3168" s="495" t="s">
        <v>1274</v>
      </c>
      <c r="K3168" s="496" t="s">
        <v>1129</v>
      </c>
      <c r="L3168" s="497">
        <v>1</v>
      </c>
      <c r="M3168" s="497">
        <v>66998.680000000008</v>
      </c>
      <c r="N3168" s="464">
        <v>66998.679999999993</v>
      </c>
      <c r="O3168" s="498"/>
      <c r="P3168" s="431" t="s">
        <v>6711</v>
      </c>
    </row>
    <row r="3169" spans="1:16" ht="13.9" customHeight="1" collapsed="1" x14ac:dyDescent="0.2">
      <c r="A3169" s="233">
        <v>0</v>
      </c>
      <c r="B3169" s="233">
        <v>23</v>
      </c>
      <c r="C3169" s="233">
        <v>0</v>
      </c>
      <c r="D3169" s="234">
        <v>5</v>
      </c>
      <c r="E3169" s="234">
        <v>2</v>
      </c>
      <c r="F3169" s="238"/>
      <c r="G3169" s="504"/>
      <c r="H3169" s="476" t="s">
        <v>1236</v>
      </c>
      <c r="I3169" s="438" t="s">
        <v>6465</v>
      </c>
      <c r="J3169" s="505" t="s">
        <v>2686</v>
      </c>
      <c r="K3169" s="478"/>
      <c r="L3169" s="479"/>
      <c r="M3169" s="479"/>
      <c r="N3169" s="442"/>
      <c r="O3169" s="480"/>
      <c r="P3169" s="433"/>
    </row>
    <row r="3170" spans="1:16" ht="13.9" hidden="1" customHeight="1" outlineLevel="1" x14ac:dyDescent="0.2">
      <c r="A3170" s="233">
        <v>0</v>
      </c>
      <c r="B3170" s="233">
        <v>23</v>
      </c>
      <c r="C3170" s="233">
        <v>1</v>
      </c>
      <c r="D3170" s="234">
        <v>0</v>
      </c>
      <c r="E3170" s="234">
        <v>2</v>
      </c>
      <c r="F3170" s="125"/>
      <c r="G3170" s="506"/>
      <c r="H3170" s="481" t="s">
        <v>38</v>
      </c>
      <c r="I3170" s="445" t="s">
        <v>6466</v>
      </c>
      <c r="J3170" s="483" t="s">
        <v>2252</v>
      </c>
      <c r="K3170" s="484"/>
      <c r="L3170" s="485"/>
      <c r="M3170" s="485"/>
      <c r="N3170" s="449"/>
      <c r="O3170" s="486"/>
      <c r="P3170" s="435"/>
    </row>
    <row r="3171" spans="1:16" ht="13.9" hidden="1" customHeight="1" outlineLevel="2" x14ac:dyDescent="0.2">
      <c r="A3171" s="233">
        <v>0</v>
      </c>
      <c r="B3171" s="233">
        <v>23</v>
      </c>
      <c r="C3171" s="233">
        <v>1</v>
      </c>
      <c r="D3171" s="234">
        <v>1</v>
      </c>
      <c r="E3171" s="234">
        <v>0</v>
      </c>
      <c r="F3171" s="125"/>
      <c r="G3171" s="507"/>
      <c r="H3171" s="487" t="s">
        <v>1237</v>
      </c>
      <c r="I3171" s="452" t="s">
        <v>6467</v>
      </c>
      <c r="J3171" s="489" t="s">
        <v>2252</v>
      </c>
      <c r="K3171" s="490"/>
      <c r="L3171" s="491"/>
      <c r="M3171" s="491"/>
      <c r="N3171" s="456"/>
      <c r="O3171" s="492"/>
      <c r="P3171" s="430"/>
    </row>
    <row r="3172" spans="1:16" ht="12.75" hidden="1" outlineLevel="3" x14ac:dyDescent="0.2">
      <c r="A3172" s="233">
        <v>0</v>
      </c>
      <c r="B3172" s="233">
        <v>23</v>
      </c>
      <c r="C3172" s="233">
        <v>1</v>
      </c>
      <c r="D3172" s="234">
        <v>1</v>
      </c>
      <c r="E3172" s="234">
        <v>1</v>
      </c>
      <c r="F3172" s="125"/>
      <c r="G3172" s="508" t="s">
        <v>54</v>
      </c>
      <c r="H3172" s="493" t="s">
        <v>1238</v>
      </c>
      <c r="I3172" s="494" t="s">
        <v>6468</v>
      </c>
      <c r="J3172" s="495" t="s">
        <v>2252</v>
      </c>
      <c r="K3172" s="496" t="s">
        <v>1129</v>
      </c>
      <c r="L3172" s="497">
        <v>1</v>
      </c>
      <c r="M3172" s="497" t="e">
        <v>#REF!</v>
      </c>
      <c r="N3172" s="464"/>
      <c r="O3172" s="498"/>
      <c r="P3172" s="431" t="s">
        <v>6711</v>
      </c>
    </row>
    <row r="3173" spans="1:16" ht="12.75" hidden="1" x14ac:dyDescent="0.2">
      <c r="A3173" s="233">
        <v>0</v>
      </c>
      <c r="B3173" s="233">
        <v>23</v>
      </c>
      <c r="C3173" s="233">
        <v>1</v>
      </c>
      <c r="D3173" s="234">
        <v>1</v>
      </c>
      <c r="E3173" s="234">
        <v>1</v>
      </c>
      <c r="G3173" s="59"/>
      <c r="H3173" s="59"/>
      <c r="I3173" s="59"/>
      <c r="J3173" s="62"/>
      <c r="K3173" s="60"/>
      <c r="L3173" s="58" t="e">
        <v>#REF!</v>
      </c>
      <c r="M3173" s="64" t="e">
        <v>#REF!</v>
      </c>
      <c r="N3173" s="61" t="s">
        <v>1236</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63" type="noConversion"/>
  <conditionalFormatting sqref="G20 K1702 K1685 K1774 K1845 K1875 K1861 M1902:M1907 M1928:M1930 M1921:M1922 M1972:M1983 M1963:M1968 M1958:M1961 M1949:M1952 M1941:M1943 M2026:M2028 M2020 M2011 M2004 M1997 M1990 J20">
    <cfRule type="expression" dxfId="20132" priority="46624">
      <formula>$H20="CÉLULA CONSTRUTIVA"</formula>
    </cfRule>
    <cfRule type="expression" dxfId="20131" priority="46625">
      <formula>$H20="ETAPA"</formula>
    </cfRule>
    <cfRule type="expression" dxfId="20130" priority="46626">
      <formula>$H20="SUBETAPA"</formula>
    </cfRule>
  </conditionalFormatting>
  <conditionalFormatting sqref="G23">
    <cfRule type="expression" dxfId="20129" priority="46621">
      <formula>$H23="CÉLULA CONSTRUTIVA"</formula>
    </cfRule>
    <cfRule type="expression" dxfId="20128" priority="46622">
      <formula>$H23="ETAPA"</formula>
    </cfRule>
    <cfRule type="expression" dxfId="20127" priority="46623">
      <formula>$H23="SUBETAPA"</formula>
    </cfRule>
  </conditionalFormatting>
  <conditionalFormatting sqref="G29">
    <cfRule type="expression" dxfId="20126" priority="44">
      <formula>$H29="CÉLULA CONSTRUTIVA"</formula>
    </cfRule>
    <cfRule type="expression" dxfId="20125" priority="45">
      <formula>$H29="SUBETAPA"</formula>
    </cfRule>
    <cfRule type="expression" dxfId="20124" priority="46">
      <formula>$H29="ETAPA"</formula>
    </cfRule>
  </conditionalFormatting>
  <conditionalFormatting sqref="G30">
    <cfRule type="expression" dxfId="20123" priority="41">
      <formula>$H30="CÉLULA CONSTRUTIVA"</formula>
    </cfRule>
    <cfRule type="expression" dxfId="20122" priority="42">
      <formula>$H30="SUBETAPA"</formula>
    </cfRule>
    <cfRule type="expression" dxfId="20121" priority="43">
      <formula>$H30="ETAPA"</formula>
    </cfRule>
  </conditionalFormatting>
  <conditionalFormatting sqref="G32">
    <cfRule type="expression" dxfId="20120" priority="38">
      <formula>$H32="CÉLULA CONSTRUTIVA"</formula>
    </cfRule>
    <cfRule type="expression" dxfId="20119" priority="39">
      <formula>$H32="SUBETAPA"</formula>
    </cfRule>
    <cfRule type="expression" dxfId="20118" priority="40">
      <formula>$H32="ETAPA"</formula>
    </cfRule>
  </conditionalFormatting>
  <conditionalFormatting sqref="G35:G38">
    <cfRule type="expression" dxfId="20117" priority="35">
      <formula>$H35="CÉLULA CONSTRUTIVA"</formula>
    </cfRule>
    <cfRule type="expression" dxfId="20116" priority="36">
      <formula>$H35="SUBETAPA"</formula>
    </cfRule>
    <cfRule type="expression" dxfId="20115" priority="37">
      <formula>$H35="ETAPA"</formula>
    </cfRule>
  </conditionalFormatting>
  <conditionalFormatting sqref="G40">
    <cfRule type="expression" dxfId="20114" priority="32">
      <formula>$H40="CÉLULA CONSTRUTIVA"</formula>
    </cfRule>
    <cfRule type="expression" dxfId="20113" priority="33">
      <formula>$H40="SUBETAPA"</formula>
    </cfRule>
    <cfRule type="expression" dxfId="20112" priority="34">
      <formula>$H40="ETAPA"</formula>
    </cfRule>
  </conditionalFormatting>
  <conditionalFormatting sqref="G42 M42:N43">
    <cfRule type="expression" dxfId="20111" priority="50486">
      <formula>$H42="SUBETAPA"</formula>
    </cfRule>
  </conditionalFormatting>
  <conditionalFormatting sqref="G42">
    <cfRule type="expression" dxfId="20110" priority="50488">
      <formula>$H42="ETAPA"</formula>
    </cfRule>
  </conditionalFormatting>
  <conditionalFormatting sqref="G43">
    <cfRule type="expression" dxfId="20109" priority="29">
      <formula>$H43="CÉLULA CONSTRUTIVA"</formula>
    </cfRule>
    <cfRule type="expression" dxfId="20108" priority="30">
      <formula>$H43="SUBETAPA"</formula>
    </cfRule>
    <cfRule type="expression" dxfId="20107" priority="31">
      <formula>$H43="ETAPA"</formula>
    </cfRule>
  </conditionalFormatting>
  <conditionalFormatting sqref="G45:G48">
    <cfRule type="expression" dxfId="20106" priority="26">
      <formula>$H45="CÉLULA CONSTRUTIVA"</formula>
    </cfRule>
    <cfRule type="expression" dxfId="20105" priority="27">
      <formula>$H45="SUBETAPA"</formula>
    </cfRule>
    <cfRule type="expression" dxfId="20104" priority="28">
      <formula>$H45="ETAPA"</formula>
    </cfRule>
  </conditionalFormatting>
  <conditionalFormatting sqref="G50">
    <cfRule type="expression" dxfId="20103" priority="23">
      <formula>$H50="CÉLULA CONSTRUTIVA"</formula>
    </cfRule>
    <cfRule type="expression" dxfId="20102" priority="24">
      <formula>$H50="SUBETAPA"</formula>
    </cfRule>
    <cfRule type="expression" dxfId="20101" priority="25">
      <formula>$H50="ETAPA"</formula>
    </cfRule>
  </conditionalFormatting>
  <conditionalFormatting sqref="G53">
    <cfRule type="expression" dxfId="20100" priority="20">
      <formula>$H53="CÉLULA CONSTRUTIVA"</formula>
    </cfRule>
    <cfRule type="expression" dxfId="20099" priority="21">
      <formula>$H53="SUBETAPA"</formula>
    </cfRule>
    <cfRule type="expression" dxfId="20098" priority="22">
      <formula>$H53="ETAPA"</formula>
    </cfRule>
  </conditionalFormatting>
  <conditionalFormatting sqref="G54">
    <cfRule type="expression" dxfId="20097" priority="17">
      <formula>$H54="CÉLULA CONSTRUTIVA"</formula>
    </cfRule>
    <cfRule type="expression" dxfId="20096" priority="18">
      <formula>$H54="SUBETAPA"</formula>
    </cfRule>
    <cfRule type="expression" dxfId="20095" priority="19">
      <formula>$H54="ETAPA"</formula>
    </cfRule>
  </conditionalFormatting>
  <conditionalFormatting sqref="G57">
    <cfRule type="expression" dxfId="20094" priority="14">
      <formula>$H57="CÉLULA CONSTRUTIVA"</formula>
    </cfRule>
    <cfRule type="expression" dxfId="20093" priority="15">
      <formula>$H57="SUBETAPA"</formula>
    </cfRule>
    <cfRule type="expression" dxfId="20092" priority="16">
      <formula>$H57="ETAPA"</formula>
    </cfRule>
  </conditionalFormatting>
  <conditionalFormatting sqref="G80:G82 M95 M93">
    <cfRule type="expression" dxfId="20091" priority="50315">
      <formula>$H80="ETAPA"</formula>
    </cfRule>
  </conditionalFormatting>
  <conditionalFormatting sqref="G946:G958">
    <cfRule type="expression" dxfId="20090" priority="51706">
      <formula>$H946="SUBETAPA"</formula>
    </cfRule>
  </conditionalFormatting>
  <conditionalFormatting sqref="G961:G963 G966:G973">
    <cfRule type="expression" dxfId="20089" priority="51861">
      <formula>$H961="SUBETAPA"</formula>
    </cfRule>
  </conditionalFormatting>
  <conditionalFormatting sqref="G964:G965">
    <cfRule type="expression" dxfId="20088" priority="51494">
      <formula>$H964="SUBETAPA"</formula>
    </cfRule>
  </conditionalFormatting>
  <conditionalFormatting sqref="G976:G978 G981:G988">
    <cfRule type="expression" dxfId="20087" priority="52019">
      <formula>$H976="SUBETAPA"</formula>
    </cfRule>
  </conditionalFormatting>
  <conditionalFormatting sqref="G979:G980">
    <cfRule type="expression" dxfId="20086" priority="51456">
      <formula>$H979="SUBETAPA"</formula>
    </cfRule>
  </conditionalFormatting>
  <conditionalFormatting sqref="G991:G993 G996:G1003">
    <cfRule type="expression" dxfId="20085" priority="52174">
      <formula>$H991="SUBETAPA"</formula>
    </cfRule>
  </conditionalFormatting>
  <conditionalFormatting sqref="G994:G995">
    <cfRule type="expression" dxfId="20084" priority="51418">
      <formula>$H994="SUBETAPA"</formula>
    </cfRule>
  </conditionalFormatting>
  <conditionalFormatting sqref="G1006:G1008 G1011:G1018">
    <cfRule type="expression" dxfId="20083" priority="52332">
      <formula>$H1006="SUBETAPA"</formula>
    </cfRule>
  </conditionalFormatting>
  <conditionalFormatting sqref="G1009:G1010">
    <cfRule type="expression" dxfId="20082" priority="51380">
      <formula>$H1009="SUBETAPA"</formula>
    </cfRule>
  </conditionalFormatting>
  <conditionalFormatting sqref="G1021:G1023 G1026:G1033">
    <cfRule type="expression" dxfId="20081" priority="52487">
      <formula>$H1021="SUBETAPA"</formula>
    </cfRule>
  </conditionalFormatting>
  <conditionalFormatting sqref="G1024:G1025">
    <cfRule type="expression" dxfId="20080" priority="51342">
      <formula>$H1024="SUBETAPA"</formula>
    </cfRule>
  </conditionalFormatting>
  <conditionalFormatting sqref="G1036:G1038 G1041:G1048">
    <cfRule type="expression" dxfId="20079" priority="52642">
      <formula>$H1036="SUBETAPA"</formula>
    </cfRule>
  </conditionalFormatting>
  <conditionalFormatting sqref="G1039:G1040">
    <cfRule type="expression" dxfId="20078" priority="51304">
      <formula>$H1039="SUBETAPA"</formula>
    </cfRule>
  </conditionalFormatting>
  <conditionalFormatting sqref="G1051:G1053 G1056:G1063">
    <cfRule type="expression" dxfId="20077" priority="52800">
      <formula>$H1051="SUBETAPA"</formula>
    </cfRule>
  </conditionalFormatting>
  <conditionalFormatting sqref="G1054:G1055">
    <cfRule type="expression" dxfId="20076" priority="51266">
      <formula>$H1054="SUBETAPA"</formula>
    </cfRule>
  </conditionalFormatting>
  <conditionalFormatting sqref="G1066:G1068 G1071:G1078">
    <cfRule type="expression" dxfId="20075" priority="52955">
      <formula>$H1066="SUBETAPA"</formula>
    </cfRule>
  </conditionalFormatting>
  <conditionalFormatting sqref="G1069:G1070">
    <cfRule type="expression" dxfId="20074" priority="51228">
      <formula>$H1069="SUBETAPA"</formula>
    </cfRule>
  </conditionalFormatting>
  <conditionalFormatting sqref="G1081:G1083 G1086:G1093">
    <cfRule type="expression" dxfId="20073" priority="53113">
      <formula>$H1081="SUBETAPA"</formula>
    </cfRule>
  </conditionalFormatting>
  <conditionalFormatting sqref="G1084:G1085">
    <cfRule type="expression" dxfId="20072" priority="51190">
      <formula>$H1084="SUBETAPA"</formula>
    </cfRule>
  </conditionalFormatting>
  <conditionalFormatting sqref="G1096:G1098 G1101:G1108">
    <cfRule type="expression" dxfId="20071" priority="53268">
      <formula>$H1096="SUBETAPA"</formula>
    </cfRule>
  </conditionalFormatting>
  <conditionalFormatting sqref="G1099:G1100">
    <cfRule type="expression" dxfId="20070" priority="51152">
      <formula>$H1099="SUBETAPA"</formula>
    </cfRule>
  </conditionalFormatting>
  <conditionalFormatting sqref="G1111:G1113 G1116:G1123">
    <cfRule type="expression" dxfId="20069" priority="53426">
      <formula>$H1111="SUBETAPA"</formula>
    </cfRule>
  </conditionalFormatting>
  <conditionalFormatting sqref="G1114:G1115">
    <cfRule type="expression" dxfId="20068" priority="51114">
      <formula>$H1114="SUBETAPA"</formula>
    </cfRule>
  </conditionalFormatting>
  <conditionalFormatting sqref="G1126:G1128 G1131:G1138">
    <cfRule type="expression" dxfId="20067" priority="53581">
      <formula>$H1126="SUBETAPA"</formula>
    </cfRule>
  </conditionalFormatting>
  <conditionalFormatting sqref="G1129:G1130">
    <cfRule type="expression" dxfId="20066" priority="51076">
      <formula>$H1129="SUBETAPA"</formula>
    </cfRule>
  </conditionalFormatting>
  <conditionalFormatting sqref="G1141:G1143 G1146:G1153">
    <cfRule type="expression" dxfId="20065" priority="53739">
      <formula>$H1141="SUBETAPA"</formula>
    </cfRule>
  </conditionalFormatting>
  <conditionalFormatting sqref="G1144:G1145">
    <cfRule type="expression" dxfId="20064" priority="51038">
      <formula>$H1144="SUBETAPA"</formula>
    </cfRule>
  </conditionalFormatting>
  <conditionalFormatting sqref="G1242">
    <cfRule type="expression" dxfId="20063" priority="55">
      <formula>$H1242="CÉLULA CONSTRUTIVA"</formula>
    </cfRule>
    <cfRule type="expression" dxfId="20062" priority="56">
      <formula>$H1242="SUBETAPA"</formula>
    </cfRule>
    <cfRule type="expression" dxfId="20061" priority="57">
      <formula>$H1242="ETAPA"</formula>
    </cfRule>
  </conditionalFormatting>
  <conditionalFormatting sqref="G1243">
    <cfRule type="expression" dxfId="20060" priority="52">
      <formula>$H1243="CÉLULA CONSTRUTIVA"</formula>
    </cfRule>
    <cfRule type="expression" dxfId="20059" priority="53">
      <formula>$H1243="SUBETAPA"</formula>
    </cfRule>
    <cfRule type="expression" dxfId="20058" priority="54">
      <formula>$H1243="ETAPA"</formula>
    </cfRule>
  </conditionalFormatting>
  <conditionalFormatting sqref="G1245:G1249">
    <cfRule type="expression" dxfId="20057" priority="50">
      <formula>$H1245="SUBETAPA"</formula>
    </cfRule>
    <cfRule type="expression" dxfId="20056" priority="51">
      <formula>$H1245="ETAPA"</formula>
    </cfRule>
  </conditionalFormatting>
  <conditionalFormatting sqref="G1251">
    <cfRule type="expression" dxfId="20055" priority="47">
      <formula>$H1251="SUBETAPA"</formula>
    </cfRule>
    <cfRule type="expression" dxfId="20054" priority="48">
      <formula>$H1251="ETAPA"</formula>
    </cfRule>
    <cfRule type="expression" dxfId="20053" priority="49">
      <formula>$H1251="CÉLULA CONSTRUTIVA"</formula>
    </cfRule>
  </conditionalFormatting>
  <conditionalFormatting sqref="G1267:G1276">
    <cfRule type="expression" dxfId="20052" priority="2795">
      <formula>$H1267="CÉLULA CONSTRUTIVA"</formula>
    </cfRule>
  </conditionalFormatting>
  <conditionalFormatting sqref="G1281:G1290">
    <cfRule type="expression" dxfId="20051" priority="2864">
      <formula>$H1281="CÉLULA CONSTRUTIVA"</formula>
    </cfRule>
  </conditionalFormatting>
  <conditionalFormatting sqref="G1295:G1304">
    <cfRule type="expression" dxfId="20050" priority="2933">
      <formula>$H1295="CÉLULA CONSTRUTIVA"</formula>
    </cfRule>
  </conditionalFormatting>
  <conditionalFormatting sqref="G1309:G1318">
    <cfRule type="expression" dxfId="20049" priority="3002">
      <formula>$H1309="CÉLULA CONSTRUTIVA"</formula>
    </cfRule>
  </conditionalFormatting>
  <conditionalFormatting sqref="G1323:G1332">
    <cfRule type="expression" dxfId="20048" priority="3071">
      <formula>$H1323="CÉLULA CONSTRUTIVA"</formula>
    </cfRule>
  </conditionalFormatting>
  <conditionalFormatting sqref="G1337:G1346">
    <cfRule type="expression" dxfId="20047" priority="3140">
      <formula>$H1337="CÉLULA CONSTRUTIVA"</formula>
    </cfRule>
  </conditionalFormatting>
  <conditionalFormatting sqref="G1370">
    <cfRule type="expression" dxfId="20046" priority="80">
      <formula>$H1370="CÉLULA CONSTRUTIVA"</formula>
    </cfRule>
  </conditionalFormatting>
  <conditionalFormatting sqref="G1373">
    <cfRule type="expression" dxfId="20045" priority="79">
      <formula>$H1373="CÉLULA CONSTRUTIVA"</formula>
    </cfRule>
  </conditionalFormatting>
  <conditionalFormatting sqref="G1376">
    <cfRule type="expression" dxfId="20044" priority="78">
      <formula>$H1376="CÉLULA CONSTRUTIVA"</formula>
    </cfRule>
  </conditionalFormatting>
  <conditionalFormatting sqref="G1379">
    <cfRule type="expression" dxfId="20043" priority="77">
      <formula>$H1379="CÉLULA CONSTRUTIVA"</formula>
    </cfRule>
  </conditionalFormatting>
  <conditionalFormatting sqref="G1382">
    <cfRule type="expression" dxfId="20042" priority="76">
      <formula>$H1382="CÉLULA CONSTRUTIVA"</formula>
    </cfRule>
  </conditionalFormatting>
  <conditionalFormatting sqref="G1385">
    <cfRule type="expression" dxfId="20041" priority="75">
      <formula>$H1385="CÉLULA CONSTRUTIVA"</formula>
    </cfRule>
  </conditionalFormatting>
  <conditionalFormatting sqref="G1388">
    <cfRule type="expression" dxfId="20040" priority="73">
      <formula>$H1388="SUBETAPA"</formula>
    </cfRule>
    <cfRule type="expression" dxfId="20039" priority="74">
      <formula>$H1388="ETAPA"</formula>
    </cfRule>
  </conditionalFormatting>
  <conditionalFormatting sqref="G1390">
    <cfRule type="expression" dxfId="20038" priority="71">
      <formula>$H1390="SUBETAPA"</formula>
    </cfRule>
    <cfRule type="expression" dxfId="20037" priority="72">
      <formula>$H1390="ETAPA"</formula>
    </cfRule>
  </conditionalFormatting>
  <conditionalFormatting sqref="G1392">
    <cfRule type="expression" dxfId="20036" priority="69">
      <formula>$H1392="SUBETAPA"</formula>
    </cfRule>
    <cfRule type="expression" dxfId="20035" priority="70">
      <formula>$H1392="ETAPA"</formula>
    </cfRule>
  </conditionalFormatting>
  <conditionalFormatting sqref="G1395">
    <cfRule type="expression" dxfId="20034" priority="67">
      <formula>$H1395="SUBETAPA"</formula>
    </cfRule>
    <cfRule type="expression" dxfId="20033" priority="68">
      <formula>$H1395="ETAPA"</formula>
    </cfRule>
  </conditionalFormatting>
  <conditionalFormatting sqref="G1397">
    <cfRule type="expression" dxfId="20032" priority="65">
      <formula>$H1397="SUBETAPA"</formula>
    </cfRule>
    <cfRule type="expression" dxfId="20031" priority="66">
      <formula>$H1397="ETAPA"</formula>
    </cfRule>
  </conditionalFormatting>
  <conditionalFormatting sqref="G1399">
    <cfRule type="expression" dxfId="20030" priority="63">
      <formula>$H1399="SUBETAPA"</formula>
    </cfRule>
    <cfRule type="expression" dxfId="20029" priority="64">
      <formula>$H1399="ETAPA"</formula>
    </cfRule>
  </conditionalFormatting>
  <conditionalFormatting sqref="G1404">
    <cfRule type="expression" dxfId="20028" priority="62">
      <formula>$H1404="CÉLULA CONSTRUTIVA"</formula>
    </cfRule>
  </conditionalFormatting>
  <conditionalFormatting sqref="G1409">
    <cfRule type="expression" dxfId="20027" priority="61">
      <formula>$H1409="CÉLULA CONSTRUTIVA"</formula>
    </cfRule>
  </conditionalFormatting>
  <conditionalFormatting sqref="G1414">
    <cfRule type="expression" dxfId="20026" priority="60">
      <formula>$H1414="CÉLULA CONSTRUTIVA"</formula>
    </cfRule>
  </conditionalFormatting>
  <conditionalFormatting sqref="G1419">
    <cfRule type="expression" dxfId="20025" priority="59">
      <formula>$H1419="CÉLULA CONSTRUTIVA"</formula>
    </cfRule>
  </conditionalFormatting>
  <conditionalFormatting sqref="G1422">
    <cfRule type="expression" dxfId="20024"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23" priority="4265">
      <formula>$H394="SUBETAPA"</formula>
    </cfRule>
    <cfRule type="expression" dxfId="20022" priority="4266">
      <formula>$H394="CÉLULA CONSTRUTIVA"</formula>
    </cfRule>
  </conditionalFormatting>
  <conditionalFormatting sqref="G1673:G1679 G2031">
    <cfRule type="expression" dxfId="20021" priority="5358">
      <formula>$H1673="ETAPA"</formula>
    </cfRule>
  </conditionalFormatting>
  <conditionalFormatting sqref="G1674:G1675">
    <cfRule type="expression" dxfId="20020" priority="5727">
      <formula>$H1674="SUBETAPA"</formula>
    </cfRule>
    <cfRule type="expression" dxfId="20019"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18" priority="5726">
      <formula>$H617="ETAPA"</formula>
    </cfRule>
    <cfRule type="expression" dxfId="20017" priority="6342">
      <formula>$H617="SUBETAPA"</formula>
    </cfRule>
  </conditionalFormatting>
  <conditionalFormatting sqref="G1681 G1674:G1675">
    <cfRule type="expression" dxfId="20016" priority="5725">
      <formula>$H1674="ETAPA"</formula>
    </cfRule>
  </conditionalFormatting>
  <conditionalFormatting sqref="G1683">
    <cfRule type="expression" dxfId="20015" priority="5297">
      <formula>$H1683="CÉLULA CONSTRUTIVA"</formula>
    </cfRule>
    <cfRule type="expression" dxfId="20014" priority="5723">
      <formula>$H1683="ETAPA"</formula>
    </cfRule>
    <cfRule type="expression" dxfId="20013" priority="5724">
      <formula>$H1683="SUBETAPA"</formula>
    </cfRule>
  </conditionalFormatting>
  <conditionalFormatting sqref="G1689">
    <cfRule type="expression" dxfId="20012" priority="6340">
      <formula>$H1689="ETAPA"</formula>
    </cfRule>
    <cfRule type="expression" dxfId="20011" priority="6341">
      <formula>$H1689="SUBETAPA"</formula>
    </cfRule>
  </conditionalFormatting>
  <conditionalFormatting sqref="G1690">
    <cfRule type="expression" dxfId="20010" priority="6338">
      <formula>$H1690="ETAPA"</formula>
    </cfRule>
    <cfRule type="expression" dxfId="20009"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08" priority="5296">
      <formula>$H392="CÉLULA CONSTRUTIVA"</formula>
    </cfRule>
    <cfRule type="expression" dxfId="20007" priority="5719">
      <formula>$H392="SUBETAPA"</formula>
    </cfRule>
  </conditionalFormatting>
  <conditionalFormatting sqref="G1693">
    <cfRule type="expression" dxfId="20006" priority="5312">
      <formula>$H1693="ETAPA"</formula>
    </cfRule>
  </conditionalFormatting>
  <conditionalFormatting sqref="G1696:G1699">
    <cfRule type="expression" dxfId="20005" priority="6337">
      <formula>$H1696="ETAPA"</formula>
    </cfRule>
  </conditionalFormatting>
  <conditionalFormatting sqref="G1700">
    <cfRule type="expression" dxfId="20004" priority="5712">
      <formula>$H1700="ETAPA"</formula>
    </cfRule>
    <cfRule type="expression" dxfId="20003" priority="5713">
      <formula>$H1700="CÉLULA CONSTRUTIVA"</formula>
    </cfRule>
    <cfRule type="expression" dxfId="20002" priority="5714">
      <formula>$H1700="SUBETAPA"</formula>
    </cfRule>
    <cfRule type="expression" dxfId="20001" priority="6330">
      <formula>$H1700="CÉLULA CONSTRUTIVA"</formula>
    </cfRule>
    <cfRule type="expression" dxfId="20000" priority="6331">
      <formula>$H1700="ETAPA"</formula>
    </cfRule>
    <cfRule type="expression" dxfId="19999" priority="6332">
      <formula>$H1700="SUBETAPA"</formula>
    </cfRule>
  </conditionalFormatting>
  <conditionalFormatting sqref="G1702 G1845 G1875 G1861">
    <cfRule type="expression" dxfId="19998" priority="5709">
      <formula>$H1702="SUBETAPA"</formula>
    </cfRule>
    <cfRule type="expression" dxfId="19997" priority="5710">
      <formula>$H1702="CÉLULA CONSTRUTIVA"</formula>
    </cfRule>
    <cfRule type="expression" dxfId="19996" priority="5711">
      <formula>$H1702="ETAPA"</formula>
    </cfRule>
    <cfRule type="expression" dxfId="19995" priority="6327">
      <formula>$H1702="SUBETAPA"</formula>
    </cfRule>
    <cfRule type="expression" dxfId="19994" priority="6328">
      <formula>$H1702="CÉLULA CONSTRUTIVA"</formula>
    </cfRule>
    <cfRule type="expression" dxfId="19993" priority="6329">
      <formula>$H1702="ETAPA"</formula>
    </cfRule>
  </conditionalFormatting>
  <conditionalFormatting sqref="G1706">
    <cfRule type="expression" dxfId="19992" priority="6319">
      <formula>$H1706="ETAPA"</formula>
    </cfRule>
    <cfRule type="expression" dxfId="19991" priority="6320">
      <formula>$H1706="SUBETAPA"</formula>
    </cfRule>
  </conditionalFormatting>
  <conditionalFormatting sqref="G1707">
    <cfRule type="expression" dxfId="19990" priority="6317">
      <formula>$H1707="ETAPA"</formula>
    </cfRule>
    <cfRule type="expression" dxfId="19989" priority="6318">
      <formula>$H1707="SUBETAPA"</formula>
    </cfRule>
  </conditionalFormatting>
  <conditionalFormatting sqref="G1709 G1835 G1822 G1808 G1866">
    <cfRule type="expression" dxfId="19988" priority="5311">
      <formula>$H1709="ETAPA"</formula>
    </cfRule>
    <cfRule type="expression" dxfId="19987" priority="6326">
      <formula>$H1709="ETAPA"</formula>
    </cfRule>
  </conditionalFormatting>
  <conditionalFormatting sqref="G1709">
    <cfRule type="expression" dxfId="19986" priority="5295">
      <formula>$H1709="CÉLULA CONSTRUTIVA"</formula>
    </cfRule>
    <cfRule type="expression" dxfId="19985" priority="5708">
      <formula>$H1709="SUBETAPA"</formula>
    </cfRule>
    <cfRule type="expression" dxfId="19984" priority="6324">
      <formula>$H1709="CÉLULA CONSTRUTIVA"</formula>
    </cfRule>
    <cfRule type="expression" dxfId="19983" priority="6325">
      <formula>$H1709="SUBETAPA"</formula>
    </cfRule>
  </conditionalFormatting>
  <conditionalFormatting sqref="G1710:G1711">
    <cfRule type="expression" dxfId="19982" priority="5701">
      <formula>$H1710="ETAPA"</formula>
    </cfRule>
    <cfRule type="expression" dxfId="19981" priority="5703">
      <formula>$H1710="SUBETAPA"</formula>
    </cfRule>
    <cfRule type="expression" dxfId="19980" priority="5704">
      <formula>$H1710="CÉLULA CONSTRUTIVA"</formula>
    </cfRule>
  </conditionalFormatting>
  <conditionalFormatting sqref="G1712:G1715">
    <cfRule type="expression" dxfId="19979" priority="6314">
      <formula>$H1712="ETAPA"</formula>
    </cfRule>
  </conditionalFormatting>
  <conditionalFormatting sqref="G1716">
    <cfRule type="expression" dxfId="19978" priority="5698">
      <formula>$H1716="ETAPA"</formula>
    </cfRule>
    <cfRule type="expression" dxfId="19977" priority="5699">
      <formula>$H1716="CÉLULA CONSTRUTIVA"</formula>
    </cfRule>
    <cfRule type="expression" dxfId="19976" priority="5700">
      <formula>$H1716="SUBETAPA"</formula>
    </cfRule>
    <cfRule type="expression" dxfId="19975" priority="6307">
      <formula>$H1716="CÉLULA CONSTRUTIVA"</formula>
    </cfRule>
    <cfRule type="expression" dxfId="19974" priority="6308">
      <formula>$H1716="ETAPA"</formula>
    </cfRule>
    <cfRule type="expression" dxfId="19973" priority="6309">
      <formula>$H1716="SUBETAPA"</formula>
    </cfRule>
  </conditionalFormatting>
  <conditionalFormatting sqref="G1721">
    <cfRule type="expression" dxfId="19972" priority="6296">
      <formula>$H1721="ETAPA"</formula>
    </cfRule>
    <cfRule type="expression" dxfId="19971" priority="6297">
      <formula>$H1721="SUBETAPA"</formula>
    </cfRule>
  </conditionalFormatting>
  <conditionalFormatting sqref="G1722">
    <cfRule type="expression" dxfId="19970" priority="6294">
      <formula>$H1722="ETAPA"</formula>
    </cfRule>
    <cfRule type="expression" dxfId="19969" priority="6295">
      <formula>$H1722="SUBETAPA"</formula>
    </cfRule>
  </conditionalFormatting>
  <conditionalFormatting sqref="G1724">
    <cfRule type="expression" dxfId="19968" priority="5294">
      <formula>$H1724="CÉLULA CONSTRUTIVA"</formula>
    </cfRule>
    <cfRule type="expression" dxfId="19967" priority="5310">
      <formula>$H1724="ETAPA"</formula>
    </cfRule>
    <cfRule type="expression" dxfId="19966" priority="5694">
      <formula>$H1724="SUBETAPA"</formula>
    </cfRule>
    <cfRule type="expression" dxfId="19965" priority="6301">
      <formula>$H1724="CÉLULA CONSTRUTIVA"</formula>
    </cfRule>
    <cfRule type="expression" dxfId="19964" priority="6302">
      <formula>$H1724="SUBETAPA"</formula>
    </cfRule>
    <cfRule type="expression" dxfId="19963" priority="6303">
      <formula>$H1724="ETAPA"</formula>
    </cfRule>
  </conditionalFormatting>
  <conditionalFormatting sqref="G1725:G1726">
    <cfRule type="expression" dxfId="19962" priority="5687">
      <formula>$H1725="ETAPA"</formula>
    </cfRule>
    <cfRule type="expression" dxfId="19961" priority="5689">
      <formula>$H1725="SUBETAPA"</formula>
    </cfRule>
    <cfRule type="expression" dxfId="19960" priority="5690">
      <formula>$H1725="CÉLULA CONSTRUTIVA"</formula>
    </cfRule>
  </conditionalFormatting>
  <conditionalFormatting sqref="G1727:G1730">
    <cfRule type="expression" dxfId="19959" priority="6291">
      <formula>$H1727="ETAPA"</formula>
    </cfRule>
  </conditionalFormatting>
  <conditionalFormatting sqref="G1731">
    <cfRule type="expression" dxfId="19958" priority="5684">
      <formula>$H1731="ETAPA"</formula>
    </cfRule>
    <cfRule type="expression" dxfId="19957" priority="5685">
      <formula>$H1731="CÉLULA CONSTRUTIVA"</formula>
    </cfRule>
    <cfRule type="expression" dxfId="19956" priority="5686">
      <formula>$H1731="SUBETAPA"</formula>
    </cfRule>
    <cfRule type="expression" dxfId="19955" priority="6284">
      <formula>$H1731="CÉLULA CONSTRUTIVA"</formula>
    </cfRule>
    <cfRule type="expression" dxfId="19954" priority="6285">
      <formula>$H1731="ETAPA"</formula>
    </cfRule>
    <cfRule type="expression" dxfId="19953" priority="6286">
      <formula>$H1731="SUBETAPA"</formula>
    </cfRule>
  </conditionalFormatting>
  <conditionalFormatting sqref="G1734">
    <cfRule type="expression" dxfId="19952" priority="6273">
      <formula>$H1734="ETAPA"</formula>
    </cfRule>
    <cfRule type="expression" dxfId="19951" priority="6274">
      <formula>$H1734="SUBETAPA"</formula>
    </cfRule>
  </conditionalFormatting>
  <conditionalFormatting sqref="G1735">
    <cfRule type="expression" dxfId="19950" priority="6271">
      <formula>$H1735="ETAPA"</formula>
    </cfRule>
    <cfRule type="expression" dxfId="19949" priority="6272">
      <formula>$H1735="SUBETAPA"</formula>
    </cfRule>
  </conditionalFormatting>
  <conditionalFormatting sqref="G1737:G1738">
    <cfRule type="expression" dxfId="19948" priority="5673">
      <formula>$H1737="ETAPA"</formula>
    </cfRule>
    <cfRule type="expression" dxfId="19947" priority="5675">
      <formula>$H1737="SUBETAPA"</formula>
    </cfRule>
    <cfRule type="expression" dxfId="19946" priority="5676">
      <formula>$H1737="CÉLULA CONSTRUTIVA"</formula>
    </cfRule>
  </conditionalFormatting>
  <conditionalFormatting sqref="G1743">
    <cfRule type="expression" dxfId="19945" priority="5670">
      <formula>$H1743="ETAPA"</formula>
    </cfRule>
    <cfRule type="expression" dxfId="19944" priority="5671">
      <formula>$H1743="CÉLULA CONSTRUTIVA"</formula>
    </cfRule>
    <cfRule type="expression" dxfId="19943" priority="5672">
      <formula>$H1743="SUBETAPA"</formula>
    </cfRule>
    <cfRule type="expression" dxfId="19942" priority="6261">
      <formula>$H1743="CÉLULA CONSTRUTIVA"</formula>
    </cfRule>
    <cfRule type="expression" dxfId="19941" priority="6262">
      <formula>$H1743="ETAPA"</formula>
    </cfRule>
    <cfRule type="expression" dxfId="19940" priority="6263">
      <formula>$H1743="SUBETAPA"</formula>
    </cfRule>
  </conditionalFormatting>
  <conditionalFormatting sqref="G1746">
    <cfRule type="expression" dxfId="19939" priority="6250">
      <formula>$H1746="ETAPA"</formula>
    </cfRule>
    <cfRule type="expression" dxfId="19938" priority="6251">
      <formula>$H1746="SUBETAPA"</formula>
    </cfRule>
  </conditionalFormatting>
  <conditionalFormatting sqref="G1747">
    <cfRule type="expression" dxfId="19937" priority="6248">
      <formula>$H1747="ETAPA"</formula>
    </cfRule>
    <cfRule type="expression" dxfId="19936" priority="6249">
      <formula>$H1747="SUBETAPA"</formula>
    </cfRule>
  </conditionalFormatting>
  <conditionalFormatting sqref="G1749:G1750">
    <cfRule type="expression" dxfId="19935" priority="5659">
      <formula>$H1749="ETAPA"</formula>
    </cfRule>
    <cfRule type="expression" dxfId="19934" priority="5661">
      <formula>$H1749="SUBETAPA"</formula>
    </cfRule>
    <cfRule type="expression" dxfId="19933" priority="5662">
      <formula>$H1749="CÉLULA CONSTRUTIVA"</formula>
    </cfRule>
  </conditionalFormatting>
  <conditionalFormatting sqref="G1751:G1754">
    <cfRule type="expression" dxfId="19932" priority="6245">
      <formula>$H1751="ETAPA"</formula>
    </cfRule>
  </conditionalFormatting>
  <conditionalFormatting sqref="G1755">
    <cfRule type="expression" dxfId="19931" priority="5656">
      <formula>$H1755="ETAPA"</formula>
    </cfRule>
    <cfRule type="expression" dxfId="19930" priority="5657">
      <formula>$H1755="CÉLULA CONSTRUTIVA"</formula>
    </cfRule>
    <cfRule type="expression" dxfId="19929" priority="5658">
      <formula>$H1755="SUBETAPA"</formula>
    </cfRule>
    <cfRule type="expression" dxfId="19928" priority="6238">
      <formula>$H1755="CÉLULA CONSTRUTIVA"</formula>
    </cfRule>
    <cfRule type="expression" dxfId="19927" priority="6239">
      <formula>$H1755="ETAPA"</formula>
    </cfRule>
    <cfRule type="expression" dxfId="19926" priority="6240">
      <formula>$H1755="SUBETAPA"</formula>
    </cfRule>
  </conditionalFormatting>
  <conditionalFormatting sqref="G1758">
    <cfRule type="expression" dxfId="19925" priority="6227">
      <formula>$H1758="ETAPA"</formula>
    </cfRule>
    <cfRule type="expression" dxfId="19924" priority="6228">
      <formula>$H1758="SUBETAPA"</formula>
    </cfRule>
  </conditionalFormatting>
  <conditionalFormatting sqref="G1759">
    <cfRule type="expression" dxfId="19923" priority="6225">
      <formula>$H1759="ETAPA"</formula>
    </cfRule>
    <cfRule type="expression" dxfId="19922" priority="6226">
      <formula>$H1759="SUBETAPA"</formula>
    </cfRule>
  </conditionalFormatting>
  <conditionalFormatting sqref="G1761:G1762">
    <cfRule type="expression" dxfId="19921" priority="5645">
      <formula>$H1761="ETAPA"</formula>
    </cfRule>
    <cfRule type="expression" dxfId="19920" priority="5647">
      <formula>$H1761="SUBETAPA"</formula>
    </cfRule>
    <cfRule type="expression" dxfId="19919" priority="5648">
      <formula>$H1761="CÉLULA CONSTRUTIVA"</formula>
    </cfRule>
  </conditionalFormatting>
  <conditionalFormatting sqref="G1763:G1766">
    <cfRule type="expression" dxfId="19918" priority="6222">
      <formula>$H1763="ETAPA"</formula>
    </cfRule>
  </conditionalFormatting>
  <conditionalFormatting sqref="G1767">
    <cfRule type="expression" dxfId="19917" priority="5646">
      <formula>$H1767="ETAPA"</formula>
    </cfRule>
    <cfRule type="expression" dxfId="19916" priority="6219">
      <formula>$H1767="ETAPA"</formula>
    </cfRule>
    <cfRule type="expression" dxfId="19915" priority="6220">
      <formula>$H1767="SUBETAPA"</formula>
    </cfRule>
    <cfRule type="expression" dxfId="19914" priority="6221">
      <formula>$H1767="SUBETAPA"</formula>
    </cfRule>
  </conditionalFormatting>
  <conditionalFormatting sqref="G1768:G1770 G1850 G1843 G1835 G1830 G1822 G1817 G1808 G1866 G1859 G1792 N379:N3172">
    <cfRule type="expression" dxfId="19913" priority="5351">
      <formula>$H379="SUBETAPA"</formula>
    </cfRule>
    <cfRule type="expression" dxfId="19912" priority="5352">
      <formula>$H379="CÉLULA CONSTRUTIVA"</formula>
    </cfRule>
    <cfRule type="expression" dxfId="19911" priority="6315">
      <formula>$H379="SUBETAPA"</formula>
    </cfRule>
    <cfRule type="expression" dxfId="19910" priority="6316">
      <formula>$H379="CÉLULA CONSTRUTIVA"</formula>
    </cfRule>
  </conditionalFormatting>
  <conditionalFormatting sqref="G1771">
    <cfRule type="expression" dxfId="19909" priority="5642">
      <formula>$H1771="ETAPA"</formula>
    </cfRule>
    <cfRule type="expression" dxfId="19908" priority="5643">
      <formula>$H1771="CÉLULA CONSTRUTIVA"</formula>
    </cfRule>
    <cfRule type="expression" dxfId="19907" priority="5644">
      <formula>$H1771="SUBETAPA"</formula>
    </cfRule>
    <cfRule type="expression" dxfId="19906" priority="6215">
      <formula>$H1771="CÉLULA CONSTRUTIVA"</formula>
    </cfRule>
    <cfRule type="expression" dxfId="19905" priority="6216">
      <formula>$H1771="ETAPA"</formula>
    </cfRule>
    <cfRule type="expression" dxfId="19904" priority="6217">
      <formula>$H1771="SUBETAPA"</formula>
    </cfRule>
  </conditionalFormatting>
  <conditionalFormatting sqref="G1773 G1784 G1781:G1782">
    <cfRule type="expression" dxfId="19903" priority="5306">
      <formula>$H1773="ETAPA"</formula>
    </cfRule>
    <cfRule type="expression" dxfId="19902" priority="6211">
      <formula>$H1773="ETAPA"</formula>
    </cfRule>
  </conditionalFormatting>
  <conditionalFormatting sqref="G1773 G1784">
    <cfRule type="expression" dxfId="19901" priority="5290">
      <formula>$H1773="CÉLULA CONSTRUTIVA"</formula>
    </cfRule>
    <cfRule type="expression" dxfId="19900" priority="5638">
      <formula>$H1773="SUBETAPA"</formula>
    </cfRule>
    <cfRule type="expression" dxfId="19899" priority="6209">
      <formula>$H1773="CÉLULA CONSTRUTIVA"</formula>
    </cfRule>
    <cfRule type="expression" dxfId="19898" priority="6210">
      <formula>$H1773="SUBETAPA"</formula>
    </cfRule>
  </conditionalFormatting>
  <conditionalFormatting sqref="G1779">
    <cfRule type="expression" dxfId="19897" priority="6204">
      <formula>$H1779="ETAPA"</formula>
    </cfRule>
    <cfRule type="expression" dxfId="19896" priority="6205">
      <formula>$H1779="SUBETAPA"</formula>
    </cfRule>
  </conditionalFormatting>
  <conditionalFormatting sqref="G1780">
    <cfRule type="expression" dxfId="19895" priority="6202">
      <formula>$H1780="ETAPA"</formula>
    </cfRule>
    <cfRule type="expression" dxfId="19894" priority="6203">
      <formula>$H1780="SUBETAPA"</formula>
    </cfRule>
  </conditionalFormatting>
  <conditionalFormatting sqref="G1781:G1782">
    <cfRule type="expression" dxfId="19893" priority="5341">
      <formula>$H1781="SUBETAPA"</formula>
    </cfRule>
    <cfRule type="expression" dxfId="19892" priority="5342">
      <formula>$H1781="CÉLULA CONSTRUTIVA"</formula>
    </cfRule>
    <cfRule type="expression" dxfId="19891" priority="6200">
      <formula>$H1781="SUBETAPA"</formula>
    </cfRule>
    <cfRule type="expression" dxfId="19890" priority="6201">
      <formula>$H1781="CÉLULA CONSTRUTIVA"</formula>
    </cfRule>
  </conditionalFormatting>
  <conditionalFormatting sqref="G1785:G1786 G1797 G1799">
    <cfRule type="expression" dxfId="19889" priority="5633">
      <formula>$H1785="SUBETAPA"</formula>
    </cfRule>
    <cfRule type="expression" dxfId="19888" priority="5634">
      <formula>$H1785="CÉLULA CONSTRUTIVA"</formula>
    </cfRule>
  </conditionalFormatting>
  <conditionalFormatting sqref="G1785:G1786">
    <cfRule type="expression" dxfId="19887" priority="5631">
      <formula>$H1785="ETAPA"</formula>
    </cfRule>
  </conditionalFormatting>
  <conditionalFormatting sqref="G1787:G1790">
    <cfRule type="expression" dxfId="19886" priority="6199">
      <formula>$H1787="ETAPA"</formula>
    </cfRule>
  </conditionalFormatting>
  <conditionalFormatting sqref="G1791">
    <cfRule type="expression" dxfId="19885" priority="5632">
      <formula>$H1791="ETAPA"</formula>
    </cfRule>
    <cfRule type="expression" dxfId="19884" priority="6196">
      <formula>$H1791="ETAPA"</formula>
    </cfRule>
    <cfRule type="expression" dxfId="19883" priority="6197">
      <formula>$H1791="SUBETAPA"</formula>
    </cfRule>
    <cfRule type="expression" dxfId="19882" priority="6198">
      <formula>$H1791="SUBETAPA"</formula>
    </cfRule>
  </conditionalFormatting>
  <conditionalFormatting sqref="G1793">
    <cfRule type="expression" dxfId="19881" priority="5628">
      <formula>$H1793="ETAPA"</formula>
    </cfRule>
    <cfRule type="expression" dxfId="19880" priority="5629">
      <formula>$H1793="CÉLULA CONSTRUTIVA"</formula>
    </cfRule>
    <cfRule type="expression" dxfId="19879" priority="5630">
      <formula>$H1793="SUBETAPA"</formula>
    </cfRule>
    <cfRule type="expression" dxfId="19878" priority="6192">
      <formula>$H1793="CÉLULA CONSTRUTIVA"</formula>
    </cfRule>
    <cfRule type="expression" dxfId="19877" priority="6193">
      <formula>$H1793="ETAPA"</formula>
    </cfRule>
    <cfRule type="expression" dxfId="19876" priority="6194">
      <formula>$H1793="SUBETAPA"</formula>
    </cfRule>
  </conditionalFormatting>
  <conditionalFormatting sqref="G1795 G1810">
    <cfRule type="expression" dxfId="19875" priority="5289">
      <formula>$H1795="CÉLULA CONSTRUTIVA"</formula>
    </cfRule>
    <cfRule type="expression" dxfId="19874" priority="5305">
      <formula>$H1795="ETAPA"</formula>
    </cfRule>
    <cfRule type="expression" dxfId="19873" priority="5624">
      <formula>$H1795="SUBETAPA"</formula>
    </cfRule>
    <cfRule type="expression" dxfId="19872" priority="6186">
      <formula>$H1795="CÉLULA CONSTRUTIVA"</formula>
    </cfRule>
    <cfRule type="expression" dxfId="19871" priority="6187">
      <formula>$H1795="SUBETAPA"</formula>
    </cfRule>
    <cfRule type="expression" dxfId="19870" priority="6188">
      <formula>$H1795="ETAPA"</formula>
    </cfRule>
  </conditionalFormatting>
  <conditionalFormatting sqref="G1797 G1799">
    <cfRule type="expression" dxfId="19869" priority="5320">
      <formula>$H1797="ETAPA"</formula>
    </cfRule>
  </conditionalFormatting>
  <conditionalFormatting sqref="G1797 G1799:G1801">
    <cfRule type="expression" dxfId="19868" priority="6183">
      <formula>$H1797="ETAPA"</formula>
    </cfRule>
    <cfRule type="expression" dxfId="19867" priority="6184">
      <formula>$H1797="SUBETAPA"</formula>
    </cfRule>
    <cfRule type="expression" dxfId="19866" priority="6185">
      <formula>$H1797="CÉLULA CONSTRUTIVA"</formula>
    </cfRule>
  </conditionalFormatting>
  <conditionalFormatting sqref="G1800:G1801 O2192 O2262 O2286">
    <cfRule type="expression" dxfId="19865" priority="5621">
      <formula>$H1800="SUBETAPA"</formula>
    </cfRule>
    <cfRule type="expression" dxfId="19864" priority="5622">
      <formula>$H1800="CÉLULA CONSTRUTIVA"</formula>
    </cfRule>
    <cfRule type="expression" dxfId="19863" priority="5623">
      <formula>$H1800="ETAPA"</formula>
    </cfRule>
  </conditionalFormatting>
  <conditionalFormatting sqref="G1806">
    <cfRule type="expression" dxfId="19862" priority="6181">
      <formula>$H1806="ETAPA"</formula>
    </cfRule>
    <cfRule type="expression" dxfId="19861" priority="6182">
      <formula>$H1806="SUBETAPA"</formula>
    </cfRule>
  </conditionalFormatting>
  <conditionalFormatting sqref="G1807">
    <cfRule type="expression" dxfId="19860" priority="6179">
      <formula>$H1807="ETAPA"</formula>
    </cfRule>
    <cfRule type="expression" dxfId="19859" priority="6180">
      <formula>$H1807="SUBETAPA"</formula>
    </cfRule>
  </conditionalFormatting>
  <conditionalFormatting sqref="G1811:G1812">
    <cfRule type="expression" dxfId="19858" priority="5617">
      <formula>$H1811="ETAPA"</formula>
    </cfRule>
    <cfRule type="expression" dxfId="19857" priority="5619">
      <formula>$H1811="SUBETAPA"</formula>
    </cfRule>
    <cfRule type="expression" dxfId="19856" priority="5620">
      <formula>$H1811="CÉLULA CONSTRUTIVA"</formula>
    </cfRule>
  </conditionalFormatting>
  <conditionalFormatting sqref="G1816">
    <cfRule type="expression" dxfId="19855" priority="5618">
      <formula>$H1816="ETAPA"</formula>
    </cfRule>
    <cfRule type="expression" dxfId="19854" priority="6173">
      <formula>$H1816="ETAPA"</formula>
    </cfRule>
    <cfRule type="expression" dxfId="19853" priority="6174">
      <formula>$H1816="SUBETAPA"</formula>
    </cfRule>
    <cfRule type="expression" dxfId="19852" priority="6175">
      <formula>$H1816="SUBETAPA"</formula>
    </cfRule>
  </conditionalFormatting>
  <conditionalFormatting sqref="G1821">
    <cfRule type="expression" dxfId="19851" priority="6158">
      <formula>$H1821="ETAPA"</formula>
    </cfRule>
    <cfRule type="expression" dxfId="19850" priority="6159">
      <formula>$H1821="SUBETAPA"</formula>
    </cfRule>
  </conditionalFormatting>
  <conditionalFormatting sqref="G1823">
    <cfRule type="expression" dxfId="19849" priority="5287">
      <formula>$H1823="CÉLULA CONSTRUTIVA"</formula>
    </cfRule>
    <cfRule type="expression" dxfId="19848" priority="5304">
      <formula>$H1823="ETAPA"</formula>
    </cfRule>
    <cfRule type="expression" dxfId="19847" priority="5611">
      <formula>$H1823="SUBETAPA"</formula>
    </cfRule>
    <cfRule type="expression" dxfId="19846" priority="6163">
      <formula>$H1823="CÉLULA CONSTRUTIVA"</formula>
    </cfRule>
    <cfRule type="expression" dxfId="19845" priority="6164">
      <formula>$H1823="SUBETAPA"</formula>
    </cfRule>
    <cfRule type="expression" dxfId="19844" priority="6165">
      <formula>$H1823="ETAPA"</formula>
    </cfRule>
  </conditionalFormatting>
  <conditionalFormatting sqref="G1824:G1825">
    <cfRule type="expression" dxfId="19843" priority="5604">
      <formula>$H1824="ETAPA"</formula>
    </cfRule>
    <cfRule type="expression" dxfId="19842" priority="5606">
      <formula>$H1824="SUBETAPA"</formula>
    </cfRule>
    <cfRule type="expression" dxfId="19841" priority="5607">
      <formula>$H1824="CÉLULA CONSTRUTIVA"</formula>
    </cfRule>
  </conditionalFormatting>
  <conditionalFormatting sqref="G1829">
    <cfRule type="expression" dxfId="19840" priority="5605">
      <formula>$H1829="ETAPA"</formula>
    </cfRule>
    <cfRule type="expression" dxfId="19839" priority="6150">
      <formula>$H1829="ETAPA"</formula>
    </cfRule>
    <cfRule type="expression" dxfId="19838" priority="6151">
      <formula>$H1829="SUBETAPA"</formula>
    </cfRule>
    <cfRule type="expression" dxfId="19837" priority="6152">
      <formula>$H1829="SUBETAPA"</formula>
    </cfRule>
  </conditionalFormatting>
  <conditionalFormatting sqref="G1834">
    <cfRule type="expression" dxfId="19836" priority="6135">
      <formula>$H1834="ETAPA"</formula>
    </cfRule>
    <cfRule type="expression" dxfId="19835" priority="6136">
      <formula>$H1834="SUBETAPA"</formula>
    </cfRule>
  </conditionalFormatting>
  <conditionalFormatting sqref="G1836">
    <cfRule type="expression" dxfId="19834" priority="5285">
      <formula>$H1836="CÉLULA CONSTRUTIVA"</formula>
    </cfRule>
    <cfRule type="expression" dxfId="19833" priority="5303">
      <formula>$H1836="ETAPA"</formula>
    </cfRule>
    <cfRule type="expression" dxfId="19832" priority="5598">
      <formula>$H1836="SUBETAPA"</formula>
    </cfRule>
    <cfRule type="expression" dxfId="19831" priority="6140">
      <formula>$H1836="CÉLULA CONSTRUTIVA"</formula>
    </cfRule>
    <cfRule type="expression" dxfId="19830" priority="6141">
      <formula>$H1836="SUBETAPA"</formula>
    </cfRule>
    <cfRule type="expression" dxfId="19829" priority="6142">
      <formula>$H1836="ETAPA"</formula>
    </cfRule>
  </conditionalFormatting>
  <conditionalFormatting sqref="G1837:G1838 G2023 G2012 G2005 G1998 G1991 G1984 G1971 G1955 G1946 G1938 G1933 G1925 G1912 G1897:G1898 G2340">
    <cfRule type="expression" dxfId="19828" priority="5593">
      <formula>$H1837="CÉLULA CONSTRUTIVA"</formula>
    </cfRule>
    <cfRule type="expression" dxfId="19827" priority="5594">
      <formula>$H1837="SUBETAPA"</formula>
    </cfRule>
  </conditionalFormatting>
  <conditionalFormatting sqref="G1837:G1838">
    <cfRule type="expression" dxfId="19826" priority="5591">
      <formula>$H1837="ETAPA"</formula>
    </cfRule>
  </conditionalFormatting>
  <conditionalFormatting sqref="G1842">
    <cfRule type="expression" dxfId="19825" priority="5592">
      <formula>$H1842="ETAPA"</formula>
    </cfRule>
    <cfRule type="expression" dxfId="19824" priority="6127">
      <formula>$H1842="ETAPA"</formula>
    </cfRule>
    <cfRule type="expression" dxfId="19823" priority="6128">
      <formula>$H1842="SUBETAPA"</formula>
    </cfRule>
    <cfRule type="expression" dxfId="19822" priority="6129">
      <formula>$H1842="SUBETAPA"</formula>
    </cfRule>
  </conditionalFormatting>
  <conditionalFormatting sqref="G1844">
    <cfRule type="expression" dxfId="19821" priority="5284">
      <formula>$H1844="CÉLULA CONSTRUTIVA"</formula>
    </cfRule>
    <cfRule type="expression" dxfId="19820" priority="5589">
      <formula>$H1844="ETAPA"</formula>
    </cfRule>
    <cfRule type="expression" dxfId="19819" priority="5590">
      <formula>$H1844="SUBETAPA"</formula>
    </cfRule>
    <cfRule type="expression" dxfId="19818" priority="6123">
      <formula>$H1844="CÉLULA CONSTRUTIVA"</formula>
    </cfRule>
    <cfRule type="expression" dxfId="19817" priority="6124">
      <formula>$H1844="ETAPA"</formula>
    </cfRule>
    <cfRule type="expression" dxfId="19816" priority="6125">
      <formula>$H1844="SUBETAPA"</formula>
    </cfRule>
  </conditionalFormatting>
  <conditionalFormatting sqref="G1849">
    <cfRule type="expression" dxfId="19815" priority="6112">
      <formula>$H1849="ETAPA"</formula>
    </cfRule>
    <cfRule type="expression" dxfId="19814" priority="6113">
      <formula>$H1849="SUBETAPA"</formula>
    </cfRule>
  </conditionalFormatting>
  <conditionalFormatting sqref="G1852 G1912:G1913 G1925:G1926 G1933:G1934 G1938:G1939 G1946:G1947 G1955:G1956 G2012:G2013 G2023:G2024">
    <cfRule type="expression" dxfId="19813" priority="5401">
      <formula>$H1852="ETAPA"</formula>
    </cfRule>
  </conditionalFormatting>
  <conditionalFormatting sqref="G1852 L2756:L2757 L2724:L2725 L2642:L2643 L2746:L2747 L2735:L2736 L2713:L2714 L2702:L2703 L2694 L2684 L2676 L2668 L2661 L2652">
    <cfRule type="expression" dxfId="19812" priority="6117">
      <formula>$H1852="CÉLULA CONSTRUTIVA"</formula>
    </cfRule>
    <cfRule type="expression" dxfId="19811" priority="6118">
      <formula>$H1852="SUBETAPA"</formula>
    </cfRule>
    <cfRule type="expression" dxfId="19810" priority="6119">
      <formula>$H1852="ETAPA"</formula>
    </cfRule>
  </conditionalFormatting>
  <conditionalFormatting sqref="G1852">
    <cfRule type="expression" dxfId="19809" priority="5283">
      <formula>$H1852="CÉLULA CONSTRUTIVA"</formula>
    </cfRule>
    <cfRule type="expression" dxfId="19808" priority="5585">
      <formula>$H1852="SUBETAPA"</formula>
    </cfRule>
  </conditionalFormatting>
  <conditionalFormatting sqref="G1853:G1854">
    <cfRule type="expression" dxfId="19807" priority="5578">
      <formula>$H1853="ETAPA"</formula>
    </cfRule>
    <cfRule type="expression" dxfId="19806" priority="5580">
      <formula>$H1853="SUBETAPA"</formula>
    </cfRule>
    <cfRule type="expression" dxfId="19805" priority="5581">
      <formula>$H1853="CÉLULA CONSTRUTIVA"</formula>
    </cfRule>
  </conditionalFormatting>
  <conditionalFormatting sqref="G1858">
    <cfRule type="expression" dxfId="19804" priority="5579">
      <formula>$H1858="ETAPA"</formula>
    </cfRule>
    <cfRule type="expression" dxfId="19803" priority="6104">
      <formula>$H1858="ETAPA"</formula>
    </cfRule>
    <cfRule type="expression" dxfId="19802" priority="6105">
      <formula>$H1858="SUBETAPA"</formula>
    </cfRule>
    <cfRule type="expression" dxfId="19801" priority="6106">
      <formula>$H1858="SUBETAPA"</formula>
    </cfRule>
  </conditionalFormatting>
  <conditionalFormatting sqref="G1860">
    <cfRule type="expression" dxfId="19800" priority="5282">
      <formula>$H1860="CÉLULA CONSTRUTIVA"</formula>
    </cfRule>
    <cfRule type="expression" dxfId="19799" priority="5576">
      <formula>$H1860="ETAPA"</formula>
    </cfRule>
    <cfRule type="expression" dxfId="19798" priority="5577">
      <formula>$H1860="SUBETAPA"</formula>
    </cfRule>
    <cfRule type="expression" dxfId="19797" priority="6100">
      <formula>$H1860="CÉLULA CONSTRUTIVA"</formula>
    </cfRule>
    <cfRule type="expression" dxfId="19796" priority="6101">
      <formula>$H1860="ETAPA"</formula>
    </cfRule>
    <cfRule type="expression" dxfId="19795" priority="6102">
      <formula>$H1860="SUBETAPA"</formula>
    </cfRule>
  </conditionalFormatting>
  <conditionalFormatting sqref="G1865">
    <cfRule type="expression" dxfId="19794" priority="6089">
      <formula>$H1865="ETAPA"</formula>
    </cfRule>
    <cfRule type="expression" dxfId="19793" priority="6090">
      <formula>$H1865="SUBETAPA"</formula>
    </cfRule>
  </conditionalFormatting>
  <conditionalFormatting sqref="G1868">
    <cfRule type="expression" dxfId="19792" priority="5281">
      <formula>$H1868="CÉLULA CONSTRUTIVA"</formula>
    </cfRule>
    <cfRule type="expression" dxfId="19791" priority="5302">
      <formula>$H1868="ETAPA"</formula>
    </cfRule>
    <cfRule type="expression" dxfId="19790" priority="5572">
      <formula>$H1868="SUBETAPA"</formula>
    </cfRule>
    <cfRule type="expression" dxfId="19789" priority="6094">
      <formula>$H1868="CÉLULA CONSTRUTIVA"</formula>
    </cfRule>
    <cfRule type="expression" dxfId="19788" priority="6095">
      <formula>$H1868="SUBETAPA"</formula>
    </cfRule>
    <cfRule type="expression" dxfId="19787" priority="6096">
      <formula>$H1868="ETAPA"</formula>
    </cfRule>
  </conditionalFormatting>
  <conditionalFormatting sqref="G1869:G1870">
    <cfRule type="expression" dxfId="19786" priority="5565">
      <formula>$H1869="ETAPA"</formula>
    </cfRule>
    <cfRule type="expression" dxfId="19785" priority="5567">
      <formula>$H1869="SUBETAPA"</formula>
    </cfRule>
    <cfRule type="expression" dxfId="19784" priority="5568">
      <formula>$H1869="CÉLULA CONSTRUTIVA"</formula>
    </cfRule>
  </conditionalFormatting>
  <conditionalFormatting sqref="G1874">
    <cfRule type="expression" dxfId="19783" priority="5280">
      <formula>$H1874="CÉLULA CONSTRUTIVA"</formula>
    </cfRule>
    <cfRule type="expression" dxfId="19782" priority="5563">
      <formula>$H1874="ETAPA"</formula>
    </cfRule>
    <cfRule type="expression" dxfId="19781" priority="5564">
      <formula>$H1874="SUBETAPA"</formula>
    </cfRule>
    <cfRule type="expression" dxfId="19780" priority="6077">
      <formula>$H1874="CÉLULA CONSTRUTIVA"</formula>
    </cfRule>
    <cfRule type="expression" dxfId="19779" priority="6078">
      <formula>$H1874="ETAPA"</formula>
    </cfRule>
    <cfRule type="expression" dxfId="19778" priority="6079">
      <formula>$H1874="SUBETAPA"</formula>
    </cfRule>
  </conditionalFormatting>
  <conditionalFormatting sqref="G1879">
    <cfRule type="expression" dxfId="19777" priority="6066">
      <formula>$H1879="ETAPA"</formula>
    </cfRule>
    <cfRule type="expression" dxfId="19776" priority="6067">
      <formula>$H1879="SUBETAPA"</formula>
    </cfRule>
  </conditionalFormatting>
  <conditionalFormatting sqref="G1881">
    <cfRule type="expression" dxfId="19775" priority="5279">
      <formula>$H1881="CÉLULA CONSTRUTIVA"</formula>
    </cfRule>
    <cfRule type="expression" dxfId="19774" priority="5301">
      <formula>$H1881="ETAPA"</formula>
    </cfRule>
    <cfRule type="expression" dxfId="19773" priority="5559">
      <formula>$H1881="SUBETAPA"</formula>
    </cfRule>
    <cfRule type="expression" dxfId="19772" priority="6071">
      <formula>$H1881="CÉLULA CONSTRUTIVA"</formula>
    </cfRule>
    <cfRule type="expression" dxfId="19771" priority="6072">
      <formula>$H1881="SUBETAPA"</formula>
    </cfRule>
    <cfRule type="expression" dxfId="19770" priority="6073">
      <formula>$H1881="ETAPA"</formula>
    </cfRule>
  </conditionalFormatting>
  <conditionalFormatting sqref="G1882:G1883">
    <cfRule type="expression" dxfId="19769" priority="5552">
      <formula>$H1882="ETAPA"</formula>
    </cfRule>
    <cfRule type="expression" dxfId="19768" priority="5554">
      <formula>$H1882="SUBETAPA"</formula>
    </cfRule>
    <cfRule type="expression" dxfId="19767" priority="5555">
      <formula>$H1882="CÉLULA CONSTRUTIVA"</formula>
    </cfRule>
  </conditionalFormatting>
  <conditionalFormatting sqref="G1890">
    <cfRule type="expression" dxfId="19766" priority="6043">
      <formula>$H1890="ETAPA"</formula>
    </cfRule>
    <cfRule type="expression" dxfId="19765" priority="6044">
      <formula>$H1890="SUBETAPA"</formula>
    </cfRule>
  </conditionalFormatting>
  <conditionalFormatting sqref="G1891 G1896">
    <cfRule type="expression" dxfId="19764" priority="5277">
      <formula>$H1891="CÉLULA CONSTRUTIVA"</formula>
    </cfRule>
    <cfRule type="expression" dxfId="19763" priority="5300">
      <formula>$H1891="ETAPA"</formula>
    </cfRule>
    <cfRule type="expression" dxfId="19762" priority="5546">
      <formula>$H1891="SUBETAPA"</formula>
    </cfRule>
  </conditionalFormatting>
  <conditionalFormatting sqref="G1891">
    <cfRule type="expression" dxfId="19761" priority="6048">
      <formula>$H1891="CÉLULA CONSTRUTIVA"</formula>
    </cfRule>
    <cfRule type="expression" dxfId="19760" priority="6049">
      <formula>$H1891="SUBETAPA"</formula>
    </cfRule>
    <cfRule type="expression" dxfId="19759" priority="6050">
      <formula>$H1891="ETAPA"</formula>
    </cfRule>
  </conditionalFormatting>
  <conditionalFormatting sqref="G1896">
    <cfRule type="expression" dxfId="19758" priority="6025">
      <formula>$H1896="CÉLULA CONSTRUTIVA"</formula>
    </cfRule>
    <cfRule type="expression" dxfId="19757" priority="6026">
      <formula>$H1896="SUBETAPA"</formula>
    </cfRule>
    <cfRule type="expression" dxfId="19756" priority="6027">
      <formula>$H1896="ETAPA"</formula>
    </cfRule>
  </conditionalFormatting>
  <conditionalFormatting sqref="G1899">
    <cfRule type="expression" dxfId="19755" priority="5529">
      <formula>$H1899="CÉLULA CONSTRUTIVA"</formula>
    </cfRule>
    <cfRule type="expression" dxfId="19754" priority="5530">
      <formula>$H1899="SUBETAPA"</formula>
    </cfRule>
  </conditionalFormatting>
  <conditionalFormatting sqref="G1908">
    <cfRule type="expression" dxfId="19753" priority="5528">
      <formula>$H1908="ETAPA"</formula>
    </cfRule>
  </conditionalFormatting>
  <conditionalFormatting sqref="G1908:G1909">
    <cfRule type="expression" dxfId="19752" priority="5526">
      <formula>$H1908="SUBETAPA"</formula>
    </cfRule>
    <cfRule type="expression" dxfId="19751" priority="5527">
      <formula>$H1908="CÉLULA CONSTRUTIVA"</formula>
    </cfRule>
  </conditionalFormatting>
  <conditionalFormatting sqref="G1910">
    <cfRule type="expression" dxfId="19750" priority="5523">
      <formula>$H1910="CÉLULA CONSTRUTIVA"</formula>
    </cfRule>
    <cfRule type="expression" dxfId="19749" priority="5524">
      <formula>$H1910="ETAPA"</formula>
    </cfRule>
    <cfRule type="expression" dxfId="19748" priority="5525">
      <formula>$H1910="SUBETAPA"</formula>
    </cfRule>
  </conditionalFormatting>
  <conditionalFormatting sqref="G1913">
    <cfRule type="expression" dxfId="19747" priority="5521">
      <formula>$H1913="CÉLULA CONSTRUTIVA"</formula>
    </cfRule>
    <cfRule type="expression" dxfId="19746" priority="5522">
      <formula>$H1913="SUBETAPA"</formula>
    </cfRule>
  </conditionalFormatting>
  <conditionalFormatting sqref="G1923">
    <cfRule type="expression" dxfId="19745" priority="5515">
      <formula>$H1923="CÉLULA CONSTRUTIVA"</formula>
    </cfRule>
    <cfRule type="expression" dxfId="19744" priority="5516">
      <formula>$H1923="ETAPA"</formula>
    </cfRule>
    <cfRule type="expression" dxfId="19743" priority="5517">
      <formula>$H1923="SUBETAPA"</formula>
    </cfRule>
  </conditionalFormatting>
  <conditionalFormatting sqref="G1926">
    <cfRule type="expression" dxfId="19742" priority="5513">
      <formula>$H1926="CÉLULA CONSTRUTIVA"</formula>
    </cfRule>
    <cfRule type="expression" dxfId="19741" priority="5514">
      <formula>$H1926="SUBETAPA"</formula>
    </cfRule>
  </conditionalFormatting>
  <conditionalFormatting sqref="G1931">
    <cfRule type="expression" dxfId="19740" priority="5507">
      <formula>$H1931="CÉLULA CONSTRUTIVA"</formula>
    </cfRule>
    <cfRule type="expression" dxfId="19739" priority="5508">
      <formula>$H1931="ETAPA"</formula>
    </cfRule>
    <cfRule type="expression" dxfId="19738" priority="5509">
      <formula>$H1931="SUBETAPA"</formula>
    </cfRule>
  </conditionalFormatting>
  <conditionalFormatting sqref="G1934">
    <cfRule type="expression" dxfId="19737" priority="5505">
      <formula>$H1934="CÉLULA CONSTRUTIVA"</formula>
    </cfRule>
    <cfRule type="expression" dxfId="19736" priority="5506">
      <formula>$H1934="SUBETAPA"</formula>
    </cfRule>
  </conditionalFormatting>
  <conditionalFormatting sqref="G1936">
    <cfRule type="expression" dxfId="19735" priority="5499">
      <formula>$H1936="CÉLULA CONSTRUTIVA"</formula>
    </cfRule>
    <cfRule type="expression" dxfId="19734" priority="5500">
      <formula>$H1936="ETAPA"</formula>
    </cfRule>
    <cfRule type="expression" dxfId="19733" priority="5501">
      <formula>$H1936="SUBETAPA"</formula>
    </cfRule>
  </conditionalFormatting>
  <conditionalFormatting sqref="G1939">
    <cfRule type="expression" dxfId="19732" priority="5497">
      <formula>$H1939="CÉLULA CONSTRUTIVA"</formula>
    </cfRule>
    <cfRule type="expression" dxfId="19731" priority="5498">
      <formula>$H1939="SUBETAPA"</formula>
    </cfRule>
  </conditionalFormatting>
  <conditionalFormatting sqref="G1944">
    <cfRule type="expression" dxfId="19730" priority="5491">
      <formula>$H1944="CÉLULA CONSTRUTIVA"</formula>
    </cfRule>
    <cfRule type="expression" dxfId="19729" priority="5492">
      <formula>$H1944="ETAPA"</formula>
    </cfRule>
    <cfRule type="expression" dxfId="19728" priority="5493">
      <formula>$H1944="SUBETAPA"</formula>
    </cfRule>
  </conditionalFormatting>
  <conditionalFormatting sqref="G1947">
    <cfRule type="expression" dxfId="19727" priority="5489">
      <formula>$H1947="CÉLULA CONSTRUTIVA"</formula>
    </cfRule>
    <cfRule type="expression" dxfId="19726" priority="5490">
      <formula>$H1947="SUBETAPA"</formula>
    </cfRule>
  </conditionalFormatting>
  <conditionalFormatting sqref="G1953">
    <cfRule type="expression" dxfId="19725" priority="5483">
      <formula>$H1953="CÉLULA CONSTRUTIVA"</formula>
    </cfRule>
    <cfRule type="expression" dxfId="19724" priority="5484">
      <formula>$H1953="ETAPA"</formula>
    </cfRule>
    <cfRule type="expression" dxfId="19723" priority="5485">
      <formula>$H1953="SUBETAPA"</formula>
    </cfRule>
  </conditionalFormatting>
  <conditionalFormatting sqref="G1956">
    <cfRule type="expression" dxfId="19722" priority="5481">
      <formula>$H1956="CÉLULA CONSTRUTIVA"</formula>
    </cfRule>
    <cfRule type="expression" dxfId="19721" priority="5482">
      <formula>$H1956="SUBETAPA"</formula>
    </cfRule>
  </conditionalFormatting>
  <conditionalFormatting sqref="G1969">
    <cfRule type="expression" dxfId="19720" priority="5475">
      <formula>$H1969="CÉLULA CONSTRUTIVA"</formula>
    </cfRule>
    <cfRule type="expression" dxfId="19719" priority="5476">
      <formula>$H1969="ETAPA"</formula>
    </cfRule>
    <cfRule type="expression" dxfId="19718" priority="5477">
      <formula>$H1969="SUBETAPA"</formula>
    </cfRule>
  </conditionalFormatting>
  <conditionalFormatting sqref="G2013">
    <cfRule type="expression" dxfId="19717" priority="5433">
      <formula>$H2013="CÉLULA CONSTRUTIVA"</formula>
    </cfRule>
    <cfRule type="expression" dxfId="19716" priority="5434">
      <formula>$H2013="SUBETAPA"</formula>
    </cfRule>
  </conditionalFormatting>
  <conditionalFormatting sqref="G2021">
    <cfRule type="expression" dxfId="19715" priority="5427">
      <formula>$H2021="CÉLULA CONSTRUTIVA"</formula>
    </cfRule>
    <cfRule type="expression" dxfId="19714" priority="5428">
      <formula>$H2021="ETAPA"</formula>
    </cfRule>
    <cfRule type="expression" dxfId="19713" priority="5429">
      <formula>$H2021="SUBETAPA"</formula>
    </cfRule>
  </conditionalFormatting>
  <conditionalFormatting sqref="G2024">
    <cfRule type="expression" dxfId="19712" priority="5425">
      <formula>$H2024="CÉLULA CONSTRUTIVA"</formula>
    </cfRule>
    <cfRule type="expression" dxfId="19711" priority="5426">
      <formula>$H2024="SUBETAPA"</formula>
    </cfRule>
  </conditionalFormatting>
  <conditionalFormatting sqref="G2029">
    <cfRule type="expression" dxfId="19710" priority="5419">
      <formula>$H2029="CÉLULA CONSTRUTIVA"</formula>
    </cfRule>
    <cfRule type="expression" dxfId="19709" priority="5420">
      <formula>$H2029="ETAPA"</formula>
    </cfRule>
    <cfRule type="expression" dxfId="19708" priority="5421">
      <formula>$H2029="SUBETAPA"</formula>
    </cfRule>
  </conditionalFormatting>
  <conditionalFormatting sqref="G2031 G1673:G1679 G1694:G1699 G1710:G1715 G1725:G1730 G1749:G1754 G1761:G1766 G1785:G1790">
    <cfRule type="expression" dxfId="19707"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06" priority="5730">
      <formula>$H20="CÉLULA CONSTRUTIVA"</formula>
    </cfRule>
    <cfRule type="expression" dxfId="19705" priority="6344">
      <formula>$H20="ETAPA"</formula>
    </cfRule>
  </conditionalFormatting>
  <conditionalFormatting sqref="G2035">
    <cfRule type="expression" dxfId="19704" priority="5275">
      <formula>$H2035="CÉLULA CONSTRUTIVA"</formula>
    </cfRule>
  </conditionalFormatting>
  <conditionalFormatting sqref="G2041 G2032:G2033">
    <cfRule type="expression" dxfId="19703" priority="5410">
      <formula>$H2032="ETAPA"</formula>
    </cfRule>
  </conditionalFormatting>
  <conditionalFormatting sqref="G2047">
    <cfRule type="expression" dxfId="19702" priority="5298">
      <formula>$H2047="ETAPA"</formula>
    </cfRule>
    <cfRule type="expression" dxfId="19701" priority="6015">
      <formula>$H2047="SUBETAPA"</formula>
    </cfRule>
  </conditionalFormatting>
  <conditionalFormatting sqref="G2052 G2035">
    <cfRule type="expression" dxfId="19700" priority="5405">
      <formula>$H2035="SUBETAPA"</formula>
    </cfRule>
  </conditionalFormatting>
  <conditionalFormatting sqref="G2052 G2061:G2062 G2035">
    <cfRule type="expression" dxfId="19699" priority="5299">
      <formula>$H2035="ETAPA"</formula>
    </cfRule>
  </conditionalFormatting>
  <conditionalFormatting sqref="G2052">
    <cfRule type="expression" dxfId="19698" priority="5274">
      <formula>$H2052="CÉLULA CONSTRUTIVA"</formula>
    </cfRule>
  </conditionalFormatting>
  <conditionalFormatting sqref="G2054:G2055 G2036">
    <cfRule type="expression" dxfId="19697" priority="5402">
      <formula>$H2036="ETAPA"</formula>
    </cfRule>
  </conditionalFormatting>
  <conditionalFormatting sqref="G2054:G2055 G2041 G2032:G2033 G2036">
    <cfRule type="expression" dxfId="19696" priority="5403">
      <formula>$H2032="SUBETAPA"</formula>
    </cfRule>
    <cfRule type="expression" dxfId="19695" priority="5404">
      <formula>$H2032="CÉLULA CONSTRUTIVA"</formula>
    </cfRule>
  </conditionalFormatting>
  <conditionalFormatting sqref="G2061:G2062">
    <cfRule type="expression" dxfId="19694" priority="5408">
      <formula>$H2061="SUBETAPA"</formula>
    </cfRule>
    <cfRule type="expression" dxfId="19693" priority="5409">
      <formula>$H2061="CÉLULA CONSTRUTIVA"</formula>
    </cfRule>
  </conditionalFormatting>
  <conditionalFormatting sqref="G2063:G2064">
    <cfRule type="expression" dxfId="19692" priority="5398">
      <formula>$H2063="SUBETAPA"</formula>
    </cfRule>
    <cfRule type="expression" dxfId="19691" priority="5399">
      <formula>$H2063="CÉLULA CONSTRUTIVA"</formula>
    </cfRule>
    <cfRule type="expression" dxfId="19690" priority="5400">
      <formula>$H2063="ETAPA"</formula>
    </cfRule>
  </conditionalFormatting>
  <conditionalFormatting sqref="G2066">
    <cfRule type="expression" dxfId="19689" priority="6010">
      <formula>$H2066="CÉLULA CONSTRUTIVA"</formula>
    </cfRule>
  </conditionalFormatting>
  <conditionalFormatting sqref="G2072">
    <cfRule type="expression" dxfId="19688" priority="6005">
      <formula>$H2072="ETAPA"</formula>
    </cfRule>
  </conditionalFormatting>
  <conditionalFormatting sqref="G2074 G2066">
    <cfRule type="expression" dxfId="19687" priority="6000">
      <formula>$H2066="SUBETAPA"</formula>
    </cfRule>
  </conditionalFormatting>
  <conditionalFormatting sqref="G2074 G2082:G2083 G2066">
    <cfRule type="expression" dxfId="19686" priority="5999">
      <formula>$H2066="ETAPA"</formula>
    </cfRule>
  </conditionalFormatting>
  <conditionalFormatting sqref="G2074">
    <cfRule type="expression" dxfId="19685" priority="5998">
      <formula>$H2074="CÉLULA CONSTRUTIVA"</formula>
    </cfRule>
  </conditionalFormatting>
  <conditionalFormatting sqref="G2076:G2077 G2072">
    <cfRule type="expression" dxfId="19684" priority="5995">
      <formula>$H2072="SUBETAPA"</formula>
    </cfRule>
    <cfRule type="expression" dxfId="19683" priority="5996">
      <formula>$H2072="CÉLULA CONSTRUTIVA"</formula>
    </cfRule>
  </conditionalFormatting>
  <conditionalFormatting sqref="G2076:G2077">
    <cfRule type="expression" dxfId="19682" priority="5997">
      <formula>$H2076="ETAPA"</formula>
    </cfRule>
  </conditionalFormatting>
  <conditionalFormatting sqref="G2082:G2083">
    <cfRule type="expression" dxfId="19681" priority="6003">
      <formula>$H2082="SUBETAPA"</formula>
    </cfRule>
    <cfRule type="expression" dxfId="19680" priority="6004">
      <formula>$H2082="CÉLULA CONSTRUTIVA"</formula>
    </cfRule>
  </conditionalFormatting>
  <conditionalFormatting sqref="G2084:G2085">
    <cfRule type="expression" dxfId="19679" priority="5395">
      <formula>$H2084="SUBETAPA"</formula>
    </cfRule>
    <cfRule type="expression" dxfId="19678" priority="5396">
      <formula>$H2084="CÉLULA CONSTRUTIVA"</formula>
    </cfRule>
    <cfRule type="expression" dxfId="19677" priority="5397">
      <formula>$H2084="ETAPA"</formula>
    </cfRule>
  </conditionalFormatting>
  <conditionalFormatting sqref="G2087">
    <cfRule type="expression" dxfId="19676" priority="5990">
      <formula>$H2087="CÉLULA CONSTRUTIVA"</formula>
    </cfRule>
  </conditionalFormatting>
  <conditionalFormatting sqref="G2092">
    <cfRule type="expression" dxfId="19675" priority="5985">
      <formula>$H2092="ETAPA"</formula>
    </cfRule>
  </conditionalFormatting>
  <conditionalFormatting sqref="G2094 G2087">
    <cfRule type="expression" dxfId="19674" priority="5979">
      <formula>$H2087="ETAPA"</formula>
    </cfRule>
    <cfRule type="expression" dxfId="19673" priority="5980">
      <formula>$H2087="SUBETAPA"</formula>
    </cfRule>
  </conditionalFormatting>
  <conditionalFormatting sqref="G2094">
    <cfRule type="expression" dxfId="19672" priority="5978">
      <formula>$H2094="CÉLULA CONSTRUTIVA"</formula>
    </cfRule>
  </conditionalFormatting>
  <conditionalFormatting sqref="G2095:G2096 G2092">
    <cfRule type="expression" dxfId="19671" priority="5975">
      <formula>$H2092="SUBETAPA"</formula>
    </cfRule>
    <cfRule type="expression" dxfId="19670" priority="5976">
      <formula>$H2092="CÉLULA CONSTRUTIVA"</formula>
    </cfRule>
  </conditionalFormatting>
  <conditionalFormatting sqref="G2095:G2096">
    <cfRule type="expression" dxfId="19669" priority="5977">
      <formula>$H2095="ETAPA"</formula>
    </cfRule>
  </conditionalFormatting>
  <conditionalFormatting sqref="G2101:G2102">
    <cfRule type="expression" dxfId="19668" priority="5392">
      <formula>$H2101="SUBETAPA"</formula>
    </cfRule>
    <cfRule type="expression" dxfId="19667" priority="5393">
      <formula>$H2101="CÉLULA CONSTRUTIVA"</formula>
    </cfRule>
    <cfRule type="expression" dxfId="19666" priority="5394">
      <formula>$H2101="ETAPA"</formula>
    </cfRule>
  </conditionalFormatting>
  <conditionalFormatting sqref="G2104">
    <cfRule type="expression" dxfId="19665" priority="5970">
      <formula>$H2104="CÉLULA CONSTRUTIVA"</formula>
    </cfRule>
  </conditionalFormatting>
  <conditionalFormatting sqref="G2110 G2104">
    <cfRule type="expression" dxfId="19664" priority="5959">
      <formula>$H2104="ETAPA"</formula>
    </cfRule>
    <cfRule type="expression" dxfId="19663" priority="5960">
      <formula>$H2104="SUBETAPA"</formula>
    </cfRule>
  </conditionalFormatting>
  <conditionalFormatting sqref="G2110">
    <cfRule type="expression" dxfId="19662" priority="5958">
      <formula>$H2110="CÉLULA CONSTRUTIVA"</formula>
    </cfRule>
  </conditionalFormatting>
  <conditionalFormatting sqref="G2111:G2112">
    <cfRule type="expression" dxfId="19661" priority="5955">
      <formula>$H2111="SUBETAPA"</formula>
    </cfRule>
    <cfRule type="expression" dxfId="19660" priority="5956">
      <formula>$H2111="CÉLULA CONSTRUTIVA"</formula>
    </cfRule>
    <cfRule type="expression" dxfId="19659" priority="5957">
      <formula>$H2111="ETAPA"</formula>
    </cfRule>
  </conditionalFormatting>
  <conditionalFormatting sqref="G2117:G2118">
    <cfRule type="expression" dxfId="19658" priority="5389">
      <formula>$H2117="SUBETAPA"</formula>
    </cfRule>
    <cfRule type="expression" dxfId="19657" priority="5390">
      <formula>$H2117="CÉLULA CONSTRUTIVA"</formula>
    </cfRule>
    <cfRule type="expression" dxfId="19656" priority="5391">
      <formula>$H2117="ETAPA"</formula>
    </cfRule>
  </conditionalFormatting>
  <conditionalFormatting sqref="G2120">
    <cfRule type="expression" dxfId="19655" priority="5950">
      <formula>$H2120="CÉLULA CONSTRUTIVA"</formula>
    </cfRule>
  </conditionalFormatting>
  <conditionalFormatting sqref="G2125">
    <cfRule type="expression" dxfId="19654" priority="5945">
      <formula>$H2125="ETAPA"</formula>
    </cfRule>
  </conditionalFormatting>
  <conditionalFormatting sqref="G2127 G2120">
    <cfRule type="expression" dxfId="19653" priority="5939">
      <formula>$H2120="ETAPA"</formula>
    </cfRule>
    <cfRule type="expression" dxfId="19652" priority="5940">
      <formula>$H2120="SUBETAPA"</formula>
    </cfRule>
  </conditionalFormatting>
  <conditionalFormatting sqref="G2127">
    <cfRule type="expression" dxfId="19651" priority="5938">
      <formula>$H2127="CÉLULA CONSTRUTIVA"</formula>
    </cfRule>
  </conditionalFormatting>
  <conditionalFormatting sqref="G2128:G2129 G2125">
    <cfRule type="expression" dxfId="19650" priority="5935">
      <formula>$H2125="SUBETAPA"</formula>
    </cfRule>
    <cfRule type="expression" dxfId="19649" priority="5936">
      <formula>$H2125="CÉLULA CONSTRUTIVA"</formula>
    </cfRule>
  </conditionalFormatting>
  <conditionalFormatting sqref="G2128:G2129">
    <cfRule type="expression" dxfId="19648" priority="5937">
      <formula>$H2128="ETAPA"</formula>
    </cfRule>
  </conditionalFormatting>
  <conditionalFormatting sqref="G2134:G2135">
    <cfRule type="expression" dxfId="19647" priority="5386">
      <formula>$H2134="SUBETAPA"</formula>
    </cfRule>
    <cfRule type="expression" dxfId="19646" priority="5387">
      <formula>$H2134="CÉLULA CONSTRUTIVA"</formula>
    </cfRule>
    <cfRule type="expression" dxfId="19645" priority="5388">
      <formula>$H2134="ETAPA"</formula>
    </cfRule>
  </conditionalFormatting>
  <conditionalFormatting sqref="G2137">
    <cfRule type="expression" dxfId="19644" priority="5930">
      <formula>$H2137="CÉLULA CONSTRUTIVA"</formula>
    </cfRule>
  </conditionalFormatting>
  <conditionalFormatting sqref="G2143">
    <cfRule type="expression" dxfId="19643" priority="5925">
      <formula>$H2143="ETAPA"</formula>
    </cfRule>
  </conditionalFormatting>
  <conditionalFormatting sqref="G2145 G2137">
    <cfRule type="expression" dxfId="19642" priority="5919">
      <formula>$H2137="ETAPA"</formula>
    </cfRule>
    <cfRule type="expression" dxfId="19641" priority="5920">
      <formula>$H2137="SUBETAPA"</formula>
    </cfRule>
  </conditionalFormatting>
  <conditionalFormatting sqref="G2145">
    <cfRule type="expression" dxfId="19640" priority="5918">
      <formula>$H2145="CÉLULA CONSTRUTIVA"</formula>
    </cfRule>
  </conditionalFormatting>
  <conditionalFormatting sqref="G2146:G2147 G2143">
    <cfRule type="expression" dxfId="19639" priority="5915">
      <formula>$H2143="SUBETAPA"</formula>
    </cfRule>
    <cfRule type="expression" dxfId="19638" priority="5916">
      <formula>$H2143="CÉLULA CONSTRUTIVA"</formula>
    </cfRule>
  </conditionalFormatting>
  <conditionalFormatting sqref="G2146:G2147">
    <cfRule type="expression" dxfId="19637" priority="5917">
      <formula>$H2146="ETAPA"</formula>
    </cfRule>
  </conditionalFormatting>
  <conditionalFormatting sqref="G2152:G2153">
    <cfRule type="expression" dxfId="19636" priority="5383">
      <formula>$H2152="SUBETAPA"</formula>
    </cfRule>
    <cfRule type="expression" dxfId="19635" priority="5384">
      <formula>$H2152="CÉLULA CONSTRUTIVA"</formula>
    </cfRule>
    <cfRule type="expression" dxfId="19634" priority="5385">
      <formula>$H2152="ETAPA"</formula>
    </cfRule>
  </conditionalFormatting>
  <conditionalFormatting sqref="G2155">
    <cfRule type="expression" dxfId="19633" priority="5910">
      <formula>$H2155="CÉLULA CONSTRUTIVA"</formula>
    </cfRule>
  </conditionalFormatting>
  <conditionalFormatting sqref="G2160 G2165">
    <cfRule type="expression" dxfId="19632" priority="5905">
      <formula>$H2160="ETAPA"</formula>
    </cfRule>
  </conditionalFormatting>
  <conditionalFormatting sqref="G2165">
    <cfRule type="expression" dxfId="19631" priority="5908">
      <formula>$H2165="SUBETAPA"</formula>
    </cfRule>
    <cfRule type="expression" dxfId="19630" priority="5909">
      <formula>$H2165="CÉLULA CONSTRUTIVA"</formula>
    </cfRule>
  </conditionalFormatting>
  <conditionalFormatting sqref="G2166">
    <cfRule type="expression" dxfId="19629" priority="5906">
      <formula>$H2166="SUBETAPA"</formula>
    </cfRule>
    <cfRule type="expression" dxfId="19628" priority="5907">
      <formula>$H2166="ETAPA"</formula>
    </cfRule>
  </conditionalFormatting>
  <conditionalFormatting sqref="G2169 G2155">
    <cfRule type="expression" dxfId="19627" priority="5900">
      <formula>$H2155="SUBETAPA"</formula>
    </cfRule>
  </conditionalFormatting>
  <conditionalFormatting sqref="G2169 G2178:G2179 G2155">
    <cfRule type="expression" dxfId="19626" priority="5899">
      <formula>$H2155="ETAPA"</formula>
    </cfRule>
  </conditionalFormatting>
  <conditionalFormatting sqref="G2169">
    <cfRule type="expression" dxfId="19625" priority="5898">
      <formula>$H2169="CÉLULA CONSTRUTIVA"</formula>
    </cfRule>
  </conditionalFormatting>
  <conditionalFormatting sqref="G2171 G2173 G2160">
    <cfRule type="expression" dxfId="19624" priority="5895">
      <formula>$H2160="SUBETAPA"</formula>
    </cfRule>
    <cfRule type="expression" dxfId="19623" priority="5896">
      <formula>$H2160="CÉLULA CONSTRUTIVA"</formula>
    </cfRule>
  </conditionalFormatting>
  <conditionalFormatting sqref="G2171 G2173">
    <cfRule type="expression" dxfId="19622" priority="5897">
      <formula>$H2171="ETAPA"</formula>
    </cfRule>
  </conditionalFormatting>
  <conditionalFormatting sqref="G2178:G2179">
    <cfRule type="expression" dxfId="19621" priority="5903">
      <formula>$H2178="SUBETAPA"</formula>
    </cfRule>
    <cfRule type="expression" dxfId="19620" priority="5904">
      <formula>$H2178="CÉLULA CONSTRUTIVA"</formula>
    </cfRule>
  </conditionalFormatting>
  <conditionalFormatting sqref="G2181:G2182">
    <cfRule type="expression" dxfId="19619" priority="5380">
      <formula>$H2181="SUBETAPA"</formula>
    </cfRule>
    <cfRule type="expression" dxfId="19618" priority="5381">
      <formula>$H2181="CÉLULA CONSTRUTIVA"</formula>
    </cfRule>
    <cfRule type="expression" dxfId="19617" priority="5382">
      <formula>$H2181="ETAPA"</formula>
    </cfRule>
  </conditionalFormatting>
  <conditionalFormatting sqref="G2190">
    <cfRule type="expression" dxfId="19616" priority="5886">
      <formula>$H2190="SUBETAPA"</formula>
    </cfRule>
    <cfRule type="expression" dxfId="19615" priority="5887">
      <formula>$H2190="ETAPA"</formula>
    </cfRule>
  </conditionalFormatting>
  <conditionalFormatting sqref="G2191 G2187 G2196">
    <cfRule type="expression" dxfId="19614" priority="5885">
      <formula>$H2187="ETAPA"</formula>
    </cfRule>
  </conditionalFormatting>
  <conditionalFormatting sqref="G2191 G2208:G2209">
    <cfRule type="expression" dxfId="19613" priority="5883">
      <formula>$H2191="SUBETAPA"</formula>
    </cfRule>
    <cfRule type="expression" dxfId="19612" priority="5884">
      <formula>$H2191="CÉLULA CONSTRUTIVA"</formula>
    </cfRule>
  </conditionalFormatting>
  <conditionalFormatting sqref="G2196">
    <cfRule type="expression" dxfId="19611" priority="5881">
      <formula>$H2196="SUBETAPA"</formula>
    </cfRule>
    <cfRule type="expression" dxfId="19610" priority="5882">
      <formula>$H2196="CÉLULA CONSTRUTIVA"</formula>
    </cfRule>
  </conditionalFormatting>
  <conditionalFormatting sqref="G2201 G2208:G2209">
    <cfRule type="expression" dxfId="19609" priority="5879">
      <formula>$H2201="ETAPA"</formula>
    </cfRule>
  </conditionalFormatting>
  <conditionalFormatting sqref="G2201">
    <cfRule type="expression" dxfId="19608" priority="5878">
      <formula>$H2201="CÉLULA CONSTRUTIVA"</formula>
    </cfRule>
    <cfRule type="expression" dxfId="19607" priority="5880">
      <formula>$H2201="SUBETAPA"</formula>
    </cfRule>
  </conditionalFormatting>
  <conditionalFormatting sqref="G2203:G2204 G2187">
    <cfRule type="expression" dxfId="19606" priority="5875">
      <formula>$H2187="SUBETAPA"</formula>
    </cfRule>
    <cfRule type="expression" dxfId="19605" priority="5876">
      <formula>$H2187="CÉLULA CONSTRUTIVA"</formula>
    </cfRule>
  </conditionalFormatting>
  <conditionalFormatting sqref="G2203:G2204">
    <cfRule type="expression" dxfId="19604" priority="5877">
      <formula>$H2203="ETAPA"</formula>
    </cfRule>
  </conditionalFormatting>
  <conditionalFormatting sqref="G2210:G2211">
    <cfRule type="expression" dxfId="19603" priority="5377">
      <formula>$H2210="SUBETAPA"</formula>
    </cfRule>
    <cfRule type="expression" dxfId="19602" priority="5378">
      <formula>$H2210="CÉLULA CONSTRUTIVA"</formula>
    </cfRule>
    <cfRule type="expression" dxfId="19601" priority="5379">
      <formula>$H2210="ETAPA"</formula>
    </cfRule>
  </conditionalFormatting>
  <conditionalFormatting sqref="G2218">
    <cfRule type="expression" dxfId="19600" priority="5865">
      <formula>$H2218="ETAPA"</formula>
    </cfRule>
  </conditionalFormatting>
  <conditionalFormatting sqref="G2219">
    <cfRule type="expression" dxfId="19599" priority="5866">
      <formula>$H2219="SUBETAPA"</formula>
    </cfRule>
    <cfRule type="expression" dxfId="19598" priority="5867">
      <formula>$H2219="ETAPA"</formula>
    </cfRule>
  </conditionalFormatting>
  <conditionalFormatting sqref="G2222 G2228:G2229">
    <cfRule type="expression" dxfId="19597" priority="5859">
      <formula>$H2222="ETAPA"</formula>
    </cfRule>
  </conditionalFormatting>
  <conditionalFormatting sqref="G2222">
    <cfRule type="expression" dxfId="19596" priority="5858">
      <formula>$H2222="CÉLULA CONSTRUTIVA"</formula>
    </cfRule>
    <cfRule type="expression" dxfId="19595" priority="5860">
      <formula>$H2222="SUBETAPA"</formula>
    </cfRule>
  </conditionalFormatting>
  <conditionalFormatting sqref="G2224:G2225 G2218">
    <cfRule type="expression" dxfId="19594" priority="5855">
      <formula>$H2218="SUBETAPA"</formula>
    </cfRule>
    <cfRule type="expression" dxfId="19593" priority="5856">
      <formula>$H2218="CÉLULA CONSTRUTIVA"</formula>
    </cfRule>
  </conditionalFormatting>
  <conditionalFormatting sqref="G2224:G2225">
    <cfRule type="expression" dxfId="19592" priority="5857">
      <formula>$H2224="ETAPA"</formula>
    </cfRule>
  </conditionalFormatting>
  <conditionalFormatting sqref="G2228:G2229">
    <cfRule type="expression" dxfId="19591" priority="5863">
      <formula>$H2228="SUBETAPA"</formula>
    </cfRule>
    <cfRule type="expression" dxfId="19590" priority="5864">
      <formula>$H2228="CÉLULA CONSTRUTIVA"</formula>
    </cfRule>
  </conditionalFormatting>
  <conditionalFormatting sqref="G2230:G2231">
    <cfRule type="expression" dxfId="19589" priority="5374">
      <formula>$H2230="SUBETAPA"</formula>
    </cfRule>
    <cfRule type="expression" dxfId="19588" priority="5375">
      <formula>$H2230="CÉLULA CONSTRUTIVA"</formula>
    </cfRule>
    <cfRule type="expression" dxfId="19587" priority="5376">
      <formula>$H2230="ETAPA"</formula>
    </cfRule>
  </conditionalFormatting>
  <conditionalFormatting sqref="G2238">
    <cfRule type="expression" dxfId="19586" priority="5845">
      <formula>$H2238="ETAPA"</formula>
    </cfRule>
  </conditionalFormatting>
  <conditionalFormatting sqref="G2239">
    <cfRule type="expression" dxfId="19585" priority="5846">
      <formula>$H2239="SUBETAPA"</formula>
    </cfRule>
    <cfRule type="expression" dxfId="19584" priority="5847">
      <formula>$H2239="ETAPA"</formula>
    </cfRule>
  </conditionalFormatting>
  <conditionalFormatting sqref="G2242 G2248:G2249">
    <cfRule type="expression" dxfId="19583" priority="5839">
      <formula>$H2242="ETAPA"</formula>
    </cfRule>
  </conditionalFormatting>
  <conditionalFormatting sqref="G2242">
    <cfRule type="expression" dxfId="19582" priority="5838">
      <formula>$H2242="CÉLULA CONSTRUTIVA"</formula>
    </cfRule>
    <cfRule type="expression" dxfId="19581" priority="5840">
      <formula>$H2242="SUBETAPA"</formula>
    </cfRule>
  </conditionalFormatting>
  <conditionalFormatting sqref="G2244:G2245 G2238">
    <cfRule type="expression" dxfId="19580" priority="5835">
      <formula>$H2238="SUBETAPA"</formula>
    </cfRule>
    <cfRule type="expression" dxfId="19579" priority="5836">
      <formula>$H2238="CÉLULA CONSTRUTIVA"</formula>
    </cfRule>
  </conditionalFormatting>
  <conditionalFormatting sqref="G2244:G2245">
    <cfRule type="expression" dxfId="19578" priority="5837">
      <formula>$H2244="ETAPA"</formula>
    </cfRule>
  </conditionalFormatting>
  <conditionalFormatting sqref="G2248:G2249">
    <cfRule type="expression" dxfId="19577" priority="5843">
      <formula>$H2248="SUBETAPA"</formula>
    </cfRule>
    <cfRule type="expression" dxfId="19576" priority="5844">
      <formula>$H2248="CÉLULA CONSTRUTIVA"</formula>
    </cfRule>
  </conditionalFormatting>
  <conditionalFormatting sqref="G2250:G2251">
    <cfRule type="expression" dxfId="19575" priority="5371">
      <formula>$H2250="SUBETAPA"</formula>
    </cfRule>
    <cfRule type="expression" dxfId="19574" priority="5372">
      <formula>$H2250="CÉLULA CONSTRUTIVA"</formula>
    </cfRule>
    <cfRule type="expression" dxfId="19573" priority="5373">
      <formula>$H2250="ETAPA"</formula>
    </cfRule>
  </conditionalFormatting>
  <conditionalFormatting sqref="G2258">
    <cfRule type="expression" dxfId="19572" priority="5825">
      <formula>$H2258="ETAPA"</formula>
    </cfRule>
  </conditionalFormatting>
  <conditionalFormatting sqref="G2261">
    <cfRule type="expression" dxfId="19571" priority="5826">
      <formula>$H2261="SUBETAPA"</formula>
    </cfRule>
    <cfRule type="expression" dxfId="19570" priority="5827">
      <formula>$H2261="ETAPA"</formula>
    </cfRule>
  </conditionalFormatting>
  <conditionalFormatting sqref="G2264 G2271:G2272">
    <cfRule type="expression" dxfId="19569" priority="5819">
      <formula>$H2264="ETAPA"</formula>
    </cfRule>
  </conditionalFormatting>
  <conditionalFormatting sqref="G2264">
    <cfRule type="expression" dxfId="19568" priority="5818">
      <formula>$H2264="CÉLULA CONSTRUTIVA"</formula>
    </cfRule>
    <cfRule type="expression" dxfId="19567" priority="5820">
      <formula>$H2264="SUBETAPA"</formula>
    </cfRule>
  </conditionalFormatting>
  <conditionalFormatting sqref="G2266:G2267 G2258">
    <cfRule type="expression" dxfId="19566" priority="5815">
      <formula>$H2258="SUBETAPA"</formula>
    </cfRule>
    <cfRule type="expression" dxfId="19565" priority="5816">
      <formula>$H2258="CÉLULA CONSTRUTIVA"</formula>
    </cfRule>
  </conditionalFormatting>
  <conditionalFormatting sqref="G2266:G2267">
    <cfRule type="expression" dxfId="19564" priority="5817">
      <formula>$H2266="ETAPA"</formula>
    </cfRule>
  </conditionalFormatting>
  <conditionalFormatting sqref="G2271:G2272">
    <cfRule type="expression" dxfId="19563" priority="5823">
      <formula>$H2271="SUBETAPA"</formula>
    </cfRule>
    <cfRule type="expression" dxfId="19562" priority="5824">
      <formula>$H2271="CÉLULA CONSTRUTIVA"</formula>
    </cfRule>
  </conditionalFormatting>
  <conditionalFormatting sqref="G2273:G2274">
    <cfRule type="expression" dxfId="19561" priority="5368">
      <formula>$H2273="SUBETAPA"</formula>
    </cfRule>
    <cfRule type="expression" dxfId="19560" priority="5369">
      <formula>$H2273="CÉLULA CONSTRUTIVA"</formula>
    </cfRule>
    <cfRule type="expression" dxfId="19559" priority="5370">
      <formula>$H2273="ETAPA"</formula>
    </cfRule>
  </conditionalFormatting>
  <conditionalFormatting sqref="G2281">
    <cfRule type="expression" dxfId="19558" priority="5805">
      <formula>$H2281="ETAPA"</formula>
    </cfRule>
  </conditionalFormatting>
  <conditionalFormatting sqref="G2285">
    <cfRule type="expression" dxfId="19557" priority="5806">
      <formula>$H2285="SUBETAPA"</formula>
    </cfRule>
    <cfRule type="expression" dxfId="19556" priority="5807">
      <formula>$H2285="ETAPA"</formula>
    </cfRule>
  </conditionalFormatting>
  <conditionalFormatting sqref="G2288 G2295:G2296">
    <cfRule type="expression" dxfId="19555" priority="5799">
      <formula>$H2288="ETAPA"</formula>
    </cfRule>
  </conditionalFormatting>
  <conditionalFormatting sqref="G2288">
    <cfRule type="expression" dxfId="19554" priority="5798">
      <formula>$H2288="CÉLULA CONSTRUTIVA"</formula>
    </cfRule>
    <cfRule type="expression" dxfId="19553" priority="5800">
      <formula>$H2288="SUBETAPA"</formula>
    </cfRule>
  </conditionalFormatting>
  <conditionalFormatting sqref="G2290:G2291 G2281">
    <cfRule type="expression" dxfId="19552" priority="5795">
      <formula>$H2281="SUBETAPA"</formula>
    </cfRule>
    <cfRule type="expression" dxfId="19551" priority="5796">
      <formula>$H2281="CÉLULA CONSTRUTIVA"</formula>
    </cfRule>
  </conditionalFormatting>
  <conditionalFormatting sqref="G2290:G2291">
    <cfRule type="expression" dxfId="19550" priority="5797">
      <formula>$H2290="ETAPA"</formula>
    </cfRule>
  </conditionalFormatting>
  <conditionalFormatting sqref="G2295:G2296">
    <cfRule type="expression" dxfId="19549" priority="5803">
      <formula>$H2295="SUBETAPA"</formula>
    </cfRule>
    <cfRule type="expression" dxfId="19548" priority="5804">
      <formula>$H2295="CÉLULA CONSTRUTIVA"</formula>
    </cfRule>
  </conditionalFormatting>
  <conditionalFormatting sqref="G2297:G2298">
    <cfRule type="expression" dxfId="19547" priority="5365">
      <formula>$H2297="SUBETAPA"</formula>
    </cfRule>
    <cfRule type="expression" dxfId="19546" priority="5366">
      <formula>$H2297="CÉLULA CONSTRUTIVA"</formula>
    </cfRule>
    <cfRule type="expression" dxfId="19545" priority="5367">
      <formula>$H2297="ETAPA"</formula>
    </cfRule>
  </conditionalFormatting>
  <conditionalFormatting sqref="G2306">
    <cfRule type="expression" dxfId="19544" priority="5785">
      <formula>$H2306="ETAPA"</formula>
    </cfRule>
  </conditionalFormatting>
  <conditionalFormatting sqref="G2311 G2319:G2320">
    <cfRule type="expression" dxfId="19543" priority="5779">
      <formula>$H2311="ETAPA"</formula>
    </cfRule>
  </conditionalFormatting>
  <conditionalFormatting sqref="G2311">
    <cfRule type="expression" dxfId="19542" priority="5778">
      <formula>$H2311="CÉLULA CONSTRUTIVA"</formula>
    </cfRule>
    <cfRule type="expression" dxfId="19541" priority="5780">
      <formula>$H2311="SUBETAPA"</formula>
    </cfRule>
  </conditionalFormatting>
  <conditionalFormatting sqref="G2313 G2306">
    <cfRule type="expression" dxfId="19540" priority="5775">
      <formula>$H2306="SUBETAPA"</formula>
    </cfRule>
    <cfRule type="expression" dxfId="19539" priority="5776">
      <formula>$H2306="CÉLULA CONSTRUTIVA"</formula>
    </cfRule>
  </conditionalFormatting>
  <conditionalFormatting sqref="G2313">
    <cfRule type="expression" dxfId="19538" priority="5777">
      <formula>$H2313="ETAPA"</formula>
    </cfRule>
  </conditionalFormatting>
  <conditionalFormatting sqref="G2319:G2320">
    <cfRule type="expression" dxfId="19537" priority="5783">
      <formula>$H2319="SUBETAPA"</formula>
    </cfRule>
    <cfRule type="expression" dxfId="19536" priority="5784">
      <formula>$H2319="CÉLULA CONSTRUTIVA"</formula>
    </cfRule>
  </conditionalFormatting>
  <conditionalFormatting sqref="G2321:G2322">
    <cfRule type="expression" dxfId="19535" priority="5362">
      <formula>$H2321="SUBETAPA"</formula>
    </cfRule>
    <cfRule type="expression" dxfId="19534" priority="5363">
      <formula>$H2321="CÉLULA CONSTRUTIVA"</formula>
    </cfRule>
    <cfRule type="expression" dxfId="19533" priority="5364">
      <formula>$H2321="ETAPA"</formula>
    </cfRule>
  </conditionalFormatting>
  <conditionalFormatting sqref="G2328 G2333:G2334">
    <cfRule type="expression" dxfId="19532" priority="5759">
      <formula>$H2328="ETAPA"</formula>
    </cfRule>
  </conditionalFormatting>
  <conditionalFormatting sqref="G2328">
    <cfRule type="expression" dxfId="19531" priority="5758">
      <formula>$H2328="CÉLULA CONSTRUTIVA"</formula>
    </cfRule>
    <cfRule type="expression" dxfId="19530" priority="5760">
      <formula>$H2328="SUBETAPA"</formula>
    </cfRule>
  </conditionalFormatting>
  <conditionalFormatting sqref="G2330">
    <cfRule type="expression" dxfId="19529" priority="5755">
      <formula>$H2330="SUBETAPA"</formula>
    </cfRule>
    <cfRule type="expression" dxfId="19528" priority="5756">
      <formula>$H2330="CÉLULA CONSTRUTIVA"</formula>
    </cfRule>
    <cfRule type="expression" dxfId="19527" priority="5757">
      <formula>$H2330="ETAPA"</formula>
    </cfRule>
  </conditionalFormatting>
  <conditionalFormatting sqref="G2333:G2334">
    <cfRule type="expression" dxfId="19526" priority="5763">
      <formula>$H2333="SUBETAPA"</formula>
    </cfRule>
    <cfRule type="expression" dxfId="19525" priority="5764">
      <formula>$H2333="CÉLULA CONSTRUTIVA"</formula>
    </cfRule>
  </conditionalFormatting>
  <conditionalFormatting sqref="G2335:G2336">
    <cfRule type="expression" dxfId="19524" priority="5359">
      <formula>$H2335="SUBETAPA"</formula>
    </cfRule>
    <cfRule type="expression" dxfId="19523" priority="5360">
      <formula>$H2335="CÉLULA CONSTRUTIVA"</formula>
    </cfRule>
    <cfRule type="expression" dxfId="19522" priority="5361">
      <formula>$H2335="ETAPA"</formula>
    </cfRule>
  </conditionalFormatting>
  <conditionalFormatting sqref="G2338">
    <cfRule type="expression" dxfId="19521" priority="5735">
      <formula>$H2338="SUBETAPA"</formula>
    </cfRule>
    <cfRule type="expression" dxfId="19520" priority="5736">
      <formula>$H2338="CÉLULA CONSTRUTIVA"</formula>
    </cfRule>
    <cfRule type="expression" dxfId="19519" priority="5737">
      <formula>$H2338="ETAPA"</formula>
    </cfRule>
  </conditionalFormatting>
  <conditionalFormatting sqref="G2340">
    <cfRule type="expression" dxfId="19518" priority="5357">
      <formula>$H2340="ETAPA"</formula>
    </cfRule>
    <cfRule type="expression" dxfId="19517" priority="6345">
      <formula>$H2340="SUBETAPA"</formula>
    </cfRule>
  </conditionalFormatting>
  <conditionalFormatting sqref="G2382">
    <cfRule type="expression" dxfId="19516" priority="62133">
      <formula>$H2382="ETAPA"</formula>
    </cfRule>
  </conditionalFormatting>
  <conditionalFormatting sqref="G2407">
    <cfRule type="expression" dxfId="19515" priority="62372">
      <formula>$H2407="ETAPA"</formula>
    </cfRule>
  </conditionalFormatting>
  <conditionalFormatting sqref="G2430">
    <cfRule type="expression" dxfId="19514" priority="62611">
      <formula>$H2430="ETAPA"</formula>
    </cfRule>
  </conditionalFormatting>
  <conditionalFormatting sqref="G2453">
    <cfRule type="expression" dxfId="19513" priority="62850">
      <formula>$H2453="ETAPA"</formula>
    </cfRule>
  </conditionalFormatting>
  <conditionalFormatting sqref="G2477">
    <cfRule type="expression" dxfId="19512" priority="63089">
      <formula>$H2477="ETAPA"</formula>
    </cfRule>
  </conditionalFormatting>
  <conditionalFormatting sqref="G2504:G2506">
    <cfRule type="expression" dxfId="19511" priority="63328">
      <formula>$H2504="ETAPA"</formula>
    </cfRule>
  </conditionalFormatting>
  <conditionalFormatting sqref="G2526">
    <cfRule type="expression" dxfId="19510" priority="6740">
      <formula>$H2526="CÉLULA CONSTRUTIVA"</formula>
    </cfRule>
  </conditionalFormatting>
  <conditionalFormatting sqref="G2544">
    <cfRule type="expression" dxfId="19509" priority="6676">
      <formula>$H2544="CÉLULA CONSTRUTIVA"</formula>
    </cfRule>
  </conditionalFormatting>
  <conditionalFormatting sqref="G2560">
    <cfRule type="expression" dxfId="19508" priority="6618">
      <formula>$H2560="CÉLULA CONSTRUTIVA"</formula>
    </cfRule>
  </conditionalFormatting>
  <conditionalFormatting sqref="G2576">
    <cfRule type="expression" dxfId="19507" priority="6560">
      <formula>$H2576="CÉLULA CONSTRUTIVA"</formula>
    </cfRule>
  </conditionalFormatting>
  <conditionalFormatting sqref="G2592">
    <cfRule type="expression" dxfId="19506" priority="6502">
      <formula>$H2592="CÉLULA CONSTRUTIVA"</formula>
    </cfRule>
  </conditionalFormatting>
  <conditionalFormatting sqref="G2608">
    <cfRule type="expression" dxfId="19505" priority="6444">
      <formula>$H2608="CÉLULA CONSTRUTIVA"</formula>
    </cfRule>
  </conditionalFormatting>
  <conditionalFormatting sqref="G2623">
    <cfRule type="expression" dxfId="19504" priority="6386">
      <formula>$H2623="CÉLULA CONSTRUTIVA"</formula>
    </cfRule>
  </conditionalFormatting>
  <conditionalFormatting sqref="G1431:H1431 J1431:M1431">
    <cfRule type="expression" dxfId="19503" priority="4780">
      <formula>$H1431="SUBETAPA"</formula>
    </cfRule>
  </conditionalFormatting>
  <conditionalFormatting sqref="G1440:H1441 L1443:L1446 J1440:L1441">
    <cfRule type="expression" dxfId="19502" priority="92317">
      <formula>$H1440="SUBETAPA"</formula>
    </cfRule>
    <cfRule type="expression" dxfId="19501" priority="92318">
      <formula>$H1440="CÉLULA CONSTRUTIVA"</formula>
    </cfRule>
  </conditionalFormatting>
  <conditionalFormatting sqref="G1440:H1442 J1441:L1442 H1444 J1444:K1444 O1444 J1445 H1446 J1446:K1446 O1446">
    <cfRule type="expression" dxfId="19500"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499"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498" priority="92313">
      <formula>$H610="CÉLULA CONSTRUTIVA"</formula>
    </cfRule>
  </conditionalFormatting>
  <conditionalFormatting sqref="G1480:H1481">
    <cfRule type="expression" dxfId="19497" priority="94953">
      <formula>$H1480="SUBETAPA"</formula>
    </cfRule>
    <cfRule type="expression" dxfId="19496" priority="94954">
      <formula>$H1480="CÉLULA CONSTRUTIVA"</formula>
    </cfRule>
  </conditionalFormatting>
  <conditionalFormatting sqref="G1511:H1512">
    <cfRule type="expression" dxfId="19495" priority="88341">
      <formula>$H1511="SUBETAPA"</formula>
    </cfRule>
    <cfRule type="expression" dxfId="19494" priority="88342">
      <formula>$H1511="CÉLULA CONSTRUTIVA"</formula>
    </cfRule>
  </conditionalFormatting>
  <conditionalFormatting sqref="G1533:H1534 L1535:L1538 J1533:L1534">
    <cfRule type="expression" dxfId="19493" priority="89000">
      <formula>$H1533="SUBETAPA"</formula>
    </cfRule>
    <cfRule type="expression" dxfId="19492" priority="89001">
      <formula>$H1533="CÉLULA CONSTRUTIVA"</formula>
    </cfRule>
  </conditionalFormatting>
  <conditionalFormatting sqref="G1555:H1556 L1557:L1560 J1555:L1556">
    <cfRule type="expression" dxfId="19491" priority="89659">
      <formula>$H1555="SUBETAPA"</formula>
    </cfRule>
    <cfRule type="expression" dxfId="19490" priority="89660">
      <formula>$H1555="CÉLULA CONSTRUTIVA"</formula>
    </cfRule>
  </conditionalFormatting>
  <conditionalFormatting sqref="G1593:H1594 L1595:L1598 J1593:L1594">
    <cfRule type="expression" dxfId="19489" priority="90977">
      <formula>$H1593="SUBETAPA"</formula>
    </cfRule>
    <cfRule type="expression" dxfId="19488" priority="90978">
      <formula>$H1593="CÉLULA CONSTRUTIVA"</formula>
    </cfRule>
  </conditionalFormatting>
  <conditionalFormatting sqref="G1614:H1615 L1616:L1619 J1614:L1615">
    <cfRule type="expression" dxfId="19487" priority="91637">
      <formula>$H1614="SUBETAPA"</formula>
    </cfRule>
    <cfRule type="expression" dxfId="19486" priority="91638">
      <formula>$H1614="CÉLULA CONSTRUTIVA"</formula>
    </cfRule>
  </conditionalFormatting>
  <conditionalFormatting sqref="G1638:H1639 L1640:L1643 J1638:L1639">
    <cfRule type="expression" dxfId="19485" priority="96271">
      <formula>$H1638="SUBETAPA"</formula>
    </cfRule>
    <cfRule type="expression" dxfId="19484" priority="96272">
      <formula>$H1638="CÉLULA CONSTRUTIVA"</formula>
    </cfRule>
  </conditionalFormatting>
  <conditionalFormatting sqref="G1656:H1657 J1656:L1657">
    <cfRule type="expression" dxfId="19483" priority="96930">
      <formula>$H1656="SUBETAPA"</formula>
    </cfRule>
    <cfRule type="expression" dxfId="19482" priority="96931">
      <formula>$H1656="CÉLULA CONSTRUTIVA"</formula>
    </cfRule>
  </conditionalFormatting>
  <conditionalFormatting sqref="G2342:H2342 J2342:M2342">
    <cfRule type="expression" dxfId="19481" priority="61983">
      <formula>$H2342="CÉLULA CONSTRUTIVA"</formula>
    </cfRule>
    <cfRule type="expression" dxfId="19480" priority="61984">
      <formula>$H2342="SUBETAPA"</formula>
    </cfRule>
  </conditionalFormatting>
  <conditionalFormatting sqref="G2348:H2348 G2354:H2355">
    <cfRule type="expression" dxfId="19479" priority="61968">
      <formula>$H2348="ETAPA"</formula>
    </cfRule>
  </conditionalFormatting>
  <conditionalFormatting sqref="G2360:H2361 J2360:M2361">
    <cfRule type="expression" dxfId="19478" priority="62187">
      <formula>$H2360="ETAPA"</formula>
    </cfRule>
  </conditionalFormatting>
  <conditionalFormatting sqref="G2361:H2361 J2361:M2361">
    <cfRule type="expression" dxfId="19477" priority="62193">
      <formula>$H2361="CÉLULA CONSTRUTIVA"</formula>
    </cfRule>
    <cfRule type="expression" dxfId="19476" priority="62194">
      <formula>$H2361="SUBETAPA"</formula>
    </cfRule>
  </conditionalFormatting>
  <conditionalFormatting sqref="G2363:H2363 J2363:M2363">
    <cfRule type="expression" dxfId="19475" priority="62222">
      <formula>$H2363="CÉLULA CONSTRUTIVA"</formula>
    </cfRule>
    <cfRule type="expression" dxfId="19474" priority="62223">
      <formula>$H2363="SUBETAPA"</formula>
    </cfRule>
  </conditionalFormatting>
  <conditionalFormatting sqref="G2382:H2382 M2382 J2382:K2382 O2382">
    <cfRule type="expression" dxfId="19473" priority="62126">
      <formula>$H2382="CÉLULA CONSTRUTIVA"</formula>
    </cfRule>
  </conditionalFormatting>
  <conditionalFormatting sqref="G2387:H2388 J2387:M2388">
    <cfRule type="expression" dxfId="19472" priority="62426">
      <formula>$H2387="ETAPA"</formula>
    </cfRule>
  </conditionalFormatting>
  <conditionalFormatting sqref="G2388:H2388 J2388:M2388">
    <cfRule type="expression" dxfId="19471" priority="62432">
      <formula>$H2388="CÉLULA CONSTRUTIVA"</formula>
    </cfRule>
    <cfRule type="expression" dxfId="19470" priority="62433">
      <formula>$H2388="SUBETAPA"</formula>
    </cfRule>
  </conditionalFormatting>
  <conditionalFormatting sqref="G2390:H2390 J2390:M2390">
    <cfRule type="expression" dxfId="19469" priority="62461">
      <formula>$H2390="CÉLULA CONSTRUTIVA"</formula>
    </cfRule>
    <cfRule type="expression" dxfId="19468" priority="62462">
      <formula>$H2390="SUBETAPA"</formula>
    </cfRule>
  </conditionalFormatting>
  <conditionalFormatting sqref="G2407:H2407 M2407 J2407:K2407 O2407">
    <cfRule type="expression" dxfId="19467" priority="62365">
      <formula>$H2407="CÉLULA CONSTRUTIVA"</formula>
    </cfRule>
  </conditionalFormatting>
  <conditionalFormatting sqref="G2411:H2412 J2411:M2412">
    <cfRule type="expression" dxfId="19466" priority="62665">
      <formula>$H2411="ETAPA"</formula>
    </cfRule>
  </conditionalFormatting>
  <conditionalFormatting sqref="G2412:H2412 J2412:M2412">
    <cfRule type="expression" dxfId="19465" priority="62671">
      <formula>$H2412="CÉLULA CONSTRUTIVA"</formula>
    </cfRule>
    <cfRule type="expression" dxfId="19464" priority="62672">
      <formula>$H2412="SUBETAPA"</formula>
    </cfRule>
  </conditionalFormatting>
  <conditionalFormatting sqref="G2414:H2414 J2414:M2414">
    <cfRule type="expression" dxfId="19463" priority="62700">
      <formula>$H2414="CÉLULA CONSTRUTIVA"</formula>
    </cfRule>
    <cfRule type="expression" dxfId="19462" priority="62701">
      <formula>$H2414="SUBETAPA"</formula>
    </cfRule>
  </conditionalFormatting>
  <conditionalFormatting sqref="G2430:H2430 M2430 J2430:K2430 O2430">
    <cfRule type="expression" dxfId="19461" priority="62604">
      <formula>$H2430="CÉLULA CONSTRUTIVA"</formula>
    </cfRule>
  </conditionalFormatting>
  <conditionalFormatting sqref="G2434:H2435 J2434:M2435">
    <cfRule type="expression" dxfId="19460" priority="62904">
      <formula>$H2434="ETAPA"</formula>
    </cfRule>
  </conditionalFormatting>
  <conditionalFormatting sqref="G2435:H2435 J2435:M2435">
    <cfRule type="expression" dxfId="19459" priority="62910">
      <formula>$H2435="CÉLULA CONSTRUTIVA"</formula>
    </cfRule>
    <cfRule type="expression" dxfId="19458" priority="62911">
      <formula>$H2435="SUBETAPA"</formula>
    </cfRule>
  </conditionalFormatting>
  <conditionalFormatting sqref="G2437:H2437 J2437:M2437">
    <cfRule type="expression" dxfId="19457" priority="62939">
      <formula>$H2437="CÉLULA CONSTRUTIVA"</formula>
    </cfRule>
    <cfRule type="expression" dxfId="19456" priority="62940">
      <formula>$H2437="SUBETAPA"</formula>
    </cfRule>
  </conditionalFormatting>
  <conditionalFormatting sqref="G2453:H2453 M2453 J2453:K2453 O2453">
    <cfRule type="expression" dxfId="19455" priority="62843">
      <formula>$H2453="CÉLULA CONSTRUTIVA"</formula>
    </cfRule>
  </conditionalFormatting>
  <conditionalFormatting sqref="G2457:H2458 J2457:M2458">
    <cfRule type="expression" dxfId="19454" priority="63143">
      <formula>$H2457="ETAPA"</formula>
    </cfRule>
  </conditionalFormatting>
  <conditionalFormatting sqref="G2458:H2458 J2458:M2458">
    <cfRule type="expression" dxfId="19453" priority="63149">
      <formula>$H2458="CÉLULA CONSTRUTIVA"</formula>
    </cfRule>
    <cfRule type="expression" dxfId="19452" priority="63150">
      <formula>$H2458="SUBETAPA"</formula>
    </cfRule>
  </conditionalFormatting>
  <conditionalFormatting sqref="G2460:H2460 J2460:M2460">
    <cfRule type="expression" dxfId="19451" priority="63178">
      <formula>$H2460="CÉLULA CONSTRUTIVA"</formula>
    </cfRule>
    <cfRule type="expression" dxfId="19450" priority="63179">
      <formula>$H2460="SUBETAPA"</formula>
    </cfRule>
  </conditionalFormatting>
  <conditionalFormatting sqref="G2477:H2477 M2477 J2477:K2477 O2477">
    <cfRule type="expression" dxfId="19449" priority="63082">
      <formula>$H2477="CÉLULA CONSTRUTIVA"</formula>
    </cfRule>
  </conditionalFormatting>
  <conditionalFormatting sqref="G2481:H2482 J2481:M2482">
    <cfRule type="expression" dxfId="19448" priority="63382">
      <formula>$H2481="ETAPA"</formula>
    </cfRule>
  </conditionalFormatting>
  <conditionalFormatting sqref="G2482:H2482 J2482:M2482">
    <cfRule type="expression" dxfId="19447" priority="63388">
      <formula>$H2482="CÉLULA CONSTRUTIVA"</formula>
    </cfRule>
    <cfRule type="expression" dxfId="19446" priority="63389">
      <formula>$H2482="SUBETAPA"</formula>
    </cfRule>
  </conditionalFormatting>
  <conditionalFormatting sqref="G2484:H2484 J2484:M2484">
    <cfRule type="expression" dxfId="19445" priority="63418">
      <formula>$H2484="SUBETAPA"</formula>
    </cfRule>
  </conditionalFormatting>
  <conditionalFormatting sqref="G2484:H2484 O2499:O2500 J2484:M2484">
    <cfRule type="expression" dxfId="19444" priority="63417">
      <formula>$H2484="CÉLULA CONSTRUTIVA"</formula>
    </cfRule>
  </conditionalFormatting>
  <conditionalFormatting sqref="G2506:H2506 M2506 J2506:K2506 O2506">
    <cfRule type="expression" dxfId="19443" priority="63321">
      <formula>$H2506="CÉLULA CONSTRUTIVA"</formula>
    </cfRule>
  </conditionalFormatting>
  <conditionalFormatting sqref="G2511:H2511 J2511:M2511">
    <cfRule type="expression" dxfId="19442" priority="63656">
      <formula>$H2511="CÉLULA CONSTRUTIVA"</formula>
    </cfRule>
    <cfRule type="expression" dxfId="19441" priority="63657">
      <formula>$H2511="SUBETAPA"</formula>
    </cfRule>
  </conditionalFormatting>
  <conditionalFormatting sqref="G2518:H2518 G2525:H2526 J2527:K2528">
    <cfRule type="expression" dxfId="19440" priority="63641">
      <formula>$H2518="ETAPA"</formula>
    </cfRule>
  </conditionalFormatting>
  <conditionalFormatting sqref="G2533:H2533 J2533:M2533">
    <cfRule type="expression" dxfId="19439" priority="63895">
      <formula>$H2533="CÉLULA CONSTRUTIVA"</formula>
    </cfRule>
    <cfRule type="expression" dxfId="19438" priority="63896">
      <formula>$H2533="SUBETAPA"</formula>
    </cfRule>
  </conditionalFormatting>
  <conditionalFormatting sqref="G2538:H2538 G2543:H2544">
    <cfRule type="expression" dxfId="19437" priority="63880">
      <formula>$H2538="ETAPA"</formula>
    </cfRule>
  </conditionalFormatting>
  <conditionalFormatting sqref="G2549:H2549 J2549:M2549">
    <cfRule type="expression" dxfId="19436" priority="64134">
      <formula>$H2549="CÉLULA CONSTRUTIVA"</formula>
    </cfRule>
    <cfRule type="expression" dxfId="19435" priority="64135">
      <formula>$H2549="SUBETAPA"</formula>
    </cfRule>
  </conditionalFormatting>
  <conditionalFormatting sqref="G2554:H2554 G2559:H2560">
    <cfRule type="expression" dxfId="19434" priority="64119">
      <formula>$H2554="ETAPA"</formula>
    </cfRule>
  </conditionalFormatting>
  <conditionalFormatting sqref="G2565:H2565 J2565:M2565">
    <cfRule type="expression" dxfId="19433" priority="64373">
      <formula>$H2565="CÉLULA CONSTRUTIVA"</formula>
    </cfRule>
    <cfRule type="expression" dxfId="19432" priority="64374">
      <formula>$H2565="SUBETAPA"</formula>
    </cfRule>
  </conditionalFormatting>
  <conditionalFormatting sqref="G2570:H2570 G2575:H2576">
    <cfRule type="expression" dxfId="19431" priority="64358">
      <formula>$H2570="ETAPA"</formula>
    </cfRule>
  </conditionalFormatting>
  <conditionalFormatting sqref="G2581:H2581 J2581:M2581">
    <cfRule type="expression" dxfId="19430" priority="64612">
      <formula>$H2581="CÉLULA CONSTRUTIVA"</formula>
    </cfRule>
    <cfRule type="expression" dxfId="19429" priority="64613">
      <formula>$H2581="SUBETAPA"</formula>
    </cfRule>
  </conditionalFormatting>
  <conditionalFormatting sqref="G2586:H2586 G2591:H2592">
    <cfRule type="expression" dxfId="19428" priority="64597">
      <formula>$H2586="ETAPA"</formula>
    </cfRule>
  </conditionalFormatting>
  <conditionalFormatting sqref="G2597:H2597 J2597:M2597">
    <cfRule type="expression" dxfId="19427" priority="64851">
      <formula>$H2597="CÉLULA CONSTRUTIVA"</formula>
    </cfRule>
    <cfRule type="expression" dxfId="19426" priority="64852">
      <formula>$H2597="SUBETAPA"</formula>
    </cfRule>
  </conditionalFormatting>
  <conditionalFormatting sqref="G2602:H2602 G2607:H2608">
    <cfRule type="expression" dxfId="19425"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24" priority="116283">
      <formula>$H399="ETAPA"</formula>
    </cfRule>
  </conditionalFormatting>
  <conditionalFormatting sqref="G2613:H2613 J2613:M2613">
    <cfRule type="expression" dxfId="19423" priority="65090">
      <formula>$H2613="CÉLULA CONSTRUTIVA"</formula>
    </cfRule>
    <cfRule type="expression" dxfId="19422" priority="65091">
      <formula>$H2613="SUBETAPA"</formula>
    </cfRule>
  </conditionalFormatting>
  <conditionalFormatting sqref="G2618:H2618 G2622:H2623">
    <cfRule type="expression" dxfId="19421" priority="65075">
      <formula>$H2618="ETAPA"</formula>
    </cfRule>
  </conditionalFormatting>
  <conditionalFormatting sqref="G2635:H2635 J2635:L2635">
    <cfRule type="expression" dxfId="19420" priority="1942">
      <formula>$H2635="ETAPA"</formula>
    </cfRule>
    <cfRule type="expression" dxfId="19419" priority="1953">
      <formula>$H2635="SUBETAPA"</formula>
    </cfRule>
  </conditionalFormatting>
  <conditionalFormatting sqref="G2758:H2758 J2758:M2758">
    <cfRule type="expression" dxfId="19418" priority="1401">
      <formula>$H2758="SUBETAPA"</formula>
    </cfRule>
    <cfRule type="expression" dxfId="19417" priority="1402">
      <formula>$H2758="CÉLULA CONSTRUTIVA"</formula>
    </cfRule>
  </conditionalFormatting>
  <conditionalFormatting sqref="G2758:H2758">
    <cfRule type="expression" dxfId="19416" priority="1398">
      <formula>$H2758="ETAPA"</formula>
    </cfRule>
  </conditionalFormatting>
  <conditionalFormatting sqref="G2763:H2763 J2763:L2763">
    <cfRule type="expression" dxfId="19415" priority="1399">
      <formula>$H2763="CÉLULA CONSTRUTIVA"</formula>
    </cfRule>
  </conditionalFormatting>
  <conditionalFormatting sqref="G2763:H2763">
    <cfRule type="expression" dxfId="19414" priority="1396">
      <formula>$H2763="ETAPA"</formula>
    </cfRule>
  </conditionalFormatting>
  <conditionalFormatting sqref="G2764:H2764 J2764:M2764">
    <cfRule type="expression" dxfId="19413" priority="1443">
      <formula>$H2764="SUBETAPA"</formula>
    </cfRule>
    <cfRule type="expression" dxfId="19412" priority="1444">
      <formula>$H2764="CÉLULA CONSTRUTIVA"</formula>
    </cfRule>
  </conditionalFormatting>
  <conditionalFormatting sqref="G2764:H2764">
    <cfRule type="expression" dxfId="19411" priority="1440">
      <formula>$H2764="ETAPA"</formula>
    </cfRule>
  </conditionalFormatting>
  <conditionalFormatting sqref="G2769:H2769 J2769:L2769">
    <cfRule type="expression" dxfId="19410" priority="1441">
      <formula>$H2769="CÉLULA CONSTRUTIVA"</formula>
    </cfRule>
  </conditionalFormatting>
  <conditionalFormatting sqref="G2769:H2769">
    <cfRule type="expression" dxfId="19409" priority="1438">
      <formula>$H2769="ETAPA"</formula>
    </cfRule>
  </conditionalFormatting>
  <conditionalFormatting sqref="G2770:H2770 J2770:M2770">
    <cfRule type="expression" dxfId="19408" priority="1485">
      <formula>$H2770="SUBETAPA"</formula>
    </cfRule>
    <cfRule type="expression" dxfId="19407" priority="1486">
      <formula>$H2770="CÉLULA CONSTRUTIVA"</formula>
    </cfRule>
  </conditionalFormatting>
  <conditionalFormatting sqref="G2770:H2770">
    <cfRule type="expression" dxfId="19406" priority="1482">
      <formula>$H2770="ETAPA"</formula>
    </cfRule>
  </conditionalFormatting>
  <conditionalFormatting sqref="G2775:H2775 J2775:L2775">
    <cfRule type="expression" dxfId="19405" priority="1483">
      <formula>$H2775="CÉLULA CONSTRUTIVA"</formula>
    </cfRule>
  </conditionalFormatting>
  <conditionalFormatting sqref="G2775:H2775">
    <cfRule type="expression" dxfId="19404" priority="1480">
      <formula>$H2775="ETAPA"</formula>
    </cfRule>
  </conditionalFormatting>
  <conditionalFormatting sqref="G2776:H2776 J2776:M2776">
    <cfRule type="expression" dxfId="19403" priority="1527">
      <formula>$H2776="SUBETAPA"</formula>
    </cfRule>
    <cfRule type="expression" dxfId="19402" priority="1528">
      <formula>$H2776="CÉLULA CONSTRUTIVA"</formula>
    </cfRule>
  </conditionalFormatting>
  <conditionalFormatting sqref="G2776:H2776">
    <cfRule type="expression" dxfId="19401" priority="1524">
      <formula>$H2776="ETAPA"</formula>
    </cfRule>
  </conditionalFormatting>
  <conditionalFormatting sqref="G2782:H2782 G2784:H2784">
    <cfRule type="expression" dxfId="19400" priority="1522">
      <formula>$H2782="ETAPA"</formula>
    </cfRule>
  </conditionalFormatting>
  <conditionalFormatting sqref="G2782:H2782 H2783 O2783 G2784:H2784 J2784:L2784 J2783:K2783 J2782:L2782">
    <cfRule type="expression" dxfId="19399" priority="1489">
      <formula>$H2782="SUBETAPA"</formula>
    </cfRule>
  </conditionalFormatting>
  <conditionalFormatting sqref="G2782:H2782 J2782:L2782">
    <cfRule type="expression" dxfId="19398" priority="1526">
      <formula>$H2782="CÉLULA CONSTRUTIVA"</formula>
    </cfRule>
  </conditionalFormatting>
  <conditionalFormatting sqref="G2784:H2784 J2784:L2784">
    <cfRule type="expression" dxfId="19397" priority="1525">
      <formula>$H2784="CÉLULA CONSTRUTIVA"</formula>
    </cfRule>
  </conditionalFormatting>
  <conditionalFormatting sqref="G2785:H2785 J2785:M2785">
    <cfRule type="expression" dxfId="19396" priority="1569">
      <formula>$H2785="SUBETAPA"</formula>
    </cfRule>
    <cfRule type="expression" dxfId="19395" priority="1570">
      <formula>$H2785="CÉLULA CONSTRUTIVA"</formula>
    </cfRule>
  </conditionalFormatting>
  <conditionalFormatting sqref="G2785:H2785">
    <cfRule type="expression" dxfId="19394" priority="1566">
      <formula>$H2785="ETAPA"</formula>
    </cfRule>
  </conditionalFormatting>
  <conditionalFormatting sqref="G2791:H2791 G2793:H2793">
    <cfRule type="expression" dxfId="19393" priority="1564">
      <formula>$H2791="ETAPA"</formula>
    </cfRule>
  </conditionalFormatting>
  <conditionalFormatting sqref="G2791:H2791 H2792 O2792 G2793:H2793 J2793:L2793 J2792:K2792 J2791:L2791">
    <cfRule type="expression" dxfId="19392" priority="1531">
      <formula>$H2791="SUBETAPA"</formula>
    </cfRule>
  </conditionalFormatting>
  <conditionalFormatting sqref="G2791:H2791 J2791:L2791">
    <cfRule type="expression" dxfId="19391" priority="1568">
      <formula>$H2791="CÉLULA CONSTRUTIVA"</formula>
    </cfRule>
  </conditionalFormatting>
  <conditionalFormatting sqref="G2793:H2793 J2793:L2793">
    <cfRule type="expression" dxfId="19390" priority="1567">
      <formula>$H2793="CÉLULA CONSTRUTIVA"</formula>
    </cfRule>
  </conditionalFormatting>
  <conditionalFormatting sqref="G2794:H2794 J2794:M2794">
    <cfRule type="expression" dxfId="19389" priority="1611">
      <formula>$H2794="SUBETAPA"</formula>
    </cfRule>
    <cfRule type="expression" dxfId="19388" priority="1612">
      <formula>$H2794="CÉLULA CONSTRUTIVA"</formula>
    </cfRule>
  </conditionalFormatting>
  <conditionalFormatting sqref="G2794:H2794">
    <cfRule type="expression" dxfId="19387" priority="1608">
      <formula>$H2794="ETAPA"</formula>
    </cfRule>
  </conditionalFormatting>
  <conditionalFormatting sqref="G2800:H2800 G2802:H2802">
    <cfRule type="expression" dxfId="19386" priority="1606">
      <formula>$H2800="ETAPA"</formula>
    </cfRule>
  </conditionalFormatting>
  <conditionalFormatting sqref="G2800:H2800 H2801 O2801 G2802:H2802 J2801:K2802 J2800:L2800">
    <cfRule type="expression" dxfId="19385" priority="1573">
      <formula>$H2800="SUBETAPA"</formula>
    </cfRule>
  </conditionalFormatting>
  <conditionalFormatting sqref="G2800:H2800 J2800:L2800">
    <cfRule type="expression" dxfId="19384" priority="1610">
      <formula>$H2800="CÉLULA CONSTRUTIVA"</formula>
    </cfRule>
  </conditionalFormatting>
  <conditionalFormatting sqref="G2802:H2802 J2802:K2802">
    <cfRule type="expression" dxfId="19383" priority="1609">
      <formula>$H2802="CÉLULA CONSTRUTIVA"</formula>
    </cfRule>
  </conditionalFormatting>
  <conditionalFormatting sqref="G2803:H2803 J2803:M2803">
    <cfRule type="expression" dxfId="19382" priority="1653">
      <formula>$H2803="SUBETAPA"</formula>
    </cfRule>
    <cfRule type="expression" dxfId="19381" priority="1654">
      <formula>$H2803="CÉLULA CONSTRUTIVA"</formula>
    </cfRule>
  </conditionalFormatting>
  <conditionalFormatting sqref="G2803:H2803">
    <cfRule type="expression" dxfId="19380" priority="1650">
      <formula>$H2803="ETAPA"</formula>
    </cfRule>
  </conditionalFormatting>
  <conditionalFormatting sqref="G2809:H2809 G2811:H2811">
    <cfRule type="expression" dxfId="19379" priority="1648">
      <formula>$H2809="ETAPA"</formula>
    </cfRule>
  </conditionalFormatting>
  <conditionalFormatting sqref="G2809:H2809 H2810 O2810 G2811:H2811 J2810:K2811 J2809:L2809">
    <cfRule type="expression" dxfId="19378" priority="1615">
      <formula>$H2809="SUBETAPA"</formula>
    </cfRule>
  </conditionalFormatting>
  <conditionalFormatting sqref="G2809:H2809 J2809:L2809">
    <cfRule type="expression" dxfId="19377" priority="1652">
      <formula>$H2809="CÉLULA CONSTRUTIVA"</formula>
    </cfRule>
  </conditionalFormatting>
  <conditionalFormatting sqref="G2811:H2811 J2811:K2811">
    <cfRule type="expression" dxfId="19376" priority="1651">
      <formula>$H2811="CÉLULA CONSTRUTIVA"</formula>
    </cfRule>
  </conditionalFormatting>
  <conditionalFormatting sqref="G2812:H2812 J2812:M2812">
    <cfRule type="expression" dxfId="19375" priority="1695">
      <formula>$H2812="SUBETAPA"</formula>
    </cfRule>
    <cfRule type="expression" dxfId="19374" priority="1696">
      <formula>$H2812="CÉLULA CONSTRUTIVA"</formula>
    </cfRule>
  </conditionalFormatting>
  <conditionalFormatting sqref="G2812:H2812">
    <cfRule type="expression" dxfId="19373" priority="1692">
      <formula>$H2812="ETAPA"</formula>
    </cfRule>
  </conditionalFormatting>
  <conditionalFormatting sqref="G2818:H2818 J2818:K2818">
    <cfRule type="expression" dxfId="19372" priority="1693">
      <formula>$H2818="CÉLULA CONSTRUTIVA"</formula>
    </cfRule>
  </conditionalFormatting>
  <conditionalFormatting sqref="G2818:H2818">
    <cfRule type="expression" dxfId="19371" priority="1690">
      <formula>$H2818="ETAPA"</formula>
    </cfRule>
  </conditionalFormatting>
  <conditionalFormatting sqref="G2828:H2828 J2828:L2828">
    <cfRule type="expression" dxfId="19370" priority="447">
      <formula>$H2828="SUBETAPA"</formula>
    </cfRule>
    <cfRule type="expression" dxfId="19369" priority="448">
      <formula>$H2828="CÉLULA CONSTRUTIVA"</formula>
    </cfRule>
    <cfRule type="expression" dxfId="19368" priority="449">
      <formula>$H2828="ETAPA"</formula>
    </cfRule>
  </conditionalFormatting>
  <conditionalFormatting sqref="G2837:H2837 J2837:L2837">
    <cfRule type="expression" dxfId="19367" priority="512">
      <formula>$H2837="SUBETAPA"</formula>
    </cfRule>
    <cfRule type="expression" dxfId="19366" priority="513">
      <formula>$H2837="CÉLULA CONSTRUTIVA"</formula>
    </cfRule>
    <cfRule type="expression" dxfId="19365" priority="514">
      <formula>$H2837="ETAPA"</formula>
    </cfRule>
  </conditionalFormatting>
  <conditionalFormatting sqref="G2846:H2846 J2846:L2846">
    <cfRule type="expression" dxfId="19364" priority="577">
      <formula>$H2846="SUBETAPA"</formula>
    </cfRule>
    <cfRule type="expression" dxfId="19363" priority="578">
      <formula>$H2846="CÉLULA CONSTRUTIVA"</formula>
    </cfRule>
    <cfRule type="expression" dxfId="19362" priority="579">
      <formula>$H2846="ETAPA"</formula>
    </cfRule>
  </conditionalFormatting>
  <conditionalFormatting sqref="G2855:H2855 J2855:L2855">
    <cfRule type="expression" dxfId="19361" priority="642">
      <formula>$H2855="SUBETAPA"</formula>
    </cfRule>
    <cfRule type="expression" dxfId="19360" priority="643">
      <formula>$H2855="CÉLULA CONSTRUTIVA"</formula>
    </cfRule>
    <cfRule type="expression" dxfId="19359" priority="644">
      <formula>$H2855="ETAPA"</formula>
    </cfRule>
  </conditionalFormatting>
  <conditionalFormatting sqref="G2864:H2864 J2864:L2864">
    <cfRule type="expression" dxfId="19358" priority="707">
      <formula>$H2864="SUBETAPA"</formula>
    </cfRule>
    <cfRule type="expression" dxfId="19357" priority="708">
      <formula>$H2864="CÉLULA CONSTRUTIVA"</formula>
    </cfRule>
    <cfRule type="expression" dxfId="19356" priority="709">
      <formula>$H2864="ETAPA"</formula>
    </cfRule>
  </conditionalFormatting>
  <conditionalFormatting sqref="G2873:H2873 J2873:L2873">
    <cfRule type="expression" dxfId="19355" priority="772">
      <formula>$H2873="SUBETAPA"</formula>
    </cfRule>
    <cfRule type="expression" dxfId="19354" priority="773">
      <formula>$H2873="CÉLULA CONSTRUTIVA"</formula>
    </cfRule>
    <cfRule type="expression" dxfId="19353" priority="774">
      <formula>$H2873="ETAPA"</formula>
    </cfRule>
  </conditionalFormatting>
  <conditionalFormatting sqref="G2884:H2884 J2884:L2884">
    <cfRule type="expression" dxfId="19352" priority="837">
      <formula>$H2884="SUBETAPA"</formula>
    </cfRule>
    <cfRule type="expression" dxfId="19351" priority="838">
      <formula>$H2884="CÉLULA CONSTRUTIVA"</formula>
    </cfRule>
    <cfRule type="expression" dxfId="19350" priority="839">
      <formula>$H2884="ETAPA"</formula>
    </cfRule>
  </conditionalFormatting>
  <conditionalFormatting sqref="G2895:H2895 J2895:L2895">
    <cfRule type="expression" dxfId="19349" priority="902">
      <formula>$H2895="SUBETAPA"</formula>
    </cfRule>
    <cfRule type="expression" dxfId="19348" priority="903">
      <formula>$H2895="CÉLULA CONSTRUTIVA"</formula>
    </cfRule>
    <cfRule type="expression" dxfId="19347" priority="904">
      <formula>$H2895="ETAPA"</formula>
    </cfRule>
  </conditionalFormatting>
  <conditionalFormatting sqref="G2904:H2904 J2904:L2904">
    <cfRule type="expression" dxfId="19346" priority="967">
      <formula>$H2904="SUBETAPA"</formula>
    </cfRule>
    <cfRule type="expression" dxfId="19345" priority="968">
      <formula>$H2904="CÉLULA CONSTRUTIVA"</formula>
    </cfRule>
    <cfRule type="expression" dxfId="19344" priority="969">
      <formula>$H2904="ETAPA"</formula>
    </cfRule>
  </conditionalFormatting>
  <conditionalFormatting sqref="G2913:H2913 J2913:L2913">
    <cfRule type="expression" dxfId="19343" priority="1032">
      <formula>$H2913="SUBETAPA"</formula>
    </cfRule>
    <cfRule type="expression" dxfId="19342" priority="1033">
      <formula>$H2913="CÉLULA CONSTRUTIVA"</formula>
    </cfRule>
    <cfRule type="expression" dxfId="19341" priority="1034">
      <formula>$H2913="ETAPA"</formula>
    </cfRule>
  </conditionalFormatting>
  <conditionalFormatting sqref="G2922:H2922 J2922:L2922">
    <cfRule type="expression" dxfId="19340" priority="1097">
      <formula>$H2922="SUBETAPA"</formula>
    </cfRule>
    <cfRule type="expression" dxfId="19339" priority="1098">
      <formula>$H2922="CÉLULA CONSTRUTIVA"</formula>
    </cfRule>
    <cfRule type="expression" dxfId="19338" priority="1099">
      <formula>$H2922="ETAPA"</formula>
    </cfRule>
  </conditionalFormatting>
  <conditionalFormatting sqref="G2931:H2931 J2931:L2931">
    <cfRule type="expression" dxfId="19337" priority="1162">
      <formula>$H2931="SUBETAPA"</formula>
    </cfRule>
    <cfRule type="expression" dxfId="19336" priority="1163">
      <formula>$H2931="CÉLULA CONSTRUTIVA"</formula>
    </cfRule>
    <cfRule type="expression" dxfId="19335" priority="1164">
      <formula>$H2931="ETAPA"</formula>
    </cfRule>
  </conditionalFormatting>
  <conditionalFormatting sqref="G2942:H2942 J2942:L2942">
    <cfRule type="expression" dxfId="19334" priority="1227">
      <formula>$H2942="SUBETAPA"</formula>
    </cfRule>
    <cfRule type="expression" dxfId="19333" priority="1228">
      <formula>$H2942="CÉLULA CONSTRUTIVA"</formula>
    </cfRule>
    <cfRule type="expression" dxfId="19332" priority="1229">
      <formula>$H2942="ETAPA"</formula>
    </cfRule>
  </conditionalFormatting>
  <conditionalFormatting sqref="G2952:H2952 J2952:L2952">
    <cfRule type="expression" dxfId="19331" priority="1292">
      <formula>$H2952="SUBETAPA"</formula>
    </cfRule>
    <cfRule type="expression" dxfId="19330" priority="1293">
      <formula>$H2952="CÉLULA CONSTRUTIVA"</formula>
    </cfRule>
    <cfRule type="expression" dxfId="19329"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28" priority="83635">
      <formula>$H2954="ETAPA"</formula>
    </cfRule>
  </conditionalFormatting>
  <conditionalFormatting sqref="G3056:H3056 J3056:L3056">
    <cfRule type="expression" dxfId="19327" priority="1">
      <formula>$H3056="ETAPA"</formula>
    </cfRule>
    <cfRule type="expression" dxfId="19326" priority="2">
      <formula>$H3056="SUBETAPA"</formula>
    </cfRule>
    <cfRule type="expression" dxfId="19325" priority="3">
      <formula>$H3056="CÉLULA CONSTRUTIVA"</formula>
    </cfRule>
  </conditionalFormatting>
  <conditionalFormatting sqref="G3057:H3057 J3057:L3057">
    <cfRule type="expression" dxfId="19324" priority="4206">
      <formula>$H3057="ETAPA"</formula>
    </cfRule>
    <cfRule type="expression" dxfId="19323" priority="4207">
      <formula>$H3057="SUBETAPA"</formula>
    </cfRule>
    <cfRule type="expression" dxfId="19322" priority="4208">
      <formula>$H3057="CÉLULA CONSTRUTIVA"</formula>
    </cfRule>
  </conditionalFormatting>
  <conditionalFormatting sqref="G3058:H3058 J3058:L3058 G3060:H3062 K3060:L3061 L3062 G3064:H3065 J3065:L3065 K3064:L3064 K3061:K3063">
    <cfRule type="expression" dxfId="19321" priority="61273">
      <formula>$H3058="SUBETAPA"</formula>
    </cfRule>
    <cfRule type="expression" dxfId="19320" priority="61274">
      <formula>$H3058="CÉLULA CONSTRUTIVA"</formula>
    </cfRule>
  </conditionalFormatting>
  <conditionalFormatting sqref="G3076:H3076 J3076:K3076">
    <cfRule type="expression" dxfId="19319" priority="61039">
      <formula>$H3076="SUBETAPA"</formula>
    </cfRule>
    <cfRule type="expression" dxfId="19318" priority="61040">
      <formula>$H3076="CÉLULA CONSTRUTIVA"</formula>
    </cfRule>
  </conditionalFormatting>
  <conditionalFormatting sqref="G3077:H3077 J3077:K3077 J3078">
    <cfRule type="expression" dxfId="19317" priority="61037">
      <formula>$H3077="SUBETAPA"</formula>
    </cfRule>
    <cfRule type="expression" dxfId="19316" priority="61038">
      <formula>$H3077="CÉLULA CONSTRUTIVA"</formula>
    </cfRule>
  </conditionalFormatting>
  <conditionalFormatting sqref="G3090:H3090">
    <cfRule type="expression" dxfId="19315" priority="60180">
      <formula>$H3090="SUBETAPA"</formula>
    </cfRule>
    <cfRule type="expression" dxfId="19314" priority="60181">
      <formula>$H3090="CÉLULA CONSTRUTIVA"</formula>
    </cfRule>
  </conditionalFormatting>
  <conditionalFormatting sqref="G3098:H3098 J3098:K3098">
    <cfRule type="expression" dxfId="19313" priority="61285">
      <formula>$H3098="SUBETAPA"</formula>
    </cfRule>
    <cfRule type="expression" dxfId="19312" priority="61286">
      <formula>$H3098="CÉLULA CONSTRUTIVA"</formula>
    </cfRule>
  </conditionalFormatting>
  <conditionalFormatting sqref="G3099:H3099 J3099:K3099">
    <cfRule type="expression" dxfId="19311" priority="61283">
      <formula>$H3099="SUBETAPA"</formula>
    </cfRule>
    <cfRule type="expression" dxfId="19310" priority="61284">
      <formula>$H3099="CÉLULA CONSTRUTIVA"</formula>
    </cfRule>
  </conditionalFormatting>
  <conditionalFormatting sqref="G3106:H3106 J3106:L3106">
    <cfRule type="expression" dxfId="19309" priority="61765">
      <formula>$H3106="SUBETAPA"</formula>
    </cfRule>
    <cfRule type="expression" dxfId="19308" priority="61766">
      <formula>$H3106="CÉLULA CONSTRUTIVA"</formula>
    </cfRule>
  </conditionalFormatting>
  <conditionalFormatting sqref="G3111:H3111">
    <cfRule type="expression" dxfId="19307" priority="60150">
      <formula>$H3111="SUBETAPA"</formula>
    </cfRule>
    <cfRule type="expression" dxfId="19306" priority="60151">
      <formula>$H3111="CÉLULA CONSTRUTIVA"</formula>
    </cfRule>
  </conditionalFormatting>
  <conditionalFormatting sqref="G3120:H3120 J3120:K3120">
    <cfRule type="expression" dxfId="19305" priority="61531">
      <formula>$H3120="SUBETAPA"</formula>
    </cfRule>
    <cfRule type="expression" dxfId="19304" priority="61532">
      <formula>$H3120="CÉLULA CONSTRUTIVA"</formula>
    </cfRule>
  </conditionalFormatting>
  <conditionalFormatting sqref="G3121:H3121 J3121:K3121">
    <cfRule type="expression" dxfId="19303" priority="61529">
      <formula>$H3121="SUBETAPA"</formula>
    </cfRule>
    <cfRule type="expression" dxfId="19302" priority="61530">
      <formula>$H3121="CÉLULA CONSTRUTIVA"</formula>
    </cfRule>
  </conditionalFormatting>
  <conditionalFormatting sqref="G3129:H3129 J3129:L3129">
    <cfRule type="expression" dxfId="19301" priority="85984">
      <formula>$H3129="SUBETAPA"</formula>
    </cfRule>
    <cfRule type="expression" dxfId="19300" priority="85985">
      <formula>$H3129="CÉLULA CONSTRUTIVA"</formula>
    </cfRule>
  </conditionalFormatting>
  <conditionalFormatting sqref="G3134:H3134">
    <cfRule type="expression" dxfId="19299" priority="60120">
      <formula>$H3134="SUBETAPA"</formula>
    </cfRule>
    <cfRule type="expression" dxfId="19298" priority="60121">
      <formula>$H3134="CÉLULA CONSTRUTIVA"</formula>
    </cfRule>
  </conditionalFormatting>
  <conditionalFormatting sqref="G3143:H3143 J3143:K3143">
    <cfRule type="expression" dxfId="19297" priority="61777">
      <formula>$H3143="SUBETAPA"</formula>
    </cfRule>
    <cfRule type="expression" dxfId="19296" priority="61778">
      <formula>$H3143="CÉLULA CONSTRUTIVA"</formula>
    </cfRule>
  </conditionalFormatting>
  <conditionalFormatting sqref="G3144:H3144 J3144:K3144">
    <cfRule type="expression" dxfId="19295" priority="61775">
      <formula>$H3144="SUBETAPA"</formula>
    </cfRule>
    <cfRule type="expression" dxfId="19294"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293" priority="83633">
      <formula>$H2954="SUBETAPA"</formula>
    </cfRule>
    <cfRule type="expression" dxfId="19292" priority="83634">
      <formula>$H2954="CÉLULA CONSTRUTIVA"</formula>
    </cfRule>
  </conditionalFormatting>
  <conditionalFormatting sqref="G157:I157 N157">
    <cfRule type="expression" dxfId="19291" priority="49699">
      <formula>$H157="SUBETAPA"</formula>
    </cfRule>
  </conditionalFormatting>
  <conditionalFormatting sqref="G157:I157">
    <cfRule type="expression" dxfId="19290" priority="49701">
      <formula>$H157="ETAPA"</formula>
    </cfRule>
  </conditionalFormatting>
  <conditionalFormatting sqref="G167:I167 N167">
    <cfRule type="expression" dxfId="19289" priority="49613">
      <formula>$H167="SUBETAPA"</formula>
    </cfRule>
  </conditionalFormatting>
  <conditionalFormatting sqref="G167:I167">
    <cfRule type="expression" dxfId="19288" priority="49615">
      <formula>$H167="ETAPA"</formula>
    </cfRule>
  </conditionalFormatting>
  <conditionalFormatting sqref="G303:I303 K303 N303:N304 G304:K304">
    <cfRule type="expression" dxfId="19287" priority="48692">
      <formula>$H303="ETAPA"</formula>
    </cfRule>
  </conditionalFormatting>
  <conditionalFormatting sqref="G303:I303 K303:M303 N303:N304 G304:K304">
    <cfRule type="expression" dxfId="19286" priority="48691">
      <formula>$H303="SUBETAPA"</formula>
    </cfRule>
  </conditionalFormatting>
  <conditionalFormatting sqref="G317:I317 K317:L317 N317">
    <cfRule type="expression" dxfId="19285" priority="48385">
      <formula>$H317="SUBETAPA"</formula>
    </cfRule>
    <cfRule type="expression" dxfId="19284" priority="48386">
      <formula>$H317="ETAPA"</formula>
    </cfRule>
  </conditionalFormatting>
  <conditionalFormatting sqref="G317:I317 N317 K317:L317">
    <cfRule type="expression" dxfId="19283" priority="48384">
      <formula>$H317="CÉLULA CONSTRUTIVA"</formula>
    </cfRule>
  </conditionalFormatting>
  <conditionalFormatting sqref="G321:I321 K321:L321 N321">
    <cfRule type="expression" dxfId="19282" priority="48299">
      <formula>$H321="SUBETAPA"</formula>
    </cfRule>
    <cfRule type="expression" dxfId="19281" priority="48300">
      <formula>$H321="ETAPA"</formula>
    </cfRule>
  </conditionalFormatting>
  <conditionalFormatting sqref="G321:I321 N321 K321:L321">
    <cfRule type="expression" dxfId="19280" priority="48298">
      <formula>$H321="CÉLULA CONSTRUTIVA"</formula>
    </cfRule>
  </conditionalFormatting>
  <conditionalFormatting sqref="G325:I325 K325:L325 N325">
    <cfRule type="expression" dxfId="19279" priority="48213">
      <formula>$H325="SUBETAPA"</formula>
    </cfRule>
    <cfRule type="expression" dxfId="19278" priority="48214">
      <formula>$H325="ETAPA"</formula>
    </cfRule>
  </conditionalFormatting>
  <conditionalFormatting sqref="G325:I325 N325 K325:L325">
    <cfRule type="expression" dxfId="19277" priority="48212">
      <formula>$H325="CÉLULA CONSTRUTIVA"</formula>
    </cfRule>
  </conditionalFormatting>
  <conditionalFormatting sqref="G331:I331 K331:L331 N331">
    <cfRule type="expression" dxfId="19276" priority="48130">
      <formula>$H331="SUBETAPA"</formula>
    </cfRule>
    <cfRule type="expression" dxfId="19275" priority="48131">
      <formula>$H331="ETAPA"</formula>
    </cfRule>
  </conditionalFormatting>
  <conditionalFormatting sqref="G331:I331 N331 K331:L331">
    <cfRule type="expression" dxfId="19274" priority="48129">
      <formula>$H331="CÉLULA CONSTRUTIVA"</formula>
    </cfRule>
  </conditionalFormatting>
  <conditionalFormatting sqref="G335:I335 K335:L335 N335">
    <cfRule type="expression" dxfId="19273" priority="48048">
      <formula>$H335="SUBETAPA"</formula>
    </cfRule>
    <cfRule type="expression" dxfId="19272" priority="48049">
      <formula>$H335="ETAPA"</formula>
    </cfRule>
  </conditionalFormatting>
  <conditionalFormatting sqref="G335:I335 N335 K335:L335">
    <cfRule type="expression" dxfId="19271" priority="48047">
      <formula>$H335="CÉLULA CONSTRUTIVA"</formula>
    </cfRule>
  </conditionalFormatting>
  <conditionalFormatting sqref="G339:I339 K339:L339 N339">
    <cfRule type="expression" dxfId="19270" priority="47966">
      <formula>$H339="SUBETAPA"</formula>
    </cfRule>
    <cfRule type="expression" dxfId="19269" priority="47967">
      <formula>$H339="ETAPA"</formula>
    </cfRule>
  </conditionalFormatting>
  <conditionalFormatting sqref="G339:I339 N339 K339:L339">
    <cfRule type="expression" dxfId="19268" priority="47965">
      <formula>$H339="CÉLULA CONSTRUTIVA"</formula>
    </cfRule>
  </conditionalFormatting>
  <conditionalFormatting sqref="G343:I343 K343:L343 N343">
    <cfRule type="expression" dxfId="19267" priority="47882">
      <formula>$H343="SUBETAPA"</formula>
    </cfRule>
    <cfRule type="expression" dxfId="19266" priority="47883">
      <formula>$H343="ETAPA"</formula>
    </cfRule>
  </conditionalFormatting>
  <conditionalFormatting sqref="G343:I343 N343 K343:L343">
    <cfRule type="expression" dxfId="19265" priority="47881">
      <formula>$H343="CÉLULA CONSTRUTIVA"</formula>
    </cfRule>
  </conditionalFormatting>
  <conditionalFormatting sqref="G387:I390 O388:O390">
    <cfRule type="expression" dxfId="19264" priority="99312">
      <formula>$H387="CÉLULA CONSTRUTIVA"</formula>
    </cfRule>
  </conditionalFormatting>
  <conditionalFormatting sqref="G404:I407 O405:O407">
    <cfRule type="expression" dxfId="19263" priority="99407">
      <formula>$H404="CÉLULA CONSTRUTIVA"</formula>
    </cfRule>
  </conditionalFormatting>
  <conditionalFormatting sqref="G421:I424 O422:O424">
    <cfRule type="expression" dxfId="19262" priority="99502">
      <formula>$H421="CÉLULA CONSTRUTIVA"</formula>
    </cfRule>
  </conditionalFormatting>
  <conditionalFormatting sqref="G437:I440 O438:O440">
    <cfRule type="expression" dxfId="19261" priority="99597">
      <formula>$H437="CÉLULA CONSTRUTIVA"</formula>
    </cfRule>
  </conditionalFormatting>
  <conditionalFormatting sqref="G453:I456 O454:O456">
    <cfRule type="expression" dxfId="19260" priority="99692">
      <formula>$H453="CÉLULA CONSTRUTIVA"</formula>
    </cfRule>
  </conditionalFormatting>
  <conditionalFormatting sqref="G470:I473 O471:O473">
    <cfRule type="expression" dxfId="19259" priority="99787">
      <formula>$H470="CÉLULA CONSTRUTIVA"</formula>
    </cfRule>
  </conditionalFormatting>
  <conditionalFormatting sqref="G487:I490 O488:O490">
    <cfRule type="expression" dxfId="19258" priority="99882">
      <formula>$H487="CÉLULA CONSTRUTIVA"</formula>
    </cfRule>
  </conditionalFormatting>
  <conditionalFormatting sqref="G504:I508 O505:O508">
    <cfRule type="expression" dxfId="19257" priority="99977">
      <formula>$H504="CÉLULA CONSTRUTIVA"</formula>
    </cfRule>
  </conditionalFormatting>
  <conditionalFormatting sqref="G522:I525 O523:O525">
    <cfRule type="expression" dxfId="19256" priority="100072">
      <formula>$H522="CÉLULA CONSTRUTIVA"</formula>
    </cfRule>
  </conditionalFormatting>
  <conditionalFormatting sqref="G526:I526 O526">
    <cfRule type="expression" dxfId="19255" priority="59767">
      <formula>$H526="CÉLULA CONSTRUTIVA"</formula>
    </cfRule>
  </conditionalFormatting>
  <conditionalFormatting sqref="G540:I543 O541:O543">
    <cfRule type="expression" dxfId="19254" priority="100167">
      <formula>$H540="CÉLULA CONSTRUTIVA"</formula>
    </cfRule>
  </conditionalFormatting>
  <conditionalFormatting sqref="G544:I544 O544">
    <cfRule type="expression" dxfId="19253" priority="59749">
      <formula>$H544="CÉLULA CONSTRUTIVA"</formula>
    </cfRule>
  </conditionalFormatting>
  <conditionalFormatting sqref="G558:I561 O559:O561">
    <cfRule type="expression" dxfId="19252" priority="100262">
      <formula>$H558="CÉLULA CONSTRUTIVA"</formula>
    </cfRule>
  </conditionalFormatting>
  <conditionalFormatting sqref="G562:I562 O562">
    <cfRule type="expression" dxfId="19251" priority="59731">
      <formula>$H562="CÉLULA CONSTRUTIVA"</formula>
    </cfRule>
  </conditionalFormatting>
  <conditionalFormatting sqref="G576:I579 O577:O579">
    <cfRule type="expression" dxfId="19250" priority="100357">
      <formula>$H576="CÉLULA CONSTRUTIVA"</formula>
    </cfRule>
  </conditionalFormatting>
  <conditionalFormatting sqref="G593:I596 O594:O596">
    <cfRule type="expression" dxfId="19249" priority="100452">
      <formula>$H593="CÉLULA CONSTRUTIVA"</formula>
    </cfRule>
  </conditionalFormatting>
  <conditionalFormatting sqref="G597:I597 O597">
    <cfRule type="expression" dxfId="19248" priority="59695">
      <formula>$H597="CÉLULA CONSTRUTIVA"</formula>
    </cfRule>
  </conditionalFormatting>
  <conditionalFormatting sqref="G610:I613 O611:O613">
    <cfRule type="expression" dxfId="19247" priority="100547">
      <formula>$H610="CÉLULA CONSTRUTIVA"</formula>
    </cfRule>
  </conditionalFormatting>
  <conditionalFormatting sqref="G65:J65 G934:G942 G925:G931 G916:G922 G905:G913 G894:G902 G885:G891 G876:G882 G867:G873 G858:G864 G849:G855 G840:G846 G831:G837 G822:G828 G811:G819">
    <cfRule type="expression" dxfId="19246" priority="50920">
      <formula>$H65="ETAPA"</formula>
    </cfRule>
    <cfRule type="expression" dxfId="19245" priority="50921">
      <formula>$H65="CÉLULA CONSTRUTIVA"</formula>
    </cfRule>
  </conditionalFormatting>
  <conditionalFormatting sqref="G145:J147 N145:N147">
    <cfRule type="expression" dxfId="19244" priority="50886">
      <formula>$H145="SUBETAPA"</formula>
    </cfRule>
  </conditionalFormatting>
  <conditionalFormatting sqref="G145:J147">
    <cfRule type="expression" dxfId="19243" priority="50888">
      <formula>$H145="ETAPA"</formula>
    </cfRule>
  </conditionalFormatting>
  <conditionalFormatting sqref="G150:J153 K150:K156 G148:K149 N148:N153 L148:M148">
    <cfRule type="expression" dxfId="19242" priority="49758">
      <formula>$H148="CÉLULA CONSTRUTIVA"</formula>
    </cfRule>
  </conditionalFormatting>
  <conditionalFormatting sqref="G154:J156 N154:N156">
    <cfRule type="expression" dxfId="19241" priority="49732">
      <formula>$H154="SUBETAPA"</formula>
    </cfRule>
  </conditionalFormatting>
  <conditionalFormatting sqref="G154:J156">
    <cfRule type="expression" dxfId="19240" priority="49734">
      <formula>$H154="ETAPA"</formula>
    </cfRule>
  </conditionalFormatting>
  <conditionalFormatting sqref="G160:J163 K160:K166 G158:K159 N158:N163 L158:M158">
    <cfRule type="expression" dxfId="19239" priority="49672">
      <formula>$H158="CÉLULA CONSTRUTIVA"</formula>
    </cfRule>
  </conditionalFormatting>
  <conditionalFormatting sqref="G164:J166 N164:N166">
    <cfRule type="expression" dxfId="19238" priority="49646">
      <formula>$H164="SUBETAPA"</formula>
    </cfRule>
  </conditionalFormatting>
  <conditionalFormatting sqref="G164:J166">
    <cfRule type="expression" dxfId="19237" priority="49648">
      <formula>$H164="ETAPA"</formula>
    </cfRule>
  </conditionalFormatting>
  <conditionalFormatting sqref="G170:J173 K170:K176 G168:K169 N168:N173 L168:M168">
    <cfRule type="expression" dxfId="19236" priority="49586">
      <formula>$H168="CÉLULA CONSTRUTIVA"</formula>
    </cfRule>
  </conditionalFormatting>
  <conditionalFormatting sqref="G174:J176 N174:N176">
    <cfRule type="expression" dxfId="19235" priority="49560">
      <formula>$H174="SUBETAPA"</formula>
    </cfRule>
  </conditionalFormatting>
  <conditionalFormatting sqref="G174:J176">
    <cfRule type="expression" dxfId="19234" priority="49562">
      <formula>$H174="ETAPA"</formula>
    </cfRule>
  </conditionalFormatting>
  <conditionalFormatting sqref="G179:J182 L177:M177">
    <cfRule type="expression" dxfId="19233" priority="49503">
      <formula>$H177="CÉLULA CONSTRUTIVA"</formula>
    </cfRule>
  </conditionalFormatting>
  <conditionalFormatting sqref="G179:J182">
    <cfRule type="expression" dxfId="19232" priority="49506">
      <formula>$H179="ETAPA"</formula>
    </cfRule>
  </conditionalFormatting>
  <conditionalFormatting sqref="G185:J185 N185">
    <cfRule type="expression" dxfId="19231" priority="3304">
      <formula>$H185="SUBETAPA"</formula>
    </cfRule>
  </conditionalFormatting>
  <conditionalFormatting sqref="G185:J185">
    <cfRule type="expression" dxfId="19230" priority="3306">
      <formula>$H185="ETAPA"</formula>
    </cfRule>
  </conditionalFormatting>
  <conditionalFormatting sqref="G188:J191 L186:M186">
    <cfRule type="expression" dxfId="19229" priority="49485">
      <formula>$H186="CÉLULA CONSTRUTIVA"</formula>
    </cfRule>
  </conditionalFormatting>
  <conditionalFormatting sqref="G188:J191">
    <cfRule type="expression" dxfId="19228" priority="49488">
      <formula>$H188="ETAPA"</formula>
    </cfRule>
  </conditionalFormatting>
  <conditionalFormatting sqref="G194:J194 N194">
    <cfRule type="expression" dxfId="19227" priority="3270">
      <formula>$H194="SUBETAPA"</formula>
    </cfRule>
  </conditionalFormatting>
  <conditionalFormatting sqref="G194:J194">
    <cfRule type="expression" dxfId="19226" priority="3272">
      <formula>$H194="ETAPA"</formula>
    </cfRule>
  </conditionalFormatting>
  <conditionalFormatting sqref="G197:J200 L195:M195">
    <cfRule type="expression" dxfId="19225" priority="49467">
      <formula>$H195="CÉLULA CONSTRUTIVA"</formula>
    </cfRule>
  </conditionalFormatting>
  <conditionalFormatting sqref="G197:J200">
    <cfRule type="expression" dxfId="19224" priority="49470">
      <formula>$H197="ETAPA"</formula>
    </cfRule>
  </conditionalFormatting>
  <conditionalFormatting sqref="G203:J203 N203">
    <cfRule type="expression" dxfId="19223" priority="3236">
      <formula>$H203="SUBETAPA"</formula>
    </cfRule>
  </conditionalFormatting>
  <conditionalFormatting sqref="G203:J203">
    <cfRule type="expression" dxfId="19222" priority="3238">
      <formula>$H203="ETAPA"</formula>
    </cfRule>
  </conditionalFormatting>
  <conditionalFormatting sqref="G206:J209 L204">
    <cfRule type="expression" dxfId="19221" priority="46321">
      <formula>$H204="SUBETAPA"</formula>
    </cfRule>
  </conditionalFormatting>
  <conditionalFormatting sqref="G206:J209 L204:M204">
    <cfRule type="expression" dxfId="19220" priority="46320">
      <formula>$H204="CÉLULA CONSTRUTIVA"</formula>
    </cfRule>
  </conditionalFormatting>
  <conditionalFormatting sqref="G206:J209">
    <cfRule type="expression" dxfId="19219" priority="46323">
      <formula>$H206="ETAPA"</formula>
    </cfRule>
  </conditionalFormatting>
  <conditionalFormatting sqref="G212:J212 N212">
    <cfRule type="expression" dxfId="19218" priority="3202">
      <formula>$H212="SUBETAPA"</formula>
    </cfRule>
  </conditionalFormatting>
  <conditionalFormatting sqref="G212:J212">
    <cfRule type="expression" dxfId="19217" priority="3204">
      <formula>$H212="ETAPA"</formula>
    </cfRule>
  </conditionalFormatting>
  <conditionalFormatting sqref="G215:J218 L213:M213">
    <cfRule type="expression" dxfId="19216" priority="49449">
      <formula>$H213="CÉLULA CONSTRUTIVA"</formula>
    </cfRule>
  </conditionalFormatting>
  <conditionalFormatting sqref="G215:J218">
    <cfRule type="expression" dxfId="19215" priority="49452">
      <formula>$H215="ETAPA"</formula>
    </cfRule>
  </conditionalFormatting>
  <conditionalFormatting sqref="G221:J221 N221">
    <cfRule type="expression" dxfId="19214" priority="3168">
      <formula>$H221="SUBETAPA"</formula>
    </cfRule>
  </conditionalFormatting>
  <conditionalFormatting sqref="G221:J221">
    <cfRule type="expression" dxfId="19213" priority="3170">
      <formula>$H221="ETAPA"</formula>
    </cfRule>
  </conditionalFormatting>
  <conditionalFormatting sqref="G224:J227 K224:K230 G222:K223 N222:N227 L222:M222">
    <cfRule type="expression" dxfId="19212" priority="49428">
      <formula>$H222="CÉLULA CONSTRUTIVA"</formula>
    </cfRule>
  </conditionalFormatting>
  <conditionalFormatting sqref="G228:J230 N228:N230">
    <cfRule type="expression" dxfId="19211" priority="49402">
      <formula>$H228="SUBETAPA"</formula>
    </cfRule>
  </conditionalFormatting>
  <conditionalFormatting sqref="G228:J230">
    <cfRule type="expression" dxfId="19210" priority="49404">
      <formula>$H228="ETAPA"</formula>
    </cfRule>
  </conditionalFormatting>
  <conditionalFormatting sqref="G233:J236 K233:K239 G231:K232 N231:N236 L231:M231">
    <cfRule type="expression" dxfId="19209" priority="49378">
      <formula>$H231="CÉLULA CONSTRUTIVA"</formula>
    </cfRule>
  </conditionalFormatting>
  <conditionalFormatting sqref="G237:J239 N237:N239">
    <cfRule type="expression" dxfId="19208" priority="49352">
      <formula>$H237="SUBETAPA"</formula>
    </cfRule>
  </conditionalFormatting>
  <conditionalFormatting sqref="G237:J239">
    <cfRule type="expression" dxfId="19207" priority="49354">
      <formula>$H237="ETAPA"</formula>
    </cfRule>
  </conditionalFormatting>
  <conditionalFormatting sqref="G242:J245 K242:K248 G240:K241 N240:N245 L240:M240">
    <cfRule type="expression" dxfId="19206" priority="49328">
      <formula>$H240="CÉLULA CONSTRUTIVA"</formula>
    </cfRule>
  </conditionalFormatting>
  <conditionalFormatting sqref="G246:J248 N246:N248">
    <cfRule type="expression" dxfId="19205" priority="49302">
      <formula>$H246="SUBETAPA"</formula>
    </cfRule>
  </conditionalFormatting>
  <conditionalFormatting sqref="G246:J248">
    <cfRule type="expression" dxfId="19204" priority="49304">
      <formula>$H246="ETAPA"</formula>
    </cfRule>
  </conditionalFormatting>
  <conditionalFormatting sqref="G251:J254 K251:K257 G249:K250 N249:N254 L249:M249">
    <cfRule type="expression" dxfId="19203" priority="49278">
      <formula>$H249="CÉLULA CONSTRUTIVA"</formula>
    </cfRule>
  </conditionalFormatting>
  <conditionalFormatting sqref="G255:J257 N255:N257">
    <cfRule type="expression" dxfId="19202" priority="49252">
      <formula>$H255="SUBETAPA"</formula>
    </cfRule>
  </conditionalFormatting>
  <conditionalFormatting sqref="G255:J257">
    <cfRule type="expression" dxfId="19201" priority="49254">
      <formula>$H255="ETAPA"</formula>
    </cfRule>
  </conditionalFormatting>
  <conditionalFormatting sqref="G260:J263 K260:K266 G258:K259 N258:N263 L258:M258">
    <cfRule type="expression" dxfId="19200" priority="49228">
      <formula>$H258="CÉLULA CONSTRUTIVA"</formula>
    </cfRule>
  </conditionalFormatting>
  <conditionalFormatting sqref="G264:J266 N264:N266">
    <cfRule type="expression" dxfId="19199" priority="49202">
      <formula>$H264="SUBETAPA"</formula>
    </cfRule>
  </conditionalFormatting>
  <conditionalFormatting sqref="G264:J266">
    <cfRule type="expression" dxfId="19198" priority="49204">
      <formula>$H264="ETAPA"</formula>
    </cfRule>
  </conditionalFormatting>
  <conditionalFormatting sqref="G269:J272 G267:K268 N267:N272 L267:M267">
    <cfRule type="expression" dxfId="19197" priority="49178">
      <formula>$H267="CÉLULA CONSTRUTIVA"</formula>
    </cfRule>
  </conditionalFormatting>
  <conditionalFormatting sqref="G349:J349 N349:N350 G350:I350">
    <cfRule type="expression" dxfId="19196" priority="47755">
      <formula>$H349="CÉLULA CONSTRUTIVA"</formula>
    </cfRule>
    <cfRule type="expression" dxfId="19195" priority="47756">
      <formula>$H349="SUBETAPA"</formula>
    </cfRule>
    <cfRule type="expression" dxfId="19194" priority="47757">
      <formula>$H349="ETAPA"</formula>
    </cfRule>
  </conditionalFormatting>
  <conditionalFormatting sqref="G351:J351 N351:N352 G352:I352">
    <cfRule type="expression" dxfId="19193" priority="47712">
      <formula>$H351="CÉLULA CONSTRUTIVA"</formula>
    </cfRule>
    <cfRule type="expression" dxfId="19192" priority="47713">
      <formula>$H351="SUBETAPA"</formula>
    </cfRule>
    <cfRule type="expression" dxfId="19191" priority="47714">
      <formula>$H351="ETAPA"</formula>
    </cfRule>
  </conditionalFormatting>
  <conditionalFormatting sqref="G353:J353 N353:N354 G354:I354">
    <cfRule type="expression" dxfId="19190" priority="47669">
      <formula>$H353="CÉLULA CONSTRUTIVA"</formula>
    </cfRule>
    <cfRule type="expression" dxfId="19189" priority="47670">
      <formula>$H353="SUBETAPA"</formula>
    </cfRule>
    <cfRule type="expression" dxfId="19188" priority="47671">
      <formula>$H353="ETAPA"</formula>
    </cfRule>
  </conditionalFormatting>
  <conditionalFormatting sqref="G355:J355 N355:N356 G356:I356">
    <cfRule type="expression" dxfId="19187" priority="47626">
      <formula>$H355="CÉLULA CONSTRUTIVA"</formula>
    </cfRule>
    <cfRule type="expression" dxfId="19186" priority="47627">
      <formula>$H355="SUBETAPA"</formula>
    </cfRule>
    <cfRule type="expression" dxfId="19185" priority="47628">
      <formula>$H355="ETAPA"</formula>
    </cfRule>
  </conditionalFormatting>
  <conditionalFormatting sqref="G357:J357 N357:N358 G358:I358">
    <cfRule type="expression" dxfId="19184" priority="47583">
      <formula>$H357="CÉLULA CONSTRUTIVA"</formula>
    </cfRule>
    <cfRule type="expression" dxfId="19183" priority="47584">
      <formula>$H357="SUBETAPA"</formula>
    </cfRule>
    <cfRule type="expression" dxfId="19182" priority="47585">
      <formula>$H357="ETAPA"</formula>
    </cfRule>
  </conditionalFormatting>
  <conditionalFormatting sqref="G359:J359 N359:N360 G360:I360">
    <cfRule type="expression" dxfId="19181" priority="46187">
      <formula>$H359="CÉLULA CONSTRUTIVA"</formula>
    </cfRule>
    <cfRule type="expression" dxfId="19180" priority="46188">
      <formula>$H359="SUBETAPA"</formula>
    </cfRule>
    <cfRule type="expression" dxfId="19179" priority="46189">
      <formula>$H359="ETAPA"</formula>
    </cfRule>
  </conditionalFormatting>
  <conditionalFormatting sqref="G361:J361 N361:N362 G362:I362">
    <cfRule type="expression" dxfId="19178" priority="47540">
      <formula>$H361="CÉLULA CONSTRUTIVA"</formula>
    </cfRule>
    <cfRule type="expression" dxfId="19177" priority="47541">
      <formula>$H361="SUBETAPA"</formula>
    </cfRule>
    <cfRule type="expression" dxfId="19176" priority="47542">
      <formula>$H361="ETAPA"</formula>
    </cfRule>
  </conditionalFormatting>
  <conditionalFormatting sqref="G363:J363 N363:N364 G364:I364">
    <cfRule type="expression" dxfId="19175" priority="47497">
      <formula>$H363="CÉLULA CONSTRUTIVA"</formula>
    </cfRule>
    <cfRule type="expression" dxfId="19174" priority="47498">
      <formula>$H363="SUBETAPA"</formula>
    </cfRule>
    <cfRule type="expression" dxfId="19173" priority="47499">
      <formula>$H363="ETAPA"</formula>
    </cfRule>
  </conditionalFormatting>
  <conditionalFormatting sqref="G365:J365 N365:N366 G366:I366">
    <cfRule type="expression" dxfId="19172" priority="47454">
      <formula>$H365="CÉLULA CONSTRUTIVA"</formula>
    </cfRule>
    <cfRule type="expression" dxfId="19171" priority="47455">
      <formula>$H365="SUBETAPA"</formula>
    </cfRule>
    <cfRule type="expression" dxfId="19170" priority="47456">
      <formula>$H365="ETAPA"</formula>
    </cfRule>
  </conditionalFormatting>
  <conditionalFormatting sqref="G367:J367 N367:N368 G368:I368">
    <cfRule type="expression" dxfId="19169" priority="47411">
      <formula>$H367="CÉLULA CONSTRUTIVA"</formula>
    </cfRule>
    <cfRule type="expression" dxfId="19168" priority="47412">
      <formula>$H367="SUBETAPA"</formula>
    </cfRule>
    <cfRule type="expression" dxfId="19167" priority="47413">
      <formula>$H367="ETAPA"</formula>
    </cfRule>
  </conditionalFormatting>
  <conditionalFormatting sqref="G369:J369 N369:N370 G370:I370">
    <cfRule type="expression" dxfId="19166" priority="47368">
      <formula>$H369="CÉLULA CONSTRUTIVA"</formula>
    </cfRule>
    <cfRule type="expression" dxfId="19165" priority="47369">
      <formula>$H369="SUBETAPA"</formula>
    </cfRule>
    <cfRule type="expression" dxfId="19164" priority="47370">
      <formula>$H369="ETAPA"</formula>
    </cfRule>
  </conditionalFormatting>
  <conditionalFormatting sqref="G371:J371 N371:N372 G372:I372">
    <cfRule type="expression" dxfId="19163" priority="47325">
      <formula>$H371="CÉLULA CONSTRUTIVA"</formula>
    </cfRule>
    <cfRule type="expression" dxfId="19162" priority="47326">
      <formula>$H371="SUBETAPA"</formula>
    </cfRule>
    <cfRule type="expression" dxfId="19161" priority="47327">
      <formula>$H371="ETAPA"</formula>
    </cfRule>
  </conditionalFormatting>
  <conditionalFormatting sqref="G373:J373 N373:N374 G374:I374">
    <cfRule type="expression" dxfId="19160" priority="47282">
      <formula>$H373="CÉLULA CONSTRUTIVA"</formula>
    </cfRule>
    <cfRule type="expression" dxfId="19159" priority="47283">
      <formula>$H373="SUBETAPA"</formula>
    </cfRule>
    <cfRule type="expression" dxfId="19158" priority="47284">
      <formula>$H373="ETAPA"</formula>
    </cfRule>
  </conditionalFormatting>
  <conditionalFormatting sqref="G375:J375 N375:N376 G376:I376">
    <cfRule type="expression" dxfId="19157" priority="47239">
      <formula>$H375="CÉLULA CONSTRUTIVA"</formula>
    </cfRule>
    <cfRule type="expression" dxfId="19156" priority="47240">
      <formula>$H375="SUBETAPA"</formula>
    </cfRule>
    <cfRule type="expression" dxfId="19155" priority="47241">
      <formula>$H375="ETAPA"</formula>
    </cfRule>
  </conditionalFormatting>
  <conditionalFormatting sqref="G377:J377 N377:N378 G378:I378">
    <cfRule type="expression" dxfId="19154" priority="47196">
      <formula>$H377="CÉLULA CONSTRUTIVA"</formula>
    </cfRule>
    <cfRule type="expression" dxfId="19153" priority="47197">
      <formula>$H377="SUBETAPA"</formula>
    </cfRule>
    <cfRule type="expression" dxfId="19152" priority="47198">
      <formula>$H377="ETAPA"</formula>
    </cfRule>
  </conditionalFormatting>
  <conditionalFormatting sqref="G808:J808">
    <cfRule type="expression" dxfId="19151" priority="86867">
      <formula>$H808="ETAPA"</formula>
    </cfRule>
    <cfRule type="expression" dxfId="19150" priority="86868">
      <formula>$H808="CÉLULA CONSTRUTIVA"</formula>
    </cfRule>
  </conditionalFormatting>
  <conditionalFormatting sqref="G28:K28 H29:I30">
    <cfRule type="expression" dxfId="19149" priority="50759">
      <formula>$H28="ETAPA"</formula>
    </cfRule>
  </conditionalFormatting>
  <conditionalFormatting sqref="G31:K31 H32:K32">
    <cfRule type="expression" dxfId="19148" priority="50638">
      <formula>$H31="ETAPA"</formula>
    </cfRule>
  </conditionalFormatting>
  <conditionalFormatting sqref="G31:K31 N32:O32 H32:I32 K32">
    <cfRule type="expression" dxfId="19147" priority="50758">
      <formula>$H31="CÉLULA CONSTRUTIVA"</formula>
    </cfRule>
  </conditionalFormatting>
  <conditionalFormatting sqref="G34:K34">
    <cfRule type="expression" dxfId="19146" priority="50622">
      <formula>$H34="ETAPA"</formula>
    </cfRule>
  </conditionalFormatting>
  <conditionalFormatting sqref="G39:K39 H40:I40 K40">
    <cfRule type="expression" dxfId="19145" priority="50563">
      <formula>$H39="ETAPA"</formula>
    </cfRule>
  </conditionalFormatting>
  <conditionalFormatting sqref="G39:K39 N40:O40 H40:I40 K40">
    <cfRule type="expression" dxfId="19144" priority="50621">
      <formula>$H39="CÉLULA CONSTRUTIVA"</formula>
    </cfRule>
  </conditionalFormatting>
  <conditionalFormatting sqref="G44:K44">
    <cfRule type="expression" dxfId="19143" priority="50549">
      <formula>$H44="ETAPA"</formula>
    </cfRule>
  </conditionalFormatting>
  <conditionalFormatting sqref="G49:K49 H50:K50">
    <cfRule type="expression" dxfId="19142" priority="50460">
      <formula>$H49="ETAPA"</formula>
    </cfRule>
  </conditionalFormatting>
  <conditionalFormatting sqref="G49:K49 N50:O50 H50:I50 K50">
    <cfRule type="expression" dxfId="19141" priority="50548">
      <formula>$H49="CÉLULA CONSTRUTIVA"</formula>
    </cfRule>
  </conditionalFormatting>
  <conditionalFormatting sqref="G52:K52">
    <cfRule type="expression" dxfId="19140" priority="50415">
      <formula>$H52="CÉLULA CONSTRUTIVA"</formula>
    </cfRule>
  </conditionalFormatting>
  <conditionalFormatting sqref="G56:K56">
    <cfRule type="expression" dxfId="19139" priority="50360">
      <formula>$H56="CÉLULA CONSTRUTIVA"</formula>
    </cfRule>
  </conditionalFormatting>
  <conditionalFormatting sqref="G62:K62 N62">
    <cfRule type="expression" dxfId="19138" priority="50925">
      <formula>$H62="CÉLULA CONSTRUTIVA"</formula>
    </cfRule>
  </conditionalFormatting>
  <conditionalFormatting sqref="G83:K83 G85:K87 G91:K92 G90:I90 K90 G89:K89 G88:I88 K88">
    <cfRule type="expression" dxfId="19137" priority="50342">
      <formula>$H83="SUBETAPA"</formula>
    </cfRule>
  </conditionalFormatting>
  <conditionalFormatting sqref="G83:K83 G85:K87 M94:O94 N85:N93 M95:N95 L80:L83 G80:G82 N80:N83 O80 G91:K92 G90:I90 K90 G89:K89 G88:I88 K88">
    <cfRule type="expression" dxfId="19136" priority="50312">
      <formula>$H80="CÉLULA CONSTRUTIVA"</formula>
    </cfRule>
  </conditionalFormatting>
  <conditionalFormatting sqref="G84:K84 N84">
    <cfRule type="expression" dxfId="19135" priority="50294">
      <formula>$H84="CÉLULA CONSTRUTIVA"</formula>
    </cfRule>
  </conditionalFormatting>
  <conditionalFormatting sqref="G84:K84">
    <cfRule type="expression" dxfId="19134" priority="50308">
      <formula>$H84="SUBETAPA"</formula>
    </cfRule>
  </conditionalFormatting>
  <conditionalFormatting sqref="G97:K98">
    <cfRule type="expression" dxfId="19133" priority="50180">
      <formula>$H97="SUBETAPA"</formula>
    </cfRule>
  </conditionalFormatting>
  <conditionalFormatting sqref="G104:K104">
    <cfRule type="expression" dxfId="19132" priority="50133">
      <formula>$H104="SUBETAPA"</formula>
    </cfRule>
  </conditionalFormatting>
  <conditionalFormatting sqref="G106:K106">
    <cfRule type="expression" dxfId="19131" priority="50115">
      <formula>$H106="SUBETAPA"</formula>
    </cfRule>
  </conditionalFormatting>
  <conditionalFormatting sqref="G108:K108">
    <cfRule type="expression" dxfId="19130" priority="50097">
      <formula>$H108="SUBETAPA"</formula>
    </cfRule>
  </conditionalFormatting>
  <conditionalFormatting sqref="G110:K110">
    <cfRule type="expression" dxfId="19129" priority="50079">
      <formula>$H110="SUBETAPA"</formula>
    </cfRule>
  </conditionalFormatting>
  <conditionalFormatting sqref="G112:K112">
    <cfRule type="expression" dxfId="19128" priority="50061">
      <formula>$H112="SUBETAPA"</formula>
    </cfRule>
  </conditionalFormatting>
  <conditionalFormatting sqref="G114:K114">
    <cfRule type="expression" dxfId="19127" priority="46363">
      <formula>$H114="SUBETAPA"</formula>
    </cfRule>
  </conditionalFormatting>
  <conditionalFormatting sqref="G115:K116">
    <cfRule type="expression" dxfId="19126" priority="50043">
      <formula>$H115="SUBETAPA"</formula>
    </cfRule>
  </conditionalFormatting>
  <conditionalFormatting sqref="G118:K118">
    <cfRule type="expression" dxfId="19125" priority="50025">
      <formula>$H118="SUBETAPA"</formula>
    </cfRule>
  </conditionalFormatting>
  <conditionalFormatting sqref="G120:K120">
    <cfRule type="expression" dxfId="19124" priority="50007">
      <formula>$H120="SUBETAPA"</formula>
    </cfRule>
  </conditionalFormatting>
  <conditionalFormatting sqref="G122:K122">
    <cfRule type="expression" dxfId="19123" priority="49989">
      <formula>$H122="SUBETAPA"</formula>
    </cfRule>
  </conditionalFormatting>
  <conditionalFormatting sqref="G125:K125">
    <cfRule type="expression" dxfId="19122" priority="49952">
      <formula>$H125="SUBETAPA"</formula>
    </cfRule>
  </conditionalFormatting>
  <conditionalFormatting sqref="G128:K128">
    <cfRule type="expression" dxfId="19121" priority="49915">
      <formula>$H128="SUBETAPA"</formula>
    </cfRule>
  </conditionalFormatting>
  <conditionalFormatting sqref="G131:K131">
    <cfRule type="expression" dxfId="19120" priority="49878">
      <formula>$H131="SUBETAPA"</formula>
    </cfRule>
  </conditionalFormatting>
  <conditionalFormatting sqref="G133:K133">
    <cfRule type="expression" dxfId="19119" priority="49860">
      <formula>$H133="SUBETAPA"</formula>
    </cfRule>
  </conditionalFormatting>
  <conditionalFormatting sqref="G136:K136">
    <cfRule type="expression" dxfId="19118" priority="49823">
      <formula>$H136="SUBETAPA"</formula>
    </cfRule>
  </conditionalFormatting>
  <conditionalFormatting sqref="G149:K149 G150:J153 K150:K156">
    <cfRule type="expression" dxfId="19117" priority="49761">
      <formula>$H149="ETAPA"</formula>
    </cfRule>
  </conditionalFormatting>
  <conditionalFormatting sqref="G159:K159 G160:J163 K160:K166">
    <cfRule type="expression" dxfId="19116" priority="49675">
      <formula>$H159="ETAPA"</formula>
    </cfRule>
  </conditionalFormatting>
  <conditionalFormatting sqref="G169:K169 G170:J173 K170:K176">
    <cfRule type="expression" dxfId="19115" priority="49589">
      <formula>$H169="ETAPA"</formula>
    </cfRule>
  </conditionalFormatting>
  <conditionalFormatting sqref="G178:K178 N178">
    <cfRule type="expression" dxfId="19114" priority="3317">
      <formula>$H178="CÉLULA CONSTRUTIVA"</formula>
    </cfRule>
    <cfRule type="expression" dxfId="19113" priority="3318">
      <formula>$H178="SUBETAPA"</formula>
    </cfRule>
  </conditionalFormatting>
  <conditionalFormatting sqref="G178:K178">
    <cfRule type="expression" dxfId="19112" priority="3320">
      <formula>$H178="ETAPA"</formula>
    </cfRule>
  </conditionalFormatting>
  <conditionalFormatting sqref="G187:K187 N187">
    <cfRule type="expression" dxfId="19111" priority="3283">
      <formula>$H187="CÉLULA CONSTRUTIVA"</formula>
    </cfRule>
    <cfRule type="expression" dxfId="19110" priority="3284">
      <formula>$H187="SUBETAPA"</formula>
    </cfRule>
  </conditionalFormatting>
  <conditionalFormatting sqref="G187:K187">
    <cfRule type="expression" dxfId="19109" priority="3286">
      <formula>$H187="ETAPA"</formula>
    </cfRule>
  </conditionalFormatting>
  <conditionalFormatting sqref="G196:K196 N196">
    <cfRule type="expression" dxfId="19108" priority="3249">
      <formula>$H196="CÉLULA CONSTRUTIVA"</formula>
    </cfRule>
    <cfRule type="expression" dxfId="19107" priority="3250">
      <formula>$H196="SUBETAPA"</formula>
    </cfRule>
  </conditionalFormatting>
  <conditionalFormatting sqref="G196:K196">
    <cfRule type="expression" dxfId="19106" priority="3252">
      <formula>$H196="ETAPA"</formula>
    </cfRule>
  </conditionalFormatting>
  <conditionalFormatting sqref="G205:K205 N205">
    <cfRule type="expression" dxfId="19105" priority="3215">
      <formula>$H205="CÉLULA CONSTRUTIVA"</formula>
    </cfRule>
    <cfRule type="expression" dxfId="19104" priority="3216">
      <formula>$H205="SUBETAPA"</formula>
    </cfRule>
  </conditionalFormatting>
  <conditionalFormatting sqref="G205:K205">
    <cfRule type="expression" dxfId="19103" priority="3218">
      <formula>$H205="ETAPA"</formula>
    </cfRule>
  </conditionalFormatting>
  <conditionalFormatting sqref="G214:K214 N214">
    <cfRule type="expression" dxfId="19102" priority="3181">
      <formula>$H214="CÉLULA CONSTRUTIVA"</formula>
    </cfRule>
    <cfRule type="expression" dxfId="19101" priority="3182">
      <formula>$H214="SUBETAPA"</formula>
    </cfRule>
  </conditionalFormatting>
  <conditionalFormatting sqref="G214:K214">
    <cfRule type="expression" dxfId="19100" priority="3184">
      <formula>$H214="ETAPA"</formula>
    </cfRule>
  </conditionalFormatting>
  <conditionalFormatting sqref="G223:K223 G224:J227 K224:K230">
    <cfRule type="expression" dxfId="19099" priority="49431">
      <formula>$H223="ETAPA"</formula>
    </cfRule>
  </conditionalFormatting>
  <conditionalFormatting sqref="G232:K232 G233:J236 K233:K239">
    <cfRule type="expression" dxfId="19098" priority="49381">
      <formula>$H232="ETAPA"</formula>
    </cfRule>
  </conditionalFormatting>
  <conditionalFormatting sqref="G241:K241 G242:J245 K242:K248">
    <cfRule type="expression" dxfId="19097" priority="49331">
      <formula>$H241="ETAPA"</formula>
    </cfRule>
  </conditionalFormatting>
  <conditionalFormatting sqref="G250:K250 G251:J254 K251:K257">
    <cfRule type="expression" dxfId="19096" priority="49281">
      <formula>$H250="ETAPA"</formula>
    </cfRule>
  </conditionalFormatting>
  <conditionalFormatting sqref="G259:K259 G260:J263 K260:K266">
    <cfRule type="expression" dxfId="19095" priority="49231">
      <formula>$H259="ETAPA"</formula>
    </cfRule>
  </conditionalFormatting>
  <conditionalFormatting sqref="G268:K268 G269:J272">
    <cfRule type="expression" dxfId="19094" priority="49181">
      <formula>$H268="ETAPA"</formula>
    </cfRule>
  </conditionalFormatting>
  <conditionalFormatting sqref="G274:K275 L274:M274">
    <cfRule type="expression" dxfId="19093" priority="49143">
      <formula>$H274="CÉLULA CONSTRUTIVA"</formula>
    </cfRule>
  </conditionalFormatting>
  <conditionalFormatting sqref="G275:K275">
    <cfRule type="expression" dxfId="19092" priority="49146">
      <formula>$H275="ETAPA"</formula>
    </cfRule>
  </conditionalFormatting>
  <conditionalFormatting sqref="G280:K280 N280">
    <cfRule type="expression" dxfId="19091" priority="49125">
      <formula>$H280="SUBETAPA"</formula>
    </cfRule>
    <cfRule type="expression" dxfId="19090" priority="49126">
      <formula>$H280="ETAPA"</formula>
    </cfRule>
  </conditionalFormatting>
  <conditionalFormatting sqref="G283:K284 N283:N284">
    <cfRule type="expression" dxfId="19089" priority="49104">
      <formula>$H283="CÉLULA CONSTRUTIVA"</formula>
    </cfRule>
    <cfRule type="expression" dxfId="19088" priority="49105">
      <formula>$H283="SUBETAPA"</formula>
    </cfRule>
    <cfRule type="expression" dxfId="19087" priority="49106">
      <formula>$H283="ETAPA"</formula>
    </cfRule>
  </conditionalFormatting>
  <conditionalFormatting sqref="G285:K286 N285:N286">
    <cfRule type="expression" dxfId="19086" priority="49058">
      <formula>$H285="CÉLULA CONSTRUTIVA"</formula>
    </cfRule>
    <cfRule type="expression" dxfId="19085" priority="49059">
      <formula>$H285="SUBETAPA"</formula>
    </cfRule>
    <cfRule type="expression" dxfId="19084" priority="49060">
      <formula>$H285="ETAPA"</formula>
    </cfRule>
  </conditionalFormatting>
  <conditionalFormatting sqref="G287:K288 N287:N288">
    <cfRule type="expression" dxfId="19083" priority="49012">
      <formula>$H287="CÉLULA CONSTRUTIVA"</formula>
    </cfRule>
    <cfRule type="expression" dxfId="19082" priority="49013">
      <formula>$H287="SUBETAPA"</formula>
    </cfRule>
    <cfRule type="expression" dxfId="19081" priority="49014">
      <formula>$H287="ETAPA"</formula>
    </cfRule>
  </conditionalFormatting>
  <conditionalFormatting sqref="G289:K290 N289:N290">
    <cfRule type="expression" dxfId="19080" priority="48966">
      <formula>$H289="CÉLULA CONSTRUTIVA"</formula>
    </cfRule>
    <cfRule type="expression" dxfId="19079" priority="48967">
      <formula>$H289="SUBETAPA"</formula>
    </cfRule>
    <cfRule type="expression" dxfId="19078" priority="48968">
      <formula>$H289="ETAPA"</formula>
    </cfRule>
  </conditionalFormatting>
  <conditionalFormatting sqref="G291:K292 N291:N292">
    <cfRule type="expression" dxfId="19077" priority="48920">
      <formula>$H291="CÉLULA CONSTRUTIVA"</formula>
    </cfRule>
    <cfRule type="expression" dxfId="19076" priority="48921">
      <formula>$H291="SUBETAPA"</formula>
    </cfRule>
    <cfRule type="expression" dxfId="19075" priority="48922">
      <formula>$H291="ETAPA"</formula>
    </cfRule>
  </conditionalFormatting>
  <conditionalFormatting sqref="G293:K294 N293:N294">
    <cfRule type="expression" dxfId="19074" priority="48874">
      <formula>$H293="CÉLULA CONSTRUTIVA"</formula>
    </cfRule>
    <cfRule type="expression" dxfId="19073" priority="48875">
      <formula>$H293="SUBETAPA"</formula>
    </cfRule>
    <cfRule type="expression" dxfId="19072" priority="48876">
      <formula>$H293="ETAPA"</formula>
    </cfRule>
  </conditionalFormatting>
  <conditionalFormatting sqref="G295:K296 N295:N296">
    <cfRule type="expression" dxfId="19071" priority="46285">
      <formula>$H295="CÉLULA CONSTRUTIVA"</formula>
    </cfRule>
    <cfRule type="expression" dxfId="19070" priority="46286">
      <formula>$H295="SUBETAPA"</formula>
    </cfRule>
    <cfRule type="expression" dxfId="19069" priority="46287">
      <formula>$H295="ETAPA"</formula>
    </cfRule>
  </conditionalFormatting>
  <conditionalFormatting sqref="G297:K298 N297:N298">
    <cfRule type="expression" dxfId="19068" priority="48828">
      <formula>$H297="CÉLULA CONSTRUTIVA"</formula>
    </cfRule>
    <cfRule type="expression" dxfId="19067" priority="48829">
      <formula>$H297="SUBETAPA"</formula>
    </cfRule>
    <cfRule type="expression" dxfId="19066" priority="48830">
      <formula>$H297="ETAPA"</formula>
    </cfRule>
  </conditionalFormatting>
  <conditionalFormatting sqref="G299:K300 N299:N300">
    <cfRule type="expression" dxfId="19065" priority="48782">
      <formula>$H299="CÉLULA CONSTRUTIVA"</formula>
    </cfRule>
    <cfRule type="expression" dxfId="19064" priority="48783">
      <formula>$H299="SUBETAPA"</formula>
    </cfRule>
    <cfRule type="expression" dxfId="19063" priority="48784">
      <formula>$H299="ETAPA"</formula>
    </cfRule>
  </conditionalFormatting>
  <conditionalFormatting sqref="G301:K302 N301:N302">
    <cfRule type="expression" dxfId="19062" priority="48736">
      <formula>$H301="CÉLULA CONSTRUTIVA"</formula>
    </cfRule>
    <cfRule type="expression" dxfId="19061" priority="48737">
      <formula>$H301="SUBETAPA"</formula>
    </cfRule>
    <cfRule type="expression" dxfId="19060" priority="48738">
      <formula>$H301="ETAPA"</formula>
    </cfRule>
  </conditionalFormatting>
  <conditionalFormatting sqref="G304:K304 N303:N304 G303:I303 K303">
    <cfRule type="expression" dxfId="19059" priority="48690">
      <formula>$H303="CÉLULA CONSTRUTIVA"</formula>
    </cfRule>
  </conditionalFormatting>
  <conditionalFormatting sqref="G305:K306 N305:N306">
    <cfRule type="expression" dxfId="19058" priority="48644">
      <formula>$H305="CÉLULA CONSTRUTIVA"</formula>
    </cfRule>
    <cfRule type="expression" dxfId="19057" priority="48645">
      <formula>$H305="SUBETAPA"</formula>
    </cfRule>
    <cfRule type="expression" dxfId="19056" priority="48646">
      <formula>$H305="ETAPA"</formula>
    </cfRule>
  </conditionalFormatting>
  <conditionalFormatting sqref="G307:K307 N307:N308 G308:I308 K308">
    <cfRule type="expression" dxfId="19055" priority="48598">
      <formula>$H307="CÉLULA CONSTRUTIVA"</formula>
    </cfRule>
    <cfRule type="expression" dxfId="19054" priority="48600">
      <formula>$H307="ETAPA"</formula>
    </cfRule>
  </conditionalFormatting>
  <conditionalFormatting sqref="G309:K310 N309:N310">
    <cfRule type="expression" dxfId="19053" priority="48552">
      <formula>$H309="CÉLULA CONSTRUTIVA"</formula>
    </cfRule>
    <cfRule type="expression" dxfId="19052" priority="48553">
      <formula>$H309="SUBETAPA"</formula>
    </cfRule>
    <cfRule type="expression" dxfId="19051" priority="48554">
      <formula>$H309="ETAPA"</formula>
    </cfRule>
  </conditionalFormatting>
  <conditionalFormatting sqref="G311:K312 N311:N312">
    <cfRule type="expression" dxfId="19050" priority="48506">
      <formula>$H311="CÉLULA CONSTRUTIVA"</formula>
    </cfRule>
    <cfRule type="expression" dxfId="19049" priority="48507">
      <formula>$H311="SUBETAPA"</formula>
    </cfRule>
    <cfRule type="expression" dxfId="19048" priority="48508">
      <formula>$H311="ETAPA"</formula>
    </cfRule>
  </conditionalFormatting>
  <conditionalFormatting sqref="G347:K347">
    <cfRule type="expression" dxfId="19047" priority="47801">
      <formula>$H347="CÉLULA CONSTRUTIVA"</formula>
    </cfRule>
    <cfRule type="expression" dxfId="19046" priority="47803">
      <formula>$H347="ETAPA"</formula>
    </cfRule>
  </conditionalFormatting>
  <conditionalFormatting sqref="G384:K384 M384 O384">
    <cfRule type="expression" dxfId="19045" priority="99291">
      <formula>$H384="SUBETAPA"</formula>
    </cfRule>
  </conditionalFormatting>
  <conditionalFormatting sqref="G589:K589 M589 O589">
    <cfRule type="expression" dxfId="19044" priority="100433">
      <formula>$H589="SUBETAPA"</formula>
    </cfRule>
  </conditionalFormatting>
  <conditionalFormatting sqref="G608:K608 M608 O608">
    <cfRule type="expression" dxfId="19043" priority="100528">
      <formula>$H608="SUBETAPA"</formula>
    </cfRule>
  </conditionalFormatting>
  <conditionalFormatting sqref="G608:K609 M608:M609 O608:O609">
    <cfRule type="expression" dxfId="19042" priority="100529">
      <formula>$H608="ETAPA"</formula>
    </cfRule>
  </conditionalFormatting>
  <conditionalFormatting sqref="G809:K809 H811:K811 G810:J810 H816:K816 H817:J817">
    <cfRule type="expression" dxfId="19041" priority="56838">
      <formula>$H809="ETAPA"</formula>
    </cfRule>
    <cfRule type="expression" dxfId="19040" priority="56839">
      <formula>$H809="CÉLULA CONSTRUTIVA"</formula>
    </cfRule>
  </conditionalFormatting>
  <conditionalFormatting sqref="G820:K820 H822:K822 G821:J821">
    <cfRule type="expression" dxfId="19039" priority="56947">
      <formula>$H820="ETAPA"</formula>
    </cfRule>
    <cfRule type="expression" dxfId="19038" priority="56948">
      <formula>$H820="CÉLULA CONSTRUTIVA"</formula>
    </cfRule>
  </conditionalFormatting>
  <conditionalFormatting sqref="G829:K829 G830:J830 H831:K831">
    <cfRule type="expression" dxfId="19037" priority="57056">
      <formula>$H829="ETAPA"</formula>
    </cfRule>
  </conditionalFormatting>
  <conditionalFormatting sqref="G829:K829 H831:K831 G830:J830">
    <cfRule type="expression" dxfId="19036" priority="57057">
      <formula>$H829="CÉLULA CONSTRUTIVA"</formula>
    </cfRule>
  </conditionalFormatting>
  <conditionalFormatting sqref="G838:K838 G839:J839 H840:K840">
    <cfRule type="expression" dxfId="19035" priority="57165">
      <formula>$H838="ETAPA"</formula>
    </cfRule>
  </conditionalFormatting>
  <conditionalFormatting sqref="G838:K838 H840:K840 G839:J839">
    <cfRule type="expression" dxfId="19034" priority="57166">
      <formula>$H838="CÉLULA CONSTRUTIVA"</formula>
    </cfRule>
  </conditionalFormatting>
  <conditionalFormatting sqref="G847:K847 G848:J848 H849:K849">
    <cfRule type="expression" dxfId="19033" priority="57274">
      <formula>$H847="ETAPA"</formula>
    </cfRule>
  </conditionalFormatting>
  <conditionalFormatting sqref="G847:K847 H849:K849 G848:J848">
    <cfRule type="expression" dxfId="19032" priority="57275">
      <formula>$H847="CÉLULA CONSTRUTIVA"</formula>
    </cfRule>
  </conditionalFormatting>
  <conditionalFormatting sqref="G856:K856 G857:J857 H858:K858">
    <cfRule type="expression" dxfId="19031" priority="57383">
      <formula>$H856="ETAPA"</formula>
    </cfRule>
  </conditionalFormatting>
  <conditionalFormatting sqref="G856:K856 H858:K858 G857:J857">
    <cfRule type="expression" dxfId="19030" priority="57384">
      <formula>$H856="CÉLULA CONSTRUTIVA"</formula>
    </cfRule>
  </conditionalFormatting>
  <conditionalFormatting sqref="G865:K865 G866:J866 H867:K867">
    <cfRule type="expression" dxfId="19029" priority="57492">
      <formula>$H865="ETAPA"</formula>
    </cfRule>
  </conditionalFormatting>
  <conditionalFormatting sqref="G865:K865 H867:K867 G866:J866">
    <cfRule type="expression" dxfId="19028" priority="57493">
      <formula>$H865="CÉLULA CONSTRUTIVA"</formula>
    </cfRule>
  </conditionalFormatting>
  <conditionalFormatting sqref="G874:K874 G875:J875 H876:K876">
    <cfRule type="expression" dxfId="19027" priority="57601">
      <formula>$H874="ETAPA"</formula>
    </cfRule>
  </conditionalFormatting>
  <conditionalFormatting sqref="G874:K874 H876:K876 G875:J875">
    <cfRule type="expression" dxfId="19026" priority="57602">
      <formula>$H874="CÉLULA CONSTRUTIVA"</formula>
    </cfRule>
  </conditionalFormatting>
  <conditionalFormatting sqref="G883:K883 G884:J884 H885:K885">
    <cfRule type="expression" dxfId="19025" priority="57710">
      <formula>$H883="ETAPA"</formula>
    </cfRule>
  </conditionalFormatting>
  <conditionalFormatting sqref="G883:K883 H885:K885 G884:J884">
    <cfRule type="expression" dxfId="19024" priority="57711">
      <formula>$H883="CÉLULA CONSTRUTIVA"</formula>
    </cfRule>
  </conditionalFormatting>
  <conditionalFormatting sqref="G892:K892 G893:J893 H894:K894 H899:K899 H900:J900">
    <cfRule type="expression" dxfId="19023" priority="57819">
      <formula>$H892="ETAPA"</formula>
    </cfRule>
  </conditionalFormatting>
  <conditionalFormatting sqref="G892:K892 H894:K894 G893:J893 H899:K899 H900:J900">
    <cfRule type="expression" dxfId="19022" priority="57820">
      <formula>$H892="CÉLULA CONSTRUTIVA"</formula>
    </cfRule>
  </conditionalFormatting>
  <conditionalFormatting sqref="G903:K903 G904:J904 H905:K905 H910:K910 H911:J911">
    <cfRule type="expression" dxfId="19021" priority="57928">
      <formula>$H903="ETAPA"</formula>
    </cfRule>
  </conditionalFormatting>
  <conditionalFormatting sqref="G903:K903 H905:K905 G904:J904 H910:K910 H911:J911">
    <cfRule type="expression" dxfId="19020" priority="57929">
      <formula>$H903="CÉLULA CONSTRUTIVA"</formula>
    </cfRule>
  </conditionalFormatting>
  <conditionalFormatting sqref="G914:K914 G915:J915 H916:K916">
    <cfRule type="expression" dxfId="19019" priority="58037">
      <formula>$H914="ETAPA"</formula>
    </cfRule>
  </conditionalFormatting>
  <conditionalFormatting sqref="G914:K914 H916:K916 G915:J915">
    <cfRule type="expression" dxfId="19018" priority="58038">
      <formula>$H914="CÉLULA CONSTRUTIVA"</formula>
    </cfRule>
  </conditionalFormatting>
  <conditionalFormatting sqref="G923:K923 G924:J924 H925:K925">
    <cfRule type="expression" dxfId="19017" priority="58146">
      <formula>$H923="ETAPA"</formula>
    </cfRule>
  </conditionalFormatting>
  <conditionalFormatting sqref="G923:K923 H925:K925 G924:J924">
    <cfRule type="expression" dxfId="19016" priority="58147">
      <formula>$H923="CÉLULA CONSTRUTIVA"</formula>
    </cfRule>
  </conditionalFormatting>
  <conditionalFormatting sqref="G932:K932 G933:J933 H934:K934 H939:K939 H940:J940">
    <cfRule type="expression" dxfId="19015" priority="58255">
      <formula>$H932="ETAPA"</formula>
    </cfRule>
  </conditionalFormatting>
  <conditionalFormatting sqref="G932:K932 H934:K934 G933:J933 H939:K939 H940:J940">
    <cfRule type="expression" dxfId="19014"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13" priority="86953">
      <formula>$H619="CÉLULA CONSTRUTIVA"</formula>
    </cfRule>
  </conditionalFormatting>
  <conditionalFormatting sqref="G1239:K1241">
    <cfRule type="expression" dxfId="19012" priority="86998">
      <formula>$H1239="ETAPA"</formula>
    </cfRule>
  </conditionalFormatting>
  <conditionalFormatting sqref="G21:L22 N21:N22">
    <cfRule type="expression" dxfId="19011" priority="46654">
      <formula>$H21="CÉLULA CONSTRUTIVA"</formula>
    </cfRule>
  </conditionalFormatting>
  <conditionalFormatting sqref="G21:L22">
    <cfRule type="expression" dxfId="19010" priority="46657">
      <formula>$H21="ETAPA"</formula>
    </cfRule>
  </conditionalFormatting>
  <conditionalFormatting sqref="G22:L22 N21:N22">
    <cfRule type="expression" dxfId="19009" priority="46655">
      <formula>$H21="SUBETAPA"</formula>
    </cfRule>
  </conditionalFormatting>
  <conditionalFormatting sqref="G24:L24 N24">
    <cfRule type="expression" dxfId="19008" priority="50702">
      <formula>$H24="CÉLULA CONSTRUTIVA"</formula>
    </cfRule>
  </conditionalFormatting>
  <conditionalFormatting sqref="G24:L24">
    <cfRule type="expression" dxfId="19007" priority="50705">
      <formula>$H24="ETAPA"</formula>
    </cfRule>
  </conditionalFormatting>
  <conditionalFormatting sqref="G25:L25 N25">
    <cfRule type="expression" dxfId="19006" priority="50741">
      <formula>$H25="ETAPA"</formula>
    </cfRule>
  </conditionalFormatting>
  <conditionalFormatting sqref="G31:L31 H32:I32 K32:L32 L29:L30 H29:I30">
    <cfRule type="expression" dxfId="19005" priority="50762">
      <formula>$H29="SUBETAPA"</formula>
    </cfRule>
  </conditionalFormatting>
  <conditionalFormatting sqref="G33:L33 N33 K35:K36 O36 K38 O38">
    <cfRule type="expression" dxfId="19004" priority="50595">
      <formula>$H33="ETAPA"</formula>
    </cfRule>
  </conditionalFormatting>
  <conditionalFormatting sqref="G34:L34 M34:M36">
    <cfRule type="expression" dxfId="19003" priority="50634">
      <formula>$H34="SUBETAPA"</formula>
    </cfRule>
  </conditionalFormatting>
  <conditionalFormatting sqref="G39:L39 H40:I40 K40:L40 L35:L36 H35:I36">
    <cfRule type="expression" dxfId="19002" priority="50625">
      <formula>$H35="SUBETAPA"</formula>
    </cfRule>
  </conditionalFormatting>
  <conditionalFormatting sqref="G41:L41 N41">
    <cfRule type="expression" dxfId="19001" priority="50530">
      <formula>$H41="ETAPA"</formula>
    </cfRule>
  </conditionalFormatting>
  <conditionalFormatting sqref="G44:L44 M44:M45">
    <cfRule type="expression" dxfId="19000" priority="50560">
      <formula>$H44="SUBETAPA"</formula>
    </cfRule>
  </conditionalFormatting>
  <conditionalFormatting sqref="G52:L52 O3127">
    <cfRule type="expression" dxfId="18999" priority="50408">
      <formula>$H52="ETAPA"</formula>
    </cfRule>
    <cfRule type="expression" dxfId="18998" priority="50416">
      <formula>$H52="SUBETAPA"</formula>
    </cfRule>
  </conditionalFormatting>
  <conditionalFormatting sqref="G56:L56">
    <cfRule type="expression" dxfId="18997" priority="50353">
      <formula>$H56="ETAPA"</formula>
    </cfRule>
    <cfRule type="expression" dxfId="18996" priority="50361">
      <formula>$H56="SUBETAPA"</formula>
    </cfRule>
  </conditionalFormatting>
  <conditionalFormatting sqref="G58:L58 N58">
    <cfRule type="expression" dxfId="18995" priority="50686">
      <formula>$H58="CÉLULA CONSTRUTIVA"</formula>
    </cfRule>
  </conditionalFormatting>
  <conditionalFormatting sqref="G58:L58">
    <cfRule type="expression" dxfId="18994" priority="50689">
      <formula>$H58="ETAPA"</formula>
    </cfRule>
  </conditionalFormatting>
  <conditionalFormatting sqref="G104:L104">
    <cfRule type="expression" dxfId="18993" priority="50124">
      <formula>$H104="CÉLULA CONSTRUTIVA"</formula>
    </cfRule>
  </conditionalFormatting>
  <conditionalFormatting sqref="G106:L106">
    <cfRule type="expression" dxfId="18992" priority="50106">
      <formula>$H106="CÉLULA CONSTRUTIVA"</formula>
    </cfRule>
  </conditionalFormatting>
  <conditionalFormatting sqref="G108:L108">
    <cfRule type="expression" dxfId="18991" priority="50088">
      <formula>$H108="CÉLULA CONSTRUTIVA"</formula>
    </cfRule>
  </conditionalFormatting>
  <conditionalFormatting sqref="G110:L110">
    <cfRule type="expression" dxfId="18990" priority="50070">
      <formula>$H110="CÉLULA CONSTRUTIVA"</formula>
    </cfRule>
  </conditionalFormatting>
  <conditionalFormatting sqref="G112:L112">
    <cfRule type="expression" dxfId="18989" priority="50052">
      <formula>$H112="CÉLULA CONSTRUTIVA"</formula>
    </cfRule>
  </conditionalFormatting>
  <conditionalFormatting sqref="G114:L114">
    <cfRule type="expression" dxfId="18988" priority="46353">
      <formula>$H114="CÉLULA CONSTRUTIVA"</formula>
    </cfRule>
  </conditionalFormatting>
  <conditionalFormatting sqref="G116:L116">
    <cfRule type="expression" dxfId="18987" priority="50034">
      <formula>$H116="CÉLULA CONSTRUTIVA"</formula>
    </cfRule>
  </conditionalFormatting>
  <conditionalFormatting sqref="G118:L118">
    <cfRule type="expression" dxfId="18986" priority="50016">
      <formula>$H118="CÉLULA CONSTRUTIVA"</formula>
    </cfRule>
  </conditionalFormatting>
  <conditionalFormatting sqref="G120:L120">
    <cfRule type="expression" dxfId="18985" priority="49998">
      <formula>$H120="CÉLULA CONSTRUTIVA"</formula>
    </cfRule>
  </conditionalFormatting>
  <conditionalFormatting sqref="G131:L131">
    <cfRule type="expression" dxfId="18984" priority="49869">
      <formula>$H131="CÉLULA CONSTRUTIVA"</formula>
    </cfRule>
  </conditionalFormatting>
  <conditionalFormatting sqref="G139:L139 N139">
    <cfRule type="expression" dxfId="18983" priority="49779">
      <formula>$H139="SUBETAPA"</formula>
    </cfRule>
  </conditionalFormatting>
  <conditionalFormatting sqref="G313:L313 N313">
    <cfRule type="expression" dxfId="18982" priority="48436">
      <formula>$H313="SUBETAPA"</formula>
    </cfRule>
    <cfRule type="expression" dxfId="18981" priority="48437">
      <formula>$H313="ETAPA"</formula>
    </cfRule>
  </conditionalFormatting>
  <conditionalFormatting sqref="G315:L315 N315 L349 J348:M348 L351 K350:L350 L353 K352:L352 L355 K354:L354 L357 K356:L356 K358:L358 J1492 J1467 J1460 J1453">
    <cfRule type="expression" dxfId="18980" priority="48411">
      <formula>$H315="CÉLULA CONSTRUTIVA"</formula>
    </cfRule>
    <cfRule type="expression" dxfId="18979" priority="48412">
      <formula>$H315="SUBETAPA"</formula>
    </cfRule>
    <cfRule type="expression" dxfId="18978" priority="48413">
      <formula>$H315="ETAPA"</formula>
    </cfRule>
  </conditionalFormatting>
  <conditionalFormatting sqref="G319:L319 N319">
    <cfRule type="expression" dxfId="18977" priority="48325">
      <formula>$H319="CÉLULA CONSTRUTIVA"</formula>
    </cfRule>
    <cfRule type="expression" dxfId="18976" priority="48326">
      <formula>$H319="SUBETAPA"</formula>
    </cfRule>
    <cfRule type="expression" dxfId="18975" priority="48327">
      <formula>$H319="ETAPA"</formula>
    </cfRule>
  </conditionalFormatting>
  <conditionalFormatting sqref="G323:L323 N323">
    <cfRule type="expression" dxfId="18974" priority="48239">
      <formula>$H323="CÉLULA CONSTRUTIVA"</formula>
    </cfRule>
    <cfRule type="expression" dxfId="18973" priority="48240">
      <formula>$H323="SUBETAPA"</formula>
    </cfRule>
    <cfRule type="expression" dxfId="18972" priority="48241">
      <formula>$H323="ETAPA"</formula>
    </cfRule>
  </conditionalFormatting>
  <conditionalFormatting sqref="G327:L327 N327">
    <cfRule type="expression" dxfId="18971" priority="48155">
      <formula>$H327="CÉLULA CONSTRUTIVA"</formula>
    </cfRule>
    <cfRule type="expression" dxfId="18970" priority="48156">
      <formula>$H327="SUBETAPA"</formula>
    </cfRule>
    <cfRule type="expression" dxfId="18969" priority="48157">
      <formula>$H327="ETAPA"</formula>
    </cfRule>
  </conditionalFormatting>
  <conditionalFormatting sqref="G328:L328 N328">
    <cfRule type="expression" dxfId="18968" priority="46249">
      <formula>$H328="CÉLULA CONSTRUTIVA"</formula>
    </cfRule>
    <cfRule type="expression" dxfId="18967" priority="46250">
      <formula>$H328="SUBETAPA"</formula>
    </cfRule>
    <cfRule type="expression" dxfId="18966" priority="46251">
      <formula>$H328="ETAPA"</formula>
    </cfRule>
  </conditionalFormatting>
  <conditionalFormatting sqref="G329:L329 N329">
    <cfRule type="expression" dxfId="18965" priority="46228">
      <formula>$H329="CÉLULA CONSTRUTIVA"</formula>
    </cfRule>
    <cfRule type="expression" dxfId="18964" priority="46229">
      <formula>$H329="SUBETAPA"</formula>
    </cfRule>
    <cfRule type="expression" dxfId="18963" priority="46230">
      <formula>$H329="ETAPA"</formula>
    </cfRule>
  </conditionalFormatting>
  <conditionalFormatting sqref="G333:L333 N333">
    <cfRule type="expression" dxfId="18962" priority="48074">
      <formula>$H333="CÉLULA CONSTRUTIVA"</formula>
    </cfRule>
    <cfRule type="expression" dxfId="18961" priority="48075">
      <formula>$H333="SUBETAPA"</formula>
    </cfRule>
    <cfRule type="expression" dxfId="18960" priority="48076">
      <formula>$H333="ETAPA"</formula>
    </cfRule>
  </conditionalFormatting>
  <conditionalFormatting sqref="G337:L337 N337">
    <cfRule type="expression" dxfId="18959" priority="47992">
      <formula>$H337="CÉLULA CONSTRUTIVA"</formula>
    </cfRule>
    <cfRule type="expression" dxfId="18958" priority="47993">
      <formula>$H337="SUBETAPA"</formula>
    </cfRule>
    <cfRule type="expression" dxfId="18957" priority="47994">
      <formula>$H337="ETAPA"</formula>
    </cfRule>
  </conditionalFormatting>
  <conditionalFormatting sqref="G341:L341 N341">
    <cfRule type="expression" dxfId="18956" priority="47908">
      <formula>$H341="CÉLULA CONSTRUTIVA"</formula>
    </cfRule>
    <cfRule type="expression" dxfId="18955" priority="47909">
      <formula>$H341="SUBETAPA"</formula>
    </cfRule>
    <cfRule type="expression" dxfId="18954" priority="47910">
      <formula>$H341="ETAPA"</formula>
    </cfRule>
  </conditionalFormatting>
  <conditionalFormatting sqref="G345:L345 N345">
    <cfRule type="expression" dxfId="18953" priority="47839">
      <formula>$H345="CÉLULA CONSTRUTIVA"</formula>
    </cfRule>
    <cfRule type="expression" dxfId="18952" priority="47840">
      <formula>$H345="SUBETAPA"</formula>
    </cfRule>
    <cfRule type="expression" dxfId="18951" priority="47841">
      <formula>$H345="ETAPA"</formula>
    </cfRule>
  </conditionalFormatting>
  <conditionalFormatting sqref="G346:L346 N346">
    <cfRule type="expression" dxfId="18950" priority="48466">
      <formula>$H346="ETAPA"</formula>
    </cfRule>
  </conditionalFormatting>
  <conditionalFormatting sqref="G391:L391">
    <cfRule type="expression" dxfId="18949" priority="99279">
      <formula>$H391="SUBETAPA"</formula>
    </cfRule>
    <cfRule type="expression" dxfId="18948" priority="99280">
      <formula>$H391="CÉLULA CONSTRUTIVA"</formula>
    </cfRule>
  </conditionalFormatting>
  <conditionalFormatting sqref="G408:L408">
    <cfRule type="expression" dxfId="18947" priority="99374">
      <formula>$H408="SUBETAPA"</formula>
    </cfRule>
    <cfRule type="expression" dxfId="18946" priority="99375">
      <formula>$H408="CÉLULA CONSTRUTIVA"</formula>
    </cfRule>
  </conditionalFormatting>
  <conditionalFormatting sqref="G425:L425">
    <cfRule type="expression" dxfId="18945" priority="99469">
      <formula>$H425="SUBETAPA"</formula>
    </cfRule>
    <cfRule type="expression" dxfId="18944" priority="99470">
      <formula>$H425="CÉLULA CONSTRUTIVA"</formula>
    </cfRule>
  </conditionalFormatting>
  <conditionalFormatting sqref="G441:L441">
    <cfRule type="expression" dxfId="18943" priority="99564">
      <formula>$H441="SUBETAPA"</formula>
    </cfRule>
    <cfRule type="expression" dxfId="18942" priority="99565">
      <formula>$H441="CÉLULA CONSTRUTIVA"</formula>
    </cfRule>
  </conditionalFormatting>
  <conditionalFormatting sqref="G457:L457">
    <cfRule type="expression" dxfId="18941" priority="99659">
      <formula>$H457="SUBETAPA"</formula>
    </cfRule>
    <cfRule type="expression" dxfId="18940" priority="99660">
      <formula>$H457="CÉLULA CONSTRUTIVA"</formula>
    </cfRule>
  </conditionalFormatting>
  <conditionalFormatting sqref="G474:L474">
    <cfRule type="expression" dxfId="18939" priority="99754">
      <formula>$H474="SUBETAPA"</formula>
    </cfRule>
    <cfRule type="expression" dxfId="18938" priority="99755">
      <formula>$H474="CÉLULA CONSTRUTIVA"</formula>
    </cfRule>
  </conditionalFormatting>
  <conditionalFormatting sqref="G491:L491">
    <cfRule type="expression" dxfId="18937" priority="99849">
      <formula>$H491="SUBETAPA"</formula>
    </cfRule>
    <cfRule type="expression" dxfId="18936" priority="99850">
      <formula>$H491="CÉLULA CONSTRUTIVA"</formula>
    </cfRule>
  </conditionalFormatting>
  <conditionalFormatting sqref="G509:L509">
    <cfRule type="expression" dxfId="18935" priority="99944">
      <formula>$H509="SUBETAPA"</formula>
    </cfRule>
    <cfRule type="expression" dxfId="18934" priority="99945">
      <formula>$H509="CÉLULA CONSTRUTIVA"</formula>
    </cfRule>
  </conditionalFormatting>
  <conditionalFormatting sqref="G527:L527 K528">
    <cfRule type="expression" dxfId="18933" priority="100039">
      <formula>$H527="SUBETAPA"</formula>
    </cfRule>
    <cfRule type="expression" dxfId="18932" priority="100040">
      <formula>$H527="CÉLULA CONSTRUTIVA"</formula>
    </cfRule>
  </conditionalFormatting>
  <conditionalFormatting sqref="G545:L545 K546">
    <cfRule type="expression" dxfId="18931" priority="100134">
      <formula>$H545="SUBETAPA"</formula>
    </cfRule>
    <cfRule type="expression" dxfId="18930" priority="100135">
      <formula>$H545="CÉLULA CONSTRUTIVA"</formula>
    </cfRule>
  </conditionalFormatting>
  <conditionalFormatting sqref="G563:L563 K564">
    <cfRule type="expression" dxfId="18929" priority="100229">
      <formula>$H563="SUBETAPA"</formula>
    </cfRule>
    <cfRule type="expression" dxfId="18928" priority="100230">
      <formula>$H563="CÉLULA CONSTRUTIVA"</formula>
    </cfRule>
  </conditionalFormatting>
  <conditionalFormatting sqref="G580:L580 K581">
    <cfRule type="expression" dxfId="18927" priority="100324">
      <formula>$H580="SUBETAPA"</formula>
    </cfRule>
    <cfRule type="expression" dxfId="18926" priority="100325">
      <formula>$H580="CÉLULA CONSTRUTIVA"</formula>
    </cfRule>
  </conditionalFormatting>
  <conditionalFormatting sqref="G598:L598 K599">
    <cfRule type="expression" dxfId="18925" priority="100419">
      <formula>$H598="SUBETAPA"</formula>
    </cfRule>
    <cfRule type="expression" dxfId="18924" priority="100420">
      <formula>$H598="CÉLULA CONSTRUTIVA"</formula>
    </cfRule>
  </conditionalFormatting>
  <conditionalFormatting sqref="G614:L614">
    <cfRule type="expression" dxfId="18923" priority="100477">
      <formula>$H614="ETAPA"</formula>
    </cfRule>
    <cfRule type="expression" dxfId="18922" priority="100514">
      <formula>$H614="SUBETAPA"</formula>
    </cfRule>
    <cfRule type="expression" dxfId="18921" priority="100515">
      <formula>$H614="CÉLULA CONSTRUTIVA"</formula>
    </cfRule>
  </conditionalFormatting>
  <conditionalFormatting sqref="G619:L621 G622:M622 G623:G638 K624:M624 H626:M626 H628:M628 H630:M630 H632:M632 H633:L634 H635:M635 K637:M637 O637 H629:L629 H631:L631">
    <cfRule type="expression" dxfId="18920" priority="59102">
      <formula>$H619="ETAPA"</formula>
    </cfRule>
  </conditionalFormatting>
  <conditionalFormatting sqref="G21:M21">
    <cfRule type="expression" dxfId="18919" priority="46672">
      <formula>$H21="SUBETAPA"</formula>
    </cfRule>
  </conditionalFormatting>
  <conditionalFormatting sqref="G122:M122">
    <cfRule type="expression" dxfId="18918" priority="49979">
      <formula>$H122="ETAPA"</formula>
    </cfRule>
  </conditionalFormatting>
  <conditionalFormatting sqref="G125:M125">
    <cfRule type="expression" dxfId="18917" priority="49942">
      <formula>$H125="ETAPA"</formula>
    </cfRule>
  </conditionalFormatting>
  <conditionalFormatting sqref="G128:M128">
    <cfRule type="expression" dxfId="18916" priority="49905">
      <formula>$H128="ETAPA"</formula>
    </cfRule>
  </conditionalFormatting>
  <conditionalFormatting sqref="G133:M133">
    <cfRule type="expression" dxfId="18915" priority="49850">
      <formula>$H133="ETAPA"</formula>
    </cfRule>
  </conditionalFormatting>
  <conditionalFormatting sqref="G136:M136">
    <cfRule type="expression" dxfId="18914" priority="49813">
      <formula>$H136="ETAPA"</formula>
    </cfRule>
  </conditionalFormatting>
  <conditionalFormatting sqref="G148:M148 N148:N153">
    <cfRule type="expression" dxfId="18913" priority="49760">
      <formula>$H148="ETAPA"</formula>
    </cfRule>
  </conditionalFormatting>
  <conditionalFormatting sqref="G158:M158 N158:N163">
    <cfRule type="expression" dxfId="18912" priority="49674">
      <formula>$H158="ETAPA"</formula>
    </cfRule>
  </conditionalFormatting>
  <conditionalFormatting sqref="G168:M168 N168:N173">
    <cfRule type="expression" dxfId="18911" priority="49588">
      <formula>$H168="ETAPA"</formula>
    </cfRule>
  </conditionalFormatting>
  <conditionalFormatting sqref="G222:M222 N222:N227">
    <cfRule type="expression" dxfId="18910" priority="49430">
      <formula>$H222="ETAPA"</formula>
    </cfRule>
  </conditionalFormatting>
  <conditionalFormatting sqref="G231:M231 N231:N236">
    <cfRule type="expression" dxfId="18909" priority="49380">
      <formula>$H231="ETAPA"</formula>
    </cfRule>
  </conditionalFormatting>
  <conditionalFormatting sqref="G240:M240 N240:N245">
    <cfRule type="expression" dxfId="18908" priority="49330">
      <formula>$H240="ETAPA"</formula>
    </cfRule>
  </conditionalFormatting>
  <conditionalFormatting sqref="G249:M249 N249:N254">
    <cfRule type="expression" dxfId="18907" priority="49280">
      <formula>$H249="ETAPA"</formula>
    </cfRule>
  </conditionalFormatting>
  <conditionalFormatting sqref="G258:M258 N258:N263">
    <cfRule type="expression" dxfId="18906" priority="49230">
      <formula>$H258="ETAPA"</formula>
    </cfRule>
  </conditionalFormatting>
  <conditionalFormatting sqref="G267:M267 N267:N272">
    <cfRule type="expression" dxfId="18905" priority="49180">
      <formula>$H267="ETAPA"</formula>
    </cfRule>
  </conditionalFormatting>
  <conditionalFormatting sqref="G307:M307 N307:N308 G308:I308 K308">
    <cfRule type="expression" dxfId="18904" priority="48599">
      <formula>$H307="SUBETAPA"</formula>
    </cfRule>
  </conditionalFormatting>
  <conditionalFormatting sqref="G347:M347">
    <cfRule type="expression" dxfId="18903" priority="47802">
      <formula>$H347="SUBETAPA"</formula>
    </cfRule>
  </conditionalFormatting>
  <conditionalFormatting sqref="G385:M385 O385">
    <cfRule type="expression" dxfId="18902" priority="99299">
      <formula>$H385="CÉLULA CONSTRUTIVA"</formula>
    </cfRule>
  </conditionalFormatting>
  <conditionalFormatting sqref="G386:M386 K396:L397 O396:O397 O386 G395:I398 K398">
    <cfRule type="expression" dxfId="18901" priority="99243">
      <formula>$H386="SUBETAPA"</formula>
    </cfRule>
  </conditionalFormatting>
  <conditionalFormatting sqref="G386:M386 O386 G391:L391 O396:O397">
    <cfRule type="expression" dxfId="18900" priority="99242">
      <formula>$H386="ETAPA"</formula>
    </cfRule>
  </conditionalFormatting>
  <conditionalFormatting sqref="G402:M402 O402">
    <cfRule type="expression" dxfId="18899" priority="99394">
      <formula>$H402="CÉLULA CONSTRUTIVA"</formula>
    </cfRule>
  </conditionalFormatting>
  <conditionalFormatting sqref="G403:M403 O403 G408:L408 O413:O415">
    <cfRule type="expression" dxfId="18898" priority="99337">
      <formula>$H403="ETAPA"</formula>
    </cfRule>
  </conditionalFormatting>
  <conditionalFormatting sqref="G403:M403 O403 K413:L414 O413:O415 G412:I415">
    <cfRule type="expression" dxfId="18897" priority="99338">
      <formula>$H403="SUBETAPA"</formula>
    </cfRule>
  </conditionalFormatting>
  <conditionalFormatting sqref="G419:M419 O419">
    <cfRule type="expression" dxfId="18896" priority="99489">
      <formula>$H419="CÉLULA CONSTRUTIVA"</formula>
    </cfRule>
  </conditionalFormatting>
  <conditionalFormatting sqref="G420:M420 K429:L430 O429:O430 G428:I430 O420">
    <cfRule type="expression" dxfId="18895" priority="99433">
      <formula>$H420="SUBETAPA"</formula>
    </cfRule>
  </conditionalFormatting>
  <conditionalFormatting sqref="G420:M420 O420 G425:L425 O429:O430">
    <cfRule type="expression" dxfId="18894" priority="99432">
      <formula>$H420="ETAPA"</formula>
    </cfRule>
  </conditionalFormatting>
  <conditionalFormatting sqref="G435:M435 O435">
    <cfRule type="expression" dxfId="18893" priority="99584">
      <formula>$H435="CÉLULA CONSTRUTIVA"</formula>
    </cfRule>
  </conditionalFormatting>
  <conditionalFormatting sqref="G436:M436 K445:L446 O445:O446 G444:I446 O436">
    <cfRule type="expression" dxfId="18892" priority="99528">
      <formula>$H436="SUBETAPA"</formula>
    </cfRule>
  </conditionalFormatting>
  <conditionalFormatting sqref="G436:M436 O436 G441:L441 O445:O446">
    <cfRule type="expression" dxfId="18891" priority="99527">
      <formula>$H436="ETAPA"</formula>
    </cfRule>
  </conditionalFormatting>
  <conditionalFormatting sqref="G451:M451 O451">
    <cfRule type="expression" dxfId="18890" priority="99679">
      <formula>$H451="CÉLULA CONSTRUTIVA"</formula>
    </cfRule>
  </conditionalFormatting>
  <conditionalFormatting sqref="G452:M452 K462:L463 O462:O463 G461:I463 O452">
    <cfRule type="expression" dxfId="18889" priority="99623">
      <formula>$H452="SUBETAPA"</formula>
    </cfRule>
  </conditionalFormatting>
  <conditionalFormatting sqref="G452:M452 O452 G457:L457 O462:O463">
    <cfRule type="expression" dxfId="18888" priority="99622">
      <formula>$H452="ETAPA"</formula>
    </cfRule>
  </conditionalFormatting>
  <conditionalFormatting sqref="G468:M468 O468">
    <cfRule type="expression" dxfId="18887" priority="99774">
      <formula>$H468="CÉLULA CONSTRUTIVA"</formula>
    </cfRule>
  </conditionalFormatting>
  <conditionalFormatting sqref="G469:M469 K479:L480 O479:O480 G478:I480 O469">
    <cfRule type="expression" dxfId="18886" priority="99718">
      <formula>$H469="SUBETAPA"</formula>
    </cfRule>
  </conditionalFormatting>
  <conditionalFormatting sqref="G469:M469 O469 G474:L474 O479:O480">
    <cfRule type="expression" dxfId="18885" priority="99717">
      <formula>$H469="ETAPA"</formula>
    </cfRule>
  </conditionalFormatting>
  <conditionalFormatting sqref="G485:M485 O485">
    <cfRule type="expression" dxfId="18884" priority="99869">
      <formula>$H485="CÉLULA CONSTRUTIVA"</formula>
    </cfRule>
  </conditionalFormatting>
  <conditionalFormatting sqref="G486:M486 K496:L497 O496:O497 G495:I497 O486">
    <cfRule type="expression" dxfId="18883" priority="99813">
      <formula>$H486="SUBETAPA"</formula>
    </cfRule>
  </conditionalFormatting>
  <conditionalFormatting sqref="G486:M486 O486 G491:L491 O496:O497">
    <cfRule type="expression" dxfId="18882" priority="99812">
      <formula>$H486="ETAPA"</formula>
    </cfRule>
  </conditionalFormatting>
  <conditionalFormatting sqref="G502:M502 O502">
    <cfRule type="expression" dxfId="18881" priority="99964">
      <formula>$H502="CÉLULA CONSTRUTIVA"</formula>
    </cfRule>
  </conditionalFormatting>
  <conditionalFormatting sqref="G503:M503 K514:L515 O514:O515 G513:I515 O503">
    <cfRule type="expression" dxfId="18880" priority="99908">
      <formula>$H503="SUBETAPA"</formula>
    </cfRule>
  </conditionalFormatting>
  <conditionalFormatting sqref="G503:M503 O503 G509:L509 O514:O515">
    <cfRule type="expression" dxfId="18879" priority="99907">
      <formula>$H503="ETAPA"</formula>
    </cfRule>
  </conditionalFormatting>
  <conditionalFormatting sqref="G520:M520 O520">
    <cfRule type="expression" dxfId="18878" priority="100059">
      <formula>$H520="CÉLULA CONSTRUTIVA"</formula>
    </cfRule>
  </conditionalFormatting>
  <conditionalFormatting sqref="G521:M521 K532:L533 O532:O533 G531:I533 O521">
    <cfRule type="expression" dxfId="18877" priority="100003">
      <formula>$H521="SUBETAPA"</formula>
    </cfRule>
  </conditionalFormatting>
  <conditionalFormatting sqref="G521:M521 O521 G527:L527 O532:O533">
    <cfRule type="expression" dxfId="18876" priority="100002">
      <formula>$H521="ETAPA"</formula>
    </cfRule>
  </conditionalFormatting>
  <conditionalFormatting sqref="G538:M538 O538">
    <cfRule type="expression" dxfId="18875" priority="100154">
      <formula>$H538="CÉLULA CONSTRUTIVA"</formula>
    </cfRule>
  </conditionalFormatting>
  <conditionalFormatting sqref="G539:M539 K550:L551 O550:O551 G549:I551 O539">
    <cfRule type="expression" dxfId="18874" priority="100098">
      <formula>$H539="SUBETAPA"</formula>
    </cfRule>
  </conditionalFormatting>
  <conditionalFormatting sqref="G539:M539 O539 G545:L545 O550:O551">
    <cfRule type="expression" dxfId="18873" priority="100097">
      <formula>$H539="ETAPA"</formula>
    </cfRule>
  </conditionalFormatting>
  <conditionalFormatting sqref="G556:M556 O556">
    <cfRule type="expression" dxfId="18872" priority="100249">
      <formula>$H556="CÉLULA CONSTRUTIVA"</formula>
    </cfRule>
  </conditionalFormatting>
  <conditionalFormatting sqref="G557:M557 K568:L569 O568:O569 G567:I569 O557">
    <cfRule type="expression" dxfId="18871" priority="100193">
      <formula>$H557="SUBETAPA"</formula>
    </cfRule>
  </conditionalFormatting>
  <conditionalFormatting sqref="G557:M557 O557 G563:L563 O568:O569">
    <cfRule type="expression" dxfId="18870" priority="100192">
      <formula>$H557="ETAPA"</formula>
    </cfRule>
  </conditionalFormatting>
  <conditionalFormatting sqref="G574:M574 O574">
    <cfRule type="expression" dxfId="18869" priority="100344">
      <formula>$H574="CÉLULA CONSTRUTIVA"</formula>
    </cfRule>
  </conditionalFormatting>
  <conditionalFormatting sqref="G575:M575 K584:L585 O584:O585 G583:I585 O575">
    <cfRule type="expression" dxfId="18868" priority="100288">
      <formula>$H575="SUBETAPA"</formula>
    </cfRule>
  </conditionalFormatting>
  <conditionalFormatting sqref="G575:M575 O575 G580:L580 O584:O585">
    <cfRule type="expression" dxfId="18867" priority="100287">
      <formula>$H575="ETAPA"</formula>
    </cfRule>
  </conditionalFormatting>
  <conditionalFormatting sqref="G591:M591 O591">
    <cfRule type="expression" dxfId="18866" priority="100439">
      <formula>$H591="CÉLULA CONSTRUTIVA"</formula>
    </cfRule>
  </conditionalFormatting>
  <conditionalFormatting sqref="G592:M592 K603:L604 O603:O604 G602:I604 O592">
    <cfRule type="expression" dxfId="18865" priority="100383">
      <formula>$H592="SUBETAPA"</formula>
    </cfRule>
  </conditionalFormatting>
  <conditionalFormatting sqref="G592:M592 O592 G598:L598 O603:O604">
    <cfRule type="expression" dxfId="18864"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63" priority="116224">
      <formula>$H379="ETAPA"</formula>
    </cfRule>
  </conditionalFormatting>
  <conditionalFormatting sqref="G619:M619 M1154:M1155 M1157:M1162 M1189:M1194 M1196:M1201 M1203:M1208 M1210:M1215 M1217:M1222 M1229:M1234">
    <cfRule type="expression" dxfId="18862" priority="86992">
      <formula>$H619="SUBETAPA"</formula>
    </cfRule>
  </conditionalFormatting>
  <conditionalFormatting sqref="G2902:M2903">
    <cfRule type="expression" dxfId="18861" priority="957">
      <formula>$H2902="ETAPA"</formula>
    </cfRule>
  </conditionalFormatting>
  <conditionalFormatting sqref="G2911:M2912">
    <cfRule type="expression" dxfId="18860" priority="1022">
      <formula>$H2911="ETAPA"</formula>
    </cfRule>
  </conditionalFormatting>
  <conditionalFormatting sqref="G2920:M2921">
    <cfRule type="expression" dxfId="18859" priority="1087">
      <formula>$H2920="ETAPA"</formula>
    </cfRule>
  </conditionalFormatting>
  <conditionalFormatting sqref="G2929:M2930">
    <cfRule type="expression" dxfId="18858" priority="1152">
      <formula>$H2929="ETAPA"</formula>
    </cfRule>
  </conditionalFormatting>
  <conditionalFormatting sqref="G2938:M2939">
    <cfRule type="expression" dxfId="18857" priority="1217">
      <formula>$H2938="ETAPA"</formula>
    </cfRule>
  </conditionalFormatting>
  <conditionalFormatting sqref="G25:N25">
    <cfRule type="expression" dxfId="18856" priority="50739">
      <formula>$H25="CÉLULA CONSTRUTIVA"</formula>
    </cfRule>
    <cfRule type="expression" dxfId="18855" priority="50740">
      <formula>$H25="SUBETAPA"</formula>
    </cfRule>
  </conditionalFormatting>
  <conditionalFormatting sqref="G33:N33 K35:K36 O36 K38 N38:O38 N34:N36">
    <cfRule type="expression" dxfId="18854" priority="50594">
      <formula>$H33="SUBETAPA"</formula>
    </cfRule>
  </conditionalFormatting>
  <conditionalFormatting sqref="G41:N41">
    <cfRule type="expression" dxfId="18853" priority="50529">
      <formula>$H41="SUBETAPA"</formula>
    </cfRule>
  </conditionalFormatting>
  <conditionalFormatting sqref="G51:N51 N54:O54">
    <cfRule type="expression" dxfId="18852" priority="50448">
      <formula>$H51="ETAPA"</formula>
    </cfRule>
  </conditionalFormatting>
  <conditionalFormatting sqref="G51:N51">
    <cfRule type="expression" dxfId="18851" priority="50450">
      <formula>$H51="SUBETAPA"</formula>
    </cfRule>
  </conditionalFormatting>
  <conditionalFormatting sqref="G55:N55 N57:O57">
    <cfRule type="expression" dxfId="18850" priority="50393">
      <formula>$H55="ETAPA"</formula>
    </cfRule>
  </conditionalFormatting>
  <conditionalFormatting sqref="G55:N55">
    <cfRule type="expression" dxfId="18849" priority="50395">
      <formula>$H55="SUBETAPA"</formula>
    </cfRule>
  </conditionalFormatting>
  <conditionalFormatting sqref="G58:N58">
    <cfRule type="expression" dxfId="18848" priority="50693">
      <formula>$H58="SUBETAPA"</formula>
    </cfRule>
  </conditionalFormatting>
  <conditionalFormatting sqref="G97:N99">
    <cfRule type="expression" dxfId="18847" priority="50165">
      <formula>$H97="ETAPA"</formula>
    </cfRule>
  </conditionalFormatting>
  <conditionalFormatting sqref="G104:N104">
    <cfRule type="expression" dxfId="18846" priority="50126">
      <formula>$H104="ETAPA"</formula>
    </cfRule>
  </conditionalFormatting>
  <conditionalFormatting sqref="G106:N106">
    <cfRule type="expression" dxfId="18845" priority="50108">
      <formula>$H106="ETAPA"</formula>
    </cfRule>
  </conditionalFormatting>
  <conditionalFormatting sqref="G108:N108">
    <cfRule type="expression" dxfId="18844" priority="50090">
      <formula>$H108="ETAPA"</formula>
    </cfRule>
  </conditionalFormatting>
  <conditionalFormatting sqref="G110:N110">
    <cfRule type="expression" dxfId="18843" priority="50072">
      <formula>$H110="ETAPA"</formula>
    </cfRule>
  </conditionalFormatting>
  <conditionalFormatting sqref="G112:N112">
    <cfRule type="expression" dxfId="18842" priority="50054">
      <formula>$H112="ETAPA"</formula>
    </cfRule>
  </conditionalFormatting>
  <conditionalFormatting sqref="G114:N114">
    <cfRule type="expression" dxfId="18841" priority="46355">
      <formula>$H114="ETAPA"</formula>
    </cfRule>
  </conditionalFormatting>
  <conditionalFormatting sqref="G116:N116">
    <cfRule type="expression" dxfId="18840" priority="50036">
      <formula>$H116="ETAPA"</formula>
    </cfRule>
  </conditionalFormatting>
  <conditionalFormatting sqref="G118:N118">
    <cfRule type="expression" dxfId="18839" priority="50018">
      <formula>$H118="ETAPA"</formula>
    </cfRule>
  </conditionalFormatting>
  <conditionalFormatting sqref="G120:N120">
    <cfRule type="expression" dxfId="18838" priority="50000">
      <formula>$H120="ETAPA"</formula>
    </cfRule>
  </conditionalFormatting>
  <conditionalFormatting sqref="G131:N131">
    <cfRule type="expression" dxfId="18837" priority="49871">
      <formula>$H131="ETAPA"</formula>
    </cfRule>
  </conditionalFormatting>
  <conditionalFormatting sqref="G139:N139">
    <cfRule type="expression" dxfId="18836" priority="49780">
      <formula>$H139="ETAPA"</formula>
    </cfRule>
  </conditionalFormatting>
  <conditionalFormatting sqref="G177:N177">
    <cfRule type="expression" dxfId="18835" priority="49505">
      <formula>$H177="ETAPA"</formula>
    </cfRule>
  </conditionalFormatting>
  <conditionalFormatting sqref="G186:N186">
    <cfRule type="expression" dxfId="18834" priority="49487">
      <formula>$H186="ETAPA"</formula>
    </cfRule>
  </conditionalFormatting>
  <conditionalFormatting sqref="G195:N195">
    <cfRule type="expression" dxfId="18833" priority="49469">
      <formula>$H195="ETAPA"</formula>
    </cfRule>
  </conditionalFormatting>
  <conditionalFormatting sqref="G204:N204">
    <cfRule type="expression" dxfId="18832" priority="46322">
      <formula>$H204="ETAPA"</formula>
    </cfRule>
  </conditionalFormatting>
  <conditionalFormatting sqref="G213:N213">
    <cfRule type="expression" dxfId="18831" priority="49451">
      <formula>$H213="ETAPA"</formula>
    </cfRule>
  </conditionalFormatting>
  <conditionalFormatting sqref="G274:N274">
    <cfRule type="expression" dxfId="18830" priority="49145">
      <formula>$H274="ETAPA"</formula>
    </cfRule>
  </conditionalFormatting>
  <conditionalFormatting sqref="G346:N346">
    <cfRule type="expression" dxfId="18829" priority="48465">
      <formula>$H346="SUBETAPA"</formula>
    </cfRule>
  </conditionalFormatting>
  <conditionalFormatting sqref="G115:O115">
    <cfRule type="expression" dxfId="18828" priority="46371">
      <formula>$H115="ETAPA"</formula>
    </cfRule>
  </conditionalFormatting>
  <conditionalFormatting sqref="H26:H27">
    <cfRule type="expression" dxfId="18827" priority="50667">
      <formula>$H26="CÉLULA CONSTRUTIVA"</formula>
    </cfRule>
    <cfRule type="expression" dxfId="18826" priority="50668">
      <formula>$H26="ETAPA"</formula>
    </cfRule>
    <cfRule type="expression" dxfId="18825" priority="50669">
      <formula>$H26="SUBETAPA"</formula>
    </cfRule>
  </conditionalFormatting>
  <conditionalFormatting sqref="H42:H43">
    <cfRule type="expression" dxfId="18824" priority="50489">
      <formula>$H42="CÉLULA CONSTRUTIVA"</formula>
    </cfRule>
    <cfRule type="expression" dxfId="18823" priority="50490">
      <formula>$H42="ETAPA"</formula>
    </cfRule>
    <cfRule type="expression" dxfId="18822" priority="50491">
      <formula>$H42="SUBETAPA"</formula>
    </cfRule>
  </conditionalFormatting>
  <conditionalFormatting sqref="H80:H83 H85:H92">
    <cfRule type="expression" dxfId="18821" priority="50317">
      <formula>$H80="ETAPA"</formula>
    </cfRule>
    <cfRule type="expression" dxfId="18820" priority="50325">
      <formula>$H80="SUBETAPA"</formula>
    </cfRule>
  </conditionalFormatting>
  <conditionalFormatting sqref="H84">
    <cfRule type="expression" dxfId="18819" priority="50297">
      <formula>$H84="CÉLULA CONSTRUTIVA"</formula>
    </cfRule>
    <cfRule type="expression" dxfId="18818" priority="50298">
      <formula>$H84="ETAPA"</formula>
    </cfRule>
    <cfRule type="expression" dxfId="18817" priority="50302">
      <formula>$H84="SUBETAPA"</formula>
    </cfRule>
  </conditionalFormatting>
  <conditionalFormatting sqref="H85:H92 H80:H83">
    <cfRule type="expression" dxfId="18816" priority="50316">
      <formula>$H80="CÉLULA CONSTRUTIVA"</formula>
    </cfRule>
  </conditionalFormatting>
  <conditionalFormatting sqref="H1154:H1159 H1187:H1191 H1194:H1198 H1201:H1205 H1208:H1212 H1215:H1219 H1227:H1231">
    <cfRule type="expression" dxfId="18815" priority="86958">
      <formula>$H1154="ETAPA"</formula>
    </cfRule>
  </conditionalFormatting>
  <conditionalFormatting sqref="H1160:H1161">
    <cfRule type="expression" dxfId="18814" priority="55567">
      <formula>$H1160="CÉLULA CONSTRUTIVA"</formula>
    </cfRule>
    <cfRule type="expression" dxfId="18813" priority="55568">
      <formula>$H1160="ETAPA"</formula>
    </cfRule>
    <cfRule type="expression" dxfId="18812" priority="55569">
      <formula>$H1160="SUBETAPA"</formula>
    </cfRule>
  </conditionalFormatting>
  <conditionalFormatting sqref="H1165:H1166">
    <cfRule type="expression" dxfId="18811" priority="55661">
      <formula>$H1165="CÉLULA CONSTRUTIVA"</formula>
    </cfRule>
    <cfRule type="expression" dxfId="18810" priority="55662">
      <formula>$H1165="ETAPA"</formula>
    </cfRule>
    <cfRule type="expression" dxfId="18809" priority="55663">
      <formula>$H1165="SUBETAPA"</formula>
    </cfRule>
  </conditionalFormatting>
  <conditionalFormatting sqref="H1170:H1171">
    <cfRule type="expression" dxfId="18808" priority="55755">
      <formula>$H1170="CÉLULA CONSTRUTIVA"</formula>
    </cfRule>
    <cfRule type="expression" dxfId="18807" priority="55756">
      <formula>$H1170="ETAPA"</formula>
    </cfRule>
    <cfRule type="expression" dxfId="18806" priority="55757">
      <formula>$H1170="SUBETAPA"</formula>
    </cfRule>
  </conditionalFormatting>
  <conditionalFormatting sqref="H1175:H1176">
    <cfRule type="expression" dxfId="18805" priority="55849">
      <formula>$H1175="CÉLULA CONSTRUTIVA"</formula>
    </cfRule>
    <cfRule type="expression" dxfId="18804" priority="55850">
      <formula>$H1175="ETAPA"</formula>
    </cfRule>
    <cfRule type="expression" dxfId="18803" priority="55851">
      <formula>$H1175="SUBETAPA"</formula>
    </cfRule>
  </conditionalFormatting>
  <conditionalFormatting sqref="H1180:H1181">
    <cfRule type="expression" dxfId="18802" priority="55943">
      <formula>$H1180="CÉLULA CONSTRUTIVA"</formula>
    </cfRule>
    <cfRule type="expression" dxfId="18801" priority="55944">
      <formula>$H1180="ETAPA"</formula>
    </cfRule>
    <cfRule type="expression" dxfId="18800" priority="55945">
      <formula>$H1180="SUBETAPA"</formula>
    </cfRule>
  </conditionalFormatting>
  <conditionalFormatting sqref="H1185:H1186">
    <cfRule type="expression" dxfId="18799" priority="56037">
      <formula>$H1185="CÉLULA CONSTRUTIVA"</formula>
    </cfRule>
    <cfRule type="expression" dxfId="18798" priority="56038">
      <formula>$H1185="ETAPA"</formula>
    </cfRule>
    <cfRule type="expression" dxfId="18797" priority="56039">
      <formula>$H1185="SUBETAPA"</formula>
    </cfRule>
  </conditionalFormatting>
  <conditionalFormatting sqref="H1192:H1193">
    <cfRule type="expression" dxfId="18796" priority="56131">
      <formula>$H1192="CÉLULA CONSTRUTIVA"</formula>
    </cfRule>
    <cfRule type="expression" dxfId="18795" priority="56132">
      <formula>$H1192="ETAPA"</formula>
    </cfRule>
    <cfRule type="expression" dxfId="18794" priority="56133">
      <formula>$H1192="SUBETAPA"</formula>
    </cfRule>
  </conditionalFormatting>
  <conditionalFormatting sqref="H1199:H1200">
    <cfRule type="expression" dxfId="18793" priority="56225">
      <formula>$H1199="CÉLULA CONSTRUTIVA"</formula>
    </cfRule>
    <cfRule type="expression" dxfId="18792" priority="56226">
      <formula>$H1199="ETAPA"</formula>
    </cfRule>
    <cfRule type="expression" dxfId="18791" priority="56227">
      <formula>$H1199="SUBETAPA"</formula>
    </cfRule>
  </conditionalFormatting>
  <conditionalFormatting sqref="H1206:H1207">
    <cfRule type="expression" dxfId="18790" priority="56319">
      <formula>$H1206="CÉLULA CONSTRUTIVA"</formula>
    </cfRule>
    <cfRule type="expression" dxfId="18789" priority="56320">
      <formula>$H1206="ETAPA"</formula>
    </cfRule>
    <cfRule type="expression" dxfId="18788" priority="56321">
      <formula>$H1206="SUBETAPA"</formula>
    </cfRule>
  </conditionalFormatting>
  <conditionalFormatting sqref="H1213:H1214">
    <cfRule type="expression" dxfId="18787" priority="56413">
      <formula>$H1213="CÉLULA CONSTRUTIVA"</formula>
    </cfRule>
    <cfRule type="expression" dxfId="18786" priority="56414">
      <formula>$H1213="ETAPA"</formula>
    </cfRule>
    <cfRule type="expression" dxfId="18785" priority="56415">
      <formula>$H1213="SUBETAPA"</formula>
    </cfRule>
  </conditionalFormatting>
  <conditionalFormatting sqref="H1220:H1221">
    <cfRule type="expression" dxfId="18784" priority="56507">
      <formula>$H1220="CÉLULA CONSTRUTIVA"</formula>
    </cfRule>
    <cfRule type="expression" dxfId="18783" priority="56508">
      <formula>$H1220="ETAPA"</formula>
    </cfRule>
    <cfRule type="expression" dxfId="18782" priority="56509">
      <formula>$H1220="SUBETAPA"</formula>
    </cfRule>
  </conditionalFormatting>
  <conditionalFormatting sqref="H1225:H1226">
    <cfRule type="expression" dxfId="18781" priority="56601">
      <formula>$H1225="CÉLULA CONSTRUTIVA"</formula>
    </cfRule>
    <cfRule type="expression" dxfId="18780" priority="56602">
      <formula>$H1225="ETAPA"</formula>
    </cfRule>
    <cfRule type="expression" dxfId="18779" priority="56603">
      <formula>$H1225="SUBETAPA"</formula>
    </cfRule>
  </conditionalFormatting>
  <conditionalFormatting sqref="H1227:H1231 H1215:H1219 H1208:H1212 H1201:H1205 H1194:H1198 H1187:H1191 H1154:H1159">
    <cfRule type="expression" dxfId="18778" priority="86957">
      <formula>$H1154="CÉLULA CONSTRUTIVA"</formula>
    </cfRule>
    <cfRule type="expression" dxfId="18777" priority="86972">
      <formula>$H1154="SUBETAPA"</formula>
    </cfRule>
  </conditionalFormatting>
  <conditionalFormatting sqref="H1232:H1233">
    <cfRule type="expression" dxfId="18776" priority="56695">
      <formula>$H1232="CÉLULA CONSTRUTIVA"</formula>
    </cfRule>
    <cfRule type="expression" dxfId="18775" priority="56696">
      <formula>$H1232="ETAPA"</formula>
    </cfRule>
    <cfRule type="expression" dxfId="18774" priority="56697">
      <formula>$H1232="SUBETAPA"</formula>
    </cfRule>
  </conditionalFormatting>
  <conditionalFormatting sqref="H1237:H1238">
    <cfRule type="expression" dxfId="18773" priority="56789">
      <formula>$H1237="CÉLULA CONSTRUTIVA"</formula>
    </cfRule>
    <cfRule type="expression" dxfId="18772" priority="56790">
      <formula>$H1237="ETAPA"</formula>
    </cfRule>
    <cfRule type="expression" dxfId="18771" priority="56791">
      <formula>$H1237="SUBETAPA"</formula>
    </cfRule>
  </conditionalFormatting>
  <conditionalFormatting sqref="H1239:H1241">
    <cfRule type="expression" dxfId="18770" priority="102692">
      <formula>$H1239="CÉLULA CONSTRUTIVA"</formula>
    </cfRule>
    <cfRule type="expression" dxfId="18769" priority="102693">
      <formula>$H1239="ETAPA"</formula>
    </cfRule>
    <cfRule type="expression" dxfId="18768" priority="102694">
      <formula>$H1239="SUBETAPA"</formula>
    </cfRule>
  </conditionalFormatting>
  <conditionalFormatting sqref="H1244">
    <cfRule type="expression" dxfId="18767" priority="86750">
      <formula>$H1244="CÉLULA CONSTRUTIVA"</formula>
    </cfRule>
    <cfRule type="expression" dxfId="18766" priority="86751">
      <formula>$H1244="ETAPA"</formula>
    </cfRule>
    <cfRule type="expression" dxfId="18765" priority="86752">
      <formula>$H1244="SUBETAPA"</formula>
    </cfRule>
  </conditionalFormatting>
  <conditionalFormatting sqref="H1251">
    <cfRule type="expression" dxfId="18764" priority="86737">
      <formula>$H1251="CÉLULA CONSTRUTIVA"</formula>
    </cfRule>
    <cfRule type="expression" dxfId="18763" priority="86738">
      <formula>$H1251="ETAPA"</formula>
    </cfRule>
    <cfRule type="expression" dxfId="18762" priority="86739">
      <formula>$H1251="SUBETAPA"</formula>
    </cfRule>
  </conditionalFormatting>
  <conditionalFormatting sqref="H1253:H1368 H1386:H1388 H1393:H1395 H1400:H1402 H1405:H1407 H1410:H1412 H1415:H1417">
    <cfRule type="expression" dxfId="18761" priority="86701">
      <formula>$H1253="ETAPA"</formula>
    </cfRule>
  </conditionalFormatting>
  <conditionalFormatting sqref="H1369">
    <cfRule type="expression" dxfId="18760" priority="53743">
      <formula>$H1369="CÉLULA CONSTRUTIVA"</formula>
    </cfRule>
    <cfRule type="expression" dxfId="18759" priority="53744">
      <formula>$H1369="ETAPA"</formula>
    </cfRule>
    <cfRule type="expression" dxfId="18758" priority="53745">
      <formula>$H1369="SUBETAPA"</formula>
    </cfRule>
  </conditionalFormatting>
  <conditionalFormatting sqref="H1370 J1370:L1370">
    <cfRule type="expression" dxfId="18757" priority="53766">
      <formula>$H1370="ETAPA"</formula>
    </cfRule>
    <cfRule type="expression" dxfId="18756" priority="53862">
      <formula>$H1370="CÉLULA CONSTRUTIVA"</formula>
    </cfRule>
    <cfRule type="expression" dxfId="18755" priority="53863">
      <formula>$H1370="SUBETAPA"</formula>
    </cfRule>
  </conditionalFormatting>
  <conditionalFormatting sqref="H1372">
    <cfRule type="expression" dxfId="18754" priority="53867">
      <formula>$H1372="CÉLULA CONSTRUTIVA"</formula>
    </cfRule>
    <cfRule type="expression" dxfId="18753" priority="53868">
      <formula>$H1372="ETAPA"</formula>
    </cfRule>
    <cfRule type="expression" dxfId="18752" priority="53869">
      <formula>$H1372="SUBETAPA"</formula>
    </cfRule>
  </conditionalFormatting>
  <conditionalFormatting sqref="H1373 J1373:L1373">
    <cfRule type="expression" dxfId="18751" priority="53890">
      <formula>$H1373="ETAPA"</formula>
    </cfRule>
    <cfRule type="expression" dxfId="18750" priority="53986">
      <formula>$H1373="CÉLULA CONSTRUTIVA"</formula>
    </cfRule>
    <cfRule type="expression" dxfId="18749" priority="53987">
      <formula>$H1373="SUBETAPA"</formula>
    </cfRule>
  </conditionalFormatting>
  <conditionalFormatting sqref="H1375">
    <cfRule type="expression" dxfId="18748" priority="53991">
      <formula>$H1375="CÉLULA CONSTRUTIVA"</formula>
    </cfRule>
    <cfRule type="expression" dxfId="18747" priority="53992">
      <formula>$H1375="ETAPA"</formula>
    </cfRule>
    <cfRule type="expression" dxfId="18746" priority="53993">
      <formula>$H1375="SUBETAPA"</formula>
    </cfRule>
  </conditionalFormatting>
  <conditionalFormatting sqref="H1376 J1376:L1376">
    <cfRule type="expression" dxfId="18745" priority="54110">
      <formula>$H1376="CÉLULA CONSTRUTIVA"</formula>
    </cfRule>
    <cfRule type="expression" dxfId="18744" priority="54111">
      <formula>$H1376="SUBETAPA"</formula>
    </cfRule>
  </conditionalFormatting>
  <conditionalFormatting sqref="H1378">
    <cfRule type="expression" dxfId="18743" priority="54115">
      <formula>$H1378="CÉLULA CONSTRUTIVA"</formula>
    </cfRule>
    <cfRule type="expression" dxfId="18742" priority="54116">
      <formula>$H1378="ETAPA"</formula>
    </cfRule>
    <cfRule type="expression" dxfId="18741" priority="54117">
      <formula>$H1378="SUBETAPA"</formula>
    </cfRule>
  </conditionalFormatting>
  <conditionalFormatting sqref="H1379 J1379:L1379">
    <cfRule type="expression" dxfId="18740" priority="54234">
      <formula>$H1379="CÉLULA CONSTRUTIVA"</formula>
    </cfRule>
    <cfRule type="expression" dxfId="18739" priority="54235">
      <formula>$H1379="SUBETAPA"</formula>
    </cfRule>
  </conditionalFormatting>
  <conditionalFormatting sqref="H1381">
    <cfRule type="expression" dxfId="18738" priority="54239">
      <formula>$H1381="CÉLULA CONSTRUTIVA"</formula>
    </cfRule>
    <cfRule type="expression" dxfId="18737" priority="54240">
      <formula>$H1381="ETAPA"</formula>
    </cfRule>
    <cfRule type="expression" dxfId="18736" priority="54241">
      <formula>$H1381="SUBETAPA"</formula>
    </cfRule>
  </conditionalFormatting>
  <conditionalFormatting sqref="H1382 J1382:L1382">
    <cfRule type="expression" dxfId="18735" priority="54358">
      <formula>$H1382="CÉLULA CONSTRUTIVA"</formula>
    </cfRule>
    <cfRule type="expression" dxfId="18734" priority="54359">
      <formula>$H1382="SUBETAPA"</formula>
    </cfRule>
  </conditionalFormatting>
  <conditionalFormatting sqref="H1384">
    <cfRule type="expression" dxfId="18733" priority="54363">
      <formula>$H1384="CÉLULA CONSTRUTIVA"</formula>
    </cfRule>
    <cfRule type="expression" dxfId="18732" priority="54364">
      <formula>$H1384="ETAPA"</formula>
    </cfRule>
    <cfRule type="expression" dxfId="18731" priority="54365">
      <formula>$H1384="SUBETAPA"</formula>
    </cfRule>
  </conditionalFormatting>
  <conditionalFormatting sqref="H1385 J1385:L1385">
    <cfRule type="expression" dxfId="18730" priority="54482">
      <formula>$H1385="CÉLULA CONSTRUTIVA"</formula>
    </cfRule>
    <cfRule type="expression" dxfId="18729" priority="54483">
      <formula>$H1385="SUBETAPA"</formula>
    </cfRule>
  </conditionalFormatting>
  <conditionalFormatting sqref="H1389">
    <cfRule type="expression" dxfId="18728" priority="54487">
      <formula>$H1389="CÉLULA CONSTRUTIVA"</formula>
    </cfRule>
    <cfRule type="expression" dxfId="18727" priority="54488">
      <formula>$H1389="ETAPA"</formula>
    </cfRule>
    <cfRule type="expression" dxfId="18726" priority="54489">
      <formula>$H1389="SUBETAPA"</formula>
    </cfRule>
  </conditionalFormatting>
  <conditionalFormatting sqref="H1390 J1390:L1390">
    <cfRule type="expression" dxfId="18725" priority="54606">
      <formula>$H1390="CÉLULA CONSTRUTIVA"</formula>
    </cfRule>
    <cfRule type="expression" dxfId="18724" priority="54607">
      <formula>$H1390="SUBETAPA"</formula>
    </cfRule>
  </conditionalFormatting>
  <conditionalFormatting sqref="H1391 J1391:L1391">
    <cfRule type="expression" dxfId="18723" priority="54502">
      <formula>$H1391="ETAPA"</formula>
    </cfRule>
  </conditionalFormatting>
  <conditionalFormatting sqref="H1391 J1391:M1391">
    <cfRule type="expression" dxfId="18722" priority="54515">
      <formula>$H1391="SUBETAPA"</formula>
    </cfRule>
  </conditionalFormatting>
  <conditionalFormatting sqref="H1392 K1389:M1389 J1392:L1392 O1389">
    <cfRule type="expression" dxfId="18721" priority="54509">
      <formula>$H1389="ETAPA"</formula>
    </cfRule>
  </conditionalFormatting>
  <conditionalFormatting sqref="H1392 K1389:M1389 J1392:M1392 O1389">
    <cfRule type="expression" dxfId="18720" priority="54508">
      <formula>$H1389="SUBETAPA"</formula>
    </cfRule>
  </conditionalFormatting>
  <conditionalFormatting sqref="H1396">
    <cfRule type="expression" dxfId="18719" priority="54611">
      <formula>$H1396="CÉLULA CONSTRUTIVA"</formula>
    </cfRule>
    <cfRule type="expression" dxfId="18718" priority="54612">
      <formula>$H1396="ETAPA"</formula>
    </cfRule>
    <cfRule type="expression" dxfId="18717" priority="54613">
      <formula>$H1396="SUBETAPA"</formula>
    </cfRule>
  </conditionalFormatting>
  <conditionalFormatting sqref="H1397 J1397:L1397">
    <cfRule type="expression" dxfId="18716" priority="54730">
      <formula>$H1397="CÉLULA CONSTRUTIVA"</formula>
    </cfRule>
    <cfRule type="expression" dxfId="18715" priority="54731">
      <formula>$H1397="SUBETAPA"</formula>
    </cfRule>
  </conditionalFormatting>
  <conditionalFormatting sqref="H1398 J1398:L1398">
    <cfRule type="expression" dxfId="18714" priority="54626">
      <formula>$H1398="ETAPA"</formula>
    </cfRule>
  </conditionalFormatting>
  <conditionalFormatting sqref="H1398 J1398:M1398">
    <cfRule type="expression" dxfId="18713" priority="54639">
      <formula>$H1398="SUBETAPA"</formula>
    </cfRule>
  </conditionalFormatting>
  <conditionalFormatting sqref="H1399 K1396:M1396 J1399:L1399 O1396">
    <cfRule type="expression" dxfId="18712" priority="54633">
      <formula>$H1396="ETAPA"</formula>
    </cfRule>
  </conditionalFormatting>
  <conditionalFormatting sqref="H1399 K1396:M1396 J1399:M1399 O1396">
    <cfRule type="expression" dxfId="18711" priority="54632">
      <formula>$H1396="SUBETAPA"</formula>
    </cfRule>
  </conditionalFormatting>
  <conditionalFormatting sqref="H1403">
    <cfRule type="expression" dxfId="18710" priority="54735">
      <formula>$H1403="CÉLULA CONSTRUTIVA"</formula>
    </cfRule>
    <cfRule type="expression" dxfId="18709" priority="54736">
      <formula>$H1403="ETAPA"</formula>
    </cfRule>
    <cfRule type="expression" dxfId="18708" priority="54737">
      <formula>$H1403="SUBETAPA"</formula>
    </cfRule>
  </conditionalFormatting>
  <conditionalFormatting sqref="H1404 J1404:L1404">
    <cfRule type="expression" dxfId="18707" priority="54758">
      <formula>$H1404="ETAPA"</formula>
    </cfRule>
    <cfRule type="expression" dxfId="18706" priority="54854">
      <formula>$H1404="CÉLULA CONSTRUTIVA"</formula>
    </cfRule>
    <cfRule type="expression" dxfId="18705" priority="54855">
      <formula>$H1404="SUBETAPA"</formula>
    </cfRule>
  </conditionalFormatting>
  <conditionalFormatting sqref="H1408">
    <cfRule type="expression" dxfId="18704" priority="54859">
      <formula>$H1408="CÉLULA CONSTRUTIVA"</formula>
    </cfRule>
    <cfRule type="expression" dxfId="18703" priority="54860">
      <formula>$H1408="ETAPA"</formula>
    </cfRule>
    <cfRule type="expression" dxfId="18702" priority="54861">
      <formula>$H1408="SUBETAPA"</formula>
    </cfRule>
  </conditionalFormatting>
  <conditionalFormatting sqref="H1409 J1409:L1409">
    <cfRule type="expression" dxfId="18701" priority="54978">
      <formula>$H1409="CÉLULA CONSTRUTIVA"</formula>
    </cfRule>
    <cfRule type="expression" dxfId="18700" priority="54979">
      <formula>$H1409="SUBETAPA"</formula>
    </cfRule>
  </conditionalFormatting>
  <conditionalFormatting sqref="H1413">
    <cfRule type="expression" dxfId="18699" priority="54983">
      <formula>$H1413="CÉLULA CONSTRUTIVA"</formula>
    </cfRule>
    <cfRule type="expression" dxfId="18698" priority="54984">
      <formula>$H1413="ETAPA"</formula>
    </cfRule>
    <cfRule type="expression" dxfId="18697" priority="54985">
      <formula>$H1413="SUBETAPA"</formula>
    </cfRule>
  </conditionalFormatting>
  <conditionalFormatting sqref="H1414 J1414:L1414">
    <cfRule type="expression" dxfId="18696" priority="55006">
      <formula>$H1414="ETAPA"</formula>
    </cfRule>
    <cfRule type="expression" dxfId="18695" priority="55102">
      <formula>$H1414="CÉLULA CONSTRUTIVA"</formula>
    </cfRule>
    <cfRule type="expression" dxfId="18694" priority="55103">
      <formula>$H1414="SUBETAPA"</formula>
    </cfRule>
  </conditionalFormatting>
  <conditionalFormatting sqref="H1415:H1417 H1410:H1412 H1405:H1407 H1400:H1402 H1393:H1395 H1386:H1388 H1253:H1368">
    <cfRule type="expression" dxfId="18693" priority="86700">
      <formula>$H1253="CÉLULA CONSTRUTIVA"</formula>
    </cfRule>
    <cfRule type="expression" dxfId="18692" priority="86707">
      <formula>$H1253="SUBETAPA"</formula>
    </cfRule>
  </conditionalFormatting>
  <conditionalFormatting sqref="H1418">
    <cfRule type="expression" dxfId="18691" priority="55107">
      <formula>$H1418="CÉLULA CONSTRUTIVA"</formula>
    </cfRule>
    <cfRule type="expression" dxfId="18690" priority="55108">
      <formula>$H1418="ETAPA"</formula>
    </cfRule>
    <cfRule type="expression" dxfId="18689" priority="55109">
      <formula>$H1418="SUBETAPA"</formula>
    </cfRule>
  </conditionalFormatting>
  <conditionalFormatting sqref="H1419 J1419:L1419">
    <cfRule type="expression" dxfId="18688" priority="55130">
      <formula>$H1419="ETAPA"</formula>
    </cfRule>
    <cfRule type="expression" dxfId="18687" priority="55226">
      <formula>$H1419="CÉLULA CONSTRUTIVA"</formula>
    </cfRule>
    <cfRule type="expression" dxfId="18686" priority="55227">
      <formula>$H1419="SUBETAPA"</formula>
    </cfRule>
  </conditionalFormatting>
  <conditionalFormatting sqref="H1421">
    <cfRule type="expression" dxfId="18685" priority="55231">
      <formula>$H1421="CÉLULA CONSTRUTIVA"</formula>
    </cfRule>
    <cfRule type="expression" dxfId="18684" priority="55232">
      <formula>$H1421="ETAPA"</formula>
    </cfRule>
    <cfRule type="expression" dxfId="18683" priority="55233">
      <formula>$H1421="SUBETAPA"</formula>
    </cfRule>
  </conditionalFormatting>
  <conditionalFormatting sqref="H1422 J1422:L1422">
    <cfRule type="expression" dxfId="18682" priority="55254">
      <formula>$H1422="ETAPA"</formula>
    </cfRule>
    <cfRule type="expression" dxfId="18681" priority="55350">
      <formula>$H1422="CÉLULA CONSTRUTIVA"</formula>
    </cfRule>
    <cfRule type="expression" dxfId="18680" priority="55351">
      <formula>$H1422="SUBETAPA"</formula>
    </cfRule>
  </conditionalFormatting>
  <conditionalFormatting sqref="H1433:H1434">
    <cfRule type="expression" dxfId="18679" priority="92028">
      <formula>$H1433="SUBETAPA"</formula>
    </cfRule>
  </conditionalFormatting>
  <conditionalFormatting sqref="H1443 J1443:K1443 O1443 J1444:J1445">
    <cfRule type="expression" dxfId="18678" priority="92204">
      <formula>$H1443="ETAPA"</formula>
    </cfRule>
  </conditionalFormatting>
  <conditionalFormatting sqref="H1443 O1443 J1443:K1443 J1444:J1445">
    <cfRule type="expression" dxfId="18677" priority="92203">
      <formula>$H1443="SUBETAPA"</formula>
    </cfRule>
  </conditionalFormatting>
  <conditionalFormatting sqref="H1443:H1446 J1443:K1446">
    <cfRule type="expression" dxfId="18676" priority="92200">
      <formula>$H1443="CÉLULA CONSTRUTIVA"</formula>
    </cfRule>
  </conditionalFormatting>
  <conditionalFormatting sqref="H1445 J1445:K1445 O1445">
    <cfRule type="expression" dxfId="18675" priority="92202">
      <formula>$H1445="ETAPA"</formula>
    </cfRule>
  </conditionalFormatting>
  <conditionalFormatting sqref="H1445 O1445 J1445:K1445">
    <cfRule type="expression" dxfId="18674" priority="92201">
      <formula>$H1445="SUBETAPA"</formula>
    </cfRule>
  </conditionalFormatting>
  <conditionalFormatting sqref="H1448:H1449">
    <cfRule type="expression" dxfId="18673" priority="92687">
      <formula>$H1448="SUBETAPA"</formula>
    </cfRule>
    <cfRule type="expression" dxfId="18672" priority="92688">
      <formula>$H1448="ETAPA"</formula>
    </cfRule>
  </conditionalFormatting>
  <conditionalFormatting sqref="H1453 K1453 O1453">
    <cfRule type="expression" dxfId="18671" priority="92974">
      <formula>$H1453="ETAPA"</formula>
    </cfRule>
  </conditionalFormatting>
  <conditionalFormatting sqref="H1453 O1453 K1453">
    <cfRule type="expression" dxfId="18670" priority="92973">
      <formula>$H1453="SUBETAPA"</formula>
    </cfRule>
  </conditionalFormatting>
  <conditionalFormatting sqref="H1455:H1456">
    <cfRule type="expression" dxfId="18669" priority="93346">
      <formula>$H1455="SUBETAPA"</formula>
    </cfRule>
    <cfRule type="expression" dxfId="18668" priority="93347">
      <formula>$H1455="ETAPA"</formula>
    </cfRule>
  </conditionalFormatting>
  <conditionalFormatting sqref="H1460">
    <cfRule type="expression" dxfId="18667" priority="93632">
      <formula>$H1460="SUBETAPA"</formula>
    </cfRule>
    <cfRule type="expression" dxfId="18666" priority="93633">
      <formula>$H1460="ETAPA"</formula>
    </cfRule>
  </conditionalFormatting>
  <conditionalFormatting sqref="H1462:H1463">
    <cfRule type="expression" dxfId="18665" priority="94005">
      <formula>$H1462="SUBETAPA"</formula>
    </cfRule>
    <cfRule type="expression" dxfId="18664" priority="94006">
      <formula>$H1462="ETAPA"</formula>
    </cfRule>
  </conditionalFormatting>
  <conditionalFormatting sqref="H1467">
    <cfRule type="expression" dxfId="18663" priority="94291">
      <formula>$H1467="SUBETAPA"</formula>
    </cfRule>
    <cfRule type="expression" dxfId="18662" priority="94292">
      <formula>$H1467="ETAPA"</formula>
    </cfRule>
  </conditionalFormatting>
  <conditionalFormatting sqref="H1472:H1473">
    <cfRule type="expression" dxfId="18661" priority="94664">
      <formula>$H1472="SUBETAPA"</formula>
    </cfRule>
    <cfRule type="expression" dxfId="18660" priority="94665">
      <formula>$H1472="ETAPA"</formula>
    </cfRule>
  </conditionalFormatting>
  <conditionalFormatting sqref="H1482">
    <cfRule type="expression" dxfId="18659" priority="94839">
      <formula>$H1482="SUBETAPA"</formula>
    </cfRule>
    <cfRule type="expression" dxfId="18658" priority="94840">
      <formula>$H1482="ETAPA"</formula>
    </cfRule>
  </conditionalFormatting>
  <conditionalFormatting sqref="H1482:H1485">
    <cfRule type="expression" dxfId="18657" priority="94836">
      <formula>$H1482="CÉLULA CONSTRUTIVA"</formula>
    </cfRule>
  </conditionalFormatting>
  <conditionalFormatting sqref="H1483 H1485">
    <cfRule type="expression" dxfId="18656" priority="94950">
      <formula>$H1483="SUBETAPA"</formula>
    </cfRule>
    <cfRule type="expression" dxfId="18655" priority="94951">
      <formula>$H1483="ETAPA"</formula>
    </cfRule>
  </conditionalFormatting>
  <conditionalFormatting sqref="H1484">
    <cfRule type="expression" dxfId="18654" priority="94837">
      <formula>$H1484="SUBETAPA"</formula>
    </cfRule>
    <cfRule type="expression" dxfId="18653" priority="94838">
      <formula>$H1484="ETAPA"</formula>
    </cfRule>
  </conditionalFormatting>
  <conditionalFormatting sqref="H1487:H1488">
    <cfRule type="expression" dxfId="18652" priority="95323">
      <formula>$H1487="SUBETAPA"</formula>
    </cfRule>
    <cfRule type="expression" dxfId="18651" priority="95324">
      <formula>$H1487="ETAPA"</formula>
    </cfRule>
  </conditionalFormatting>
  <conditionalFormatting sqref="H1492:H1493">
    <cfRule type="expression" dxfId="18650" priority="95609">
      <formula>$H1492="SUBETAPA"</formula>
    </cfRule>
    <cfRule type="expression" dxfId="18649" priority="95610">
      <formula>$H1492="ETAPA"</formula>
    </cfRule>
  </conditionalFormatting>
  <conditionalFormatting sqref="H1504:H1505">
    <cfRule type="expression" dxfId="18648" priority="88052">
      <formula>$H1504="SUBETAPA"</formula>
    </cfRule>
    <cfRule type="expression" dxfId="18647" priority="88053">
      <formula>$H1504="ETAPA"</formula>
    </cfRule>
  </conditionalFormatting>
  <conditionalFormatting sqref="H1513">
    <cfRule type="expression" dxfId="18646" priority="88227">
      <formula>$H1513="SUBETAPA"</formula>
    </cfRule>
    <cfRule type="expression" dxfId="18645" priority="88228">
      <formula>$H1513="ETAPA"</formula>
    </cfRule>
  </conditionalFormatting>
  <conditionalFormatting sqref="H1513:H1518">
    <cfRule type="expression" dxfId="18644" priority="88224">
      <formula>$H1513="CÉLULA CONSTRUTIVA"</formula>
    </cfRule>
  </conditionalFormatting>
  <conditionalFormatting sqref="H1514:H1515 H1518">
    <cfRule type="expression" dxfId="18643" priority="88339">
      <formula>$H1514="ETAPA"</formula>
    </cfRule>
  </conditionalFormatting>
  <conditionalFormatting sqref="H1516:H1517">
    <cfRule type="expression" dxfId="18642" priority="88225">
      <formula>$H1516="SUBETAPA"</formula>
    </cfRule>
    <cfRule type="expression" dxfId="18641" priority="88226">
      <formula>$H1516="ETAPA"</formula>
    </cfRule>
  </conditionalFormatting>
  <conditionalFormatting sqref="H1518 H1514:H1515">
    <cfRule type="expression" dxfId="18640" priority="88338">
      <formula>$H1514="SUBETAPA"</formula>
    </cfRule>
  </conditionalFormatting>
  <conditionalFormatting sqref="H1526:H1527">
    <cfRule type="expression" dxfId="18639" priority="88711">
      <formula>$H1526="SUBETAPA"</formula>
    </cfRule>
    <cfRule type="expression" dxfId="18638" priority="88712">
      <formula>$H1526="ETAPA"</formula>
    </cfRule>
  </conditionalFormatting>
  <conditionalFormatting sqref="H1535 K1535 O1535">
    <cfRule type="expression" dxfId="18637" priority="88887">
      <formula>$H1535="ETAPA"</formula>
    </cfRule>
  </conditionalFormatting>
  <conditionalFormatting sqref="H1535 O1535 K1535">
    <cfRule type="expression" dxfId="18636" priority="88886">
      <formula>$H1535="SUBETAPA"</formula>
    </cfRule>
  </conditionalFormatting>
  <conditionalFormatting sqref="H1535:H1538 J1538:K1538 K1535:K1537">
    <cfRule type="expression" dxfId="18635" priority="88883">
      <formula>$H1535="CÉLULA CONSTRUTIVA"</formula>
    </cfRule>
  </conditionalFormatting>
  <conditionalFormatting sqref="H1536 K1536 O1536 H1538 J1538:K1538 O1538">
    <cfRule type="expression" dxfId="18634" priority="88998">
      <formula>$H1536="ETAPA"</formula>
    </cfRule>
  </conditionalFormatting>
  <conditionalFormatting sqref="H1536 O1536 H1538 O1538 J1538:K1538 K1536">
    <cfRule type="expression" dxfId="18633" priority="88997">
      <formula>$H1536="SUBETAPA"</formula>
    </cfRule>
  </conditionalFormatting>
  <conditionalFormatting sqref="H1537 K1537 O1537">
    <cfRule type="expression" dxfId="18632" priority="88885">
      <formula>$H1537="ETAPA"</formula>
    </cfRule>
  </conditionalFormatting>
  <conditionalFormatting sqref="H1537 O1537 K1537">
    <cfRule type="expression" dxfId="18631" priority="88884">
      <formula>$H1537="SUBETAPA"</formula>
    </cfRule>
  </conditionalFormatting>
  <conditionalFormatting sqref="H1544:H1545">
    <cfRule type="expression" dxfId="18630" priority="89169">
      <formula>$H1544="SUBETAPA"</formula>
    </cfRule>
  </conditionalFormatting>
  <conditionalFormatting sqref="H1550:H1551">
    <cfRule type="expression" dxfId="18629" priority="89370">
      <formula>$H1550="SUBETAPA"</formula>
    </cfRule>
    <cfRule type="expression" dxfId="18628" priority="89371">
      <formula>$H1550="ETAPA"</formula>
    </cfRule>
  </conditionalFormatting>
  <conditionalFormatting sqref="H1557 K1557 O1557">
    <cfRule type="expression" dxfId="18627" priority="89546">
      <formula>$H1557="ETAPA"</formula>
    </cfRule>
  </conditionalFormatting>
  <conditionalFormatting sqref="H1557 O1557 K1557">
    <cfRule type="expression" dxfId="18626" priority="89545">
      <formula>$H1557="SUBETAPA"</formula>
    </cfRule>
  </conditionalFormatting>
  <conditionalFormatting sqref="H1557:H1560 J1560:K1560 K1557:K1559">
    <cfRule type="expression" dxfId="18625" priority="89542">
      <formula>$H1557="CÉLULA CONSTRUTIVA"</formula>
    </cfRule>
  </conditionalFormatting>
  <conditionalFormatting sqref="H1558 K1558 O1558 H1560 J1560:K1560 O1560">
    <cfRule type="expression" dxfId="18624" priority="89657">
      <formula>$H1558="ETAPA"</formula>
    </cfRule>
  </conditionalFormatting>
  <conditionalFormatting sqref="H1558 O1558 H1560 O1560 J1560:K1560 K1558">
    <cfRule type="expression" dxfId="18623" priority="89656">
      <formula>$H1558="SUBETAPA"</formula>
    </cfRule>
  </conditionalFormatting>
  <conditionalFormatting sqref="H1559 K1559 O1559">
    <cfRule type="expression" dxfId="18622" priority="89544">
      <formula>$H1559="ETAPA"</formula>
    </cfRule>
  </conditionalFormatting>
  <conditionalFormatting sqref="H1559 O1559 K1559">
    <cfRule type="expression" dxfId="18621" priority="89543">
      <formula>$H1559="SUBETAPA"</formula>
    </cfRule>
  </conditionalFormatting>
  <conditionalFormatting sqref="H1569:H1570">
    <cfRule type="expression" dxfId="18620" priority="90029">
      <formula>$H1569="SUBETAPA"</formula>
    </cfRule>
    <cfRule type="expression" dxfId="18619" priority="90030">
      <formula>$H1569="ETAPA"</formula>
    </cfRule>
  </conditionalFormatting>
  <conditionalFormatting sqref="H1575 K1575 O1575">
    <cfRule type="expression" dxfId="18618" priority="90205">
      <formula>$H1575="ETAPA"</formula>
    </cfRule>
  </conditionalFormatting>
  <conditionalFormatting sqref="H1575 O1575 K1575">
    <cfRule type="expression" dxfId="18617" priority="90204">
      <formula>$H1575="SUBETAPA"</formula>
    </cfRule>
  </conditionalFormatting>
  <conditionalFormatting sqref="H1576 K1576 O1576">
    <cfRule type="expression" dxfId="18616" priority="90203">
      <formula>$H1576="ETAPA"</formula>
    </cfRule>
  </conditionalFormatting>
  <conditionalFormatting sqref="H1576 O1576 K1576">
    <cfRule type="expression" dxfId="18615" priority="90202">
      <formula>$H1576="SUBETAPA"</formula>
    </cfRule>
  </conditionalFormatting>
  <conditionalFormatting sqref="H1577 J1577:K1577 O1577">
    <cfRule type="expression" dxfId="18614" priority="90316">
      <formula>$H1577="ETAPA"</formula>
    </cfRule>
  </conditionalFormatting>
  <conditionalFormatting sqref="H1577 O1577 J1577:K1577">
    <cfRule type="expression" dxfId="18613" priority="90315">
      <formula>$H1577="SUBETAPA"</formula>
    </cfRule>
  </conditionalFormatting>
  <conditionalFormatting sqref="H1588:H1589">
    <cfRule type="expression" dxfId="18612" priority="90688">
      <formula>$H1588="SUBETAPA"</formula>
    </cfRule>
    <cfRule type="expression" dxfId="18611" priority="90689">
      <formula>$H1588="ETAPA"</formula>
    </cfRule>
  </conditionalFormatting>
  <conditionalFormatting sqref="H1595 K1595 O1595">
    <cfRule type="expression" dxfId="18610" priority="90864">
      <formula>$H1595="ETAPA"</formula>
    </cfRule>
  </conditionalFormatting>
  <conditionalFormatting sqref="H1595 O1595 K1595">
    <cfRule type="expression" dxfId="18609" priority="90863">
      <formula>$H1595="SUBETAPA"</formula>
    </cfRule>
  </conditionalFormatting>
  <conditionalFormatting sqref="H1595:H1598 J1598:K1598 K1595:K1597">
    <cfRule type="expression" dxfId="18608" priority="90860">
      <formula>$H1595="CÉLULA CONSTRUTIVA"</formula>
    </cfRule>
  </conditionalFormatting>
  <conditionalFormatting sqref="H1596 K1596 O1596 H1598 J1598:K1598 O1598">
    <cfRule type="expression" dxfId="18607" priority="90975">
      <formula>$H1596="ETAPA"</formula>
    </cfRule>
  </conditionalFormatting>
  <conditionalFormatting sqref="H1596 O1596 H1598 O1598 J1598:K1598 K1596">
    <cfRule type="expression" dxfId="18606" priority="90974">
      <formula>$H1596="SUBETAPA"</formula>
    </cfRule>
  </conditionalFormatting>
  <conditionalFormatting sqref="H1597 K1597 O1597">
    <cfRule type="expression" dxfId="18605" priority="90862">
      <formula>$H1597="ETAPA"</formula>
    </cfRule>
  </conditionalFormatting>
  <conditionalFormatting sqref="H1597 O1597 K1597">
    <cfRule type="expression" dxfId="18604" priority="90861">
      <formula>$H1597="SUBETAPA"</formula>
    </cfRule>
  </conditionalFormatting>
  <conditionalFormatting sqref="H1609:H1610">
    <cfRule type="expression" dxfId="18603" priority="91348">
      <formula>$H1609="SUBETAPA"</formula>
    </cfRule>
    <cfRule type="expression" dxfId="18602" priority="91349">
      <formula>$H1609="ETAPA"</formula>
    </cfRule>
  </conditionalFormatting>
  <conditionalFormatting sqref="H1616 K1616 O1616">
    <cfRule type="expression" dxfId="18601" priority="91524">
      <formula>$H1616="ETAPA"</formula>
    </cfRule>
  </conditionalFormatting>
  <conditionalFormatting sqref="H1616 O1616 K1616">
    <cfRule type="expression" dxfId="18600" priority="91523">
      <formula>$H1616="SUBETAPA"</formula>
    </cfRule>
  </conditionalFormatting>
  <conditionalFormatting sqref="H1616:H1619 J1619:K1619 K1616:K1618">
    <cfRule type="expression" dxfId="18599" priority="91520">
      <formula>$H1616="CÉLULA CONSTRUTIVA"</formula>
    </cfRule>
  </conditionalFormatting>
  <conditionalFormatting sqref="H1617 K1617 O1617 H1619 J1619:K1619 O1619">
    <cfRule type="expression" dxfId="18598" priority="91635">
      <formula>$H1617="ETAPA"</formula>
    </cfRule>
  </conditionalFormatting>
  <conditionalFormatting sqref="H1617 O1617 H1619 O1619 J1619:K1619 K1617">
    <cfRule type="expression" dxfId="18597" priority="91634">
      <formula>$H1617="SUBETAPA"</formula>
    </cfRule>
  </conditionalFormatting>
  <conditionalFormatting sqref="H1618 K1618 O1618">
    <cfRule type="expression" dxfId="18596" priority="91522">
      <formula>$H1618="ETAPA"</formula>
    </cfRule>
  </conditionalFormatting>
  <conditionalFormatting sqref="H1618 O1618 K1618">
    <cfRule type="expression" dxfId="18595" priority="91521">
      <formula>$H1618="SUBETAPA"</formula>
    </cfRule>
  </conditionalFormatting>
  <conditionalFormatting sqref="H1625:H1626">
    <cfRule type="expression" dxfId="18594" priority="95781">
      <formula>$H1625="SUBETAPA"</formula>
    </cfRule>
  </conditionalFormatting>
  <conditionalFormatting sqref="H1633:H1634">
    <cfRule type="expression" dxfId="18593" priority="95982">
      <formula>$H1633="SUBETAPA"</formula>
    </cfRule>
    <cfRule type="expression" dxfId="18592" priority="95983">
      <formula>$H1633="ETAPA"</formula>
    </cfRule>
  </conditionalFormatting>
  <conditionalFormatting sqref="H1640 K1640 O1640">
    <cfRule type="expression" dxfId="18591" priority="96158">
      <formula>$H1640="ETAPA"</formula>
    </cfRule>
  </conditionalFormatting>
  <conditionalFormatting sqref="H1640 O1640 K1640">
    <cfRule type="expression" dxfId="18590" priority="96157">
      <formula>$H1640="SUBETAPA"</formula>
    </cfRule>
  </conditionalFormatting>
  <conditionalFormatting sqref="H1640:H1643 J1643:K1643 K1640:K1642">
    <cfRule type="expression" dxfId="18589" priority="96154">
      <formula>$H1640="CÉLULA CONSTRUTIVA"</formula>
    </cfRule>
  </conditionalFormatting>
  <conditionalFormatting sqref="H1641 K1641 O1641 H1643 J1643:K1643 O1643">
    <cfRule type="expression" dxfId="18588" priority="96269">
      <formula>$H1641="ETAPA"</formula>
    </cfRule>
  </conditionalFormatting>
  <conditionalFormatting sqref="H1641 O1641 H1643 O1643 J1643:K1643 K1641">
    <cfRule type="expression" dxfId="18587" priority="96268">
      <formula>$H1641="SUBETAPA"</formula>
    </cfRule>
  </conditionalFormatting>
  <conditionalFormatting sqref="H1642 K1642 O1642">
    <cfRule type="expression" dxfId="18586" priority="96156">
      <formula>$H1642="ETAPA"</formula>
    </cfRule>
  </conditionalFormatting>
  <conditionalFormatting sqref="H1642 O1642 K1642">
    <cfRule type="expression" dxfId="18585" priority="96155">
      <formula>$H1642="SUBETAPA"</formula>
    </cfRule>
  </conditionalFormatting>
  <conditionalFormatting sqref="H1649:H1650">
    <cfRule type="expression" dxfId="18584" priority="96440">
      <formula>$H1649="SUBETAPA"</formula>
    </cfRule>
  </conditionalFormatting>
  <conditionalFormatting sqref="H1653:H1654">
    <cfRule type="expression" dxfId="18583" priority="96641">
      <formula>$H1653="SUBETAPA"</formula>
    </cfRule>
    <cfRule type="expression" dxfId="18582" priority="96642">
      <formula>$H1653="ETAPA"</formula>
    </cfRule>
  </conditionalFormatting>
  <conditionalFormatting sqref="H1658 K1658 O1658">
    <cfRule type="expression" dxfId="18581" priority="96817">
      <formula>$H1658="ETAPA"</formula>
    </cfRule>
  </conditionalFormatting>
  <conditionalFormatting sqref="H1658 O1658 K1658">
    <cfRule type="expression" dxfId="18580" priority="96816">
      <formula>$H1658="SUBETAPA"</formula>
    </cfRule>
  </conditionalFormatting>
  <conditionalFormatting sqref="H1659 K1659 O1659">
    <cfRule type="expression" dxfId="18579" priority="96928">
      <formula>$H1659="ETAPA"</formula>
    </cfRule>
  </conditionalFormatting>
  <conditionalFormatting sqref="H1659 O1659 K1659">
    <cfRule type="expression" dxfId="18578" priority="96927">
      <formula>$H1659="SUBETAPA"</formula>
    </cfRule>
  </conditionalFormatting>
  <conditionalFormatting sqref="H1660 K1660 O1660">
    <cfRule type="expression" dxfId="18577" priority="96815">
      <formula>$H1660="ETAPA"</formula>
    </cfRule>
  </conditionalFormatting>
  <conditionalFormatting sqref="H1660 O1660 K1660">
    <cfRule type="expression" dxfId="18576" priority="96814">
      <formula>$H1660="SUBETAPA"</formula>
    </cfRule>
  </conditionalFormatting>
  <conditionalFormatting sqref="H1670 K1670 O1670">
    <cfRule type="expression" dxfId="18575" priority="97476">
      <formula>$H1670="ETAPA"</formula>
    </cfRule>
  </conditionalFormatting>
  <conditionalFormatting sqref="H1670 O1670 K1670">
    <cfRule type="expression" dxfId="18574" priority="97475">
      <formula>$H1670="SUBETAPA"</formula>
    </cfRule>
  </conditionalFormatting>
  <conditionalFormatting sqref="H1671 K1671 O1671">
    <cfRule type="expression" dxfId="18573" priority="97587">
      <formula>$H1671="ETAPA"</formula>
    </cfRule>
  </conditionalFormatting>
  <conditionalFormatting sqref="H1671 O1671 K1671">
    <cfRule type="expression" dxfId="18572" priority="97586">
      <formula>$H1671="SUBETAPA"</formula>
    </cfRule>
  </conditionalFormatting>
  <conditionalFormatting sqref="H1672 K1672 O1672">
    <cfRule type="expression" dxfId="18571" priority="97474">
      <formula>$H1672="ETAPA"</formula>
    </cfRule>
  </conditionalFormatting>
  <conditionalFormatting sqref="H1672 O1672 K1672">
    <cfRule type="expression" dxfId="18570" priority="97473">
      <formula>$H1672="SUBETAPA"</formula>
    </cfRule>
  </conditionalFormatting>
  <conditionalFormatting sqref="H1674:H1675 J1674:M1675">
    <cfRule type="expression" dxfId="18569" priority="80573">
      <formula>$H1674="SUBETAPA"</formula>
    </cfRule>
    <cfRule type="expression" dxfId="18568" priority="80574">
      <formula>$H1674="CÉLULA CONSTRUTIVA"</formula>
    </cfRule>
  </conditionalFormatting>
  <conditionalFormatting sqref="H1674:H1681 O1679:O1680">
    <cfRule type="expression" dxfId="18567" priority="80393">
      <formula>$H1674="ETAPA"</formula>
    </cfRule>
  </conditionalFormatting>
  <conditionalFormatting sqref="H1676 K1676 M1676 O1676">
    <cfRule type="expression" dxfId="18566" priority="80491">
      <formula>$H1676="CÉLULA CONSTRUTIVA"</formula>
    </cfRule>
  </conditionalFormatting>
  <conditionalFormatting sqref="H1677 K1677 M1677 O1677">
    <cfRule type="expression" dxfId="18565" priority="80485">
      <formula>$H1677="CÉLULA CONSTRUTIVA"</formula>
    </cfRule>
  </conditionalFormatting>
  <conditionalFormatting sqref="H1680 K1680 O1680">
    <cfRule type="expression" dxfId="18564" priority="80394">
      <formula>$H1680="SUBETAPA"</formula>
    </cfRule>
    <cfRule type="expression" dxfId="18563" priority="80395">
      <formula>$H1680="CÉLULA CONSTRUTIVA"</formula>
    </cfRule>
  </conditionalFormatting>
  <conditionalFormatting sqref="H1683:H1684 O1684 J1684 J1683:L1683">
    <cfRule type="expression" dxfId="18562" priority="80355">
      <formula>$H1683="SUBETAPA"</formula>
    </cfRule>
  </conditionalFormatting>
  <conditionalFormatting sqref="H1689:H1690 O1689:O1690 J1689:K1690">
    <cfRule type="expression" dxfId="18561" priority="80418">
      <formula>$H1689="SUBETAPA"</formula>
    </cfRule>
  </conditionalFormatting>
  <conditionalFormatting sqref="H1693 H1686 J1686:L1686 L1693">
    <cfRule type="expression" dxfId="18560" priority="80567">
      <formula>$H1686="CÉLULA CONSTRUTIVA"</formula>
    </cfRule>
  </conditionalFormatting>
  <conditionalFormatting sqref="H1693 L1693 J1686:L1686">
    <cfRule type="expression" dxfId="18559" priority="80568">
      <formula>$H1686="SUBETAPA"</formula>
    </cfRule>
  </conditionalFormatting>
  <conditionalFormatting sqref="H1693">
    <cfRule type="expression" dxfId="18558" priority="80569">
      <formula>$H1693="ETAPA"</formula>
    </cfRule>
  </conditionalFormatting>
  <conditionalFormatting sqref="H1694:H1695 J1694:M1695">
    <cfRule type="expression" dxfId="18557" priority="80897">
      <formula>$H1694="SUBETAPA"</formula>
    </cfRule>
    <cfRule type="expression" dxfId="18556" priority="80898">
      <formula>$H1694="CÉLULA CONSTRUTIVA"</formula>
    </cfRule>
  </conditionalFormatting>
  <conditionalFormatting sqref="H1694:H1701 J1700:L1700 J1701">
    <cfRule type="expression" dxfId="18555" priority="80680">
      <formula>$H1694="ETAPA"</formula>
    </cfRule>
  </conditionalFormatting>
  <conditionalFormatting sqref="H1696 K1696 M1696 O1696">
    <cfRule type="expression" dxfId="18554" priority="80815">
      <formula>$H1696="CÉLULA CONSTRUTIVA"</formula>
    </cfRule>
  </conditionalFormatting>
  <conditionalFormatting sqref="H1697 K1697 M1697 O1697">
    <cfRule type="expression" dxfId="18553" priority="80809">
      <formula>$H1697="CÉLULA CONSTRUTIVA"</formula>
    </cfRule>
  </conditionalFormatting>
  <conditionalFormatting sqref="H1700:H1701 J1701 J1700:L1700">
    <cfRule type="expression" dxfId="18552" priority="80678">
      <formula>$H1700="CÉLULA CONSTRUTIVA"</formula>
    </cfRule>
    <cfRule type="expression" dxfId="18551" priority="80679">
      <formula>$H1700="SUBETAPA"</formula>
    </cfRule>
  </conditionalFormatting>
  <conditionalFormatting sqref="H1706:H1707 O1706:O1707 J1706:K1707">
    <cfRule type="expression" dxfId="18550" priority="80742">
      <formula>$H1706="SUBETAPA"</formula>
    </cfRule>
  </conditionalFormatting>
  <conditionalFormatting sqref="H1709 H1703 J1703:L1703 L1709">
    <cfRule type="expression" dxfId="18549" priority="80891">
      <formula>$H1703="CÉLULA CONSTRUTIVA"</formula>
    </cfRule>
  </conditionalFormatting>
  <conditionalFormatting sqref="H1709 L1709 J1703:L1703">
    <cfRule type="expression" dxfId="18548" priority="80892">
      <formula>$H1703="SUBETAPA"</formula>
    </cfRule>
  </conditionalFormatting>
  <conditionalFormatting sqref="H1709">
    <cfRule type="expression" dxfId="18547" priority="80893">
      <formula>$H1709="ETAPA"</formula>
    </cfRule>
  </conditionalFormatting>
  <conditionalFormatting sqref="H1710:H1711 J1710:M1711">
    <cfRule type="expression" dxfId="18546" priority="81221">
      <formula>$H1710="SUBETAPA"</formula>
    </cfRule>
    <cfRule type="expression" dxfId="18545" priority="81222">
      <formula>$H1710="CÉLULA CONSTRUTIVA"</formula>
    </cfRule>
  </conditionalFormatting>
  <conditionalFormatting sqref="H1710:H1717 J1716:L1716 J1717">
    <cfRule type="expression" dxfId="18544" priority="81004">
      <formula>$H1710="ETAPA"</formula>
    </cfRule>
  </conditionalFormatting>
  <conditionalFormatting sqref="H1712 K1712 M1712 O1712">
    <cfRule type="expression" dxfId="18543" priority="81139">
      <formula>$H1712="CÉLULA CONSTRUTIVA"</formula>
    </cfRule>
  </conditionalFormatting>
  <conditionalFormatting sqref="H1713 K1713 M1713 O1713">
    <cfRule type="expression" dxfId="18542" priority="81133">
      <formula>$H1713="CÉLULA CONSTRUTIVA"</formula>
    </cfRule>
  </conditionalFormatting>
  <conditionalFormatting sqref="H1716:H1717 J1717 J1716:L1716">
    <cfRule type="expression" dxfId="18541" priority="81002">
      <formula>$H1716="CÉLULA CONSTRUTIVA"</formula>
    </cfRule>
    <cfRule type="expression" dxfId="18540" priority="81003">
      <formula>$H1716="SUBETAPA"</formula>
    </cfRule>
  </conditionalFormatting>
  <conditionalFormatting sqref="H1721:H1722 O1721:O1722 J1721:K1722">
    <cfRule type="expression" dxfId="18539" priority="81066">
      <formula>$H1721="SUBETAPA"</formula>
    </cfRule>
  </conditionalFormatting>
  <conditionalFormatting sqref="H1724 H1718 J1718:L1718 L1724">
    <cfRule type="expression" dxfId="18538" priority="81215">
      <formula>$H1718="CÉLULA CONSTRUTIVA"</formula>
    </cfRule>
  </conditionalFormatting>
  <conditionalFormatting sqref="H1724 L1724 J1718:L1718">
    <cfRule type="expression" dxfId="18537" priority="81216">
      <formula>$H1718="SUBETAPA"</formula>
    </cfRule>
  </conditionalFormatting>
  <conditionalFormatting sqref="H1724">
    <cfRule type="expression" dxfId="18536" priority="81217">
      <formula>$H1724="ETAPA"</formula>
    </cfRule>
  </conditionalFormatting>
  <conditionalFormatting sqref="H1725:H1726 J1725:M1726">
    <cfRule type="expression" dxfId="18535" priority="81545">
      <formula>$H1725="SUBETAPA"</formula>
    </cfRule>
    <cfRule type="expression" dxfId="18534" priority="81546">
      <formula>$H1725="CÉLULA CONSTRUTIVA"</formula>
    </cfRule>
  </conditionalFormatting>
  <conditionalFormatting sqref="H1725:H1732 J1731:L1731 J1732">
    <cfRule type="expression" dxfId="18533" priority="81328">
      <formula>$H1725="ETAPA"</formula>
    </cfRule>
  </conditionalFormatting>
  <conditionalFormatting sqref="H1727 K1727 M1727 O1727">
    <cfRule type="expression" dxfId="18532" priority="81463">
      <formula>$H1727="CÉLULA CONSTRUTIVA"</formula>
    </cfRule>
  </conditionalFormatting>
  <conditionalFormatting sqref="H1728 K1728 M1728 O1728">
    <cfRule type="expression" dxfId="18531" priority="81457">
      <formula>$H1728="CÉLULA CONSTRUTIVA"</formula>
    </cfRule>
  </conditionalFormatting>
  <conditionalFormatting sqref="H1731:H1732 J1732 J1731:L1731">
    <cfRule type="expression" dxfId="18530" priority="81326">
      <formula>$H1731="CÉLULA CONSTRUTIVA"</formula>
    </cfRule>
    <cfRule type="expression" dxfId="18529" priority="81327">
      <formula>$H1731="SUBETAPA"</formula>
    </cfRule>
  </conditionalFormatting>
  <conditionalFormatting sqref="H1734:H1735 O1734:O1735 J1734:K1735">
    <cfRule type="expression" dxfId="18528" priority="81390">
      <formula>$H1734="SUBETAPA"</formula>
    </cfRule>
  </conditionalFormatting>
  <conditionalFormatting sqref="H1737:H1738 J1737:M1738">
    <cfRule type="expression" dxfId="18527" priority="81869">
      <formula>$H1737="SUBETAPA"</formula>
    </cfRule>
    <cfRule type="expression" dxfId="18526" priority="81870">
      <formula>$H1737="CÉLULA CONSTRUTIVA"</formula>
    </cfRule>
  </conditionalFormatting>
  <conditionalFormatting sqref="H1739 K1739 M1739 O1739">
    <cfRule type="expression" dxfId="18525" priority="81787">
      <formula>$H1739="CÉLULA CONSTRUTIVA"</formula>
    </cfRule>
  </conditionalFormatting>
  <conditionalFormatting sqref="H1740 K1740 M1740 O1740">
    <cfRule type="expression" dxfId="18524" priority="81781">
      <formula>$H1740="CÉLULA CONSTRUTIVA"</formula>
    </cfRule>
  </conditionalFormatting>
  <conditionalFormatting sqref="H1743:H1744 J1744 J1743:L1743">
    <cfRule type="expression" dxfId="18523" priority="81650">
      <formula>$H1743="CÉLULA CONSTRUTIVA"</formula>
    </cfRule>
    <cfRule type="expression" dxfId="18522" priority="81651">
      <formula>$H1743="SUBETAPA"</formula>
    </cfRule>
  </conditionalFormatting>
  <conditionalFormatting sqref="H1746:H1747 O1746:O1747 J1746:K1747">
    <cfRule type="expression" dxfId="18521" priority="81714">
      <formula>$H1746="SUBETAPA"</formula>
    </cfRule>
  </conditionalFormatting>
  <conditionalFormatting sqref="H1749:H1750 J1749:M1750">
    <cfRule type="expression" dxfId="18520" priority="82193">
      <formula>$H1749="SUBETAPA"</formula>
    </cfRule>
    <cfRule type="expression" dxfId="18519" priority="82194">
      <formula>$H1749="CÉLULA CONSTRUTIVA"</formula>
    </cfRule>
  </conditionalFormatting>
  <conditionalFormatting sqref="H1749:H1756 J1755:L1755 J1756">
    <cfRule type="expression" dxfId="18518" priority="81976">
      <formula>$H1749="ETAPA"</formula>
    </cfRule>
  </conditionalFormatting>
  <conditionalFormatting sqref="H1751 K1751 M1751 O1751">
    <cfRule type="expression" dxfId="18517" priority="82111">
      <formula>$H1751="CÉLULA CONSTRUTIVA"</formula>
    </cfRule>
  </conditionalFormatting>
  <conditionalFormatting sqref="H1752 K1752 M1752 O1752">
    <cfRule type="expression" dxfId="18516" priority="82105">
      <formula>$H1752="CÉLULA CONSTRUTIVA"</formula>
    </cfRule>
  </conditionalFormatting>
  <conditionalFormatting sqref="H1755:H1756 J1756 J1755:L1755">
    <cfRule type="expression" dxfId="18515" priority="81974">
      <formula>$H1755="CÉLULA CONSTRUTIVA"</formula>
    </cfRule>
    <cfRule type="expression" dxfId="18514" priority="81975">
      <formula>$H1755="SUBETAPA"</formula>
    </cfRule>
  </conditionalFormatting>
  <conditionalFormatting sqref="H1758:H1759 O1758:O1759 J1758:K1759">
    <cfRule type="expression" dxfId="18513" priority="82038">
      <formula>$H1758="SUBETAPA"</formula>
    </cfRule>
  </conditionalFormatting>
  <conditionalFormatting sqref="H1761:H1762 J1761:M1762">
    <cfRule type="expression" dxfId="18512" priority="82517">
      <formula>$H1761="SUBETAPA"</formula>
    </cfRule>
    <cfRule type="expression" dxfId="18511" priority="82518">
      <formula>$H1761="CÉLULA CONSTRUTIVA"</formula>
    </cfRule>
  </conditionalFormatting>
  <conditionalFormatting sqref="H1763 K1763 M1763 O1763">
    <cfRule type="expression" dxfId="18510" priority="82435">
      <formula>$H1763="CÉLULA CONSTRUTIVA"</formula>
    </cfRule>
  </conditionalFormatting>
  <conditionalFormatting sqref="H1764 K1764 M1764 O1764">
    <cfRule type="expression" dxfId="18509" priority="82429">
      <formula>$H1764="CÉLULA CONSTRUTIVA"</formula>
    </cfRule>
  </conditionalFormatting>
  <conditionalFormatting sqref="H1767 K1767 O1767">
    <cfRule type="expression" dxfId="18508" priority="82339">
      <formula>$H1767="CÉLULA CONSTRUTIVA"</formula>
    </cfRule>
  </conditionalFormatting>
  <conditionalFormatting sqref="H1771:H1772 J1772 J1771:L1771">
    <cfRule type="expression" dxfId="18507" priority="82298">
      <formula>$H1771="CÉLULA CONSTRUTIVA"</formula>
    </cfRule>
    <cfRule type="expression" dxfId="18506" priority="82299">
      <formula>$H1771="SUBETAPA"</formula>
    </cfRule>
  </conditionalFormatting>
  <conditionalFormatting sqref="H1776:H1780 J1776:K1780">
    <cfRule type="expression" dxfId="18505" priority="82361">
      <formula>$H1776="CÉLULA CONSTRUTIVA"</formula>
    </cfRule>
  </conditionalFormatting>
  <conditionalFormatting sqref="H1779:H1780 O1779:O1780 J1779:K1780">
    <cfRule type="expression" dxfId="18504" priority="82362">
      <formula>$H1779="SUBETAPA"</formula>
    </cfRule>
  </conditionalFormatting>
  <conditionalFormatting sqref="H1784 H1773:H1775 J1775:L1775 J1774 L1784 J1773:L1773 O1774:O1778">
    <cfRule type="expression" dxfId="18503" priority="82511">
      <formula>$H1773="CÉLULA CONSTRUTIVA"</formula>
    </cfRule>
  </conditionalFormatting>
  <conditionalFormatting sqref="H1784 L1784 J1775:L1775 J1774 J1773:L1773 O1774:O1778 H1773:H1778 J1776:K1778">
    <cfRule type="expression" dxfId="18502" priority="82512">
      <formula>$H1773="SUBETAPA"</formula>
    </cfRule>
  </conditionalFormatting>
  <conditionalFormatting sqref="H1785:H1786 H1797 H1799 J1799 J1797 J1785:M1786 L1797 L1799">
    <cfRule type="expression" dxfId="18501" priority="82841">
      <formula>$H1785="SUBETAPA"</formula>
    </cfRule>
    <cfRule type="expression" dxfId="18500" priority="82842">
      <formula>$H1785="CÉLULA CONSTRUTIVA"</formula>
    </cfRule>
  </conditionalFormatting>
  <conditionalFormatting sqref="H1787 K1787 M1787 O1787">
    <cfRule type="expression" dxfId="18499" priority="82759">
      <formula>$H1787="CÉLULA CONSTRUTIVA"</formula>
    </cfRule>
  </conditionalFormatting>
  <conditionalFormatting sqref="H1788 K1788 M1788 O1788">
    <cfRule type="expression" dxfId="18498" priority="82753">
      <formula>$H1788="CÉLULA CONSTRUTIVA"</formula>
    </cfRule>
  </conditionalFormatting>
  <conditionalFormatting sqref="H1791 K1791 O1791">
    <cfRule type="expression" dxfId="18497" priority="82663">
      <formula>$H1791="CÉLULA CONSTRUTIVA"</formula>
    </cfRule>
  </conditionalFormatting>
  <conditionalFormatting sqref="H1793:H1794 J1794 J1793:L1793">
    <cfRule type="expression" dxfId="18496" priority="82622">
      <formula>$H1793="CÉLULA CONSTRUTIVA"</formula>
    </cfRule>
    <cfRule type="expression" dxfId="18495" priority="82623">
      <formula>$H1793="SUBETAPA"</formula>
    </cfRule>
  </conditionalFormatting>
  <conditionalFormatting sqref="H1795:H1796 O1796 H1810 L1810 J1802:L1802 J1796 J1795:L1795 O1802:O1805 H1802:H1805 J1803:K1805">
    <cfRule type="expression" dxfId="18494" priority="82836">
      <formula>$H1795="SUBETAPA"</formula>
    </cfRule>
  </conditionalFormatting>
  <conditionalFormatting sqref="H1800:H1801 J1800:J1801 L1800:L1801">
    <cfRule type="expression" dxfId="18493" priority="78860">
      <formula>$H1800="SUBETAPA"</formula>
    </cfRule>
    <cfRule type="expression" dxfId="18492" priority="78861">
      <formula>$H1800="CÉLULA CONSTRUTIVA"</formula>
    </cfRule>
    <cfRule type="expression" dxfId="18491" priority="78862">
      <formula>$H1800="ETAPA"</formula>
    </cfRule>
  </conditionalFormatting>
  <conditionalFormatting sqref="H1803:H1807 J1803:K1807">
    <cfRule type="expression" dxfId="18490" priority="82685">
      <formula>$H1803="CÉLULA CONSTRUTIVA"</formula>
    </cfRule>
  </conditionalFormatting>
  <conditionalFormatting sqref="H1806:H1807 J1806:K1807 O1806:O1807">
    <cfRule type="expression" dxfId="18489" priority="82687">
      <formula>$H1806="ETAPA"</formula>
    </cfRule>
  </conditionalFormatting>
  <conditionalFormatting sqref="H1806:H1807 O1806:O1807 J1806:K1807">
    <cfRule type="expression" dxfId="18488" priority="82686">
      <formula>$H1806="SUBETAPA"</formula>
    </cfRule>
  </conditionalFormatting>
  <conditionalFormatting sqref="H1811:H1812 J1811:M1812">
    <cfRule type="expression" dxfId="18487" priority="83165">
      <formula>$H1811="SUBETAPA"</formula>
    </cfRule>
    <cfRule type="expression" dxfId="18486" priority="83166">
      <formula>$H1811="CÉLULA CONSTRUTIVA"</formula>
    </cfRule>
  </conditionalFormatting>
  <conditionalFormatting sqref="H1813 K1813 M1813 O1813">
    <cfRule type="expression" dxfId="18485" priority="83083">
      <formula>$H1813="CÉLULA CONSTRUTIVA"</formula>
    </cfRule>
  </conditionalFormatting>
  <conditionalFormatting sqref="H1814 K1814 M1814 O1814">
    <cfRule type="expression" dxfId="18484" priority="83077">
      <formula>$H1814="CÉLULA CONSTRUTIVA"</formula>
    </cfRule>
  </conditionalFormatting>
  <conditionalFormatting sqref="H1816 K1816 O1816">
    <cfRule type="expression" dxfId="18483" priority="82987">
      <formula>$H1816="CÉLULA CONSTRUTIVA"</formula>
    </cfRule>
  </conditionalFormatting>
  <conditionalFormatting sqref="H1816">
    <cfRule type="expression" dxfId="18482" priority="82985">
      <formula>$H1816="ETAPA"</formula>
    </cfRule>
  </conditionalFormatting>
  <conditionalFormatting sqref="H1823 H1818 J1818:L1818 L1823">
    <cfRule type="expression" dxfId="18481" priority="83159">
      <formula>$H1818="CÉLULA CONSTRUTIVA"</formula>
    </cfRule>
  </conditionalFormatting>
  <conditionalFormatting sqref="H1823 L1823 J1818:L1818">
    <cfRule type="expression" dxfId="18480" priority="83160">
      <formula>$H1818="SUBETAPA"</formula>
    </cfRule>
  </conditionalFormatting>
  <conditionalFormatting sqref="H1824:H1825 J1824:M1825">
    <cfRule type="expression" dxfId="18479" priority="83489">
      <formula>$H1824="SUBETAPA"</formula>
    </cfRule>
    <cfRule type="expression" dxfId="18478" priority="83490">
      <formula>$H1824="CÉLULA CONSTRUTIVA"</formula>
    </cfRule>
  </conditionalFormatting>
  <conditionalFormatting sqref="H1826 K1826 M1826 O1826">
    <cfRule type="expression" dxfId="18477" priority="83407">
      <formula>$H1826="CÉLULA CONSTRUTIVA"</formula>
    </cfRule>
  </conditionalFormatting>
  <conditionalFormatting sqref="H1827 K1827 M1827 O1827">
    <cfRule type="expression" dxfId="18476" priority="83401">
      <formula>$H1827="CÉLULA CONSTRUTIVA"</formula>
    </cfRule>
  </conditionalFormatting>
  <conditionalFormatting sqref="H1829 K1829 O1829">
    <cfRule type="expression" dxfId="18475" priority="83311">
      <formula>$H1829="CÉLULA CONSTRUTIVA"</formula>
    </cfRule>
  </conditionalFormatting>
  <conditionalFormatting sqref="H1836 H1831 J1831:L1831 L1836">
    <cfRule type="expression" dxfId="18474" priority="83483">
      <formula>$H1831="CÉLULA CONSTRUTIVA"</formula>
    </cfRule>
  </conditionalFormatting>
  <conditionalFormatting sqref="H1836 J1833:K1833">
    <cfRule type="expression" dxfId="18473" priority="83485">
      <formula>$H1833="ETAPA"</formula>
    </cfRule>
  </conditionalFormatting>
  <conditionalFormatting sqref="H1836 L1836 J1831:L1831">
    <cfRule type="expression" dxfId="18472" priority="83484">
      <formula>$H1831="SUBETAPA"</formula>
    </cfRule>
  </conditionalFormatting>
  <conditionalFormatting sqref="H1839 K1839 M1839 O1839">
    <cfRule type="expression" dxfId="18471" priority="111885">
      <formula>$H1839="CÉLULA CONSTRUTIVA"</formula>
    </cfRule>
  </conditionalFormatting>
  <conditionalFormatting sqref="H1840 K1840 M1840 O1840">
    <cfRule type="expression" dxfId="18470" priority="111838">
      <formula>$H1840="CÉLULA CONSTRUTIVA"</formula>
    </cfRule>
  </conditionalFormatting>
  <conditionalFormatting sqref="H1842 K1842 O1842">
    <cfRule type="expression" dxfId="18469" priority="104427">
      <formula>$H1842="CÉLULA CONSTRUTIVA"</formula>
    </cfRule>
  </conditionalFormatting>
  <conditionalFormatting sqref="H1852:H1854 J1853:L1854">
    <cfRule type="expression" dxfId="18468" priority="79299">
      <formula>$H1852="ETAPA"</formula>
    </cfRule>
  </conditionalFormatting>
  <conditionalFormatting sqref="H1853:H1854 J1853:M1854">
    <cfRule type="expression" dxfId="18467" priority="79302">
      <formula>$H1853="SUBETAPA"</formula>
    </cfRule>
    <cfRule type="expression" dxfId="18466" priority="79303">
      <formula>$H1853="CÉLULA CONSTRUTIVA"</formula>
    </cfRule>
  </conditionalFormatting>
  <conditionalFormatting sqref="H1855 K1855 M1855 O1855">
    <cfRule type="expression" dxfId="18465" priority="79220">
      <formula>$H1855="CÉLULA CONSTRUTIVA"</formula>
    </cfRule>
  </conditionalFormatting>
  <conditionalFormatting sqref="H1856 K1856 M1856 O1856">
    <cfRule type="expression" dxfId="18464" priority="79214">
      <formula>$H1856="CÉLULA CONSTRUTIVA"</formula>
    </cfRule>
  </conditionalFormatting>
  <conditionalFormatting sqref="H1858 K1858 O1858">
    <cfRule type="expression" dxfId="18463" priority="79124">
      <formula>$H1858="CÉLULA CONSTRUTIVA"</formula>
    </cfRule>
  </conditionalFormatting>
  <conditionalFormatting sqref="H1858">
    <cfRule type="expression" dxfId="18462" priority="79122">
      <formula>$H1858="ETAPA"</formula>
    </cfRule>
  </conditionalFormatting>
  <conditionalFormatting sqref="H1868 H1862 J1862:L1862 L1868">
    <cfRule type="expression" dxfId="18461" priority="79296">
      <formula>$H1862="CÉLULA CONSTRUTIVA"</formula>
    </cfRule>
  </conditionalFormatting>
  <conditionalFormatting sqref="H1868 L1868 J1862:L1862">
    <cfRule type="expression" dxfId="18460" priority="79297">
      <formula>$H1862="SUBETAPA"</formula>
    </cfRule>
  </conditionalFormatting>
  <conditionalFormatting sqref="H1868:H1870 J1864:K1864">
    <cfRule type="expression" dxfId="18459" priority="79298">
      <formula>$H1864="ETAPA"</formula>
    </cfRule>
  </conditionalFormatting>
  <conditionalFormatting sqref="H1869:H1870 J1869:M1870">
    <cfRule type="expression" dxfId="18458" priority="79626">
      <formula>$H1869="SUBETAPA"</formula>
    </cfRule>
    <cfRule type="expression" dxfId="18457" priority="79627">
      <formula>$H1869="CÉLULA CONSTRUTIVA"</formula>
    </cfRule>
  </conditionalFormatting>
  <conditionalFormatting sqref="H1871 K1871 M1871 O1871">
    <cfRule type="expression" dxfId="18456" priority="79544">
      <formula>$H1871="CÉLULA CONSTRUTIVA"</formula>
    </cfRule>
  </conditionalFormatting>
  <conditionalFormatting sqref="H1872 K1872 M1872 O1872">
    <cfRule type="expression" dxfId="18455" priority="79538">
      <formula>$H1872="CÉLULA CONSTRUTIVA"</formula>
    </cfRule>
  </conditionalFormatting>
  <conditionalFormatting sqref="H1881 H1876 J1876:L1876 L1881">
    <cfRule type="expression" dxfId="18454" priority="79620">
      <formula>$H1876="CÉLULA CONSTRUTIVA"</formula>
    </cfRule>
  </conditionalFormatting>
  <conditionalFormatting sqref="H1881 L1881 J1876:L1876">
    <cfRule type="expression" dxfId="18453" priority="79621">
      <formula>$H1876="SUBETAPA"</formula>
    </cfRule>
  </conditionalFormatting>
  <conditionalFormatting sqref="H1881:H1883 J1878:K1878">
    <cfRule type="expression" dxfId="18452" priority="79622">
      <formula>$H1878="ETAPA"</formula>
    </cfRule>
  </conditionalFormatting>
  <conditionalFormatting sqref="H1882:H1883 J1882:M1883">
    <cfRule type="expression" dxfId="18451" priority="79950">
      <formula>$H1882="SUBETAPA"</formula>
    </cfRule>
    <cfRule type="expression" dxfId="18450" priority="79951">
      <formula>$H1882="CÉLULA CONSTRUTIVA"</formula>
    </cfRule>
  </conditionalFormatting>
  <conditionalFormatting sqref="H1884 K1884 M1884 O1884">
    <cfRule type="expression" dxfId="18449" priority="79868">
      <formula>$H1884="CÉLULA CONSTRUTIVA"</formula>
    </cfRule>
  </conditionalFormatting>
  <conditionalFormatting sqref="H1885 K1885 M1885 O1885">
    <cfRule type="expression" dxfId="18448" priority="79862">
      <formula>$H1885="CÉLULA CONSTRUTIVA"</formula>
    </cfRule>
  </conditionalFormatting>
  <conditionalFormatting sqref="H1891 H1887 J1887:L1887 L1891 H1896 H1893 J1893:L1893 L1896">
    <cfRule type="expression" dxfId="18447" priority="79944">
      <formula>$H1887="CÉLULA CONSTRUTIVA"</formula>
    </cfRule>
  </conditionalFormatting>
  <conditionalFormatting sqref="H1891 H1896 J1889:K1889">
    <cfRule type="expression" dxfId="18446" priority="79946">
      <formula>$H1889="ETAPA"</formula>
    </cfRule>
  </conditionalFormatting>
  <conditionalFormatting sqref="H1891 L1891 J1887:L1887 L1896 J1893:L1893">
    <cfRule type="expression" dxfId="18445" priority="79945">
      <formula>$H1887="SUBETAPA"</formula>
    </cfRule>
  </conditionalFormatting>
  <conditionalFormatting sqref="H1899 J1899:L1899">
    <cfRule type="expression" dxfId="18444" priority="76083">
      <formula>$H1899="CÉLULA CONSTRUTIVA"</formula>
    </cfRule>
  </conditionalFormatting>
  <conditionalFormatting sqref="H1908 J1908:L1908">
    <cfRule type="expression" dxfId="18443" priority="75974">
      <formula>$H1908="ETAPA"</formula>
    </cfRule>
  </conditionalFormatting>
  <conditionalFormatting sqref="H1908:H1909">
    <cfRule type="expression" dxfId="18442" priority="75975">
      <formula>$H1908="SUBETAPA"</formula>
    </cfRule>
    <cfRule type="expression" dxfId="18441" priority="75976">
      <formula>$H1908="CÉLULA CONSTRUTIVA"</formula>
    </cfRule>
  </conditionalFormatting>
  <conditionalFormatting sqref="H1913 J1913:L1913">
    <cfRule type="expression" dxfId="18440" priority="76269">
      <formula>$H1913="CÉLULA CONSTRUTIVA"</formula>
    </cfRule>
  </conditionalFormatting>
  <conditionalFormatting sqref="H1926 J1926:L1926">
    <cfRule type="expression" dxfId="18439" priority="76455">
      <formula>$H1926="CÉLULA CONSTRUTIVA"</formula>
    </cfRule>
  </conditionalFormatting>
  <conditionalFormatting sqref="H1934 J1934:L1934">
    <cfRule type="expression" dxfId="18438" priority="76641">
      <formula>$H1934="CÉLULA CONSTRUTIVA"</formula>
    </cfRule>
  </conditionalFormatting>
  <conditionalFormatting sqref="H1939 J1939:L1939">
    <cfRule type="expression" dxfId="18437" priority="76827">
      <formula>$H1939="CÉLULA CONSTRUTIVA"</formula>
    </cfRule>
  </conditionalFormatting>
  <conditionalFormatting sqref="H1947 J1947:L1947">
    <cfRule type="expression" dxfId="18436" priority="77013">
      <formula>$H1947="CÉLULA CONSTRUTIVA"</formula>
    </cfRule>
  </conditionalFormatting>
  <conditionalFormatting sqref="H1956 J1956:L1956">
    <cfRule type="expression" dxfId="18435" priority="77199">
      <formula>$H1956="CÉLULA CONSTRUTIVA"</formula>
    </cfRule>
  </conditionalFormatting>
  <conditionalFormatting sqref="H2013 J2013:L2013">
    <cfRule type="expression" dxfId="18434" priority="78315">
      <formula>$H2013="CÉLULA CONSTRUTIVA"</formula>
    </cfRule>
  </conditionalFormatting>
  <conditionalFormatting sqref="H2024 J2024:L2024">
    <cfRule type="expression" dxfId="18433" priority="78501">
      <formula>$H2024="CÉLULA CONSTRUTIVA"</formula>
    </cfRule>
  </conditionalFormatting>
  <conditionalFormatting sqref="H2031:H2033 J2032:L2033 H2041 O2051">
    <cfRule type="expression" dxfId="18432" priority="67364">
      <formula>$H2031="ETAPA"</formula>
    </cfRule>
  </conditionalFormatting>
  <conditionalFormatting sqref="H2040 J2040:K2040">
    <cfRule type="expression" dxfId="18431" priority="67019">
      <formula>$H2040="CÉLULA CONSTRUTIVA"</formula>
    </cfRule>
  </conditionalFormatting>
  <conditionalFormatting sqref="H2043 K2043 O2043">
    <cfRule type="expression" dxfId="18430" priority="67272">
      <formula>$H2043="CÉLULA CONSTRUTIVA"</formula>
    </cfRule>
  </conditionalFormatting>
  <conditionalFormatting sqref="H2047 K2047 O2047">
    <cfRule type="expression" dxfId="18429" priority="67160">
      <formula>$H2047="CÉLULA CONSTRUTIVA"</formula>
    </cfRule>
  </conditionalFormatting>
  <conditionalFormatting sqref="H2047">
    <cfRule type="expression" dxfId="18428" priority="67158">
      <formula>$H2047="ETAPA"</formula>
    </cfRule>
  </conditionalFormatting>
  <conditionalFormatting sqref="H2051 J2051">
    <cfRule type="expression" dxfId="18427" priority="67359">
      <formula>$H2051="ETAPA"</formula>
    </cfRule>
  </conditionalFormatting>
  <conditionalFormatting sqref="H2052:H2053 O2053 J2040:K2040 J2035:L2035 J2053:K2053 J2052:L2052 O2038:O2040 H2038:H2040 J2038:L2038 K2039:L2039 L2053:L2054">
    <cfRule type="expression" dxfId="18426" priority="67362">
      <formula>$H2035="SUBETAPA"</formula>
    </cfRule>
  </conditionalFormatting>
  <conditionalFormatting sqref="H2054:H2055 H2041 H2032:H2033 H2036 J2036:L2036 J2032:M2033 J2041:L2041 J2055:L2055 J2054:K2054">
    <cfRule type="expression" dxfId="18425" priority="67365">
      <formula>$H2032="SUBETAPA"</formula>
    </cfRule>
    <cfRule type="expression" dxfId="18424" priority="67366">
      <formula>$H2032="CÉLULA CONSTRUTIVA"</formula>
    </cfRule>
  </conditionalFormatting>
  <conditionalFormatting sqref="H2059:H2060 O2059:O2060 J2059:K2060">
    <cfRule type="expression" dxfId="18423" priority="67183">
      <formula>$H2059="SUBETAPA"</formula>
    </cfRule>
  </conditionalFormatting>
  <conditionalFormatting sqref="H2066:H2068 J2066:L2068 O2067:O2068 K2070:L2070 J2071:L2074 H2074:H2075 J2075:K2075 O2075 L2075:L2076 J2081:K2081 H2082:H2085 J2082:L2085">
    <cfRule type="expression" dxfId="18422" priority="68003">
      <formula>$H2066="ETAPA"</formula>
    </cfRule>
  </conditionalFormatting>
  <conditionalFormatting sqref="H2071 J2071:K2071">
    <cfRule type="expression" dxfId="18421" priority="67659">
      <formula>$H2071="CÉLULA CONSTRUTIVA"</formula>
    </cfRule>
  </conditionalFormatting>
  <conditionalFormatting sqref="H2072:H2073 J2073">
    <cfRule type="expression" dxfId="18420" priority="67999">
      <formula>$H2072="ETAPA"</formula>
    </cfRule>
  </conditionalFormatting>
  <conditionalFormatting sqref="H2074:H2075 O2075 H2066:H2067 O2067 J2071:K2071 J2067:K2067 J2066:L2066 J2075:K2075 J2074:L2074 K2070:L2070 J2079:L2080 L2075:L2076">
    <cfRule type="expression" dxfId="18419" priority="68002">
      <formula>$H2066="SUBETAPA"</formula>
    </cfRule>
  </conditionalFormatting>
  <conditionalFormatting sqref="H2076:H2077 H2072 H2063:H2064 J2063:M2064 J2072:L2072 J2077:L2077 J2076:K2076">
    <cfRule type="expression" dxfId="18418" priority="68005">
      <formula>$H2063="SUBETAPA"</formula>
    </cfRule>
    <cfRule type="expression" dxfId="18417" priority="68006">
      <formula>$H2063="CÉLULA CONSTRUTIVA"</formula>
    </cfRule>
  </conditionalFormatting>
  <conditionalFormatting sqref="H2087:H2088 J2087:L2088 O2088 K2090:K2091 J2091 J2099:K2099">
    <cfRule type="expression" dxfId="18416" priority="68643">
      <formula>$H2087="ETAPA"</formula>
    </cfRule>
  </conditionalFormatting>
  <conditionalFormatting sqref="H2087:H2088 O2088 J2091:K2091 J2088:K2088 J2087:L2087 J2094:L2094 K2090">
    <cfRule type="expression" dxfId="18415" priority="68642">
      <formula>$H2087="SUBETAPA"</formula>
    </cfRule>
  </conditionalFormatting>
  <conditionalFormatting sqref="H2091 J2091:K2091">
    <cfRule type="expression" dxfId="18414" priority="68299">
      <formula>$H2091="CÉLULA CONSTRUTIVA"</formula>
    </cfRule>
  </conditionalFormatting>
  <conditionalFormatting sqref="H2092:H2093 J2093:L2093">
    <cfRule type="expression" dxfId="18413" priority="68639">
      <formula>$H2092="ETAPA"</formula>
    </cfRule>
  </conditionalFormatting>
  <conditionalFormatting sqref="H2095:H2096 H2092 H2084:H2085 J2084:M2085 J2092:K2092 J2095:L2096">
    <cfRule type="expression" dxfId="18412" priority="68645">
      <formula>$H2084="SUBETAPA"</formula>
    </cfRule>
    <cfRule type="expression" dxfId="18411" priority="68646">
      <formula>$H2084="CÉLULA CONSTRUTIVA"</formula>
    </cfRule>
  </conditionalFormatting>
  <conditionalFormatting sqref="H2101:H2102 J2101:L2102 O2109">
    <cfRule type="expression" dxfId="18410" priority="69284">
      <formula>$H2101="ETAPA"</formula>
    </cfRule>
  </conditionalFormatting>
  <conditionalFormatting sqref="H2104:H2105 J2104:L2105 O2105 K2107:K2108 J2108:J2109 J2115:K2115">
    <cfRule type="expression" dxfId="18409" priority="69283">
      <formula>$H2104="ETAPA"</formula>
    </cfRule>
  </conditionalFormatting>
  <conditionalFormatting sqref="H2104:H2105 O2105 J2108:K2108 J2105:K2105 J2104:L2104 J2110:L2110 K2107">
    <cfRule type="expression" dxfId="18408" priority="69282">
      <formula>$H2104="SUBETAPA"</formula>
    </cfRule>
  </conditionalFormatting>
  <conditionalFormatting sqref="H2108 J2108:K2108">
    <cfRule type="expression" dxfId="18407" priority="68939">
      <formula>$H2108="CÉLULA CONSTRUTIVA"</formula>
    </cfRule>
  </conditionalFormatting>
  <conditionalFormatting sqref="H2109 J2109:L2109">
    <cfRule type="expression" dxfId="18406" priority="69279">
      <formula>$H2109="ETAPA"</formula>
    </cfRule>
  </conditionalFormatting>
  <conditionalFormatting sqref="H2111:H2112 H2101:H2102 J2101:M2102 J2111:L2112">
    <cfRule type="expression" dxfId="18405" priority="69285">
      <formula>$H2101="SUBETAPA"</formula>
    </cfRule>
    <cfRule type="expression" dxfId="18404" priority="69286">
      <formula>$H2101="CÉLULA CONSTRUTIVA"</formula>
    </cfRule>
  </conditionalFormatting>
  <conditionalFormatting sqref="H2117:H2118 J2117:L2118 J2125:L2126 O2126">
    <cfRule type="expression" dxfId="18403" priority="69924">
      <formula>$H2117="ETAPA"</formula>
    </cfRule>
  </conditionalFormatting>
  <conditionalFormatting sqref="H2120:H2121 J2120:L2121 O2121 K2123:K2124 J2124 J2132:K2132">
    <cfRule type="expression" dxfId="18402" priority="69923">
      <formula>$H2120="ETAPA"</formula>
    </cfRule>
  </conditionalFormatting>
  <conditionalFormatting sqref="H2120:H2121 O2121 J2124:K2124 J2121:K2121 J2120:L2120 J2127:L2127 K2123">
    <cfRule type="expression" dxfId="18401" priority="69922">
      <formula>$H2120="SUBETAPA"</formula>
    </cfRule>
  </conditionalFormatting>
  <conditionalFormatting sqref="H2124 J2124:K2124">
    <cfRule type="expression" dxfId="18400" priority="69579">
      <formula>$H2124="CÉLULA CONSTRUTIVA"</formula>
    </cfRule>
  </conditionalFormatting>
  <conditionalFormatting sqref="H2125:H2126 J2126">
    <cfRule type="expression" dxfId="18399" priority="69919">
      <formula>$H2125="ETAPA"</formula>
    </cfRule>
  </conditionalFormatting>
  <conditionalFormatting sqref="H2128:H2129 H2125 H2117:H2118 J2117:M2118 J2125:L2125 J2128:L2129">
    <cfRule type="expression" dxfId="18398" priority="69925">
      <formula>$H2117="SUBETAPA"</formula>
    </cfRule>
    <cfRule type="expression" dxfId="18397" priority="69926">
      <formula>$H2117="CÉLULA CONSTRUTIVA"</formula>
    </cfRule>
  </conditionalFormatting>
  <conditionalFormatting sqref="H2134:H2135 J2134:L2135 J2143:K2143 O2144">
    <cfRule type="expression" dxfId="18396" priority="70564">
      <formula>$H2134="ETAPA"</formula>
    </cfRule>
  </conditionalFormatting>
  <conditionalFormatting sqref="H2137:H2138 J2137:L2138 O2138 K2141:K2142 J2142 J2144:L2145 J2150:K2150">
    <cfRule type="expression" dxfId="18395" priority="70563">
      <formula>$H2137="ETAPA"</formula>
    </cfRule>
  </conditionalFormatting>
  <conditionalFormatting sqref="H2137:H2138 O2138 J2142:K2142 J2138:K2138 J2137:L2137 J2145:L2145 O2140:O2142 H2140:H2142 J2140:L2140 K2141">
    <cfRule type="expression" dxfId="18394" priority="70562">
      <formula>$H2137="SUBETAPA"</formula>
    </cfRule>
  </conditionalFormatting>
  <conditionalFormatting sqref="H2142 J2142:K2142">
    <cfRule type="expression" dxfId="18393" priority="70219">
      <formula>$H2142="CÉLULA CONSTRUTIVA"</formula>
    </cfRule>
  </conditionalFormatting>
  <conditionalFormatting sqref="H2143:H2144 J2144">
    <cfRule type="expression" dxfId="18392" priority="70559">
      <formula>$H2143="ETAPA"</formula>
    </cfRule>
  </conditionalFormatting>
  <conditionalFormatting sqref="H2146:H2147 H2143 H2134:H2135 J2134:M2135 J2143:K2143 J2147:L2147 J2146:K2146">
    <cfRule type="expression" dxfId="18391" priority="70565">
      <formula>$H2134="SUBETAPA"</formula>
    </cfRule>
    <cfRule type="expression" dxfId="18390" priority="70566">
      <formula>$H2134="CÉLULA CONSTRUTIVA"</formula>
    </cfRule>
  </conditionalFormatting>
  <conditionalFormatting sqref="H2155:H2156 J2155:L2156 O2156 K2158:K2159 J2159 J2168:L2169 H2169:H2170 J2170:K2170 O2170 L2170:L2171 J2176:K2177 K2180:L2180 O2180">
    <cfRule type="expression" dxfId="18389" priority="71203">
      <formula>$H2155="ETAPA"</formula>
    </cfRule>
  </conditionalFormatting>
  <conditionalFormatting sqref="H2159 J2159:K2159">
    <cfRule type="expression" dxfId="18388" priority="70859">
      <formula>$H2159="CÉLULA CONSTRUTIVA"</formula>
    </cfRule>
  </conditionalFormatting>
  <conditionalFormatting sqref="H2160:H2164 J2161:L2162 O2161:O2164 K2163:L2164 J2164">
    <cfRule type="expression" dxfId="18387" priority="70789">
      <formula>$H2160="ETAPA"</formula>
    </cfRule>
  </conditionalFormatting>
  <conditionalFormatting sqref="H2161 O2161">
    <cfRule type="expression" dxfId="18386" priority="70793">
      <formula>$H2161="CÉLULA CONSTRUTIVA"</formula>
    </cfRule>
  </conditionalFormatting>
  <conditionalFormatting sqref="H2162:H2163 O2162:O2164 J2162:L2162 K2163:L2163">
    <cfRule type="expression" dxfId="18385" priority="70783">
      <formula>$H2162="CÉLULA CONSTRUTIVA"</formula>
    </cfRule>
  </conditionalFormatting>
  <conditionalFormatting sqref="H2164 J2164:K2164">
    <cfRule type="expression" dxfId="18384" priority="70740">
      <formula>$H2164="CÉLULA CONSTRUTIVA"</formula>
    </cfRule>
  </conditionalFormatting>
  <conditionalFormatting sqref="H2165 J2165:L2165">
    <cfRule type="expression" dxfId="18383" priority="70790">
      <formula>$H2165="SUBETAPA"</formula>
    </cfRule>
    <cfRule type="expression" dxfId="18382" priority="70791">
      <formula>$H2165="CÉLULA CONSTRUTIVA"</formula>
    </cfRule>
  </conditionalFormatting>
  <conditionalFormatting sqref="H2165:H2166">
    <cfRule type="expression" dxfId="18381" priority="70998">
      <formula>$H2165="ETAPA"</formula>
    </cfRule>
  </conditionalFormatting>
  <conditionalFormatting sqref="H2166 K2166 O2166">
    <cfRule type="expression" dxfId="18380" priority="71000">
      <formula>$H2166="CÉLULA CONSTRUTIVA"</formula>
    </cfRule>
  </conditionalFormatting>
  <conditionalFormatting sqref="H2168 J2168">
    <cfRule type="expression" dxfId="18379" priority="71199">
      <formula>$H2168="ETAPA"</formula>
    </cfRule>
  </conditionalFormatting>
  <conditionalFormatting sqref="H2169:H2170 O2170 H2155:H2156 O2156 J2159:K2159 J2156:K2156 J2155:L2155 J2176:K2177 J2170:K2170 J2169:L2169 K2158 L2170:L2171">
    <cfRule type="expression" dxfId="18378" priority="71202">
      <formula>$H2155="SUBETAPA"</formula>
    </cfRule>
  </conditionalFormatting>
  <conditionalFormatting sqref="H2171 H2173 H2160 H2152:H2153 J2152:M2153 J2160:K2160 J2173:L2173 J2171:K2171">
    <cfRule type="expression" dxfId="18377" priority="71205">
      <formula>$H2152="SUBETAPA"</formula>
    </cfRule>
    <cfRule type="expression" dxfId="18376" priority="71206">
      <formula>$H2152="CÉLULA CONSTRUTIVA"</formula>
    </cfRule>
  </conditionalFormatting>
  <conditionalFormatting sqref="H2186 J2186:K2186">
    <cfRule type="expression" dxfId="18375" priority="71499">
      <formula>$H2186="CÉLULA CONSTRUTIVA"</formula>
    </cfRule>
  </conditionalFormatting>
  <conditionalFormatting sqref="H2190 K2190 O2190">
    <cfRule type="expression" dxfId="18374" priority="71640">
      <formula>$H2190="CÉLULA CONSTRUTIVA"</formula>
    </cfRule>
  </conditionalFormatting>
  <conditionalFormatting sqref="H2190:H2191">
    <cfRule type="expression" dxfId="18373" priority="71638">
      <formula>$H2190="ETAPA"</formula>
    </cfRule>
  </conditionalFormatting>
  <conditionalFormatting sqref="H2194:H2195 J2194:K2195">
    <cfRule type="expression" dxfId="18372" priority="71310">
      <formula>$H2194="CÉLULA CONSTRUTIVA"</formula>
    </cfRule>
  </conditionalFormatting>
  <conditionalFormatting sqref="H2195:H2196 J2196:L2196 H2187 J2187:L2187 J2191:L2191 O2200">
    <cfRule type="expression" dxfId="18371" priority="71844">
      <formula>$H2187="ETAPA"</formula>
    </cfRule>
  </conditionalFormatting>
  <conditionalFormatting sqref="H2196 J2196:L2196">
    <cfRule type="expression" dxfId="18370" priority="71338">
      <formula>$H2196="SUBETAPA"</formula>
    </cfRule>
    <cfRule type="expression" dxfId="18369" priority="71339">
      <formula>$H2196="CÉLULA CONSTRUTIVA"</formula>
    </cfRule>
  </conditionalFormatting>
  <conditionalFormatting sqref="H2200 J2200">
    <cfRule type="expression" dxfId="18368" priority="71839">
      <formula>$H2200="ETAPA"</formula>
    </cfRule>
  </conditionalFormatting>
  <conditionalFormatting sqref="H2201:H2202 O2202 J2186:K2186 J2206:K2207 J2202:K2202 J2201:L2201 K2185 L2202:L2203">
    <cfRule type="expression" dxfId="18367" priority="71842">
      <formula>$H2185="SUBETAPA"</formula>
    </cfRule>
  </conditionalFormatting>
  <conditionalFormatting sqref="H2203:H2204 H2187 H2181:H2182 J2181:M2182 J2187:L2187 J2204:L2204 J2203:K2203">
    <cfRule type="expression" dxfId="18366" priority="71845">
      <formula>$H2181="SUBETAPA"</formula>
    </cfRule>
    <cfRule type="expression" dxfId="18365" priority="71846">
      <formula>$H2181="CÉLULA CONSTRUTIVA"</formula>
    </cfRule>
  </conditionalFormatting>
  <conditionalFormatting sqref="H2217 J2217:K2217">
    <cfRule type="expression" dxfId="18364" priority="72139">
      <formula>$H2217="CÉLULA CONSTRUTIVA"</formula>
    </cfRule>
  </conditionalFormatting>
  <conditionalFormatting sqref="H2218:H2219">
    <cfRule type="expression" dxfId="18363" priority="72278">
      <formula>$H2218="ETAPA"</formula>
    </cfRule>
  </conditionalFormatting>
  <conditionalFormatting sqref="H2219 K2219 O2219">
    <cfRule type="expression" dxfId="18362" priority="72280">
      <formula>$H2219="CÉLULA CONSTRUTIVA"</formula>
    </cfRule>
  </conditionalFormatting>
  <conditionalFormatting sqref="H2221 J2221">
    <cfRule type="expression" dxfId="18361" priority="72479">
      <formula>$H2221="ETAPA"</formula>
    </cfRule>
  </conditionalFormatting>
  <conditionalFormatting sqref="H2222:H2223 O2223 J2217:K2217 J2223:K2223 J2222:L2222 K2216">
    <cfRule type="expression" dxfId="18360" priority="72482">
      <formula>$H2216="SUBETAPA"</formula>
    </cfRule>
  </conditionalFormatting>
  <conditionalFormatting sqref="H2224:H2225 H2218 H2210:H2211 J2210:M2211 J2218:K2218 J2225:L2225 J2224:K2224">
    <cfRule type="expression" dxfId="18359" priority="72485">
      <formula>$H2210="SUBETAPA"</formula>
    </cfRule>
    <cfRule type="expression" dxfId="18358" priority="72486">
      <formula>$H2210="CÉLULA CONSTRUTIVA"</formula>
    </cfRule>
  </conditionalFormatting>
  <conditionalFormatting sqref="H2237 J2237:K2237">
    <cfRule type="expression" dxfId="18357" priority="72779">
      <formula>$H2237="CÉLULA CONSTRUTIVA"</formula>
    </cfRule>
  </conditionalFormatting>
  <conditionalFormatting sqref="H2238:H2239">
    <cfRule type="expression" dxfId="18356" priority="72918">
      <formula>$H2238="ETAPA"</formula>
    </cfRule>
  </conditionalFormatting>
  <conditionalFormatting sqref="H2239 K2239 O2239">
    <cfRule type="expression" dxfId="18355" priority="72920">
      <formula>$H2239="CÉLULA CONSTRUTIVA"</formula>
    </cfRule>
  </conditionalFormatting>
  <conditionalFormatting sqref="H2241 J2241">
    <cfRule type="expression" dxfId="18354" priority="73119">
      <formula>$H2241="ETAPA"</formula>
    </cfRule>
  </conditionalFormatting>
  <conditionalFormatting sqref="H2242:H2243 O2243 J2237:K2237 J2243:K2243 J2242:L2242 K2236">
    <cfRule type="expression" dxfId="18353" priority="73122">
      <formula>$H2236="SUBETAPA"</formula>
    </cfRule>
  </conditionalFormatting>
  <conditionalFormatting sqref="H2244:H2245 H2238 H2230:H2231 J2230:M2231 J2238:K2238 J2244:L2245">
    <cfRule type="expression" dxfId="18352" priority="73125">
      <formula>$H2230="SUBETAPA"</formula>
    </cfRule>
    <cfRule type="expression" dxfId="18351" priority="73126">
      <formula>$H2230="CÉLULA CONSTRUTIVA"</formula>
    </cfRule>
  </conditionalFormatting>
  <conditionalFormatting sqref="H2257 J2257:K2257">
    <cfRule type="expression" dxfId="18350" priority="73419">
      <formula>$H2257="CÉLULA CONSTRUTIVA"</formula>
    </cfRule>
  </conditionalFormatting>
  <conditionalFormatting sqref="H2259 K2259 O2259">
    <cfRule type="expression" dxfId="18349" priority="73672">
      <formula>$H2259="CÉLULA CONSTRUTIVA"</formula>
    </cfRule>
  </conditionalFormatting>
  <conditionalFormatting sqref="H2261 K2261 O2261">
    <cfRule type="expression" dxfId="18348" priority="73560">
      <formula>$H2261="CÉLULA CONSTRUTIVA"</formula>
    </cfRule>
  </conditionalFormatting>
  <conditionalFormatting sqref="H2261">
    <cfRule type="expression" dxfId="18347" priority="73558">
      <formula>$H2261="ETAPA"</formula>
    </cfRule>
  </conditionalFormatting>
  <conditionalFormatting sqref="H2264:H2265 O2265 J2257:K2257 J2265:K2265 J2264:L2264 K2256">
    <cfRule type="expression" dxfId="18346" priority="73762">
      <formula>$H2256="SUBETAPA"</formula>
    </cfRule>
  </conditionalFormatting>
  <conditionalFormatting sqref="H2266:H2267 H2258 H2250:H2251 J2250:M2251 J2258:K2258 J2266:L2267">
    <cfRule type="expression" dxfId="18345" priority="73765">
      <formula>$H2250="SUBETAPA"</formula>
    </cfRule>
    <cfRule type="expression" dxfId="18344" priority="73766">
      <formula>$H2250="CÉLULA CONSTRUTIVA"</formula>
    </cfRule>
  </conditionalFormatting>
  <conditionalFormatting sqref="H2280 J2280:K2280">
    <cfRule type="expression" dxfId="18343" priority="74059">
      <formula>$H2280="CÉLULA CONSTRUTIVA"</formula>
    </cfRule>
  </conditionalFormatting>
  <conditionalFormatting sqref="H2282 K2282 O2282">
    <cfRule type="expression" dxfId="18342" priority="74312">
      <formula>$H2282="CÉLULA CONSTRUTIVA"</formula>
    </cfRule>
  </conditionalFormatting>
  <conditionalFormatting sqref="H2285 K2285 O2285">
    <cfRule type="expression" dxfId="18341" priority="74200">
      <formula>$H2285="CÉLULA CONSTRUTIVA"</formula>
    </cfRule>
  </conditionalFormatting>
  <conditionalFormatting sqref="H2285">
    <cfRule type="expression" dxfId="18340" priority="74198">
      <formula>$H2285="ETAPA"</formula>
    </cfRule>
  </conditionalFormatting>
  <conditionalFormatting sqref="H2288:H2289 O2289 J2280:K2280 J2289:K2289 J2288:L2288 K2279">
    <cfRule type="expression" dxfId="18339" priority="74402">
      <formula>$H2279="SUBETAPA"</formula>
    </cfRule>
  </conditionalFormatting>
  <conditionalFormatting sqref="H2290:H2291 H2281 H2273:H2274 J2273:M2274 J2281:K2281 J2290:L2291">
    <cfRule type="expression" dxfId="18338" priority="74405">
      <formula>$H2273="SUBETAPA"</formula>
    </cfRule>
    <cfRule type="expression" dxfId="18337" priority="74406">
      <formula>$H2273="CÉLULA CONSTRUTIVA"</formula>
    </cfRule>
  </conditionalFormatting>
  <conditionalFormatting sqref="H2299:H2300 K2299:K2300 M2299:M2300 O2299:O2300">
    <cfRule type="expression" dxfId="18336" priority="74741">
      <formula>$H2299="CÉLULA CONSTRUTIVA"</formula>
    </cfRule>
  </conditionalFormatting>
  <conditionalFormatting sqref="H2305 J2305:K2305">
    <cfRule type="expression" dxfId="18335" priority="74699">
      <formula>$H2305="CÉLULA CONSTRUTIVA"</formula>
    </cfRule>
  </conditionalFormatting>
  <conditionalFormatting sqref="H2307 K2307 O2307">
    <cfRule type="expression" dxfId="18334" priority="74952">
      <formula>$H2307="CÉLULA CONSTRUTIVA"</formula>
    </cfRule>
  </conditionalFormatting>
  <conditionalFormatting sqref="H2310 J2310">
    <cfRule type="expression" dxfId="18333" priority="75039">
      <formula>$H2310="ETAPA"</formula>
    </cfRule>
  </conditionalFormatting>
  <conditionalFormatting sqref="H2311:H2312 O2312 J2305:K2305 J2312:K2312 J2311:L2311 K2304">
    <cfRule type="expression" dxfId="18332" priority="75042">
      <formula>$H2304="SUBETAPA"</formula>
    </cfRule>
  </conditionalFormatting>
  <conditionalFormatting sqref="H2313 H2306 H2297:H2298 J2297:M2298 J2306:K2306 J2313:L2313">
    <cfRule type="expression" dxfId="18331" priority="75045">
      <formula>$H2297="SUBETAPA"</formula>
    </cfRule>
    <cfRule type="expression" dxfId="18330" priority="75046">
      <formula>$H2297="CÉLULA CONSTRUTIVA"</formula>
    </cfRule>
  </conditionalFormatting>
  <conditionalFormatting sqref="H2317:H2318 O2317:O2318 J2317:K2318">
    <cfRule type="expression" dxfId="18329" priority="74863">
      <formula>$H2317="SUBETAPA"</formula>
    </cfRule>
  </conditionalFormatting>
  <conditionalFormatting sqref="H2327 J2327">
    <cfRule type="expression" dxfId="18328" priority="75679">
      <formula>$H2327="ETAPA"</formula>
    </cfRule>
  </conditionalFormatting>
  <conditionalFormatting sqref="H2328:H2329 O2329 J2329:K2329 J2328:L2328 K2325:L2325">
    <cfRule type="expression" dxfId="18327" priority="75682">
      <formula>$H2325="SUBETAPA"</formula>
    </cfRule>
  </conditionalFormatting>
  <conditionalFormatting sqref="H2330 H2321:H2322 J2321:M2322 J2330:L2330">
    <cfRule type="expression" dxfId="18326" priority="75685">
      <formula>$H2321="SUBETAPA"</formula>
    </cfRule>
    <cfRule type="expression" dxfId="18325" priority="75686">
      <formula>$H2321="CÉLULA CONSTRUTIVA"</formula>
    </cfRule>
  </conditionalFormatting>
  <conditionalFormatting sqref="H2338 H2335:H2336 J2335:M2336 J2338:L2338">
    <cfRule type="expression" dxfId="18324" priority="86535">
      <formula>$H2335="SUBETAPA"</formula>
    </cfRule>
    <cfRule type="expression" dxfId="18323" priority="86536">
      <formula>$H2335="CÉLULA CONSTRUTIVA"</formula>
    </cfRule>
  </conditionalFormatting>
  <conditionalFormatting sqref="H2343:H2344 J2343:K2344">
    <cfRule type="expression" dxfId="18322" priority="61922">
      <formula>$H2343="ETAPA"</formula>
    </cfRule>
  </conditionalFormatting>
  <conditionalFormatting sqref="H2343:H2344 O2343:O2344 J2343:K2344">
    <cfRule type="expression" dxfId="18321" priority="61928">
      <formula>$H2343="SUBETAPA"</formula>
    </cfRule>
    <cfRule type="expression" dxfId="18320" priority="61929">
      <formula>$H2343="CÉLULA CONSTRUTIVA"</formula>
    </cfRule>
  </conditionalFormatting>
  <conditionalFormatting sqref="H2345 O2345 J2345:K2345">
    <cfRule type="expression" dxfId="18319" priority="62015">
      <formula>$H2345="SUBETAPA"</formula>
    </cfRule>
    <cfRule type="expression" dxfId="18318" priority="62016">
      <formula>$H2345="CÉLULA CONSTRUTIVA"</formula>
    </cfRule>
  </conditionalFormatting>
  <conditionalFormatting sqref="H2357 J2357:M2357 O2357">
    <cfRule type="expression" dxfId="18317" priority="61900">
      <formula>$H2357="CÉLULA CONSTRUTIVA"</formula>
    </cfRule>
  </conditionalFormatting>
  <conditionalFormatting sqref="H2357 O2357 J2357:L2357">
    <cfRule type="expression" dxfId="18316" priority="61899">
      <formula>$H2357="SUBETAPA"</formula>
    </cfRule>
  </conditionalFormatting>
  <conditionalFormatting sqref="H2362 J2362:K2362 O2362">
    <cfRule type="expression" dxfId="18315" priority="62080">
      <formula>$H2362="SUBETAPA"</formula>
    </cfRule>
    <cfRule type="expression" dxfId="18314" priority="62081">
      <formula>$H2362="CÉLULA CONSTRUTIVA"</formula>
    </cfRule>
  </conditionalFormatting>
  <conditionalFormatting sqref="H2364:H2365 J2364:K2365">
    <cfRule type="expression" dxfId="18313" priority="62161">
      <formula>$H2364="ETAPA"</formula>
    </cfRule>
  </conditionalFormatting>
  <conditionalFormatting sqref="H2364:H2365 O2364:O2365 J2364:K2365">
    <cfRule type="expression" dxfId="18312" priority="62167">
      <formula>$H2364="SUBETAPA"</formula>
    </cfRule>
    <cfRule type="expression" dxfId="18311" priority="62168">
      <formula>$H2364="CÉLULA CONSTRUTIVA"</formula>
    </cfRule>
  </conditionalFormatting>
  <conditionalFormatting sqref="H2366 O2366 J2366:K2366">
    <cfRule type="expression" dxfId="18310" priority="62254">
      <formula>$H2366="SUBETAPA"</formula>
    </cfRule>
    <cfRule type="expression" dxfId="18309" priority="62255">
      <formula>$H2366="CÉLULA CONSTRUTIVA"</formula>
    </cfRule>
  </conditionalFormatting>
  <conditionalFormatting sqref="H2368">
    <cfRule type="expression" dxfId="18308" priority="7120">
      <formula>$H2368="CÉLULA CONSTRUTIVA"</formula>
    </cfRule>
  </conditionalFormatting>
  <conditionalFormatting sqref="H2369 J2384:M2384 H2379 J2379:K2379 J2369:K2369 J2383 J2385 O2384 O2379">
    <cfRule type="expression" dxfId="18307" priority="62221">
      <formula>$H2369="CÉLULA CONSTRUTIVA"</formula>
    </cfRule>
  </conditionalFormatting>
  <conditionalFormatting sqref="H2380 J2380:K2380 O2380">
    <cfRule type="expression" dxfId="18306" priority="7092">
      <formula>$H2380="CÉLULA CONSTRUTIVA"</formula>
    </cfRule>
  </conditionalFormatting>
  <conditionalFormatting sqref="H2382 O2382 J2382:K2382">
    <cfRule type="expression" dxfId="18305" priority="62125">
      <formula>$H2382="SUBETAPA"</formula>
    </cfRule>
  </conditionalFormatting>
  <conditionalFormatting sqref="H2383 J2383:M2383 O2383">
    <cfRule type="expression" dxfId="18304" priority="62139">
      <formula>$H2383="CÉLULA CONSTRUTIVA"</formula>
    </cfRule>
  </conditionalFormatting>
  <conditionalFormatting sqref="H2383 O2383 J2383:L2383">
    <cfRule type="expression" dxfId="18303" priority="62138">
      <formula>$H2383="SUBETAPA"</formula>
    </cfRule>
  </conditionalFormatting>
  <conditionalFormatting sqref="H2389 J2389:K2389 O2389">
    <cfRule type="expression" dxfId="18302" priority="62319">
      <formula>$H2389="SUBETAPA"</formula>
    </cfRule>
    <cfRule type="expression" dxfId="18301" priority="62320">
      <formula>$H2389="CÉLULA CONSTRUTIVA"</formula>
    </cfRule>
  </conditionalFormatting>
  <conditionalFormatting sqref="H2391:H2392 J2391:K2392">
    <cfRule type="expression" dxfId="18300" priority="62400">
      <formula>$H2391="ETAPA"</formula>
    </cfRule>
  </conditionalFormatting>
  <conditionalFormatting sqref="H2391:H2392 O2391:O2392 J2391:K2392">
    <cfRule type="expression" dxfId="18299" priority="62406">
      <formula>$H2391="SUBETAPA"</formula>
    </cfRule>
    <cfRule type="expression" dxfId="18298" priority="62407">
      <formula>$H2391="CÉLULA CONSTRUTIVA"</formula>
    </cfRule>
  </conditionalFormatting>
  <conditionalFormatting sqref="H2393 O2393 J2393:K2393">
    <cfRule type="expression" dxfId="18297" priority="62493">
      <formula>$H2393="SUBETAPA"</formula>
    </cfRule>
    <cfRule type="expression" dxfId="18296" priority="62494">
      <formula>$H2393="CÉLULA CONSTRUTIVA"</formula>
    </cfRule>
  </conditionalFormatting>
  <conditionalFormatting sqref="H2395">
    <cfRule type="expression" dxfId="18295" priority="7064">
      <formula>$H2395="CÉLULA CONSTRUTIVA"</formula>
    </cfRule>
  </conditionalFormatting>
  <conditionalFormatting sqref="H2396 J2409:M2409 H2404 J2404:K2404 J2396:K2396 J2408 O2409 O2404">
    <cfRule type="expression" dxfId="18294" priority="62460">
      <formula>$H2396="CÉLULA CONSTRUTIVA"</formula>
    </cfRule>
  </conditionalFormatting>
  <conditionalFormatting sqref="H2405 J2405:K2405 O2405">
    <cfRule type="expression" dxfId="18293" priority="7036">
      <formula>$H2405="CÉLULA CONSTRUTIVA"</formula>
    </cfRule>
  </conditionalFormatting>
  <conditionalFormatting sqref="H2407 O2407 J2407:K2407">
    <cfRule type="expression" dxfId="18292" priority="62364">
      <formula>$H2407="SUBETAPA"</formula>
    </cfRule>
  </conditionalFormatting>
  <conditionalFormatting sqref="H2408 J2408:M2408 O2408">
    <cfRule type="expression" dxfId="18291" priority="62378">
      <formula>$H2408="CÉLULA CONSTRUTIVA"</formula>
    </cfRule>
  </conditionalFormatting>
  <conditionalFormatting sqref="H2408 O2408 J2408:L2408">
    <cfRule type="expression" dxfId="18290" priority="62377">
      <formula>$H2408="SUBETAPA"</formula>
    </cfRule>
  </conditionalFormatting>
  <conditionalFormatting sqref="H2413 J2413:K2413 O2413">
    <cfRule type="expression" dxfId="18289" priority="62558">
      <formula>$H2413="SUBETAPA"</formula>
    </cfRule>
    <cfRule type="expression" dxfId="18288" priority="62559">
      <formula>$H2413="CÉLULA CONSTRUTIVA"</formula>
    </cfRule>
  </conditionalFormatting>
  <conditionalFormatting sqref="H2415:H2416 J2415:K2416">
    <cfRule type="expression" dxfId="18287" priority="62639">
      <formula>$H2415="ETAPA"</formula>
    </cfRule>
  </conditionalFormatting>
  <conditionalFormatting sqref="H2415:H2416 O2415:O2416 J2415:K2416">
    <cfRule type="expression" dxfId="18286" priority="62645">
      <formula>$H2415="SUBETAPA"</formula>
    </cfRule>
    <cfRule type="expression" dxfId="18285" priority="62646">
      <formula>$H2415="CÉLULA CONSTRUTIVA"</formula>
    </cfRule>
  </conditionalFormatting>
  <conditionalFormatting sqref="H2417 O2417 J2417:K2417">
    <cfRule type="expression" dxfId="18284" priority="62732">
      <formula>$H2417="SUBETAPA"</formula>
    </cfRule>
    <cfRule type="expression" dxfId="18283" priority="62733">
      <formula>$H2417="CÉLULA CONSTRUTIVA"</formula>
    </cfRule>
  </conditionalFormatting>
  <conditionalFormatting sqref="H2418">
    <cfRule type="expression" dxfId="18282" priority="7008">
      <formula>$H2418="CÉLULA CONSTRUTIVA"</formula>
    </cfRule>
  </conditionalFormatting>
  <conditionalFormatting sqref="H2419 J2432:M2432 H2427 J2427:K2427 J2419:K2419 J2431 O2432 O2427">
    <cfRule type="expression" dxfId="18281" priority="62699">
      <formula>$H2419="CÉLULA CONSTRUTIVA"</formula>
    </cfRule>
  </conditionalFormatting>
  <conditionalFormatting sqref="H2428 J2428:K2428 O2428">
    <cfRule type="expression" dxfId="18280" priority="6980">
      <formula>$H2428="CÉLULA CONSTRUTIVA"</formula>
    </cfRule>
  </conditionalFormatting>
  <conditionalFormatting sqref="H2430 O2430 J2430:K2430">
    <cfRule type="expression" dxfId="18279" priority="62603">
      <formula>$H2430="SUBETAPA"</formula>
    </cfRule>
  </conditionalFormatting>
  <conditionalFormatting sqref="H2431 J2431:M2431 O2431">
    <cfRule type="expression" dxfId="18278" priority="62617">
      <formula>$H2431="CÉLULA CONSTRUTIVA"</formula>
    </cfRule>
  </conditionalFormatting>
  <conditionalFormatting sqref="H2431 O2431 J2431:L2431">
    <cfRule type="expression" dxfId="18277" priority="62616">
      <formula>$H2431="SUBETAPA"</formula>
    </cfRule>
  </conditionalFormatting>
  <conditionalFormatting sqref="H2436 J2436:K2436 O2436">
    <cfRule type="expression" dxfId="18276" priority="62797">
      <formula>$H2436="SUBETAPA"</formula>
    </cfRule>
    <cfRule type="expression" dxfId="18275" priority="62798">
      <formula>$H2436="CÉLULA CONSTRUTIVA"</formula>
    </cfRule>
  </conditionalFormatting>
  <conditionalFormatting sqref="H2438:H2439 J2438:K2439">
    <cfRule type="expression" dxfId="18274" priority="62878">
      <formula>$H2438="ETAPA"</formula>
    </cfRule>
  </conditionalFormatting>
  <conditionalFormatting sqref="H2438:H2439 O2438:O2439 J2438:K2439">
    <cfRule type="expression" dxfId="18273" priority="62884">
      <formula>$H2438="SUBETAPA"</formula>
    </cfRule>
    <cfRule type="expression" dxfId="18272" priority="62885">
      <formula>$H2438="CÉLULA CONSTRUTIVA"</formula>
    </cfRule>
  </conditionalFormatting>
  <conditionalFormatting sqref="H2440 O2440 J2440:K2440">
    <cfRule type="expression" dxfId="18271" priority="62971">
      <formula>$H2440="SUBETAPA"</formula>
    </cfRule>
    <cfRule type="expression" dxfId="18270" priority="62972">
      <formula>$H2440="CÉLULA CONSTRUTIVA"</formula>
    </cfRule>
  </conditionalFormatting>
  <conditionalFormatting sqref="H2441">
    <cfRule type="expression" dxfId="18269" priority="6952">
      <formula>$H2441="CÉLULA CONSTRUTIVA"</formula>
    </cfRule>
  </conditionalFormatting>
  <conditionalFormatting sqref="H2442 J2455:M2455 H2450 J2450:K2450 J2442:K2442 J2454 O2455 O2450">
    <cfRule type="expression" dxfId="18268" priority="62938">
      <formula>$H2442="CÉLULA CONSTRUTIVA"</formula>
    </cfRule>
  </conditionalFormatting>
  <conditionalFormatting sqref="H2451 J2451:K2451 O2451">
    <cfRule type="expression" dxfId="18267" priority="6924">
      <formula>$H2451="CÉLULA CONSTRUTIVA"</formula>
    </cfRule>
  </conditionalFormatting>
  <conditionalFormatting sqref="H2453 O2453 J2453:K2453">
    <cfRule type="expression" dxfId="18266" priority="62842">
      <formula>$H2453="SUBETAPA"</formula>
    </cfRule>
  </conditionalFormatting>
  <conditionalFormatting sqref="H2454 J2454:M2454 O2454">
    <cfRule type="expression" dxfId="18265" priority="62856">
      <formula>$H2454="CÉLULA CONSTRUTIVA"</formula>
    </cfRule>
  </conditionalFormatting>
  <conditionalFormatting sqref="H2454 O2454 J2454:L2454">
    <cfRule type="expression" dxfId="18264" priority="62855">
      <formula>$H2454="SUBETAPA"</formula>
    </cfRule>
  </conditionalFormatting>
  <conditionalFormatting sqref="H2459 J2459:K2459 O2459">
    <cfRule type="expression" dxfId="18263" priority="63036">
      <formula>$H2459="SUBETAPA"</formula>
    </cfRule>
    <cfRule type="expression" dxfId="18262" priority="63037">
      <formula>$H2459="CÉLULA CONSTRUTIVA"</formula>
    </cfRule>
  </conditionalFormatting>
  <conditionalFormatting sqref="H2461:H2462 J2461:K2462">
    <cfRule type="expression" dxfId="18261" priority="63117">
      <formula>$H2461="ETAPA"</formula>
    </cfRule>
  </conditionalFormatting>
  <conditionalFormatting sqref="H2461:H2462 O2461:O2462 J2461:K2462">
    <cfRule type="expression" dxfId="18260" priority="63123">
      <formula>$H2461="SUBETAPA"</formula>
    </cfRule>
    <cfRule type="expression" dxfId="18259" priority="63124">
      <formula>$H2461="CÉLULA CONSTRUTIVA"</formula>
    </cfRule>
  </conditionalFormatting>
  <conditionalFormatting sqref="H2463 O2463 J2463:K2463">
    <cfRule type="expression" dxfId="18258" priority="63210">
      <formula>$H2463="SUBETAPA"</formula>
    </cfRule>
    <cfRule type="expression" dxfId="18257" priority="63211">
      <formula>$H2463="CÉLULA CONSTRUTIVA"</formula>
    </cfRule>
  </conditionalFormatting>
  <conditionalFormatting sqref="H2465">
    <cfRule type="expression" dxfId="18256" priority="6896">
      <formula>$H2465="CÉLULA CONSTRUTIVA"</formula>
    </cfRule>
  </conditionalFormatting>
  <conditionalFormatting sqref="H2466 J2479:M2479 H2474 J2474:K2474 J2466:K2466 J2478 O2479 O2474">
    <cfRule type="expression" dxfId="18255" priority="63177">
      <formula>$H2466="CÉLULA CONSTRUTIVA"</formula>
    </cfRule>
  </conditionalFormatting>
  <conditionalFormatting sqref="H2475 J2475:K2475 O2475">
    <cfRule type="expression" dxfId="18254" priority="6868">
      <formula>$H2475="CÉLULA CONSTRUTIVA"</formula>
    </cfRule>
  </conditionalFormatting>
  <conditionalFormatting sqref="H2477 O2477 J2477:K2477">
    <cfRule type="expression" dxfId="18253" priority="63081">
      <formula>$H2477="SUBETAPA"</formula>
    </cfRule>
  </conditionalFormatting>
  <conditionalFormatting sqref="H2478 J2478:M2478 O2478">
    <cfRule type="expression" dxfId="18252" priority="63095">
      <formula>$H2478="CÉLULA CONSTRUTIVA"</formula>
    </cfRule>
  </conditionalFormatting>
  <conditionalFormatting sqref="H2478 O2478 J2478:L2478">
    <cfRule type="expression" dxfId="18251" priority="63094">
      <formula>$H2478="SUBETAPA"</formula>
    </cfRule>
  </conditionalFormatting>
  <conditionalFormatting sqref="H2483 J2483:K2483 O2483">
    <cfRule type="expression" dxfId="18250" priority="63275">
      <formula>$H2483="SUBETAPA"</formula>
    </cfRule>
    <cfRule type="expression" dxfId="18249" priority="63276">
      <formula>$H2483="CÉLULA CONSTRUTIVA"</formula>
    </cfRule>
  </conditionalFormatting>
  <conditionalFormatting sqref="H2485:H2486 J2485:K2486">
    <cfRule type="expression" dxfId="18248" priority="63356">
      <formula>$H2485="ETAPA"</formula>
    </cfRule>
  </conditionalFormatting>
  <conditionalFormatting sqref="H2485:H2486 O2485:O2486 J2485:K2486">
    <cfRule type="expression" dxfId="18247" priority="63362">
      <formula>$H2485="SUBETAPA"</formula>
    </cfRule>
    <cfRule type="expression" dxfId="18246" priority="63363">
      <formula>$H2485="CÉLULA CONSTRUTIVA"</formula>
    </cfRule>
  </conditionalFormatting>
  <conditionalFormatting sqref="H2487 O2487 J2491 J2487:K2487">
    <cfRule type="expression" dxfId="18245" priority="63450">
      <formula>$H2487="CÉLULA CONSTRUTIVA"</formula>
    </cfRule>
  </conditionalFormatting>
  <conditionalFormatting sqref="H2489">
    <cfRule type="expression" dxfId="18244" priority="6840">
      <formula>$H2489="CÉLULA CONSTRUTIVA"</formula>
    </cfRule>
  </conditionalFormatting>
  <conditionalFormatting sqref="H2490 J2490:K2490 O2490">
    <cfRule type="expression" dxfId="18243" priority="63375">
      <formula>$H2490="CÉLULA CONSTRUTIVA"</formula>
    </cfRule>
  </conditionalFormatting>
  <conditionalFormatting sqref="H2491:H2492 J2508:M2508 H2502 J2502:K2502 J2491:K2492 J2507 O2508 O2502 O2504:O2505 J2504:K2505 H2504:H2505 M2502:M2505">
    <cfRule type="expression" dxfId="18242" priority="63416">
      <formula>$H2491="CÉLULA CONSTRUTIVA"</formula>
    </cfRule>
  </conditionalFormatting>
  <conditionalFormatting sqref="H2503 J2503:K2503 O2503">
    <cfRule type="expression" dxfId="18241" priority="6812">
      <formula>$H2503="CÉLULA CONSTRUTIVA"</formula>
    </cfRule>
  </conditionalFormatting>
  <conditionalFormatting sqref="H2506 O2506 J2506:K2506">
    <cfRule type="expression" dxfId="18240" priority="63320">
      <formula>$H2506="SUBETAPA"</formula>
    </cfRule>
  </conditionalFormatting>
  <conditionalFormatting sqref="H2507 J2507:M2507 O2507">
    <cfRule type="expression" dxfId="18239" priority="63334">
      <formula>$H2507="CÉLULA CONSTRUTIVA"</formula>
    </cfRule>
  </conditionalFormatting>
  <conditionalFormatting sqref="H2507 O2507 J2507:L2507">
    <cfRule type="expression" dxfId="18238" priority="63333">
      <formula>$H2507="SUBETAPA"</formula>
    </cfRule>
  </conditionalFormatting>
  <conditionalFormatting sqref="H2512:H2513 J2512:K2513">
    <cfRule type="expression" dxfId="18237" priority="63595">
      <formula>$H2512="ETAPA"</formula>
    </cfRule>
  </conditionalFormatting>
  <conditionalFormatting sqref="H2512:H2513 O2512:O2513 J2512:K2513">
    <cfRule type="expression" dxfId="18236" priority="63601">
      <formula>$H2512="SUBETAPA"</formula>
    </cfRule>
    <cfRule type="expression" dxfId="18235" priority="63602">
      <formula>$H2512="CÉLULA CONSTRUTIVA"</formula>
    </cfRule>
  </conditionalFormatting>
  <conditionalFormatting sqref="H2514 O2514 J2517 J2514:K2514">
    <cfRule type="expression" dxfId="18234" priority="63689">
      <formula>$H2514="CÉLULA CONSTRUTIVA"</formula>
    </cfRule>
  </conditionalFormatting>
  <conditionalFormatting sqref="H2516">
    <cfRule type="expression" dxfId="18233" priority="6784">
      <formula>$H2516="CÉLULA CONSTRUTIVA"</formula>
    </cfRule>
  </conditionalFormatting>
  <conditionalFormatting sqref="H2517 J2530:M2530 J2517:K2517 J2529 O2530 O2527:O2528 J2527:K2528 H2527:H2528">
    <cfRule type="expression" dxfId="18232" priority="63655">
      <formula>$H2517="CÉLULA CONSTRUTIVA"</formula>
    </cfRule>
  </conditionalFormatting>
  <conditionalFormatting sqref="H2526 J2526:K2526 O2526">
    <cfRule type="expression" dxfId="18231" priority="6739">
      <formula>$H2526="CÉLULA CONSTRUTIVA"</formula>
    </cfRule>
  </conditionalFormatting>
  <conditionalFormatting sqref="H2529 J2529:M2529 O2529">
    <cfRule type="expression" dxfId="18230" priority="63573">
      <formula>$H2529="CÉLULA CONSTRUTIVA"</formula>
    </cfRule>
  </conditionalFormatting>
  <conditionalFormatting sqref="H2529 O2529 J2529:L2529">
    <cfRule type="expression" dxfId="18229" priority="63572">
      <formula>$H2529="SUBETAPA"</formula>
    </cfRule>
  </conditionalFormatting>
  <conditionalFormatting sqref="H2534:H2535 J2534:K2535">
    <cfRule type="expression" dxfId="18228" priority="63834">
      <formula>$H2534="ETAPA"</formula>
    </cfRule>
  </conditionalFormatting>
  <conditionalFormatting sqref="H2534:H2535 O2534:O2535 J2534:K2535">
    <cfRule type="expression" dxfId="18227" priority="63840">
      <formula>$H2534="SUBETAPA"</formula>
    </cfRule>
    <cfRule type="expression" dxfId="18226" priority="63841">
      <formula>$H2534="CÉLULA CONSTRUTIVA"</formula>
    </cfRule>
  </conditionalFormatting>
  <conditionalFormatting sqref="H2536 O2536 J2536:K2536">
    <cfRule type="expression" dxfId="18225" priority="63927">
      <formula>$H2536="SUBETAPA"</formula>
    </cfRule>
    <cfRule type="expression" dxfId="18224" priority="63928">
      <formula>$H2536="CÉLULA CONSTRUTIVA"</formula>
    </cfRule>
  </conditionalFormatting>
  <conditionalFormatting sqref="H2537">
    <cfRule type="expression" dxfId="18223" priority="6705">
      <formula>$H2537="CÉLULA CONSTRUTIVA"</formula>
    </cfRule>
  </conditionalFormatting>
  <conditionalFormatting sqref="H2544 J2544:K2544 O2544">
    <cfRule type="expression" dxfId="18222" priority="6675">
      <formula>$H2544="CÉLULA CONSTRUTIVA"</formula>
    </cfRule>
  </conditionalFormatting>
  <conditionalFormatting sqref="H2546 J2546:M2546 O2546">
    <cfRule type="expression" dxfId="18221" priority="63812">
      <formula>$H2546="CÉLULA CONSTRUTIVA"</formula>
    </cfRule>
  </conditionalFormatting>
  <conditionalFormatting sqref="H2546 O2546 J2546:L2546">
    <cfRule type="expression" dxfId="18220" priority="63811">
      <formula>$H2546="SUBETAPA"</formula>
    </cfRule>
  </conditionalFormatting>
  <conditionalFormatting sqref="H2550:H2551 J2550:K2551">
    <cfRule type="expression" dxfId="18219" priority="64073">
      <formula>$H2550="ETAPA"</formula>
    </cfRule>
  </conditionalFormatting>
  <conditionalFormatting sqref="H2550:H2551 O2550:O2551 J2550:K2551">
    <cfRule type="expression" dxfId="18218" priority="64079">
      <formula>$H2550="SUBETAPA"</formula>
    </cfRule>
    <cfRule type="expression" dxfId="18217" priority="64080">
      <formula>$H2550="CÉLULA CONSTRUTIVA"</formula>
    </cfRule>
  </conditionalFormatting>
  <conditionalFormatting sqref="H2552 O2552 J2552:K2552">
    <cfRule type="expression" dxfId="18216" priority="64166">
      <formula>$H2552="SUBETAPA"</formula>
    </cfRule>
    <cfRule type="expression" dxfId="18215" priority="64167">
      <formula>$H2552="CÉLULA CONSTRUTIVA"</formula>
    </cfRule>
  </conditionalFormatting>
  <conditionalFormatting sqref="H2553">
    <cfRule type="expression" dxfId="18214" priority="6647">
      <formula>$H2553="CÉLULA CONSTRUTIVA"</formula>
    </cfRule>
  </conditionalFormatting>
  <conditionalFormatting sqref="H2560 J2560:K2560 O2560">
    <cfRule type="expression" dxfId="18213" priority="6617">
      <formula>$H2560="CÉLULA CONSTRUTIVA"</formula>
    </cfRule>
  </conditionalFormatting>
  <conditionalFormatting sqref="H2562 J2562:M2562 O2562">
    <cfRule type="expression" dxfId="18212" priority="64051">
      <formula>$H2562="CÉLULA CONSTRUTIVA"</formula>
    </cfRule>
  </conditionalFormatting>
  <conditionalFormatting sqref="H2562 O2562 J2562:L2562">
    <cfRule type="expression" dxfId="18211" priority="64050">
      <formula>$H2562="SUBETAPA"</formula>
    </cfRule>
  </conditionalFormatting>
  <conditionalFormatting sqref="H2566:H2567 J2566:K2567">
    <cfRule type="expression" dxfId="18210" priority="64312">
      <formula>$H2566="ETAPA"</formula>
    </cfRule>
  </conditionalFormatting>
  <conditionalFormatting sqref="H2566:H2567 O2566:O2567 J2566:K2567">
    <cfRule type="expression" dxfId="18209" priority="64318">
      <formula>$H2566="SUBETAPA"</formula>
    </cfRule>
    <cfRule type="expression" dxfId="18208" priority="64319">
      <formula>$H2566="CÉLULA CONSTRUTIVA"</formula>
    </cfRule>
  </conditionalFormatting>
  <conditionalFormatting sqref="H2568 O2568 J2568:K2568">
    <cfRule type="expression" dxfId="18207" priority="64405">
      <formula>$H2568="SUBETAPA"</formula>
    </cfRule>
    <cfRule type="expression" dxfId="18206" priority="64406">
      <formula>$H2568="CÉLULA CONSTRUTIVA"</formula>
    </cfRule>
  </conditionalFormatting>
  <conditionalFormatting sqref="H2569">
    <cfRule type="expression" dxfId="18205" priority="6589">
      <formula>$H2569="CÉLULA CONSTRUTIVA"</formula>
    </cfRule>
  </conditionalFormatting>
  <conditionalFormatting sqref="H2576 J2576:K2576 O2576">
    <cfRule type="expression" dxfId="18204" priority="6559">
      <formula>$H2576="CÉLULA CONSTRUTIVA"</formula>
    </cfRule>
  </conditionalFormatting>
  <conditionalFormatting sqref="H2578 J2578:M2578 O2578">
    <cfRule type="expression" dxfId="18203" priority="64290">
      <formula>$H2578="CÉLULA CONSTRUTIVA"</formula>
    </cfRule>
  </conditionalFormatting>
  <conditionalFormatting sqref="H2578 O2578 J2578:L2578">
    <cfRule type="expression" dxfId="18202" priority="64289">
      <formula>$H2578="SUBETAPA"</formula>
    </cfRule>
  </conditionalFormatting>
  <conditionalFormatting sqref="H2582:H2583 J2582:K2583">
    <cfRule type="expression" dxfId="18201" priority="64551">
      <formula>$H2582="ETAPA"</formula>
    </cfRule>
  </conditionalFormatting>
  <conditionalFormatting sqref="H2582:H2583 O2582:O2583 J2582:K2583">
    <cfRule type="expression" dxfId="18200" priority="64557">
      <formula>$H2582="SUBETAPA"</formula>
    </cfRule>
    <cfRule type="expression" dxfId="18199" priority="64558">
      <formula>$H2582="CÉLULA CONSTRUTIVA"</formula>
    </cfRule>
  </conditionalFormatting>
  <conditionalFormatting sqref="H2584 O2584 J2584:K2584">
    <cfRule type="expression" dxfId="18198" priority="64644">
      <formula>$H2584="SUBETAPA"</formula>
    </cfRule>
    <cfRule type="expression" dxfId="18197" priority="64645">
      <formula>$H2584="CÉLULA CONSTRUTIVA"</formula>
    </cfRule>
  </conditionalFormatting>
  <conditionalFormatting sqref="H2585">
    <cfRule type="expression" dxfId="18196" priority="6531">
      <formula>$H2585="CÉLULA CONSTRUTIVA"</formula>
    </cfRule>
  </conditionalFormatting>
  <conditionalFormatting sqref="H2592 J2592:K2592 O2592">
    <cfRule type="expression" dxfId="18195" priority="6501">
      <formula>$H2592="CÉLULA CONSTRUTIVA"</formula>
    </cfRule>
  </conditionalFormatting>
  <conditionalFormatting sqref="H2594 J2594:M2594 O2594">
    <cfRule type="expression" dxfId="18194" priority="64529">
      <formula>$H2594="CÉLULA CONSTRUTIVA"</formula>
    </cfRule>
  </conditionalFormatting>
  <conditionalFormatting sqref="H2594 O2594 J2594:L2594">
    <cfRule type="expression" dxfId="18193" priority="64528">
      <formula>$H2594="SUBETAPA"</formula>
    </cfRule>
  </conditionalFormatting>
  <conditionalFormatting sqref="H2598:H2599 J2598:K2599">
    <cfRule type="expression" dxfId="18192" priority="64790">
      <formula>$H2598="ETAPA"</formula>
    </cfRule>
  </conditionalFormatting>
  <conditionalFormatting sqref="H2598:H2599 O2598:O2599 J2598:K2599">
    <cfRule type="expression" dxfId="18191" priority="64796">
      <formula>$H2598="SUBETAPA"</formula>
    </cfRule>
    <cfRule type="expression" dxfId="18190" priority="64797">
      <formula>$H2598="CÉLULA CONSTRUTIVA"</formula>
    </cfRule>
  </conditionalFormatting>
  <conditionalFormatting sqref="H2600 O2600 J2600:K2600">
    <cfRule type="expression" dxfId="18189" priority="64883">
      <formula>$H2600="SUBETAPA"</formula>
    </cfRule>
    <cfRule type="expression" dxfId="18188" priority="64884">
      <formula>$H2600="CÉLULA CONSTRUTIVA"</formula>
    </cfRule>
  </conditionalFormatting>
  <conditionalFormatting sqref="H2601">
    <cfRule type="expression" dxfId="18187" priority="6473">
      <formula>$H2601="CÉLULA CONSTRUTIVA"</formula>
    </cfRule>
  </conditionalFormatting>
  <conditionalFormatting sqref="H2608 J2608:K2608 O2608">
    <cfRule type="expression" dxfId="18186" priority="6443">
      <formula>$H2608="CÉLULA CONSTRUTIVA"</formula>
    </cfRule>
  </conditionalFormatting>
  <conditionalFormatting sqref="H2610 J2610:M2610 O2610">
    <cfRule type="expression" dxfId="18185" priority="64768">
      <formula>$H2610="CÉLULA CONSTRUTIVA"</formula>
    </cfRule>
  </conditionalFormatting>
  <conditionalFormatting sqref="H2610 O2610 J2610:L2610">
    <cfRule type="expression" dxfId="18184" priority="64767">
      <formula>$H2610="SUBETAPA"</formula>
    </cfRule>
  </conditionalFormatting>
  <conditionalFormatting sqref="H2614:H2615 J2614:K2615">
    <cfRule type="expression" dxfId="18183" priority="65029">
      <formula>$H2614="ETAPA"</formula>
    </cfRule>
  </conditionalFormatting>
  <conditionalFormatting sqref="H2614:H2615 O2614:O2615 J2614:K2615">
    <cfRule type="expression" dxfId="18182" priority="65035">
      <formula>$H2614="SUBETAPA"</formula>
    </cfRule>
    <cfRule type="expression" dxfId="18181" priority="65036">
      <formula>$H2614="CÉLULA CONSTRUTIVA"</formula>
    </cfRule>
  </conditionalFormatting>
  <conditionalFormatting sqref="H2616 O2616 J2616:K2616">
    <cfRule type="expression" dxfId="18180" priority="65122">
      <formula>$H2616="SUBETAPA"</formula>
    </cfRule>
    <cfRule type="expression" dxfId="18179" priority="65123">
      <formula>$H2616="CÉLULA CONSTRUTIVA"</formula>
    </cfRule>
  </conditionalFormatting>
  <conditionalFormatting sqref="H2617">
    <cfRule type="expression" dxfId="18178" priority="6415">
      <formula>$H2617="CÉLULA CONSTRUTIVA"</formula>
    </cfRule>
  </conditionalFormatting>
  <conditionalFormatting sqref="H2623 J2623:K2623 O2623">
    <cfRule type="expression" dxfId="18177" priority="6385">
      <formula>$H2623="CÉLULA CONSTRUTIVA"</formula>
    </cfRule>
  </conditionalFormatting>
  <conditionalFormatting sqref="H2625 J2625:M2625 O2625">
    <cfRule type="expression" dxfId="18176" priority="65007">
      <formula>$H2625="CÉLULA CONSTRUTIVA"</formula>
    </cfRule>
  </conditionalFormatting>
  <conditionalFormatting sqref="H2625 O2625 J2625:L2625">
    <cfRule type="expression" dxfId="18175" priority="65006">
      <formula>$H2625="SUBETAPA"</formula>
    </cfRule>
  </conditionalFormatting>
  <conditionalFormatting sqref="H2629 J2629:L2629 L2630:L2634">
    <cfRule type="expression" dxfId="18174" priority="1938">
      <formula>$H2629="SUBETAPA"</formula>
    </cfRule>
  </conditionalFormatting>
  <conditionalFormatting sqref="H2629 J2629:M2629 L2630:L2634">
    <cfRule type="expression" dxfId="18173" priority="1937">
      <formula>$H2629="CÉLULA CONSTRUTIVA"</formula>
    </cfRule>
  </conditionalFormatting>
  <conditionalFormatting sqref="H2631:H2634 J2631:J2634">
    <cfRule type="expression" dxfId="18172" priority="1947">
      <formula>$H2631="SUBETAPA"</formula>
    </cfRule>
  </conditionalFormatting>
  <conditionalFormatting sqref="H2631:H2634 J2631:K2634">
    <cfRule type="expression" dxfId="18171" priority="1945">
      <formula>$H2631="CÉLULA CONSTRUTIVA"</formula>
    </cfRule>
    <cfRule type="expression" dxfId="18170" priority="1946">
      <formula>$H2631="ETAPA"</formula>
    </cfRule>
  </conditionalFormatting>
  <conditionalFormatting sqref="H2640 J2640:K2640 L2641 M2640">
    <cfRule type="expression" dxfId="18169" priority="2005">
      <formula>$H2640="CÉLULA CONSTRUTIVA"</formula>
    </cfRule>
  </conditionalFormatting>
  <conditionalFormatting sqref="H2640 J2640:K2640 L2641">
    <cfRule type="expression" dxfId="18168" priority="2006">
      <formula>$H2640="SUBETAPA"</formula>
    </cfRule>
  </conditionalFormatting>
  <conditionalFormatting sqref="H2650 J2650:K2650 L2651 M2650">
    <cfRule type="expression" dxfId="18167" priority="2073">
      <formula>$H2650="CÉLULA CONSTRUTIVA"</formula>
    </cfRule>
  </conditionalFormatting>
  <conditionalFormatting sqref="H2650 J2650:K2650 L2651">
    <cfRule type="expression" dxfId="18166" priority="2074">
      <formula>$H2650="SUBETAPA"</formula>
    </cfRule>
  </conditionalFormatting>
  <conditionalFormatting sqref="H2656 J2656:M2656">
    <cfRule type="expression" dxfId="18165" priority="2075">
      <formula>$H2656="ETAPA"</formula>
    </cfRule>
    <cfRule type="expression" dxfId="18164" priority="2079">
      <formula>$H2656="CÉLULA CONSTRUTIVA"</formula>
    </cfRule>
    <cfRule type="expression" dxfId="18163" priority="2080">
      <formula>$H2656="SUBETAPA"</formula>
    </cfRule>
  </conditionalFormatting>
  <conditionalFormatting sqref="H2659 J2659:K2659 L2660 M2659">
    <cfRule type="expression" dxfId="18162" priority="2141">
      <formula>$H2659="CÉLULA CONSTRUTIVA"</formula>
    </cfRule>
  </conditionalFormatting>
  <conditionalFormatting sqref="H2659 J2659:K2659 L2660">
    <cfRule type="expression" dxfId="18161" priority="2142">
      <formula>$H2659="SUBETAPA"</formula>
    </cfRule>
  </conditionalFormatting>
  <conditionalFormatting sqref="H2663 J2663:M2663">
    <cfRule type="expression" dxfId="18160" priority="2143">
      <formula>$H2663="ETAPA"</formula>
    </cfRule>
    <cfRule type="expression" dxfId="18159" priority="2147">
      <formula>$H2663="CÉLULA CONSTRUTIVA"</formula>
    </cfRule>
    <cfRule type="expression" dxfId="18158" priority="2148">
      <formula>$H2663="SUBETAPA"</formula>
    </cfRule>
  </conditionalFormatting>
  <conditionalFormatting sqref="H2666 J2666:K2666 L2667 M2666">
    <cfRule type="expression" dxfId="18157" priority="2209">
      <formula>$H2666="CÉLULA CONSTRUTIVA"</formula>
    </cfRule>
  </conditionalFormatting>
  <conditionalFormatting sqref="H2666 J2666:K2666 L2667">
    <cfRule type="expression" dxfId="18156" priority="2210">
      <formula>$H2666="SUBETAPA"</formula>
    </cfRule>
  </conditionalFormatting>
  <conditionalFormatting sqref="H2670 J2670:M2670">
    <cfRule type="expression" dxfId="18155" priority="2211">
      <formula>$H2670="ETAPA"</formula>
    </cfRule>
    <cfRule type="expression" dxfId="18154" priority="2215">
      <formula>$H2670="CÉLULA CONSTRUTIVA"</formula>
    </cfRule>
    <cfRule type="expression" dxfId="18153" priority="2216">
      <formula>$H2670="SUBETAPA"</formula>
    </cfRule>
  </conditionalFormatting>
  <conditionalFormatting sqref="H2673 J2673:K2673 L2674 M2673">
    <cfRule type="expression" dxfId="18152" priority="2277">
      <formula>$H2673="CÉLULA CONSTRUTIVA"</formula>
    </cfRule>
  </conditionalFormatting>
  <conditionalFormatting sqref="H2673 J2673:K2673 L2674">
    <cfRule type="expression" dxfId="18151" priority="2278">
      <formula>$H2673="SUBETAPA"</formula>
    </cfRule>
  </conditionalFormatting>
  <conditionalFormatting sqref="H2678 J2678:M2678">
    <cfRule type="expression" dxfId="18150" priority="2279">
      <formula>$H2678="ETAPA"</formula>
    </cfRule>
    <cfRule type="expression" dxfId="18149" priority="2283">
      <formula>$H2678="CÉLULA CONSTRUTIVA"</formula>
    </cfRule>
    <cfRule type="expression" dxfId="18148" priority="2284">
      <formula>$H2678="SUBETAPA"</formula>
    </cfRule>
  </conditionalFormatting>
  <conditionalFormatting sqref="H2681 J2681:K2681 L2682 M2681">
    <cfRule type="expression" dxfId="18147" priority="2345">
      <formula>$H2681="CÉLULA CONSTRUTIVA"</formula>
    </cfRule>
  </conditionalFormatting>
  <conditionalFormatting sqref="H2681 J2681:K2681 L2682">
    <cfRule type="expression" dxfId="18146" priority="2346">
      <formula>$H2681="SUBETAPA"</formula>
    </cfRule>
  </conditionalFormatting>
  <conditionalFormatting sqref="H2688 J2688:M2688">
    <cfRule type="expression" dxfId="18145" priority="2347">
      <formula>$H2688="ETAPA"</formula>
    </cfRule>
    <cfRule type="expression" dxfId="18144" priority="2351">
      <formula>$H2688="CÉLULA CONSTRUTIVA"</formula>
    </cfRule>
    <cfRule type="expression" dxfId="18143" priority="2352">
      <formula>$H2688="SUBETAPA"</formula>
    </cfRule>
  </conditionalFormatting>
  <conditionalFormatting sqref="H2691 J2691:K2691 L2692 M2691">
    <cfRule type="expression" dxfId="18142" priority="2413">
      <formula>$H2691="CÉLULA CONSTRUTIVA"</formula>
    </cfRule>
  </conditionalFormatting>
  <conditionalFormatting sqref="H2691 J2691:K2691 L2692">
    <cfRule type="expression" dxfId="18141" priority="2414">
      <formula>$H2691="SUBETAPA"</formula>
    </cfRule>
  </conditionalFormatting>
  <conditionalFormatting sqref="H2699 J2699:K2699 L2700 M2699">
    <cfRule type="expression" dxfId="18140" priority="2481">
      <formula>$H2699="CÉLULA CONSTRUTIVA"</formula>
    </cfRule>
  </conditionalFormatting>
  <conditionalFormatting sqref="H2699 J2699:K2699 L2700">
    <cfRule type="expression" dxfId="18139" priority="2482">
      <formula>$H2699="SUBETAPA"</formula>
    </cfRule>
  </conditionalFormatting>
  <conditionalFormatting sqref="H2710 J2710:K2710 L2711 M2710">
    <cfRule type="expression" dxfId="18138" priority="2549">
      <formula>$H2710="CÉLULA CONSTRUTIVA"</formula>
    </cfRule>
  </conditionalFormatting>
  <conditionalFormatting sqref="H2710 J2710:K2710 L2711">
    <cfRule type="expression" dxfId="18137" priority="2550">
      <formula>$H2710="SUBETAPA"</formula>
    </cfRule>
  </conditionalFormatting>
  <conditionalFormatting sqref="H2721 J2721:K2721 L2722 M2721">
    <cfRule type="expression" dxfId="18136" priority="1792">
      <formula>$H2721="CÉLULA CONSTRUTIVA"</formula>
    </cfRule>
  </conditionalFormatting>
  <conditionalFormatting sqref="H2721 J2721:K2721 L2722">
    <cfRule type="expression" dxfId="18135" priority="1793">
      <formula>$H2721="SUBETAPA"</formula>
    </cfRule>
  </conditionalFormatting>
  <conditionalFormatting sqref="H2732 J2732:K2732 L2733 M2732">
    <cfRule type="expression" dxfId="18134" priority="1864">
      <formula>$H2732="CÉLULA CONSTRUTIVA"</formula>
    </cfRule>
  </conditionalFormatting>
  <conditionalFormatting sqref="H2732 J2732:K2732 L2733">
    <cfRule type="expression" dxfId="18133" priority="1865">
      <formula>$H2732="SUBETAPA"</formula>
    </cfRule>
  </conditionalFormatting>
  <conditionalFormatting sqref="H2732:H2733 J2732:K2733 J2730:M2731 G2730:H2731 H2721:H2722 J2721:K2722 J2719:M2720 G2719:H2720">
    <cfRule type="expression" dxfId="18132" priority="1883">
      <formula>$H2719="ETAPA"</formula>
    </cfRule>
  </conditionalFormatting>
  <conditionalFormatting sqref="H2733 J2730:K2731 G2730:H2731 H2722 J2719:K2720 G2719:H2720">
    <cfRule type="expression" dxfId="18131" priority="1879">
      <formula>$H2719="CÉLULA CONSTRUTIVA"</formula>
    </cfRule>
    <cfRule type="expression" dxfId="18130" priority="1880">
      <formula>$H2719="SUBETAPA"</formula>
    </cfRule>
  </conditionalFormatting>
  <conditionalFormatting sqref="H2743 J2743:K2743 L2744 M2743">
    <cfRule type="expression" dxfId="18129" priority="2617">
      <formula>$H2743="CÉLULA CONSTRUTIVA"</formula>
    </cfRule>
  </conditionalFormatting>
  <conditionalFormatting sqref="H2743 J2743:K2743 L2744">
    <cfRule type="expression" dxfId="18128"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27" priority="116315">
      <formula>$H2626="ETAPA"</formula>
    </cfRule>
  </conditionalFormatting>
  <conditionalFormatting sqref="H2759 J2759:M2759 O2759">
    <cfRule type="expression" dxfId="18126" priority="1395">
      <formula>$H2759="CÉLULA CONSTRUTIVA"</formula>
    </cfRule>
  </conditionalFormatting>
  <conditionalFormatting sqref="H2761 J2761:K2761 M2761">
    <cfRule type="expression" dxfId="18125" priority="1393">
      <formula>$H2761="ETAPA"</formula>
    </cfRule>
  </conditionalFormatting>
  <conditionalFormatting sqref="H2761 M2761 J2761:K2761">
    <cfRule type="expression" dxfId="18124" priority="1392">
      <formula>$H2761="SUBETAPA"</formula>
    </cfRule>
  </conditionalFormatting>
  <conditionalFormatting sqref="H2762 J2762:L2762">
    <cfRule type="expression" dxfId="18123" priority="1386">
      <formula>$H2762="CÉLULA CONSTRUTIVA"</formula>
    </cfRule>
  </conditionalFormatting>
  <conditionalFormatting sqref="H2762 O2762 G2763:H2763 J2763:L2763 J2762:K2762">
    <cfRule type="expression" dxfId="18122" priority="1363">
      <formula>$H2762="SUBETAPA"</formula>
    </cfRule>
  </conditionalFormatting>
  <conditionalFormatting sqref="H2762">
    <cfRule type="expression" dxfId="18121" priority="1389">
      <formula>$H2762="ETAPA"</formula>
    </cfRule>
  </conditionalFormatting>
  <conditionalFormatting sqref="H2765 J2765:M2765 O2765">
    <cfRule type="expression" dxfId="18120" priority="1437">
      <formula>$H2765="CÉLULA CONSTRUTIVA"</formula>
    </cfRule>
  </conditionalFormatting>
  <conditionalFormatting sqref="H2767 J2767:K2767 M2767">
    <cfRule type="expression" dxfId="18119" priority="1435">
      <formula>$H2767="ETAPA"</formula>
    </cfRule>
  </conditionalFormatting>
  <conditionalFormatting sqref="H2767 M2767 J2767:K2767">
    <cfRule type="expression" dxfId="18118" priority="1434">
      <formula>$H2767="SUBETAPA"</formula>
    </cfRule>
  </conditionalFormatting>
  <conditionalFormatting sqref="H2768 J2768:L2768">
    <cfRule type="expression" dxfId="18117" priority="1428">
      <formula>$H2768="CÉLULA CONSTRUTIVA"</formula>
    </cfRule>
  </conditionalFormatting>
  <conditionalFormatting sqref="H2768 O2768 G2769:H2769 J2769:L2769 J2768:K2768">
    <cfRule type="expression" dxfId="18116" priority="1405">
      <formula>$H2768="SUBETAPA"</formula>
    </cfRule>
  </conditionalFormatting>
  <conditionalFormatting sqref="H2768">
    <cfRule type="expression" dxfId="18115" priority="1431">
      <formula>$H2768="ETAPA"</formula>
    </cfRule>
  </conditionalFormatting>
  <conditionalFormatting sqref="H2771 J2771:M2771 O2771">
    <cfRule type="expression" dxfId="18114" priority="1479">
      <formula>$H2771="CÉLULA CONSTRUTIVA"</formula>
    </cfRule>
  </conditionalFormatting>
  <conditionalFormatting sqref="H2773 J2773:K2773 M2773">
    <cfRule type="expression" dxfId="18113" priority="1477">
      <formula>$H2773="ETAPA"</formula>
    </cfRule>
  </conditionalFormatting>
  <conditionalFormatting sqref="H2773 M2773 J2773:K2773">
    <cfRule type="expression" dxfId="18112" priority="1476">
      <formula>$H2773="SUBETAPA"</formula>
    </cfRule>
  </conditionalFormatting>
  <conditionalFormatting sqref="H2774 J2774:L2774">
    <cfRule type="expression" dxfId="18111" priority="1470">
      <formula>$H2774="CÉLULA CONSTRUTIVA"</formula>
    </cfRule>
  </conditionalFormatting>
  <conditionalFormatting sqref="H2774 O2774 G2775:H2775 J2775:L2775 J2774:K2774">
    <cfRule type="expression" dxfId="18110" priority="1447">
      <formula>$H2774="SUBETAPA"</formula>
    </cfRule>
  </conditionalFormatting>
  <conditionalFormatting sqref="H2774">
    <cfRule type="expression" dxfId="18109" priority="1473">
      <formula>$H2774="ETAPA"</formula>
    </cfRule>
  </conditionalFormatting>
  <conditionalFormatting sqref="H2777 J2777:M2777 O2777">
    <cfRule type="expression" dxfId="18108" priority="1521">
      <formula>$H2777="CÉLULA CONSTRUTIVA"</formula>
    </cfRule>
  </conditionalFormatting>
  <conditionalFormatting sqref="H2777:H2779 M2778:M2779 J2778:K2779 J2777:M2777 O2777">
    <cfRule type="expression" dxfId="18107" priority="1520">
      <formula>$H2777="SUBETAPA"</formula>
    </cfRule>
  </conditionalFormatting>
  <conditionalFormatting sqref="H2778:H2780 M2781:M2784 J2778:M2780">
    <cfRule type="expression" dxfId="18106" priority="1529">
      <formula>$H2778="CÉLULA CONSTRUTIVA"</formula>
    </cfRule>
  </conditionalFormatting>
  <conditionalFormatting sqref="H2780 J2780:K2780 M2780">
    <cfRule type="expression" dxfId="18105" priority="1519">
      <formula>$H2780="ETAPA"</formula>
    </cfRule>
  </conditionalFormatting>
  <conditionalFormatting sqref="H2780 M2780 J2780:K2780">
    <cfRule type="expression" dxfId="18104" priority="1518">
      <formula>$H2780="SUBETAPA"</formula>
    </cfRule>
  </conditionalFormatting>
  <conditionalFormatting sqref="H2781 J2781:L2781 O2781">
    <cfRule type="expression" dxfId="18103" priority="1517">
      <formula>$H2781="ETAPA"</formula>
    </cfRule>
  </conditionalFormatting>
  <conditionalFormatting sqref="H2781 J2781:L2781">
    <cfRule type="expression" dxfId="18102" priority="1523">
      <formula>$H2781="SUBETAPA"</formula>
    </cfRule>
  </conditionalFormatting>
  <conditionalFormatting sqref="H2783 J2783:L2783">
    <cfRule type="expression" dxfId="18101" priority="1512">
      <formula>$H2783="CÉLULA CONSTRUTIVA"</formula>
    </cfRule>
  </conditionalFormatting>
  <conditionalFormatting sqref="H2786 J2786:M2786 O2786">
    <cfRule type="expression" dxfId="18100" priority="1563">
      <formula>$H2786="CÉLULA CONSTRUTIVA"</formula>
    </cfRule>
  </conditionalFormatting>
  <conditionalFormatting sqref="H2786:H2788 M2787:M2788 J2787:K2788 J2786:M2786 O2786">
    <cfRule type="expression" dxfId="18099" priority="1562">
      <formula>$H2786="SUBETAPA"</formula>
    </cfRule>
  </conditionalFormatting>
  <conditionalFormatting sqref="H2787:H2789 M2790:M2793 J2787:M2789">
    <cfRule type="expression" dxfId="18098" priority="1571">
      <formula>$H2787="CÉLULA CONSTRUTIVA"</formula>
    </cfRule>
  </conditionalFormatting>
  <conditionalFormatting sqref="H2789 J2789:K2789 M2789">
    <cfRule type="expression" dxfId="18097" priority="1561">
      <formula>$H2789="ETAPA"</formula>
    </cfRule>
  </conditionalFormatting>
  <conditionalFormatting sqref="H2789 M2789 J2789:K2789">
    <cfRule type="expression" dxfId="18096" priority="1560">
      <formula>$H2789="SUBETAPA"</formula>
    </cfRule>
  </conditionalFormatting>
  <conditionalFormatting sqref="H2790 J2790:L2790 O2790">
    <cfRule type="expression" dxfId="18095" priority="1559">
      <formula>$H2790="ETAPA"</formula>
    </cfRule>
  </conditionalFormatting>
  <conditionalFormatting sqref="H2790 J2790:L2790">
    <cfRule type="expression" dxfId="18094" priority="1565">
      <formula>$H2790="SUBETAPA"</formula>
    </cfRule>
  </conditionalFormatting>
  <conditionalFormatting sqref="H2792 J2792:L2792">
    <cfRule type="expression" dxfId="18093" priority="1554">
      <formula>$H2792="CÉLULA CONSTRUTIVA"</formula>
    </cfRule>
  </conditionalFormatting>
  <conditionalFormatting sqref="H2795 J2795:M2795 O2795">
    <cfRule type="expression" dxfId="18092" priority="1605">
      <formula>$H2795="CÉLULA CONSTRUTIVA"</formula>
    </cfRule>
  </conditionalFormatting>
  <conditionalFormatting sqref="H2795:H2797 M2796:M2797 J2796:K2797 J2795:M2795 O2795">
    <cfRule type="expression" dxfId="18091" priority="1604">
      <formula>$H2795="SUBETAPA"</formula>
    </cfRule>
  </conditionalFormatting>
  <conditionalFormatting sqref="H2796:H2798 J2796:M2798 M2799:M2802">
    <cfRule type="expression" dxfId="18090" priority="1613">
      <formula>$H2796="CÉLULA CONSTRUTIVA"</formula>
    </cfRule>
  </conditionalFormatting>
  <conditionalFormatting sqref="H2798 J2798:K2798 M2798">
    <cfRule type="expression" dxfId="18089" priority="1603">
      <formula>$H2798="ETAPA"</formula>
    </cfRule>
  </conditionalFormatting>
  <conditionalFormatting sqref="H2798 M2798 J2798:K2798">
    <cfRule type="expression" dxfId="18088" priority="1602">
      <formula>$H2798="SUBETAPA"</formula>
    </cfRule>
  </conditionalFormatting>
  <conditionalFormatting sqref="H2799 J2799:L2799 O2799">
    <cfRule type="expression" dxfId="18087" priority="1601">
      <formula>$H2799="ETAPA"</formula>
    </cfRule>
  </conditionalFormatting>
  <conditionalFormatting sqref="H2799 J2799:L2799">
    <cfRule type="expression" dxfId="18086" priority="1607">
      <formula>$H2799="SUBETAPA"</formula>
    </cfRule>
  </conditionalFormatting>
  <conditionalFormatting sqref="H2801 J2801:L2801">
    <cfRule type="expression" dxfId="18085" priority="1596">
      <formula>$H2801="CÉLULA CONSTRUTIVA"</formula>
    </cfRule>
  </conditionalFormatting>
  <conditionalFormatting sqref="H2804 J2804:M2804 O2804">
    <cfRule type="expression" dxfId="18084" priority="1647">
      <formula>$H2804="CÉLULA CONSTRUTIVA"</formula>
    </cfRule>
  </conditionalFormatting>
  <conditionalFormatting sqref="H2804:H2806 M2805:M2806 J2805:K2806 J2804:M2804 O2804">
    <cfRule type="expression" dxfId="18083" priority="1646">
      <formula>$H2804="SUBETAPA"</formula>
    </cfRule>
  </conditionalFormatting>
  <conditionalFormatting sqref="H2805:H2807 M2808:M2811 J2805:M2807">
    <cfRule type="expression" dxfId="18082" priority="1655">
      <formula>$H2805="CÉLULA CONSTRUTIVA"</formula>
    </cfRule>
  </conditionalFormatting>
  <conditionalFormatting sqref="H2807 J2807:K2807 M2807">
    <cfRule type="expression" dxfId="18081" priority="1645">
      <formula>$H2807="ETAPA"</formula>
    </cfRule>
  </conditionalFormatting>
  <conditionalFormatting sqref="H2807 M2807 J2807:K2807">
    <cfRule type="expression" dxfId="18080" priority="1644">
      <formula>$H2807="SUBETAPA"</formula>
    </cfRule>
  </conditionalFormatting>
  <conditionalFormatting sqref="H2808 J2808:L2808 O2808">
    <cfRule type="expression" dxfId="18079" priority="1643">
      <formula>$H2808="ETAPA"</formula>
    </cfRule>
  </conditionalFormatting>
  <conditionalFormatting sqref="H2808 J2808:L2808">
    <cfRule type="expression" dxfId="18078" priority="1649">
      <formula>$H2808="SUBETAPA"</formula>
    </cfRule>
  </conditionalFormatting>
  <conditionalFormatting sqref="H2810 J2810:L2810">
    <cfRule type="expression" dxfId="18077" priority="1638">
      <formula>$H2810="CÉLULA CONSTRUTIVA"</formula>
    </cfRule>
  </conditionalFormatting>
  <conditionalFormatting sqref="H2813 J2813:M2813 O2813">
    <cfRule type="expression" dxfId="18076" priority="1689">
      <formula>$H2813="CÉLULA CONSTRUTIVA"</formula>
    </cfRule>
  </conditionalFormatting>
  <conditionalFormatting sqref="H2813:H2815 M2814:M2815 J2814:K2815 J2813:M2813 O2813">
    <cfRule type="expression" dxfId="18075" priority="1688">
      <formula>$H2813="SUBETAPA"</formula>
    </cfRule>
  </conditionalFormatting>
  <conditionalFormatting sqref="H2814:H2816 J2814:M2816">
    <cfRule type="expression" dxfId="18074" priority="1697">
      <formula>$H2814="CÉLULA CONSTRUTIVA"</formula>
    </cfRule>
  </conditionalFormatting>
  <conditionalFormatting sqref="H2816 J2816:K2816 M2816">
    <cfRule type="expression" dxfId="18073" priority="1687">
      <formula>$H2816="ETAPA"</formula>
    </cfRule>
  </conditionalFormatting>
  <conditionalFormatting sqref="H2816 M2816 J2816:K2816">
    <cfRule type="expression" dxfId="18072" priority="1686">
      <formula>$H2816="SUBETAPA"</formula>
    </cfRule>
  </conditionalFormatting>
  <conditionalFormatting sqref="H2817 J2818:K2818">
    <cfRule type="expression" dxfId="18071" priority="1683">
      <formula>$H2817="ETAPA"</formula>
    </cfRule>
  </conditionalFormatting>
  <conditionalFormatting sqref="H2817 J2817:L2817">
    <cfRule type="expression" dxfId="18070" priority="1680">
      <formula>$H2817="CÉLULA CONSTRUTIVA"</formula>
    </cfRule>
  </conditionalFormatting>
  <conditionalFormatting sqref="H2817 O2817 G2818:H2818 J2817:K2818">
    <cfRule type="expression" dxfId="18069" priority="1657">
      <formula>$H2817="SUBETAPA"</formula>
    </cfRule>
  </conditionalFormatting>
  <conditionalFormatting sqref="H2820 J2820:K2820">
    <cfRule type="expression" dxfId="18068" priority="421">
      <formula>$H2820="CÉLULA CONSTRUTIVA"</formula>
    </cfRule>
  </conditionalFormatting>
  <conditionalFormatting sqref="H2826 J2826:K2826">
    <cfRule type="expression" dxfId="18067" priority="443">
      <formula>$H2826="SUBETAPA"</formula>
    </cfRule>
    <cfRule type="expression" dxfId="18066" priority="444">
      <formula>$H2826="ETAPA"</formula>
    </cfRule>
  </conditionalFormatting>
  <conditionalFormatting sqref="H2827 J2827">
    <cfRule type="expression" dxfId="18065" priority="441">
      <formula>$H2827="SUBETAPA"</formula>
    </cfRule>
    <cfRule type="expression" dxfId="18064" priority="442">
      <formula>$H2827="ETAPA"</formula>
    </cfRule>
  </conditionalFormatting>
  <conditionalFormatting sqref="H2829 J2829:K2829">
    <cfRule type="expression" dxfId="18063" priority="426">
      <formula>$H2829="CÉLULA CONSTRUTIVA"</formula>
    </cfRule>
    <cfRule type="expression" dxfId="18062" priority="427">
      <formula>$H2829="SUBETAPA"</formula>
    </cfRule>
  </conditionalFormatting>
  <conditionalFormatting sqref="H2829">
    <cfRule type="expression" dxfId="18061" priority="446">
      <formula>$H2829="ETAPA"</formula>
    </cfRule>
  </conditionalFormatting>
  <conditionalFormatting sqref="H2831 J2831:K2831">
    <cfRule type="expression" dxfId="18060" priority="486">
      <formula>$H2831="CÉLULA CONSTRUTIVA"</formula>
    </cfRule>
  </conditionalFormatting>
  <conditionalFormatting sqref="H2838 J2838:K2838">
    <cfRule type="expression" dxfId="18059" priority="491">
      <formula>$H2838="CÉLULA CONSTRUTIVA"</formula>
    </cfRule>
    <cfRule type="expression" dxfId="18058" priority="492">
      <formula>$H2838="SUBETAPA"</formula>
    </cfRule>
  </conditionalFormatting>
  <conditionalFormatting sqref="H2838">
    <cfRule type="expression" dxfId="18057" priority="511">
      <formula>$H2838="ETAPA"</formula>
    </cfRule>
  </conditionalFormatting>
  <conditionalFormatting sqref="H2840 J2840:K2840">
    <cfRule type="expression" dxfId="18056" priority="551">
      <formula>$H2840="CÉLULA CONSTRUTIVA"</formula>
    </cfRule>
  </conditionalFormatting>
  <conditionalFormatting sqref="H2847 J2847:K2847">
    <cfRule type="expression" dxfId="18055" priority="556">
      <formula>$H2847="CÉLULA CONSTRUTIVA"</formula>
    </cfRule>
    <cfRule type="expression" dxfId="18054" priority="557">
      <formula>$H2847="SUBETAPA"</formula>
    </cfRule>
  </conditionalFormatting>
  <conditionalFormatting sqref="H2847">
    <cfRule type="expression" dxfId="18053" priority="576">
      <formula>$H2847="ETAPA"</formula>
    </cfRule>
  </conditionalFormatting>
  <conditionalFormatting sqref="H2849 J2849:K2849">
    <cfRule type="expression" dxfId="18052" priority="616">
      <formula>$H2849="CÉLULA CONSTRUTIVA"</formula>
    </cfRule>
  </conditionalFormatting>
  <conditionalFormatting sqref="H2856 J2856:K2856">
    <cfRule type="expression" dxfId="18051" priority="621">
      <formula>$H2856="CÉLULA CONSTRUTIVA"</formula>
    </cfRule>
    <cfRule type="expression" dxfId="18050" priority="622">
      <formula>$H2856="SUBETAPA"</formula>
    </cfRule>
  </conditionalFormatting>
  <conditionalFormatting sqref="H2856">
    <cfRule type="expression" dxfId="18049" priority="641">
      <formula>$H2856="ETAPA"</formula>
    </cfRule>
  </conditionalFormatting>
  <conditionalFormatting sqref="H2858 J2858:K2858">
    <cfRule type="expression" dxfId="18048" priority="681">
      <formula>$H2858="CÉLULA CONSTRUTIVA"</formula>
    </cfRule>
  </conditionalFormatting>
  <conditionalFormatting sqref="H2865 J2865:K2865">
    <cfRule type="expression" dxfId="18047" priority="686">
      <formula>$H2865="CÉLULA CONSTRUTIVA"</formula>
    </cfRule>
    <cfRule type="expression" dxfId="18046" priority="687">
      <formula>$H2865="SUBETAPA"</formula>
    </cfRule>
  </conditionalFormatting>
  <conditionalFormatting sqref="H2865">
    <cfRule type="expression" dxfId="18045" priority="706">
      <formula>$H2865="ETAPA"</formula>
    </cfRule>
  </conditionalFormatting>
  <conditionalFormatting sqref="H2867 J2867:K2867">
    <cfRule type="expression" dxfId="18044" priority="746">
      <formula>$H2867="CÉLULA CONSTRUTIVA"</formula>
    </cfRule>
  </conditionalFormatting>
  <conditionalFormatting sqref="H2874 J2874:K2874">
    <cfRule type="expression" dxfId="18043" priority="751">
      <formula>$H2874="CÉLULA CONSTRUTIVA"</formula>
    </cfRule>
    <cfRule type="expression" dxfId="18042" priority="752">
      <formula>$H2874="SUBETAPA"</formula>
    </cfRule>
  </conditionalFormatting>
  <conditionalFormatting sqref="H2874">
    <cfRule type="expression" dxfId="18041" priority="771">
      <formula>$H2874="ETAPA"</formula>
    </cfRule>
  </conditionalFormatting>
  <conditionalFormatting sqref="H2876 J2876:K2876">
    <cfRule type="expression" dxfId="18040" priority="811">
      <formula>$H2876="CÉLULA CONSTRUTIVA"</formula>
    </cfRule>
  </conditionalFormatting>
  <conditionalFormatting sqref="H2882 J2882:K2882">
    <cfRule type="expression" dxfId="18039" priority="833">
      <formula>$H2882="SUBETAPA"</formula>
    </cfRule>
    <cfRule type="expression" dxfId="18038" priority="834">
      <formula>$H2882="ETAPA"</formula>
    </cfRule>
  </conditionalFormatting>
  <conditionalFormatting sqref="H2883 J2883">
    <cfRule type="expression" dxfId="18037" priority="831">
      <formula>$H2883="SUBETAPA"</formula>
    </cfRule>
    <cfRule type="expression" dxfId="18036" priority="832">
      <formula>$H2883="ETAPA"</formula>
    </cfRule>
  </conditionalFormatting>
  <conditionalFormatting sqref="H2885 J2885:K2885">
    <cfRule type="expression" dxfId="18035" priority="816">
      <formula>$H2885="CÉLULA CONSTRUTIVA"</formula>
    </cfRule>
    <cfRule type="expression" dxfId="18034" priority="817">
      <formula>$H2885="SUBETAPA"</formula>
    </cfRule>
  </conditionalFormatting>
  <conditionalFormatting sqref="H2885">
    <cfRule type="expression" dxfId="18033" priority="836">
      <formula>$H2885="ETAPA"</formula>
    </cfRule>
  </conditionalFormatting>
  <conditionalFormatting sqref="H2887 J2887:K2887">
    <cfRule type="expression" dxfId="18032" priority="876">
      <formula>$H2887="CÉLULA CONSTRUTIVA"</formula>
    </cfRule>
  </conditionalFormatting>
  <conditionalFormatting sqref="H2893 J2893:K2893">
    <cfRule type="expression" dxfId="18031" priority="898">
      <formula>$H2893="SUBETAPA"</formula>
    </cfRule>
    <cfRule type="expression" dxfId="18030" priority="899">
      <formula>$H2893="ETAPA"</formula>
    </cfRule>
  </conditionalFormatting>
  <conditionalFormatting sqref="H2894 J2894">
    <cfRule type="expression" dxfId="18029" priority="896">
      <formula>$H2894="SUBETAPA"</formula>
    </cfRule>
    <cfRule type="expression" dxfId="18028" priority="897">
      <formula>$H2894="ETAPA"</formula>
    </cfRule>
  </conditionalFormatting>
  <conditionalFormatting sqref="H2896 J2896:L2896">
    <cfRule type="expression" dxfId="18027" priority="881">
      <formula>$H2896="CÉLULA CONSTRUTIVA"</formula>
    </cfRule>
    <cfRule type="expression" dxfId="18026" priority="882">
      <formula>$H2896="SUBETAPA"</formula>
    </cfRule>
  </conditionalFormatting>
  <conditionalFormatting sqref="H2896">
    <cfRule type="expression" dxfId="18025" priority="901">
      <formula>$H2896="ETAPA"</formula>
    </cfRule>
  </conditionalFormatting>
  <conditionalFormatting sqref="H2898 J2898:K2898">
    <cfRule type="expression" dxfId="18024" priority="941">
      <formula>$H2898="CÉLULA CONSTRUTIVA"</formula>
    </cfRule>
  </conditionalFormatting>
  <conditionalFormatting sqref="H2905 J2905:K2905">
    <cfRule type="expression" dxfId="18023" priority="946">
      <formula>$H2905="CÉLULA CONSTRUTIVA"</formula>
    </cfRule>
    <cfRule type="expression" dxfId="18022" priority="947">
      <formula>$H2905="SUBETAPA"</formula>
    </cfRule>
  </conditionalFormatting>
  <conditionalFormatting sqref="H2905">
    <cfRule type="expression" dxfId="18021" priority="966">
      <formula>$H2905="ETAPA"</formula>
    </cfRule>
  </conditionalFormatting>
  <conditionalFormatting sqref="H2907 J2907:K2907">
    <cfRule type="expression" dxfId="18020" priority="1006">
      <formula>$H2907="CÉLULA CONSTRUTIVA"</formula>
    </cfRule>
  </conditionalFormatting>
  <conditionalFormatting sqref="H2914 J2914:K2914">
    <cfRule type="expression" dxfId="18019" priority="1011">
      <formula>$H2914="CÉLULA CONSTRUTIVA"</formula>
    </cfRule>
    <cfRule type="expression" dxfId="18018" priority="1012">
      <formula>$H2914="SUBETAPA"</formula>
    </cfRule>
  </conditionalFormatting>
  <conditionalFormatting sqref="H2914">
    <cfRule type="expression" dxfId="18017" priority="1031">
      <formula>$H2914="ETAPA"</formula>
    </cfRule>
  </conditionalFormatting>
  <conditionalFormatting sqref="H2916 J2916:K2916">
    <cfRule type="expression" dxfId="18016" priority="1071">
      <formula>$H2916="CÉLULA CONSTRUTIVA"</formula>
    </cfRule>
  </conditionalFormatting>
  <conditionalFormatting sqref="H2923 J2923:K2923">
    <cfRule type="expression" dxfId="18015" priority="1076">
      <formula>$H2923="CÉLULA CONSTRUTIVA"</formula>
    </cfRule>
    <cfRule type="expression" dxfId="18014" priority="1077">
      <formula>$H2923="SUBETAPA"</formula>
    </cfRule>
  </conditionalFormatting>
  <conditionalFormatting sqref="H2923">
    <cfRule type="expression" dxfId="18013" priority="1096">
      <formula>$H2923="ETAPA"</formula>
    </cfRule>
  </conditionalFormatting>
  <conditionalFormatting sqref="H2925 J2925:K2925">
    <cfRule type="expression" dxfId="18012" priority="1136">
      <formula>$H2925="CÉLULA CONSTRUTIVA"</formula>
    </cfRule>
  </conditionalFormatting>
  <conditionalFormatting sqref="H2932 J2932:K2932">
    <cfRule type="expression" dxfId="18011" priority="1141">
      <formula>$H2932="CÉLULA CONSTRUTIVA"</formula>
    </cfRule>
    <cfRule type="expression" dxfId="18010" priority="1142">
      <formula>$H2932="SUBETAPA"</formula>
    </cfRule>
  </conditionalFormatting>
  <conditionalFormatting sqref="H2932">
    <cfRule type="expression" dxfId="18009" priority="1161">
      <formula>$H2932="ETAPA"</formula>
    </cfRule>
  </conditionalFormatting>
  <conditionalFormatting sqref="H2934 J2934:K2934">
    <cfRule type="expression" dxfId="18008" priority="1201">
      <formula>$H2934="CÉLULA CONSTRUTIVA"</formula>
    </cfRule>
  </conditionalFormatting>
  <conditionalFormatting sqref="H2940 J2940:K2940">
    <cfRule type="expression" dxfId="18007" priority="1223">
      <formula>$H2940="SUBETAPA"</formula>
    </cfRule>
    <cfRule type="expression" dxfId="18006" priority="1224">
      <formula>$H2940="ETAPA"</formula>
    </cfRule>
  </conditionalFormatting>
  <conditionalFormatting sqref="H2941 J2941">
    <cfRule type="expression" dxfId="18005" priority="1221">
      <formula>$H2941="SUBETAPA"</formula>
    </cfRule>
    <cfRule type="expression" dxfId="18004" priority="1222">
      <formula>$H2941="ETAPA"</formula>
    </cfRule>
  </conditionalFormatting>
  <conditionalFormatting sqref="H2943 J2943:L2943">
    <cfRule type="expression" dxfId="18003" priority="1206">
      <formula>$H2943="CÉLULA CONSTRUTIVA"</formula>
    </cfRule>
    <cfRule type="expression" dxfId="18002" priority="1207">
      <formula>$H2943="SUBETAPA"</formula>
    </cfRule>
  </conditionalFormatting>
  <conditionalFormatting sqref="H2943">
    <cfRule type="expression" dxfId="18001" priority="1226">
      <formula>$H2943="ETAPA"</formula>
    </cfRule>
  </conditionalFormatting>
  <conditionalFormatting sqref="H2945 J2945:K2945">
    <cfRule type="expression" dxfId="18000" priority="1266">
      <formula>$H2945="CÉLULA CONSTRUTIVA"</formula>
    </cfRule>
  </conditionalFormatting>
  <conditionalFormatting sqref="H2948 J2948:K2948">
    <cfRule type="expression" dxfId="17999" priority="1288">
      <formula>$H2948="SUBETAPA"</formula>
    </cfRule>
    <cfRule type="expression" dxfId="17998" priority="1289">
      <formula>$H2948="ETAPA"</formula>
    </cfRule>
  </conditionalFormatting>
  <conditionalFormatting sqref="H2949 J2949">
    <cfRule type="expression" dxfId="17997" priority="1286">
      <formula>$H2949="SUBETAPA"</formula>
    </cfRule>
    <cfRule type="expression" dxfId="17996" priority="1287">
      <formula>$H2949="ETAPA"</formula>
    </cfRule>
  </conditionalFormatting>
  <conditionalFormatting sqref="H2950 J2950:K2950">
    <cfRule type="expression" dxfId="17995" priority="1284">
      <formula>$H2950="SUBETAPA"</formula>
    </cfRule>
    <cfRule type="expression" dxfId="17994" priority="1285">
      <formula>$H2950="ETAPA"</formula>
    </cfRule>
  </conditionalFormatting>
  <conditionalFormatting sqref="H2951 J2951:K2951">
    <cfRule type="expression" dxfId="17993" priority="1283">
      <formula>$H2951="ETAPA"</formula>
    </cfRule>
    <cfRule type="expression" dxfId="17992" priority="1290">
      <formula>$H2951="SUBETAPA"</formula>
    </cfRule>
  </conditionalFormatting>
  <conditionalFormatting sqref="H2953 J2953:L2953">
    <cfRule type="expression" dxfId="17991" priority="1271">
      <formula>$H2953="CÉLULA CONSTRUTIVA"</formula>
    </cfRule>
    <cfRule type="expression" dxfId="17990" priority="1272">
      <formula>$H2953="SUBETAPA"</formula>
    </cfRule>
  </conditionalFormatting>
  <conditionalFormatting sqref="H2953">
    <cfRule type="expression" dxfId="17989" priority="1291">
      <formula>$H2953="ETAPA"</formula>
    </cfRule>
  </conditionalFormatting>
  <conditionalFormatting sqref="H2957 L2959:L2960 J2957:L2957">
    <cfRule type="expression" dxfId="17988" priority="66710">
      <formula>$H2957="SUBETAPA"</formula>
    </cfRule>
  </conditionalFormatting>
  <conditionalFormatting sqref="H2957 L2959:L2960 O2957 J2957:L2957">
    <cfRule type="expression" dxfId="17987" priority="66711">
      <formula>$H2957="CÉLULA CONSTRUTIVA"</formula>
    </cfRule>
  </conditionalFormatting>
  <conditionalFormatting sqref="H2960 J2960">
    <cfRule type="expression" dxfId="17986" priority="66707">
      <formula>$H2960="SUBETAPA"</formula>
    </cfRule>
  </conditionalFormatting>
  <conditionalFormatting sqref="H2960 J2960:K2960">
    <cfRule type="expression" dxfId="17985" priority="66702">
      <formula>$H2960="CÉLULA CONSTRUTIVA"</formula>
    </cfRule>
    <cfRule type="expression" dxfId="17984" priority="66703">
      <formula>$H2960="ETAPA"</formula>
    </cfRule>
  </conditionalFormatting>
  <conditionalFormatting sqref="H2991 J2991:L2991">
    <cfRule type="expression" dxfId="17983" priority="65682">
      <formula>$H2991="SUBETAPA"</formula>
    </cfRule>
  </conditionalFormatting>
  <conditionalFormatting sqref="H2991 O2991 J2991:L2991">
    <cfRule type="expression" dxfId="17982" priority="65683">
      <formula>$H2991="CÉLULA CONSTRUTIVA"</formula>
    </cfRule>
  </conditionalFormatting>
  <conditionalFormatting sqref="H2998 L3000:L3001 J2998:L2998">
    <cfRule type="expression" dxfId="17981" priority="66196">
      <formula>$H2998="SUBETAPA"</formula>
    </cfRule>
  </conditionalFormatting>
  <conditionalFormatting sqref="H2998 L3000:L3001 O2998 J2998:L2998">
    <cfRule type="expression" dxfId="17980" priority="66197">
      <formula>$H2998="CÉLULA CONSTRUTIVA"</formula>
    </cfRule>
  </conditionalFormatting>
  <conditionalFormatting sqref="H3001 J3001">
    <cfRule type="expression" dxfId="17979" priority="66193">
      <formula>$H3001="SUBETAPA"</formula>
    </cfRule>
  </conditionalFormatting>
  <conditionalFormatting sqref="H3001 J3001:K3001">
    <cfRule type="expression" dxfId="17978" priority="66188">
      <formula>$H3001="CÉLULA CONSTRUTIVA"</formula>
    </cfRule>
    <cfRule type="expression" dxfId="17977" priority="66189">
      <formula>$H3001="ETAPA"</formula>
    </cfRule>
  </conditionalFormatting>
  <conditionalFormatting sqref="H3007 J3007:L3007">
    <cfRule type="expression" dxfId="17976" priority="65798">
      <formula>$H3007="SUBETAPA"</formula>
    </cfRule>
  </conditionalFormatting>
  <conditionalFormatting sqref="H3007 O3007 J3007:L3007">
    <cfRule type="expression" dxfId="17975" priority="65799">
      <formula>$H3007="CÉLULA CONSTRUTIVA"</formula>
    </cfRule>
  </conditionalFormatting>
  <conditionalFormatting sqref="H3014 J3014:L3014">
    <cfRule type="expression" dxfId="17974" priority="65902">
      <formula>$H3014="SUBETAPA"</formula>
    </cfRule>
  </conditionalFormatting>
  <conditionalFormatting sqref="H3014 O3014 J3014:L3014">
    <cfRule type="expression" dxfId="17973" priority="65903">
      <formula>$H3014="CÉLULA CONSTRUTIVA"</formula>
    </cfRule>
  </conditionalFormatting>
  <conditionalFormatting sqref="H3021 J3021:L3021">
    <cfRule type="expression" dxfId="17972" priority="65997">
      <formula>$H3021="SUBETAPA"</formula>
    </cfRule>
  </conditionalFormatting>
  <conditionalFormatting sqref="H3021 O3021 J3021:L3021">
    <cfRule type="expression" dxfId="17971" priority="65998">
      <formula>$H3021="CÉLULA CONSTRUTIVA"</formula>
    </cfRule>
  </conditionalFormatting>
  <conditionalFormatting sqref="H3028 J3028:L3028">
    <cfRule type="expression" dxfId="17970" priority="66101">
      <formula>$H3028="SUBETAPA"</formula>
    </cfRule>
  </conditionalFormatting>
  <conditionalFormatting sqref="H3028 O3028 J3028:L3028">
    <cfRule type="expression" dxfId="17969"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68"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67" priority="83632">
      <formula>$H3035="CÉLULA CONSTRUTIVA"</formula>
    </cfRule>
  </conditionalFormatting>
  <conditionalFormatting sqref="H3052 H3066 H3075 J3075:L3075 J3066:L3066 J3052:L3052">
    <cfRule type="expression" dxfId="17966" priority="61054">
      <formula>$H3052="SUBETAPA"</formula>
    </cfRule>
  </conditionalFormatting>
  <conditionalFormatting sqref="H3052 H3066 H3075 O3075 O3066 O3052 J3075:L3075 J3066:L3066 J3052:L3052">
    <cfRule type="expression" dxfId="17965"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64" priority="67017">
      <formula>$H3053="SUBETAPA"</formula>
    </cfRule>
    <cfRule type="expression" dxfId="17963" priority="67018">
      <formula>$H3053="CÉLULA CONSTRUTIVA"</formula>
    </cfRule>
  </conditionalFormatting>
  <conditionalFormatting sqref="H3055 H3059 J3059 J3055 H3063 O3063">
    <cfRule type="expression" dxfId="17962" priority="61051">
      <formula>$H3055="SUBETAPA"</formula>
    </cfRule>
  </conditionalFormatting>
  <conditionalFormatting sqref="H3055 H3059 J3059:K3059 J3055:K3055">
    <cfRule type="expression" dxfId="17961" priority="61046">
      <formula>$H3055="CÉLULA CONSTRUTIVA"</formula>
    </cfRule>
  </conditionalFormatting>
  <conditionalFormatting sqref="H3055 J3055:K3055 H3059 J3059:K3059 H3063">
    <cfRule type="expression" dxfId="17960" priority="61047">
      <formula>$H3055="ETAPA"</formula>
    </cfRule>
  </conditionalFormatting>
  <conditionalFormatting sqref="H3083 H3097 J3097:L3097 J3083:L3083">
    <cfRule type="expression" dxfId="17959" priority="61300">
      <formula>$H3083="SUBETAPA"</formula>
    </cfRule>
  </conditionalFormatting>
  <conditionalFormatting sqref="H3083 H3097 O3097 O3083 J3097:L3097 J3083:L3083">
    <cfRule type="expression" dxfId="17958" priority="61301">
      <formula>$H3083="CÉLULA CONSTRUTIVA"</formula>
    </cfRule>
  </conditionalFormatting>
  <conditionalFormatting sqref="H3086 J3086 H3089">
    <cfRule type="expression" dxfId="17957" priority="61297">
      <formula>$H3086="SUBETAPA"</formula>
    </cfRule>
  </conditionalFormatting>
  <conditionalFormatting sqref="H3086 J3086:K3086 H3089">
    <cfRule type="expression" dxfId="17956" priority="61293">
      <formula>$H3086="ETAPA"</formula>
    </cfRule>
  </conditionalFormatting>
  <conditionalFormatting sqref="H3086 J3086:K3086">
    <cfRule type="expression" dxfId="17955" priority="61292">
      <formula>$H3086="CÉLULA CONSTRUTIVA"</formula>
    </cfRule>
  </conditionalFormatting>
  <conditionalFormatting sqref="H3102 H3119 J3119:L3119 J3102:L3102">
    <cfRule type="expression" dxfId="17954" priority="61546">
      <formula>$H3102="SUBETAPA"</formula>
    </cfRule>
  </conditionalFormatting>
  <conditionalFormatting sqref="H3102 H3119 O3119 O3102 J3119:L3119 J3102:L3102">
    <cfRule type="expression" dxfId="17953" priority="61547">
      <formula>$H3102="CÉLULA CONSTRUTIVA"</formula>
    </cfRule>
  </conditionalFormatting>
  <conditionalFormatting sqref="H3105 H3107 J3107 J3105 H3110">
    <cfRule type="expression" dxfId="17952" priority="61543">
      <formula>$H3105="SUBETAPA"</formula>
    </cfRule>
  </conditionalFormatting>
  <conditionalFormatting sqref="H3105 H3107 J3107:K3107 J3105:K3105">
    <cfRule type="expression" dxfId="17951" priority="61538">
      <formula>$H3105="CÉLULA CONSTRUTIVA"</formula>
    </cfRule>
  </conditionalFormatting>
  <conditionalFormatting sqref="H3105 J3105:K3105 H3107 J3107:K3107 H3110">
    <cfRule type="expression" dxfId="17950" priority="61539">
      <formula>$H3105="ETAPA"</formula>
    </cfRule>
  </conditionalFormatting>
  <conditionalFormatting sqref="H3128 H3130 H3152 H3158 H3165 J3165 J3158 J3130 J3128 H3133 H3154">
    <cfRule type="expression" dxfId="17949" priority="83618">
      <formula>$H3128="SUBETAPA"</formula>
    </cfRule>
  </conditionalFormatting>
  <conditionalFormatting sqref="H3128 H3130 H3152 H3158 H3165 J3165:K3165 J3158:K3158 J3130:K3130 J3128:K3128 H3154">
    <cfRule type="expression" dxfId="17948" priority="83611">
      <formula>$H3128="CÉLULA CONSTRUTIVA"</formula>
    </cfRule>
  </conditionalFormatting>
  <conditionalFormatting sqref="H3128 J3128:K3128 H3130 J3130:K3130 H3152 H3154 H3158 J3158:K3158 H3165 J3165:K3165 H3133">
    <cfRule type="expression" dxfId="17947" priority="83614">
      <formula>$H3128="ETAPA"</formula>
    </cfRule>
  </conditionalFormatting>
  <conditionalFormatting sqref="H20:I20">
    <cfRule type="expression" dxfId="17946" priority="46627">
      <formula>$H20="CÉLULA CONSTRUTIVA"</formula>
    </cfRule>
    <cfRule type="expression" dxfId="17945" priority="46628">
      <formula>$H20="ETAPA"</formula>
    </cfRule>
    <cfRule type="expression" dxfId="17944" priority="46629">
      <formula>$H20="SUBETAPA"</formula>
    </cfRule>
  </conditionalFormatting>
  <conditionalFormatting sqref="H37:I37">
    <cfRule type="expression" dxfId="17943" priority="46709">
      <formula>$H37="SUBETAPA"</formula>
    </cfRule>
    <cfRule type="expression" dxfId="17942" priority="46710">
      <formula>$H37="ETAPA"</formula>
    </cfRule>
    <cfRule type="expression" dxfId="17941" priority="46711">
      <formula>$H37="CÉLULA CONSTRUTIVA"</formula>
    </cfRule>
  </conditionalFormatting>
  <conditionalFormatting sqref="H38:I38 N38:N39">
    <cfRule type="expression" dxfId="17940" priority="50596">
      <formula>$H38="ETAPA"</formula>
    </cfRule>
  </conditionalFormatting>
  <conditionalFormatting sqref="H38:I38">
    <cfRule type="expression" dxfId="17939" priority="50597">
      <formula>$H38="CÉLULA CONSTRUTIVA"</formula>
    </cfRule>
  </conditionalFormatting>
  <conditionalFormatting sqref="H45:I45 H48:I48 G49:L49 H50:I50 K50:L50 L45">
    <cfRule type="expression" dxfId="17938" priority="50552">
      <formula>$H45="SUBETAPA"</formula>
    </cfRule>
  </conditionalFormatting>
  <conditionalFormatting sqref="H45:I48">
    <cfRule type="expression" dxfId="17937" priority="46745">
      <formula>$H45="ETAPA"</formula>
    </cfRule>
  </conditionalFormatting>
  <conditionalFormatting sqref="H46:I46">
    <cfRule type="expression" dxfId="17936" priority="46776">
      <formula>$H46="CÉLULA CONSTRUTIVA"</formula>
    </cfRule>
  </conditionalFormatting>
  <conditionalFormatting sqref="H47:I47 L47">
    <cfRule type="expression" dxfId="17935" priority="46747">
      <formula>$H47="SUBETAPA"</formula>
    </cfRule>
  </conditionalFormatting>
  <conditionalFormatting sqref="H47:I47">
    <cfRule type="expression" dxfId="17934" priority="46746">
      <formula>$H47="CÉLULA CONSTRUTIVA"</formula>
    </cfRule>
  </conditionalFormatting>
  <conditionalFormatting sqref="H23:J23">
    <cfRule type="expression" dxfId="17933" priority="46630">
      <formula>$H23="CÉLULA CONSTRUTIVA"</formula>
    </cfRule>
    <cfRule type="expression" dxfId="17932" priority="46631">
      <formula>$H23="ETAPA"</formula>
    </cfRule>
    <cfRule type="expression" dxfId="17931" priority="46632">
      <formula>$H23="SUBETAPA"</formula>
    </cfRule>
  </conditionalFormatting>
  <conditionalFormatting sqref="H624:J624">
    <cfRule type="expression" dxfId="17930" priority="59076">
      <formula>$H624="ETAPA"</formula>
    </cfRule>
    <cfRule type="expression" dxfId="17929" priority="59078">
      <formula>$H624="SUBETAPA"</formula>
    </cfRule>
  </conditionalFormatting>
  <conditionalFormatting sqref="H626:J626 H629:L629 H628:J628 H631:L631 H630:J630 H632:J632 H637:J637">
    <cfRule type="expression" dxfId="17928" priority="59112">
      <formula>$H626="SUBETAPA"</formula>
    </cfRule>
  </conditionalFormatting>
  <conditionalFormatting sqref="H641:J641 H640:K640">
    <cfRule type="expression" dxfId="17927" priority="58521">
      <formula>$H640="CÉLULA CONSTRUTIVA"</formula>
    </cfRule>
  </conditionalFormatting>
  <conditionalFormatting sqref="H654:J654 H653:K653">
    <cfRule type="expression" dxfId="17926" priority="58603">
      <formula>$H653="CÉLULA CONSTRUTIVA"</formula>
    </cfRule>
  </conditionalFormatting>
  <conditionalFormatting sqref="H667:J667 H666:K666">
    <cfRule type="expression" dxfId="17925" priority="58685">
      <formula>$H666="CÉLULA CONSTRUTIVA"</formula>
    </cfRule>
  </conditionalFormatting>
  <conditionalFormatting sqref="H680:J680 H679:K679">
    <cfRule type="expression" dxfId="17924" priority="58767">
      <formula>$H679="CÉLULA CONSTRUTIVA"</formula>
    </cfRule>
  </conditionalFormatting>
  <conditionalFormatting sqref="H693:J693 H692:K692">
    <cfRule type="expression" dxfId="17923" priority="58849">
      <formula>$H692="CÉLULA CONSTRUTIVA"</formula>
    </cfRule>
  </conditionalFormatting>
  <conditionalFormatting sqref="H706:J706 H705:K705">
    <cfRule type="expression" dxfId="17922" priority="58931">
      <formula>$H705="CÉLULA CONSTRUTIVA"</formula>
    </cfRule>
  </conditionalFormatting>
  <conditionalFormatting sqref="H719:J719 H718:K718">
    <cfRule type="expression" dxfId="17921" priority="59016">
      <formula>$H718="CÉLULA CONSTRUTIVA"</formula>
    </cfRule>
  </conditionalFormatting>
  <conditionalFormatting sqref="H732:J732 H731:K731">
    <cfRule type="expression" dxfId="17920" priority="59193">
      <formula>$H731="CÉLULA CONSTRUTIVA"</formula>
    </cfRule>
  </conditionalFormatting>
  <conditionalFormatting sqref="H745:J745 H744:K744">
    <cfRule type="expression" dxfId="17919" priority="59275">
      <formula>$H744="CÉLULA CONSTRUTIVA"</formula>
    </cfRule>
  </conditionalFormatting>
  <conditionalFormatting sqref="H758:J758 H757:K757">
    <cfRule type="expression" dxfId="17918" priority="59357">
      <formula>$H757="CÉLULA CONSTRUTIVA"</formula>
    </cfRule>
  </conditionalFormatting>
  <conditionalFormatting sqref="H771:J771 H770:K770">
    <cfRule type="expression" dxfId="17917" priority="59439">
      <formula>$H770="CÉLULA CONSTRUTIVA"</formula>
    </cfRule>
  </conditionalFormatting>
  <conditionalFormatting sqref="H784:J784 H783:K783">
    <cfRule type="expression" dxfId="17916" priority="59521">
      <formula>$H783="CÉLULA CONSTRUTIVA"</formula>
    </cfRule>
  </conditionalFormatting>
  <conditionalFormatting sqref="H797:J797 H796:K796">
    <cfRule type="expression" dxfId="17915" priority="59603">
      <formula>$H796="CÉLULA CONSTRUTIVA"</formula>
    </cfRule>
  </conditionalFormatting>
  <conditionalFormatting sqref="H815:J815 H814:K814">
    <cfRule type="expression" dxfId="17914" priority="56831">
      <formula>$H814="ETAPA"</formula>
    </cfRule>
    <cfRule type="expression" dxfId="17913" priority="56832">
      <formula>$H814="CÉLULA CONSTRUTIVA"</formula>
    </cfRule>
  </conditionalFormatting>
  <conditionalFormatting sqref="H826:J826 H825:K825">
    <cfRule type="expression" dxfId="17912" priority="56940">
      <formula>$H825="ETAPA"</formula>
    </cfRule>
    <cfRule type="expression" dxfId="17911" priority="56941">
      <formula>$H825="CÉLULA CONSTRUTIVA"</formula>
    </cfRule>
  </conditionalFormatting>
  <conditionalFormatting sqref="H835:J835 H834:K834">
    <cfRule type="expression" dxfId="17910" priority="57050">
      <formula>$H834="CÉLULA CONSTRUTIVA"</formula>
    </cfRule>
  </conditionalFormatting>
  <conditionalFormatting sqref="H835:J835">
    <cfRule type="expression" dxfId="17909" priority="57049">
      <formula>$H835="ETAPA"</formula>
    </cfRule>
  </conditionalFormatting>
  <conditionalFormatting sqref="H844:J844 H843:K843">
    <cfRule type="expression" dxfId="17908" priority="57159">
      <formula>$H843="CÉLULA CONSTRUTIVA"</formula>
    </cfRule>
  </conditionalFormatting>
  <conditionalFormatting sqref="H844:J844">
    <cfRule type="expression" dxfId="17907" priority="57158">
      <formula>$H844="ETAPA"</formula>
    </cfRule>
  </conditionalFormatting>
  <conditionalFormatting sqref="H853:J853 H852:K852">
    <cfRule type="expression" dxfId="17906" priority="57268">
      <formula>$H852="CÉLULA CONSTRUTIVA"</formula>
    </cfRule>
  </conditionalFormatting>
  <conditionalFormatting sqref="H853:J853">
    <cfRule type="expression" dxfId="17905" priority="57267">
      <formula>$H853="ETAPA"</formula>
    </cfRule>
  </conditionalFormatting>
  <conditionalFormatting sqref="H862:J862 H861:K861">
    <cfRule type="expression" dxfId="17904" priority="57377">
      <formula>$H861="CÉLULA CONSTRUTIVA"</formula>
    </cfRule>
  </conditionalFormatting>
  <conditionalFormatting sqref="H862:J862">
    <cfRule type="expression" dxfId="17903" priority="57376">
      <formula>$H862="ETAPA"</formula>
    </cfRule>
  </conditionalFormatting>
  <conditionalFormatting sqref="H871:J871 H870:K870">
    <cfRule type="expression" dxfId="17902" priority="57486">
      <formula>$H870="CÉLULA CONSTRUTIVA"</formula>
    </cfRule>
  </conditionalFormatting>
  <conditionalFormatting sqref="H871:J871">
    <cfRule type="expression" dxfId="17901" priority="57485">
      <formula>$H871="ETAPA"</formula>
    </cfRule>
  </conditionalFormatting>
  <conditionalFormatting sqref="H880:J880 H879:K879">
    <cfRule type="expression" dxfId="17900" priority="57595">
      <formula>$H879="CÉLULA CONSTRUTIVA"</formula>
    </cfRule>
  </conditionalFormatting>
  <conditionalFormatting sqref="H880:J880">
    <cfRule type="expression" dxfId="17899" priority="57594">
      <formula>$H880="ETAPA"</formula>
    </cfRule>
  </conditionalFormatting>
  <conditionalFormatting sqref="H889:J889 H888:K888">
    <cfRule type="expression" dxfId="17898" priority="57704">
      <formula>$H888="CÉLULA CONSTRUTIVA"</formula>
    </cfRule>
  </conditionalFormatting>
  <conditionalFormatting sqref="H889:J889">
    <cfRule type="expression" dxfId="17897" priority="57703">
      <formula>$H889="ETAPA"</formula>
    </cfRule>
  </conditionalFormatting>
  <conditionalFormatting sqref="H898:J898 H897:K897">
    <cfRule type="expression" dxfId="17896" priority="57813">
      <formula>$H897="CÉLULA CONSTRUTIVA"</formula>
    </cfRule>
  </conditionalFormatting>
  <conditionalFormatting sqref="H898:J898">
    <cfRule type="expression" dxfId="17895" priority="57812">
      <formula>$H898="ETAPA"</formula>
    </cfRule>
  </conditionalFormatting>
  <conditionalFormatting sqref="H909:J909 H908:K908">
    <cfRule type="expression" dxfId="17894" priority="57922">
      <formula>$H908="CÉLULA CONSTRUTIVA"</formula>
    </cfRule>
  </conditionalFormatting>
  <conditionalFormatting sqref="H909:J909">
    <cfRule type="expression" dxfId="17893" priority="57921">
      <formula>$H909="ETAPA"</formula>
    </cfRule>
  </conditionalFormatting>
  <conditionalFormatting sqref="H920:J920 H919:K919">
    <cfRule type="expression" dxfId="17892" priority="58031">
      <formula>$H919="CÉLULA CONSTRUTIVA"</formula>
    </cfRule>
  </conditionalFormatting>
  <conditionalFormatting sqref="H920:J920">
    <cfRule type="expression" dxfId="17891" priority="58030">
      <formula>$H920="ETAPA"</formula>
    </cfRule>
  </conditionalFormatting>
  <conditionalFormatting sqref="H929:J929 H928:K928">
    <cfRule type="expression" dxfId="17890" priority="58140">
      <formula>$H928="CÉLULA CONSTRUTIVA"</formula>
    </cfRule>
  </conditionalFormatting>
  <conditionalFormatting sqref="H929:J929">
    <cfRule type="expression" dxfId="17889" priority="58139">
      <formula>$H929="ETAPA"</formula>
    </cfRule>
  </conditionalFormatting>
  <conditionalFormatting sqref="H938:J938 H937:K937">
    <cfRule type="expression" dxfId="17888" priority="58249">
      <formula>$H937="CÉLULA CONSTRUTIVA"</formula>
    </cfRule>
  </conditionalFormatting>
  <conditionalFormatting sqref="H938:J938">
    <cfRule type="expression" dxfId="17887" priority="58248">
      <formula>$H938="ETAPA"</formula>
    </cfRule>
  </conditionalFormatting>
  <conditionalFormatting sqref="H623:K623 H624:J624">
    <cfRule type="expression" dxfId="17886" priority="59077">
      <formula>$H623="CÉLULA CONSTRUTIVA"</formula>
    </cfRule>
  </conditionalFormatting>
  <conditionalFormatting sqref="H625:K625 H626:J626 H628:J628 H627:K627">
    <cfRule type="expression" dxfId="17885" priority="59111">
      <formula>$H625="CÉLULA CONSTRUTIVA"</formula>
    </cfRule>
  </conditionalFormatting>
  <conditionalFormatting sqref="H629:K629 H631:K631 H630:J630 H632:J632">
    <cfRule type="expression" dxfId="17884" priority="59109">
      <formula>$H629="CÉLULA CONSTRUTIVA"</formula>
    </cfRule>
  </conditionalFormatting>
  <conditionalFormatting sqref="H636:K636 H637:J637 H638:K638">
    <cfRule type="expression" dxfId="17883" priority="59097">
      <formula>$H636="CÉLULA CONSTRUTIVA"</formula>
    </cfRule>
  </conditionalFormatting>
  <conditionalFormatting sqref="H642:K642 H644:K644 H643:J643 H645:J645">
    <cfRule type="expression" dxfId="17882" priority="58519">
      <formula>$H642="CÉLULA CONSTRUTIVA"</formula>
    </cfRule>
  </conditionalFormatting>
  <conditionalFormatting sqref="H649:K649 H650:J650 H651:K651">
    <cfRule type="expression" dxfId="17881" priority="58507">
      <formula>$H649="CÉLULA CONSTRUTIVA"</formula>
    </cfRule>
  </conditionalFormatting>
  <conditionalFormatting sqref="H655:K655 H657:K657 H656:J656 H658:J658">
    <cfRule type="expression" dxfId="17880" priority="58601">
      <formula>$H655="CÉLULA CONSTRUTIVA"</formula>
    </cfRule>
  </conditionalFormatting>
  <conditionalFormatting sqref="H662:K662 H663:J663 H664:K664">
    <cfRule type="expression" dxfId="17879" priority="58589">
      <formula>$H662="CÉLULA CONSTRUTIVA"</formula>
    </cfRule>
  </conditionalFormatting>
  <conditionalFormatting sqref="H668:K668 H670:K670 H669:J669 H671:J671">
    <cfRule type="expression" dxfId="17878" priority="58683">
      <formula>$H668="CÉLULA CONSTRUTIVA"</formula>
    </cfRule>
  </conditionalFormatting>
  <conditionalFormatting sqref="H675:K675 H676:J676 H677:K677">
    <cfRule type="expression" dxfId="17877" priority="58671">
      <formula>$H675="CÉLULA CONSTRUTIVA"</formula>
    </cfRule>
  </conditionalFormatting>
  <conditionalFormatting sqref="H681:K681 H683:K683 H682:J682 H684:J684">
    <cfRule type="expression" dxfId="17876" priority="58765">
      <formula>$H681="CÉLULA CONSTRUTIVA"</formula>
    </cfRule>
  </conditionalFormatting>
  <conditionalFormatting sqref="H688:K688 H689:J689 H690:K690">
    <cfRule type="expression" dxfId="17875" priority="58753">
      <formula>$H688="CÉLULA CONSTRUTIVA"</formula>
    </cfRule>
  </conditionalFormatting>
  <conditionalFormatting sqref="H694:K694 H696:K696 H695:J695 H697:J697">
    <cfRule type="expression" dxfId="17874" priority="58847">
      <formula>$H694="CÉLULA CONSTRUTIVA"</formula>
    </cfRule>
  </conditionalFormatting>
  <conditionalFormatting sqref="H701:K701 H702:J702 H703:K703">
    <cfRule type="expression" dxfId="17873" priority="58835">
      <formula>$H701="CÉLULA CONSTRUTIVA"</formula>
    </cfRule>
  </conditionalFormatting>
  <conditionalFormatting sqref="H707:K707 H709:K709 H708:J708 H710:J710">
    <cfRule type="expression" dxfId="17872" priority="58929">
      <formula>$H707="CÉLULA CONSTRUTIVA"</formula>
    </cfRule>
  </conditionalFormatting>
  <conditionalFormatting sqref="H714:K714 H715:J715 H716:K716">
    <cfRule type="expression" dxfId="17871" priority="58917">
      <formula>$H714="CÉLULA CONSTRUTIVA"</formula>
    </cfRule>
  </conditionalFormatting>
  <conditionalFormatting sqref="H720:K720 H722:K722 H721:J721 H723:J723">
    <cfRule type="expression" dxfId="17870" priority="59014">
      <formula>$H720="CÉLULA CONSTRUTIVA"</formula>
    </cfRule>
  </conditionalFormatting>
  <conditionalFormatting sqref="H727:K727 H728:J728 H729:K729">
    <cfRule type="expression" dxfId="17869" priority="58999">
      <formula>$H727="CÉLULA CONSTRUTIVA"</formula>
    </cfRule>
  </conditionalFormatting>
  <conditionalFormatting sqref="H733:K733 H735:K735 H734:J734 H736:J736">
    <cfRule type="expression" dxfId="17868" priority="59191">
      <formula>$H733="CÉLULA CONSTRUTIVA"</formula>
    </cfRule>
  </conditionalFormatting>
  <conditionalFormatting sqref="H740:K740 H741:J741 H742:K742">
    <cfRule type="expression" dxfId="17867" priority="59179">
      <formula>$H740="CÉLULA CONSTRUTIVA"</formula>
    </cfRule>
  </conditionalFormatting>
  <conditionalFormatting sqref="H746:K746 H748:K748 H747:J747 H749:J749">
    <cfRule type="expression" dxfId="17866" priority="59273">
      <formula>$H746="CÉLULA CONSTRUTIVA"</formula>
    </cfRule>
  </conditionalFormatting>
  <conditionalFormatting sqref="H753:K753 H754:J754 H755:K755">
    <cfRule type="expression" dxfId="17865" priority="59261">
      <formula>$H753="CÉLULA CONSTRUTIVA"</formula>
    </cfRule>
  </conditionalFormatting>
  <conditionalFormatting sqref="H759:K759 H761:K761 H760:J760 H762:J762">
    <cfRule type="expression" dxfId="17864" priority="59355">
      <formula>$H759="CÉLULA CONSTRUTIVA"</formula>
    </cfRule>
  </conditionalFormatting>
  <conditionalFormatting sqref="H766:K766 H767:J767 H768:K768">
    <cfRule type="expression" dxfId="17863" priority="59343">
      <formula>$H766="CÉLULA CONSTRUTIVA"</formula>
    </cfRule>
  </conditionalFormatting>
  <conditionalFormatting sqref="H772:K772 H774:K774 H773:J773 H775:J775">
    <cfRule type="expression" dxfId="17862" priority="59437">
      <formula>$H772="CÉLULA CONSTRUTIVA"</formula>
    </cfRule>
  </conditionalFormatting>
  <conditionalFormatting sqref="H779:K779 H780:J780 H781:K781">
    <cfRule type="expression" dxfId="17861" priority="59425">
      <formula>$H779="CÉLULA CONSTRUTIVA"</formula>
    </cfRule>
  </conditionalFormatting>
  <conditionalFormatting sqref="H785:K785 H787:K787 H786:J786 H788:J788">
    <cfRule type="expression" dxfId="17860" priority="59519">
      <formula>$H785="CÉLULA CONSTRUTIVA"</formula>
    </cfRule>
  </conditionalFormatting>
  <conditionalFormatting sqref="H792:K792 H793:J793 H794:K794">
    <cfRule type="expression" dxfId="17859" priority="59507">
      <formula>$H792="CÉLULA CONSTRUTIVA"</formula>
    </cfRule>
  </conditionalFormatting>
  <conditionalFormatting sqref="H798:K798 H800:K800 H799:J799 H801:J801">
    <cfRule type="expression" dxfId="17858" priority="59601">
      <formula>$H798="CÉLULA CONSTRUTIVA"</formula>
    </cfRule>
  </conditionalFormatting>
  <conditionalFormatting sqref="H805:K805 H806:J806 H807:K807">
    <cfRule type="expression" dxfId="17857" priority="59589">
      <formula>$H805="CÉLULA CONSTRUTIVA"</formula>
    </cfRule>
  </conditionalFormatting>
  <conditionalFormatting sqref="H953:K953 M948 M950:M951">
    <cfRule type="expression" dxfId="17856" priority="51564">
      <formula>$H948="ETAPA"</formula>
    </cfRule>
  </conditionalFormatting>
  <conditionalFormatting sqref="H953:K953">
    <cfRule type="expression" dxfId="17855" priority="51565">
      <formula>$H953="CÉLULA CONSTRUTIVA"</formula>
    </cfRule>
  </conditionalFormatting>
  <conditionalFormatting sqref="H955:K955 H957:K957 H956:J956 H958:J958">
    <cfRule type="expression" dxfId="17854" priority="51567">
      <formula>$H955="ETAPA"</formula>
    </cfRule>
    <cfRule type="expression" dxfId="17853" priority="51568">
      <formula>$H955="CÉLULA CONSTRUTIVA"</formula>
    </cfRule>
  </conditionalFormatting>
  <conditionalFormatting sqref="H968:K968 M963 M966">
    <cfRule type="expression" dxfId="17852" priority="51719">
      <formula>$H963="ETAPA"</formula>
    </cfRule>
  </conditionalFormatting>
  <conditionalFormatting sqref="H968:K968">
    <cfRule type="expression" dxfId="17851" priority="51720">
      <formula>$H968="CÉLULA CONSTRUTIVA"</formula>
    </cfRule>
  </conditionalFormatting>
  <conditionalFormatting sqref="H970:K970 H972:K972 H971:J971 H973:J973">
    <cfRule type="expression" dxfId="17850" priority="51722">
      <formula>$H970="ETAPA"</formula>
    </cfRule>
    <cfRule type="expression" dxfId="17849" priority="51723">
      <formula>$H970="CÉLULA CONSTRUTIVA"</formula>
    </cfRule>
  </conditionalFormatting>
  <conditionalFormatting sqref="H983:K983 M978 M981">
    <cfRule type="expression" dxfId="17848" priority="51877">
      <formula>$H978="ETAPA"</formula>
    </cfRule>
  </conditionalFormatting>
  <conditionalFormatting sqref="H983:K983">
    <cfRule type="expression" dxfId="17847" priority="51878">
      <formula>$H983="CÉLULA CONSTRUTIVA"</formula>
    </cfRule>
  </conditionalFormatting>
  <conditionalFormatting sqref="H985:K985 H987:K987 H986:J986 H988:J988">
    <cfRule type="expression" dxfId="17846" priority="51880">
      <formula>$H985="ETAPA"</formula>
    </cfRule>
    <cfRule type="expression" dxfId="17845" priority="51881">
      <formula>$H985="CÉLULA CONSTRUTIVA"</formula>
    </cfRule>
  </conditionalFormatting>
  <conditionalFormatting sqref="H998:K998 M993 M996">
    <cfRule type="expression" dxfId="17844" priority="52032">
      <formula>$H993="ETAPA"</formula>
    </cfRule>
  </conditionalFormatting>
  <conditionalFormatting sqref="H998:K998">
    <cfRule type="expression" dxfId="17843" priority="52033">
      <formula>$H998="CÉLULA CONSTRUTIVA"</formula>
    </cfRule>
  </conditionalFormatting>
  <conditionalFormatting sqref="H1000:K1000 H1002:K1002 H1001:J1001 H1003:J1003">
    <cfRule type="expression" dxfId="17842" priority="52035">
      <formula>$H1000="ETAPA"</formula>
    </cfRule>
    <cfRule type="expression" dxfId="17841" priority="52036">
      <formula>$H1000="CÉLULA CONSTRUTIVA"</formula>
    </cfRule>
  </conditionalFormatting>
  <conditionalFormatting sqref="H1013:K1013 M1008 M1011">
    <cfRule type="expression" dxfId="17840" priority="52190">
      <formula>$H1008="ETAPA"</formula>
    </cfRule>
  </conditionalFormatting>
  <conditionalFormatting sqref="H1013:K1013">
    <cfRule type="expression" dxfId="17839" priority="52191">
      <formula>$H1013="CÉLULA CONSTRUTIVA"</formula>
    </cfRule>
  </conditionalFormatting>
  <conditionalFormatting sqref="H1015:K1015 H1017:K1017 H1016:J1016 H1018:J1018">
    <cfRule type="expression" dxfId="17838" priority="52193">
      <formula>$H1015="ETAPA"</formula>
    </cfRule>
    <cfRule type="expression" dxfId="17837" priority="52194">
      <formula>$H1015="CÉLULA CONSTRUTIVA"</formula>
    </cfRule>
  </conditionalFormatting>
  <conditionalFormatting sqref="H1028:K1028 M1023 M1026">
    <cfRule type="expression" dxfId="17836" priority="52345">
      <formula>$H1023="ETAPA"</formula>
    </cfRule>
  </conditionalFormatting>
  <conditionalFormatting sqref="H1028:K1028">
    <cfRule type="expression" dxfId="17835" priority="52346">
      <formula>$H1028="CÉLULA CONSTRUTIVA"</formula>
    </cfRule>
  </conditionalFormatting>
  <conditionalFormatting sqref="H1030:K1030 H1032:K1032 H1031:J1031 H1033:J1033">
    <cfRule type="expression" dxfId="17834" priority="52348">
      <formula>$H1030="ETAPA"</formula>
    </cfRule>
    <cfRule type="expression" dxfId="17833" priority="52349">
      <formula>$H1030="CÉLULA CONSTRUTIVA"</formula>
    </cfRule>
  </conditionalFormatting>
  <conditionalFormatting sqref="H1043:K1043 M1038 M1041">
    <cfRule type="expression" dxfId="17832" priority="52500">
      <formula>$H1038="ETAPA"</formula>
    </cfRule>
  </conditionalFormatting>
  <conditionalFormatting sqref="H1043:K1043">
    <cfRule type="expression" dxfId="17831" priority="52501">
      <formula>$H1043="CÉLULA CONSTRUTIVA"</formula>
    </cfRule>
  </conditionalFormatting>
  <conditionalFormatting sqref="H1045:K1045 H1047:K1047 H1046:J1046 H1048:J1048">
    <cfRule type="expression" dxfId="17830" priority="52503">
      <formula>$H1045="ETAPA"</formula>
    </cfRule>
    <cfRule type="expression" dxfId="17829" priority="52504">
      <formula>$H1045="CÉLULA CONSTRUTIVA"</formula>
    </cfRule>
  </conditionalFormatting>
  <conditionalFormatting sqref="H1058:K1058 M1053 M1056">
    <cfRule type="expression" dxfId="17828" priority="52658">
      <formula>$H1053="ETAPA"</formula>
    </cfRule>
  </conditionalFormatting>
  <conditionalFormatting sqref="H1058:K1058">
    <cfRule type="expression" dxfId="17827" priority="52659">
      <formula>$H1058="CÉLULA CONSTRUTIVA"</formula>
    </cfRule>
  </conditionalFormatting>
  <conditionalFormatting sqref="H1060:K1060 H1062:K1062 H1061:J1061 H1063:J1063">
    <cfRule type="expression" dxfId="17826" priority="52661">
      <formula>$H1060="ETAPA"</formula>
    </cfRule>
    <cfRule type="expression" dxfId="17825" priority="52662">
      <formula>$H1060="CÉLULA CONSTRUTIVA"</formula>
    </cfRule>
  </conditionalFormatting>
  <conditionalFormatting sqref="H1073:K1073 M1068 M1071">
    <cfRule type="expression" dxfId="17824" priority="52813">
      <formula>$H1068="ETAPA"</formula>
    </cfRule>
  </conditionalFormatting>
  <conditionalFormatting sqref="H1073:K1073">
    <cfRule type="expression" dxfId="17823" priority="52814">
      <formula>$H1073="CÉLULA CONSTRUTIVA"</formula>
    </cfRule>
  </conditionalFormatting>
  <conditionalFormatting sqref="H1075:K1075 H1077:K1077 H1076:J1076 H1078:J1078">
    <cfRule type="expression" dxfId="17822" priority="52816">
      <formula>$H1075="ETAPA"</formula>
    </cfRule>
    <cfRule type="expression" dxfId="17821" priority="52817">
      <formula>$H1075="CÉLULA CONSTRUTIVA"</formula>
    </cfRule>
  </conditionalFormatting>
  <conditionalFormatting sqref="H1088:K1088 M1083 M1086">
    <cfRule type="expression" dxfId="17820" priority="52971">
      <formula>$H1083="ETAPA"</formula>
    </cfRule>
  </conditionalFormatting>
  <conditionalFormatting sqref="H1088:K1088">
    <cfRule type="expression" dxfId="17819" priority="52972">
      <formula>$H1088="CÉLULA CONSTRUTIVA"</formula>
    </cfRule>
  </conditionalFormatting>
  <conditionalFormatting sqref="H1090:K1090 H1092:K1092 H1091:J1091 H1093:J1093">
    <cfRule type="expression" dxfId="17818" priority="52974">
      <formula>$H1090="ETAPA"</formula>
    </cfRule>
    <cfRule type="expression" dxfId="17817" priority="52975">
      <formula>$H1090="CÉLULA CONSTRUTIVA"</formula>
    </cfRule>
  </conditionalFormatting>
  <conditionalFormatting sqref="H1103:K1103 M1098 M1101">
    <cfRule type="expression" dxfId="17816" priority="53126">
      <formula>$H1098="ETAPA"</formula>
    </cfRule>
  </conditionalFormatting>
  <conditionalFormatting sqref="H1103:K1103">
    <cfRule type="expression" dxfId="17815" priority="53127">
      <formula>$H1103="CÉLULA CONSTRUTIVA"</formula>
    </cfRule>
  </conditionalFormatting>
  <conditionalFormatting sqref="H1105:K1105 H1107:K1107 H1106:J1106 H1108:J1108">
    <cfRule type="expression" dxfId="17814" priority="53129">
      <formula>$H1105="ETAPA"</formula>
    </cfRule>
    <cfRule type="expression" dxfId="17813" priority="53130">
      <formula>$H1105="CÉLULA CONSTRUTIVA"</formula>
    </cfRule>
  </conditionalFormatting>
  <conditionalFormatting sqref="H1118:K1118 M1113 M1116">
    <cfRule type="expression" dxfId="17812" priority="53284">
      <formula>$H1113="ETAPA"</formula>
    </cfRule>
  </conditionalFormatting>
  <conditionalFormatting sqref="H1118:K1118">
    <cfRule type="expression" dxfId="17811" priority="53285">
      <formula>$H1118="CÉLULA CONSTRUTIVA"</formula>
    </cfRule>
  </conditionalFormatting>
  <conditionalFormatting sqref="H1120:K1120 H1122:K1122 H1121:J1121 H1123:J1123">
    <cfRule type="expression" dxfId="17810" priority="53287">
      <formula>$H1120="ETAPA"</formula>
    </cfRule>
    <cfRule type="expression" dxfId="17809" priority="53288">
      <formula>$H1120="CÉLULA CONSTRUTIVA"</formula>
    </cfRule>
  </conditionalFormatting>
  <conditionalFormatting sqref="H1133:K1133 M1128 M1131">
    <cfRule type="expression" dxfId="17808" priority="53439">
      <formula>$H1128="ETAPA"</formula>
    </cfRule>
  </conditionalFormatting>
  <conditionalFormatting sqref="H1133:K1133">
    <cfRule type="expression" dxfId="17807" priority="53440">
      <formula>$H1133="CÉLULA CONSTRUTIVA"</formula>
    </cfRule>
  </conditionalFormatting>
  <conditionalFormatting sqref="H1135:K1135 H1137:K1137 H1136:J1136 H1138:J1138">
    <cfRule type="expression" dxfId="17806" priority="53442">
      <formula>$H1135="ETAPA"</formula>
    </cfRule>
    <cfRule type="expression" dxfId="17805" priority="53443">
      <formula>$H1135="CÉLULA CONSTRUTIVA"</formula>
    </cfRule>
  </conditionalFormatting>
  <conditionalFormatting sqref="H1148:K1148 M1143 M1146">
    <cfRule type="expression" dxfId="17804" priority="53597">
      <formula>$H1143="ETAPA"</formula>
    </cfRule>
  </conditionalFormatting>
  <conditionalFormatting sqref="H1148:K1148">
    <cfRule type="expression" dxfId="17803" priority="53598">
      <formula>$H1148="CÉLULA CONSTRUTIVA"</formula>
    </cfRule>
  </conditionalFormatting>
  <conditionalFormatting sqref="H1150:K1150 H1152:K1152 H1151:J1151 H1153:J1153">
    <cfRule type="expression" dxfId="17802" priority="53600">
      <formula>$H1150="ETAPA"</formula>
    </cfRule>
    <cfRule type="expression" dxfId="17801" priority="53601">
      <formula>$H1150="CÉLULA CONSTRUTIVA"</formula>
    </cfRule>
  </conditionalFormatting>
  <conditionalFormatting sqref="H1158:K1158">
    <cfRule type="expression" dxfId="17800"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799" priority="102901">
      <formula>$H812="ETAPA"</formula>
    </cfRule>
  </conditionalFormatting>
  <conditionalFormatting sqref="H1163:K1163">
    <cfRule type="expression" dxfId="17798" priority="55589">
      <formula>$H1163="ETAPA"</formula>
    </cfRule>
  </conditionalFormatting>
  <conditionalFormatting sqref="H1168:K1168">
    <cfRule type="expression" dxfId="17797" priority="55683">
      <formula>$H1168="ETAPA"</formula>
    </cfRule>
  </conditionalFormatting>
  <conditionalFormatting sqref="H1173:K1173">
    <cfRule type="expression" dxfId="17796" priority="55777">
      <formula>$H1173="ETAPA"</formula>
    </cfRule>
  </conditionalFormatting>
  <conditionalFormatting sqref="H1178:K1178">
    <cfRule type="expression" dxfId="17795" priority="55871">
      <formula>$H1178="ETAPA"</formula>
    </cfRule>
  </conditionalFormatting>
  <conditionalFormatting sqref="H1183:K1183">
    <cfRule type="expression" dxfId="17794" priority="55965">
      <formula>$H1183="ETAPA"</formula>
    </cfRule>
  </conditionalFormatting>
  <conditionalFormatting sqref="H1190:K1190">
    <cfRule type="expression" dxfId="17793" priority="56059">
      <formula>$H1190="ETAPA"</formula>
    </cfRule>
  </conditionalFormatting>
  <conditionalFormatting sqref="H1197:K1197">
    <cfRule type="expression" dxfId="17792" priority="56153">
      <formula>$H1197="ETAPA"</formula>
    </cfRule>
  </conditionalFormatting>
  <conditionalFormatting sqref="H1204:K1204">
    <cfRule type="expression" dxfId="17791" priority="56247">
      <formula>$H1204="ETAPA"</formula>
    </cfRule>
  </conditionalFormatting>
  <conditionalFormatting sqref="H1211:K1211">
    <cfRule type="expression" dxfId="17790" priority="56341">
      <formula>$H1211="ETAPA"</formula>
    </cfRule>
  </conditionalFormatting>
  <conditionalFormatting sqref="H1218:K1218">
    <cfRule type="expression" dxfId="17789" priority="56435">
      <formula>$H1218="ETAPA"</formula>
    </cfRule>
  </conditionalFormatting>
  <conditionalFormatting sqref="H1223:K1223">
    <cfRule type="expression" dxfId="17788" priority="56529">
      <formula>$H1223="ETAPA"</formula>
    </cfRule>
  </conditionalFormatting>
  <conditionalFormatting sqref="H1230:K1230">
    <cfRule type="expression" dxfId="17787" priority="56623">
      <formula>$H1230="ETAPA"</formula>
    </cfRule>
  </conditionalFormatting>
  <conditionalFormatting sqref="H1235:K1235">
    <cfRule type="expression" dxfId="17786" priority="56717">
      <formula>$H1235="ETAPA"</formula>
    </cfRule>
  </conditionalFormatting>
  <conditionalFormatting sqref="H1257:K1257 H1262:K1266">
    <cfRule type="expression" dxfId="17785" priority="2723">
      <formula>$H1257="ETAPA"</formula>
    </cfRule>
  </conditionalFormatting>
  <conditionalFormatting sqref="H1259:K1259">
    <cfRule type="expression" dxfId="17784" priority="2722">
      <formula>$H1259="ETAPA"</formula>
    </cfRule>
  </conditionalFormatting>
  <conditionalFormatting sqref="H1271:K1271 H1276:K1280">
    <cfRule type="expression" dxfId="17783" priority="2792">
      <formula>$H1271="ETAPA"</formula>
    </cfRule>
  </conditionalFormatting>
  <conditionalFormatting sqref="H1273:K1273">
    <cfRule type="expression" dxfId="17782" priority="2791">
      <formula>$H1273="ETAPA"</formula>
    </cfRule>
  </conditionalFormatting>
  <conditionalFormatting sqref="H1285:K1285 H1290:K1294">
    <cfRule type="expression" dxfId="17781" priority="2861">
      <formula>$H1285="ETAPA"</formula>
    </cfRule>
  </conditionalFormatting>
  <conditionalFormatting sqref="H1287:K1287">
    <cfRule type="expression" dxfId="17780" priority="2860">
      <formula>$H1287="ETAPA"</formula>
    </cfRule>
  </conditionalFormatting>
  <conditionalFormatting sqref="H1299:K1299 H1304:K1308">
    <cfRule type="expression" dxfId="17779" priority="2930">
      <formula>$H1299="ETAPA"</formula>
    </cfRule>
  </conditionalFormatting>
  <conditionalFormatting sqref="H1301:K1301">
    <cfRule type="expression" dxfId="17778" priority="2929">
      <formula>$H1301="ETAPA"</formula>
    </cfRule>
  </conditionalFormatting>
  <conditionalFormatting sqref="H1313:K1313 H1318:K1322">
    <cfRule type="expression" dxfId="17777" priority="2999">
      <formula>$H1313="ETAPA"</formula>
    </cfRule>
  </conditionalFormatting>
  <conditionalFormatting sqref="H1315:K1315">
    <cfRule type="expression" dxfId="17776" priority="2998">
      <formula>$H1315="ETAPA"</formula>
    </cfRule>
  </conditionalFormatting>
  <conditionalFormatting sqref="H1327:K1327 H1332:K1336">
    <cfRule type="expression" dxfId="17775" priority="3068">
      <formula>$H1327="ETAPA"</formula>
    </cfRule>
  </conditionalFormatting>
  <conditionalFormatting sqref="H1329:K1329">
    <cfRule type="expression" dxfId="17774" priority="3067">
      <formula>$H1329="ETAPA"</formula>
    </cfRule>
  </conditionalFormatting>
  <conditionalFormatting sqref="H1341:K1341 H1346:K1350">
    <cfRule type="expression" dxfId="17773" priority="3137">
      <formula>$H1341="ETAPA"</formula>
    </cfRule>
  </conditionalFormatting>
  <conditionalFormatting sqref="H1343:K1343">
    <cfRule type="expression" dxfId="17772"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71" priority="86726">
      <formula>$H1355="ETAPA"</formula>
    </cfRule>
  </conditionalFormatting>
  <conditionalFormatting sqref="H1357:K1357">
    <cfRule type="expression" dxfId="17770" priority="59902">
      <formula>$H1357="ETAPA"</formula>
    </cfRule>
  </conditionalFormatting>
  <conditionalFormatting sqref="H53:L53">
    <cfRule type="expression" dxfId="17769" priority="46416">
      <formula>$H53="ETAPA"</formula>
    </cfRule>
  </conditionalFormatting>
  <conditionalFormatting sqref="H623:L623">
    <cfRule type="expression" dxfId="17768" priority="59073">
      <formula>$H623="ETAPA"</formula>
    </cfRule>
  </conditionalFormatting>
  <conditionalFormatting sqref="H625:L625 H627:L627">
    <cfRule type="expression" dxfId="17767" priority="59103">
      <formula>$H625="ETAPA"</formula>
    </cfRule>
  </conditionalFormatting>
  <conditionalFormatting sqref="H636:L636 H638:L638">
    <cfRule type="expression" dxfId="17766" priority="59093">
      <formula>$H636="ETAPA"</formula>
    </cfRule>
  </conditionalFormatting>
  <conditionalFormatting sqref="H640:L640">
    <cfRule type="expression" dxfId="17765" priority="58513">
      <formula>$H640="ETAPA"</formula>
    </cfRule>
  </conditionalFormatting>
  <conditionalFormatting sqref="H642:L642 H641:J641 H644:L644 H643:J643 H645:J645 H650:J650">
    <cfRule type="expression" dxfId="17764" priority="58522">
      <formula>$H641="SUBETAPA"</formula>
    </cfRule>
  </conditionalFormatting>
  <conditionalFormatting sqref="H651:L651">
    <cfRule type="expression" dxfId="17763" priority="58503">
      <formula>$H651="ETAPA"</formula>
    </cfRule>
  </conditionalFormatting>
  <conditionalFormatting sqref="H653:L653">
    <cfRule type="expression" dxfId="17762" priority="58595">
      <formula>$H653="ETAPA"</formula>
    </cfRule>
  </conditionalFormatting>
  <conditionalFormatting sqref="H655:L655 H654:J654 H657:L657 H656:J656 H658:J658 H663:J663">
    <cfRule type="expression" dxfId="17761" priority="58604">
      <formula>$H654="SUBETAPA"</formula>
    </cfRule>
  </conditionalFormatting>
  <conditionalFormatting sqref="H664:L664">
    <cfRule type="expression" dxfId="17760" priority="58585">
      <formula>$H664="ETAPA"</formula>
    </cfRule>
  </conditionalFormatting>
  <conditionalFormatting sqref="H666:L666">
    <cfRule type="expression" dxfId="17759" priority="58677">
      <formula>$H666="ETAPA"</formula>
    </cfRule>
  </conditionalFormatting>
  <conditionalFormatting sqref="H668:L668 H667:J667 H670:L670 H669:J669 H671:J671 H676:J676">
    <cfRule type="expression" dxfId="17758" priority="58686">
      <formula>$H667="SUBETAPA"</formula>
    </cfRule>
  </conditionalFormatting>
  <conditionalFormatting sqref="H677:L677">
    <cfRule type="expression" dxfId="17757" priority="58667">
      <formula>$H677="ETAPA"</formula>
    </cfRule>
  </conditionalFormatting>
  <conditionalFormatting sqref="H679:L679">
    <cfRule type="expression" dxfId="17756" priority="58759">
      <formula>$H679="ETAPA"</formula>
    </cfRule>
  </conditionalFormatting>
  <conditionalFormatting sqref="H681:L681 H680:J680 H683:L683 H682:J682 H684:J684 H689:J689">
    <cfRule type="expression" dxfId="17755" priority="58768">
      <formula>$H680="SUBETAPA"</formula>
    </cfRule>
  </conditionalFormatting>
  <conditionalFormatting sqref="H690:L690">
    <cfRule type="expression" dxfId="17754" priority="58749">
      <formula>$H690="ETAPA"</formula>
    </cfRule>
  </conditionalFormatting>
  <conditionalFormatting sqref="H692:L692">
    <cfRule type="expression" dxfId="17753" priority="58841">
      <formula>$H692="ETAPA"</formula>
    </cfRule>
  </conditionalFormatting>
  <conditionalFormatting sqref="H694:L694 H693:J693 H696:L696 H695:J695 H697:J697 H702:J702">
    <cfRule type="expression" dxfId="17752" priority="58850">
      <formula>$H693="SUBETAPA"</formula>
    </cfRule>
  </conditionalFormatting>
  <conditionalFormatting sqref="H703:L703">
    <cfRule type="expression" dxfId="17751" priority="58831">
      <formula>$H703="ETAPA"</formula>
    </cfRule>
  </conditionalFormatting>
  <conditionalFormatting sqref="H705:L705">
    <cfRule type="expression" dxfId="17750" priority="58923">
      <formula>$H705="ETAPA"</formula>
    </cfRule>
  </conditionalFormatting>
  <conditionalFormatting sqref="H707:L707 H706:J706 H709:L709 H708:J708 H710:J710 H715:J715">
    <cfRule type="expression" dxfId="17749" priority="58932">
      <formula>$H706="SUBETAPA"</formula>
    </cfRule>
  </conditionalFormatting>
  <conditionalFormatting sqref="H716:L716">
    <cfRule type="expression" dxfId="17748" priority="58913">
      <formula>$H716="ETAPA"</formula>
    </cfRule>
  </conditionalFormatting>
  <conditionalFormatting sqref="H718:L718">
    <cfRule type="expression" dxfId="17747" priority="59008">
      <formula>$H718="ETAPA"</formula>
    </cfRule>
  </conditionalFormatting>
  <conditionalFormatting sqref="H720:L720 H719:J719 H722:L722 H721:J721 H723:J723 H728:J728">
    <cfRule type="expression" dxfId="17746" priority="59017">
      <formula>$H719="SUBETAPA"</formula>
    </cfRule>
  </conditionalFormatting>
  <conditionalFormatting sqref="H729:L729">
    <cfRule type="expression" dxfId="17745" priority="58995">
      <formula>$H729="ETAPA"</formula>
    </cfRule>
  </conditionalFormatting>
  <conditionalFormatting sqref="H731:L731">
    <cfRule type="expression" dxfId="17744" priority="59185">
      <formula>$H731="ETAPA"</formula>
    </cfRule>
  </conditionalFormatting>
  <conditionalFormatting sqref="H733:L733 H732:J732 H735:L735 H734:J734 H736:J736 H741:J741">
    <cfRule type="expression" dxfId="17743" priority="59194">
      <formula>$H732="SUBETAPA"</formula>
    </cfRule>
  </conditionalFormatting>
  <conditionalFormatting sqref="H742:L742">
    <cfRule type="expression" dxfId="17742" priority="59175">
      <formula>$H742="ETAPA"</formula>
    </cfRule>
  </conditionalFormatting>
  <conditionalFormatting sqref="H744:L744">
    <cfRule type="expression" dxfId="17741" priority="59267">
      <formula>$H744="ETAPA"</formula>
    </cfRule>
  </conditionalFormatting>
  <conditionalFormatting sqref="H746:L746 H745:J745 H748:L748 H747:J747 H749:J749 H754:J754">
    <cfRule type="expression" dxfId="17740" priority="59276">
      <formula>$H745="SUBETAPA"</formula>
    </cfRule>
  </conditionalFormatting>
  <conditionalFormatting sqref="H755:L755">
    <cfRule type="expression" dxfId="17739" priority="59257">
      <formula>$H755="ETAPA"</formula>
    </cfRule>
  </conditionalFormatting>
  <conditionalFormatting sqref="H757:L757">
    <cfRule type="expression" dxfId="17738" priority="59349">
      <formula>$H757="ETAPA"</formula>
    </cfRule>
  </conditionalFormatting>
  <conditionalFormatting sqref="H759:L759 H758:J758 H761:L761 H760:J760 H762:J762 H767:J767">
    <cfRule type="expression" dxfId="17737" priority="59358">
      <formula>$H758="SUBETAPA"</formula>
    </cfRule>
  </conditionalFormatting>
  <conditionalFormatting sqref="H768:L768">
    <cfRule type="expression" dxfId="17736" priority="59339">
      <formula>$H768="ETAPA"</formula>
    </cfRule>
  </conditionalFormatting>
  <conditionalFormatting sqref="H770:L770">
    <cfRule type="expression" dxfId="17735" priority="59431">
      <formula>$H770="ETAPA"</formula>
    </cfRule>
  </conditionalFormatting>
  <conditionalFormatting sqref="H772:L772 H771:J771 H774:L774 H773:J773 H775:J775 H780:J780">
    <cfRule type="expression" dxfId="17734" priority="59440">
      <formula>$H771="SUBETAPA"</formula>
    </cfRule>
  </conditionalFormatting>
  <conditionalFormatting sqref="H781:L781">
    <cfRule type="expression" dxfId="17733" priority="59421">
      <formula>$H781="ETAPA"</formula>
    </cfRule>
  </conditionalFormatting>
  <conditionalFormatting sqref="H783:L783">
    <cfRule type="expression" dxfId="17732" priority="59513">
      <formula>$H783="ETAPA"</formula>
    </cfRule>
  </conditionalFormatting>
  <conditionalFormatting sqref="H785:L785 H784:J784 H787:L787 H786:J786 H788:J788 H793:J793">
    <cfRule type="expression" dxfId="17731" priority="59522">
      <formula>$H784="SUBETAPA"</formula>
    </cfRule>
  </conditionalFormatting>
  <conditionalFormatting sqref="H794:L794">
    <cfRule type="expression" dxfId="17730" priority="59503">
      <formula>$H794="ETAPA"</formula>
    </cfRule>
  </conditionalFormatting>
  <conditionalFormatting sqref="H796:L796">
    <cfRule type="expression" dxfId="17729" priority="59595">
      <formula>$H796="ETAPA"</formula>
    </cfRule>
  </conditionalFormatting>
  <conditionalFormatting sqref="H798:L798 H797:J797 H800:L800 H799:J799 H801:J801 H806:J806">
    <cfRule type="expression" dxfId="17728" priority="59604">
      <formula>$H797="SUBETAPA"</formula>
    </cfRule>
  </conditionalFormatting>
  <conditionalFormatting sqref="H807:L807">
    <cfRule type="expression" dxfId="17727" priority="59585">
      <formula>$H807="ETAPA"</formula>
    </cfRule>
  </conditionalFormatting>
  <conditionalFormatting sqref="H834:L834">
    <cfRule type="expression" dxfId="17726" priority="57044">
      <formula>$H834="ETAPA"</formula>
    </cfRule>
  </conditionalFormatting>
  <conditionalFormatting sqref="H843:L843">
    <cfRule type="expression" dxfId="17725" priority="57153">
      <formula>$H843="ETAPA"</formula>
    </cfRule>
  </conditionalFormatting>
  <conditionalFormatting sqref="H852:L852">
    <cfRule type="expression" dxfId="17724" priority="57262">
      <formula>$H852="ETAPA"</formula>
    </cfRule>
  </conditionalFormatting>
  <conditionalFormatting sqref="H861:L861">
    <cfRule type="expression" dxfId="17723" priority="57371">
      <formula>$H861="ETAPA"</formula>
    </cfRule>
  </conditionalFormatting>
  <conditionalFormatting sqref="H870:L870">
    <cfRule type="expression" dxfId="17722" priority="57480">
      <formula>$H870="ETAPA"</formula>
    </cfRule>
  </conditionalFormatting>
  <conditionalFormatting sqref="H879:L879">
    <cfRule type="expression" dxfId="17721" priority="57589">
      <formula>$H879="ETAPA"</formula>
    </cfRule>
  </conditionalFormatting>
  <conditionalFormatting sqref="H888:L888">
    <cfRule type="expression" dxfId="17720" priority="57698">
      <formula>$H888="ETAPA"</formula>
    </cfRule>
  </conditionalFormatting>
  <conditionalFormatting sqref="H897:L897">
    <cfRule type="expression" dxfId="17719" priority="57807">
      <formula>$H897="ETAPA"</formula>
    </cfRule>
  </conditionalFormatting>
  <conditionalFormatting sqref="H908:L908">
    <cfRule type="expression" dxfId="17718" priority="57916">
      <formula>$H908="ETAPA"</formula>
    </cfRule>
  </conditionalFormatting>
  <conditionalFormatting sqref="H919:L919">
    <cfRule type="expression" dxfId="17717" priority="58025">
      <formula>$H919="ETAPA"</formula>
    </cfRule>
  </conditionalFormatting>
  <conditionalFormatting sqref="H928:L928">
    <cfRule type="expression" dxfId="17716" priority="58134">
      <formula>$H928="ETAPA"</formula>
    </cfRule>
  </conditionalFormatting>
  <conditionalFormatting sqref="H937:L937">
    <cfRule type="expression" dxfId="17715" priority="58243">
      <formula>$H937="ETAPA"</formula>
    </cfRule>
  </conditionalFormatting>
  <conditionalFormatting sqref="H947:L947">
    <cfRule type="expression" dxfId="17714" priority="51556">
      <formula>$H947="ETAPA"</formula>
    </cfRule>
  </conditionalFormatting>
  <conditionalFormatting sqref="H949:L949 J950">
    <cfRule type="expression" dxfId="17713" priority="51495">
      <formula>$H949="ETAPA"</formula>
    </cfRule>
  </conditionalFormatting>
  <conditionalFormatting sqref="H955:L955 H957:L957 H956:J956 H958:J958">
    <cfRule type="expression" dxfId="17712" priority="51569">
      <formula>$H955="SUBETAPA"</formula>
    </cfRule>
  </conditionalFormatting>
  <conditionalFormatting sqref="H962:L962">
    <cfRule type="expression" dxfId="17711" priority="51711">
      <formula>$H962="ETAPA"</formula>
    </cfRule>
  </conditionalFormatting>
  <conditionalFormatting sqref="H964:L964 J965">
    <cfRule type="expression" dxfId="17710" priority="51457">
      <formula>$H964="ETAPA"</formula>
    </cfRule>
  </conditionalFormatting>
  <conditionalFormatting sqref="H970:L970 H972:L972 H971:J971 H973:J973">
    <cfRule type="expression" dxfId="17709" priority="51724">
      <formula>$H970="SUBETAPA"</formula>
    </cfRule>
  </conditionalFormatting>
  <conditionalFormatting sqref="H977:L977">
    <cfRule type="expression" dxfId="17708" priority="51869">
      <formula>$H977="ETAPA"</formula>
    </cfRule>
  </conditionalFormatting>
  <conditionalFormatting sqref="H979:L979 J980">
    <cfRule type="expression" dxfId="17707" priority="51419">
      <formula>$H979="ETAPA"</formula>
    </cfRule>
  </conditionalFormatting>
  <conditionalFormatting sqref="H985:L985 H987:L987 H986:J986 H988:J988">
    <cfRule type="expression" dxfId="17706" priority="51882">
      <formula>$H985="SUBETAPA"</formula>
    </cfRule>
  </conditionalFormatting>
  <conditionalFormatting sqref="H992:L992">
    <cfRule type="expression" dxfId="17705" priority="52024">
      <formula>$H992="ETAPA"</formula>
    </cfRule>
  </conditionalFormatting>
  <conditionalFormatting sqref="H994:L994 J995">
    <cfRule type="expression" dxfId="17704" priority="51381">
      <formula>$H994="ETAPA"</formula>
    </cfRule>
  </conditionalFormatting>
  <conditionalFormatting sqref="H1000:L1000 H1002:L1002 H1001:J1001 H1003:J1003">
    <cfRule type="expression" dxfId="17703" priority="52037">
      <formula>$H1000="SUBETAPA"</formula>
    </cfRule>
  </conditionalFormatting>
  <conditionalFormatting sqref="H1007:L1007">
    <cfRule type="expression" dxfId="17702" priority="52182">
      <formula>$H1007="ETAPA"</formula>
    </cfRule>
  </conditionalFormatting>
  <conditionalFormatting sqref="H1009:L1009 J1010">
    <cfRule type="expression" dxfId="17701" priority="51343">
      <formula>$H1009="ETAPA"</formula>
    </cfRule>
  </conditionalFormatting>
  <conditionalFormatting sqref="H1015:L1015 H1017:L1017 H1016:J1016 H1018:J1018">
    <cfRule type="expression" dxfId="17700" priority="52195">
      <formula>$H1015="SUBETAPA"</formula>
    </cfRule>
  </conditionalFormatting>
  <conditionalFormatting sqref="H1022:L1022">
    <cfRule type="expression" dxfId="17699" priority="52337">
      <formula>$H1022="ETAPA"</formula>
    </cfRule>
  </conditionalFormatting>
  <conditionalFormatting sqref="H1024:L1024 J1025">
    <cfRule type="expression" dxfId="17698" priority="51305">
      <formula>$H1024="ETAPA"</formula>
    </cfRule>
  </conditionalFormatting>
  <conditionalFormatting sqref="H1030:L1030 H1032:L1032 H1031:J1031 H1033:J1033">
    <cfRule type="expression" dxfId="17697" priority="52350">
      <formula>$H1030="SUBETAPA"</formula>
    </cfRule>
  </conditionalFormatting>
  <conditionalFormatting sqref="H1037:L1037">
    <cfRule type="expression" dxfId="17696" priority="52492">
      <formula>$H1037="ETAPA"</formula>
    </cfRule>
  </conditionalFormatting>
  <conditionalFormatting sqref="H1039:L1039 J1040">
    <cfRule type="expression" dxfId="17695" priority="51267">
      <formula>$H1039="ETAPA"</formula>
    </cfRule>
  </conditionalFormatting>
  <conditionalFormatting sqref="H1045:L1045 H1047:L1047 H1046:J1046 H1048:J1048">
    <cfRule type="expression" dxfId="17694" priority="52505">
      <formula>$H1045="SUBETAPA"</formula>
    </cfRule>
  </conditionalFormatting>
  <conditionalFormatting sqref="H1052:L1052">
    <cfRule type="expression" dxfId="17693" priority="52650">
      <formula>$H1052="ETAPA"</formula>
    </cfRule>
  </conditionalFormatting>
  <conditionalFormatting sqref="H1054:L1054 J1055">
    <cfRule type="expression" dxfId="17692" priority="51229">
      <formula>$H1054="ETAPA"</formula>
    </cfRule>
  </conditionalFormatting>
  <conditionalFormatting sqref="H1060:L1060 H1062:L1062 H1061:J1061 H1063:J1063">
    <cfRule type="expression" dxfId="17691" priority="52663">
      <formula>$H1060="SUBETAPA"</formula>
    </cfRule>
  </conditionalFormatting>
  <conditionalFormatting sqref="H1067:L1067">
    <cfRule type="expression" dxfId="17690" priority="52805">
      <formula>$H1067="ETAPA"</formula>
    </cfRule>
  </conditionalFormatting>
  <conditionalFormatting sqref="H1069:L1069 J1070">
    <cfRule type="expression" dxfId="17689" priority="51191">
      <formula>$H1069="ETAPA"</formula>
    </cfRule>
  </conditionalFormatting>
  <conditionalFormatting sqref="H1075:L1075 H1077:L1077 H1076:J1076 H1078:J1078">
    <cfRule type="expression" dxfId="17688" priority="52818">
      <formula>$H1075="SUBETAPA"</formula>
    </cfRule>
  </conditionalFormatting>
  <conditionalFormatting sqref="H1082:L1082">
    <cfRule type="expression" dxfId="17687" priority="52963">
      <formula>$H1082="ETAPA"</formula>
    </cfRule>
  </conditionalFormatting>
  <conditionalFormatting sqref="H1084:L1084 J1085">
    <cfRule type="expression" dxfId="17686" priority="51153">
      <formula>$H1084="ETAPA"</formula>
    </cfRule>
  </conditionalFormatting>
  <conditionalFormatting sqref="H1090:L1090 H1092:L1092 H1091:J1091 H1093:J1093">
    <cfRule type="expression" dxfId="17685" priority="52976">
      <formula>$H1090="SUBETAPA"</formula>
    </cfRule>
  </conditionalFormatting>
  <conditionalFormatting sqref="H1097:L1097">
    <cfRule type="expression" dxfId="17684" priority="53118">
      <formula>$H1097="ETAPA"</formula>
    </cfRule>
  </conditionalFormatting>
  <conditionalFormatting sqref="H1099:L1099 J1100">
    <cfRule type="expression" dxfId="17683" priority="51115">
      <formula>$H1099="ETAPA"</formula>
    </cfRule>
  </conditionalFormatting>
  <conditionalFormatting sqref="H1105:L1105 H1107:L1107 H1106:J1106 H1108:J1108">
    <cfRule type="expression" dxfId="17682" priority="53131">
      <formula>$H1105="SUBETAPA"</formula>
    </cfRule>
  </conditionalFormatting>
  <conditionalFormatting sqref="H1112:L1112">
    <cfRule type="expression" dxfId="17681" priority="53276">
      <formula>$H1112="ETAPA"</formula>
    </cfRule>
  </conditionalFormatting>
  <conditionalFormatting sqref="H1114:L1114 J1115">
    <cfRule type="expression" dxfId="17680" priority="51077">
      <formula>$H1114="ETAPA"</formula>
    </cfRule>
  </conditionalFormatting>
  <conditionalFormatting sqref="H1120:L1120 H1122:L1122 H1121:J1121 H1123:J1123">
    <cfRule type="expression" dxfId="17679" priority="53289">
      <formula>$H1120="SUBETAPA"</formula>
    </cfRule>
  </conditionalFormatting>
  <conditionalFormatting sqref="H1127:L1127">
    <cfRule type="expression" dxfId="17678" priority="53431">
      <formula>$H1127="ETAPA"</formula>
    </cfRule>
  </conditionalFormatting>
  <conditionalFormatting sqref="H1129:L1129 J1130">
    <cfRule type="expression" dxfId="17677" priority="51039">
      <formula>$H1129="ETAPA"</formula>
    </cfRule>
  </conditionalFormatting>
  <conditionalFormatting sqref="H1135:L1135 H1137:L1137 H1136:J1136 H1138:J1138">
    <cfRule type="expression" dxfId="17676" priority="53444">
      <formula>$H1135="SUBETAPA"</formula>
    </cfRule>
  </conditionalFormatting>
  <conditionalFormatting sqref="H1142:L1142">
    <cfRule type="expression" dxfId="17675" priority="53589">
      <formula>$H1142="ETAPA"</formula>
    </cfRule>
  </conditionalFormatting>
  <conditionalFormatting sqref="H1144:L1144 J1145">
    <cfRule type="expression" dxfId="17674" priority="51001">
      <formula>$H1144="ETAPA"</formula>
    </cfRule>
  </conditionalFormatting>
  <conditionalFormatting sqref="H1150:L1150 H1152:L1152 H1151:J1151 H1153:J1153">
    <cfRule type="expression" dxfId="17673" priority="53602">
      <formula>$H1150="SUBETAPA"</formula>
    </cfRule>
  </conditionalFormatting>
  <conditionalFormatting sqref="H1242:L1242">
    <cfRule type="expression" dxfId="17672" priority="56792">
      <formula>$H1242="SUBETAPA"</formula>
    </cfRule>
    <cfRule type="expression" dxfId="17671"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70" priority="86954">
      <formula>$H808="SUBETAPA"</formula>
    </cfRule>
  </conditionalFormatting>
  <conditionalFormatting sqref="H1259:L1259">
    <cfRule type="expression" dxfId="17669" priority="2720">
      <formula>$H1259="SUBETAPA"</formula>
    </cfRule>
  </conditionalFormatting>
  <conditionalFormatting sqref="H1273:L1273">
    <cfRule type="expression" dxfId="17668" priority="2789">
      <formula>$H1273="SUBETAPA"</formula>
    </cfRule>
  </conditionalFormatting>
  <conditionalFormatting sqref="H1287:L1287">
    <cfRule type="expression" dxfId="17667" priority="2858">
      <formula>$H1287="SUBETAPA"</formula>
    </cfRule>
  </conditionalFormatting>
  <conditionalFormatting sqref="H1301:L1301">
    <cfRule type="expression" dxfId="17666" priority="2927">
      <formula>$H1301="SUBETAPA"</formula>
    </cfRule>
  </conditionalFormatting>
  <conditionalFormatting sqref="H1315:L1315">
    <cfRule type="expression" dxfId="17665" priority="2996">
      <formula>$H1315="SUBETAPA"</formula>
    </cfRule>
  </conditionalFormatting>
  <conditionalFormatting sqref="H1329:L1329">
    <cfRule type="expression" dxfId="17664" priority="3065">
      <formula>$H1329="SUBETAPA"</formula>
    </cfRule>
  </conditionalFormatting>
  <conditionalFormatting sqref="H1343:L1343">
    <cfRule type="expression" dxfId="17663" priority="3134">
      <formula>$H1343="SUBETAPA"</formula>
    </cfRule>
  </conditionalFormatting>
  <conditionalFormatting sqref="H1357:L1357">
    <cfRule type="expression" dxfId="17662" priority="59903">
      <formula>$H1357="SUBETAPA"</formula>
    </cfRule>
  </conditionalFormatting>
  <conditionalFormatting sqref="H627:M627 M629 M631 K626:M626 K628:M628 K630:M630 K632:M632 H638:M638 H633:M636 K637:M637 G620:M622 O637 H625:M625 H623:M623 G623:G638 J624:M624">
    <cfRule type="expression" dxfId="17661" priority="59101">
      <formula>$H620="SUBETAPA"</formula>
    </cfRule>
  </conditionalFormatting>
  <conditionalFormatting sqref="H640:M640 M642 M644 K641:M641 K643:M643 K645:M645 H651:M651 H646:M648 K650:M650 O650 H649:L649">
    <cfRule type="expression" dxfId="17660" priority="58511">
      <formula>$H640="SUBETAPA"</formula>
    </cfRule>
  </conditionalFormatting>
  <conditionalFormatting sqref="H641:M641 H643:M643 H645:M645 H646:L647 H648:M648 K650:M650 O650 H642:L642 H644:L644">
    <cfRule type="expression" dxfId="17659" priority="58512">
      <formula>$H641="ETAPA"</formula>
    </cfRule>
  </conditionalFormatting>
  <conditionalFormatting sqref="H649:M649">
    <cfRule type="expression" dxfId="17658" priority="58478">
      <formula>$H649="ETAPA"</formula>
    </cfRule>
  </conditionalFormatting>
  <conditionalFormatting sqref="H653:M653 M655 M657 K654:M654 K656:M656 K658:M658 H664:M664 H659:M661 K663:M663 O663 H662:L662">
    <cfRule type="expression" dxfId="17657" priority="58593">
      <formula>$H653="SUBETAPA"</formula>
    </cfRule>
  </conditionalFormatting>
  <conditionalFormatting sqref="H654:M654 H656:M656 H658:M658 H659:L660 H661:M661 K663:M663 O663 H655:L655 H657:L657">
    <cfRule type="expression" dxfId="17656" priority="58594">
      <formula>$H654="ETAPA"</formula>
    </cfRule>
  </conditionalFormatting>
  <conditionalFormatting sqref="H662:M662">
    <cfRule type="expression" dxfId="17655" priority="58475">
      <formula>$H662="ETAPA"</formula>
    </cfRule>
  </conditionalFormatting>
  <conditionalFormatting sqref="H666:M666 M668 M670 K667:M667 K669:M669 K671:M671 H677:M677 H672:M674 K676:M676 O676 H675:L675">
    <cfRule type="expression" dxfId="17654" priority="58675">
      <formula>$H666="SUBETAPA"</formula>
    </cfRule>
  </conditionalFormatting>
  <conditionalFormatting sqref="H667:M667 H669:M669 H671:M671 H672:L673 H674:M674 K676:M676 O676 H668:L668 H670:L670">
    <cfRule type="expression" dxfId="17653" priority="58676">
      <formula>$H667="ETAPA"</formula>
    </cfRule>
  </conditionalFormatting>
  <conditionalFormatting sqref="H675:M675">
    <cfRule type="expression" dxfId="17652" priority="58472">
      <formula>$H675="ETAPA"</formula>
    </cfRule>
  </conditionalFormatting>
  <conditionalFormatting sqref="H679:M679 M681 M683 K680:M680 K682:M682 K684:M684 H690:M690 H685:M687 K689:M689 O689 H688:L688">
    <cfRule type="expression" dxfId="17651" priority="58757">
      <formula>$H679="SUBETAPA"</formula>
    </cfRule>
  </conditionalFormatting>
  <conditionalFormatting sqref="H680:M680 H682:M682 H684:M684 H685:L686 H687:M687 K689:M689 O689 H681:L681 H683:L683">
    <cfRule type="expression" dxfId="17650" priority="58758">
      <formula>$H680="ETAPA"</formula>
    </cfRule>
  </conditionalFormatting>
  <conditionalFormatting sqref="H688:M688">
    <cfRule type="expression" dxfId="17649" priority="58469">
      <formula>$H688="ETAPA"</formula>
    </cfRule>
  </conditionalFormatting>
  <conditionalFormatting sqref="H692:M692 M694 M696 K693:M693 K695:M695 K697:M697 H703:M703 H698:M700 K702:M702 O702 H701:L701">
    <cfRule type="expression" dxfId="17648" priority="58839">
      <formula>$H692="SUBETAPA"</formula>
    </cfRule>
  </conditionalFormatting>
  <conditionalFormatting sqref="H693:M693 H695:M695 H697:M697 H698:L699 H700:M700 K702:M702 O702 H694:L694 H696:L696">
    <cfRule type="expression" dxfId="17647" priority="58840">
      <formula>$H693="ETAPA"</formula>
    </cfRule>
  </conditionalFormatting>
  <conditionalFormatting sqref="H701:M701">
    <cfRule type="expression" dxfId="17646" priority="58466">
      <formula>$H701="ETAPA"</formula>
    </cfRule>
  </conditionalFormatting>
  <conditionalFormatting sqref="H705:M705 M707 M709 K706:M706 K708:M708 K710:M710 H716:M716 H711:M713 K715:M715 O715 H714:L714">
    <cfRule type="expression" dxfId="17645" priority="58921">
      <formula>$H705="SUBETAPA"</formula>
    </cfRule>
  </conditionalFormatting>
  <conditionalFormatting sqref="H706:M706 H708:M708 H710:M710 H711:L712 H713:M713 K715:M715 O715 H707:L707 H709:L709">
    <cfRule type="expression" dxfId="17644" priority="58922">
      <formula>$H706="ETAPA"</formula>
    </cfRule>
  </conditionalFormatting>
  <conditionalFormatting sqref="H714:M714">
    <cfRule type="expression" dxfId="17643" priority="58463">
      <formula>$H714="ETAPA"</formula>
    </cfRule>
  </conditionalFormatting>
  <conditionalFormatting sqref="H718:M718 M720 M722 K719:M719 K721:M721 K723:M723 H729:M729 H724:M726 K728:M728 O728 H727:L727">
    <cfRule type="expression" dxfId="17642" priority="59006">
      <formula>$H718="SUBETAPA"</formula>
    </cfRule>
  </conditionalFormatting>
  <conditionalFormatting sqref="H719:M719 H721:M721 H723:M723 H724:L725 H726:M726 K728:M728 O728 H720:L720 H722:L722">
    <cfRule type="expression" dxfId="17641" priority="59007">
      <formula>$H719="ETAPA"</formula>
    </cfRule>
  </conditionalFormatting>
  <conditionalFormatting sqref="H727:M727">
    <cfRule type="expression" dxfId="17640" priority="58460">
      <formula>$H727="ETAPA"</formula>
    </cfRule>
  </conditionalFormatting>
  <conditionalFormatting sqref="H731:M731 M733 M735 K732:M732 K734:M734 K736:M736 H742:M742 H737:M739 K741:M741 O741 H740:L740">
    <cfRule type="expression" dxfId="17639" priority="59183">
      <formula>$H731="SUBETAPA"</formula>
    </cfRule>
  </conditionalFormatting>
  <conditionalFormatting sqref="H732:M732 H734:M734 H736:M736 H737:L738 H739:M739 K741:M741 O741 H733:L733 H735:L735">
    <cfRule type="expression" dxfId="17638" priority="59184">
      <formula>$H732="ETAPA"</formula>
    </cfRule>
  </conditionalFormatting>
  <conditionalFormatting sqref="H740:M740">
    <cfRule type="expression" dxfId="17637" priority="58457">
      <formula>$H740="ETAPA"</formula>
    </cfRule>
  </conditionalFormatting>
  <conditionalFormatting sqref="H744:M744 M746 M748 K745:M745 K747:M747 K749:M749 H755:M755 H750:M752 K754:M754 O754 H753:L753">
    <cfRule type="expression" dxfId="17636" priority="59265">
      <formula>$H744="SUBETAPA"</formula>
    </cfRule>
  </conditionalFormatting>
  <conditionalFormatting sqref="H745:M745 H747:M747 H749:M749 H750:L751 H752:M752 K754:M754 O754 H746:L746 H748:L748">
    <cfRule type="expression" dxfId="17635" priority="59266">
      <formula>$H745="ETAPA"</formula>
    </cfRule>
  </conditionalFormatting>
  <conditionalFormatting sqref="H753:M753">
    <cfRule type="expression" dxfId="17634" priority="58454">
      <formula>$H753="ETAPA"</formula>
    </cfRule>
  </conditionalFormatting>
  <conditionalFormatting sqref="H757:M757 M759 M761 K758:M758 K760:M760 K762:M762 H768:M768 H763:M765 K767:M767 O767 H766:L766">
    <cfRule type="expression" dxfId="17633" priority="59347">
      <formula>$H757="SUBETAPA"</formula>
    </cfRule>
  </conditionalFormatting>
  <conditionalFormatting sqref="H758:M758 H760:M760 H762:M762 H763:L764 H765:M765 K767:M767 O767 H759:L759 H761:L761">
    <cfRule type="expression" dxfId="17632" priority="59348">
      <formula>$H758="ETAPA"</formula>
    </cfRule>
  </conditionalFormatting>
  <conditionalFormatting sqref="H766:M766">
    <cfRule type="expression" dxfId="17631" priority="58451">
      <formula>$H766="ETAPA"</formula>
    </cfRule>
  </conditionalFormatting>
  <conditionalFormatting sqref="H770:M770 M772 M774 K771:M771 K773:M773 K775:M775 H781:M781 H776:M778 K780:M780 O780 H779:L779">
    <cfRule type="expression" dxfId="17630" priority="59429">
      <formula>$H770="SUBETAPA"</formula>
    </cfRule>
  </conditionalFormatting>
  <conditionalFormatting sqref="H771:M771 H773:M773 H775:M775 H776:L777 H778:M778 K780:M780 O780 H772:L772 H774:L774">
    <cfRule type="expression" dxfId="17629" priority="59430">
      <formula>$H771="ETAPA"</formula>
    </cfRule>
  </conditionalFormatting>
  <conditionalFormatting sqref="H779:M779">
    <cfRule type="expression" dxfId="17628" priority="58448">
      <formula>$H779="ETAPA"</formula>
    </cfRule>
  </conditionalFormatting>
  <conditionalFormatting sqref="H783:M783 M785 M787 K784:M784 K786:M786 K788:M788 H794:M794 H789:M791 K793:M793 O793 H792:L792">
    <cfRule type="expression" dxfId="17627" priority="59511">
      <formula>$H783="SUBETAPA"</formula>
    </cfRule>
  </conditionalFormatting>
  <conditionalFormatting sqref="H784:M784 H786:M786 H788:M788 H789:L790 H791:M791 K793:M793 O793 H785:L785 H787:L787">
    <cfRule type="expression" dxfId="17626" priority="59512">
      <formula>$H784="ETAPA"</formula>
    </cfRule>
  </conditionalFormatting>
  <conditionalFormatting sqref="H792:M792">
    <cfRule type="expression" dxfId="17625" priority="58445">
      <formula>$H792="ETAPA"</formula>
    </cfRule>
  </conditionalFormatting>
  <conditionalFormatting sqref="H796:M796 M798 M800 K797:M797 K799:M799 K801:M801 H807:M807 H802:M804 K806:M806 O806 H805:L805">
    <cfRule type="expression" dxfId="17624" priority="59593">
      <formula>$H796="SUBETAPA"</formula>
    </cfRule>
  </conditionalFormatting>
  <conditionalFormatting sqref="H797:M797 H799:M799 H801:M801 H802:L803 H804:M804 K806:M806 O806 H798:L798 H800:L800">
    <cfRule type="expression" dxfId="17623" priority="59594">
      <formula>$H797="ETAPA"</formula>
    </cfRule>
  </conditionalFormatting>
  <conditionalFormatting sqref="H805:M805">
    <cfRule type="expression" dxfId="17622" priority="58442">
      <formula>$H805="ETAPA"</formula>
    </cfRule>
  </conditionalFormatting>
  <conditionalFormatting sqref="H947:M947">
    <cfRule type="expression" dxfId="17621" priority="51566">
      <formula>$H947="SUBETAPA"</formula>
    </cfRule>
  </conditionalFormatting>
  <conditionalFormatting sqref="H949:M949 J950">
    <cfRule type="expression" dxfId="17620" priority="51498">
      <formula>$H949="SUBETAPA"</formula>
    </cfRule>
  </conditionalFormatting>
  <conditionalFormatting sqref="H962:M962">
    <cfRule type="expression" dxfId="17619" priority="51721">
      <formula>$H962="SUBETAPA"</formula>
    </cfRule>
  </conditionalFormatting>
  <conditionalFormatting sqref="H964:M964 J965">
    <cfRule type="expression" dxfId="17618" priority="51460">
      <formula>$H964="SUBETAPA"</formula>
    </cfRule>
  </conditionalFormatting>
  <conditionalFormatting sqref="H977:M977">
    <cfRule type="expression" dxfId="17617" priority="51879">
      <formula>$H977="SUBETAPA"</formula>
    </cfRule>
  </conditionalFormatting>
  <conditionalFormatting sqref="H979:M979 J980">
    <cfRule type="expression" dxfId="17616" priority="51422">
      <formula>$H979="SUBETAPA"</formula>
    </cfRule>
  </conditionalFormatting>
  <conditionalFormatting sqref="H992:M992">
    <cfRule type="expression" dxfId="17615" priority="52034">
      <formula>$H992="SUBETAPA"</formula>
    </cfRule>
  </conditionalFormatting>
  <conditionalFormatting sqref="H994:M994 J995">
    <cfRule type="expression" dxfId="17614" priority="51384">
      <formula>$H994="SUBETAPA"</formula>
    </cfRule>
  </conditionalFormatting>
  <conditionalFormatting sqref="H1007:M1007">
    <cfRule type="expression" dxfId="17613" priority="52192">
      <formula>$H1007="SUBETAPA"</formula>
    </cfRule>
  </conditionalFormatting>
  <conditionalFormatting sqref="H1009:M1009 J1010">
    <cfRule type="expression" dxfId="17612" priority="51346">
      <formula>$H1009="SUBETAPA"</formula>
    </cfRule>
  </conditionalFormatting>
  <conditionalFormatting sqref="H1022:M1022">
    <cfRule type="expression" dxfId="17611" priority="52347">
      <formula>$H1022="SUBETAPA"</formula>
    </cfRule>
  </conditionalFormatting>
  <conditionalFormatting sqref="H1024:M1024 J1025">
    <cfRule type="expression" dxfId="17610" priority="51308">
      <formula>$H1024="SUBETAPA"</formula>
    </cfRule>
  </conditionalFormatting>
  <conditionalFormatting sqref="H1037:M1037">
    <cfRule type="expression" dxfId="17609" priority="52502">
      <formula>$H1037="SUBETAPA"</formula>
    </cfRule>
  </conditionalFormatting>
  <conditionalFormatting sqref="H1039:M1039 J1040">
    <cfRule type="expression" dxfId="17608" priority="51270">
      <formula>$H1039="SUBETAPA"</formula>
    </cfRule>
  </conditionalFormatting>
  <conditionalFormatting sqref="H1052:M1052">
    <cfRule type="expression" dxfId="17607" priority="52660">
      <formula>$H1052="SUBETAPA"</formula>
    </cfRule>
  </conditionalFormatting>
  <conditionalFormatting sqref="H1054:M1054 J1055">
    <cfRule type="expression" dxfId="17606" priority="51232">
      <formula>$H1054="SUBETAPA"</formula>
    </cfRule>
  </conditionalFormatting>
  <conditionalFormatting sqref="H1067:M1067">
    <cfRule type="expression" dxfId="17605" priority="52815">
      <formula>$H1067="SUBETAPA"</formula>
    </cfRule>
  </conditionalFormatting>
  <conditionalFormatting sqref="H1069:M1069 J1070">
    <cfRule type="expression" dxfId="17604" priority="51194">
      <formula>$H1069="SUBETAPA"</formula>
    </cfRule>
  </conditionalFormatting>
  <conditionalFormatting sqref="H1082:M1082">
    <cfRule type="expression" dxfId="17603" priority="52973">
      <formula>$H1082="SUBETAPA"</formula>
    </cfRule>
  </conditionalFormatting>
  <conditionalFormatting sqref="H1084:M1084 J1085">
    <cfRule type="expression" dxfId="17602" priority="51156">
      <formula>$H1084="SUBETAPA"</formula>
    </cfRule>
  </conditionalFormatting>
  <conditionalFormatting sqref="H1097:M1097">
    <cfRule type="expression" dxfId="17601" priority="53128">
      <formula>$H1097="SUBETAPA"</formula>
    </cfRule>
  </conditionalFormatting>
  <conditionalFormatting sqref="H1099:M1099 J1100">
    <cfRule type="expression" dxfId="17600" priority="51118">
      <formula>$H1099="SUBETAPA"</formula>
    </cfRule>
  </conditionalFormatting>
  <conditionalFormatting sqref="H1112:M1112">
    <cfRule type="expression" dxfId="17599" priority="53286">
      <formula>$H1112="SUBETAPA"</formula>
    </cfRule>
  </conditionalFormatting>
  <conditionalFormatting sqref="H1114:M1114 J1115">
    <cfRule type="expression" dxfId="17598" priority="51080">
      <formula>$H1114="SUBETAPA"</formula>
    </cfRule>
  </conditionalFormatting>
  <conditionalFormatting sqref="H1127:M1127">
    <cfRule type="expression" dxfId="17597" priority="53441">
      <formula>$H1127="SUBETAPA"</formula>
    </cfRule>
  </conditionalFormatting>
  <conditionalFormatting sqref="H1129:M1129 J1130">
    <cfRule type="expression" dxfId="17596" priority="51042">
      <formula>$H1129="SUBETAPA"</formula>
    </cfRule>
  </conditionalFormatting>
  <conditionalFormatting sqref="H1142:M1142">
    <cfRule type="expression" dxfId="17595" priority="53599">
      <formula>$H1142="SUBETAPA"</formula>
    </cfRule>
  </conditionalFormatting>
  <conditionalFormatting sqref="H1144:M1144 J1145">
    <cfRule type="expression" dxfId="17594"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593" priority="86999">
      <formula>$H808="SUBETAPA"</formula>
    </cfRule>
  </conditionalFormatting>
  <conditionalFormatting sqref="H1250:M1250 J1251 G1252:L1252">
    <cfRule type="expression" dxfId="17592" priority="86956">
      <formula>$H1250="ETAPA"</formula>
    </cfRule>
  </conditionalFormatting>
  <conditionalFormatting sqref="H1431:M1431">
    <cfRule type="expression" dxfId="17591" priority="4779">
      <formula>$H1431="ETAPA"</formula>
    </cfRule>
  </conditionalFormatting>
  <conditionalFormatting sqref="I1251">
    <cfRule type="expression" dxfId="17590" priority="86734">
      <formula>$H1251="CÉLULA CONSTRUTIVA"</formula>
    </cfRule>
    <cfRule type="expression" dxfId="17589" priority="86735">
      <formula>$H1251="ETAPA"</formula>
    </cfRule>
    <cfRule type="expression" dxfId="17588" priority="86736">
      <formula>$H1251="SUBETAPA"</formula>
    </cfRule>
  </conditionalFormatting>
  <conditionalFormatting sqref="I3172">
    <cfRule type="expression" dxfId="17587" priority="120437">
      <formula>$H3172="SUBETAPA"</formula>
    </cfRule>
    <cfRule type="expression" dxfId="17586" priority="120438">
      <formula>$H3172="CÉLULA CONSTRUTIVA"</formula>
    </cfRule>
  </conditionalFormatting>
  <conditionalFormatting sqref="I1159:J1159">
    <cfRule type="expression" dxfId="17585" priority="55479">
      <formula>$H1159="CÉLULA CONSTRUTIVA"</formula>
    </cfRule>
    <cfRule type="expression" dxfId="17584" priority="55480">
      <formula>$H1159="ETAPA"</formula>
    </cfRule>
    <cfRule type="expression" dxfId="17583" priority="55481">
      <formula>$H1159="SUBETAPA"</formula>
    </cfRule>
  </conditionalFormatting>
  <conditionalFormatting sqref="I1164:J1164">
    <cfRule type="expression" dxfId="17582" priority="55573">
      <formula>$H1164="CÉLULA CONSTRUTIVA"</formula>
    </cfRule>
    <cfRule type="expression" dxfId="17581" priority="55574">
      <formula>$H1164="ETAPA"</formula>
    </cfRule>
    <cfRule type="expression" dxfId="17580" priority="55575">
      <formula>$H1164="SUBETAPA"</formula>
    </cfRule>
  </conditionalFormatting>
  <conditionalFormatting sqref="I1169:J1169">
    <cfRule type="expression" dxfId="17579" priority="55667">
      <formula>$H1169="CÉLULA CONSTRUTIVA"</formula>
    </cfRule>
    <cfRule type="expression" dxfId="17578" priority="55668">
      <formula>$H1169="ETAPA"</formula>
    </cfRule>
    <cfRule type="expression" dxfId="17577" priority="55669">
      <formula>$H1169="SUBETAPA"</formula>
    </cfRule>
  </conditionalFormatting>
  <conditionalFormatting sqref="I1174:J1174">
    <cfRule type="expression" dxfId="17576" priority="55761">
      <formula>$H1174="CÉLULA CONSTRUTIVA"</formula>
    </cfRule>
    <cfRule type="expression" dxfId="17575" priority="55762">
      <formula>$H1174="ETAPA"</formula>
    </cfRule>
    <cfRule type="expression" dxfId="17574" priority="55763">
      <formula>$H1174="SUBETAPA"</formula>
    </cfRule>
  </conditionalFormatting>
  <conditionalFormatting sqref="I1179:J1179">
    <cfRule type="expression" dxfId="17573" priority="55855">
      <formula>$H1179="CÉLULA CONSTRUTIVA"</formula>
    </cfRule>
    <cfRule type="expression" dxfId="17572" priority="55856">
      <formula>$H1179="ETAPA"</formula>
    </cfRule>
    <cfRule type="expression" dxfId="17571" priority="55857">
      <formula>$H1179="SUBETAPA"</formula>
    </cfRule>
  </conditionalFormatting>
  <conditionalFormatting sqref="I1184:J1184">
    <cfRule type="expression" dxfId="17570" priority="55949">
      <formula>$H1184="CÉLULA CONSTRUTIVA"</formula>
    </cfRule>
    <cfRule type="expression" dxfId="17569" priority="55950">
      <formula>$H1184="ETAPA"</formula>
    </cfRule>
    <cfRule type="expression" dxfId="17568" priority="55951">
      <formula>$H1184="SUBETAPA"</formula>
    </cfRule>
  </conditionalFormatting>
  <conditionalFormatting sqref="I1191:J1191">
    <cfRule type="expression" dxfId="17567" priority="56043">
      <formula>$H1191="CÉLULA CONSTRUTIVA"</formula>
    </cfRule>
    <cfRule type="expression" dxfId="17566" priority="56044">
      <formula>$H1191="ETAPA"</formula>
    </cfRule>
    <cfRule type="expression" dxfId="17565" priority="56045">
      <formula>$H1191="SUBETAPA"</formula>
    </cfRule>
  </conditionalFormatting>
  <conditionalFormatting sqref="I1198:J1198">
    <cfRule type="expression" dxfId="17564" priority="56137">
      <formula>$H1198="CÉLULA CONSTRUTIVA"</formula>
    </cfRule>
    <cfRule type="expression" dxfId="17563" priority="56138">
      <formula>$H1198="ETAPA"</formula>
    </cfRule>
    <cfRule type="expression" dxfId="17562" priority="56139">
      <formula>$H1198="SUBETAPA"</formula>
    </cfRule>
  </conditionalFormatting>
  <conditionalFormatting sqref="I1205:J1205">
    <cfRule type="expression" dxfId="17561" priority="56231">
      <formula>$H1205="CÉLULA CONSTRUTIVA"</formula>
    </cfRule>
    <cfRule type="expression" dxfId="17560" priority="56232">
      <formula>$H1205="ETAPA"</formula>
    </cfRule>
    <cfRule type="expression" dxfId="17559" priority="56233">
      <formula>$H1205="SUBETAPA"</formula>
    </cfRule>
  </conditionalFormatting>
  <conditionalFormatting sqref="I1212:J1212">
    <cfRule type="expression" dxfId="17558" priority="56325">
      <formula>$H1212="CÉLULA CONSTRUTIVA"</formula>
    </cfRule>
    <cfRule type="expression" dxfId="17557" priority="56326">
      <formula>$H1212="ETAPA"</formula>
    </cfRule>
    <cfRule type="expression" dxfId="17556" priority="56327">
      <formula>$H1212="SUBETAPA"</formula>
    </cfRule>
  </conditionalFormatting>
  <conditionalFormatting sqref="I1219:J1219">
    <cfRule type="expression" dxfId="17555" priority="56419">
      <formula>$H1219="CÉLULA CONSTRUTIVA"</formula>
    </cfRule>
    <cfRule type="expression" dxfId="17554" priority="56420">
      <formula>$H1219="ETAPA"</formula>
    </cfRule>
    <cfRule type="expression" dxfId="17553" priority="56421">
      <formula>$H1219="SUBETAPA"</formula>
    </cfRule>
  </conditionalFormatting>
  <conditionalFormatting sqref="I1224:J1224">
    <cfRule type="expression" dxfId="17552" priority="56513">
      <formula>$H1224="CÉLULA CONSTRUTIVA"</formula>
    </cfRule>
    <cfRule type="expression" dxfId="17551" priority="56514">
      <formula>$H1224="ETAPA"</formula>
    </cfRule>
    <cfRule type="expression" dxfId="17550" priority="56515">
      <formula>$H1224="SUBETAPA"</formula>
    </cfRule>
  </conditionalFormatting>
  <conditionalFormatting sqref="I1231:J1231">
    <cfRule type="expression" dxfId="17549" priority="56607">
      <formula>$H1231="CÉLULA CONSTRUTIVA"</formula>
    </cfRule>
    <cfRule type="expression" dxfId="17548" priority="56608">
      <formula>$H1231="ETAPA"</formula>
    </cfRule>
    <cfRule type="expression" dxfId="17547" priority="56609">
      <formula>$H1231="SUBETAPA"</formula>
    </cfRule>
  </conditionalFormatting>
  <conditionalFormatting sqref="I1236:J1236">
    <cfRule type="expression" dxfId="17546" priority="56701">
      <formula>$H1236="CÉLULA CONSTRUTIVA"</formula>
    </cfRule>
    <cfRule type="expression" dxfId="17545" priority="56702">
      <formula>$H1236="ETAPA"</formula>
    </cfRule>
    <cfRule type="expression" dxfId="17544" priority="56703">
      <formula>$H1236="SUBETAPA"</formula>
    </cfRule>
  </conditionalFormatting>
  <conditionalFormatting sqref="I1244:J1244">
    <cfRule type="expression" dxfId="17543" priority="86747">
      <formula>$H1244="CÉLULA CONSTRUTIVA"</formula>
    </cfRule>
    <cfRule type="expression" dxfId="17542" priority="86748">
      <formula>$H1244="ETAPA"</formula>
    </cfRule>
    <cfRule type="expression" dxfId="17541" priority="86749">
      <formula>$H1244="SUBETAPA"</formula>
    </cfRule>
  </conditionalFormatting>
  <conditionalFormatting sqref="I1258:J1258 I1261:J1261">
    <cfRule type="expression" dxfId="17540" priority="2717">
      <formula>$H1258="CÉLULA CONSTRUTIVA"</formula>
    </cfRule>
    <cfRule type="expression" dxfId="17539" priority="2718">
      <formula>$H1258="ETAPA"</formula>
    </cfRule>
    <cfRule type="expression" dxfId="17538" priority="2719">
      <formula>$H1258="SUBETAPA"</formula>
    </cfRule>
  </conditionalFormatting>
  <conditionalFormatting sqref="I1260:J1260">
    <cfRule type="expression" dxfId="17537" priority="2665">
      <formula>$H1260="CÉLULA CONSTRUTIVA"</formula>
    </cfRule>
    <cfRule type="expression" dxfId="17536" priority="2666">
      <formula>$H1260="ETAPA"</formula>
    </cfRule>
    <cfRule type="expression" dxfId="17535" priority="2667">
      <formula>$H1260="SUBETAPA"</formula>
    </cfRule>
  </conditionalFormatting>
  <conditionalFormatting sqref="I1272:J1272 I1275:J1275">
    <cfRule type="expression" dxfId="17534" priority="2786">
      <formula>$H1272="CÉLULA CONSTRUTIVA"</formula>
    </cfRule>
    <cfRule type="expression" dxfId="17533" priority="2787">
      <formula>$H1272="ETAPA"</formula>
    </cfRule>
    <cfRule type="expression" dxfId="17532" priority="2788">
      <formula>$H1272="SUBETAPA"</formula>
    </cfRule>
  </conditionalFormatting>
  <conditionalFormatting sqref="I1274:J1274">
    <cfRule type="expression" dxfId="17531" priority="2734">
      <formula>$H1274="CÉLULA CONSTRUTIVA"</formula>
    </cfRule>
    <cfRule type="expression" dxfId="17530" priority="2735">
      <formula>$H1274="ETAPA"</formula>
    </cfRule>
    <cfRule type="expression" dxfId="17529" priority="2736">
      <formula>$H1274="SUBETAPA"</formula>
    </cfRule>
  </conditionalFormatting>
  <conditionalFormatting sqref="I1286:J1286 I1289:J1289">
    <cfRule type="expression" dxfId="17528" priority="2855">
      <formula>$H1286="CÉLULA CONSTRUTIVA"</formula>
    </cfRule>
    <cfRule type="expression" dxfId="17527" priority="2856">
      <formula>$H1286="ETAPA"</formula>
    </cfRule>
    <cfRule type="expression" dxfId="17526" priority="2857">
      <formula>$H1286="SUBETAPA"</formula>
    </cfRule>
  </conditionalFormatting>
  <conditionalFormatting sqref="I1288:J1288">
    <cfRule type="expression" dxfId="17525" priority="2803">
      <formula>$H1288="CÉLULA CONSTRUTIVA"</formula>
    </cfRule>
    <cfRule type="expression" dxfId="17524" priority="2804">
      <formula>$H1288="ETAPA"</formula>
    </cfRule>
    <cfRule type="expression" dxfId="17523" priority="2805">
      <formula>$H1288="SUBETAPA"</formula>
    </cfRule>
  </conditionalFormatting>
  <conditionalFormatting sqref="I1300:J1300 I1303:J1303">
    <cfRule type="expression" dxfId="17522" priority="2924">
      <formula>$H1300="CÉLULA CONSTRUTIVA"</formula>
    </cfRule>
    <cfRule type="expression" dxfId="17521" priority="2925">
      <formula>$H1300="ETAPA"</formula>
    </cfRule>
    <cfRule type="expression" dxfId="17520" priority="2926">
      <formula>$H1300="SUBETAPA"</formula>
    </cfRule>
  </conditionalFormatting>
  <conditionalFormatting sqref="I1302:J1302">
    <cfRule type="expression" dxfId="17519" priority="2872">
      <formula>$H1302="CÉLULA CONSTRUTIVA"</formula>
    </cfRule>
    <cfRule type="expression" dxfId="17518" priority="2873">
      <formula>$H1302="ETAPA"</formula>
    </cfRule>
    <cfRule type="expression" dxfId="17517" priority="2874">
      <formula>$H1302="SUBETAPA"</formula>
    </cfRule>
  </conditionalFormatting>
  <conditionalFormatting sqref="I1314:J1314 I1317:J1317">
    <cfRule type="expression" dxfId="17516" priority="2993">
      <formula>$H1314="CÉLULA CONSTRUTIVA"</formula>
    </cfRule>
    <cfRule type="expression" dxfId="17515" priority="2994">
      <formula>$H1314="ETAPA"</formula>
    </cfRule>
    <cfRule type="expression" dxfId="17514" priority="2995">
      <formula>$H1314="SUBETAPA"</formula>
    </cfRule>
  </conditionalFormatting>
  <conditionalFormatting sqref="I1316:J1316">
    <cfRule type="expression" dxfId="17513" priority="2941">
      <formula>$H1316="CÉLULA CONSTRUTIVA"</formula>
    </cfRule>
    <cfRule type="expression" dxfId="17512" priority="2942">
      <formula>$H1316="ETAPA"</formula>
    </cfRule>
    <cfRule type="expression" dxfId="17511" priority="2943">
      <formula>$H1316="SUBETAPA"</formula>
    </cfRule>
  </conditionalFormatting>
  <conditionalFormatting sqref="I1328:J1328 I1331:J1331">
    <cfRule type="expression" dxfId="17510" priority="3062">
      <formula>$H1328="CÉLULA CONSTRUTIVA"</formula>
    </cfRule>
    <cfRule type="expression" dxfId="17509" priority="3063">
      <formula>$H1328="ETAPA"</formula>
    </cfRule>
    <cfRule type="expression" dxfId="17508" priority="3064">
      <formula>$H1328="SUBETAPA"</formula>
    </cfRule>
  </conditionalFormatting>
  <conditionalFormatting sqref="I1330:J1330">
    <cfRule type="expression" dxfId="17507" priority="3010">
      <formula>$H1330="CÉLULA CONSTRUTIVA"</formula>
    </cfRule>
    <cfRule type="expression" dxfId="17506" priority="3011">
      <formula>$H1330="ETAPA"</formula>
    </cfRule>
    <cfRule type="expression" dxfId="17505" priority="3012">
      <formula>$H1330="SUBETAPA"</formula>
    </cfRule>
  </conditionalFormatting>
  <conditionalFormatting sqref="I1342:J1342 I1345:J1345">
    <cfRule type="expression" dxfId="17504" priority="3131">
      <formula>$H1342="CÉLULA CONSTRUTIVA"</formula>
    </cfRule>
    <cfRule type="expression" dxfId="17503" priority="3132">
      <formula>$H1342="ETAPA"</formula>
    </cfRule>
    <cfRule type="expression" dxfId="17502" priority="3133">
      <formula>$H1342="SUBETAPA"</formula>
    </cfRule>
  </conditionalFormatting>
  <conditionalFormatting sqref="I1344:J1344">
    <cfRule type="expression" dxfId="17501" priority="3079">
      <formula>$H1344="CÉLULA CONSTRUTIVA"</formula>
    </cfRule>
    <cfRule type="expression" dxfId="17500" priority="3080">
      <formula>$H1344="ETAPA"</formula>
    </cfRule>
    <cfRule type="expression" dxfId="17499" priority="3081">
      <formula>$H1344="SUBETAPA"</formula>
    </cfRule>
  </conditionalFormatting>
  <conditionalFormatting sqref="I1356:J1356 I1359:J1359">
    <cfRule type="expression" dxfId="17498" priority="86648">
      <formula>$H1356="CÉLULA CONSTRUTIVA"</formula>
    </cfRule>
    <cfRule type="expression" dxfId="17497" priority="86649">
      <formula>$H1356="ETAPA"</formula>
    </cfRule>
    <cfRule type="expression" dxfId="17496" priority="86650">
      <formula>$H1356="SUBETAPA"</formula>
    </cfRule>
  </conditionalFormatting>
  <conditionalFormatting sqref="I1358:J1358">
    <cfRule type="expression" dxfId="17495" priority="3148">
      <formula>$H1358="CÉLULA CONSTRUTIVA"</formula>
    </cfRule>
    <cfRule type="expression" dxfId="17494" priority="3149">
      <formula>$H1358="ETAPA"</formula>
    </cfRule>
    <cfRule type="expression" dxfId="17493" priority="3150">
      <formula>$H1358="SUBETAPA"</formula>
    </cfRule>
  </conditionalFormatting>
  <conditionalFormatting sqref="I26:K27 M26:M27">
    <cfRule type="expression" dxfId="17492" priority="50676">
      <formula>$H26="ETAPA"</formula>
    </cfRule>
  </conditionalFormatting>
  <conditionalFormatting sqref="I80:K82 M80:M83">
    <cfRule type="expression" dxfId="17491"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490"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489"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488" priority="86993">
      <formula>$H1154="CÉLULA CONSTRUTIVA"</formula>
    </cfRule>
  </conditionalFormatting>
  <conditionalFormatting sqref="I1253:K1254 I1256:K1256 I1255:J1255">
    <cfRule type="expression" dxfId="17487" priority="2716">
      <formula>$H1253="SUBETAPA"</formula>
    </cfRule>
  </conditionalFormatting>
  <conditionalFormatting sqref="I1253:K1254 M1253:M1254 I1255:J1255 I1256:K1256 M1256:M1257">
    <cfRule type="expression" dxfId="17486" priority="2715">
      <formula>$H1253="ETAPA"</formula>
    </cfRule>
  </conditionalFormatting>
  <conditionalFormatting sqref="I1267:K1268 I1270:K1270 I1269:J1269">
    <cfRule type="expression" dxfId="17485" priority="2785">
      <formula>$H1267="SUBETAPA"</formula>
    </cfRule>
  </conditionalFormatting>
  <conditionalFormatting sqref="I1267:K1268 M1267:M1268 I1269:J1269 I1270:K1270 M1270:M1271">
    <cfRule type="expression" dxfId="17484" priority="2784">
      <formula>$H1267="ETAPA"</formula>
    </cfRule>
  </conditionalFormatting>
  <conditionalFormatting sqref="I1281:K1282 I1284:K1284 I1283:J1283">
    <cfRule type="expression" dxfId="17483" priority="2854">
      <formula>$H1281="SUBETAPA"</formula>
    </cfRule>
  </conditionalFormatting>
  <conditionalFormatting sqref="I1281:K1282 M1281:M1282 I1283:J1283 I1284:K1284 M1284:M1285">
    <cfRule type="expression" dxfId="17482" priority="2853">
      <formula>$H1281="ETAPA"</formula>
    </cfRule>
  </conditionalFormatting>
  <conditionalFormatting sqref="I1295:K1296 I1298:K1298 I1297:J1297">
    <cfRule type="expression" dxfId="17481" priority="2923">
      <formula>$H1295="SUBETAPA"</formula>
    </cfRule>
  </conditionalFormatting>
  <conditionalFormatting sqref="I1295:K1296 M1295:M1296 I1297:J1297 I1298:K1298 M1298:M1299">
    <cfRule type="expression" dxfId="17480" priority="2922">
      <formula>$H1295="ETAPA"</formula>
    </cfRule>
  </conditionalFormatting>
  <conditionalFormatting sqref="I1309:K1310 I1312:K1312 I1311:J1311">
    <cfRule type="expression" dxfId="17479" priority="2992">
      <formula>$H1309="SUBETAPA"</formula>
    </cfRule>
  </conditionalFormatting>
  <conditionalFormatting sqref="I1309:K1310 M1309:M1310 I1311:J1311 I1312:K1312 M1313">
    <cfRule type="expression" dxfId="17478" priority="2991">
      <formula>$H1309="ETAPA"</formula>
    </cfRule>
  </conditionalFormatting>
  <conditionalFormatting sqref="I1323:K1324 I1326:K1326 I1325:J1325">
    <cfRule type="expression" dxfId="17477" priority="3061">
      <formula>$H1323="SUBETAPA"</formula>
    </cfRule>
  </conditionalFormatting>
  <conditionalFormatting sqref="I1323:K1324 M1323:M1324 I1325:J1325 I1326:K1326 M1327">
    <cfRule type="expression" dxfId="17476" priority="3060">
      <formula>$H1323="ETAPA"</formula>
    </cfRule>
  </conditionalFormatting>
  <conditionalFormatting sqref="I1337:K1338 I1340:K1340 I1339:J1339">
    <cfRule type="expression" dxfId="17475" priority="3130">
      <formula>$H1337="SUBETAPA"</formula>
    </cfRule>
  </conditionalFormatting>
  <conditionalFormatting sqref="I1337:K1338 M1337:M1338 I1339:J1339 I1340:K1340 M1340:M1341">
    <cfRule type="expression" dxfId="17474" priority="3129">
      <formula>$H1337="ETAPA"</formula>
    </cfRule>
  </conditionalFormatting>
  <conditionalFormatting sqref="I1351:K1352 I1354:K1354 I1353:J1353">
    <cfRule type="expression" dxfId="17473" priority="86723">
      <formula>$H1351="SUBETAPA"</formula>
    </cfRule>
  </conditionalFormatting>
  <conditionalFormatting sqref="I1351:K1352 M1351:M1352 I1353:J1353 I1354:K1354 M1354:M1355">
    <cfRule type="expression" dxfId="17472" priority="86722">
      <formula>$H1351="ETAPA"</formula>
    </cfRule>
  </conditionalFormatting>
  <conditionalFormatting sqref="I26:L27">
    <cfRule type="expression" dxfId="17471" priority="50677">
      <formula>$H26="SUBETAPA"</formula>
    </cfRule>
  </conditionalFormatting>
  <conditionalFormatting sqref="I42:L43">
    <cfRule type="expression" dxfId="17470" priority="50499">
      <formula>$H42="SUBETAPA"</formula>
    </cfRule>
  </conditionalFormatting>
  <conditionalFormatting sqref="J32">
    <cfRule type="expression" dxfId="17469" priority="50636">
      <formula>$H32="CÉLULA CONSTRUTIVA"</formula>
    </cfRule>
    <cfRule type="expression" dxfId="17468" priority="50637">
      <formula>$H32="SUBETAPA"</formula>
    </cfRule>
  </conditionalFormatting>
  <conditionalFormatting sqref="J35:J36 H38:J38">
    <cfRule type="expression" dxfId="17467" priority="50566">
      <formula>$H35="SUBETAPA"</formula>
    </cfRule>
  </conditionalFormatting>
  <conditionalFormatting sqref="J35:J36 J38">
    <cfRule type="expression" dxfId="17466" priority="50564">
      <formula>$H35="CÉLULA CONSTRUTIVA"</formula>
    </cfRule>
  </conditionalFormatting>
  <conditionalFormatting sqref="J37">
    <cfRule type="expression" dxfId="17465" priority="46679">
      <formula>$H37="CÉLULA CONSTRUTIVA"</formula>
    </cfRule>
    <cfRule type="expression" dxfId="17464" priority="46680">
      <formula>$H37="ETAPA"</formula>
    </cfRule>
    <cfRule type="expression" dxfId="17463" priority="46681">
      <formula>$H37="SUBETAPA"</formula>
    </cfRule>
  </conditionalFormatting>
  <conditionalFormatting sqref="J38 H35:J36">
    <cfRule type="expression" dxfId="17462" priority="50565">
      <formula>$H35="ETAPA"</formula>
    </cfRule>
  </conditionalFormatting>
  <conditionalFormatting sqref="J40">
    <cfRule type="expression" dxfId="17461" priority="46089">
      <formula>$H40="CÉLULA CONSTRUTIVA"</formula>
    </cfRule>
    <cfRule type="expression" dxfId="17460" priority="46090">
      <formula>$H40="SUBETAPA"</formula>
    </cfRule>
    <cfRule type="expression" dxfId="17459" priority="46091">
      <formula>$H40="ETAPA"</formula>
    </cfRule>
  </conditionalFormatting>
  <conditionalFormatting sqref="J45">
    <cfRule type="expression" dxfId="17458" priority="46421">
      <formula>$H45="CÉLULA CONSTRUTIVA"</formula>
    </cfRule>
    <cfRule type="expression" dxfId="17457" priority="46422">
      <formula>$H45="ETAPA"</formula>
    </cfRule>
    <cfRule type="expression" dxfId="17456" priority="46423">
      <formula>$H45="SUBETAPA"</formula>
    </cfRule>
  </conditionalFormatting>
  <conditionalFormatting sqref="J46">
    <cfRule type="expression" dxfId="17455" priority="3989">
      <formula>$H46="CÉLULA CONSTRUTIVA"</formula>
    </cfRule>
    <cfRule type="expression" dxfId="17454" priority="3990">
      <formula>$H46="ETAPA"</formula>
    </cfRule>
    <cfRule type="expression" dxfId="17453" priority="3991">
      <formula>$H46="SUBETAPA"</formula>
    </cfRule>
  </conditionalFormatting>
  <conditionalFormatting sqref="J50">
    <cfRule type="expression" dxfId="17452" priority="50458">
      <formula>$H50="CÉLULA CONSTRUTIVA"</formula>
    </cfRule>
    <cfRule type="expression" dxfId="17451" priority="50459">
      <formula>$H50="SUBETAPA"</formula>
    </cfRule>
  </conditionalFormatting>
  <conditionalFormatting sqref="J61">
    <cfRule type="expression" dxfId="17450" priority="46086">
      <formula>$H61="CÉLULA CONSTRUTIVA"</formula>
    </cfRule>
    <cfRule type="expression" dxfId="17449" priority="46087">
      <formula>$H61="SUBETAPA"</formula>
    </cfRule>
    <cfRule type="expression" dxfId="17448" priority="46088">
      <formula>$H61="ETAPA"</formula>
    </cfRule>
  </conditionalFormatting>
  <conditionalFormatting sqref="J88">
    <cfRule type="expression" dxfId="17447" priority="46080">
      <formula>$H88="CÉLULA CONSTRUTIVA"</formula>
    </cfRule>
    <cfRule type="expression" dxfId="17446" priority="46081">
      <formula>$H88="SUBETAPA"</formula>
    </cfRule>
    <cfRule type="expression" dxfId="17445" priority="46082">
      <formula>$H88="ETAPA"</formula>
    </cfRule>
  </conditionalFormatting>
  <conditionalFormatting sqref="J90">
    <cfRule type="expression" dxfId="17444" priority="46083">
      <formula>$H90="CÉLULA CONSTRUTIVA"</formula>
    </cfRule>
    <cfRule type="expression" dxfId="17443" priority="46084">
      <formula>$H90="SUBETAPA"</formula>
    </cfRule>
    <cfRule type="expression" dxfId="17442" priority="46085">
      <formula>$H90="ETAPA"</formula>
    </cfRule>
  </conditionalFormatting>
  <conditionalFormatting sqref="J157">
    <cfRule type="expression" dxfId="17441" priority="49690">
      <formula>$H157="CÉLULA CONSTRUTIVA"</formula>
    </cfRule>
    <cfRule type="expression" dxfId="17440" priority="49691">
      <formula>$H157="SUBETAPA"</formula>
    </cfRule>
    <cfRule type="expression" dxfId="17439" priority="49692">
      <formula>$H157="ETAPA"</formula>
    </cfRule>
  </conditionalFormatting>
  <conditionalFormatting sqref="J167">
    <cfRule type="expression" dxfId="17438" priority="49604">
      <formula>$H167="CÉLULA CONSTRUTIVA"</formula>
    </cfRule>
    <cfRule type="expression" dxfId="17437" priority="49605">
      <formula>$H167="SUBETAPA"</formula>
    </cfRule>
    <cfRule type="expression" dxfId="17436" priority="49606">
      <formula>$H167="ETAPA"</formula>
    </cfRule>
  </conditionalFormatting>
  <conditionalFormatting sqref="J303">
    <cfRule type="expression" dxfId="17435" priority="46252">
      <formula>$H303="CÉLULA CONSTRUTIVA"</formula>
    </cfRule>
    <cfRule type="expression" dxfId="17434" priority="46253">
      <formula>$H303="SUBETAPA"</formula>
    </cfRule>
    <cfRule type="expression" dxfId="17433" priority="46254">
      <formula>$H303="ETAPA"</formula>
    </cfRule>
  </conditionalFormatting>
  <conditionalFormatting sqref="J308">
    <cfRule type="expression" dxfId="17432" priority="46854">
      <formula>$H308="CÉLULA CONSTRUTIVA"</formula>
    </cfRule>
    <cfRule type="expression" dxfId="17431" priority="46855">
      <formula>$H308="SUBETAPA"</formula>
    </cfRule>
    <cfRule type="expression" dxfId="17430" priority="46856">
      <formula>$H308="ETAPA"</formula>
    </cfRule>
  </conditionalFormatting>
  <conditionalFormatting sqref="J317">
    <cfRule type="expression" dxfId="17429" priority="48361">
      <formula>$H317="CÉLULA CONSTRUTIVA"</formula>
    </cfRule>
    <cfRule type="expression" dxfId="17428" priority="48362">
      <formula>$H317="SUBETAPA"</formula>
    </cfRule>
    <cfRule type="expression" dxfId="17427" priority="48363">
      <formula>$H317="ETAPA"</formula>
    </cfRule>
  </conditionalFormatting>
  <conditionalFormatting sqref="J321">
    <cfRule type="expression" dxfId="17426" priority="48275">
      <formula>$H321="CÉLULA CONSTRUTIVA"</formula>
    </cfRule>
    <cfRule type="expression" dxfId="17425" priority="48276">
      <formula>$H321="SUBETAPA"</formula>
    </cfRule>
    <cfRule type="expression" dxfId="17424" priority="48277">
      <formula>$H321="ETAPA"</formula>
    </cfRule>
  </conditionalFormatting>
  <conditionalFormatting sqref="J325">
    <cfRule type="expression" dxfId="17423" priority="48189">
      <formula>$H325="CÉLULA CONSTRUTIVA"</formula>
    </cfRule>
    <cfRule type="expression" dxfId="17422" priority="48190">
      <formula>$H325="SUBETAPA"</formula>
    </cfRule>
    <cfRule type="expression" dxfId="17421" priority="48191">
      <formula>$H325="ETAPA"</formula>
    </cfRule>
  </conditionalFormatting>
  <conditionalFormatting sqref="J331">
    <cfRule type="expression" dxfId="17420" priority="48106">
      <formula>$H331="CÉLULA CONSTRUTIVA"</formula>
    </cfRule>
    <cfRule type="expression" dxfId="17419" priority="48107">
      <formula>$H331="SUBETAPA"</formula>
    </cfRule>
    <cfRule type="expression" dxfId="17418" priority="48108">
      <formula>$H331="ETAPA"</formula>
    </cfRule>
  </conditionalFormatting>
  <conditionalFormatting sqref="J335">
    <cfRule type="expression" dxfId="17417" priority="48024">
      <formula>$H335="CÉLULA CONSTRUTIVA"</formula>
    </cfRule>
    <cfRule type="expression" dxfId="17416" priority="48025">
      <formula>$H335="SUBETAPA"</formula>
    </cfRule>
    <cfRule type="expression" dxfId="17415" priority="48026">
      <formula>$H335="ETAPA"</formula>
    </cfRule>
  </conditionalFormatting>
  <conditionalFormatting sqref="J339">
    <cfRule type="expression" dxfId="17414" priority="47942">
      <formula>$H339="CÉLULA CONSTRUTIVA"</formula>
    </cfRule>
    <cfRule type="expression" dxfId="17413" priority="47943">
      <formula>$H339="SUBETAPA"</formula>
    </cfRule>
    <cfRule type="expression" dxfId="17412" priority="47944">
      <formula>$H339="ETAPA"</formula>
    </cfRule>
  </conditionalFormatting>
  <conditionalFormatting sqref="J343">
    <cfRule type="expression" dxfId="17411" priority="47858">
      <formula>$H343="CÉLULA CONSTRUTIVA"</formula>
    </cfRule>
    <cfRule type="expression" dxfId="17410" priority="47859">
      <formula>$H343="SUBETAPA"</formula>
    </cfRule>
    <cfRule type="expression" dxfId="17409" priority="47860">
      <formula>$H343="ETAPA"</formula>
    </cfRule>
  </conditionalFormatting>
  <conditionalFormatting sqref="J350">
    <cfRule type="expression" dxfId="17408" priority="47163">
      <formula>$H350="CÉLULA CONSTRUTIVA"</formula>
    </cfRule>
    <cfRule type="expression" dxfId="17407" priority="47164">
      <formula>$H350="SUBETAPA"</formula>
    </cfRule>
    <cfRule type="expression" dxfId="17406" priority="47165">
      <formula>$H350="ETAPA"</formula>
    </cfRule>
  </conditionalFormatting>
  <conditionalFormatting sqref="J352">
    <cfRule type="expression" dxfId="17405" priority="47160">
      <formula>$H352="CÉLULA CONSTRUTIVA"</formula>
    </cfRule>
    <cfRule type="expression" dxfId="17404" priority="47161">
      <formula>$H352="SUBETAPA"</formula>
    </cfRule>
    <cfRule type="expression" dxfId="17403" priority="47162">
      <formula>$H352="ETAPA"</formula>
    </cfRule>
  </conditionalFormatting>
  <conditionalFormatting sqref="J354">
    <cfRule type="expression" dxfId="17402" priority="47157">
      <formula>$H354="CÉLULA CONSTRUTIVA"</formula>
    </cfRule>
    <cfRule type="expression" dxfId="17401" priority="47158">
      <formula>$H354="SUBETAPA"</formula>
    </cfRule>
    <cfRule type="expression" dxfId="17400" priority="47159">
      <formula>$H354="ETAPA"</formula>
    </cfRule>
  </conditionalFormatting>
  <conditionalFormatting sqref="J356">
    <cfRule type="expression" dxfId="17399" priority="47154">
      <formula>$H356="CÉLULA CONSTRUTIVA"</formula>
    </cfRule>
    <cfRule type="expression" dxfId="17398" priority="47155">
      <formula>$H356="SUBETAPA"</formula>
    </cfRule>
    <cfRule type="expression" dxfId="17397" priority="47156">
      <formula>$H356="ETAPA"</formula>
    </cfRule>
  </conditionalFormatting>
  <conditionalFormatting sqref="J358">
    <cfRule type="expression" dxfId="17396" priority="47151">
      <formula>$H358="CÉLULA CONSTRUTIVA"</formula>
    </cfRule>
    <cfRule type="expression" dxfId="17395" priority="47152">
      <formula>$H358="SUBETAPA"</formula>
    </cfRule>
    <cfRule type="expression" dxfId="17394" priority="47153">
      <formula>$H358="ETAPA"</formula>
    </cfRule>
  </conditionalFormatting>
  <conditionalFormatting sqref="J360">
    <cfRule type="expression" dxfId="17393" priority="46157">
      <formula>$H360="CÉLULA CONSTRUTIVA"</formula>
    </cfRule>
    <cfRule type="expression" dxfId="17392" priority="46158">
      <formula>$H360="SUBETAPA"</formula>
    </cfRule>
    <cfRule type="expression" dxfId="17391" priority="46159">
      <formula>$H360="ETAPA"</formula>
    </cfRule>
  </conditionalFormatting>
  <conditionalFormatting sqref="J362">
    <cfRule type="expression" dxfId="17390" priority="47148">
      <formula>$H362="CÉLULA CONSTRUTIVA"</formula>
    </cfRule>
    <cfRule type="expression" dxfId="17389" priority="47149">
      <formula>$H362="SUBETAPA"</formula>
    </cfRule>
    <cfRule type="expression" dxfId="17388" priority="47150">
      <formula>$H362="ETAPA"</formula>
    </cfRule>
  </conditionalFormatting>
  <conditionalFormatting sqref="J364">
    <cfRule type="expression" dxfId="17387" priority="47145">
      <formula>$H364="CÉLULA CONSTRUTIVA"</formula>
    </cfRule>
    <cfRule type="expression" dxfId="17386" priority="47146">
      <formula>$H364="SUBETAPA"</formula>
    </cfRule>
    <cfRule type="expression" dxfId="17385" priority="47147">
      <formula>$H364="ETAPA"</formula>
    </cfRule>
  </conditionalFormatting>
  <conditionalFormatting sqref="J366">
    <cfRule type="expression" dxfId="17384" priority="47142">
      <formula>$H366="CÉLULA CONSTRUTIVA"</formula>
    </cfRule>
    <cfRule type="expression" dxfId="17383" priority="47143">
      <formula>$H366="SUBETAPA"</formula>
    </cfRule>
    <cfRule type="expression" dxfId="17382" priority="47144">
      <formula>$H366="ETAPA"</formula>
    </cfRule>
  </conditionalFormatting>
  <conditionalFormatting sqref="J368">
    <cfRule type="expression" dxfId="17381" priority="47139">
      <formula>$H368="CÉLULA CONSTRUTIVA"</formula>
    </cfRule>
    <cfRule type="expression" dxfId="17380" priority="47140">
      <formula>$H368="SUBETAPA"</formula>
    </cfRule>
    <cfRule type="expression" dxfId="17379" priority="47141">
      <formula>$H368="ETAPA"</formula>
    </cfRule>
  </conditionalFormatting>
  <conditionalFormatting sqref="J370">
    <cfRule type="expression" dxfId="17378" priority="47136">
      <formula>$H370="CÉLULA CONSTRUTIVA"</formula>
    </cfRule>
    <cfRule type="expression" dxfId="17377" priority="47137">
      <formula>$H370="SUBETAPA"</formula>
    </cfRule>
    <cfRule type="expression" dxfId="17376" priority="47138">
      <formula>$H370="ETAPA"</formula>
    </cfRule>
  </conditionalFormatting>
  <conditionalFormatting sqref="J372">
    <cfRule type="expression" dxfId="17375" priority="47133">
      <formula>$H372="CÉLULA CONSTRUTIVA"</formula>
    </cfRule>
    <cfRule type="expression" dxfId="17374" priority="47134">
      <formula>$H372="SUBETAPA"</formula>
    </cfRule>
    <cfRule type="expression" dxfId="17373" priority="47135">
      <formula>$H372="ETAPA"</formula>
    </cfRule>
  </conditionalFormatting>
  <conditionalFormatting sqref="J374">
    <cfRule type="expression" dxfId="17372" priority="47130">
      <formula>$H374="CÉLULA CONSTRUTIVA"</formula>
    </cfRule>
    <cfRule type="expression" dxfId="17371" priority="47131">
      <formula>$H374="SUBETAPA"</formula>
    </cfRule>
    <cfRule type="expression" dxfId="17370" priority="47132">
      <formula>$H374="ETAPA"</formula>
    </cfRule>
  </conditionalFormatting>
  <conditionalFormatting sqref="J376">
    <cfRule type="expression" dxfId="17369" priority="47127">
      <formula>$H376="CÉLULA CONSTRUTIVA"</formula>
    </cfRule>
    <cfRule type="expression" dxfId="17368" priority="47128">
      <formula>$H376="SUBETAPA"</formula>
    </cfRule>
    <cfRule type="expression" dxfId="17367" priority="47129">
      <formula>$H376="ETAPA"</formula>
    </cfRule>
  </conditionalFormatting>
  <conditionalFormatting sqref="J378">
    <cfRule type="expression" dxfId="17366" priority="47124">
      <formula>$H378="CÉLULA CONSTRUTIVA"</formula>
    </cfRule>
    <cfRule type="expression" dxfId="17365" priority="47125">
      <formula>$H378="SUBETAPA"</formula>
    </cfRule>
    <cfRule type="expression" dxfId="17364" priority="47126">
      <formula>$H378="ETAPA"</formula>
    </cfRule>
  </conditionalFormatting>
  <conditionalFormatting sqref="J389">
    <cfRule type="expression" dxfId="17363" priority="99333">
      <formula>$H389="SUBETAPA"</formula>
    </cfRule>
    <cfRule type="expression" dxfId="17362" priority="99334">
      <formula>$H389="CÉLULA CONSTRUTIVA"</formula>
    </cfRule>
  </conditionalFormatting>
  <conditionalFormatting sqref="J393">
    <cfRule type="expression" dxfId="17361" priority="7586">
      <formula>$H393="SUBETAPA"</formula>
    </cfRule>
    <cfRule type="expression" dxfId="17360" priority="7587">
      <formula>$H393="CÉLULA CONSTRUTIVA"</formula>
    </cfRule>
  </conditionalFormatting>
  <conditionalFormatting sqref="J396">
    <cfRule type="expression" dxfId="17359" priority="99287">
      <formula>$H396="SUBETAPA"</formula>
    </cfRule>
    <cfRule type="expression" dxfId="17358" priority="99288">
      <formula>$H396="CÉLULA CONSTRUTIVA"</formula>
    </cfRule>
  </conditionalFormatting>
  <conditionalFormatting sqref="J397">
    <cfRule type="expression" dxfId="17357" priority="99289">
      <formula>$H397="SUBETAPA"</formula>
    </cfRule>
    <cfRule type="expression" dxfId="17356" priority="99290">
      <formula>$H397="CÉLULA CONSTRUTIVA"</formula>
    </cfRule>
  </conditionalFormatting>
  <conditionalFormatting sqref="J398">
    <cfRule type="expression" dxfId="17355" priority="7528">
      <formula>$H398="SUBETAPA"</formula>
    </cfRule>
    <cfRule type="expression" dxfId="17354" priority="7529">
      <formula>$H398="CÉLULA CONSTRUTIVA"</formula>
    </cfRule>
    <cfRule type="expression" dxfId="17353" priority="7530">
      <formula>$H398="ETAPA"</formula>
    </cfRule>
  </conditionalFormatting>
  <conditionalFormatting sqref="J406">
    <cfRule type="expression" dxfId="17352" priority="99428">
      <formula>$H406="SUBETAPA"</formula>
    </cfRule>
    <cfRule type="expression" dxfId="17351" priority="99429">
      <formula>$H406="CÉLULA CONSTRUTIVA"</formula>
    </cfRule>
  </conditionalFormatting>
  <conditionalFormatting sqref="J409">
    <cfRule type="expression" dxfId="17350" priority="7549">
      <formula>$H409="SUBETAPA"</formula>
    </cfRule>
    <cfRule type="expression" dxfId="17349" priority="7550">
      <formula>$H409="CÉLULA CONSTRUTIVA"</formula>
    </cfRule>
  </conditionalFormatting>
  <conditionalFormatting sqref="J409:J410">
    <cfRule type="expression" dxfId="17348" priority="7551">
      <formula>$H409="SUBETAPA"</formula>
    </cfRule>
    <cfRule type="expression" dxfId="17347" priority="7552">
      <formula>$H409="CÉLULA CONSTRUTIVA"</formula>
    </cfRule>
  </conditionalFormatting>
  <conditionalFormatting sqref="J413">
    <cfRule type="expression" dxfId="17346" priority="99382">
      <formula>$H413="SUBETAPA"</formula>
    </cfRule>
    <cfRule type="expression" dxfId="17345" priority="99383">
      <formula>$H413="CÉLULA CONSTRUTIVA"</formula>
    </cfRule>
  </conditionalFormatting>
  <conditionalFormatting sqref="J414">
    <cfRule type="expression" dxfId="17344" priority="99384">
      <formula>$H414="SUBETAPA"</formula>
    </cfRule>
    <cfRule type="expression" dxfId="17343" priority="99385">
      <formula>$H414="CÉLULA CONSTRUTIVA"</formula>
    </cfRule>
  </conditionalFormatting>
  <conditionalFormatting sqref="J415">
    <cfRule type="expression" dxfId="17342" priority="7531">
      <formula>$H415="SUBETAPA"</formula>
    </cfRule>
    <cfRule type="expression" dxfId="17341" priority="7532">
      <formula>$H415="CÉLULA CONSTRUTIVA"</formula>
    </cfRule>
    <cfRule type="expression" dxfId="17340" priority="7533">
      <formula>$H415="ETAPA"</formula>
    </cfRule>
  </conditionalFormatting>
  <conditionalFormatting sqref="J423">
    <cfRule type="expression" dxfId="17339" priority="99523">
      <formula>$H423="SUBETAPA"</formula>
    </cfRule>
    <cfRule type="expression" dxfId="17338" priority="99524">
      <formula>$H423="CÉLULA CONSTRUTIVA"</formula>
    </cfRule>
  </conditionalFormatting>
  <conditionalFormatting sqref="J426">
    <cfRule type="expression" dxfId="17337" priority="7499">
      <formula>$H426="SUBETAPA"</formula>
    </cfRule>
    <cfRule type="expression" dxfId="17336" priority="7500">
      <formula>$H426="CÉLULA CONSTRUTIVA"</formula>
    </cfRule>
  </conditionalFormatting>
  <conditionalFormatting sqref="J429">
    <cfRule type="expression" dxfId="17335" priority="99477">
      <formula>$H429="SUBETAPA"</formula>
    </cfRule>
    <cfRule type="expression" dxfId="17334" priority="99478">
      <formula>$H429="CÉLULA CONSTRUTIVA"</formula>
    </cfRule>
  </conditionalFormatting>
  <conditionalFormatting sqref="J430">
    <cfRule type="expression" dxfId="17333" priority="99479">
      <formula>$H430="SUBETAPA"</formula>
    </cfRule>
    <cfRule type="expression" dxfId="17332" priority="99480">
      <formula>$H430="CÉLULA CONSTRUTIVA"</formula>
    </cfRule>
  </conditionalFormatting>
  <conditionalFormatting sqref="J431">
    <cfRule type="expression" dxfId="17331" priority="7504">
      <formula>$H431="SUBETAPA"</formula>
    </cfRule>
    <cfRule type="expression" dxfId="17330" priority="7505">
      <formula>$H431="CÉLULA CONSTRUTIVA"</formula>
    </cfRule>
    <cfRule type="expression" dxfId="17329" priority="7506">
      <formula>$H431="ETAPA"</formula>
    </cfRule>
  </conditionalFormatting>
  <conditionalFormatting sqref="J439">
    <cfRule type="expression" dxfId="17328" priority="99618">
      <formula>$H439="SUBETAPA"</formula>
    </cfRule>
    <cfRule type="expression" dxfId="17327" priority="99619">
      <formula>$H439="CÉLULA CONSTRUTIVA"</formula>
    </cfRule>
  </conditionalFormatting>
  <conditionalFormatting sqref="J442">
    <cfRule type="expression" dxfId="17326" priority="7492">
      <formula>$H442="SUBETAPA"</formula>
    </cfRule>
    <cfRule type="expression" dxfId="17325" priority="7493">
      <formula>$H442="CÉLULA CONSTRUTIVA"</formula>
    </cfRule>
  </conditionalFormatting>
  <conditionalFormatting sqref="J445">
    <cfRule type="expression" dxfId="17324" priority="99572">
      <formula>$H445="SUBETAPA"</formula>
    </cfRule>
    <cfRule type="expression" dxfId="17323" priority="99573">
      <formula>$H445="CÉLULA CONSTRUTIVA"</formula>
    </cfRule>
  </conditionalFormatting>
  <conditionalFormatting sqref="J446">
    <cfRule type="expression" dxfId="17322" priority="99574">
      <formula>$H446="SUBETAPA"</formula>
    </cfRule>
    <cfRule type="expression" dxfId="17321" priority="99575">
      <formula>$H446="CÉLULA CONSTRUTIVA"</formula>
    </cfRule>
  </conditionalFormatting>
  <conditionalFormatting sqref="J447">
    <cfRule type="expression" dxfId="17320" priority="7466">
      <formula>$H447="SUBETAPA"</formula>
    </cfRule>
    <cfRule type="expression" dxfId="17319" priority="7467">
      <formula>$H447="CÉLULA CONSTRUTIVA"</formula>
    </cfRule>
    <cfRule type="expression" dxfId="17318" priority="7468">
      <formula>$H447="ETAPA"</formula>
    </cfRule>
  </conditionalFormatting>
  <conditionalFormatting sqref="J455">
    <cfRule type="expression" dxfId="17317" priority="99713">
      <formula>$H455="SUBETAPA"</formula>
    </cfRule>
    <cfRule type="expression" dxfId="17316" priority="99714">
      <formula>$H455="CÉLULA CONSTRUTIVA"</formula>
    </cfRule>
  </conditionalFormatting>
  <conditionalFormatting sqref="J458">
    <cfRule type="expression" dxfId="17315" priority="7461">
      <formula>$H458="SUBETAPA"</formula>
    </cfRule>
    <cfRule type="expression" dxfId="17314" priority="7462">
      <formula>$H458="CÉLULA CONSTRUTIVA"</formula>
    </cfRule>
  </conditionalFormatting>
  <conditionalFormatting sqref="J462">
    <cfRule type="expression" dxfId="17313" priority="99667">
      <formula>$H462="SUBETAPA"</formula>
    </cfRule>
    <cfRule type="expression" dxfId="17312" priority="99668">
      <formula>$H462="CÉLULA CONSTRUTIVA"</formula>
    </cfRule>
  </conditionalFormatting>
  <conditionalFormatting sqref="J463">
    <cfRule type="expression" dxfId="17311" priority="99669">
      <formula>$H463="SUBETAPA"</formula>
    </cfRule>
    <cfRule type="expression" dxfId="17310" priority="99670">
      <formula>$H463="CÉLULA CONSTRUTIVA"</formula>
    </cfRule>
  </conditionalFormatting>
  <conditionalFormatting sqref="J464">
    <cfRule type="expression" dxfId="17309" priority="7435">
      <formula>$H464="SUBETAPA"</formula>
    </cfRule>
    <cfRule type="expression" dxfId="17308" priority="7436">
      <formula>$H464="CÉLULA CONSTRUTIVA"</formula>
    </cfRule>
    <cfRule type="expression" dxfId="17307" priority="7437">
      <formula>$H464="ETAPA"</formula>
    </cfRule>
  </conditionalFormatting>
  <conditionalFormatting sqref="J472">
    <cfRule type="expression" dxfId="17306" priority="99808">
      <formula>$H472="SUBETAPA"</formula>
    </cfRule>
    <cfRule type="expression" dxfId="17305" priority="99809">
      <formula>$H472="CÉLULA CONSTRUTIVA"</formula>
    </cfRule>
  </conditionalFormatting>
  <conditionalFormatting sqref="J475">
    <cfRule type="expression" dxfId="17304" priority="7430">
      <formula>$H475="SUBETAPA"</formula>
    </cfRule>
    <cfRule type="expression" dxfId="17303" priority="7431">
      <formula>$H475="CÉLULA CONSTRUTIVA"</formula>
    </cfRule>
  </conditionalFormatting>
  <conditionalFormatting sqref="J479">
    <cfRule type="expression" dxfId="17302" priority="99762">
      <formula>$H479="SUBETAPA"</formula>
    </cfRule>
    <cfRule type="expression" dxfId="17301" priority="99763">
      <formula>$H479="CÉLULA CONSTRUTIVA"</formula>
    </cfRule>
  </conditionalFormatting>
  <conditionalFormatting sqref="J480">
    <cfRule type="expression" dxfId="17300" priority="99764">
      <formula>$H480="SUBETAPA"</formula>
    </cfRule>
    <cfRule type="expression" dxfId="17299" priority="99765">
      <formula>$H480="CÉLULA CONSTRUTIVA"</formula>
    </cfRule>
  </conditionalFormatting>
  <conditionalFormatting sqref="J481">
    <cfRule type="expression" dxfId="17298" priority="7404">
      <formula>$H481="SUBETAPA"</formula>
    </cfRule>
    <cfRule type="expression" dxfId="17297" priority="7405">
      <formula>$H481="CÉLULA CONSTRUTIVA"</formula>
    </cfRule>
    <cfRule type="expression" dxfId="17296" priority="7406">
      <formula>$H481="ETAPA"</formula>
    </cfRule>
  </conditionalFormatting>
  <conditionalFormatting sqref="J489">
    <cfRule type="expression" dxfId="17295" priority="99903">
      <formula>$H489="SUBETAPA"</formula>
    </cfRule>
    <cfRule type="expression" dxfId="17294" priority="99904">
      <formula>$H489="CÉLULA CONSTRUTIVA"</formula>
    </cfRule>
  </conditionalFormatting>
  <conditionalFormatting sqref="J492">
    <cfRule type="expression" dxfId="17293" priority="7399">
      <formula>$H492="SUBETAPA"</formula>
    </cfRule>
    <cfRule type="expression" dxfId="17292" priority="7400">
      <formula>$H492="CÉLULA CONSTRUTIVA"</formula>
    </cfRule>
  </conditionalFormatting>
  <conditionalFormatting sqref="J496">
    <cfRule type="expression" dxfId="17291" priority="99857">
      <formula>$H496="SUBETAPA"</formula>
    </cfRule>
    <cfRule type="expression" dxfId="17290" priority="99858">
      <formula>$H496="CÉLULA CONSTRUTIVA"</formula>
    </cfRule>
  </conditionalFormatting>
  <conditionalFormatting sqref="J497">
    <cfRule type="expression" dxfId="17289" priority="99859">
      <formula>$H497="SUBETAPA"</formula>
    </cfRule>
    <cfRule type="expression" dxfId="17288" priority="99860">
      <formula>$H497="CÉLULA CONSTRUTIVA"</formula>
    </cfRule>
  </conditionalFormatting>
  <conditionalFormatting sqref="J498">
    <cfRule type="expression" dxfId="17287" priority="7373">
      <formula>$H498="SUBETAPA"</formula>
    </cfRule>
    <cfRule type="expression" dxfId="17286" priority="7374">
      <formula>$H498="CÉLULA CONSTRUTIVA"</formula>
    </cfRule>
    <cfRule type="expression" dxfId="17285" priority="7375">
      <formula>$H498="ETAPA"</formula>
    </cfRule>
  </conditionalFormatting>
  <conditionalFormatting sqref="J506">
    <cfRule type="expression" dxfId="17284" priority="99998">
      <formula>$H506="SUBETAPA"</formula>
    </cfRule>
    <cfRule type="expression" dxfId="17283" priority="99999">
      <formula>$H506="CÉLULA CONSTRUTIVA"</formula>
    </cfRule>
  </conditionalFormatting>
  <conditionalFormatting sqref="J510">
    <cfRule type="expression" dxfId="17282" priority="7368">
      <formula>$H510="SUBETAPA"</formula>
    </cfRule>
    <cfRule type="expression" dxfId="17281" priority="7369">
      <formula>$H510="CÉLULA CONSTRUTIVA"</formula>
    </cfRule>
  </conditionalFormatting>
  <conditionalFormatting sqref="J514">
    <cfRule type="expression" dxfId="17280" priority="99952">
      <formula>$H514="SUBETAPA"</formula>
    </cfRule>
    <cfRule type="expression" dxfId="17279" priority="99953">
      <formula>$H514="CÉLULA CONSTRUTIVA"</formula>
    </cfRule>
  </conditionalFormatting>
  <conditionalFormatting sqref="J515">
    <cfRule type="expression" dxfId="17278" priority="99954">
      <formula>$H515="SUBETAPA"</formula>
    </cfRule>
    <cfRule type="expression" dxfId="17277" priority="99955">
      <formula>$H515="CÉLULA CONSTRUTIVA"</formula>
    </cfRule>
  </conditionalFormatting>
  <conditionalFormatting sqref="J516">
    <cfRule type="expression" dxfId="17276" priority="7342">
      <formula>$H516="SUBETAPA"</formula>
    </cfRule>
    <cfRule type="expression" dxfId="17275" priority="7343">
      <formula>$H516="CÉLULA CONSTRUTIVA"</formula>
    </cfRule>
    <cfRule type="expression" dxfId="17274" priority="7344">
      <formula>$H516="ETAPA"</formula>
    </cfRule>
  </conditionalFormatting>
  <conditionalFormatting sqref="J524">
    <cfRule type="expression" dxfId="17273" priority="100093">
      <formula>$H524="SUBETAPA"</formula>
    </cfRule>
    <cfRule type="expression" dxfId="17272" priority="100094">
      <formula>$H524="CÉLULA CONSTRUTIVA"</formula>
    </cfRule>
  </conditionalFormatting>
  <conditionalFormatting sqref="J529">
    <cfRule type="expression" dxfId="17271" priority="7337">
      <formula>$H529="SUBETAPA"</formula>
    </cfRule>
    <cfRule type="expression" dxfId="17270" priority="7338">
      <formula>$H529="CÉLULA CONSTRUTIVA"</formula>
    </cfRule>
  </conditionalFormatting>
  <conditionalFormatting sqref="J532">
    <cfRule type="expression" dxfId="17269" priority="100047">
      <formula>$H532="SUBETAPA"</formula>
    </cfRule>
    <cfRule type="expression" dxfId="17268" priority="100048">
      <formula>$H532="CÉLULA CONSTRUTIVA"</formula>
    </cfRule>
  </conditionalFormatting>
  <conditionalFormatting sqref="J533">
    <cfRule type="expression" dxfId="17267" priority="100049">
      <formula>$H533="SUBETAPA"</formula>
    </cfRule>
    <cfRule type="expression" dxfId="17266" priority="100050">
      <formula>$H533="CÉLULA CONSTRUTIVA"</formula>
    </cfRule>
  </conditionalFormatting>
  <conditionalFormatting sqref="J534">
    <cfRule type="expression" dxfId="17265" priority="7311">
      <formula>$H534="SUBETAPA"</formula>
    </cfRule>
    <cfRule type="expression" dxfId="17264" priority="7312">
      <formula>$H534="CÉLULA CONSTRUTIVA"</formula>
    </cfRule>
    <cfRule type="expression" dxfId="17263" priority="7313">
      <formula>$H534="ETAPA"</formula>
    </cfRule>
  </conditionalFormatting>
  <conditionalFormatting sqref="J542">
    <cfRule type="expression" dxfId="17262" priority="100188">
      <formula>$H542="SUBETAPA"</formula>
    </cfRule>
    <cfRule type="expression" dxfId="17261" priority="100189">
      <formula>$H542="CÉLULA CONSTRUTIVA"</formula>
    </cfRule>
  </conditionalFormatting>
  <conditionalFormatting sqref="J547">
    <cfRule type="expression" dxfId="17260" priority="7306">
      <formula>$H547="SUBETAPA"</formula>
    </cfRule>
    <cfRule type="expression" dxfId="17259" priority="7307">
      <formula>$H547="CÉLULA CONSTRUTIVA"</formula>
    </cfRule>
  </conditionalFormatting>
  <conditionalFormatting sqref="J550">
    <cfRule type="expression" dxfId="17258" priority="100142">
      <formula>$H550="SUBETAPA"</formula>
    </cfRule>
    <cfRule type="expression" dxfId="17257" priority="100143">
      <formula>$H550="CÉLULA CONSTRUTIVA"</formula>
    </cfRule>
  </conditionalFormatting>
  <conditionalFormatting sqref="J551">
    <cfRule type="expression" dxfId="17256" priority="100144">
      <formula>$H551="SUBETAPA"</formula>
    </cfRule>
    <cfRule type="expression" dxfId="17255" priority="100145">
      <formula>$H551="CÉLULA CONSTRUTIVA"</formula>
    </cfRule>
  </conditionalFormatting>
  <conditionalFormatting sqref="J552">
    <cfRule type="expression" dxfId="17254" priority="7280">
      <formula>$H552="SUBETAPA"</formula>
    </cfRule>
    <cfRule type="expression" dxfId="17253" priority="7281">
      <formula>$H552="CÉLULA CONSTRUTIVA"</formula>
    </cfRule>
    <cfRule type="expression" dxfId="17252" priority="7282">
      <formula>$H552="ETAPA"</formula>
    </cfRule>
  </conditionalFormatting>
  <conditionalFormatting sqref="J560">
    <cfRule type="expression" dxfId="17251" priority="100283">
      <formula>$H560="SUBETAPA"</formula>
    </cfRule>
    <cfRule type="expression" dxfId="17250" priority="100284">
      <formula>$H560="CÉLULA CONSTRUTIVA"</formula>
    </cfRule>
  </conditionalFormatting>
  <conditionalFormatting sqref="J565">
    <cfRule type="expression" dxfId="17249" priority="7275">
      <formula>$H565="SUBETAPA"</formula>
    </cfRule>
    <cfRule type="expression" dxfId="17248" priority="7276">
      <formula>$H565="CÉLULA CONSTRUTIVA"</formula>
    </cfRule>
  </conditionalFormatting>
  <conditionalFormatting sqref="J568">
    <cfRule type="expression" dxfId="17247" priority="100237">
      <formula>$H568="SUBETAPA"</formula>
    </cfRule>
    <cfRule type="expression" dxfId="17246" priority="100238">
      <formula>$H568="CÉLULA CONSTRUTIVA"</formula>
    </cfRule>
  </conditionalFormatting>
  <conditionalFormatting sqref="J569">
    <cfRule type="expression" dxfId="17245" priority="100239">
      <formula>$H569="SUBETAPA"</formula>
    </cfRule>
    <cfRule type="expression" dxfId="17244" priority="100240">
      <formula>$H569="CÉLULA CONSTRUTIVA"</formula>
    </cfRule>
  </conditionalFormatting>
  <conditionalFormatting sqref="J570">
    <cfRule type="expression" dxfId="17243" priority="7249">
      <formula>$H570="SUBETAPA"</formula>
    </cfRule>
    <cfRule type="expression" dxfId="17242" priority="7250">
      <formula>$H570="CÉLULA CONSTRUTIVA"</formula>
    </cfRule>
    <cfRule type="expression" dxfId="17241" priority="7251">
      <formula>$H570="ETAPA"</formula>
    </cfRule>
  </conditionalFormatting>
  <conditionalFormatting sqref="J578">
    <cfRule type="expression" dxfId="17240" priority="100378">
      <formula>$H578="SUBETAPA"</formula>
    </cfRule>
    <cfRule type="expression" dxfId="17239" priority="100379">
      <formula>$H578="CÉLULA CONSTRUTIVA"</formula>
    </cfRule>
  </conditionalFormatting>
  <conditionalFormatting sqref="J584">
    <cfRule type="expression" dxfId="17238" priority="100332">
      <formula>$H584="SUBETAPA"</formula>
    </cfRule>
    <cfRule type="expression" dxfId="17237" priority="100333">
      <formula>$H584="CÉLULA CONSTRUTIVA"</formula>
    </cfRule>
  </conditionalFormatting>
  <conditionalFormatting sqref="J585">
    <cfRule type="expression" dxfId="17236" priority="100334">
      <formula>$H585="SUBETAPA"</formula>
    </cfRule>
    <cfRule type="expression" dxfId="17235" priority="100335">
      <formula>$H585="CÉLULA CONSTRUTIVA"</formula>
    </cfRule>
  </conditionalFormatting>
  <conditionalFormatting sqref="J586">
    <cfRule type="expression" dxfId="17234" priority="7218">
      <formula>$H586="SUBETAPA"</formula>
    </cfRule>
    <cfRule type="expression" dxfId="17233" priority="7219">
      <formula>$H586="CÉLULA CONSTRUTIVA"</formula>
    </cfRule>
    <cfRule type="expression" dxfId="17232" priority="7220">
      <formula>$H586="ETAPA"</formula>
    </cfRule>
  </conditionalFormatting>
  <conditionalFormatting sqref="J595">
    <cfRule type="expression" dxfId="17231" priority="100473">
      <formula>$H595="SUBETAPA"</formula>
    </cfRule>
    <cfRule type="expression" dxfId="17230" priority="100474">
      <formula>$H595="CÉLULA CONSTRUTIVA"</formula>
    </cfRule>
  </conditionalFormatting>
  <conditionalFormatting sqref="J600">
    <cfRule type="expression" dxfId="17229" priority="7213">
      <formula>$H600="SUBETAPA"</formula>
    </cfRule>
    <cfRule type="expression" dxfId="17228" priority="7214">
      <formula>$H600="CÉLULA CONSTRUTIVA"</formula>
    </cfRule>
  </conditionalFormatting>
  <conditionalFormatting sqref="J603">
    <cfRule type="expression" dxfId="17227" priority="100427">
      <formula>$H603="SUBETAPA"</formula>
    </cfRule>
    <cfRule type="expression" dxfId="17226" priority="100428">
      <formula>$H603="CÉLULA CONSTRUTIVA"</formula>
    </cfRule>
  </conditionalFormatting>
  <conditionalFormatting sqref="J604">
    <cfRule type="expression" dxfId="17225" priority="100429">
      <formula>$H604="SUBETAPA"</formula>
    </cfRule>
    <cfRule type="expression" dxfId="17224" priority="100430">
      <formula>$H604="CÉLULA CONSTRUTIVA"</formula>
    </cfRule>
  </conditionalFormatting>
  <conditionalFormatting sqref="J605">
    <cfRule type="expression" dxfId="17223" priority="7187">
      <formula>$H605="SUBETAPA"</formula>
    </cfRule>
    <cfRule type="expression" dxfId="17222" priority="7188">
      <formula>$H605="CÉLULA CONSTRUTIVA"</formula>
    </cfRule>
    <cfRule type="expression" dxfId="17221" priority="7189">
      <formula>$H605="ETAPA"</formula>
    </cfRule>
  </conditionalFormatting>
  <conditionalFormatting sqref="J612">
    <cfRule type="expression" dxfId="17220" priority="100568">
      <formula>$H612="SUBETAPA"</formula>
    </cfRule>
    <cfRule type="expression" dxfId="17219" priority="100569">
      <formula>$H612="CÉLULA CONSTRUTIVA"</formula>
    </cfRule>
  </conditionalFormatting>
  <conditionalFormatting sqref="J615">
    <cfRule type="expression" dxfId="17218" priority="7182">
      <formula>$H615="SUBETAPA"</formula>
    </cfRule>
    <cfRule type="expression" dxfId="17217" priority="7183">
      <formula>$H615="CÉLULA CONSTRUTIVA"</formula>
    </cfRule>
  </conditionalFormatting>
  <conditionalFormatting sqref="J617">
    <cfRule type="expression" dxfId="17216" priority="100522">
      <formula>$H617="SUBETAPA"</formula>
    </cfRule>
    <cfRule type="expression" dxfId="17215" priority="100523">
      <formula>$H617="CÉLULA CONSTRUTIVA"</formula>
    </cfRule>
  </conditionalFormatting>
  <conditionalFormatting sqref="J618">
    <cfRule type="expression" dxfId="17214" priority="7156">
      <formula>$H618="SUBETAPA"</formula>
    </cfRule>
    <cfRule type="expression" dxfId="17213" priority="7157">
      <formula>$H618="CÉLULA CONSTRUTIVA"</formula>
    </cfRule>
    <cfRule type="expression" dxfId="17212" priority="7158">
      <formula>$H618="ETAPA"</formula>
    </cfRule>
  </conditionalFormatting>
  <conditionalFormatting sqref="J1369">
    <cfRule type="expression" dxfId="17211" priority="53740">
      <formula>$H1369="CÉLULA CONSTRUTIVA"</formula>
    </cfRule>
    <cfRule type="expression" dxfId="17210" priority="53741">
      <formula>$H1369="ETAPA"</formula>
    </cfRule>
    <cfRule type="expression" dxfId="17209" priority="53742">
      <formula>$H1369="SUBETAPA"</formula>
    </cfRule>
  </conditionalFormatting>
  <conditionalFormatting sqref="J1372">
    <cfRule type="expression" dxfId="17208" priority="53864">
      <formula>$H1372="CÉLULA CONSTRUTIVA"</formula>
    </cfRule>
    <cfRule type="expression" dxfId="17207" priority="53865">
      <formula>$H1372="ETAPA"</formula>
    </cfRule>
    <cfRule type="expression" dxfId="17206" priority="53866">
      <formula>$H1372="SUBETAPA"</formula>
    </cfRule>
  </conditionalFormatting>
  <conditionalFormatting sqref="J1375">
    <cfRule type="expression" dxfId="17205" priority="53988">
      <formula>$H1375="CÉLULA CONSTRUTIVA"</formula>
    </cfRule>
    <cfRule type="expression" dxfId="17204" priority="53989">
      <formula>$H1375="ETAPA"</formula>
    </cfRule>
    <cfRule type="expression" dxfId="17203" priority="53990">
      <formula>$H1375="SUBETAPA"</formula>
    </cfRule>
  </conditionalFormatting>
  <conditionalFormatting sqref="J1378">
    <cfRule type="expression" dxfId="17202" priority="54112">
      <formula>$H1378="CÉLULA CONSTRUTIVA"</formula>
    </cfRule>
    <cfRule type="expression" dxfId="17201" priority="54113">
      <formula>$H1378="ETAPA"</formula>
    </cfRule>
    <cfRule type="expression" dxfId="17200" priority="54114">
      <formula>$H1378="SUBETAPA"</formula>
    </cfRule>
  </conditionalFormatting>
  <conditionalFormatting sqref="J1381">
    <cfRule type="expression" dxfId="17199" priority="54236">
      <formula>$H1381="CÉLULA CONSTRUTIVA"</formula>
    </cfRule>
    <cfRule type="expression" dxfId="17198" priority="54237">
      <formula>$H1381="ETAPA"</formula>
    </cfRule>
    <cfRule type="expression" dxfId="17197" priority="54238">
      <formula>$H1381="SUBETAPA"</formula>
    </cfRule>
  </conditionalFormatting>
  <conditionalFormatting sqref="J1384">
    <cfRule type="expression" dxfId="17196" priority="54360">
      <formula>$H1384="CÉLULA CONSTRUTIVA"</formula>
    </cfRule>
    <cfRule type="expression" dxfId="17195" priority="54361">
      <formula>$H1384="ETAPA"</formula>
    </cfRule>
    <cfRule type="expression" dxfId="17194" priority="54362">
      <formula>$H1384="SUBETAPA"</formula>
    </cfRule>
  </conditionalFormatting>
  <conditionalFormatting sqref="J1389">
    <cfRule type="expression" dxfId="17193" priority="54484">
      <formula>$H1389="CÉLULA CONSTRUTIVA"</formula>
    </cfRule>
    <cfRule type="expression" dxfId="17192" priority="54485">
      <formula>$H1389="ETAPA"</formula>
    </cfRule>
    <cfRule type="expression" dxfId="17191" priority="54486">
      <formula>$H1389="SUBETAPA"</formula>
    </cfRule>
  </conditionalFormatting>
  <conditionalFormatting sqref="J1396">
    <cfRule type="expression" dxfId="17190" priority="54608">
      <formula>$H1396="CÉLULA CONSTRUTIVA"</formula>
    </cfRule>
    <cfRule type="expression" dxfId="17189" priority="54609">
      <formula>$H1396="ETAPA"</formula>
    </cfRule>
    <cfRule type="expression" dxfId="17188" priority="54610">
      <formula>$H1396="SUBETAPA"</formula>
    </cfRule>
  </conditionalFormatting>
  <conditionalFormatting sqref="J1403">
    <cfRule type="expression" dxfId="17187" priority="54732">
      <formula>$H1403="CÉLULA CONSTRUTIVA"</formula>
    </cfRule>
    <cfRule type="expression" dxfId="17186" priority="54733">
      <formula>$H1403="ETAPA"</formula>
    </cfRule>
    <cfRule type="expression" dxfId="17185" priority="54734">
      <formula>$H1403="SUBETAPA"</formula>
    </cfRule>
  </conditionalFormatting>
  <conditionalFormatting sqref="J1408">
    <cfRule type="expression" dxfId="17184" priority="54856">
      <formula>$H1408="CÉLULA CONSTRUTIVA"</formula>
    </cfRule>
    <cfRule type="expression" dxfId="17183" priority="54857">
      <formula>$H1408="ETAPA"</formula>
    </cfRule>
    <cfRule type="expression" dxfId="17182" priority="54858">
      <formula>$H1408="SUBETAPA"</formula>
    </cfRule>
  </conditionalFormatting>
  <conditionalFormatting sqref="J1413">
    <cfRule type="expression" dxfId="17181" priority="54980">
      <formula>$H1413="CÉLULA CONSTRUTIVA"</formula>
    </cfRule>
    <cfRule type="expression" dxfId="17180" priority="54981">
      <formula>$H1413="ETAPA"</formula>
    </cfRule>
    <cfRule type="expression" dxfId="17179" priority="54982">
      <formula>$H1413="SUBETAPA"</formula>
    </cfRule>
  </conditionalFormatting>
  <conditionalFormatting sqref="J1418">
    <cfRule type="expression" dxfId="17178" priority="55104">
      <formula>$H1418="CÉLULA CONSTRUTIVA"</formula>
    </cfRule>
    <cfRule type="expression" dxfId="17177" priority="55105">
      <formula>$H1418="ETAPA"</formula>
    </cfRule>
    <cfRule type="expression" dxfId="17176" priority="55106">
      <formula>$H1418="SUBETAPA"</formula>
    </cfRule>
  </conditionalFormatting>
  <conditionalFormatting sqref="J1421">
    <cfRule type="expression" dxfId="17175" priority="55228">
      <formula>$H1421="CÉLULA CONSTRUTIVA"</formula>
    </cfRule>
    <cfRule type="expression" dxfId="17174" priority="55229">
      <formula>$H1421="ETAPA"</formula>
    </cfRule>
    <cfRule type="expression" dxfId="17173" priority="55230">
      <formula>$H1421="SUBETAPA"</formula>
    </cfRule>
  </conditionalFormatting>
  <conditionalFormatting sqref="J1433:J1434 J1439:K1439">
    <cfRule type="expression" dxfId="17172" priority="92308">
      <formula>$H1433="SUBETAPA"</formula>
    </cfRule>
    <cfRule type="expression" dxfId="17171" priority="92309">
      <formula>$H1433="CÉLULA CONSTRUTIVA"</formula>
    </cfRule>
  </conditionalFormatting>
  <conditionalFormatting sqref="J1434">
    <cfRule type="expression" dxfId="17170" priority="4750">
      <formula>$H1434="SUBETAPA"</formula>
    </cfRule>
    <cfRule type="expression" dxfId="17169" priority="4751">
      <formula>$H1434="CÉLULA CONSTRUTIVA"</formula>
    </cfRule>
  </conditionalFormatting>
  <conditionalFormatting sqref="J1448:J1449">
    <cfRule type="expression" dxfId="17168" priority="4744">
      <formula>$H1448="SUBETAPA"</formula>
    </cfRule>
    <cfRule type="expression" dxfId="17167" priority="4745">
      <formula>$H1448="CÉLULA CONSTRUTIVA"</formula>
    </cfRule>
  </conditionalFormatting>
  <conditionalFormatting sqref="J1449">
    <cfRule type="expression" dxfId="17166" priority="4730">
      <formula>$H1449="SUBETAPA"</formula>
    </cfRule>
    <cfRule type="expression" dxfId="17165" priority="4731">
      <formula>$H1449="CÉLULA CONSTRUTIVA"</formula>
    </cfRule>
  </conditionalFormatting>
  <conditionalFormatting sqref="J1455">
    <cfRule type="expression" dxfId="17164" priority="4724">
      <formula>$H1455="SUBETAPA"</formula>
    </cfRule>
    <cfRule type="expression" dxfId="17163" priority="4725">
      <formula>$H1455="CÉLULA CONSTRUTIVA"</formula>
    </cfRule>
  </conditionalFormatting>
  <conditionalFormatting sqref="J1456">
    <cfRule type="expression" dxfId="17162" priority="4424">
      <formula>$H1456="SUBETAPA"</formula>
    </cfRule>
    <cfRule type="expression" dxfId="17161" priority="4425">
      <formula>$H1456="CÉLULA CONSTRUTIVA"</formula>
    </cfRule>
    <cfRule type="expression" dxfId="17160" priority="4428">
      <formula>$H1456="SUBETAPA"</formula>
    </cfRule>
    <cfRule type="expression" dxfId="17159" priority="4429">
      <formula>$H1456="CÉLULA CONSTRUTIVA"</formula>
    </cfRule>
  </conditionalFormatting>
  <conditionalFormatting sqref="J1462">
    <cfRule type="expression" dxfId="17158" priority="4704">
      <formula>$H1462="SUBETAPA"</formula>
    </cfRule>
    <cfRule type="expression" dxfId="17157" priority="4705">
      <formula>$H1462="CÉLULA CONSTRUTIVA"</formula>
    </cfRule>
  </conditionalFormatting>
  <conditionalFormatting sqref="J1463">
    <cfRule type="expression" dxfId="17156" priority="4388">
      <formula>$H1463="SUBETAPA"</formula>
    </cfRule>
    <cfRule type="expression" dxfId="17155" priority="4389">
      <formula>$H1463="CÉLULA CONSTRUTIVA"</formula>
    </cfRule>
    <cfRule type="expression" dxfId="17154" priority="4392">
      <formula>$H1463="SUBETAPA"</formula>
    </cfRule>
    <cfRule type="expression" dxfId="17153" priority="4393">
      <formula>$H1463="CÉLULA CONSTRUTIVA"</formula>
    </cfRule>
  </conditionalFormatting>
  <conditionalFormatting sqref="J1472">
    <cfRule type="expression" dxfId="17152" priority="4684">
      <formula>$H1472="SUBETAPA"</formula>
    </cfRule>
    <cfRule type="expression" dxfId="17151" priority="4685">
      <formula>$H1472="CÉLULA CONSTRUTIVA"</formula>
    </cfRule>
  </conditionalFormatting>
  <conditionalFormatting sqref="J1473">
    <cfRule type="expression" dxfId="17150" priority="4352">
      <formula>$H1473="SUBETAPA"</formula>
    </cfRule>
    <cfRule type="expression" dxfId="17149" priority="4353">
      <formula>$H1473="CÉLULA CONSTRUTIVA"</formula>
    </cfRule>
    <cfRule type="expression" dxfId="17148" priority="4356">
      <formula>$H1473="SUBETAPA"</formula>
    </cfRule>
    <cfRule type="expression" dxfId="17147" priority="4357">
      <formula>$H1473="CÉLULA CONSTRUTIVA"</formula>
    </cfRule>
  </conditionalFormatting>
  <conditionalFormatting sqref="J1482:J1484">
    <cfRule type="expression" dxfId="17146" priority="4341">
      <formula>$H1482="CÉLULA CONSTRUTIVA"</formula>
    </cfRule>
    <cfRule type="expression" dxfId="17145" priority="4342">
      <formula>$H1482="SUBETAPA"</formula>
    </cfRule>
    <cfRule type="expression" dxfId="17144" priority="4343">
      <formula>$H1482="ETAPA"</formula>
    </cfRule>
  </conditionalFormatting>
  <conditionalFormatting sqref="J1483:J1484">
    <cfRule type="expression" dxfId="17143" priority="4344">
      <formula>$H1483="SUBETAPA"</formula>
    </cfRule>
    <cfRule type="expression" dxfId="17142" priority="4345">
      <formula>$H1483="ETAPA"</formula>
    </cfRule>
  </conditionalFormatting>
  <conditionalFormatting sqref="J1484">
    <cfRule type="expression" dxfId="17141" priority="4339">
      <formula>$H1484="SUBETAPA"</formula>
    </cfRule>
    <cfRule type="expression" dxfId="17140" priority="4340">
      <formula>$H1484="ETAPA"</formula>
    </cfRule>
  </conditionalFormatting>
  <conditionalFormatting sqref="J1487">
    <cfRule type="expression" dxfId="17139" priority="4664">
      <formula>$H1487="SUBETAPA"</formula>
    </cfRule>
    <cfRule type="expression" dxfId="17138" priority="4665">
      <formula>$H1487="CÉLULA CONSTRUTIVA"</formula>
    </cfRule>
  </conditionalFormatting>
  <conditionalFormatting sqref="J1488">
    <cfRule type="expression" dxfId="17137" priority="4316">
      <formula>$H1488="SUBETAPA"</formula>
    </cfRule>
    <cfRule type="expression" dxfId="17136" priority="4317">
      <formula>$H1488="CÉLULA CONSTRUTIVA"</formula>
    </cfRule>
    <cfRule type="expression" dxfId="17135" priority="4320">
      <formula>$H1488="SUBETAPA"</formula>
    </cfRule>
    <cfRule type="expression" dxfId="17134" priority="4321">
      <formula>$H1488="CÉLULA CONSTRUTIVA"</formula>
    </cfRule>
  </conditionalFormatting>
  <conditionalFormatting sqref="J1504 O1500">
    <cfRule type="expression" dxfId="17133" priority="4644">
      <formula>$H1500="SUBETAPA"</formula>
    </cfRule>
    <cfRule type="expression" dxfId="17132" priority="4645">
      <formula>$H1500="CÉLULA CONSTRUTIVA"</formula>
    </cfRule>
  </conditionalFormatting>
  <conditionalFormatting sqref="J1505">
    <cfRule type="expression" dxfId="17131" priority="4280">
      <formula>$H1505="SUBETAPA"</formula>
    </cfRule>
    <cfRule type="expression" dxfId="17130" priority="4281">
      <formula>$H1505="CÉLULA CONSTRUTIVA"</formula>
    </cfRule>
    <cfRule type="expression" dxfId="17129" priority="4284">
      <formula>$H1505="SUBETAPA"</formula>
    </cfRule>
    <cfRule type="expression" dxfId="17128" priority="4285">
      <formula>$H1505="CÉLULA CONSTRUTIVA"</formula>
    </cfRule>
  </conditionalFormatting>
  <conditionalFormatting sqref="J1513:J1517 J1575:J1576">
    <cfRule type="expression" dxfId="17127" priority="4269">
      <formula>$H1513="CÉLULA CONSTRUTIVA"</formula>
    </cfRule>
    <cfRule type="expression" dxfId="17126" priority="4270">
      <formula>$H1513="SUBETAPA"</formula>
    </cfRule>
    <cfRule type="expression" dxfId="17125" priority="4271">
      <formula>$H1513="ETAPA"</formula>
    </cfRule>
    <cfRule type="expression" dxfId="17124" priority="4272">
      <formula>$H1513="SUBETAPA"</formula>
    </cfRule>
    <cfRule type="expression" dxfId="17123" priority="4273">
      <formula>$H1513="ETAPA"</formula>
    </cfRule>
  </conditionalFormatting>
  <conditionalFormatting sqref="J1514:J1517">
    <cfRule type="expression" dxfId="17122" priority="4267">
      <formula>$H1514="SUBETAPA"</formula>
    </cfRule>
    <cfRule type="expression" dxfId="17121" priority="4268">
      <formula>$H1514="ETAPA"</formula>
    </cfRule>
  </conditionalFormatting>
  <conditionalFormatting sqref="J1526:J1527">
    <cfRule type="expression" dxfId="17120" priority="4624">
      <formula>$H1526="SUBETAPA"</formula>
    </cfRule>
    <cfRule type="expression" dxfId="17119" priority="4625">
      <formula>$H1526="CÉLULA CONSTRUTIVA"</formula>
    </cfRule>
  </conditionalFormatting>
  <conditionalFormatting sqref="J1527">
    <cfRule type="expression" dxfId="17118" priority="4610">
      <formula>$H1527="SUBETAPA"</formula>
    </cfRule>
    <cfRule type="expression" dxfId="17117" priority="4611">
      <formula>$H1527="CÉLULA CONSTRUTIVA"</formula>
    </cfRule>
  </conditionalFormatting>
  <conditionalFormatting sqref="J1535:J1537">
    <cfRule type="expression" dxfId="17116" priority="4260">
      <formula>$H1535="CÉLULA CONSTRUTIVA"</formula>
    </cfRule>
    <cfRule type="expression" dxfId="17115" priority="4261">
      <formula>$H1535="SUBETAPA"</formula>
    </cfRule>
    <cfRule type="expression" dxfId="17114" priority="4262">
      <formula>$H1535="ETAPA"</formula>
    </cfRule>
    <cfRule type="expression" dxfId="17113" priority="4263">
      <formula>$H1535="SUBETAPA"</formula>
    </cfRule>
    <cfRule type="expression" dxfId="17112" priority="4264">
      <formula>$H1535="ETAPA"</formula>
    </cfRule>
  </conditionalFormatting>
  <conditionalFormatting sqref="J1536:J1537">
    <cfRule type="expression" dxfId="17111" priority="4258">
      <formula>$H1536="SUBETAPA"</formula>
    </cfRule>
    <cfRule type="expression" dxfId="17110" priority="4259">
      <formula>$H1536="ETAPA"</formula>
    </cfRule>
  </conditionalFormatting>
  <conditionalFormatting sqref="J1544">
    <cfRule type="expression" dxfId="17109" priority="4592">
      <formula>$H1544="SUBETAPA"</formula>
    </cfRule>
    <cfRule type="expression" dxfId="17108" priority="4593">
      <formula>$H1544="CÉLULA CONSTRUTIVA"</formula>
    </cfRule>
  </conditionalFormatting>
  <conditionalFormatting sqref="J1544:J1545">
    <cfRule type="expression" dxfId="17107" priority="4606">
      <formula>$H1544="SUBETAPA"</formula>
    </cfRule>
    <cfRule type="expression" dxfId="17106" priority="4607">
      <formula>$H1544="CÉLULA CONSTRUTIVA"</formula>
    </cfRule>
  </conditionalFormatting>
  <conditionalFormatting sqref="J1545">
    <cfRule type="expression" dxfId="17105" priority="4588">
      <formula>$H1545="SUBETAPA"</formula>
    </cfRule>
    <cfRule type="expression" dxfId="17104" priority="4589">
      <formula>$H1545="CÉLULA CONSTRUTIVA"</formula>
    </cfRule>
  </conditionalFormatting>
  <conditionalFormatting sqref="J1550:J1551">
    <cfRule type="expression" dxfId="17103" priority="4604">
      <formula>$H1550="SUBETAPA"</formula>
    </cfRule>
    <cfRule type="expression" dxfId="17102" priority="4605">
      <formula>$H1550="CÉLULA CONSTRUTIVA"</formula>
    </cfRule>
  </conditionalFormatting>
  <conditionalFormatting sqref="J1551">
    <cfRule type="expression" dxfId="17101" priority="4590">
      <formula>$H1551="SUBETAPA"</formula>
    </cfRule>
    <cfRule type="expression" dxfId="17100" priority="4591">
      <formula>$H1551="CÉLULA CONSTRUTIVA"</formula>
    </cfRule>
  </conditionalFormatting>
  <conditionalFormatting sqref="J1557:J1559">
    <cfRule type="expression" dxfId="17099" priority="4253">
      <formula>$H1557="CÉLULA CONSTRUTIVA"</formula>
    </cfRule>
    <cfRule type="expression" dxfId="17098" priority="4254">
      <formula>$H1557="SUBETAPA"</formula>
    </cfRule>
    <cfRule type="expression" dxfId="17097" priority="4255">
      <formula>$H1557="ETAPA"</formula>
    </cfRule>
    <cfRule type="expression" dxfId="17096" priority="4256">
      <formula>$H1557="SUBETAPA"</formula>
    </cfRule>
    <cfRule type="expression" dxfId="17095" priority="4257">
      <formula>$H1557="ETAPA"</formula>
    </cfRule>
  </conditionalFormatting>
  <conditionalFormatting sqref="J1558:J1559">
    <cfRule type="expression" dxfId="17094" priority="4251">
      <formula>$H1558="SUBETAPA"</formula>
    </cfRule>
    <cfRule type="expression" dxfId="17093" priority="4252">
      <formula>$H1558="ETAPA"</formula>
    </cfRule>
  </conditionalFormatting>
  <conditionalFormatting sqref="J1565">
    <cfRule type="expression" dxfId="17092" priority="4568">
      <formula>$H1565="SUBETAPA"</formula>
    </cfRule>
    <cfRule type="expression" dxfId="17091" priority="4569">
      <formula>$H1565="CÉLULA CONSTRUTIVA"</formula>
    </cfRule>
  </conditionalFormatting>
  <conditionalFormatting sqref="J1569:J1570">
    <cfRule type="expression" dxfId="17090" priority="4584">
      <formula>$H1569="SUBETAPA"</formula>
    </cfRule>
    <cfRule type="expression" dxfId="17089" priority="4585">
      <formula>$H1569="CÉLULA CONSTRUTIVA"</formula>
    </cfRule>
  </conditionalFormatting>
  <conditionalFormatting sqref="J1570">
    <cfRule type="expression" dxfId="17088" priority="4570">
      <formula>$H1570="SUBETAPA"</formula>
    </cfRule>
    <cfRule type="expression" dxfId="17087" priority="4571">
      <formula>$H1570="CÉLULA CONSTRUTIVA"</formula>
    </cfRule>
  </conditionalFormatting>
  <conditionalFormatting sqref="J1583">
    <cfRule type="expression" dxfId="17086" priority="4548">
      <formula>$H1583="SUBETAPA"</formula>
    </cfRule>
    <cfRule type="expression" dxfId="17085" priority="4549">
      <formula>$H1583="CÉLULA CONSTRUTIVA"</formula>
    </cfRule>
  </conditionalFormatting>
  <conditionalFormatting sqref="J1588:J1589">
    <cfRule type="expression" dxfId="17084" priority="4564">
      <formula>$H1588="SUBETAPA"</formula>
    </cfRule>
    <cfRule type="expression" dxfId="17083" priority="4565">
      <formula>$H1588="CÉLULA CONSTRUTIVA"</formula>
    </cfRule>
  </conditionalFormatting>
  <conditionalFormatting sqref="J1589">
    <cfRule type="expression" dxfId="17082" priority="4550">
      <formula>$H1589="SUBETAPA"</formula>
    </cfRule>
    <cfRule type="expression" dxfId="17081" priority="4551">
      <formula>$H1589="CÉLULA CONSTRUTIVA"</formula>
    </cfRule>
  </conditionalFormatting>
  <conditionalFormatting sqref="J1595:J1597">
    <cfRule type="expression" dxfId="17080" priority="4239">
      <formula>$H1595="CÉLULA CONSTRUTIVA"</formula>
    </cfRule>
    <cfRule type="expression" dxfId="17079" priority="4240">
      <formula>$H1595="SUBETAPA"</formula>
    </cfRule>
    <cfRule type="expression" dxfId="17078" priority="4241">
      <formula>$H1595="ETAPA"</formula>
    </cfRule>
    <cfRule type="expression" dxfId="17077" priority="4242">
      <formula>$H1595="SUBETAPA"</formula>
    </cfRule>
    <cfRule type="expression" dxfId="17076" priority="4243">
      <formula>$H1595="ETAPA"</formula>
    </cfRule>
  </conditionalFormatting>
  <conditionalFormatting sqref="J1596:J1597">
    <cfRule type="expression" dxfId="17075" priority="4237">
      <formula>$H1596="SUBETAPA"</formula>
    </cfRule>
    <cfRule type="expression" dxfId="17074" priority="4238">
      <formula>$H1596="ETAPA"</formula>
    </cfRule>
  </conditionalFormatting>
  <conditionalFormatting sqref="J1604">
    <cfRule type="expression" dxfId="17073" priority="4528">
      <formula>$H1604="SUBETAPA"</formula>
    </cfRule>
    <cfRule type="expression" dxfId="17072" priority="4529">
      <formula>$H1604="CÉLULA CONSTRUTIVA"</formula>
    </cfRule>
  </conditionalFormatting>
  <conditionalFormatting sqref="J1609:J1610">
    <cfRule type="expression" dxfId="17071" priority="4544">
      <formula>$H1609="SUBETAPA"</formula>
    </cfRule>
    <cfRule type="expression" dxfId="17070" priority="4545">
      <formula>$H1609="CÉLULA CONSTRUTIVA"</formula>
    </cfRule>
  </conditionalFormatting>
  <conditionalFormatting sqref="J1610">
    <cfRule type="expression" dxfId="17069" priority="4530">
      <formula>$H1610="SUBETAPA"</formula>
    </cfRule>
    <cfRule type="expression" dxfId="17068" priority="4531">
      <formula>$H1610="CÉLULA CONSTRUTIVA"</formula>
    </cfRule>
  </conditionalFormatting>
  <conditionalFormatting sqref="J1616:J1618">
    <cfRule type="expression" dxfId="17067" priority="4232">
      <formula>$H1616="CÉLULA CONSTRUTIVA"</formula>
    </cfRule>
    <cfRule type="expression" dxfId="17066" priority="4233">
      <formula>$H1616="SUBETAPA"</formula>
    </cfRule>
    <cfRule type="expression" dxfId="17065" priority="4234">
      <formula>$H1616="ETAPA"</formula>
    </cfRule>
    <cfRule type="expression" dxfId="17064" priority="4235">
      <formula>$H1616="SUBETAPA"</formula>
    </cfRule>
    <cfRule type="expression" dxfId="17063" priority="4236">
      <formula>$H1616="ETAPA"</formula>
    </cfRule>
  </conditionalFormatting>
  <conditionalFormatting sqref="J1617:J1618">
    <cfRule type="expression" dxfId="17062" priority="4230">
      <formula>$H1617="SUBETAPA"</formula>
    </cfRule>
    <cfRule type="expression" dxfId="17061" priority="4231">
      <formula>$H1617="ETAPA"</formula>
    </cfRule>
  </conditionalFormatting>
  <conditionalFormatting sqref="J1625">
    <cfRule type="expression" dxfId="17060" priority="4512">
      <formula>$H1625="SUBETAPA"</formula>
    </cfRule>
    <cfRule type="expression" dxfId="17059" priority="4513">
      <formula>$H1625="CÉLULA CONSTRUTIVA"</formula>
    </cfRule>
  </conditionalFormatting>
  <conditionalFormatting sqref="J1625:J1626">
    <cfRule type="expression" dxfId="17058" priority="4526">
      <formula>$H1625="SUBETAPA"</formula>
    </cfRule>
    <cfRule type="expression" dxfId="17057" priority="4527">
      <formula>$H1625="CÉLULA CONSTRUTIVA"</formula>
    </cfRule>
  </conditionalFormatting>
  <conditionalFormatting sqref="J1626">
    <cfRule type="expression" dxfId="17056" priority="4508">
      <formula>$H1626="SUBETAPA"</formula>
    </cfRule>
    <cfRule type="expression" dxfId="17055" priority="4509">
      <formula>$H1626="CÉLULA CONSTRUTIVA"</formula>
    </cfRule>
  </conditionalFormatting>
  <conditionalFormatting sqref="J1633:J1634 O1628:O1629">
    <cfRule type="expression" dxfId="17054" priority="4524">
      <formula>$H1628="SUBETAPA"</formula>
    </cfRule>
    <cfRule type="expression" dxfId="17053" priority="4525">
      <formula>$H1628="CÉLULA CONSTRUTIVA"</formula>
    </cfRule>
  </conditionalFormatting>
  <conditionalFormatting sqref="J1634">
    <cfRule type="expression" dxfId="17052" priority="4510">
      <formula>$H1634="SUBETAPA"</formula>
    </cfRule>
    <cfRule type="expression" dxfId="17051" priority="4511">
      <formula>$H1634="CÉLULA CONSTRUTIVA"</formula>
    </cfRule>
  </conditionalFormatting>
  <conditionalFormatting sqref="J1640:J1642">
    <cfRule type="expression" dxfId="17050" priority="4225">
      <formula>$H1640="CÉLULA CONSTRUTIVA"</formula>
    </cfRule>
    <cfRule type="expression" dxfId="17049" priority="4226">
      <formula>$H1640="SUBETAPA"</formula>
    </cfRule>
    <cfRule type="expression" dxfId="17048" priority="4227">
      <formula>$H1640="ETAPA"</formula>
    </cfRule>
    <cfRule type="expression" dxfId="17047" priority="4228">
      <formula>$H1640="SUBETAPA"</formula>
    </cfRule>
    <cfRule type="expression" dxfId="17046" priority="4229">
      <formula>$H1640="ETAPA"</formula>
    </cfRule>
  </conditionalFormatting>
  <conditionalFormatting sqref="J1641:J1642">
    <cfRule type="expression" dxfId="17045" priority="4223">
      <formula>$H1641="SUBETAPA"</formula>
    </cfRule>
    <cfRule type="expression" dxfId="17044" priority="4224">
      <formula>$H1641="ETAPA"</formula>
    </cfRule>
  </conditionalFormatting>
  <conditionalFormatting sqref="J1649">
    <cfRule type="expression" dxfId="17043" priority="4492">
      <formula>$H1649="SUBETAPA"</formula>
    </cfRule>
    <cfRule type="expression" dxfId="17042" priority="4493">
      <formula>$H1649="CÉLULA CONSTRUTIVA"</formula>
    </cfRule>
  </conditionalFormatting>
  <conditionalFormatting sqref="J1649:J1650">
    <cfRule type="expression" dxfId="17041" priority="4506">
      <formula>$H1649="SUBETAPA"</formula>
    </cfRule>
    <cfRule type="expression" dxfId="17040" priority="4507">
      <formula>$H1649="CÉLULA CONSTRUTIVA"</formula>
    </cfRule>
  </conditionalFormatting>
  <conditionalFormatting sqref="J1650">
    <cfRule type="expression" dxfId="17039" priority="4488">
      <formula>$H1650="SUBETAPA"</formula>
    </cfRule>
    <cfRule type="expression" dxfId="17038" priority="4489">
      <formula>$H1650="CÉLULA CONSTRUTIVA"</formula>
    </cfRule>
  </conditionalFormatting>
  <conditionalFormatting sqref="J1653:J1654">
    <cfRule type="expression" dxfId="17037" priority="4504">
      <formula>$H1653="SUBETAPA"</formula>
    </cfRule>
    <cfRule type="expression" dxfId="17036" priority="4505">
      <formula>$H1653="CÉLULA CONSTRUTIVA"</formula>
    </cfRule>
  </conditionalFormatting>
  <conditionalFormatting sqref="J1654">
    <cfRule type="expression" dxfId="17035" priority="4490">
      <formula>$H1654="SUBETAPA"</formula>
    </cfRule>
    <cfRule type="expression" dxfId="17034" priority="4491">
      <formula>$H1654="CÉLULA CONSTRUTIVA"</formula>
    </cfRule>
  </conditionalFormatting>
  <conditionalFormatting sqref="J1658:J1660">
    <cfRule type="expression" dxfId="17033" priority="4211">
      <formula>$H1658="CÉLULA CONSTRUTIVA"</formula>
    </cfRule>
    <cfRule type="expression" dxfId="17032" priority="4212">
      <formula>$H1658="SUBETAPA"</formula>
    </cfRule>
    <cfRule type="expression" dxfId="17031" priority="4213">
      <formula>$H1658="ETAPA"</formula>
    </cfRule>
    <cfRule type="expression" dxfId="17030" priority="4214">
      <formula>$H1658="SUBETAPA"</formula>
    </cfRule>
    <cfRule type="expression" dxfId="17029" priority="4215">
      <formula>$H1658="ETAPA"</formula>
    </cfRule>
  </conditionalFormatting>
  <conditionalFormatting sqref="J1659:J1660">
    <cfRule type="expression" dxfId="17028" priority="4209">
      <formula>$H1659="SUBETAPA"</formula>
    </cfRule>
    <cfRule type="expression" dxfId="17027" priority="4210">
      <formula>$H1659="ETAPA"</formula>
    </cfRule>
  </conditionalFormatting>
  <conditionalFormatting sqref="J1670:J1672">
    <cfRule type="expression" dxfId="17026" priority="4218">
      <formula>$H1670="CÉLULA CONSTRUTIVA"</formula>
    </cfRule>
    <cfRule type="expression" dxfId="17025" priority="4219">
      <formula>$H1670="SUBETAPA"</formula>
    </cfRule>
    <cfRule type="expression" dxfId="17024" priority="4220">
      <formula>$H1670="ETAPA"</formula>
    </cfRule>
    <cfRule type="expression" dxfId="17023" priority="4221">
      <formula>$H1670="SUBETAPA"</formula>
    </cfRule>
    <cfRule type="expression" dxfId="17022" priority="4222">
      <formula>$H1670="ETAPA"</formula>
    </cfRule>
  </conditionalFormatting>
  <conditionalFormatting sqref="J1671:J1672">
    <cfRule type="expression" dxfId="17021" priority="4216">
      <formula>$H1671="SUBETAPA"</formula>
    </cfRule>
    <cfRule type="expression" dxfId="17020" priority="4217">
      <formula>$H1671="ETAPA"</formula>
    </cfRule>
  </conditionalFormatting>
  <conditionalFormatting sqref="J1676">
    <cfRule type="expression" dxfId="17019" priority="80486">
      <formula>$H1676="SUBETAPA"</formula>
    </cfRule>
  </conditionalFormatting>
  <conditionalFormatting sqref="J1676:J1680">
    <cfRule type="expression" dxfId="17018" priority="80389">
      <formula>$H1676="CÉLULA CONSTRUTIVA"</formula>
    </cfRule>
  </conditionalFormatting>
  <conditionalFormatting sqref="J1677">
    <cfRule type="expression" dxfId="17017" priority="80480">
      <formula>$H1677="SUBETAPA"</formula>
    </cfRule>
  </conditionalFormatting>
  <conditionalFormatting sqref="J1678:J1679">
    <cfRule type="expression" dxfId="17016" priority="80498">
      <formula>$H1678="SUBETAPA"</formula>
    </cfRule>
  </conditionalFormatting>
  <conditionalFormatting sqref="J1680">
    <cfRule type="expression" dxfId="17015" priority="80390">
      <formula>$H1680="SUBETAPA"</formula>
    </cfRule>
  </conditionalFormatting>
  <conditionalFormatting sqref="J1692:J1693">
    <cfRule type="expression" dxfId="17014" priority="80456">
      <formula>$H1692="CÉLULA CONSTRUTIVA"</formula>
    </cfRule>
    <cfRule type="expression" dxfId="17013" priority="80457">
      <formula>$H1692="SUBETAPA"</formula>
    </cfRule>
  </conditionalFormatting>
  <conditionalFormatting sqref="J1696">
    <cfRule type="expression" dxfId="17012" priority="80810">
      <formula>$H1696="SUBETAPA"</formula>
    </cfRule>
  </conditionalFormatting>
  <conditionalFormatting sqref="J1697">
    <cfRule type="expression" dxfId="17011" priority="80804">
      <formula>$H1697="SUBETAPA"</formula>
    </cfRule>
  </conditionalFormatting>
  <conditionalFormatting sqref="J1698:J1699">
    <cfRule type="expression" dxfId="17010" priority="80822">
      <formula>$H1698="SUBETAPA"</formula>
    </cfRule>
  </conditionalFormatting>
  <conditionalFormatting sqref="J1708:J1709">
    <cfRule type="expression" dxfId="17009" priority="80780">
      <formula>$H1708="CÉLULA CONSTRUTIVA"</formula>
    </cfRule>
    <cfRule type="expression" dxfId="17008" priority="80781">
      <formula>$H1708="SUBETAPA"</formula>
    </cfRule>
  </conditionalFormatting>
  <conditionalFormatting sqref="J1712">
    <cfRule type="expression" dxfId="17007" priority="81134">
      <formula>$H1712="SUBETAPA"</formula>
    </cfRule>
  </conditionalFormatting>
  <conditionalFormatting sqref="J1713">
    <cfRule type="expression" dxfId="17006" priority="81128">
      <formula>$H1713="SUBETAPA"</formula>
    </cfRule>
  </conditionalFormatting>
  <conditionalFormatting sqref="J1714:J1715">
    <cfRule type="expression" dxfId="17005" priority="81146">
      <formula>$H1714="SUBETAPA"</formula>
    </cfRule>
  </conditionalFormatting>
  <conditionalFormatting sqref="J1723:J1724">
    <cfRule type="expression" dxfId="17004" priority="81104">
      <formula>$H1723="CÉLULA CONSTRUTIVA"</formula>
    </cfRule>
    <cfRule type="expression" dxfId="17003" priority="81105">
      <formula>$H1723="SUBETAPA"</formula>
    </cfRule>
  </conditionalFormatting>
  <conditionalFormatting sqref="J1727">
    <cfRule type="expression" dxfId="17002" priority="81458">
      <formula>$H1727="SUBETAPA"</formula>
    </cfRule>
  </conditionalFormatting>
  <conditionalFormatting sqref="J1728">
    <cfRule type="expression" dxfId="17001" priority="81452">
      <formula>$H1728="SUBETAPA"</formula>
    </cfRule>
  </conditionalFormatting>
  <conditionalFormatting sqref="J1729:J1730">
    <cfRule type="expression" dxfId="17000" priority="81470">
      <formula>$H1729="SUBETAPA"</formula>
    </cfRule>
  </conditionalFormatting>
  <conditionalFormatting sqref="J1739">
    <cfRule type="expression" dxfId="16999" priority="81782">
      <formula>$H1739="SUBETAPA"</formula>
    </cfRule>
  </conditionalFormatting>
  <conditionalFormatting sqref="J1740">
    <cfRule type="expression" dxfId="16998" priority="81776">
      <formula>$H1740="SUBETAPA"</formula>
    </cfRule>
  </conditionalFormatting>
  <conditionalFormatting sqref="J1751">
    <cfRule type="expression" dxfId="16997" priority="82106">
      <formula>$H1751="SUBETAPA"</formula>
    </cfRule>
  </conditionalFormatting>
  <conditionalFormatting sqref="J1752">
    <cfRule type="expression" dxfId="16996" priority="82100">
      <formula>$H1752="SUBETAPA"</formula>
    </cfRule>
  </conditionalFormatting>
  <conditionalFormatting sqref="J1753:J1754">
    <cfRule type="expression" dxfId="16995" priority="82118">
      <formula>$H1753="SUBETAPA"</formula>
    </cfRule>
  </conditionalFormatting>
  <conditionalFormatting sqref="J1763">
    <cfRule type="expression" dxfId="16994" priority="82430">
      <formula>$H1763="SUBETAPA"</formula>
    </cfRule>
  </conditionalFormatting>
  <conditionalFormatting sqref="J1763:J1767">
    <cfRule type="expression" dxfId="16993" priority="82333">
      <formula>$H1763="CÉLULA CONSTRUTIVA"</formula>
    </cfRule>
  </conditionalFormatting>
  <conditionalFormatting sqref="J1764">
    <cfRule type="expression" dxfId="16992" priority="82424">
      <formula>$H1764="SUBETAPA"</formula>
    </cfRule>
  </conditionalFormatting>
  <conditionalFormatting sqref="J1765:J1766">
    <cfRule type="expression" dxfId="16991" priority="82442">
      <formula>$H1765="SUBETAPA"</formula>
    </cfRule>
  </conditionalFormatting>
  <conditionalFormatting sqref="J1767">
    <cfRule type="expression" dxfId="16990" priority="82334">
      <formula>$H1767="SUBETAPA"</formula>
    </cfRule>
  </conditionalFormatting>
  <conditionalFormatting sqref="J1783:J1784">
    <cfRule type="expression" dxfId="16989" priority="82400">
      <formula>$H1783="CÉLULA CONSTRUTIVA"</formula>
    </cfRule>
    <cfRule type="expression" dxfId="16988" priority="82401">
      <formula>$H1783="SUBETAPA"</formula>
    </cfRule>
  </conditionalFormatting>
  <conditionalFormatting sqref="J1787">
    <cfRule type="expression" dxfId="16987" priority="82754">
      <formula>$H1787="SUBETAPA"</formula>
    </cfRule>
  </conditionalFormatting>
  <conditionalFormatting sqref="J1787:J1791">
    <cfRule type="expression" dxfId="16986" priority="82657">
      <formula>$H1787="CÉLULA CONSTRUTIVA"</formula>
    </cfRule>
  </conditionalFormatting>
  <conditionalFormatting sqref="J1788">
    <cfRule type="expression" dxfId="16985" priority="82748">
      <formula>$H1788="SUBETAPA"</formula>
    </cfRule>
  </conditionalFormatting>
  <conditionalFormatting sqref="J1789:J1790">
    <cfRule type="expression" dxfId="16984" priority="82766">
      <formula>$H1789="SUBETAPA"</formula>
    </cfRule>
  </conditionalFormatting>
  <conditionalFormatting sqref="J1791">
    <cfRule type="expression" dxfId="16983" priority="82658">
      <formula>$H1791="SUBETAPA"</formula>
    </cfRule>
  </conditionalFormatting>
  <conditionalFormatting sqref="J1798">
    <cfRule type="expression" dxfId="16982" priority="82919">
      <formula>$H1798="CÉLULA CONSTRUTIVA"</formula>
    </cfRule>
  </conditionalFormatting>
  <conditionalFormatting sqref="J1809:J1810">
    <cfRule type="expression" dxfId="16981" priority="82724">
      <formula>$H1809="CÉLULA CONSTRUTIVA"</formula>
    </cfRule>
    <cfRule type="expression" dxfId="16980" priority="82725">
      <formula>$H1809="SUBETAPA"</formula>
    </cfRule>
  </conditionalFormatting>
  <conditionalFormatting sqref="J1813">
    <cfRule type="expression" dxfId="16979" priority="83078">
      <formula>$H1813="SUBETAPA"</formula>
    </cfRule>
  </conditionalFormatting>
  <conditionalFormatting sqref="J1814">
    <cfRule type="expression" dxfId="16978" priority="83072">
      <formula>$H1814="SUBETAPA"</formula>
    </cfRule>
  </conditionalFormatting>
  <conditionalFormatting sqref="J1816">
    <cfRule type="expression" dxfId="16977" priority="82982">
      <formula>$H1816="SUBETAPA"</formula>
    </cfRule>
  </conditionalFormatting>
  <conditionalFormatting sqref="J1826">
    <cfRule type="expression" dxfId="16976" priority="83402">
      <formula>$H1826="SUBETAPA"</formula>
    </cfRule>
  </conditionalFormatting>
  <conditionalFormatting sqref="J1827">
    <cfRule type="expression" dxfId="16975" priority="83396">
      <formula>$H1827="SUBETAPA"</formula>
    </cfRule>
  </conditionalFormatting>
  <conditionalFormatting sqref="J1829">
    <cfRule type="expression" dxfId="16974" priority="83306">
      <formula>$H1829="SUBETAPA"</formula>
    </cfRule>
  </conditionalFormatting>
  <conditionalFormatting sqref="J1839">
    <cfRule type="expression" dxfId="16973" priority="111878">
      <formula>$H1839="SUBETAPA"</formula>
    </cfRule>
  </conditionalFormatting>
  <conditionalFormatting sqref="J1840">
    <cfRule type="expression" dxfId="16972" priority="111831">
      <formula>$H1840="SUBETAPA"</formula>
    </cfRule>
  </conditionalFormatting>
  <conditionalFormatting sqref="J1842">
    <cfRule type="expression" dxfId="16971" priority="104420">
      <formula>$H1842="SUBETAPA"</formula>
    </cfRule>
  </conditionalFormatting>
  <conditionalFormatting sqref="J1851:J1852">
    <cfRule type="expression" dxfId="16970" priority="111764">
      <formula>$H1851="CÉLULA CONSTRUTIVA"</formula>
    </cfRule>
    <cfRule type="expression" dxfId="16969" priority="111765">
      <formula>$H1851="SUBETAPA"</formula>
    </cfRule>
  </conditionalFormatting>
  <conditionalFormatting sqref="J1855">
    <cfRule type="expression" dxfId="16968" priority="79215">
      <formula>$H1855="SUBETAPA"</formula>
    </cfRule>
  </conditionalFormatting>
  <conditionalFormatting sqref="J1856">
    <cfRule type="expression" dxfId="16967" priority="79209">
      <formula>$H1856="SUBETAPA"</formula>
    </cfRule>
  </conditionalFormatting>
  <conditionalFormatting sqref="J1858">
    <cfRule type="expression" dxfId="16966" priority="79119">
      <formula>$H1858="SUBETAPA"</formula>
    </cfRule>
  </conditionalFormatting>
  <conditionalFormatting sqref="J1867:J1868">
    <cfRule type="expression" dxfId="16965" priority="79185">
      <formula>$H1867="CÉLULA CONSTRUTIVA"</formula>
    </cfRule>
    <cfRule type="expression" dxfId="16964" priority="79186">
      <formula>$H1867="SUBETAPA"</formula>
    </cfRule>
  </conditionalFormatting>
  <conditionalFormatting sqref="J1871">
    <cfRule type="expression" dxfId="16963" priority="79539">
      <formula>$H1871="SUBETAPA"</formula>
    </cfRule>
  </conditionalFormatting>
  <conditionalFormatting sqref="J1872">
    <cfRule type="expression" dxfId="16962" priority="79533">
      <formula>$H1872="SUBETAPA"</formula>
    </cfRule>
  </conditionalFormatting>
  <conditionalFormatting sqref="J1880:J1881">
    <cfRule type="expression" dxfId="16961" priority="79509">
      <formula>$H1880="CÉLULA CONSTRUTIVA"</formula>
    </cfRule>
    <cfRule type="expression" dxfId="16960" priority="79510">
      <formula>$H1880="SUBETAPA"</formula>
    </cfRule>
  </conditionalFormatting>
  <conditionalFormatting sqref="J1884">
    <cfRule type="expression" dxfId="16959" priority="79863">
      <formula>$H1884="SUBETAPA"</formula>
    </cfRule>
  </conditionalFormatting>
  <conditionalFormatting sqref="J1885">
    <cfRule type="expression" dxfId="16958" priority="79857">
      <formula>$H1885="SUBETAPA"</formula>
    </cfRule>
  </conditionalFormatting>
  <conditionalFormatting sqref="J2039">
    <cfRule type="expression" dxfId="16957" priority="66982">
      <formula>$H2039="CÉLULA CONSTRUTIVA"</formula>
    </cfRule>
    <cfRule type="expression" dxfId="16956" priority="66983">
      <formula>$H2039="SUBETAPA"</formula>
    </cfRule>
    <cfRule type="expression" dxfId="16955" priority="66984">
      <formula>$H2039="ETAPA"</formula>
    </cfRule>
  </conditionalFormatting>
  <conditionalFormatting sqref="J2043">
    <cfRule type="expression" dxfId="16954" priority="67267">
      <formula>$H2043="SUBETAPA"</formula>
    </cfRule>
  </conditionalFormatting>
  <conditionalFormatting sqref="J2047">
    <cfRule type="expression" dxfId="16953" priority="67154">
      <formula>$H2047="SUBETAPA"</formula>
    </cfRule>
  </conditionalFormatting>
  <conditionalFormatting sqref="J2068">
    <cfRule type="expression" dxfId="16952" priority="67769">
      <formula>$H2068="ETAPA"</formula>
    </cfRule>
    <cfRule type="expression" dxfId="16951" priority="67770">
      <formula>$H2068="CÉLULA CONSTRUTIVA"</formula>
    </cfRule>
  </conditionalFormatting>
  <conditionalFormatting sqref="J2070">
    <cfRule type="expression" dxfId="16950" priority="67622">
      <formula>$H2070="CÉLULA CONSTRUTIVA"</formula>
    </cfRule>
    <cfRule type="expression" dxfId="16949" priority="67623">
      <formula>$H2070="SUBETAPA"</formula>
    </cfRule>
    <cfRule type="expression" dxfId="16948" priority="67624">
      <formula>$H2070="ETAPA"</formula>
    </cfRule>
  </conditionalFormatting>
  <conditionalFormatting sqref="J2090">
    <cfRule type="expression" dxfId="16947" priority="68262">
      <formula>$H2090="CÉLULA CONSTRUTIVA"</formula>
    </cfRule>
    <cfRule type="expression" dxfId="16946" priority="68263">
      <formula>$H2090="SUBETAPA"</formula>
    </cfRule>
    <cfRule type="expression" dxfId="16945" priority="68264">
      <formula>$H2090="ETAPA"</formula>
    </cfRule>
  </conditionalFormatting>
  <conditionalFormatting sqref="J2107">
    <cfRule type="expression" dxfId="16944" priority="68902">
      <formula>$H2107="CÉLULA CONSTRUTIVA"</formula>
    </cfRule>
    <cfRule type="expression" dxfId="16943" priority="68903">
      <formula>$H2107="SUBETAPA"</formula>
    </cfRule>
    <cfRule type="expression" dxfId="16942" priority="68904">
      <formula>$H2107="ETAPA"</formula>
    </cfRule>
  </conditionalFormatting>
  <conditionalFormatting sqref="J2123">
    <cfRule type="expression" dxfId="16941" priority="69542">
      <formula>$H2123="CÉLULA CONSTRUTIVA"</formula>
    </cfRule>
    <cfRule type="expression" dxfId="16940" priority="69543">
      <formula>$H2123="SUBETAPA"</formula>
    </cfRule>
    <cfRule type="expression" dxfId="16939" priority="69544">
      <formula>$H2123="ETAPA"</formula>
    </cfRule>
  </conditionalFormatting>
  <conditionalFormatting sqref="J2141">
    <cfRule type="expression" dxfId="16938" priority="70182">
      <formula>$H2141="CÉLULA CONSTRUTIVA"</formula>
    </cfRule>
    <cfRule type="expression" dxfId="16937" priority="70183">
      <formula>$H2141="SUBETAPA"</formula>
    </cfRule>
    <cfRule type="expression" dxfId="16936" priority="70184">
      <formula>$H2141="ETAPA"</formula>
    </cfRule>
  </conditionalFormatting>
  <conditionalFormatting sqref="J2158">
    <cfRule type="expression" dxfId="16935" priority="70822">
      <formula>$H2158="CÉLULA CONSTRUTIVA"</formula>
    </cfRule>
    <cfRule type="expression" dxfId="16934" priority="70823">
      <formula>$H2158="SUBETAPA"</formula>
    </cfRule>
    <cfRule type="expression" dxfId="16933" priority="70824">
      <formula>$H2158="ETAPA"</formula>
    </cfRule>
  </conditionalFormatting>
  <conditionalFormatting sqref="J2161">
    <cfRule type="expression" dxfId="16932" priority="70784">
      <formula>$H2161="CÉLULA CONSTRUTIVA"</formula>
    </cfRule>
  </conditionalFormatting>
  <conditionalFormatting sqref="J2163">
    <cfRule type="expression" dxfId="16931" priority="70737">
      <formula>$H2163="CÉLULA CONSTRUTIVA"</formula>
    </cfRule>
    <cfRule type="expression" dxfId="16930" priority="70738">
      <formula>$H2163="SUBETAPA"</formula>
    </cfRule>
    <cfRule type="expression" dxfId="16929" priority="70739">
      <formula>$H2163="ETAPA"</formula>
    </cfRule>
  </conditionalFormatting>
  <conditionalFormatting sqref="J2166">
    <cfRule type="expression" dxfId="16928" priority="70994">
      <formula>$H2166="SUBETAPA"</formula>
    </cfRule>
  </conditionalFormatting>
  <conditionalFormatting sqref="J2172">
    <cfRule type="expression" dxfId="16927" priority="71276">
      <formula>$H2172="CÉLULA CONSTRUTIVA"</formula>
    </cfRule>
  </conditionalFormatting>
  <conditionalFormatting sqref="J2180">
    <cfRule type="expression" dxfId="16926" priority="71083">
      <formula>$H2180="CÉLULA CONSTRUTIVA"</formula>
    </cfRule>
    <cfRule type="expression" dxfId="16925" priority="71084">
      <formula>$H2180="SUBETAPA"</formula>
    </cfRule>
  </conditionalFormatting>
  <conditionalFormatting sqref="J2185">
    <cfRule type="expression" dxfId="16924" priority="71462">
      <formula>$H2185="CÉLULA CONSTRUTIVA"</formula>
    </cfRule>
    <cfRule type="expression" dxfId="16923" priority="71463">
      <formula>$H2185="SUBETAPA"</formula>
    </cfRule>
    <cfRule type="expression" dxfId="16922" priority="71464">
      <formula>$H2185="ETAPA"</formula>
    </cfRule>
  </conditionalFormatting>
  <conditionalFormatting sqref="J2190">
    <cfRule type="expression" dxfId="16921" priority="71634">
      <formula>$H2190="SUBETAPA"</formula>
    </cfRule>
  </conditionalFormatting>
  <conditionalFormatting sqref="J2193">
    <cfRule type="expression" dxfId="16920" priority="71286">
      <formula>$H2193="CÉLULA CONSTRUTIVA"</formula>
    </cfRule>
    <cfRule type="expression" dxfId="16919" priority="71287">
      <formula>$H2193="SUBETAPA"</formula>
    </cfRule>
    <cfRule type="expression" dxfId="16918" priority="71288">
      <formula>$H2193="ETAPA"</formula>
    </cfRule>
  </conditionalFormatting>
  <conditionalFormatting sqref="J2216">
    <cfRule type="expression" dxfId="16917" priority="72102">
      <formula>$H2216="CÉLULA CONSTRUTIVA"</formula>
    </cfRule>
    <cfRule type="expression" dxfId="16916" priority="72103">
      <formula>$H2216="SUBETAPA"</formula>
    </cfRule>
    <cfRule type="expression" dxfId="16915" priority="72104">
      <formula>$H2216="ETAPA"</formula>
    </cfRule>
  </conditionalFormatting>
  <conditionalFormatting sqref="J2219">
    <cfRule type="expression" dxfId="16914" priority="72274">
      <formula>$H2219="SUBETAPA"</formula>
    </cfRule>
  </conditionalFormatting>
  <conditionalFormatting sqref="J2236">
    <cfRule type="expression" dxfId="16913" priority="72742">
      <formula>$H2236="CÉLULA CONSTRUTIVA"</formula>
    </cfRule>
    <cfRule type="expression" dxfId="16912" priority="72743">
      <formula>$H2236="SUBETAPA"</formula>
    </cfRule>
    <cfRule type="expression" dxfId="16911" priority="72744">
      <formula>$H2236="ETAPA"</formula>
    </cfRule>
  </conditionalFormatting>
  <conditionalFormatting sqref="J2239">
    <cfRule type="expression" dxfId="16910" priority="72914">
      <formula>$H2239="SUBETAPA"</formula>
    </cfRule>
  </conditionalFormatting>
  <conditionalFormatting sqref="J2240">
    <cfRule type="expression" dxfId="16909" priority="3444">
      <formula>$H2240="SUBETAPA"</formula>
    </cfRule>
    <cfRule type="expression" dxfId="16908" priority="3445">
      <formula>$H2240="CÉLULA CONSTRUTIVA"</formula>
    </cfRule>
  </conditionalFormatting>
  <conditionalFormatting sqref="J2256">
    <cfRule type="expression" dxfId="16907" priority="73382">
      <formula>$H2256="CÉLULA CONSTRUTIVA"</formula>
    </cfRule>
    <cfRule type="expression" dxfId="16906" priority="73383">
      <formula>$H2256="SUBETAPA"</formula>
    </cfRule>
    <cfRule type="expression" dxfId="16905" priority="73384">
      <formula>$H2256="ETAPA"</formula>
    </cfRule>
  </conditionalFormatting>
  <conditionalFormatting sqref="J2259">
    <cfRule type="expression" dxfId="16904" priority="73667">
      <formula>$H2259="SUBETAPA"</formula>
    </cfRule>
  </conditionalFormatting>
  <conditionalFormatting sqref="J2261">
    <cfRule type="expression" dxfId="16903" priority="73554">
      <formula>$H2261="SUBETAPA"</formula>
    </cfRule>
  </conditionalFormatting>
  <conditionalFormatting sqref="J2279">
    <cfRule type="expression" dxfId="16902" priority="74022">
      <formula>$H2279="CÉLULA CONSTRUTIVA"</formula>
    </cfRule>
    <cfRule type="expression" dxfId="16901" priority="74023">
      <formula>$H2279="SUBETAPA"</formula>
    </cfRule>
    <cfRule type="expression" dxfId="16900" priority="74024">
      <formula>$H2279="ETAPA"</formula>
    </cfRule>
  </conditionalFormatting>
  <conditionalFormatting sqref="J2282">
    <cfRule type="expression" dxfId="16899" priority="74307">
      <formula>$H2282="SUBETAPA"</formula>
    </cfRule>
  </conditionalFormatting>
  <conditionalFormatting sqref="J2285">
    <cfRule type="expression" dxfId="16898" priority="74194">
      <formula>$H2285="SUBETAPA"</formula>
    </cfRule>
  </conditionalFormatting>
  <conditionalFormatting sqref="J2299:J2300">
    <cfRule type="expression" dxfId="16897" priority="74736">
      <formula>$H2299="SUBETAPA"</formula>
    </cfRule>
  </conditionalFormatting>
  <conditionalFormatting sqref="J2304">
    <cfRule type="expression" dxfId="16896" priority="74662">
      <formula>$H2304="CÉLULA CONSTRUTIVA"</formula>
    </cfRule>
    <cfRule type="expression" dxfId="16895" priority="74663">
      <formula>$H2304="SUBETAPA"</formula>
    </cfRule>
    <cfRule type="expression" dxfId="16894" priority="74664">
      <formula>$H2304="ETAPA"</formula>
    </cfRule>
  </conditionalFormatting>
  <conditionalFormatting sqref="J2307">
    <cfRule type="expression" dxfId="16893" priority="74947">
      <formula>$H2307="SUBETAPA"</formula>
    </cfRule>
  </conditionalFormatting>
  <conditionalFormatting sqref="J2314:J2315">
    <cfRule type="expression" dxfId="16892" priority="75118">
      <formula>$H2314="CÉLULA CONSTRUTIVA"</formula>
    </cfRule>
  </conditionalFormatting>
  <conditionalFormatting sqref="J2325">
    <cfRule type="expression" dxfId="16891" priority="75302">
      <formula>$H2325="CÉLULA CONSTRUTIVA"</formula>
    </cfRule>
    <cfRule type="expression" dxfId="16890" priority="75303">
      <formula>$H2325="SUBETAPA"</formula>
    </cfRule>
    <cfRule type="expression" dxfId="16889" priority="75304">
      <formula>$H2325="ETAPA"</formula>
    </cfRule>
  </conditionalFormatting>
  <conditionalFormatting sqref="J2346">
    <cfRule type="expression" dxfId="16888" priority="61944">
      <formula>$H2346="SUBETAPA"</formula>
    </cfRule>
    <cfRule type="expression" dxfId="16887" priority="61945">
      <formula>$H2346="CÉLULA CONSTRUTIVA"</formula>
    </cfRule>
  </conditionalFormatting>
  <conditionalFormatting sqref="J2347">
    <cfRule type="expression" dxfId="16886" priority="7121">
      <formula>$H2347="ETAPA"</formula>
    </cfRule>
    <cfRule type="expression" dxfId="16885" priority="7122">
      <formula>$H2347="SUBETAPA"</formula>
    </cfRule>
    <cfRule type="expression" dxfId="16884" priority="7123">
      <formula>$H2347="CÉLULA CONSTRUTIVA"</formula>
    </cfRule>
    <cfRule type="expression" dxfId="16883" priority="7124">
      <formula>$H2347="SUBETAPA"</formula>
    </cfRule>
    <cfRule type="expression" dxfId="16882" priority="7125">
      <formula>$H2347="CÉLULA CONSTRUTIVA"</formula>
    </cfRule>
  </conditionalFormatting>
  <conditionalFormatting sqref="J2367">
    <cfRule type="expression" dxfId="16881" priority="62183">
      <formula>$H2367="SUBETAPA"</formula>
    </cfRule>
    <cfRule type="expression" dxfId="16880" priority="62184">
      <formula>$H2367="CÉLULA CONSTRUTIVA"</formula>
    </cfRule>
  </conditionalFormatting>
  <conditionalFormatting sqref="J2368">
    <cfRule type="expression" dxfId="16879" priority="7099">
      <formula>$H2368="ETAPA"</formula>
    </cfRule>
    <cfRule type="expression" dxfId="16878" priority="7100">
      <formula>$H2368="SUBETAPA"</formula>
    </cfRule>
    <cfRule type="expression" dxfId="16877" priority="7101">
      <formula>$H2368="CÉLULA CONSTRUTIVA"</formula>
    </cfRule>
    <cfRule type="expression" dxfId="16876" priority="7102">
      <formula>$H2368="SUBETAPA"</formula>
    </cfRule>
    <cfRule type="expression" dxfId="16875" priority="7103">
      <formula>$H2368="CÉLULA CONSTRUTIVA"</formula>
    </cfRule>
  </conditionalFormatting>
  <conditionalFormatting sqref="J2394">
    <cfRule type="expression" dxfId="16874" priority="62422">
      <formula>$H2394="SUBETAPA"</formula>
    </cfRule>
    <cfRule type="expression" dxfId="16873" priority="62423">
      <formula>$H2394="CÉLULA CONSTRUTIVA"</formula>
    </cfRule>
  </conditionalFormatting>
  <conditionalFormatting sqref="J2395">
    <cfRule type="expression" dxfId="16872" priority="7043">
      <formula>$H2395="ETAPA"</formula>
    </cfRule>
    <cfRule type="expression" dxfId="16871" priority="7044">
      <formula>$H2395="SUBETAPA"</formula>
    </cfRule>
    <cfRule type="expression" dxfId="16870" priority="7045">
      <formula>$H2395="CÉLULA CONSTRUTIVA"</formula>
    </cfRule>
    <cfRule type="expression" dxfId="16869" priority="7046">
      <formula>$H2395="SUBETAPA"</formula>
    </cfRule>
    <cfRule type="expression" dxfId="16868" priority="7047">
      <formula>$H2395="CÉLULA CONSTRUTIVA"</formula>
    </cfRule>
  </conditionalFormatting>
  <conditionalFormatting sqref="J2418">
    <cfRule type="expression" dxfId="16867" priority="6987">
      <formula>$H2418="ETAPA"</formula>
    </cfRule>
    <cfRule type="expression" dxfId="16866" priority="6988">
      <formula>$H2418="SUBETAPA"</formula>
    </cfRule>
    <cfRule type="expression" dxfId="16865" priority="6989">
      <formula>$H2418="CÉLULA CONSTRUTIVA"</formula>
    </cfRule>
    <cfRule type="expression" dxfId="16864" priority="6990">
      <formula>$H2418="SUBETAPA"</formula>
    </cfRule>
    <cfRule type="expression" dxfId="16863" priority="6991">
      <formula>$H2418="CÉLULA CONSTRUTIVA"</formula>
    </cfRule>
  </conditionalFormatting>
  <conditionalFormatting sqref="J2441">
    <cfRule type="expression" dxfId="16862" priority="6931">
      <formula>$H2441="ETAPA"</formula>
    </cfRule>
    <cfRule type="expression" dxfId="16861" priority="6932">
      <formula>$H2441="SUBETAPA"</formula>
    </cfRule>
    <cfRule type="expression" dxfId="16860" priority="6933">
      <formula>$H2441="CÉLULA CONSTRUTIVA"</formula>
    </cfRule>
    <cfRule type="expression" dxfId="16859" priority="6934">
      <formula>$H2441="SUBETAPA"</formula>
    </cfRule>
    <cfRule type="expression" dxfId="16858" priority="6935">
      <formula>$H2441="CÉLULA CONSTRUTIVA"</formula>
    </cfRule>
  </conditionalFormatting>
  <conditionalFormatting sqref="J2464">
    <cfRule type="expression" dxfId="16857" priority="63139">
      <formula>$H2464="SUBETAPA"</formula>
    </cfRule>
    <cfRule type="expression" dxfId="16856" priority="63140">
      <formula>$H2464="CÉLULA CONSTRUTIVA"</formula>
    </cfRule>
  </conditionalFormatting>
  <conditionalFormatting sqref="J2465">
    <cfRule type="expression" dxfId="16855" priority="6875">
      <formula>$H2465="ETAPA"</formula>
    </cfRule>
    <cfRule type="expression" dxfId="16854" priority="6876">
      <formula>$H2465="SUBETAPA"</formula>
    </cfRule>
    <cfRule type="expression" dxfId="16853" priority="6877">
      <formula>$H2465="CÉLULA CONSTRUTIVA"</formula>
    </cfRule>
    <cfRule type="expression" dxfId="16852" priority="6878">
      <formula>$H2465="SUBETAPA"</formula>
    </cfRule>
    <cfRule type="expression" dxfId="16851" priority="6879">
      <formula>$H2465="CÉLULA CONSTRUTIVA"</formula>
    </cfRule>
  </conditionalFormatting>
  <conditionalFormatting sqref="J2489">
    <cfRule type="expression" dxfId="16850" priority="6819">
      <formula>$H2489="ETAPA"</formula>
    </cfRule>
    <cfRule type="expression" dxfId="16849" priority="6820">
      <formula>$H2489="SUBETAPA"</formula>
    </cfRule>
    <cfRule type="expression" dxfId="16848" priority="6821">
      <formula>$H2489="CÉLULA CONSTRUTIVA"</formula>
    </cfRule>
    <cfRule type="expression" dxfId="16847" priority="6822">
      <formula>$H2489="SUBETAPA"</formula>
    </cfRule>
    <cfRule type="expression" dxfId="16846" priority="6823">
      <formula>$H2489="CÉLULA CONSTRUTIVA"</formula>
    </cfRule>
  </conditionalFormatting>
  <conditionalFormatting sqref="J2490">
    <cfRule type="expression" dxfId="16845" priority="63376">
      <formula>$H2490="SUBETAPA"</formula>
    </cfRule>
    <cfRule type="expression" dxfId="16844" priority="63377">
      <formula>$H2490="CÉLULA CONSTRUTIVA"</formula>
    </cfRule>
  </conditionalFormatting>
  <conditionalFormatting sqref="J2491 H2487 O2487 J2487:K2487">
    <cfRule type="expression" dxfId="16843" priority="63449">
      <formula>$H2487="SUBETAPA"</formula>
    </cfRule>
  </conditionalFormatting>
  <conditionalFormatting sqref="J2516">
    <cfRule type="expression" dxfId="16842" priority="6763">
      <formula>$H2516="ETAPA"</formula>
    </cfRule>
    <cfRule type="expression" dxfId="16841" priority="6764">
      <formula>$H2516="SUBETAPA"</formula>
    </cfRule>
    <cfRule type="expression" dxfId="16840" priority="6765">
      <formula>$H2516="CÉLULA CONSTRUTIVA"</formula>
    </cfRule>
    <cfRule type="expression" dxfId="16839" priority="6766">
      <formula>$H2516="SUBETAPA"</formula>
    </cfRule>
    <cfRule type="expression" dxfId="16838" priority="6767">
      <formula>$H2516="CÉLULA CONSTRUTIVA"</formula>
    </cfRule>
  </conditionalFormatting>
  <conditionalFormatting sqref="J2517 H2514 O2514 J2514:K2514">
    <cfRule type="expression" dxfId="16837" priority="63688">
      <formula>$H2514="SUBETAPA"</formula>
    </cfRule>
  </conditionalFormatting>
  <conditionalFormatting sqref="J2537">
    <cfRule type="expression" dxfId="16836" priority="6684">
      <formula>$H2537="ETAPA"</formula>
    </cfRule>
    <cfRule type="expression" dxfId="16835" priority="6685">
      <formula>$H2537="SUBETAPA"</formula>
    </cfRule>
    <cfRule type="expression" dxfId="16834" priority="6686">
      <formula>$H2537="CÉLULA CONSTRUTIVA"</formula>
    </cfRule>
    <cfRule type="expression" dxfId="16833" priority="6687">
      <formula>$H2537="SUBETAPA"</formula>
    </cfRule>
    <cfRule type="expression" dxfId="16832" priority="6688">
      <formula>$H2537="CÉLULA CONSTRUTIVA"</formula>
    </cfRule>
  </conditionalFormatting>
  <conditionalFormatting sqref="J2546">
    <cfRule type="expression" dxfId="16831" priority="63894">
      <formula>$H2546="CÉLULA CONSTRUTIVA"</formula>
    </cfRule>
  </conditionalFormatting>
  <conditionalFormatting sqref="J2553">
    <cfRule type="expression" dxfId="16830" priority="6626">
      <formula>$H2553="ETAPA"</formula>
    </cfRule>
    <cfRule type="expression" dxfId="16829" priority="6627">
      <formula>$H2553="SUBETAPA"</formula>
    </cfRule>
    <cfRule type="expression" dxfId="16828" priority="6628">
      <formula>$H2553="CÉLULA CONSTRUTIVA"</formula>
    </cfRule>
    <cfRule type="expression" dxfId="16827" priority="6629">
      <formula>$H2553="SUBETAPA"</formula>
    </cfRule>
    <cfRule type="expression" dxfId="16826" priority="6630">
      <formula>$H2553="CÉLULA CONSTRUTIVA"</formula>
    </cfRule>
  </conditionalFormatting>
  <conditionalFormatting sqref="J2562">
    <cfRule type="expression" dxfId="16825" priority="64133">
      <formula>$H2562="CÉLULA CONSTRUTIVA"</formula>
    </cfRule>
  </conditionalFormatting>
  <conditionalFormatting sqref="J2569">
    <cfRule type="expression" dxfId="16824" priority="6568">
      <formula>$H2569="ETAPA"</formula>
    </cfRule>
    <cfRule type="expression" dxfId="16823" priority="6569">
      <formula>$H2569="SUBETAPA"</formula>
    </cfRule>
    <cfRule type="expression" dxfId="16822" priority="6570">
      <formula>$H2569="CÉLULA CONSTRUTIVA"</formula>
    </cfRule>
    <cfRule type="expression" dxfId="16821" priority="6571">
      <formula>$H2569="SUBETAPA"</formula>
    </cfRule>
    <cfRule type="expression" dxfId="16820" priority="6572">
      <formula>$H2569="CÉLULA CONSTRUTIVA"</formula>
    </cfRule>
  </conditionalFormatting>
  <conditionalFormatting sqref="J2578">
    <cfRule type="expression" dxfId="16819" priority="64372">
      <formula>$H2578="CÉLULA CONSTRUTIVA"</formula>
    </cfRule>
  </conditionalFormatting>
  <conditionalFormatting sqref="J2585">
    <cfRule type="expression" dxfId="16818" priority="6510">
      <formula>$H2585="ETAPA"</formula>
    </cfRule>
    <cfRule type="expression" dxfId="16817" priority="6511">
      <formula>$H2585="SUBETAPA"</formula>
    </cfRule>
    <cfRule type="expression" dxfId="16816" priority="6512">
      <formula>$H2585="CÉLULA CONSTRUTIVA"</formula>
    </cfRule>
    <cfRule type="expression" dxfId="16815" priority="6513">
      <formula>$H2585="SUBETAPA"</formula>
    </cfRule>
    <cfRule type="expression" dxfId="16814" priority="6514">
      <formula>$H2585="CÉLULA CONSTRUTIVA"</formula>
    </cfRule>
  </conditionalFormatting>
  <conditionalFormatting sqref="J2594">
    <cfRule type="expression" dxfId="16813" priority="64611">
      <formula>$H2594="CÉLULA CONSTRUTIVA"</formula>
    </cfRule>
  </conditionalFormatting>
  <conditionalFormatting sqref="J2601">
    <cfRule type="expression" dxfId="16812" priority="6452">
      <formula>$H2601="ETAPA"</formula>
    </cfRule>
    <cfRule type="expression" dxfId="16811" priority="6453">
      <formula>$H2601="SUBETAPA"</formula>
    </cfRule>
    <cfRule type="expression" dxfId="16810" priority="6454">
      <formula>$H2601="CÉLULA CONSTRUTIVA"</formula>
    </cfRule>
    <cfRule type="expression" dxfId="16809" priority="6455">
      <formula>$H2601="SUBETAPA"</formula>
    </cfRule>
    <cfRule type="expression" dxfId="16808" priority="6456">
      <formula>$H2601="CÉLULA CONSTRUTIVA"</formula>
    </cfRule>
  </conditionalFormatting>
  <conditionalFormatting sqref="J2610">
    <cfRule type="expression" dxfId="16807" priority="64850">
      <formula>$H2610="CÉLULA CONSTRUTIVA"</formula>
    </cfRule>
  </conditionalFormatting>
  <conditionalFormatting sqref="J2617">
    <cfRule type="expression" dxfId="16806" priority="6394">
      <formula>$H2617="ETAPA"</formula>
    </cfRule>
    <cfRule type="expression" dxfId="16805" priority="6395">
      <formula>$H2617="SUBETAPA"</formula>
    </cfRule>
    <cfRule type="expression" dxfId="16804" priority="6396">
      <formula>$H2617="CÉLULA CONSTRUTIVA"</formula>
    </cfRule>
    <cfRule type="expression" dxfId="16803" priority="6397">
      <formula>$H2617="SUBETAPA"</formula>
    </cfRule>
    <cfRule type="expression" dxfId="16802" priority="6398">
      <formula>$H2617="CÉLULA CONSTRUTIVA"</formula>
    </cfRule>
  </conditionalFormatting>
  <conditionalFormatting sqref="J2625">
    <cfRule type="expression" dxfId="16801" priority="65089">
      <formula>$H2625="CÉLULA CONSTRUTIVA"</formula>
    </cfRule>
  </conditionalFormatting>
  <conditionalFormatting sqref="J2826">
    <cfRule type="expression" dxfId="16800" priority="435">
      <formula>$H2826="SUBETAPA"</formula>
    </cfRule>
    <cfRule type="expression" dxfId="16799" priority="436">
      <formula>$H2826="ETAPA"</formula>
    </cfRule>
  </conditionalFormatting>
  <conditionalFormatting sqref="J2882">
    <cfRule type="expression" dxfId="16798" priority="825">
      <formula>$H2882="SUBETAPA"</formula>
    </cfRule>
    <cfRule type="expression" dxfId="16797" priority="826">
      <formula>$H2882="ETAPA"</formula>
    </cfRule>
  </conditionalFormatting>
  <conditionalFormatting sqref="J2893">
    <cfRule type="expression" dxfId="16796" priority="890">
      <formula>$H2893="SUBETAPA"</formula>
    </cfRule>
    <cfRule type="expression" dxfId="16795" priority="891">
      <formula>$H2893="ETAPA"</formula>
    </cfRule>
  </conditionalFormatting>
  <conditionalFormatting sqref="J2940">
    <cfRule type="expression" dxfId="16794" priority="1215">
      <formula>$H2940="SUBETAPA"</formula>
    </cfRule>
    <cfRule type="expression" dxfId="16793" priority="1216">
      <formula>$H2940="ETAPA"</formula>
    </cfRule>
  </conditionalFormatting>
  <conditionalFormatting sqref="J2948">
    <cfRule type="expression" dxfId="16792" priority="1280">
      <formula>$H2948="SUBETAPA"</formula>
    </cfRule>
    <cfRule type="expression" dxfId="16791" priority="1281">
      <formula>$H2948="ETAPA"</formula>
    </cfRule>
  </conditionalFormatting>
  <conditionalFormatting sqref="J2948:J2951">
    <cfRule type="expression" dxfId="16790" priority="1279">
      <formula>$H2948="ETAPA"</formula>
    </cfRule>
  </conditionalFormatting>
  <conditionalFormatting sqref="J3060:J3062">
    <cfRule type="expression" dxfId="16789" priority="4181">
      <formula>$H3060="SUBETAPA"</formula>
    </cfRule>
    <cfRule type="expression" dxfId="16788" priority="4182">
      <formula>$H3060="CÉLULA CONSTRUTIVA"</formula>
    </cfRule>
  </conditionalFormatting>
  <conditionalFormatting sqref="J3063">
    <cfRule type="expression" dxfId="16787" priority="4177">
      <formula>$H3063="ETAPA"</formula>
    </cfRule>
    <cfRule type="expression" dxfId="16786" priority="4178">
      <formula>$H3063="SUBETAPA"</formula>
    </cfRule>
  </conditionalFormatting>
  <conditionalFormatting sqref="J3064">
    <cfRule type="expression" dxfId="16785" priority="4179">
      <formula>$H3064="SUBETAPA"</formula>
    </cfRule>
    <cfRule type="expression" dxfId="16784" priority="4180">
      <formula>$H3064="CÉLULA CONSTRUTIVA"</formula>
    </cfRule>
  </conditionalFormatting>
  <conditionalFormatting sqref="J3066">
    <cfRule type="expression" dxfId="16783" priority="61041">
      <formula>$H3066="SUBETAPA"</formula>
    </cfRule>
    <cfRule type="expression" dxfId="16782" priority="61042">
      <formula>$H3066="CÉLULA CONSTRUTIVA"</formula>
    </cfRule>
  </conditionalFormatting>
  <conditionalFormatting sqref="J3088">
    <cfRule type="expression" dxfId="16781" priority="4165">
      <formula>$H3088="SUBETAPA"</formula>
    </cfRule>
    <cfRule type="expression" dxfId="16780" priority="4166">
      <formula>$H3088="CÉLULA CONSTRUTIVA"</formula>
    </cfRule>
  </conditionalFormatting>
  <conditionalFormatting sqref="J3089">
    <cfRule type="expression" dxfId="16779" priority="4161">
      <formula>$H3089="ETAPA"</formula>
    </cfRule>
    <cfRule type="expression" dxfId="16778" priority="4162">
      <formula>$H3089="SUBETAPA"</formula>
    </cfRule>
  </conditionalFormatting>
  <conditionalFormatting sqref="J3090">
    <cfRule type="expression" dxfId="16777" priority="4163">
      <formula>$H3090="SUBETAPA"</formula>
    </cfRule>
    <cfRule type="expression" dxfId="16776" priority="4164">
      <formula>$H3090="CÉLULA CONSTRUTIVA"</formula>
    </cfRule>
  </conditionalFormatting>
  <conditionalFormatting sqref="J3106">
    <cfRule type="expression" dxfId="16775" priority="4204">
      <formula>$H3106="SUBETAPA"</formula>
    </cfRule>
    <cfRule type="expression" dxfId="16774" priority="4205">
      <formula>$H3106="CÉLULA CONSTRUTIVA"</formula>
    </cfRule>
    <cfRule type="expression" dxfId="16773" priority="6354">
      <formula>$H3106="SUBETAPA"</formula>
    </cfRule>
    <cfRule type="expression" dxfId="16772" priority="6355">
      <formula>$H3106="CÉLULA CONSTRUTIVA"</formula>
    </cfRule>
  </conditionalFormatting>
  <conditionalFormatting sqref="J3109">
    <cfRule type="expression" dxfId="16771" priority="4149">
      <formula>$H3109="SUBETAPA"</formula>
    </cfRule>
    <cfRule type="expression" dxfId="16770" priority="4150">
      <formula>$H3109="CÉLULA CONSTRUTIVA"</formula>
    </cfRule>
  </conditionalFormatting>
  <conditionalFormatting sqref="J3110">
    <cfRule type="expression" dxfId="16769" priority="4145">
      <formula>$H3110="ETAPA"</formula>
    </cfRule>
    <cfRule type="expression" dxfId="16768" priority="4146">
      <formula>$H3110="SUBETAPA"</formula>
    </cfRule>
  </conditionalFormatting>
  <conditionalFormatting sqref="J3111">
    <cfRule type="expression" dxfId="16767" priority="4147">
      <formula>$H3111="SUBETAPA"</formula>
    </cfRule>
    <cfRule type="expression" dxfId="16766" priority="4148">
      <formula>$H3111="CÉLULA CONSTRUTIVA"</formula>
    </cfRule>
  </conditionalFormatting>
  <conditionalFormatting sqref="J3129">
    <cfRule type="expression" dxfId="16765" priority="6352">
      <formula>$H3129="SUBETAPA"</formula>
    </cfRule>
    <cfRule type="expression" dxfId="16764" priority="6353">
      <formula>$H3129="CÉLULA CONSTRUTIVA"</formula>
    </cfRule>
  </conditionalFormatting>
  <conditionalFormatting sqref="J3132">
    <cfRule type="expression" dxfId="16763" priority="4133">
      <formula>$H3132="SUBETAPA"</formula>
    </cfRule>
    <cfRule type="expression" dxfId="16762" priority="4134">
      <formula>$H3132="CÉLULA CONSTRUTIVA"</formula>
    </cfRule>
  </conditionalFormatting>
  <conditionalFormatting sqref="J3133">
    <cfRule type="expression" dxfId="16761" priority="4129">
      <formula>$H3133="ETAPA"</formula>
    </cfRule>
    <cfRule type="expression" dxfId="16760" priority="4130">
      <formula>$H3133="SUBETAPA"</formula>
    </cfRule>
  </conditionalFormatting>
  <conditionalFormatting sqref="J3134">
    <cfRule type="expression" dxfId="16759" priority="4131">
      <formula>$H3134="SUBETAPA"</formula>
    </cfRule>
    <cfRule type="expression" dxfId="16758" priority="4132">
      <formula>$H3134="CÉLULA CONSTRUTIVA"</formula>
    </cfRule>
  </conditionalFormatting>
  <conditionalFormatting sqref="J3135">
    <cfRule type="expression" dxfId="16757" priority="61779">
      <formula>$H3135="SUBETAPA"</formula>
    </cfRule>
    <cfRule type="expression" dxfId="16756" priority="61780">
      <formula>$H3135="CÉLULA CONSTRUTIVA"</formula>
    </cfRule>
  </conditionalFormatting>
  <conditionalFormatting sqref="J12:K12">
    <cfRule type="expression" dxfId="16755" priority="4065">
      <formula>$H12="SUBETAPA"</formula>
    </cfRule>
    <cfRule type="expression" dxfId="16754" priority="4066">
      <formula>$H12="CÉLULA CONSTRUTIVA"</formula>
    </cfRule>
    <cfRule type="expression" dxfId="16753" priority="4067">
      <formula>$H12="ETAPA"</formula>
    </cfRule>
  </conditionalFormatting>
  <conditionalFormatting sqref="J13:K13">
    <cfRule type="expression" dxfId="16752" priority="4070">
      <formula>$H13="SUBETAPA"</formula>
    </cfRule>
    <cfRule type="expression" dxfId="16751" priority="4071">
      <formula>$H13="CÉLULA CONSTRUTIVA"</formula>
    </cfRule>
    <cfRule type="expression" dxfId="16750" priority="4072">
      <formula>$H13="ETAPA"</formula>
    </cfRule>
  </conditionalFormatting>
  <conditionalFormatting sqref="J14:K14">
    <cfRule type="expression" dxfId="16749" priority="4068">
      <formula>$H14="CÉLULA CONSTRUTIVA"</formula>
    </cfRule>
    <cfRule type="expression" dxfId="16748" priority="4069">
      <formula>$H14="ETAPA"</formula>
    </cfRule>
  </conditionalFormatting>
  <conditionalFormatting sqref="J15:K15">
    <cfRule type="expression" dxfId="16747" priority="4063">
      <formula>$H15="CÉLULA CONSTRUTIVA"</formula>
    </cfRule>
    <cfRule type="expression" dxfId="16746" priority="4073">
      <formula>$H15="ETAPA"</formula>
    </cfRule>
  </conditionalFormatting>
  <conditionalFormatting sqref="J17:K17">
    <cfRule type="expression" dxfId="16745" priority="4037">
      <formula>$H17="SUBETAPA"</formula>
    </cfRule>
  </conditionalFormatting>
  <conditionalFormatting sqref="J47:K47 N47:O47">
    <cfRule type="expression" dxfId="16744" priority="46749">
      <formula>$H47="CÉLULA CONSTRUTIVA"</formula>
    </cfRule>
    <cfRule type="expression" dxfId="16743" priority="46750">
      <formula>$H47="SUBETAPA"</formula>
    </cfRule>
    <cfRule type="expression" dxfId="16742" priority="46751">
      <formula>$H47="ETAPA"</formula>
    </cfRule>
  </conditionalFormatting>
  <conditionalFormatting sqref="J388:K390 J387:L387 J395:L395">
    <cfRule type="expression" dxfId="16741" priority="99335">
      <formula>$H387="SUBETAPA"</formula>
    </cfRule>
  </conditionalFormatting>
  <conditionalFormatting sqref="J392:K392">
    <cfRule type="expression" dxfId="16740" priority="7588">
      <formula>$H392="SUBETAPA"</formula>
    </cfRule>
    <cfRule type="expression" dxfId="16739" priority="7589">
      <formula>$H392="CÉLULA CONSTRUTIVA"</formula>
    </cfRule>
  </conditionalFormatting>
  <conditionalFormatting sqref="J405:K407 J404:L404 J412:L412">
    <cfRule type="expression" dxfId="16738" priority="99430">
      <formula>$H404="SUBETAPA"</formula>
    </cfRule>
  </conditionalFormatting>
  <conditionalFormatting sqref="J422:K424 J421:L421 J428:L428">
    <cfRule type="expression" dxfId="16737" priority="99525">
      <formula>$H421="SUBETAPA"</formula>
    </cfRule>
  </conditionalFormatting>
  <conditionalFormatting sqref="J438:K440 J437:L437 J444:L444">
    <cfRule type="expression" dxfId="16736" priority="99620">
      <formula>$H437="SUBETAPA"</formula>
    </cfRule>
  </conditionalFormatting>
  <conditionalFormatting sqref="J454:K456 J453:L453 J461:L461">
    <cfRule type="expression" dxfId="16735" priority="99715">
      <formula>$H453="SUBETAPA"</formula>
    </cfRule>
  </conditionalFormatting>
  <conditionalFormatting sqref="J471:K473 J470:L470 J478:L478">
    <cfRule type="expression" dxfId="16734" priority="99810">
      <formula>$H470="SUBETAPA"</formula>
    </cfRule>
  </conditionalFormatting>
  <conditionalFormatting sqref="J488:K490 J487:L487 J495:L495">
    <cfRule type="expression" dxfId="16733" priority="99905">
      <formula>$H487="SUBETAPA"</formula>
    </cfRule>
  </conditionalFormatting>
  <conditionalFormatting sqref="J523:K525 J522:L522 J531:L531">
    <cfRule type="expression" dxfId="16732" priority="100095">
      <formula>$H522="SUBETAPA"</formula>
    </cfRule>
  </conditionalFormatting>
  <conditionalFormatting sqref="J526:K526">
    <cfRule type="expression" dxfId="16731" priority="59768">
      <formula>$H526="SUBETAPA"</formula>
    </cfRule>
    <cfRule type="expression" dxfId="16730" priority="59769">
      <formula>$H526="CÉLULA CONSTRUTIVA"</formula>
    </cfRule>
  </conditionalFormatting>
  <conditionalFormatting sqref="J541:K543 J540:L540 J549:L549">
    <cfRule type="expression" dxfId="16729" priority="100190">
      <formula>$H540="SUBETAPA"</formula>
    </cfRule>
  </conditionalFormatting>
  <conditionalFormatting sqref="J544:K544">
    <cfRule type="expression" dxfId="16728" priority="59750">
      <formula>$H544="SUBETAPA"</formula>
    </cfRule>
    <cfRule type="expression" dxfId="16727" priority="59751">
      <formula>$H544="CÉLULA CONSTRUTIVA"</formula>
    </cfRule>
  </conditionalFormatting>
  <conditionalFormatting sqref="J559:K561 J558:L558 J567:L567">
    <cfRule type="expression" dxfId="16726" priority="100285">
      <formula>$H558="SUBETAPA"</formula>
    </cfRule>
  </conditionalFormatting>
  <conditionalFormatting sqref="J562:K562">
    <cfRule type="expression" dxfId="16725" priority="59732">
      <formula>$H562="SUBETAPA"</formula>
    </cfRule>
    <cfRule type="expression" dxfId="16724" priority="59733">
      <formula>$H562="CÉLULA CONSTRUTIVA"</formula>
    </cfRule>
  </conditionalFormatting>
  <conditionalFormatting sqref="J577:K579 J576:L576 J583:L583">
    <cfRule type="expression" dxfId="16723" priority="100380">
      <formula>$H576="SUBETAPA"</formula>
    </cfRule>
  </conditionalFormatting>
  <conditionalFormatting sqref="J594:K596 J593:L593 J602:L602">
    <cfRule type="expression" dxfId="16722" priority="100475">
      <formula>$H593="SUBETAPA"</formula>
    </cfRule>
  </conditionalFormatting>
  <conditionalFormatting sqref="J597:K597">
    <cfRule type="expression" dxfId="16721" priority="59696">
      <formula>$H597="SUBETAPA"</formula>
    </cfRule>
    <cfRule type="expression" dxfId="16720" priority="59697">
      <formula>$H597="CÉLULA CONSTRUTIVA"</formula>
    </cfRule>
  </conditionalFormatting>
  <conditionalFormatting sqref="J611:K613 J610:L610 J616:L616">
    <cfRule type="expression" dxfId="16719" priority="100570">
      <formula>$H610="SUBETAPA"</formula>
    </cfRule>
  </conditionalFormatting>
  <conditionalFormatting sqref="J1440:K1440">
    <cfRule type="expression" dxfId="16718" priority="92316">
      <formula>$H1440="ETAPA"</formula>
    </cfRule>
  </conditionalFormatting>
  <conditionalFormatting sqref="J1452:K1452">
    <cfRule type="expression" dxfId="16717" priority="92967">
      <formula>$H1452="SUBETAPA"</formula>
    </cfRule>
    <cfRule type="expression" dxfId="16716" priority="92968">
      <formula>$H1452="CÉLULA CONSTRUTIVA"</formula>
    </cfRule>
  </conditionalFormatting>
  <conditionalFormatting sqref="J1459:K1459">
    <cfRule type="expression" dxfId="16715" priority="4434">
      <formula>$H1459="SUBETAPA"</formula>
    </cfRule>
    <cfRule type="expression" dxfId="16714" priority="4435">
      <formula>$H1459="CÉLULA CONSTRUTIVA"</formula>
    </cfRule>
  </conditionalFormatting>
  <conditionalFormatting sqref="J1466:K1466">
    <cfRule type="expression" dxfId="16713" priority="4398">
      <formula>$H1466="SUBETAPA"</formula>
    </cfRule>
    <cfRule type="expression" dxfId="16712" priority="4399">
      <formula>$H1466="CÉLULA CONSTRUTIVA"</formula>
    </cfRule>
  </conditionalFormatting>
  <conditionalFormatting sqref="J1479:K1479">
    <cfRule type="expression" dxfId="16711" priority="4362">
      <formula>$H1479="SUBETAPA"</formula>
    </cfRule>
    <cfRule type="expression" dxfId="16710" priority="4363">
      <formula>$H1479="CÉLULA CONSTRUTIVA"</formula>
    </cfRule>
  </conditionalFormatting>
  <conditionalFormatting sqref="J1480:K1480">
    <cfRule type="expression" dxfId="16709" priority="4374">
      <formula>$H1480="ETAPA"</formula>
    </cfRule>
  </conditionalFormatting>
  <conditionalFormatting sqref="J1480:K1481">
    <cfRule type="expression" dxfId="16708" priority="4372">
      <formula>$H1480="SUBETAPA"</formula>
    </cfRule>
    <cfRule type="expression" dxfId="16707" priority="4373">
      <formula>$H1480="CÉLULA CONSTRUTIVA"</formula>
    </cfRule>
  </conditionalFormatting>
  <conditionalFormatting sqref="J1485:K1485 K1482:K1484">
    <cfRule type="expression" dxfId="16706" priority="4366">
      <formula>$H1482="CÉLULA CONSTRUTIVA"</formula>
    </cfRule>
  </conditionalFormatting>
  <conditionalFormatting sqref="J1491:K1491">
    <cfRule type="expression" dxfId="16705" priority="4326">
      <formula>$H1491="SUBETAPA"</formula>
    </cfRule>
    <cfRule type="expression" dxfId="16704" priority="4327">
      <formula>$H1491="CÉLULA CONSTRUTIVA"</formula>
    </cfRule>
  </conditionalFormatting>
  <conditionalFormatting sqref="J1493:K1493">
    <cfRule type="expression" dxfId="16703" priority="4330">
      <formula>$H1493="CÉLULA CONSTRUTIVA"</formula>
    </cfRule>
  </conditionalFormatting>
  <conditionalFormatting sqref="J1510:K1510">
    <cfRule type="expression" dxfId="16702" priority="4290">
      <formula>$H1510="SUBETAPA"</formula>
    </cfRule>
    <cfRule type="expression" dxfId="16701" priority="4291">
      <formula>$H1510="CÉLULA CONSTRUTIVA"</formula>
    </cfRule>
  </conditionalFormatting>
  <conditionalFormatting sqref="J1511:K1511">
    <cfRule type="expression" dxfId="16700" priority="4302">
      <formula>$H1511="ETAPA"</formula>
    </cfRule>
  </conditionalFormatting>
  <conditionalFormatting sqref="J1511:K1512">
    <cfRule type="expression" dxfId="16699" priority="4300">
      <formula>$H1511="SUBETAPA"</formula>
    </cfRule>
    <cfRule type="expression" dxfId="16698" priority="4301">
      <formula>$H1511="CÉLULA CONSTRUTIVA"</formula>
    </cfRule>
  </conditionalFormatting>
  <conditionalFormatting sqref="J1518:K1518 K1513:K1517">
    <cfRule type="expression" dxfId="16697" priority="4294">
      <formula>$H1513="CÉLULA CONSTRUTIVA"</formula>
    </cfRule>
  </conditionalFormatting>
  <conditionalFormatting sqref="J1532:K1532">
    <cfRule type="expression" dxfId="16696" priority="88991">
      <formula>$H1532="SUBETAPA"</formula>
    </cfRule>
    <cfRule type="expression" dxfId="16695" priority="88992">
      <formula>$H1532="CÉLULA CONSTRUTIVA"</formula>
    </cfRule>
  </conditionalFormatting>
  <conditionalFormatting sqref="J1533:K1533">
    <cfRule type="expression" dxfId="16694" priority="88999">
      <formula>$H1533="ETAPA"</formula>
    </cfRule>
  </conditionalFormatting>
  <conditionalFormatting sqref="J1554:K1554">
    <cfRule type="expression" dxfId="16693" priority="89650">
      <formula>$H1554="SUBETAPA"</formula>
    </cfRule>
    <cfRule type="expression" dxfId="16692" priority="89651">
      <formula>$H1554="CÉLULA CONSTRUTIVA"</formula>
    </cfRule>
  </conditionalFormatting>
  <conditionalFormatting sqref="J1555:K1555">
    <cfRule type="expression" dxfId="16691" priority="89658">
      <formula>$H1555="ETAPA"</formula>
    </cfRule>
  </conditionalFormatting>
  <conditionalFormatting sqref="J1573:K1573">
    <cfRule type="expression" dxfId="16690" priority="90309">
      <formula>$H1573="SUBETAPA"</formula>
    </cfRule>
    <cfRule type="expression" dxfId="16689" priority="90310">
      <formula>$H1573="CÉLULA CONSTRUTIVA"</formula>
    </cfRule>
  </conditionalFormatting>
  <conditionalFormatting sqref="J1577:K1577">
    <cfRule type="expression" dxfId="16688" priority="90201">
      <formula>$H1577="CÉLULA CONSTRUTIVA"</formula>
    </cfRule>
  </conditionalFormatting>
  <conditionalFormatting sqref="J1592:K1592">
    <cfRule type="expression" dxfId="16687" priority="90968">
      <formula>$H1592="SUBETAPA"</formula>
    </cfRule>
    <cfRule type="expression" dxfId="16686" priority="90969">
      <formula>$H1592="CÉLULA CONSTRUTIVA"</formula>
    </cfRule>
  </conditionalFormatting>
  <conditionalFormatting sqref="J1593:K1593">
    <cfRule type="expression" dxfId="16685" priority="90976">
      <formula>$H1593="ETAPA"</formula>
    </cfRule>
  </conditionalFormatting>
  <conditionalFormatting sqref="J1613:K1613">
    <cfRule type="expression" dxfId="16684" priority="91628">
      <formula>$H1613="SUBETAPA"</formula>
    </cfRule>
    <cfRule type="expression" dxfId="16683" priority="91629">
      <formula>$H1613="CÉLULA CONSTRUTIVA"</formula>
    </cfRule>
  </conditionalFormatting>
  <conditionalFormatting sqref="J1614:K1614">
    <cfRule type="expression" dxfId="16682" priority="91636">
      <formula>$H1614="ETAPA"</formula>
    </cfRule>
  </conditionalFormatting>
  <conditionalFormatting sqref="J1637:K1637">
    <cfRule type="expression" dxfId="16681" priority="96262">
      <formula>$H1637="SUBETAPA"</formula>
    </cfRule>
    <cfRule type="expression" dxfId="16680" priority="96263">
      <formula>$H1637="CÉLULA CONSTRUTIVA"</formula>
    </cfRule>
  </conditionalFormatting>
  <conditionalFormatting sqref="J1638:K1638">
    <cfRule type="expression" dxfId="16679" priority="96270">
      <formula>$H1638="ETAPA"</formula>
    </cfRule>
  </conditionalFormatting>
  <conditionalFormatting sqref="J1655:K1655">
    <cfRule type="expression" dxfId="16678" priority="96921">
      <formula>$H1655="SUBETAPA"</formula>
    </cfRule>
    <cfRule type="expression" dxfId="16677" priority="96922">
      <formula>$H1655="CÉLULA CONSTRUTIVA"</formula>
    </cfRule>
  </conditionalFormatting>
  <conditionalFormatting sqref="J1656:K1656">
    <cfRule type="expression" dxfId="16676" priority="96929">
      <formula>$H1656="ETAPA"</formula>
    </cfRule>
  </conditionalFormatting>
  <conditionalFormatting sqref="J1668:K1668">
    <cfRule type="expression" dxfId="16675" priority="97580">
      <formula>$H1668="SUBETAPA"</formula>
    </cfRule>
    <cfRule type="expression" dxfId="16674" priority="97581">
      <formula>$H1668="CÉLULA CONSTRUTIVA"</formula>
    </cfRule>
  </conditionalFormatting>
  <conditionalFormatting sqref="J1676:K1676">
    <cfRule type="expression" dxfId="16673" priority="80487">
      <formula>$H1676="ETAPA"</formula>
    </cfRule>
  </conditionalFormatting>
  <conditionalFormatting sqref="J1677:K1677">
    <cfRule type="expression" dxfId="16672" priority="80481">
      <formula>$H1677="ETAPA"</formula>
    </cfRule>
  </conditionalFormatting>
  <conditionalFormatting sqref="J1678:K1679">
    <cfRule type="expression" dxfId="16671" priority="80499">
      <formula>$H1678="ETAPA"</formula>
    </cfRule>
  </conditionalFormatting>
  <conditionalFormatting sqref="J1680:K1680">
    <cfRule type="expression" dxfId="16670" priority="80391">
      <formula>$H1680="ETAPA"</formula>
    </cfRule>
  </conditionalFormatting>
  <conditionalFormatting sqref="J1688:K1690 H1689:H1690 O1689:O1690">
    <cfRule type="expression" dxfId="16669" priority="80419">
      <formula>$H1688="ETAPA"</formula>
    </cfRule>
  </conditionalFormatting>
  <conditionalFormatting sqref="J1693:K1693 H1692">
    <cfRule type="expression" dxfId="16668" priority="80458">
      <formula>$H1692="ETAPA"</formula>
    </cfRule>
  </conditionalFormatting>
  <conditionalFormatting sqref="J1696:K1696">
    <cfRule type="expression" dxfId="16667" priority="80811">
      <formula>$H1696="ETAPA"</formula>
    </cfRule>
  </conditionalFormatting>
  <conditionalFormatting sqref="J1697:K1697">
    <cfRule type="expression" dxfId="16666" priority="80805">
      <formula>$H1697="ETAPA"</formula>
    </cfRule>
  </conditionalFormatting>
  <conditionalFormatting sqref="J1698:K1699">
    <cfRule type="expression" dxfId="16665" priority="80823">
      <formula>$H1698="ETAPA"</formula>
    </cfRule>
  </conditionalFormatting>
  <conditionalFormatting sqref="J1705:K1707 H1706:H1708 O1706:O1708">
    <cfRule type="expression" dxfId="16664" priority="80743">
      <formula>$H1705="ETAPA"</formula>
    </cfRule>
  </conditionalFormatting>
  <conditionalFormatting sqref="J1709:K1709">
    <cfRule type="expression" dxfId="16663" priority="80782">
      <formula>$H1709="ETAPA"</formula>
    </cfRule>
  </conditionalFormatting>
  <conditionalFormatting sqref="J1712:K1712">
    <cfRule type="expression" dxfId="16662" priority="81135">
      <formula>$H1712="ETAPA"</formula>
    </cfRule>
  </conditionalFormatting>
  <conditionalFormatting sqref="J1713:K1713">
    <cfRule type="expression" dxfId="16661" priority="81129">
      <formula>$H1713="ETAPA"</formula>
    </cfRule>
  </conditionalFormatting>
  <conditionalFormatting sqref="J1714:K1715">
    <cfRule type="expression" dxfId="16660" priority="81147">
      <formula>$H1714="ETAPA"</formula>
    </cfRule>
  </conditionalFormatting>
  <conditionalFormatting sqref="J1720:K1722 H1721:H1723 O1721:O1723">
    <cfRule type="expression" dxfId="16659" priority="81067">
      <formula>$H1720="ETAPA"</formula>
    </cfRule>
  </conditionalFormatting>
  <conditionalFormatting sqref="J1724:K1724">
    <cfRule type="expression" dxfId="16658" priority="81106">
      <formula>$H1724="ETAPA"</formula>
    </cfRule>
  </conditionalFormatting>
  <conditionalFormatting sqref="J1727:K1727">
    <cfRule type="expression" dxfId="16657" priority="81459">
      <formula>$H1727="ETAPA"</formula>
    </cfRule>
  </conditionalFormatting>
  <conditionalFormatting sqref="J1728:K1728">
    <cfRule type="expression" dxfId="16656" priority="81453">
      <formula>$H1728="ETAPA"</formula>
    </cfRule>
  </conditionalFormatting>
  <conditionalFormatting sqref="J1729:K1730">
    <cfRule type="expression" dxfId="16655" priority="81471">
      <formula>$H1729="ETAPA"</formula>
    </cfRule>
  </conditionalFormatting>
  <conditionalFormatting sqref="J1733:K1735 O1734:O1736 H1734:H1738">
    <cfRule type="expression" dxfId="16654" priority="81391">
      <formula>$H1733="ETAPA"</formula>
    </cfRule>
  </conditionalFormatting>
  <conditionalFormatting sqref="J1739:K1739">
    <cfRule type="expression" dxfId="16653" priority="81783">
      <formula>$H1739="ETAPA"</formula>
    </cfRule>
  </conditionalFormatting>
  <conditionalFormatting sqref="J1740:K1740">
    <cfRule type="expression" dxfId="16652" priority="81777">
      <formula>$H1740="ETAPA"</formula>
    </cfRule>
  </conditionalFormatting>
  <conditionalFormatting sqref="J1745:K1747 H1746:H1748 O1746:O1748">
    <cfRule type="expression" dxfId="16651" priority="81715">
      <formula>$H1745="ETAPA"</formula>
    </cfRule>
  </conditionalFormatting>
  <conditionalFormatting sqref="J1751:K1751">
    <cfRule type="expression" dxfId="16650" priority="82107">
      <formula>$H1751="ETAPA"</formula>
    </cfRule>
  </conditionalFormatting>
  <conditionalFormatting sqref="J1752:K1752">
    <cfRule type="expression" dxfId="16649" priority="82101">
      <formula>$H1752="ETAPA"</formula>
    </cfRule>
  </conditionalFormatting>
  <conditionalFormatting sqref="J1753:K1754">
    <cfRule type="expression" dxfId="16648" priority="82119">
      <formula>$H1753="ETAPA"</formula>
    </cfRule>
  </conditionalFormatting>
  <conditionalFormatting sqref="J1757:K1759 O1758:O1760 H1758:H1767">
    <cfRule type="expression" dxfId="16647" priority="82039">
      <formula>$H1757="ETAPA"</formula>
    </cfRule>
  </conditionalFormatting>
  <conditionalFormatting sqref="J1763:K1763">
    <cfRule type="expression" dxfId="16646" priority="82431">
      <formula>$H1763="ETAPA"</formula>
    </cfRule>
  </conditionalFormatting>
  <conditionalFormatting sqref="J1764:K1764">
    <cfRule type="expression" dxfId="16645" priority="82425">
      <formula>$H1764="ETAPA"</formula>
    </cfRule>
  </conditionalFormatting>
  <conditionalFormatting sqref="J1765:K1766">
    <cfRule type="expression" dxfId="16644" priority="82443">
      <formula>$H1765="ETAPA"</formula>
    </cfRule>
  </conditionalFormatting>
  <conditionalFormatting sqref="J1767:K1767">
    <cfRule type="expression" dxfId="16643" priority="82335">
      <formula>$H1767="ETAPA"</formula>
    </cfRule>
  </conditionalFormatting>
  <conditionalFormatting sqref="J1779:K1780 O1779:O1780 H1779:H1783">
    <cfRule type="expression" dxfId="16642" priority="82363">
      <formula>$H1779="ETAPA"</formula>
    </cfRule>
  </conditionalFormatting>
  <conditionalFormatting sqref="J1787:K1787">
    <cfRule type="expression" dxfId="16641" priority="82755">
      <formula>$H1787="ETAPA"</formula>
    </cfRule>
  </conditionalFormatting>
  <conditionalFormatting sqref="J1788:K1788">
    <cfRule type="expression" dxfId="16640" priority="82749">
      <formula>$H1788="ETAPA"</formula>
    </cfRule>
  </conditionalFormatting>
  <conditionalFormatting sqref="J1789:K1790">
    <cfRule type="expression" dxfId="16639" priority="82767">
      <formula>$H1789="ETAPA"</formula>
    </cfRule>
  </conditionalFormatting>
  <conditionalFormatting sqref="J1791:K1791">
    <cfRule type="expression" dxfId="16638" priority="82659">
      <formula>$H1791="ETAPA"</formula>
    </cfRule>
  </conditionalFormatting>
  <conditionalFormatting sqref="J1810:K1810 H1809">
    <cfRule type="expression" dxfId="16637" priority="82726">
      <formula>$H1809="ETAPA"</formula>
    </cfRule>
  </conditionalFormatting>
  <conditionalFormatting sqref="J1813:K1813">
    <cfRule type="expression" dxfId="16636" priority="83079">
      <formula>$H1813="ETAPA"</formula>
    </cfRule>
  </conditionalFormatting>
  <conditionalFormatting sqref="J1814:K1814">
    <cfRule type="expression" dxfId="16635" priority="83073">
      <formula>$H1814="ETAPA"</formula>
    </cfRule>
  </conditionalFormatting>
  <conditionalFormatting sqref="J1816:K1816">
    <cfRule type="expression" dxfId="16634" priority="82983">
      <formula>$H1816="ETAPA"</formula>
    </cfRule>
  </conditionalFormatting>
  <conditionalFormatting sqref="J1820:K1820">
    <cfRule type="expression" dxfId="16633" priority="83161">
      <formula>$H1820="ETAPA"</formula>
    </cfRule>
  </conditionalFormatting>
  <conditionalFormatting sqref="J1823:K1823">
    <cfRule type="expression" dxfId="16632" priority="83050">
      <formula>$H1823="ETAPA"</formula>
    </cfRule>
  </conditionalFormatting>
  <conditionalFormatting sqref="J1826:K1826">
    <cfRule type="expression" dxfId="16631" priority="83403">
      <formula>$H1826="ETAPA"</formula>
    </cfRule>
  </conditionalFormatting>
  <conditionalFormatting sqref="J1827:K1827">
    <cfRule type="expression" dxfId="16630" priority="83397">
      <formula>$H1827="ETAPA"</formula>
    </cfRule>
  </conditionalFormatting>
  <conditionalFormatting sqref="J1829:K1829">
    <cfRule type="expression" dxfId="16629" priority="83307">
      <formula>$H1829="ETAPA"</formula>
    </cfRule>
  </conditionalFormatting>
  <conditionalFormatting sqref="J1836:K1836">
    <cfRule type="expression" dxfId="16628" priority="83374">
      <formula>$H1836="ETAPA"</formula>
    </cfRule>
  </conditionalFormatting>
  <conditionalFormatting sqref="J1839:K1839">
    <cfRule type="expression" dxfId="16627" priority="111879">
      <formula>$H1839="ETAPA"</formula>
    </cfRule>
  </conditionalFormatting>
  <conditionalFormatting sqref="J1840:K1840">
    <cfRule type="expression" dxfId="16626" priority="111832">
      <formula>$H1840="ETAPA"</formula>
    </cfRule>
  </conditionalFormatting>
  <conditionalFormatting sqref="J1842:K1842">
    <cfRule type="expression" dxfId="16625" priority="104421">
      <formula>$H1842="ETAPA"</formula>
    </cfRule>
  </conditionalFormatting>
  <conditionalFormatting sqref="J1852:K1852">
    <cfRule type="expression" dxfId="16624" priority="111766">
      <formula>$H1852="ETAPA"</formula>
    </cfRule>
  </conditionalFormatting>
  <conditionalFormatting sqref="J1855:K1855">
    <cfRule type="expression" dxfId="16623" priority="79216">
      <formula>$H1855="ETAPA"</formula>
    </cfRule>
  </conditionalFormatting>
  <conditionalFormatting sqref="J1856:K1856">
    <cfRule type="expression" dxfId="16622" priority="79210">
      <formula>$H1856="ETAPA"</formula>
    </cfRule>
  </conditionalFormatting>
  <conditionalFormatting sqref="J1858:K1858">
    <cfRule type="expression" dxfId="16621" priority="79120">
      <formula>$H1858="ETAPA"</formula>
    </cfRule>
  </conditionalFormatting>
  <conditionalFormatting sqref="J1868:K1868 H1867">
    <cfRule type="expression" dxfId="16620" priority="79187">
      <formula>$H1867="ETAPA"</formula>
    </cfRule>
  </conditionalFormatting>
  <conditionalFormatting sqref="J1871:K1871">
    <cfRule type="expression" dxfId="16619" priority="79540">
      <formula>$H1871="ETAPA"</formula>
    </cfRule>
  </conditionalFormatting>
  <conditionalFormatting sqref="J1872:K1872">
    <cfRule type="expression" dxfId="16618" priority="79534">
      <formula>$H1872="ETAPA"</formula>
    </cfRule>
  </conditionalFormatting>
  <conditionalFormatting sqref="J1881:K1881 H1880">
    <cfRule type="expression" dxfId="16617" priority="79511">
      <formula>$H1880="ETAPA"</formula>
    </cfRule>
  </conditionalFormatting>
  <conditionalFormatting sqref="J1884:K1884">
    <cfRule type="expression" dxfId="16616" priority="79864">
      <formula>$H1884="ETAPA"</formula>
    </cfRule>
  </conditionalFormatting>
  <conditionalFormatting sqref="J1885:K1885">
    <cfRule type="expression" dxfId="16615" priority="79858">
      <formula>$H1885="ETAPA"</formula>
    </cfRule>
  </conditionalFormatting>
  <conditionalFormatting sqref="J1891:K1891 J1895:K1896">
    <cfRule type="expression" dxfId="16614" priority="79835">
      <formula>$H1891="ETAPA"</formula>
    </cfRule>
  </conditionalFormatting>
  <conditionalFormatting sqref="J2043:K2043 H2043">
    <cfRule type="expression" dxfId="16613" priority="67268">
      <formula>$H2043="ETAPA"</formula>
    </cfRule>
  </conditionalFormatting>
  <conditionalFormatting sqref="J2047:K2047">
    <cfRule type="expression" dxfId="16612" priority="67155">
      <formula>$H2047="ETAPA"</formula>
    </cfRule>
  </conditionalFormatting>
  <conditionalFormatting sqref="J2058:K2060">
    <cfRule type="expression" dxfId="16611" priority="67184">
      <formula>$H2058="ETAPA"</formula>
    </cfRule>
  </conditionalFormatting>
  <conditionalFormatting sqref="J2092:K2092 O2093">
    <cfRule type="expression" dxfId="16610" priority="68644">
      <formula>$H2092="ETAPA"</formula>
    </cfRule>
  </conditionalFormatting>
  <conditionalFormatting sqref="J2164:K2164 O2162:O2164 H2162:H2164 J2162:L2162 K2163:L2163">
    <cfRule type="expression" dxfId="16609" priority="70788">
      <formula>$H2162="SUBETAPA"</formula>
    </cfRule>
  </conditionalFormatting>
  <conditionalFormatting sqref="J2166:K2166">
    <cfRule type="expression" dxfId="16608" priority="70995">
      <formula>$H2166="ETAPA"</formula>
    </cfRule>
  </conditionalFormatting>
  <conditionalFormatting sqref="J2190:K2190">
    <cfRule type="expression" dxfId="16607" priority="71635">
      <formula>$H2190="ETAPA"</formula>
    </cfRule>
  </conditionalFormatting>
  <conditionalFormatting sqref="J2218:K2219">
    <cfRule type="expression" dxfId="16606" priority="72275">
      <formula>$H2218="ETAPA"</formula>
    </cfRule>
  </conditionalFormatting>
  <conditionalFormatting sqref="J2238:K2239">
    <cfRule type="expression" dxfId="16605" priority="72915">
      <formula>$H2238="ETAPA"</formula>
    </cfRule>
  </conditionalFormatting>
  <conditionalFormatting sqref="J2258:K2259 H2258:H2259">
    <cfRule type="expression" dxfId="16604" priority="73668">
      <formula>$H2258="ETAPA"</formula>
    </cfRule>
  </conditionalFormatting>
  <conditionalFormatting sqref="J2261:K2261">
    <cfRule type="expression" dxfId="16603" priority="73555">
      <formula>$H2261="ETAPA"</formula>
    </cfRule>
  </conditionalFormatting>
  <conditionalFormatting sqref="J2281:K2282 H2281:H2282">
    <cfRule type="expression" dxfId="16602" priority="74308">
      <formula>$H2281="ETAPA"</formula>
    </cfRule>
  </conditionalFormatting>
  <conditionalFormatting sqref="J2285:K2285">
    <cfRule type="expression" dxfId="16601" priority="74195">
      <formula>$H2285="ETAPA"</formula>
    </cfRule>
  </conditionalFormatting>
  <conditionalFormatting sqref="J2299:K2300">
    <cfRule type="expression" dxfId="16600" priority="74737">
      <formula>$H2299="ETAPA"</formula>
    </cfRule>
  </conditionalFormatting>
  <conditionalFormatting sqref="J2306:K2307 H2306:H2307">
    <cfRule type="expression" dxfId="16599" priority="74948">
      <formula>$H2306="ETAPA"</formula>
    </cfRule>
  </conditionalFormatting>
  <conditionalFormatting sqref="J2316:K2318">
    <cfRule type="expression" dxfId="16598" priority="74864">
      <formula>$H2316="ETAPA"</formula>
    </cfRule>
  </conditionalFormatting>
  <conditionalFormatting sqref="J2379:K2379">
    <cfRule type="expression" dxfId="16597" priority="62134">
      <formula>$H2379="SUBETAPA"</formula>
    </cfRule>
    <cfRule type="expression" dxfId="16596" priority="62135">
      <formula>$H2379="CÉLULA CONSTRUTIVA"</formula>
    </cfRule>
  </conditionalFormatting>
  <conditionalFormatting sqref="J2380:K2380">
    <cfRule type="expression" dxfId="16595" priority="7086">
      <formula>$H2380="SUBETAPA"</formula>
    </cfRule>
    <cfRule type="expression" dxfId="16594" priority="7087">
      <formula>$H2380="CÉLULA CONSTRUTIVA"</formula>
    </cfRule>
  </conditionalFormatting>
  <conditionalFormatting sqref="J2382:K2382">
    <cfRule type="expression" dxfId="16593" priority="62124">
      <formula>$H2382="ETAPA"</formula>
    </cfRule>
  </conditionalFormatting>
  <conditionalFormatting sqref="J2404:K2404">
    <cfRule type="expression" dxfId="16592" priority="62373">
      <formula>$H2404="SUBETAPA"</formula>
    </cfRule>
    <cfRule type="expression" dxfId="16591" priority="62374">
      <formula>$H2404="CÉLULA CONSTRUTIVA"</formula>
    </cfRule>
  </conditionalFormatting>
  <conditionalFormatting sqref="J2405:K2405">
    <cfRule type="expression" dxfId="16590" priority="7030">
      <formula>$H2405="SUBETAPA"</formula>
    </cfRule>
    <cfRule type="expression" dxfId="16589" priority="7031">
      <formula>$H2405="CÉLULA CONSTRUTIVA"</formula>
    </cfRule>
  </conditionalFormatting>
  <conditionalFormatting sqref="J2407:K2407">
    <cfRule type="expression" dxfId="16588" priority="62363">
      <formula>$H2407="ETAPA"</formula>
    </cfRule>
  </conditionalFormatting>
  <conditionalFormatting sqref="J2427:K2427">
    <cfRule type="expression" dxfId="16587" priority="62612">
      <formula>$H2427="SUBETAPA"</formula>
    </cfRule>
    <cfRule type="expression" dxfId="16586" priority="62613">
      <formula>$H2427="CÉLULA CONSTRUTIVA"</formula>
    </cfRule>
  </conditionalFormatting>
  <conditionalFormatting sqref="J2428:K2428">
    <cfRule type="expression" dxfId="16585" priority="6974">
      <formula>$H2428="SUBETAPA"</formula>
    </cfRule>
    <cfRule type="expression" dxfId="16584" priority="6975">
      <formula>$H2428="CÉLULA CONSTRUTIVA"</formula>
    </cfRule>
  </conditionalFormatting>
  <conditionalFormatting sqref="J2430:K2430">
    <cfRule type="expression" dxfId="16583" priority="62602">
      <formula>$H2430="ETAPA"</formula>
    </cfRule>
  </conditionalFormatting>
  <conditionalFormatting sqref="J2450:K2450">
    <cfRule type="expression" dxfId="16582" priority="62851">
      <formula>$H2450="SUBETAPA"</formula>
    </cfRule>
    <cfRule type="expression" dxfId="16581" priority="62852">
      <formula>$H2450="CÉLULA CONSTRUTIVA"</formula>
    </cfRule>
  </conditionalFormatting>
  <conditionalFormatting sqref="J2451:K2451">
    <cfRule type="expression" dxfId="16580" priority="6918">
      <formula>$H2451="SUBETAPA"</formula>
    </cfRule>
    <cfRule type="expression" dxfId="16579" priority="6919">
      <formula>$H2451="CÉLULA CONSTRUTIVA"</formula>
    </cfRule>
  </conditionalFormatting>
  <conditionalFormatting sqref="J2453:K2453">
    <cfRule type="expression" dxfId="16578" priority="62841">
      <formula>$H2453="ETAPA"</formula>
    </cfRule>
  </conditionalFormatting>
  <conditionalFormatting sqref="J2474:K2474">
    <cfRule type="expression" dxfId="16577" priority="63090">
      <formula>$H2474="SUBETAPA"</formula>
    </cfRule>
    <cfRule type="expression" dxfId="16576" priority="63091">
      <formula>$H2474="CÉLULA CONSTRUTIVA"</formula>
    </cfRule>
  </conditionalFormatting>
  <conditionalFormatting sqref="J2475:K2475">
    <cfRule type="expression" dxfId="16575" priority="6862">
      <formula>$H2475="SUBETAPA"</formula>
    </cfRule>
    <cfRule type="expression" dxfId="16574" priority="6863">
      <formula>$H2475="CÉLULA CONSTRUTIVA"</formula>
    </cfRule>
  </conditionalFormatting>
  <conditionalFormatting sqref="J2477:K2477">
    <cfRule type="expression" dxfId="16573" priority="63080">
      <formula>$H2477="ETAPA"</formula>
    </cfRule>
  </conditionalFormatting>
  <conditionalFormatting sqref="J2502:K2502">
    <cfRule type="expression" dxfId="16572" priority="63329">
      <formula>$H2502="SUBETAPA"</formula>
    </cfRule>
    <cfRule type="expression" dxfId="16571" priority="63330">
      <formula>$H2502="CÉLULA CONSTRUTIVA"</formula>
    </cfRule>
  </conditionalFormatting>
  <conditionalFormatting sqref="J2503:K2503">
    <cfRule type="expression" dxfId="16570" priority="6806">
      <formula>$H2503="SUBETAPA"</formula>
    </cfRule>
    <cfRule type="expression" dxfId="16569" priority="6807">
      <formula>$H2503="CÉLULA CONSTRUTIVA"</formula>
    </cfRule>
  </conditionalFormatting>
  <conditionalFormatting sqref="J2526:K2526">
    <cfRule type="expression" dxfId="16568" priority="6737">
      <formula>$H2526="SUBETAPA"</formula>
    </cfRule>
    <cfRule type="expression" dxfId="16567" priority="6738">
      <formula>$H2526="CÉLULA CONSTRUTIVA"</formula>
    </cfRule>
  </conditionalFormatting>
  <conditionalFormatting sqref="J2544:K2544">
    <cfRule type="expression" dxfId="16566" priority="6673">
      <formula>$H2544="SUBETAPA"</formula>
    </cfRule>
    <cfRule type="expression" dxfId="16565" priority="6674">
      <formula>$H2544="CÉLULA CONSTRUTIVA"</formula>
    </cfRule>
  </conditionalFormatting>
  <conditionalFormatting sqref="J2560:K2560">
    <cfRule type="expression" dxfId="16564" priority="6615">
      <formula>$H2560="SUBETAPA"</formula>
    </cfRule>
    <cfRule type="expression" dxfId="16563" priority="6616">
      <formula>$H2560="CÉLULA CONSTRUTIVA"</formula>
    </cfRule>
  </conditionalFormatting>
  <conditionalFormatting sqref="J2576:K2576">
    <cfRule type="expression" dxfId="16562" priority="6557">
      <formula>$H2576="SUBETAPA"</formula>
    </cfRule>
    <cfRule type="expression" dxfId="16561" priority="6558">
      <formula>$H2576="CÉLULA CONSTRUTIVA"</formula>
    </cfRule>
  </conditionalFormatting>
  <conditionalFormatting sqref="J2592:K2592">
    <cfRule type="expression" dxfId="16560" priority="6499">
      <formula>$H2592="SUBETAPA"</formula>
    </cfRule>
    <cfRule type="expression" dxfId="16559" priority="6500">
      <formula>$H2592="CÉLULA CONSTRUTIVA"</formula>
    </cfRule>
  </conditionalFormatting>
  <conditionalFormatting sqref="J2608:K2608">
    <cfRule type="expression" dxfId="16558" priority="6441">
      <formula>$H2608="SUBETAPA"</formula>
    </cfRule>
    <cfRule type="expression" dxfId="16557" priority="6442">
      <formula>$H2608="CÉLULA CONSTRUTIVA"</formula>
    </cfRule>
  </conditionalFormatting>
  <conditionalFormatting sqref="J2623:K2623">
    <cfRule type="expression" dxfId="16556" priority="6383">
      <formula>$H2623="SUBETAPA"</formula>
    </cfRule>
    <cfRule type="expression" dxfId="16555" priority="6384">
      <formula>$H2623="CÉLULA CONSTRUTIVA"</formula>
    </cfRule>
  </conditionalFormatting>
  <conditionalFormatting sqref="J2630:K2630 M2631:M2635 G2635:H2635 J2635:L2635">
    <cfRule type="expression" dxfId="16554" priority="1952">
      <formula>$H2630="CÉLULA CONSTRUTIVA"</formula>
    </cfRule>
  </conditionalFormatting>
  <conditionalFormatting sqref="J2630:K2630">
    <cfRule type="expression" dxfId="16553" priority="1948">
      <formula>$H2630="SUBETAPA"</formula>
    </cfRule>
  </conditionalFormatting>
  <conditionalFormatting sqref="J2641:K2641">
    <cfRule type="expression" dxfId="16552" priority="2016">
      <formula>$H2641="SUBETAPA"</formula>
    </cfRule>
    <cfRule type="expression" dxfId="16551" priority="2020">
      <formula>$H2641="CÉLULA CONSTRUTIVA"</formula>
    </cfRule>
  </conditionalFormatting>
  <conditionalFormatting sqref="J2651:K2651">
    <cfRule type="expression" dxfId="16550" priority="2084">
      <formula>$H2651="SUBETAPA"</formula>
    </cfRule>
    <cfRule type="expression" dxfId="16549" priority="2088">
      <formula>$H2651="CÉLULA CONSTRUTIVA"</formula>
    </cfRule>
  </conditionalFormatting>
  <conditionalFormatting sqref="J2660:K2660">
    <cfRule type="expression" dxfId="16548" priority="2152">
      <formula>$H2660="SUBETAPA"</formula>
    </cfRule>
    <cfRule type="expression" dxfId="16547" priority="2156">
      <formula>$H2660="CÉLULA CONSTRUTIVA"</formula>
    </cfRule>
  </conditionalFormatting>
  <conditionalFormatting sqref="J2667:K2667">
    <cfRule type="expression" dxfId="16546" priority="2220">
      <formula>$H2667="SUBETAPA"</formula>
    </cfRule>
    <cfRule type="expression" dxfId="16545" priority="2224">
      <formula>$H2667="CÉLULA CONSTRUTIVA"</formula>
    </cfRule>
  </conditionalFormatting>
  <conditionalFormatting sqref="J2674:K2674">
    <cfRule type="expression" dxfId="16544" priority="2288">
      <formula>$H2674="SUBETAPA"</formula>
    </cfRule>
    <cfRule type="expression" dxfId="16543" priority="2292">
      <formula>$H2674="CÉLULA CONSTRUTIVA"</formula>
    </cfRule>
  </conditionalFormatting>
  <conditionalFormatting sqref="J2682:K2682">
    <cfRule type="expression" dxfId="16542" priority="2356">
      <formula>$H2682="SUBETAPA"</formula>
    </cfRule>
    <cfRule type="expression" dxfId="16541" priority="2360">
      <formula>$H2682="CÉLULA CONSTRUTIVA"</formula>
    </cfRule>
  </conditionalFormatting>
  <conditionalFormatting sqref="J2692:K2692">
    <cfRule type="expression" dxfId="16540" priority="2424">
      <formula>$H2692="SUBETAPA"</formula>
    </cfRule>
    <cfRule type="expression" dxfId="16539" priority="2428">
      <formula>$H2692="CÉLULA CONSTRUTIVA"</formula>
    </cfRule>
  </conditionalFormatting>
  <conditionalFormatting sqref="J2700:K2700">
    <cfRule type="expression" dxfId="16538" priority="2492">
      <formula>$H2700="SUBETAPA"</formula>
    </cfRule>
    <cfRule type="expression" dxfId="16537" priority="2496">
      <formula>$H2700="CÉLULA CONSTRUTIVA"</formula>
    </cfRule>
  </conditionalFormatting>
  <conditionalFormatting sqref="J2711:K2711">
    <cfRule type="expression" dxfId="16536" priority="2560">
      <formula>$H2711="SUBETAPA"</formula>
    </cfRule>
    <cfRule type="expression" dxfId="16535" priority="2564">
      <formula>$H2711="CÉLULA CONSTRUTIVA"</formula>
    </cfRule>
  </conditionalFormatting>
  <conditionalFormatting sqref="J2722:K2722">
    <cfRule type="expression" dxfId="16534" priority="1803">
      <formula>$H2722="SUBETAPA"</formula>
    </cfRule>
    <cfRule type="expression" dxfId="16533" priority="1807">
      <formula>$H2722="CÉLULA CONSTRUTIVA"</formula>
    </cfRule>
  </conditionalFormatting>
  <conditionalFormatting sqref="J2733:K2733">
    <cfRule type="expression" dxfId="16532" priority="1876">
      <formula>$H2733="SUBETAPA"</formula>
    </cfRule>
    <cfRule type="expression" dxfId="16531" priority="1884">
      <formula>$H2733="CÉLULA CONSTRUTIVA"</formula>
    </cfRule>
  </conditionalFormatting>
  <conditionalFormatting sqref="J2744:K2744">
    <cfRule type="expression" dxfId="16530" priority="2628">
      <formula>$H2744="SUBETAPA"</formula>
    </cfRule>
    <cfRule type="expression" dxfId="16529" priority="2632">
      <formula>$H2744="CÉLULA CONSTRUTIVA"</formula>
    </cfRule>
  </conditionalFormatting>
  <conditionalFormatting sqref="J2829:K2829">
    <cfRule type="expression" dxfId="16528" priority="431">
      <formula>$H2829="ETAPA"</formula>
    </cfRule>
  </conditionalFormatting>
  <conditionalFormatting sqref="J2838:K2838">
    <cfRule type="expression" dxfId="16527" priority="496">
      <formula>$H2838="ETAPA"</formula>
    </cfRule>
  </conditionalFormatting>
  <conditionalFormatting sqref="J2847:K2847">
    <cfRule type="expression" dxfId="16526" priority="561">
      <formula>$H2847="ETAPA"</formula>
    </cfRule>
  </conditionalFormatting>
  <conditionalFormatting sqref="J2856:K2856">
    <cfRule type="expression" dxfId="16525" priority="626">
      <formula>$H2856="ETAPA"</formula>
    </cfRule>
  </conditionalFormatting>
  <conditionalFormatting sqref="J2865:K2865">
    <cfRule type="expression" dxfId="16524" priority="691">
      <formula>$H2865="ETAPA"</formula>
    </cfRule>
  </conditionalFormatting>
  <conditionalFormatting sqref="J2874:K2874">
    <cfRule type="expression" dxfId="16523" priority="756">
      <formula>$H2874="ETAPA"</formula>
    </cfRule>
  </conditionalFormatting>
  <conditionalFormatting sqref="J2885:K2885">
    <cfRule type="expression" dxfId="16522" priority="821">
      <formula>$H2885="ETAPA"</formula>
    </cfRule>
  </conditionalFormatting>
  <conditionalFormatting sqref="J2905:K2905">
    <cfRule type="expression" dxfId="16521" priority="951">
      <formula>$H2905="ETAPA"</formula>
    </cfRule>
  </conditionalFormatting>
  <conditionalFormatting sqref="J2914:K2914">
    <cfRule type="expression" dxfId="16520" priority="1016">
      <formula>$H2914="ETAPA"</formula>
    </cfRule>
  </conditionalFormatting>
  <conditionalFormatting sqref="J2923:K2923">
    <cfRule type="expression" dxfId="16519" priority="1081">
      <formula>$H2923="ETAPA"</formula>
    </cfRule>
  </conditionalFormatting>
  <conditionalFormatting sqref="J2932:K2932">
    <cfRule type="expression" dxfId="16518" priority="1146">
      <formula>$H2932="ETAPA"</formula>
    </cfRule>
  </conditionalFormatting>
  <conditionalFormatting sqref="J387:L387 J388:K390 J395:L395">
    <cfRule type="expression" dxfId="16517" priority="99336">
      <formula>$H387="CÉLULA CONSTRUTIVA"</formula>
    </cfRule>
  </conditionalFormatting>
  <conditionalFormatting sqref="J404:L404 J405:K407 J412:L412">
    <cfRule type="expression" dxfId="16516" priority="99431">
      <formula>$H404="CÉLULA CONSTRUTIVA"</formula>
    </cfRule>
  </conditionalFormatting>
  <conditionalFormatting sqref="J421:L421 J422:K424 J428:L428">
    <cfRule type="expression" dxfId="16515" priority="99526">
      <formula>$H421="CÉLULA CONSTRUTIVA"</formula>
    </cfRule>
  </conditionalFormatting>
  <conditionalFormatting sqref="J437:L437 J438:K440 J444:L444">
    <cfRule type="expression" dxfId="16514" priority="99621">
      <formula>$H437="CÉLULA CONSTRUTIVA"</formula>
    </cfRule>
  </conditionalFormatting>
  <conditionalFormatting sqref="J453:L453 J454:K456 J461:L461">
    <cfRule type="expression" dxfId="16513" priority="99716">
      <formula>$H453="CÉLULA CONSTRUTIVA"</formula>
    </cfRule>
  </conditionalFormatting>
  <conditionalFormatting sqref="J470:L470 J471:K473 J478:L478">
    <cfRule type="expression" dxfId="16512" priority="99811">
      <formula>$H470="CÉLULA CONSTRUTIVA"</formula>
    </cfRule>
  </conditionalFormatting>
  <conditionalFormatting sqref="J487:L487 J488:K490 J495:L495">
    <cfRule type="expression" dxfId="16511" priority="99906">
      <formula>$H487="CÉLULA CONSTRUTIVA"</formula>
    </cfRule>
  </conditionalFormatting>
  <conditionalFormatting sqref="J504:L504 J513:L513 J505:K508">
    <cfRule type="expression" dxfId="16510" priority="100000">
      <formula>$H504="SUBETAPA"</formula>
    </cfRule>
    <cfRule type="expression" dxfId="16509" priority="100001">
      <formula>$H504="CÉLULA CONSTRUTIVA"</formula>
    </cfRule>
  </conditionalFormatting>
  <conditionalFormatting sqref="J522:L522 J523:K525 J531:L531">
    <cfRule type="expression" dxfId="16508" priority="100096">
      <formula>$H522="CÉLULA CONSTRUTIVA"</formula>
    </cfRule>
  </conditionalFormatting>
  <conditionalFormatting sqref="J540:L540 J541:K543 J549:L549">
    <cfRule type="expression" dxfId="16507" priority="100191">
      <formula>$H540="CÉLULA CONSTRUTIVA"</formula>
    </cfRule>
  </conditionalFormatting>
  <conditionalFormatting sqref="J558:L558 J559:K561 J567:L567">
    <cfRule type="expression" dxfId="16506" priority="100286">
      <formula>$H558="CÉLULA CONSTRUTIVA"</formula>
    </cfRule>
  </conditionalFormatting>
  <conditionalFormatting sqref="J576:L576 J577:K579 J583:L583">
    <cfRule type="expression" dxfId="16505" priority="100381">
      <formula>$H576="CÉLULA CONSTRUTIVA"</formula>
    </cfRule>
  </conditionalFormatting>
  <conditionalFormatting sqref="J593:L593 J594:K596 J602:L602">
    <cfRule type="expression" dxfId="16504" priority="100476">
      <formula>$H593="CÉLULA CONSTRUTIVA"</formula>
    </cfRule>
  </conditionalFormatting>
  <conditionalFormatting sqref="J610:L610 J611:K613 J616:L616">
    <cfRule type="expression" dxfId="16503" priority="100571">
      <formula>$H610="CÉLULA CONSTRUTIVA"</formula>
    </cfRule>
  </conditionalFormatting>
  <conditionalFormatting sqref="J1427:L1427">
    <cfRule type="expression" dxfId="16502" priority="91772">
      <formula>$H1427="ETAPA"</formula>
    </cfRule>
  </conditionalFormatting>
  <conditionalFormatting sqref="J1573:L1574">
    <cfRule type="expression" dxfId="16501" priority="90317">
      <formula>$H1573="ETAPA"</formula>
    </cfRule>
  </conditionalFormatting>
  <conditionalFormatting sqref="J1668:L1669">
    <cfRule type="expression" dxfId="16500" priority="97588">
      <formula>$H1668="ETAPA"</formula>
    </cfRule>
  </conditionalFormatting>
  <conditionalFormatting sqref="J1674:L1675 L1676:L1680 J1681:L1681">
    <cfRule type="expression" dxfId="16499" priority="80570">
      <formula>$H1674="ETAPA"</formula>
    </cfRule>
  </conditionalFormatting>
  <conditionalFormatting sqref="J1683:L1683 H1683:H1684 O1683:O1684 J1684">
    <cfRule type="expression" dxfId="16498" priority="80356">
      <formula>$H1683="ETAPA"</formula>
    </cfRule>
  </conditionalFormatting>
  <conditionalFormatting sqref="J1694:L1695">
    <cfRule type="expression" dxfId="16497" priority="80894">
      <formula>$H1694="ETAPA"</formula>
    </cfRule>
  </conditionalFormatting>
  <conditionalFormatting sqref="J1710:L1711">
    <cfRule type="expression" dxfId="16496" priority="81218">
      <formula>$H1710="ETAPA"</formula>
    </cfRule>
  </conditionalFormatting>
  <conditionalFormatting sqref="J1725:L1726">
    <cfRule type="expression" dxfId="16495" priority="81542">
      <formula>$H1725="ETAPA"</formula>
    </cfRule>
  </conditionalFormatting>
  <conditionalFormatting sqref="J1737:L1738">
    <cfRule type="expression" dxfId="16494" priority="81866">
      <formula>$H1737="ETAPA"</formula>
    </cfRule>
  </conditionalFormatting>
  <conditionalFormatting sqref="J1743:L1743 H1743:H1744 J1744">
    <cfRule type="expression" dxfId="16493" priority="81652">
      <formula>$H1743="ETAPA"</formula>
    </cfRule>
  </conditionalFormatting>
  <conditionalFormatting sqref="J1749:L1750">
    <cfRule type="expression" dxfId="16492" priority="82190">
      <formula>$H1749="ETAPA"</formula>
    </cfRule>
  </conditionalFormatting>
  <conditionalFormatting sqref="J1761:L1762 L1763:L1767 L1776:L1780">
    <cfRule type="expression" dxfId="16491" priority="82514">
      <formula>$H1761="ETAPA"</formula>
    </cfRule>
  </conditionalFormatting>
  <conditionalFormatting sqref="J1771:L1771 H1771:H1772 J1772">
    <cfRule type="expression" dxfId="16490" priority="82300">
      <formula>$H1771="ETAPA"</formula>
    </cfRule>
  </conditionalFormatting>
  <conditionalFormatting sqref="J1773:L1773 H1773:H1774 J1774 O1774:O1778 J1778:K1778 H1784:H1791 L1774">
    <cfRule type="expression" dxfId="16489" priority="82513">
      <formula>$H1773="ETAPA"</formula>
    </cfRule>
  </conditionalFormatting>
  <conditionalFormatting sqref="J1781:L1783 J1784:K1784">
    <cfRule type="expression" dxfId="16488" priority="82402">
      <formula>$H1781="ETAPA"</formula>
    </cfRule>
  </conditionalFormatting>
  <conditionalFormatting sqref="J1785:L1786 L1787:L1791 H1798 J1798 L1798 L1803:L1807">
    <cfRule type="expression" dxfId="16487" priority="82838">
      <formula>$H1785="ETAPA"</formula>
    </cfRule>
  </conditionalFormatting>
  <conditionalFormatting sqref="J1793:L1793 H1793:H1794 J1794">
    <cfRule type="expression" dxfId="16486" priority="82624">
      <formula>$H1793="ETAPA"</formula>
    </cfRule>
  </conditionalFormatting>
  <conditionalFormatting sqref="J1795:L1795 H1795:H1796 J1796 O1796 J1805:K1805 H1810:H1812 L1796">
    <cfRule type="expression" dxfId="16485" priority="82837">
      <formula>$H1795="ETAPA"</formula>
    </cfRule>
  </conditionalFormatting>
  <conditionalFormatting sqref="J1811:L1812">
    <cfRule type="expression" dxfId="16484" priority="83162">
      <formula>$H1811="ETAPA"</formula>
    </cfRule>
  </conditionalFormatting>
  <conditionalFormatting sqref="J1824:L1825">
    <cfRule type="expression" dxfId="16483" priority="83486">
      <formula>$H1824="ETAPA"</formula>
    </cfRule>
  </conditionalFormatting>
  <conditionalFormatting sqref="J1844:L1844">
    <cfRule type="expression" dxfId="16482" priority="83594">
      <formula>$H1844="CÉLULA CONSTRUTIVA"</formula>
    </cfRule>
    <cfRule type="expression" dxfId="16481" priority="83595">
      <formula>$H1844="SUBETAPA"</formula>
    </cfRule>
    <cfRule type="expression" dxfId="16480" priority="83596">
      <formula>$H1844="ETAPA"</formula>
    </cfRule>
  </conditionalFormatting>
  <conditionalFormatting sqref="J1860:L1860">
    <cfRule type="expression" dxfId="16479" priority="79083">
      <formula>$H1860="CÉLULA CONSTRUTIVA"</formula>
    </cfRule>
    <cfRule type="expression" dxfId="16478" priority="79084">
      <formula>$H1860="SUBETAPA"</formula>
    </cfRule>
    <cfRule type="expression" dxfId="16477" priority="79085">
      <formula>$H1860="ETAPA"</formula>
    </cfRule>
  </conditionalFormatting>
  <conditionalFormatting sqref="J1869:L1870">
    <cfRule type="expression" dxfId="16476" priority="79623">
      <formula>$H1869="ETAPA"</formula>
    </cfRule>
  </conditionalFormatting>
  <conditionalFormatting sqref="J1874:L1874">
    <cfRule type="expression" dxfId="16475" priority="79407">
      <formula>$H1874="CÉLULA CONSTRUTIVA"</formula>
    </cfRule>
    <cfRule type="expression" dxfId="16474" priority="79408">
      <formula>$H1874="SUBETAPA"</formula>
    </cfRule>
    <cfRule type="expression" dxfId="16473" priority="79409">
      <formula>$H1874="ETAPA"</formula>
    </cfRule>
  </conditionalFormatting>
  <conditionalFormatting sqref="J1882:L1883">
    <cfRule type="expression" dxfId="16472" priority="79947">
      <formula>$H1882="ETAPA"</formula>
    </cfRule>
  </conditionalFormatting>
  <conditionalFormatting sqref="J1899:L1899">
    <cfRule type="expression" dxfId="16471" priority="76084">
      <formula>$H1899="SUBETAPA"</formula>
    </cfRule>
  </conditionalFormatting>
  <conditionalFormatting sqref="J1910:L1910">
    <cfRule type="expression" dxfId="16470" priority="76009">
      <formula>$H1910="SUBETAPA"</formula>
    </cfRule>
  </conditionalFormatting>
  <conditionalFormatting sqref="J1913:L1913">
    <cfRule type="expression" dxfId="16469" priority="76270">
      <formula>$H1913="SUBETAPA"</formula>
    </cfRule>
  </conditionalFormatting>
  <conditionalFormatting sqref="J1923:L1923">
    <cfRule type="expression" dxfId="16468" priority="76195">
      <formula>$H1923="SUBETAPA"</formula>
    </cfRule>
  </conditionalFormatting>
  <conditionalFormatting sqref="J1926:L1926">
    <cfRule type="expression" dxfId="16467" priority="76456">
      <formula>$H1926="SUBETAPA"</formula>
    </cfRule>
  </conditionalFormatting>
  <conditionalFormatting sqref="J1931:L1931">
    <cfRule type="expression" dxfId="16466" priority="76381">
      <formula>$H1931="SUBETAPA"</formula>
    </cfRule>
  </conditionalFormatting>
  <conditionalFormatting sqref="J1934:L1934">
    <cfRule type="expression" dxfId="16465" priority="76642">
      <formula>$H1934="SUBETAPA"</formula>
    </cfRule>
  </conditionalFormatting>
  <conditionalFormatting sqref="J1936:L1936">
    <cfRule type="expression" dxfId="16464" priority="76567">
      <formula>$H1936="SUBETAPA"</formula>
    </cfRule>
  </conditionalFormatting>
  <conditionalFormatting sqref="J1939:L1939">
    <cfRule type="expression" dxfId="16463" priority="76828">
      <formula>$H1939="SUBETAPA"</formula>
    </cfRule>
  </conditionalFormatting>
  <conditionalFormatting sqref="J1944:L1944">
    <cfRule type="expression" dxfId="16462" priority="76753">
      <formula>$H1944="SUBETAPA"</formula>
    </cfRule>
  </conditionalFormatting>
  <conditionalFormatting sqref="J1947:L1947">
    <cfRule type="expression" dxfId="16461" priority="77014">
      <formula>$H1947="SUBETAPA"</formula>
    </cfRule>
  </conditionalFormatting>
  <conditionalFormatting sqref="J1953:L1953">
    <cfRule type="expression" dxfId="16460" priority="76939">
      <formula>$H1953="SUBETAPA"</formula>
    </cfRule>
  </conditionalFormatting>
  <conditionalFormatting sqref="J1956:L1956">
    <cfRule type="expression" dxfId="16459" priority="77200">
      <formula>$H1956="SUBETAPA"</formula>
    </cfRule>
  </conditionalFormatting>
  <conditionalFormatting sqref="J1969:L1969">
    <cfRule type="expression" dxfId="16458" priority="77125">
      <formula>$H1969="SUBETAPA"</formula>
    </cfRule>
  </conditionalFormatting>
  <conditionalFormatting sqref="J2013:L2013">
    <cfRule type="expression" dxfId="16457" priority="78316">
      <formula>$H2013="SUBETAPA"</formula>
    </cfRule>
  </conditionalFormatting>
  <conditionalFormatting sqref="J2021:L2021">
    <cfRule type="expression" dxfId="16456" priority="78241">
      <formula>$H2021="SUBETAPA"</formula>
    </cfRule>
  </conditionalFormatting>
  <conditionalFormatting sqref="J2024:L2024">
    <cfRule type="expression" dxfId="16455" priority="78502">
      <formula>$H2024="SUBETAPA"</formula>
    </cfRule>
  </conditionalFormatting>
  <conditionalFormatting sqref="J2029:L2029">
    <cfRule type="expression" dxfId="16454" priority="78427">
      <formula>$H2029="SUBETAPA"</formula>
    </cfRule>
  </conditionalFormatting>
  <conditionalFormatting sqref="J2035:L2035 H2038:H2039 O2038:O2040 J2038:L2038 K2039:L2039">
    <cfRule type="expression" dxfId="16453" priority="67104">
      <formula>$H2035="CÉLULA CONSTRUTIVA"</formula>
    </cfRule>
  </conditionalFormatting>
  <conditionalFormatting sqref="J2094:L2094">
    <cfRule type="expression" dxfId="16452" priority="68641">
      <formula>$H2094="CÉLULA CONSTRUTIVA"</formula>
    </cfRule>
  </conditionalFormatting>
  <conditionalFormatting sqref="J2110:L2110">
    <cfRule type="expression" dxfId="16451" priority="69281">
      <formula>$H2110="CÉLULA CONSTRUTIVA"</formula>
    </cfRule>
  </conditionalFormatting>
  <conditionalFormatting sqref="J2127:L2127">
    <cfRule type="expression" dxfId="16450" priority="69921">
      <formula>$H2127="CÉLULA CONSTRUTIVA"</formula>
    </cfRule>
  </conditionalFormatting>
  <conditionalFormatting sqref="J2145:L2145">
    <cfRule type="expression" dxfId="16449" priority="70561">
      <formula>$H2145="CÉLULA CONSTRUTIVA"</formula>
    </cfRule>
  </conditionalFormatting>
  <conditionalFormatting sqref="J2165:L2165 H2152:H2153 J2152:L2153 J2160:K2160 O2168 H2172 J2172:L2172">
    <cfRule type="expression" dxfId="16448" priority="71204">
      <formula>$H2152="ETAPA"</formula>
    </cfRule>
  </conditionalFormatting>
  <conditionalFormatting sqref="J2178:L2182 H2180:H2182">
    <cfRule type="expression" dxfId="16447" priority="71085">
      <formula>$H2178="ETAPA"</formula>
    </cfRule>
  </conditionalFormatting>
  <conditionalFormatting sqref="J2220:L2220">
    <cfRule type="expression" dxfId="16446" priority="71972">
      <formula>$H2220="CÉLULA CONSTRUTIVA"</formula>
    </cfRule>
    <cfRule type="expression" dxfId="16445" priority="71976">
      <formula>$H2220="SUBETAPA"</formula>
    </cfRule>
  </conditionalFormatting>
  <conditionalFormatting sqref="J2240:L2240">
    <cfRule type="expression" dxfId="16444" priority="72612">
      <formula>$H2240="CÉLULA CONSTRUTIVA"</formula>
    </cfRule>
    <cfRule type="expression" dxfId="16443" priority="72616">
      <formula>$H2240="SUBETAPA"</formula>
    </cfRule>
  </conditionalFormatting>
  <conditionalFormatting sqref="J2378:L2379 M2369 G2370:H2370 G2378:H2378">
    <cfRule type="expression" dxfId="16442" priority="62207">
      <formula>$H2369="ETAPA"</formula>
    </cfRule>
  </conditionalFormatting>
  <conditionalFormatting sqref="J2403:L2404 M2396 G2397:H2397 G2403:H2403">
    <cfRule type="expression" dxfId="16441" priority="62446">
      <formula>$H2396="ETAPA"</formula>
    </cfRule>
  </conditionalFormatting>
  <conditionalFormatting sqref="J2426:L2427 M2419 G2420:H2420 G2426:H2426">
    <cfRule type="expression" dxfId="16440" priority="62685">
      <formula>$H2419="ETAPA"</formula>
    </cfRule>
  </conditionalFormatting>
  <conditionalFormatting sqref="J2449:L2450 M2442 G2443:H2443 G2449:H2449">
    <cfRule type="expression" dxfId="16439" priority="62924">
      <formula>$H2442="ETAPA"</formula>
    </cfRule>
  </conditionalFormatting>
  <conditionalFormatting sqref="J2473:L2474 M2466 G2467:H2467 G2473:H2473">
    <cfRule type="expression" dxfId="16438" priority="63163">
      <formula>$H2466="ETAPA"</formula>
    </cfRule>
  </conditionalFormatting>
  <conditionalFormatting sqref="J2501:L2502 M2492 G2493:H2493 G2501:H2501">
    <cfRule type="expression" dxfId="16437" priority="63402">
      <formula>$H2492="ETAPA"</formula>
    </cfRule>
  </conditionalFormatting>
  <conditionalFormatting sqref="J2504:L2506">
    <cfRule type="expression" dxfId="16436" priority="63319">
      <formula>$H2504="ETAPA"</formula>
    </cfRule>
  </conditionalFormatting>
  <conditionalFormatting sqref="J2782:L2784 H2783">
    <cfRule type="expression" dxfId="16435" priority="1515">
      <formula>$H2782="ETAPA"</formula>
    </cfRule>
  </conditionalFormatting>
  <conditionalFormatting sqref="J2791:L2793 H2792">
    <cfRule type="expression" dxfId="16434" priority="1557">
      <formula>$H2791="ETAPA"</formula>
    </cfRule>
  </conditionalFormatting>
  <conditionalFormatting sqref="J2800:L2801 H2801 J2802:K2802">
    <cfRule type="expression" dxfId="16433" priority="1599">
      <formula>$H2800="ETAPA"</formula>
    </cfRule>
  </conditionalFormatting>
  <conditionalFormatting sqref="J2809:L2810 H2810 J2811:K2811">
    <cfRule type="expression" dxfId="16432" priority="1641">
      <formula>$H2809="ETAPA"</formula>
    </cfRule>
  </conditionalFormatting>
  <conditionalFormatting sqref="J2820:L2820 J2821:K2821">
    <cfRule type="expression" dxfId="16431" priority="433">
      <formula>$H2820="ETAPA"</formula>
    </cfRule>
  </conditionalFormatting>
  <conditionalFormatting sqref="J2822:L2823 O2822:O2823 G2824:M2825">
    <cfRule type="expression" dxfId="16430" priority="437">
      <formula>$H2822="ETAPA"</formula>
    </cfRule>
  </conditionalFormatting>
  <conditionalFormatting sqref="J2823:L2823 L2820 O2822:O2823 G2827:J2827 L2827:M2827 G2824:M2826">
    <cfRule type="expression" dxfId="16429" priority="451">
      <formula>$H2820="CÉLULA CONSTRUTIVA"</formula>
    </cfRule>
  </conditionalFormatting>
  <conditionalFormatting sqref="J2823:L2823 L2820 O2822:O2823 L2826:M2827 G2824:M2825">
    <cfRule type="expression" dxfId="16428" priority="452">
      <formula>$H2820="SUBETAPA"</formula>
    </cfRule>
  </conditionalFormatting>
  <conditionalFormatting sqref="J2831:L2831 J2832:K2832">
    <cfRule type="expression" dxfId="16427" priority="498">
      <formula>$H2831="ETAPA"</formula>
    </cfRule>
  </conditionalFormatting>
  <conditionalFormatting sqref="J2833:L2834 O2833:O2834 G2835:M2836">
    <cfRule type="expression" dxfId="16426" priority="502">
      <formula>$H2833="ETAPA"</formula>
    </cfRule>
  </conditionalFormatting>
  <conditionalFormatting sqref="J2834:L2834 L2831 O2833:O2834 G2835:M2836">
    <cfRule type="expression" dxfId="16425" priority="517">
      <formula>$H2831="SUBETAPA"</formula>
    </cfRule>
  </conditionalFormatting>
  <conditionalFormatting sqref="J2834:L2834 L2831 O2833:O2834">
    <cfRule type="expression" dxfId="16424" priority="516">
      <formula>$H2831="CÉLULA CONSTRUTIVA"</formula>
    </cfRule>
  </conditionalFormatting>
  <conditionalFormatting sqref="J2840:L2840 J2841:K2841">
    <cfRule type="expression" dxfId="16423" priority="563">
      <formula>$H2840="ETAPA"</formula>
    </cfRule>
  </conditionalFormatting>
  <conditionalFormatting sqref="J2842:L2843 O2842:O2843 G2844:M2845">
    <cfRule type="expression" dxfId="16422" priority="567">
      <formula>$H2842="ETAPA"</formula>
    </cfRule>
  </conditionalFormatting>
  <conditionalFormatting sqref="J2843:L2843 L2840 O2842:O2843 G2844:M2845">
    <cfRule type="expression" dxfId="16421" priority="582">
      <formula>$H2840="SUBETAPA"</formula>
    </cfRule>
  </conditionalFormatting>
  <conditionalFormatting sqref="J2843:L2843 L2840 O2842:O2843">
    <cfRule type="expression" dxfId="16420" priority="581">
      <formula>$H2840="CÉLULA CONSTRUTIVA"</formula>
    </cfRule>
  </conditionalFormatting>
  <conditionalFormatting sqref="J2849:L2849 J2850:K2850">
    <cfRule type="expression" dxfId="16419" priority="628">
      <formula>$H2849="ETAPA"</formula>
    </cfRule>
  </conditionalFormatting>
  <conditionalFormatting sqref="J2851:L2852 O2851:O2852 G2853:M2854">
    <cfRule type="expression" dxfId="16418" priority="632">
      <formula>$H2851="ETAPA"</formula>
    </cfRule>
  </conditionalFormatting>
  <conditionalFormatting sqref="J2852:L2852 L2849 O2851:O2852 G2853:M2854">
    <cfRule type="expression" dxfId="16417" priority="647">
      <formula>$H2849="SUBETAPA"</formula>
    </cfRule>
  </conditionalFormatting>
  <conditionalFormatting sqref="J2852:L2852 L2849 O2851:O2852">
    <cfRule type="expression" dxfId="16416" priority="646">
      <formula>$H2849="CÉLULA CONSTRUTIVA"</formula>
    </cfRule>
  </conditionalFormatting>
  <conditionalFormatting sqref="J2858:L2858 J2859:K2859">
    <cfRule type="expression" dxfId="16415" priority="693">
      <formula>$H2858="ETAPA"</formula>
    </cfRule>
  </conditionalFormatting>
  <conditionalFormatting sqref="J2860:L2861 O2860:O2861 G2862:M2863">
    <cfRule type="expression" dxfId="16414" priority="697">
      <formula>$H2860="ETAPA"</formula>
    </cfRule>
  </conditionalFormatting>
  <conditionalFormatting sqref="J2861:L2861 L2858 O2860:O2861 G2862:M2863">
    <cfRule type="expression" dxfId="16413" priority="712">
      <formula>$H2858="SUBETAPA"</formula>
    </cfRule>
  </conditionalFormatting>
  <conditionalFormatting sqref="J2861:L2861 L2858 O2860:O2861">
    <cfRule type="expression" dxfId="16412" priority="711">
      <formula>$H2858="CÉLULA CONSTRUTIVA"</formula>
    </cfRule>
  </conditionalFormatting>
  <conditionalFormatting sqref="J2867:L2867 J2868:K2868">
    <cfRule type="expression" dxfId="16411" priority="758">
      <formula>$H2867="ETAPA"</formula>
    </cfRule>
  </conditionalFormatting>
  <conditionalFormatting sqref="J2869:L2870 O2869:O2870 G2871:M2872">
    <cfRule type="expression" dxfId="16410" priority="762">
      <formula>$H2869="ETAPA"</formula>
    </cfRule>
  </conditionalFormatting>
  <conditionalFormatting sqref="J2870:L2870 L2867 O2869:O2870 G2871:M2872">
    <cfRule type="expression" dxfId="16409" priority="777">
      <formula>$H2867="SUBETAPA"</formula>
    </cfRule>
  </conditionalFormatting>
  <conditionalFormatting sqref="J2870:L2870 L2867 O2869:O2870">
    <cfRule type="expression" dxfId="16408" priority="776">
      <formula>$H2867="CÉLULA CONSTRUTIVA"</formula>
    </cfRule>
  </conditionalFormatting>
  <conditionalFormatting sqref="J2876:L2876 J2877:K2877">
    <cfRule type="expression" dxfId="16407" priority="823">
      <formula>$H2876="ETAPA"</formula>
    </cfRule>
  </conditionalFormatting>
  <conditionalFormatting sqref="J2878:L2879 O2878:O2879 G2880:M2881">
    <cfRule type="expression" dxfId="16406" priority="827">
      <formula>$H2878="ETAPA"</formula>
    </cfRule>
  </conditionalFormatting>
  <conditionalFormatting sqref="J2879:L2879 L2876 O2878:O2879 G2883:J2883 L2883:M2883 G2880:M2882">
    <cfRule type="expression" dxfId="16405" priority="841">
      <formula>$H2876="CÉLULA CONSTRUTIVA"</formula>
    </cfRule>
  </conditionalFormatting>
  <conditionalFormatting sqref="J2879:L2879 L2876 O2878:O2879 L2882:M2883 G2880:M2881">
    <cfRule type="expression" dxfId="16404" priority="842">
      <formula>$H2876="SUBETAPA"</formula>
    </cfRule>
  </conditionalFormatting>
  <conditionalFormatting sqref="J2887:L2887 J2888:K2888">
    <cfRule type="expression" dxfId="16403" priority="888">
      <formula>$H2887="ETAPA"</formula>
    </cfRule>
  </conditionalFormatting>
  <conditionalFormatting sqref="J2889:L2890 O2889:O2890 G2891:M2892">
    <cfRule type="expression" dxfId="16402" priority="892">
      <formula>$H2889="ETAPA"</formula>
    </cfRule>
  </conditionalFormatting>
  <conditionalFormatting sqref="J2890:L2890 L2887 O2889:O2890 G2894:J2894 L2894:M2894 G2891:M2893">
    <cfRule type="expression" dxfId="16401" priority="906">
      <formula>$H2887="CÉLULA CONSTRUTIVA"</formula>
    </cfRule>
  </conditionalFormatting>
  <conditionalFormatting sqref="J2890:L2890 L2887 O2889:O2890 L2893:M2894 G2891:M2892">
    <cfRule type="expression" dxfId="16400" priority="907">
      <formula>$H2887="SUBETAPA"</formula>
    </cfRule>
  </conditionalFormatting>
  <conditionalFormatting sqref="J2896:L2896">
    <cfRule type="expression" dxfId="16399" priority="886">
      <formula>$H2896="ETAPA"</formula>
    </cfRule>
  </conditionalFormatting>
  <conditionalFormatting sqref="J2898:L2898 J2899:K2899">
    <cfRule type="expression" dxfId="16398" priority="953">
      <formula>$H2898="ETAPA"</formula>
    </cfRule>
  </conditionalFormatting>
  <conditionalFormatting sqref="J2900:L2900">
    <cfRule type="expression" dxfId="16397" priority="952">
      <formula>$H2900="ETAPA"</formula>
    </cfRule>
  </conditionalFormatting>
  <conditionalFormatting sqref="J2901:L2901 L2898 G2902:M2903">
    <cfRule type="expression" dxfId="16396" priority="972">
      <formula>$H2898="SUBETAPA"</formula>
    </cfRule>
  </conditionalFormatting>
  <conditionalFormatting sqref="J2901:L2901 L2898">
    <cfRule type="expression" dxfId="16395" priority="971">
      <formula>$H2898="CÉLULA CONSTRUTIVA"</formula>
    </cfRule>
  </conditionalFormatting>
  <conditionalFormatting sqref="J2907:L2907 J2908:K2908">
    <cfRule type="expression" dxfId="16394" priority="1018">
      <formula>$H2907="ETAPA"</formula>
    </cfRule>
  </conditionalFormatting>
  <conditionalFormatting sqref="J2909:L2909">
    <cfRule type="expression" dxfId="16393" priority="1017">
      <formula>$H2909="ETAPA"</formula>
    </cfRule>
  </conditionalFormatting>
  <conditionalFormatting sqref="J2910:L2910 L2907 G2911:M2912">
    <cfRule type="expression" dxfId="16392" priority="1037">
      <formula>$H2907="SUBETAPA"</formula>
    </cfRule>
  </conditionalFormatting>
  <conditionalFormatting sqref="J2910:L2910 L2907">
    <cfRule type="expression" dxfId="16391" priority="1036">
      <formula>$H2907="CÉLULA CONSTRUTIVA"</formula>
    </cfRule>
  </conditionalFormatting>
  <conditionalFormatting sqref="J2916:L2916 J2917:K2917">
    <cfRule type="expression" dxfId="16390" priority="1083">
      <formula>$H2916="ETAPA"</formula>
    </cfRule>
  </conditionalFormatting>
  <conditionalFormatting sqref="J2918:L2918">
    <cfRule type="expression" dxfId="16389" priority="1082">
      <formula>$H2918="ETAPA"</formula>
    </cfRule>
  </conditionalFormatting>
  <conditionalFormatting sqref="J2919:L2919 L2916 G2920:M2921">
    <cfRule type="expression" dxfId="16388" priority="1102">
      <formula>$H2916="SUBETAPA"</formula>
    </cfRule>
  </conditionalFormatting>
  <conditionalFormatting sqref="J2919:L2919 L2916">
    <cfRule type="expression" dxfId="16387" priority="1101">
      <formula>$H2916="CÉLULA CONSTRUTIVA"</formula>
    </cfRule>
  </conditionalFormatting>
  <conditionalFormatting sqref="J2925:L2925 J2926:K2926">
    <cfRule type="expression" dxfId="16386" priority="1148">
      <formula>$H2925="ETAPA"</formula>
    </cfRule>
  </conditionalFormatting>
  <conditionalFormatting sqref="J2927:L2927">
    <cfRule type="expression" dxfId="16385" priority="1147">
      <formula>$H2927="ETAPA"</formula>
    </cfRule>
  </conditionalFormatting>
  <conditionalFormatting sqref="J2928:L2928 L2925 G2929:M2930">
    <cfRule type="expression" dxfId="16384" priority="1167">
      <formula>$H2925="SUBETAPA"</formula>
    </cfRule>
  </conditionalFormatting>
  <conditionalFormatting sqref="J2928:L2928 L2925">
    <cfRule type="expression" dxfId="16383" priority="1166">
      <formula>$H2925="CÉLULA CONSTRUTIVA"</formula>
    </cfRule>
  </conditionalFormatting>
  <conditionalFormatting sqref="J2934:L2934 J2935:K2935">
    <cfRule type="expression" dxfId="16382" priority="1213">
      <formula>$H2934="ETAPA"</formula>
    </cfRule>
  </conditionalFormatting>
  <conditionalFormatting sqref="J2936:L2936">
    <cfRule type="expression" dxfId="16381" priority="1212">
      <formula>$H2936="ETAPA"</formula>
    </cfRule>
  </conditionalFormatting>
  <conditionalFormatting sqref="J2937:L2937 L2934 G2938:M2939 L2940:M2941">
    <cfRule type="expression" dxfId="16380" priority="1232">
      <formula>$H2934="SUBETAPA"</formula>
    </cfRule>
  </conditionalFormatting>
  <conditionalFormatting sqref="J2937:L2937 L2934 G2938:M2940 G2941:J2941 L2941:M2941">
    <cfRule type="expression" dxfId="16379" priority="1231">
      <formula>$H2934="CÉLULA CONSTRUTIVA"</formula>
    </cfRule>
  </conditionalFormatting>
  <conditionalFormatting sqref="J2943:L2943">
    <cfRule type="expression" dxfId="16378" priority="1211">
      <formula>$H2943="ETAPA"</formula>
    </cfRule>
  </conditionalFormatting>
  <conditionalFormatting sqref="J2945:L2945 L2948:L2951 J2946:K2946">
    <cfRule type="expression" dxfId="16377" priority="1278">
      <formula>$H2945="ETAPA"</formula>
    </cfRule>
  </conditionalFormatting>
  <conditionalFormatting sqref="J2947:L2947">
    <cfRule type="expression" dxfId="16376" priority="1277">
      <formula>$H2947="ETAPA"</formula>
    </cfRule>
  </conditionalFormatting>
  <conditionalFormatting sqref="J2953:L2953">
    <cfRule type="expression" dxfId="16375" priority="1276">
      <formula>$H2953="ETAPA"</formula>
    </cfRule>
  </conditionalFormatting>
  <conditionalFormatting sqref="J16:M16">
    <cfRule type="expression" dxfId="16374" priority="4036">
      <formula>$H16="SUBETAPA"</formula>
    </cfRule>
  </conditionalFormatting>
  <conditionalFormatting sqref="J17:M17">
    <cfRule type="expression" dxfId="16373" priority="4038">
      <formula>$H17="CÉLULA CONSTRUTIVA"</formula>
    </cfRule>
    <cfRule type="expression" dxfId="16372" priority="4039">
      <formula>$H17="ETAPA"</formula>
    </cfRule>
  </conditionalFormatting>
  <conditionalFormatting sqref="J1837:M1838">
    <cfRule type="expression" dxfId="16371" priority="116232">
      <formula>$H1837="ETAPA"</formula>
    </cfRule>
  </conditionalFormatting>
  <conditionalFormatting sqref="J1908:M1909">
    <cfRule type="expression" dxfId="16370" priority="75993">
      <formula>$H1908="CÉLULA CONSTRUTIVA"</formula>
    </cfRule>
  </conditionalFormatting>
  <conditionalFormatting sqref="J1910:M1910">
    <cfRule type="expression" dxfId="16369" priority="76008">
      <formula>$H1910="CÉLULA CONSTRUTIVA"</formula>
    </cfRule>
    <cfRule type="expression" dxfId="16368" priority="76010">
      <formula>$H1910="ETAPA"</formula>
    </cfRule>
  </conditionalFormatting>
  <conditionalFormatting sqref="J1923:M1923">
    <cfRule type="expression" dxfId="16367" priority="76194">
      <formula>$H1923="CÉLULA CONSTRUTIVA"</formula>
    </cfRule>
    <cfRule type="expression" dxfId="16366" priority="76196">
      <formula>$H1923="ETAPA"</formula>
    </cfRule>
  </conditionalFormatting>
  <conditionalFormatting sqref="J1931:M1931">
    <cfRule type="expression" dxfId="16365" priority="76380">
      <formula>$H1931="CÉLULA CONSTRUTIVA"</formula>
    </cfRule>
    <cfRule type="expression" dxfId="16364" priority="76382">
      <formula>$H1931="ETAPA"</formula>
    </cfRule>
  </conditionalFormatting>
  <conditionalFormatting sqref="J1936:M1936">
    <cfRule type="expression" dxfId="16363" priority="76566">
      <formula>$H1936="CÉLULA CONSTRUTIVA"</formula>
    </cfRule>
    <cfRule type="expression" dxfId="16362" priority="76568">
      <formula>$H1936="ETAPA"</formula>
    </cfRule>
  </conditionalFormatting>
  <conditionalFormatting sqref="J1944:M1944">
    <cfRule type="expression" dxfId="16361" priority="76752">
      <formula>$H1944="CÉLULA CONSTRUTIVA"</formula>
    </cfRule>
    <cfRule type="expression" dxfId="16360" priority="76754">
      <formula>$H1944="ETAPA"</formula>
    </cfRule>
  </conditionalFormatting>
  <conditionalFormatting sqref="J1953:M1953">
    <cfRule type="expression" dxfId="16359" priority="76938">
      <formula>$H1953="CÉLULA CONSTRUTIVA"</formula>
    </cfRule>
    <cfRule type="expression" dxfId="16358" priority="76940">
      <formula>$H1953="ETAPA"</formula>
    </cfRule>
  </conditionalFormatting>
  <conditionalFormatting sqref="J1969:M1969">
    <cfRule type="expression" dxfId="16357" priority="77124">
      <formula>$H1969="CÉLULA CONSTRUTIVA"</formula>
    </cfRule>
    <cfRule type="expression" dxfId="16356" priority="77126">
      <formula>$H1969="ETAPA"</formula>
    </cfRule>
  </conditionalFormatting>
  <conditionalFormatting sqref="J2021:M2021">
    <cfRule type="expression" dxfId="16355" priority="78240">
      <formula>$H2021="CÉLULA CONSTRUTIVA"</formula>
    </cfRule>
    <cfRule type="expression" dxfId="16354" priority="78242">
      <formula>$H2021="ETAPA"</formula>
    </cfRule>
  </conditionalFormatting>
  <conditionalFormatting sqref="J2029:M2029">
    <cfRule type="expression" dxfId="16353" priority="78426">
      <formula>$H2029="CÉLULA CONSTRUTIVA"</formula>
    </cfRule>
    <cfRule type="expression" dxfId="16352" priority="78428">
      <formula>$H2029="ETAPA"</formula>
    </cfRule>
  </conditionalFormatting>
  <conditionalFormatting sqref="J2358:M2358 J2357 O2358">
    <cfRule type="expression" dxfId="16351" priority="61982">
      <formula>$H2357="CÉLULA CONSTRUTIVA"</formula>
    </cfRule>
  </conditionalFormatting>
  <conditionalFormatting sqref="J2758:M2759 O2759">
    <cfRule type="expression" dxfId="16350" priority="1388">
      <formula>$H2758="ETAPA"</formula>
    </cfRule>
  </conditionalFormatting>
  <conditionalFormatting sqref="J2759:M2759 O2759">
    <cfRule type="expression" dxfId="16349" priority="1394">
      <formula>$H2759="SUBETAPA"</formula>
    </cfRule>
  </conditionalFormatting>
  <conditionalFormatting sqref="J2764:M2765 O2765">
    <cfRule type="expression" dxfId="16348" priority="1430">
      <formula>$H2764="ETAPA"</formula>
    </cfRule>
  </conditionalFormatting>
  <conditionalFormatting sqref="J2765:M2765 O2765">
    <cfRule type="expression" dxfId="16347" priority="1436">
      <formula>$H2765="SUBETAPA"</formula>
    </cfRule>
  </conditionalFormatting>
  <conditionalFormatting sqref="J2770:M2771 O2771">
    <cfRule type="expression" dxfId="16346" priority="1472">
      <formula>$H2770="ETAPA"</formula>
    </cfRule>
  </conditionalFormatting>
  <conditionalFormatting sqref="J2771:M2771 O2771">
    <cfRule type="expression" dxfId="16345" priority="1478">
      <formula>$H2771="SUBETAPA"</formula>
    </cfRule>
  </conditionalFormatting>
  <conditionalFormatting sqref="J2776:M2777 O2777 H2777:H2779 J2778:K2779 M2778:M2779">
    <cfRule type="expression" dxfId="16344" priority="1514">
      <formula>$H2776="ETAPA"</formula>
    </cfRule>
  </conditionalFormatting>
  <conditionalFormatting sqref="J2785:M2786 O2786 H2786:H2788 J2787:K2788 M2787:M2788">
    <cfRule type="expression" dxfId="16343" priority="1556">
      <formula>$H2785="ETAPA"</formula>
    </cfRule>
  </conditionalFormatting>
  <conditionalFormatting sqref="J2794:M2795 O2795 H2795:H2797 J2796:K2797 M2796:M2797">
    <cfRule type="expression" dxfId="16342" priority="1598">
      <formula>$H2794="ETAPA"</formula>
    </cfRule>
  </conditionalFormatting>
  <conditionalFormatting sqref="J2803:M2804 O2804 H2804:H2806 J2805:K2806 M2805:M2806">
    <cfRule type="expression" dxfId="16341" priority="1640">
      <formula>$H2803="ETAPA"</formula>
    </cfRule>
  </conditionalFormatting>
  <conditionalFormatting sqref="J2812:M2813 O2813 H2813:H2815 J2814:K2815 M2814:M2815">
    <cfRule type="expression" dxfId="16340" priority="1682">
      <formula>$H2812="ETAPA"</formula>
    </cfRule>
  </conditionalFormatting>
  <conditionalFormatting sqref="K23 M23">
    <cfRule type="expression" dxfId="16339" priority="46587">
      <formula>$H23="ETAPA"</formula>
    </cfRule>
  </conditionalFormatting>
  <conditionalFormatting sqref="K23">
    <cfRule type="expression" dxfId="16338" priority="46588">
      <formula>$H23="SUBETAPA"</formula>
    </cfRule>
  </conditionalFormatting>
  <conditionalFormatting sqref="K35:K36 O36 L34:L36 G33:N33 O38 K38">
    <cfRule type="expression" dxfId="16337" priority="50593">
      <formula>$H33="CÉLULA CONSTRUTIVA"</formula>
    </cfRule>
  </conditionalFormatting>
  <conditionalFormatting sqref="K37 N37:O37">
    <cfRule type="expression" dxfId="16336" priority="46707">
      <formula>$H37="SUBETAPA"</formula>
    </cfRule>
    <cfRule type="expression" dxfId="16335" priority="46708">
      <formula>$H37="ETAPA"</formula>
    </cfRule>
  </conditionalFormatting>
  <conditionalFormatting sqref="K37 O37">
    <cfRule type="expression" dxfId="16334" priority="46706">
      <formula>$H37="CÉLULA CONSTRUTIVA"</formula>
    </cfRule>
  </conditionalFormatting>
  <conditionalFormatting sqref="K46 N46:O46">
    <cfRule type="expression" dxfId="16333" priority="46781">
      <formula>$H46="ETAPA"</formula>
    </cfRule>
  </conditionalFormatting>
  <conditionalFormatting sqref="K157">
    <cfRule type="expression" dxfId="16332" priority="49723">
      <formula>$H157="CÉLULA CONSTRUTIVA"</formula>
    </cfRule>
    <cfRule type="expression" dxfId="16331" priority="49724">
      <formula>$H157="SUBETAPA"</formula>
    </cfRule>
    <cfRule type="expression" dxfId="16330" priority="49725">
      <formula>$H157="ETAPA"</formula>
    </cfRule>
  </conditionalFormatting>
  <conditionalFormatting sqref="K167">
    <cfRule type="expression" dxfId="16329" priority="49637">
      <formula>$H167="CÉLULA CONSTRUTIVA"</formula>
    </cfRule>
    <cfRule type="expression" dxfId="16328" priority="49638">
      <formula>$H167="SUBETAPA"</formula>
    </cfRule>
    <cfRule type="expression" dxfId="16327" priority="49639">
      <formula>$H167="ETAPA"</formula>
    </cfRule>
  </conditionalFormatting>
  <conditionalFormatting sqref="K185">
    <cfRule type="expression" dxfId="16326" priority="3308">
      <formula>$H185="CÉLULA CONSTRUTIVA"</formula>
    </cfRule>
    <cfRule type="expression" dxfId="16325" priority="3309">
      <formula>$H185="SUBETAPA"</formula>
    </cfRule>
    <cfRule type="expression" dxfId="16324" priority="3310">
      <formula>$H185="ETAPA"</formula>
    </cfRule>
  </conditionalFormatting>
  <conditionalFormatting sqref="K194">
    <cfRule type="expression" dxfId="16323" priority="3274">
      <formula>$H194="CÉLULA CONSTRUTIVA"</formula>
    </cfRule>
    <cfRule type="expression" dxfId="16322" priority="3275">
      <formula>$H194="SUBETAPA"</formula>
    </cfRule>
    <cfRule type="expression" dxfId="16321" priority="3276">
      <formula>$H194="ETAPA"</formula>
    </cfRule>
  </conditionalFormatting>
  <conditionalFormatting sqref="K203">
    <cfRule type="expression" dxfId="16320" priority="3240">
      <formula>$H203="CÉLULA CONSTRUTIVA"</formula>
    </cfRule>
    <cfRule type="expression" dxfId="16319" priority="3241">
      <formula>$H203="SUBETAPA"</formula>
    </cfRule>
    <cfRule type="expression" dxfId="16318" priority="3242">
      <formula>$H203="ETAPA"</formula>
    </cfRule>
  </conditionalFormatting>
  <conditionalFormatting sqref="K206:K211 G210:J211 G204:K204 L206 N204 M206:O211">
    <cfRule type="expression" dxfId="16317" priority="46336">
      <formula>$H204="CÉLULA CONSTRUTIVA"</formula>
    </cfRule>
    <cfRule type="expression" dxfId="16316" priority="46337">
      <formula>$H204="SUBETAPA"</formula>
    </cfRule>
  </conditionalFormatting>
  <conditionalFormatting sqref="K212">
    <cfRule type="expression" dxfId="16315" priority="3206">
      <formula>$H212="CÉLULA CONSTRUTIVA"</formula>
    </cfRule>
    <cfRule type="expression" dxfId="16314" priority="3207">
      <formula>$H212="SUBETAPA"</formula>
    </cfRule>
    <cfRule type="expression" dxfId="16313" priority="3208">
      <formula>$H212="ETAPA"</formula>
    </cfRule>
  </conditionalFormatting>
  <conditionalFormatting sqref="K221">
    <cfRule type="expression" dxfId="16312" priority="3172">
      <formula>$H221="CÉLULA CONSTRUTIVA"</formula>
    </cfRule>
    <cfRule type="expression" dxfId="16311" priority="3173">
      <formula>$H221="SUBETAPA"</formula>
    </cfRule>
    <cfRule type="expression" dxfId="16310" priority="3174">
      <formula>$H221="ETAPA"</formula>
    </cfRule>
  </conditionalFormatting>
  <conditionalFormatting sqref="K349 K351 K353 K355 K357 K361 K363 K365 K367 K369 K371 K373 K375 K377">
    <cfRule type="expression" dxfId="16309" priority="46853">
      <formula>$H349="ETAPA"</formula>
    </cfRule>
  </conditionalFormatting>
  <conditionalFormatting sqref="K359">
    <cfRule type="expression" dxfId="16308" priority="46154">
      <formula>$H359="CÉLULA CONSTRUTIVA"</formula>
    </cfRule>
    <cfRule type="expression" dxfId="16307" priority="46155">
      <formula>$H359="SUBETAPA"</formula>
    </cfRule>
    <cfRule type="expression" dxfId="16306" priority="46156">
      <formula>$H359="ETAPA"</formula>
    </cfRule>
  </conditionalFormatting>
  <conditionalFormatting sqref="K377 K375 K373 K371 K369 K367 K365 K363 K361 K357 K355 K353 K351 K349">
    <cfRule type="expression" dxfId="16305" priority="46851">
      <formula>$H349="CÉLULA CONSTRUTIVA"</formula>
    </cfRule>
    <cfRule type="expression" dxfId="16304" priority="46852">
      <formula>$H349="SUBETAPA"</formula>
    </cfRule>
  </conditionalFormatting>
  <conditionalFormatting sqref="K415">
    <cfRule type="expression" dxfId="16303" priority="6346">
      <formula>$H415="SUBETAPA"</formula>
    </cfRule>
    <cfRule type="expression" dxfId="16302" priority="6347">
      <formula>$H415="CÉLULA CONSTRUTIVA"</formula>
    </cfRule>
    <cfRule type="expression" dxfId="16301" priority="6348">
      <formula>$H415="ETAPA"</formula>
    </cfRule>
  </conditionalFormatting>
  <conditionalFormatting sqref="K1251">
    <cfRule type="expression" dxfId="16300" priority="51507">
      <formula>$H1251="CÉLULA CONSTRUTIVA"</formula>
    </cfRule>
    <cfRule type="expression" dxfId="16299" priority="51508">
      <formula>$H1251="ETAPA"</formula>
    </cfRule>
    <cfRule type="expression" dxfId="16298" priority="51509">
      <formula>$H1251="SUBETAPA"</formula>
    </cfRule>
  </conditionalFormatting>
  <conditionalFormatting sqref="K1658:K1660">
    <cfRule type="expression" dxfId="16297" priority="96813">
      <formula>$H1658="CÉLULA CONSTRUTIVA"</formula>
    </cfRule>
  </conditionalFormatting>
  <conditionalFormatting sqref="K1670:K1672">
    <cfRule type="expression" dxfId="16296" priority="97472">
      <formula>$H1670="CÉLULA CONSTRUTIVA"</formula>
    </cfRule>
  </conditionalFormatting>
  <conditionalFormatting sqref="K1684">
    <cfRule type="expression" dxfId="16295" priority="80335">
      <formula>$H1684="CÉLULA CONSTRUTIVA"</formula>
    </cfRule>
    <cfRule type="expression" dxfId="16294" priority="80337">
      <formula>$H1684="SUBETAPA"</formula>
    </cfRule>
  </conditionalFormatting>
  <conditionalFormatting sqref="K1701">
    <cfRule type="expression" dxfId="16293" priority="80659">
      <formula>$H1701="CÉLULA CONSTRUTIVA"</formula>
    </cfRule>
    <cfRule type="expression" dxfId="16292" priority="80661">
      <formula>$H1701="SUBETAPA"</formula>
    </cfRule>
  </conditionalFormatting>
  <conditionalFormatting sqref="K1717">
    <cfRule type="expression" dxfId="16291" priority="80983">
      <formula>$H1717="CÉLULA CONSTRUTIVA"</formula>
    </cfRule>
    <cfRule type="expression" dxfId="16290" priority="80985">
      <formula>$H1717="SUBETAPA"</formula>
    </cfRule>
  </conditionalFormatting>
  <conditionalFormatting sqref="K1732">
    <cfRule type="expression" dxfId="16289" priority="81307">
      <formula>$H1732="CÉLULA CONSTRUTIVA"</formula>
    </cfRule>
    <cfRule type="expression" dxfId="16288" priority="81309">
      <formula>$H1732="SUBETAPA"</formula>
    </cfRule>
  </conditionalFormatting>
  <conditionalFormatting sqref="K1744">
    <cfRule type="expression" dxfId="16287" priority="81631">
      <formula>$H1744="CÉLULA CONSTRUTIVA"</formula>
    </cfRule>
    <cfRule type="expression" dxfId="16286" priority="81633">
      <formula>$H1744="SUBETAPA"</formula>
    </cfRule>
  </conditionalFormatting>
  <conditionalFormatting sqref="K1756">
    <cfRule type="expression" dxfId="16285" priority="81955">
      <formula>$H1756="CÉLULA CONSTRUTIVA"</formula>
    </cfRule>
    <cfRule type="expression" dxfId="16284" priority="81957">
      <formula>$H1756="SUBETAPA"</formula>
    </cfRule>
  </conditionalFormatting>
  <conditionalFormatting sqref="K1772">
    <cfRule type="expression" dxfId="16283" priority="82279">
      <formula>$H1772="CÉLULA CONSTRUTIVA"</formula>
    </cfRule>
    <cfRule type="expression" dxfId="16282" priority="82281">
      <formula>$H1772="SUBETAPA"</formula>
    </cfRule>
  </conditionalFormatting>
  <conditionalFormatting sqref="K1794">
    <cfRule type="expression" dxfId="16281" priority="82603">
      <formula>$H1794="CÉLULA CONSTRUTIVA"</formula>
    </cfRule>
    <cfRule type="expression" dxfId="16280" priority="82605">
      <formula>$H1794="SUBETAPA"</formula>
    </cfRule>
  </conditionalFormatting>
  <conditionalFormatting sqref="K1796:K1799">
    <cfRule type="expression" dxfId="16279" priority="82597">
      <formula>$H1796="CÉLULA CONSTRUTIVA"</formula>
    </cfRule>
    <cfRule type="expression" dxfId="16278" priority="82598">
      <formula>$H1796="ETAPA"</formula>
    </cfRule>
    <cfRule type="expression" dxfId="16277" priority="82599">
      <formula>$H1796="SUBETAPA"</formula>
    </cfRule>
  </conditionalFormatting>
  <conditionalFormatting sqref="K1800:K1801">
    <cfRule type="expression" dxfId="16276" priority="78849">
      <formula>$H1800="CÉLULA CONSTRUTIVA"</formula>
    </cfRule>
    <cfRule type="expression" dxfId="16275" priority="78850">
      <formula>$H1800="ETAPA"</formula>
    </cfRule>
    <cfRule type="expression" dxfId="16274" priority="78851">
      <formula>$H1800="SUBETAPA"</formula>
    </cfRule>
  </conditionalFormatting>
  <conditionalFormatting sqref="K2185">
    <cfRule type="expression" dxfId="16273" priority="71584">
      <formula>$H2185="CÉLULA CONSTRUTIVA"</formula>
    </cfRule>
  </conditionalFormatting>
  <conditionalFormatting sqref="K2185:K2186 J2186 J2200:L2201 H2201:H2202 J2202:K2202 O2202 L2202:L2203 J2206:K2207 J2208:L2211">
    <cfRule type="expression" dxfId="16272" priority="71843">
      <formula>$H2185="ETAPA"</formula>
    </cfRule>
  </conditionalFormatting>
  <conditionalFormatting sqref="K2216">
    <cfRule type="expression" dxfId="16271" priority="72224">
      <formula>$H2216="CÉLULA CONSTRUTIVA"</formula>
    </cfRule>
  </conditionalFormatting>
  <conditionalFormatting sqref="K2216:K2217 J2217 J2220:L2223 H2222:H2223 O2223 L2224 J2227:K2227 H2228:H2231 J2228:L2231">
    <cfRule type="expression" dxfId="16270" priority="72483">
      <formula>$H2216="ETAPA"</formula>
    </cfRule>
  </conditionalFormatting>
  <conditionalFormatting sqref="K2236">
    <cfRule type="expression" dxfId="16269" priority="72864">
      <formula>$H2236="CÉLULA CONSTRUTIVA"</formula>
    </cfRule>
  </conditionalFormatting>
  <conditionalFormatting sqref="K2236:K2237 J2237 J2240:L2243 H2242:H2243 O2243 J2247:K2247 H2248:H2251 J2248:L2251">
    <cfRule type="expression" dxfId="16268" priority="73123">
      <formula>$H2236="ETAPA"</formula>
    </cfRule>
  </conditionalFormatting>
  <conditionalFormatting sqref="K2256">
    <cfRule type="expression" dxfId="16267" priority="73504">
      <formula>$H2256="CÉLULA CONSTRUTIVA"</formula>
    </cfRule>
  </conditionalFormatting>
  <conditionalFormatting sqref="K2256:K2257 J2257 H2264:H2265 J2264:L2265 O2265 J2269:K2269 H2271:H2274 J2271:L2274">
    <cfRule type="expression" dxfId="16266" priority="73763">
      <formula>$H2256="ETAPA"</formula>
    </cfRule>
  </conditionalFormatting>
  <conditionalFormatting sqref="K2279">
    <cfRule type="expression" dxfId="16265" priority="74144">
      <formula>$H2279="CÉLULA CONSTRUTIVA"</formula>
    </cfRule>
  </conditionalFormatting>
  <conditionalFormatting sqref="K2279:K2280 J2280 H2288:H2289 J2288:L2289 O2289 J2293:K2293 J2295:L2298 H2295:H2300">
    <cfRule type="expression" dxfId="16264" priority="74403">
      <formula>$H2279="ETAPA"</formula>
    </cfRule>
  </conditionalFormatting>
  <conditionalFormatting sqref="K2304">
    <cfRule type="expression" dxfId="16263" priority="74784">
      <formula>$H2304="CÉLULA CONSTRUTIVA"</formula>
    </cfRule>
  </conditionalFormatting>
  <conditionalFormatting sqref="K2304:K2305 J2305 J2310:L2312 H2311:H2312 O2312 J2319:L2322">
    <cfRule type="expression" dxfId="16262" priority="75043">
      <formula>$H2304="ETAPA"</formula>
    </cfRule>
  </conditionalFormatting>
  <conditionalFormatting sqref="K2347">
    <cfRule type="expression" dxfId="16261" priority="7128">
      <formula>$H2347="ETAPA"</formula>
    </cfRule>
  </conditionalFormatting>
  <conditionalFormatting sqref="K2368">
    <cfRule type="expression" dxfId="16260" priority="7105">
      <formula>$H2368="ETAPA"</formula>
    </cfRule>
  </conditionalFormatting>
  <conditionalFormatting sqref="K2369">
    <cfRule type="expression" dxfId="16259" priority="62156">
      <formula>$H2369="SUBETAPA"</formula>
    </cfRule>
    <cfRule type="expression" dxfId="16258" priority="62157">
      <formula>$H2369="CÉLULA CONSTRUTIVA"</formula>
    </cfRule>
  </conditionalFormatting>
  <conditionalFormatting sqref="K2395">
    <cfRule type="expression" dxfId="16257" priority="7049">
      <formula>$H2395="ETAPA"</formula>
    </cfRule>
  </conditionalFormatting>
  <conditionalFormatting sqref="K2396">
    <cfRule type="expression" dxfId="16256" priority="62395">
      <formula>$H2396="SUBETAPA"</formula>
    </cfRule>
    <cfRule type="expression" dxfId="16255" priority="62396">
      <formula>$H2396="CÉLULA CONSTRUTIVA"</formula>
    </cfRule>
  </conditionalFormatting>
  <conditionalFormatting sqref="K2418">
    <cfRule type="expression" dxfId="16254" priority="6993">
      <formula>$H2418="ETAPA"</formula>
    </cfRule>
  </conditionalFormatting>
  <conditionalFormatting sqref="K2419">
    <cfRule type="expression" dxfId="16253" priority="62634">
      <formula>$H2419="SUBETAPA"</formula>
    </cfRule>
    <cfRule type="expression" dxfId="16252" priority="62635">
      <formula>$H2419="CÉLULA CONSTRUTIVA"</formula>
    </cfRule>
  </conditionalFormatting>
  <conditionalFormatting sqref="K2441">
    <cfRule type="expression" dxfId="16251" priority="6937">
      <formula>$H2441="ETAPA"</formula>
    </cfRule>
  </conditionalFormatting>
  <conditionalFormatting sqref="K2442">
    <cfRule type="expression" dxfId="16250" priority="62873">
      <formula>$H2442="SUBETAPA"</formula>
    </cfRule>
    <cfRule type="expression" dxfId="16249" priority="62874">
      <formula>$H2442="CÉLULA CONSTRUTIVA"</formula>
    </cfRule>
  </conditionalFormatting>
  <conditionalFormatting sqref="K2465">
    <cfRule type="expression" dxfId="16248" priority="6881">
      <formula>$H2465="ETAPA"</formula>
    </cfRule>
  </conditionalFormatting>
  <conditionalFormatting sqref="K2466">
    <cfRule type="expression" dxfId="16247" priority="63112">
      <formula>$H2466="SUBETAPA"</formula>
    </cfRule>
    <cfRule type="expression" dxfId="16246" priority="63113">
      <formula>$H2466="CÉLULA CONSTRUTIVA"</formula>
    </cfRule>
  </conditionalFormatting>
  <conditionalFormatting sqref="K2489">
    <cfRule type="expression" dxfId="16245" priority="6825">
      <formula>$H2489="ETAPA"</formula>
    </cfRule>
  </conditionalFormatting>
  <conditionalFormatting sqref="K2492">
    <cfRule type="expression" dxfId="16244" priority="63351">
      <formula>$H2492="SUBETAPA"</formula>
    </cfRule>
    <cfRule type="expression" dxfId="16243" priority="63352">
      <formula>$H2492="CÉLULA CONSTRUTIVA"</formula>
    </cfRule>
  </conditionalFormatting>
  <conditionalFormatting sqref="K2516">
    <cfRule type="expression" dxfId="16242" priority="6769">
      <formula>$H2516="ETAPA"</formula>
    </cfRule>
  </conditionalFormatting>
  <conditionalFormatting sqref="K2537">
    <cfRule type="expression" dxfId="16241" priority="6690">
      <formula>$H2537="ETAPA"</formula>
    </cfRule>
  </conditionalFormatting>
  <conditionalFormatting sqref="K2553">
    <cfRule type="expression" dxfId="16240" priority="6632">
      <formula>$H2553="ETAPA"</formula>
    </cfRule>
  </conditionalFormatting>
  <conditionalFormatting sqref="K2569">
    <cfRule type="expression" dxfId="16239" priority="6574">
      <formula>$H2569="ETAPA"</formula>
    </cfRule>
  </conditionalFormatting>
  <conditionalFormatting sqref="K2585">
    <cfRule type="expression" dxfId="16238" priority="6516">
      <formula>$H2585="ETAPA"</formula>
    </cfRule>
  </conditionalFormatting>
  <conditionalFormatting sqref="K2601">
    <cfRule type="expression" dxfId="16237" priority="6458">
      <formula>$H2601="ETAPA"</formula>
    </cfRule>
  </conditionalFormatting>
  <conditionalFormatting sqref="K2617">
    <cfRule type="expression" dxfId="16236" priority="6400">
      <formula>$H2617="ETAPA"</formula>
    </cfRule>
  </conditionalFormatting>
  <conditionalFormatting sqref="K2631:K2634">
    <cfRule type="expression" dxfId="16235" priority="1940">
      <formula>$H2631="SUBETAPA"</formula>
    </cfRule>
  </conditionalFormatting>
  <conditionalFormatting sqref="K2827">
    <cfRule type="expression" dxfId="16234" priority="428">
      <formula>$H2827="CÉLULA CONSTRUTIVA"</formula>
    </cfRule>
    <cfRule type="expression" dxfId="16233" priority="429">
      <formula>$H2827="SUBETAPA"</formula>
    </cfRule>
    <cfRule type="expression" dxfId="16232" priority="430">
      <formula>$H2827="ETAPA"</formula>
    </cfRule>
  </conditionalFormatting>
  <conditionalFormatting sqref="K2883">
    <cfRule type="expression" dxfId="16231" priority="818">
      <formula>$H2883="CÉLULA CONSTRUTIVA"</formula>
    </cfRule>
    <cfRule type="expression" dxfId="16230" priority="819">
      <formula>$H2883="SUBETAPA"</formula>
    </cfRule>
    <cfRule type="expression" dxfId="16229" priority="820">
      <formula>$H2883="ETAPA"</formula>
    </cfRule>
  </conditionalFormatting>
  <conditionalFormatting sqref="K2894">
    <cfRule type="expression" dxfId="16228" priority="883">
      <formula>$H2894="CÉLULA CONSTRUTIVA"</formula>
    </cfRule>
    <cfRule type="expression" dxfId="16227" priority="884">
      <formula>$H2894="SUBETAPA"</formula>
    </cfRule>
    <cfRule type="expression" dxfId="16226" priority="885">
      <formula>$H2894="ETAPA"</formula>
    </cfRule>
  </conditionalFormatting>
  <conditionalFormatting sqref="K2941">
    <cfRule type="expression" dxfId="16225" priority="1208">
      <formula>$H2941="CÉLULA CONSTRUTIVA"</formula>
    </cfRule>
    <cfRule type="expression" dxfId="16224" priority="1209">
      <formula>$H2941="SUBETAPA"</formula>
    </cfRule>
    <cfRule type="expression" dxfId="16223" priority="1210">
      <formula>$H2941="ETAPA"</formula>
    </cfRule>
  </conditionalFormatting>
  <conditionalFormatting sqref="K2949">
    <cfRule type="expression" dxfId="16222" priority="1273">
      <formula>$H2949="CÉLULA CONSTRUTIVA"</formula>
    </cfRule>
    <cfRule type="expression" dxfId="16221" priority="1274">
      <formula>$H2949="SUBETAPA"</formula>
    </cfRule>
    <cfRule type="expression" dxfId="16220" priority="1275">
      <formula>$H2949="ETAPA"</formula>
    </cfRule>
  </conditionalFormatting>
  <conditionalFormatting sqref="K2960 O2960">
    <cfRule type="expression" dxfId="16219" priority="66706">
      <formula>$H2960="SUBETAPA"</formula>
    </cfRule>
  </conditionalFormatting>
  <conditionalFormatting sqref="K3001 O3001">
    <cfRule type="expression" dxfId="16218" priority="66192">
      <formula>$H3001="SUBETAPA"</formula>
    </cfRule>
  </conditionalFormatting>
  <conditionalFormatting sqref="K3055 K3059 O3055 O3059">
    <cfRule type="expression" dxfId="16217" priority="61050">
      <formula>$H3055="SUBETAPA"</formula>
    </cfRule>
  </conditionalFormatting>
  <conditionalFormatting sqref="K3086 O3086">
    <cfRule type="expression" dxfId="16216" priority="61296">
      <formula>$H3086="SUBETAPA"</formula>
    </cfRule>
  </conditionalFormatting>
  <conditionalFormatting sqref="K3088:K3089 K3090:L3090">
    <cfRule type="expression" dxfId="16215" priority="4175">
      <formula>$H3088="SUBETAPA"</formula>
    </cfRule>
    <cfRule type="expression" dxfId="16214" priority="4176">
      <formula>$H3088="CÉLULA CONSTRUTIVA"</formula>
    </cfRule>
  </conditionalFormatting>
  <conditionalFormatting sqref="K3105 K3107 O3105 O3107">
    <cfRule type="expression" dxfId="16213" priority="61542">
      <formula>$H3105="SUBETAPA"</formula>
    </cfRule>
  </conditionalFormatting>
  <conditionalFormatting sqref="K3109:K3110 K3111:L3111">
    <cfRule type="expression" dxfId="16212" priority="4159">
      <formula>$H3109="SUBETAPA"</formula>
    </cfRule>
    <cfRule type="expression" dxfId="16211" priority="4160">
      <formula>$H3109="CÉLULA CONSTRUTIVA"</formula>
    </cfRule>
  </conditionalFormatting>
  <conditionalFormatting sqref="K3128 K3130 K3158 K3165 O3128 O3130 O3152 O3158 O3165 O3154">
    <cfRule type="expression" dxfId="16210" priority="83617">
      <formula>$H3128="SUBETAPA"</formula>
    </cfRule>
  </conditionalFormatting>
  <conditionalFormatting sqref="K3132:K3133 K3134:L3134">
    <cfRule type="expression" dxfId="16209" priority="4143">
      <formula>$H3132="SUBETAPA"</formula>
    </cfRule>
    <cfRule type="expression" dxfId="16208" priority="4144">
      <formula>$H3132="CÉLULA CONSTRUTIVA"</formula>
    </cfRule>
  </conditionalFormatting>
  <conditionalFormatting sqref="K360:L360">
    <cfRule type="expression" dxfId="16207" priority="3648">
      <formula>$H360="CÉLULA CONSTRUTIVA"</formula>
    </cfRule>
    <cfRule type="expression" dxfId="16206" priority="3649">
      <formula>$H360="SUBETAPA"</formula>
    </cfRule>
    <cfRule type="expression" dxfId="16205" priority="3650">
      <formula>$H360="ETAPA"</formula>
    </cfRule>
  </conditionalFormatting>
  <conditionalFormatting sqref="K362:L362">
    <cfRule type="expression" dxfId="16204" priority="3645">
      <formula>$H362="CÉLULA CONSTRUTIVA"</formula>
    </cfRule>
    <cfRule type="expression" dxfId="16203" priority="3646">
      <formula>$H362="SUBETAPA"</formula>
    </cfRule>
    <cfRule type="expression" dxfId="16202" priority="3647">
      <formula>$H362="ETAPA"</formula>
    </cfRule>
  </conditionalFormatting>
  <conditionalFormatting sqref="K364:L364">
    <cfRule type="expression" dxfId="16201" priority="3642">
      <formula>$H364="CÉLULA CONSTRUTIVA"</formula>
    </cfRule>
    <cfRule type="expression" dxfId="16200" priority="3643">
      <formula>$H364="SUBETAPA"</formula>
    </cfRule>
    <cfRule type="expression" dxfId="16199" priority="3644">
      <formula>$H364="ETAPA"</formula>
    </cfRule>
  </conditionalFormatting>
  <conditionalFormatting sqref="K366:L366">
    <cfRule type="expression" dxfId="16198" priority="3639">
      <formula>$H366="CÉLULA CONSTRUTIVA"</formula>
    </cfRule>
    <cfRule type="expression" dxfId="16197" priority="3640">
      <formula>$H366="SUBETAPA"</formula>
    </cfRule>
    <cfRule type="expression" dxfId="16196" priority="3641">
      <formula>$H366="ETAPA"</formula>
    </cfRule>
  </conditionalFormatting>
  <conditionalFormatting sqref="K368:L368">
    <cfRule type="expression" dxfId="16195" priority="3636">
      <formula>$H368="CÉLULA CONSTRUTIVA"</formula>
    </cfRule>
    <cfRule type="expression" dxfId="16194" priority="3637">
      <formula>$H368="SUBETAPA"</formula>
    </cfRule>
    <cfRule type="expression" dxfId="16193" priority="3638">
      <formula>$H368="ETAPA"</formula>
    </cfRule>
  </conditionalFormatting>
  <conditionalFormatting sqref="K370:L370">
    <cfRule type="expression" dxfId="16192" priority="3633">
      <formula>$H370="CÉLULA CONSTRUTIVA"</formula>
    </cfRule>
    <cfRule type="expression" dxfId="16191" priority="3634">
      <formula>$H370="SUBETAPA"</formula>
    </cfRule>
    <cfRule type="expression" dxfId="16190" priority="3635">
      <formula>$H370="ETAPA"</formula>
    </cfRule>
  </conditionalFormatting>
  <conditionalFormatting sqref="K372:L372">
    <cfRule type="expression" dxfId="16189" priority="3630">
      <formula>$H372="CÉLULA CONSTRUTIVA"</formula>
    </cfRule>
    <cfRule type="expression" dxfId="16188" priority="3631">
      <formula>$H372="SUBETAPA"</formula>
    </cfRule>
    <cfRule type="expression" dxfId="16187" priority="3632">
      <formula>$H372="ETAPA"</formula>
    </cfRule>
  </conditionalFormatting>
  <conditionalFormatting sqref="K374:L374">
    <cfRule type="expression" dxfId="16186" priority="3627">
      <formula>$H374="CÉLULA CONSTRUTIVA"</formula>
    </cfRule>
    <cfRule type="expression" dxfId="16185" priority="3628">
      <formula>$H374="SUBETAPA"</formula>
    </cfRule>
    <cfRule type="expression" dxfId="16184" priority="3629">
      <formula>$H374="ETAPA"</formula>
    </cfRule>
  </conditionalFormatting>
  <conditionalFormatting sqref="K378:L378 K376:L376">
    <cfRule type="expression" dxfId="16183" priority="3621">
      <formula>$H376="CÉLULA CONSTRUTIVA"</formula>
    </cfRule>
    <cfRule type="expression" dxfId="16182" priority="3622">
      <formula>$H376="SUBETAPA"</formula>
    </cfRule>
    <cfRule type="expression" dxfId="16181" priority="3623">
      <formula>$H376="ETAPA"</formula>
    </cfRule>
  </conditionalFormatting>
  <conditionalFormatting sqref="K1164:L1164">
    <cfRule type="expression" dxfId="16180" priority="55585">
      <formula>$H1164="SUBETAPA"</formula>
    </cfRule>
  </conditionalFormatting>
  <conditionalFormatting sqref="K1169:L1169">
    <cfRule type="expression" dxfId="16179" priority="55679">
      <formula>$H1169="SUBETAPA"</formula>
    </cfRule>
  </conditionalFormatting>
  <conditionalFormatting sqref="K1174:L1174">
    <cfRule type="expression" dxfId="16178" priority="55773">
      <formula>$H1174="SUBETAPA"</formula>
    </cfRule>
  </conditionalFormatting>
  <conditionalFormatting sqref="K1179:L1179">
    <cfRule type="expression" dxfId="16177" priority="55867">
      <formula>$H1179="SUBETAPA"</formula>
    </cfRule>
  </conditionalFormatting>
  <conditionalFormatting sqref="K1184:L1184">
    <cfRule type="expression" dxfId="16176" priority="55961">
      <formula>$H1184="SUBETAPA"</formula>
    </cfRule>
  </conditionalFormatting>
  <conditionalFormatting sqref="K1188:L1188 K1191:L1191">
    <cfRule type="expression" dxfId="16175" priority="56055">
      <formula>$H1188="SUBETAPA"</formula>
    </cfRule>
  </conditionalFormatting>
  <conditionalFormatting sqref="K1195:L1195 K1198:L1198">
    <cfRule type="expression" dxfId="16174" priority="56149">
      <formula>$H1195="SUBETAPA"</formula>
    </cfRule>
  </conditionalFormatting>
  <conditionalFormatting sqref="K1202:L1202 K1205:L1205">
    <cfRule type="expression" dxfId="16173" priority="56243">
      <formula>$H1202="SUBETAPA"</formula>
    </cfRule>
  </conditionalFormatting>
  <conditionalFormatting sqref="K1209:L1209 K1212:L1212">
    <cfRule type="expression" dxfId="16172" priority="56337">
      <formula>$H1209="SUBETAPA"</formula>
    </cfRule>
  </conditionalFormatting>
  <conditionalFormatting sqref="K1216:L1216 K1219:L1219">
    <cfRule type="expression" dxfId="16171" priority="56431">
      <formula>$H1216="SUBETAPA"</formula>
    </cfRule>
  </conditionalFormatting>
  <conditionalFormatting sqref="K1224:L1224">
    <cfRule type="expression" dxfId="16170" priority="56525">
      <formula>$H1224="SUBETAPA"</formula>
    </cfRule>
  </conditionalFormatting>
  <conditionalFormatting sqref="K1228:L1228 K1231:L1231">
    <cfRule type="expression" dxfId="16169" priority="56619">
      <formula>$H1228="SUBETAPA"</formula>
    </cfRule>
  </conditionalFormatting>
  <conditionalFormatting sqref="K1236:L1236">
    <cfRule type="expression" dxfId="16168" priority="56713">
      <formula>$H1236="SUBETAPA"</formula>
    </cfRule>
  </conditionalFormatting>
  <conditionalFormatting sqref="K1325:L1325 K1328:L1328 O1328 K1331:L1331">
    <cfRule type="expression" dxfId="16167" priority="3066">
      <formula>$H1325="SUBETAPA"</formula>
    </cfRule>
  </conditionalFormatting>
  <conditionalFormatting sqref="K1325:L1325 K1328:L1328 O1328 L1323:L1324 L1326:L1327 L1329 K1330:L1331">
    <cfRule type="expression" dxfId="16166" priority="3059">
      <formula>$H1323="ETAPA"</formula>
    </cfRule>
  </conditionalFormatting>
  <conditionalFormatting sqref="K1330:L1330">
    <cfRule type="expression" dxfId="16165" priority="3013">
      <formula>$H1330="SUBETAPA"</formula>
    </cfRule>
  </conditionalFormatting>
  <conditionalFormatting sqref="K1684:L1684">
    <cfRule type="expression" dxfId="16164" priority="80336">
      <formula>$H1684="ETAPA"</formula>
    </cfRule>
  </conditionalFormatting>
  <conditionalFormatting sqref="K1701:L1701">
    <cfRule type="expression" dxfId="16163" priority="80660">
      <formula>$H1701="ETAPA"</formula>
    </cfRule>
  </conditionalFormatting>
  <conditionalFormatting sqref="K1717:L1717">
    <cfRule type="expression" dxfId="16162" priority="80984">
      <formula>$H1717="ETAPA"</formula>
    </cfRule>
  </conditionalFormatting>
  <conditionalFormatting sqref="K1732:L1732">
    <cfRule type="expression" dxfId="16161" priority="81308">
      <formula>$H1732="ETAPA"</formula>
    </cfRule>
  </conditionalFormatting>
  <conditionalFormatting sqref="K1744:L1744">
    <cfRule type="expression" dxfId="16160" priority="81632">
      <formula>$H1744="ETAPA"</formula>
    </cfRule>
  </conditionalFormatting>
  <conditionalFormatting sqref="K1756:L1756">
    <cfRule type="expression" dxfId="16159" priority="81956">
      <formula>$H1756="ETAPA"</formula>
    </cfRule>
  </conditionalFormatting>
  <conditionalFormatting sqref="K1772:L1772">
    <cfRule type="expression" dxfId="16158" priority="82280">
      <formula>$H1772="ETAPA"</formula>
    </cfRule>
  </conditionalFormatting>
  <conditionalFormatting sqref="K1794:L1794">
    <cfRule type="expression" dxfId="16157" priority="82604">
      <formula>$H1794="ETAPA"</formula>
    </cfRule>
  </conditionalFormatting>
  <conditionalFormatting sqref="K2039:L2039 J2040:L2041 J2051:L2052 H2052:H2053 J2053:K2053 O2053 L2053:L2054 J2061:L2064">
    <cfRule type="expression" dxfId="16156" priority="67363">
      <formula>$H2039="ETAPA"</formula>
    </cfRule>
  </conditionalFormatting>
  <conditionalFormatting sqref="K2161:L2161 L2164">
    <cfRule type="expression" dxfId="16155" priority="70786">
      <formula>$H2161="CÉLULA CONSTRUTIVA"</formula>
    </cfRule>
  </conditionalFormatting>
  <conditionalFormatting sqref="K2193:L2193 J2194:K2195">
    <cfRule type="expression" dxfId="16154" priority="71336">
      <formula>$H2193="SUBETAPA"</formula>
    </cfRule>
  </conditionalFormatting>
  <conditionalFormatting sqref="K2193:L2193">
    <cfRule type="expression" dxfId="16153" priority="71332">
      <formula>$H2193="CÉLULA CONSTRUTIVA"</formula>
    </cfRule>
  </conditionalFormatting>
  <conditionalFormatting sqref="K2193:L2195 J2194:J2195">
    <cfRule type="expression" dxfId="16152" priority="71337">
      <formula>$H2193="ETAPA"</formula>
    </cfRule>
  </conditionalFormatting>
  <conditionalFormatting sqref="K2325:L2325 J2327:L2329 H2328:H2329 O2329 J2332:K2332 H2333:H2334 J2333:L2336">
    <cfRule type="expression" dxfId="16151" priority="75683">
      <formula>$H2325="ETAPA"</formula>
    </cfRule>
  </conditionalFormatting>
  <conditionalFormatting sqref="K2325:L2325">
    <cfRule type="expression" dxfId="16150"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49" priority="86955">
      <formula>$H808="ETAPA"</formula>
    </cfRule>
  </conditionalFormatting>
  <conditionalFormatting sqref="K1156:M1156 K1159:L1159 M1188 M1195 M1202 M1209 M1216 M1228">
    <cfRule type="expression" dxfId="16148" priority="55491">
      <formula>$H1156="SUBETAPA"</formula>
    </cfRule>
  </conditionalFormatting>
  <conditionalFormatting sqref="K1255:M1255 K1258:M1258 O1258 K1261:M1261">
    <cfRule type="expression" dxfId="16147" priority="2721">
      <formula>$H1255="SUBETAPA"</formula>
    </cfRule>
  </conditionalFormatting>
  <conditionalFormatting sqref="K1255:M1255 K1258:M1258 O1258 L1253:L1254 L1256:L1257 L1259 K1260:M1261">
    <cfRule type="expression" dxfId="16146" priority="2714">
      <formula>$H1253="ETAPA"</formula>
    </cfRule>
  </conditionalFormatting>
  <conditionalFormatting sqref="K1260:M1260">
    <cfRule type="expression" dxfId="16145" priority="2668">
      <formula>$H1260="SUBETAPA"</formula>
    </cfRule>
  </conditionalFormatting>
  <conditionalFormatting sqref="K1269:M1269 K1272:M1272 O1272 K1275:M1275">
    <cfRule type="expression" dxfId="16144" priority="2790">
      <formula>$H1269="SUBETAPA"</formula>
    </cfRule>
  </conditionalFormatting>
  <conditionalFormatting sqref="K1269:M1269 K1272:M1272 O1272 L1267:L1268 L1270:L1271 L1273 K1274:M1275">
    <cfRule type="expression" dxfId="16143" priority="2783">
      <formula>$H1267="ETAPA"</formula>
    </cfRule>
  </conditionalFormatting>
  <conditionalFormatting sqref="K1274:M1274">
    <cfRule type="expression" dxfId="16142" priority="2737">
      <formula>$H1274="SUBETAPA"</formula>
    </cfRule>
  </conditionalFormatting>
  <conditionalFormatting sqref="K1283:M1283 K1286:M1286 O1286 K1289:M1289">
    <cfRule type="expression" dxfId="16141" priority="2859">
      <formula>$H1283="SUBETAPA"</formula>
    </cfRule>
  </conditionalFormatting>
  <conditionalFormatting sqref="K1283:M1283 K1286:M1286 O1286 L1281:L1282 L1284:L1285 L1287 K1288:M1289">
    <cfRule type="expression" dxfId="16140" priority="2852">
      <formula>$H1281="ETAPA"</formula>
    </cfRule>
  </conditionalFormatting>
  <conditionalFormatting sqref="K1288:M1288">
    <cfRule type="expression" dxfId="16139" priority="2806">
      <formula>$H1288="SUBETAPA"</formula>
    </cfRule>
  </conditionalFormatting>
  <conditionalFormatting sqref="K1297:M1297 K1300:M1300 O1300 K1303:M1303">
    <cfRule type="expression" dxfId="16138" priority="2928">
      <formula>$H1297="SUBETAPA"</formula>
    </cfRule>
  </conditionalFormatting>
  <conditionalFormatting sqref="K1297:M1297 K1300:M1300 O1300 L1295:L1296 L1298:L1299 L1301 K1302:M1303">
    <cfRule type="expression" dxfId="16137" priority="2921">
      <formula>$H1295="ETAPA"</formula>
    </cfRule>
  </conditionalFormatting>
  <conditionalFormatting sqref="K1302:M1302">
    <cfRule type="expression" dxfId="16136" priority="2875">
      <formula>$H1302="SUBETAPA"</formula>
    </cfRule>
  </conditionalFormatting>
  <conditionalFormatting sqref="K1311:M1311 O1314 K1314:M1314 K1317:M1317">
    <cfRule type="expression" dxfId="16135" priority="2997">
      <formula>$H1311="SUBETAPA"</formula>
    </cfRule>
  </conditionalFormatting>
  <conditionalFormatting sqref="K1311:M1311 O1314 L1309:L1310 L1312:L1313 L1315 K1314:M1314 K1316:M1317">
    <cfRule type="expression" dxfId="16134" priority="2990">
      <formula>$H1309="ETAPA"</formula>
    </cfRule>
  </conditionalFormatting>
  <conditionalFormatting sqref="K1316:M1316">
    <cfRule type="expression" dxfId="16133" priority="2944">
      <formula>$H1316="SUBETAPA"</formula>
    </cfRule>
  </conditionalFormatting>
  <conditionalFormatting sqref="K1339:M1339 K1342:M1342 O1342 K1345:M1345">
    <cfRule type="expression" dxfId="16132" priority="3135">
      <formula>$H1339="SUBETAPA"</formula>
    </cfRule>
  </conditionalFormatting>
  <conditionalFormatting sqref="K1339:M1339 K1342:M1342 O1342 L1337:L1338 L1340:L1341 L1343 K1344:M1345">
    <cfRule type="expression" dxfId="16131" priority="3128">
      <formula>$H1337="ETAPA"</formula>
    </cfRule>
  </conditionalFormatting>
  <conditionalFormatting sqref="K1344:M1344">
    <cfRule type="expression" dxfId="16130" priority="3082">
      <formula>$H1344="SUBETAPA"</formula>
    </cfRule>
  </conditionalFormatting>
  <conditionalFormatting sqref="K1358:M1358">
    <cfRule type="expression" dxfId="16129" priority="3151">
      <formula>$H1358="SUBETAPA"</formula>
    </cfRule>
  </conditionalFormatting>
  <conditionalFormatting sqref="K1369:M1369 O1369">
    <cfRule type="expression" dxfId="16128" priority="53764">
      <formula>$H1369="SUBETAPA"</formula>
    </cfRule>
    <cfRule type="expression" dxfId="16127" priority="53765">
      <formula>$H1369="ETAPA"</formula>
    </cfRule>
  </conditionalFormatting>
  <conditionalFormatting sqref="K1372:M1372 O1372">
    <cfRule type="expression" dxfId="16126" priority="53888">
      <formula>$H1372="SUBETAPA"</formula>
    </cfRule>
    <cfRule type="expression" dxfId="16125" priority="53889">
      <formula>$H1372="ETAPA"</formula>
    </cfRule>
  </conditionalFormatting>
  <conditionalFormatting sqref="K1375:M1375 O1375">
    <cfRule type="expression" dxfId="16124" priority="54012">
      <formula>$H1375="SUBETAPA"</formula>
    </cfRule>
    <cfRule type="expression" dxfId="16123" priority="54013">
      <formula>$H1375="ETAPA"</formula>
    </cfRule>
  </conditionalFormatting>
  <conditionalFormatting sqref="K1378:M1378 O1378">
    <cfRule type="expression" dxfId="16122" priority="54136">
      <formula>$H1378="SUBETAPA"</formula>
    </cfRule>
    <cfRule type="expression" dxfId="16121" priority="54137">
      <formula>$H1378="ETAPA"</formula>
    </cfRule>
  </conditionalFormatting>
  <conditionalFormatting sqref="K1381:M1381 O1381">
    <cfRule type="expression" dxfId="16120" priority="54260">
      <formula>$H1381="SUBETAPA"</formula>
    </cfRule>
    <cfRule type="expression" dxfId="16119" priority="54261">
      <formula>$H1381="ETAPA"</formula>
    </cfRule>
  </conditionalFormatting>
  <conditionalFormatting sqref="K1384:M1384 O1384">
    <cfRule type="expression" dxfId="16118" priority="54384">
      <formula>$H1384="SUBETAPA"</formula>
    </cfRule>
    <cfRule type="expression" dxfId="16117" priority="54385">
      <formula>$H1384="ETAPA"</formula>
    </cfRule>
  </conditionalFormatting>
  <conditionalFormatting sqref="K1403:M1403 O1403">
    <cfRule type="expression" dxfId="16116" priority="54756">
      <formula>$H1403="SUBETAPA"</formula>
    </cfRule>
    <cfRule type="expression" dxfId="16115" priority="54757">
      <formula>$H1403="ETAPA"</formula>
    </cfRule>
  </conditionalFormatting>
  <conditionalFormatting sqref="K1408:M1408 O1408">
    <cfRule type="expression" dxfId="16114" priority="54880">
      <formula>$H1408="SUBETAPA"</formula>
    </cfRule>
    <cfRule type="expression" dxfId="16113" priority="54881">
      <formula>$H1408="ETAPA"</formula>
    </cfRule>
  </conditionalFormatting>
  <conditionalFormatting sqref="K1413:M1413 O1413">
    <cfRule type="expression" dxfId="16112" priority="55004">
      <formula>$H1413="SUBETAPA"</formula>
    </cfRule>
    <cfRule type="expression" dxfId="16111" priority="55005">
      <formula>$H1413="ETAPA"</formula>
    </cfRule>
  </conditionalFormatting>
  <conditionalFormatting sqref="K1418:M1418 O1418">
    <cfRule type="expression" dxfId="16110" priority="55128">
      <formula>$H1418="SUBETAPA"</formula>
    </cfRule>
    <cfRule type="expression" dxfId="16109" priority="55129">
      <formula>$H1418="ETAPA"</formula>
    </cfRule>
  </conditionalFormatting>
  <conditionalFormatting sqref="K1421:M1421 O1421">
    <cfRule type="expression" dxfId="16108" priority="55252">
      <formula>$H1421="SUBETAPA"</formula>
    </cfRule>
    <cfRule type="expression" dxfId="16107" priority="55253">
      <formula>$H1421="ETAPA"</formula>
    </cfRule>
  </conditionalFormatting>
  <conditionalFormatting sqref="L22">
    <cfRule type="expression" dxfId="16106" priority="46633">
      <formula>$H22="SUBETAPA"</formula>
    </cfRule>
  </conditionalFormatting>
  <conditionalFormatting sqref="L23">
    <cfRule type="expression" dxfId="16105" priority="46589">
      <formula>$H23="SUBETAPA"</formula>
    </cfRule>
  </conditionalFormatting>
  <conditionalFormatting sqref="L34:L36">
    <cfRule type="expression" dxfId="16104" priority="50598">
      <formula>$H34="ETAPA"</formula>
    </cfRule>
  </conditionalFormatting>
  <conditionalFormatting sqref="L37">
    <cfRule type="expression" dxfId="16103" priority="46682">
      <formula>$H37="CÉLULA CONSTRUTIVA"</formula>
    </cfRule>
    <cfRule type="expression" dxfId="16102" priority="46683">
      <formula>$H37="ETAPA"</formula>
    </cfRule>
    <cfRule type="expression" dxfId="16101" priority="46684">
      <formula>$H37="SUBETAPA"</formula>
    </cfRule>
  </conditionalFormatting>
  <conditionalFormatting sqref="L38">
    <cfRule type="expression" dxfId="16100" priority="50567">
      <formula>$H38="CÉLULA CONSTRUTIVA"</formula>
    </cfRule>
    <cfRule type="expression" dxfId="16099" priority="50568">
      <formula>$H38="ETAPA"</formula>
    </cfRule>
    <cfRule type="expression" dxfId="16098" priority="50569">
      <formula>$H38="SUBETAPA"</formula>
    </cfRule>
  </conditionalFormatting>
  <conditionalFormatting sqref="L44:L45 G41:N41">
    <cfRule type="expression" dxfId="16097" priority="50528">
      <formula>$H41="CÉLULA CONSTRUTIVA"</formula>
    </cfRule>
  </conditionalFormatting>
  <conditionalFormatting sqref="L44:L45">
    <cfRule type="expression" dxfId="16096" priority="50531">
      <formula>$H44="ETAPA"</formula>
    </cfRule>
  </conditionalFormatting>
  <conditionalFormatting sqref="L46 H46:I46">
    <cfRule type="expression" dxfId="16095" priority="46777">
      <formula>$H46="SUBETAPA"</formula>
    </cfRule>
  </conditionalFormatting>
  <conditionalFormatting sqref="L46">
    <cfRule type="expression" dxfId="16094" priority="46767">
      <formula>$H46="CÉLULA CONSTRUTIVA"</formula>
    </cfRule>
    <cfRule type="expression" dxfId="16093" priority="46768">
      <formula>$H46="ETAPA"</formula>
    </cfRule>
  </conditionalFormatting>
  <conditionalFormatting sqref="L47">
    <cfRule type="expression" dxfId="16092" priority="46736">
      <formula>$H47="CÉLULA CONSTRUTIVA"</formula>
    </cfRule>
  </conditionalFormatting>
  <conditionalFormatting sqref="L47:L48">
    <cfRule type="expression" dxfId="16091" priority="46737">
      <formula>$H47="ETAPA"</formula>
    </cfRule>
  </conditionalFormatting>
  <conditionalFormatting sqref="L52">
    <cfRule type="expression" dxfId="16090" priority="50406">
      <formula>$H52="CÉLULA CONSTRUTIVA"</formula>
    </cfRule>
  </conditionalFormatting>
  <conditionalFormatting sqref="L56">
    <cfRule type="expression" dxfId="16089" priority="50351">
      <formula>$H56="CÉLULA CONSTRUTIVA"</formula>
    </cfRule>
  </conditionalFormatting>
  <conditionalFormatting sqref="L65">
    <cfRule type="expression" dxfId="16088" priority="50890">
      <formula>$H65="CÉLULA CONSTRUTIVA"</formula>
    </cfRule>
    <cfRule type="expression" dxfId="16087" priority="50891">
      <formula>$H65="ETAPA"</formula>
    </cfRule>
    <cfRule type="expression" dxfId="16086" priority="50892">
      <formula>$H65="SUBETAPA"</formula>
    </cfRule>
  </conditionalFormatting>
  <conditionalFormatting sqref="L73">
    <cfRule type="expression" dxfId="16085" priority="50779">
      <formula>$H73="CÉLULA CONSTRUTIVA"</formula>
    </cfRule>
    <cfRule type="expression" dxfId="16084" priority="50780">
      <formula>$H73="SUBETAPA"</formula>
    </cfRule>
    <cfRule type="expression" dxfId="16083" priority="50781">
      <formula>$H73="ETAPA"</formula>
    </cfRule>
  </conditionalFormatting>
  <conditionalFormatting sqref="L74">
    <cfRule type="expression" dxfId="16082" priority="50776">
      <formula>$H74="CÉLULA CONSTRUTIVA"</formula>
    </cfRule>
    <cfRule type="expression" dxfId="16081" priority="50777">
      <formula>$H74="SUBETAPA"</formula>
    </cfRule>
    <cfRule type="expression" dxfId="16080" priority="50778">
      <formula>$H74="ETAPA"</formula>
    </cfRule>
  </conditionalFormatting>
  <conditionalFormatting sqref="L75">
    <cfRule type="expression" dxfId="16079" priority="50773">
      <formula>$H75="CÉLULA CONSTRUTIVA"</formula>
    </cfRule>
    <cfRule type="expression" dxfId="16078" priority="50774">
      <formula>$H75="SUBETAPA"</formula>
    </cfRule>
    <cfRule type="expression" dxfId="16077" priority="50775">
      <formula>$H75="ETAPA"</formula>
    </cfRule>
  </conditionalFormatting>
  <conditionalFormatting sqref="L76">
    <cfRule type="expression" dxfId="16076" priority="50770">
      <formula>$H76="CÉLULA CONSTRUTIVA"</formula>
    </cfRule>
    <cfRule type="expression" dxfId="16075" priority="50771">
      <formula>$H76="SUBETAPA"</formula>
    </cfRule>
    <cfRule type="expression" dxfId="16074" priority="50772">
      <formula>$H76="ETAPA"</formula>
    </cfRule>
  </conditionalFormatting>
  <conditionalFormatting sqref="L84:L85">
    <cfRule type="expression" dxfId="16073" priority="50207">
      <formula>$H84="CÉLULA CONSTRUTIVA"</formula>
    </cfRule>
    <cfRule type="expression" dxfId="16072" priority="50208">
      <formula>$H84="SUBETAPA"</formula>
    </cfRule>
    <cfRule type="expression" dxfId="16071" priority="50209">
      <formula>$H84="ETAPA"</formula>
    </cfRule>
  </conditionalFormatting>
  <conditionalFormatting sqref="L86">
    <cfRule type="expression" dxfId="16070" priority="50204">
      <formula>$H86="CÉLULA CONSTRUTIVA"</formula>
    </cfRule>
    <cfRule type="expression" dxfId="16069" priority="50205">
      <formula>$H86="SUBETAPA"</formula>
    </cfRule>
    <cfRule type="expression" dxfId="16068" priority="50206">
      <formula>$H86="ETAPA"</formula>
    </cfRule>
  </conditionalFormatting>
  <conditionalFormatting sqref="L87">
    <cfRule type="expression" dxfId="16067" priority="50201">
      <formula>$H87="CÉLULA CONSTRUTIVA"</formula>
    </cfRule>
    <cfRule type="expression" dxfId="16066" priority="50202">
      <formula>$H87="SUBETAPA"</formula>
    </cfRule>
    <cfRule type="expression" dxfId="16065" priority="50203">
      <formula>$H87="ETAPA"</formula>
    </cfRule>
  </conditionalFormatting>
  <conditionalFormatting sqref="L88">
    <cfRule type="expression" dxfId="16064" priority="50198">
      <formula>$H88="CÉLULA CONSTRUTIVA"</formula>
    </cfRule>
    <cfRule type="expression" dxfId="16063" priority="50199">
      <formula>$H88="SUBETAPA"</formula>
    </cfRule>
    <cfRule type="expression" dxfId="16062" priority="50200">
      <formula>$H88="ETAPA"</formula>
    </cfRule>
  </conditionalFormatting>
  <conditionalFormatting sqref="L89">
    <cfRule type="expression" dxfId="16061" priority="50195">
      <formula>$H89="CÉLULA CONSTRUTIVA"</formula>
    </cfRule>
    <cfRule type="expression" dxfId="16060" priority="50196">
      <formula>$H89="SUBETAPA"</formula>
    </cfRule>
    <cfRule type="expression" dxfId="16059" priority="50197">
      <formula>$H89="ETAPA"</formula>
    </cfRule>
  </conditionalFormatting>
  <conditionalFormatting sqref="L90">
    <cfRule type="expression" dxfId="16058" priority="50192">
      <formula>$H90="CÉLULA CONSTRUTIVA"</formula>
    </cfRule>
    <cfRule type="expression" dxfId="16057" priority="50193">
      <formula>$H90="SUBETAPA"</formula>
    </cfRule>
    <cfRule type="expression" dxfId="16056" priority="50194">
      <formula>$H90="ETAPA"</formula>
    </cfRule>
  </conditionalFormatting>
  <conditionalFormatting sqref="L91">
    <cfRule type="expression" dxfId="16055" priority="50189">
      <formula>$H91="CÉLULA CONSTRUTIVA"</formula>
    </cfRule>
    <cfRule type="expression" dxfId="16054" priority="50190">
      <formula>$H91="SUBETAPA"</formula>
    </cfRule>
    <cfRule type="expression" dxfId="16053" priority="50191">
      <formula>$H91="ETAPA"</formula>
    </cfRule>
  </conditionalFormatting>
  <conditionalFormatting sqref="L92">
    <cfRule type="expression" dxfId="16052" priority="50186">
      <formula>$H92="CÉLULA CONSTRUTIVA"</formula>
    </cfRule>
    <cfRule type="expression" dxfId="16051" priority="50187">
      <formula>$H92="SUBETAPA"</formula>
    </cfRule>
    <cfRule type="expression" dxfId="16050" priority="50188">
      <formula>$H92="ETAPA"</formula>
    </cfRule>
  </conditionalFormatting>
  <conditionalFormatting sqref="L97:L99 N97:N99 G99:K99 M99">
    <cfRule type="expression" dxfId="16049" priority="50164">
      <formula>$H97="SUBETAPA"</formula>
    </cfRule>
  </conditionalFormatting>
  <conditionalFormatting sqref="L104">
    <cfRule type="expression" dxfId="16048" priority="50125">
      <formula>$H104="SUBETAPA"</formula>
    </cfRule>
  </conditionalFormatting>
  <conditionalFormatting sqref="L106">
    <cfRule type="expression" dxfId="16047" priority="50107">
      <formula>$H106="SUBETAPA"</formula>
    </cfRule>
  </conditionalFormatting>
  <conditionalFormatting sqref="L108">
    <cfRule type="expression" dxfId="16046" priority="50089">
      <formula>$H108="SUBETAPA"</formula>
    </cfRule>
  </conditionalFormatting>
  <conditionalFormatting sqref="L110">
    <cfRule type="expression" dxfId="16045" priority="50071">
      <formula>$H110="SUBETAPA"</formula>
    </cfRule>
  </conditionalFormatting>
  <conditionalFormatting sqref="L112">
    <cfRule type="expression" dxfId="16044" priority="50053">
      <formula>$H112="SUBETAPA"</formula>
    </cfRule>
  </conditionalFormatting>
  <conditionalFormatting sqref="L114">
    <cfRule type="expression" dxfId="16043" priority="46354">
      <formula>$H114="SUBETAPA"</formula>
    </cfRule>
  </conditionalFormatting>
  <conditionalFormatting sqref="L116">
    <cfRule type="expression" dxfId="16042" priority="50035">
      <formula>$H116="SUBETAPA"</formula>
    </cfRule>
  </conditionalFormatting>
  <conditionalFormatting sqref="L118">
    <cfRule type="expression" dxfId="16041" priority="50017">
      <formula>$H118="SUBETAPA"</formula>
    </cfRule>
  </conditionalFormatting>
  <conditionalFormatting sqref="L120">
    <cfRule type="expression" dxfId="16040" priority="49999">
      <formula>$H120="SUBETAPA"</formula>
    </cfRule>
  </conditionalFormatting>
  <conditionalFormatting sqref="L122 N122:N123">
    <cfRule type="expression" dxfId="16039" priority="49977">
      <formula>$H122="SUBETAPA"</formula>
    </cfRule>
  </conditionalFormatting>
  <conditionalFormatting sqref="L123">
    <cfRule type="expression" dxfId="16038" priority="46372">
      <formula>$H123="CÉLULA CONSTRUTIVA"</formula>
    </cfRule>
    <cfRule type="expression" dxfId="16037" priority="46373">
      <formula>$H123="SUBETAPA"</formula>
    </cfRule>
  </conditionalFormatting>
  <conditionalFormatting sqref="L125 N125:N126">
    <cfRule type="expression" dxfId="16036" priority="49940">
      <formula>$H125="SUBETAPA"</formula>
    </cfRule>
  </conditionalFormatting>
  <conditionalFormatting sqref="L126">
    <cfRule type="expression" dxfId="16035" priority="46375">
      <formula>$H126="CÉLULA CONSTRUTIVA"</formula>
    </cfRule>
    <cfRule type="expression" dxfId="16034" priority="46376">
      <formula>$H126="SUBETAPA"</formula>
    </cfRule>
  </conditionalFormatting>
  <conditionalFormatting sqref="L128 N128:N129">
    <cfRule type="expression" dxfId="16033" priority="49903">
      <formula>$H128="SUBETAPA"</formula>
    </cfRule>
  </conditionalFormatting>
  <conditionalFormatting sqref="L129">
    <cfRule type="expression" dxfId="16032" priority="46378">
      <formula>$H129="CÉLULA CONSTRUTIVA"</formula>
    </cfRule>
    <cfRule type="expression" dxfId="16031" priority="46379">
      <formula>$H129="SUBETAPA"</formula>
    </cfRule>
  </conditionalFormatting>
  <conditionalFormatting sqref="L131">
    <cfRule type="expression" dxfId="16030" priority="49870">
      <formula>$H131="SUBETAPA"</formula>
    </cfRule>
  </conditionalFormatting>
  <conditionalFormatting sqref="L133 N133:N134">
    <cfRule type="expression" dxfId="16029" priority="49848">
      <formula>$H133="SUBETAPA"</formula>
    </cfRule>
  </conditionalFormatting>
  <conditionalFormatting sqref="L134">
    <cfRule type="expression" dxfId="16028" priority="46381">
      <formula>$H134="CÉLULA CONSTRUTIVA"</formula>
    </cfRule>
    <cfRule type="expression" dxfId="16027" priority="46382">
      <formula>$H134="SUBETAPA"</formula>
    </cfRule>
  </conditionalFormatting>
  <conditionalFormatting sqref="L136 N136:N137">
    <cfRule type="expression" dxfId="16026" priority="49811">
      <formula>$H136="SUBETAPA"</formula>
    </cfRule>
  </conditionalFormatting>
  <conditionalFormatting sqref="L137">
    <cfRule type="expression" dxfId="16025" priority="46384">
      <formula>$H137="CÉLULA CONSTRUTIVA"</formula>
    </cfRule>
    <cfRule type="expression" dxfId="16024" priority="46385">
      <formula>$H137="SUBETAPA"</formula>
    </cfRule>
  </conditionalFormatting>
  <conditionalFormatting sqref="L142">
    <cfRule type="expression" dxfId="16023" priority="50797">
      <formula>$H142="CÉLULA CONSTRUTIVA"</formula>
    </cfRule>
    <cfRule type="expression" dxfId="16022" priority="50798">
      <formula>$H142="SUBETAPA"</formula>
    </cfRule>
    <cfRule type="expression" dxfId="16021" priority="50799">
      <formula>$H142="ETAPA"</formula>
    </cfRule>
  </conditionalFormatting>
  <conditionalFormatting sqref="L143">
    <cfRule type="expression" dxfId="16020" priority="50794">
      <formula>$H143="CÉLULA CONSTRUTIVA"</formula>
    </cfRule>
    <cfRule type="expression" dxfId="16019" priority="50795">
      <formula>$H143="SUBETAPA"</formula>
    </cfRule>
    <cfRule type="expression" dxfId="16018" priority="50796">
      <formula>$H143="ETAPA"</formula>
    </cfRule>
  </conditionalFormatting>
  <conditionalFormatting sqref="L144">
    <cfRule type="expression" dxfId="16017" priority="50791">
      <formula>$H144="CÉLULA CONSTRUTIVA"</formula>
    </cfRule>
    <cfRule type="expression" dxfId="16016" priority="50792">
      <formula>$H144="SUBETAPA"</formula>
    </cfRule>
    <cfRule type="expression" dxfId="16015" priority="50793">
      <formula>$H144="ETAPA"</formula>
    </cfRule>
  </conditionalFormatting>
  <conditionalFormatting sqref="L145">
    <cfRule type="expression" dxfId="16014" priority="50788">
      <formula>$H145="CÉLULA CONSTRUTIVA"</formula>
    </cfRule>
    <cfRule type="expression" dxfId="16013" priority="50789">
      <formula>$H145="SUBETAPA"</formula>
    </cfRule>
    <cfRule type="expression" dxfId="16012" priority="50790">
      <formula>$H145="ETAPA"</formula>
    </cfRule>
  </conditionalFormatting>
  <conditionalFormatting sqref="L146">
    <cfRule type="expression" dxfId="16011" priority="50785">
      <formula>$H146="CÉLULA CONSTRUTIVA"</formula>
    </cfRule>
    <cfRule type="expression" dxfId="16010" priority="50786">
      <formula>$H146="SUBETAPA"</formula>
    </cfRule>
    <cfRule type="expression" dxfId="16009" priority="50787">
      <formula>$H146="ETAPA"</formula>
    </cfRule>
  </conditionalFormatting>
  <conditionalFormatting sqref="L147">
    <cfRule type="expression" dxfId="16008" priority="50782">
      <formula>$H147="CÉLULA CONSTRUTIVA"</formula>
    </cfRule>
    <cfRule type="expression" dxfId="16007" priority="50783">
      <formula>$H147="SUBETAPA"</formula>
    </cfRule>
    <cfRule type="expression" dxfId="16006" priority="50784">
      <formula>$H147="ETAPA"</formula>
    </cfRule>
  </conditionalFormatting>
  <conditionalFormatting sqref="L148 G148:K149 N148:N153 G150:J153 K150:K156">
    <cfRule type="expression" dxfId="16005" priority="49759">
      <formula>$H148="SUBETAPA"</formula>
    </cfRule>
  </conditionalFormatting>
  <conditionalFormatting sqref="L149:L150">
    <cfRule type="expression" dxfId="16004" priority="47118">
      <formula>$H149="CÉLULA CONSTRUTIVA"</formula>
    </cfRule>
    <cfRule type="expression" dxfId="16003" priority="47119">
      <formula>$H149="SUBETAPA"</formula>
    </cfRule>
    <cfRule type="expression" dxfId="16002" priority="47120">
      <formula>$H149="ETAPA"</formula>
    </cfRule>
  </conditionalFormatting>
  <conditionalFormatting sqref="L151">
    <cfRule type="expression" dxfId="16001" priority="47115">
      <formula>$H151="CÉLULA CONSTRUTIVA"</formula>
    </cfRule>
    <cfRule type="expression" dxfId="16000" priority="47116">
      <formula>$H151="SUBETAPA"</formula>
    </cfRule>
    <cfRule type="expression" dxfId="15999" priority="47117">
      <formula>$H151="ETAPA"</formula>
    </cfRule>
  </conditionalFormatting>
  <conditionalFormatting sqref="L152">
    <cfRule type="expression" dxfId="15998" priority="47112">
      <formula>$H152="CÉLULA CONSTRUTIVA"</formula>
    </cfRule>
    <cfRule type="expression" dxfId="15997" priority="47113">
      <formula>$H152="SUBETAPA"</formula>
    </cfRule>
    <cfRule type="expression" dxfId="15996" priority="47114">
      <formula>$H152="ETAPA"</formula>
    </cfRule>
  </conditionalFormatting>
  <conditionalFormatting sqref="L153">
    <cfRule type="expression" dxfId="15995" priority="47109">
      <formula>$H153="CÉLULA CONSTRUTIVA"</formula>
    </cfRule>
    <cfRule type="expression" dxfId="15994" priority="47110">
      <formula>$H153="SUBETAPA"</formula>
    </cfRule>
    <cfRule type="expression" dxfId="15993" priority="47111">
      <formula>$H153="ETAPA"</formula>
    </cfRule>
  </conditionalFormatting>
  <conditionalFormatting sqref="L154">
    <cfRule type="expression" dxfId="15992" priority="47106">
      <formula>$H154="CÉLULA CONSTRUTIVA"</formula>
    </cfRule>
    <cfRule type="expression" dxfId="15991" priority="47107">
      <formula>$H154="SUBETAPA"</formula>
    </cfRule>
    <cfRule type="expression" dxfId="15990" priority="47108">
      <formula>$H154="ETAPA"</formula>
    </cfRule>
  </conditionalFormatting>
  <conditionalFormatting sqref="L155">
    <cfRule type="expression" dxfId="15989" priority="47103">
      <formula>$H155="CÉLULA CONSTRUTIVA"</formula>
    </cfRule>
    <cfRule type="expression" dxfId="15988" priority="47104">
      <formula>$H155="SUBETAPA"</formula>
    </cfRule>
    <cfRule type="expression" dxfId="15987" priority="47105">
      <formula>$H155="ETAPA"</formula>
    </cfRule>
  </conditionalFormatting>
  <conditionalFormatting sqref="L156">
    <cfRule type="expression" dxfId="15986" priority="47100">
      <formula>$H156="CÉLULA CONSTRUTIVA"</formula>
    </cfRule>
    <cfRule type="expression" dxfId="15985" priority="47101">
      <formula>$H156="SUBETAPA"</formula>
    </cfRule>
    <cfRule type="expression" dxfId="15984" priority="47102">
      <formula>$H156="ETAPA"</formula>
    </cfRule>
  </conditionalFormatting>
  <conditionalFormatting sqref="L157">
    <cfRule type="expression" dxfId="15983" priority="47097">
      <formula>$H157="CÉLULA CONSTRUTIVA"</formula>
    </cfRule>
    <cfRule type="expression" dxfId="15982" priority="47098">
      <formula>$H157="SUBETAPA"</formula>
    </cfRule>
    <cfRule type="expression" dxfId="15981" priority="47099">
      <formula>$H157="ETAPA"</formula>
    </cfRule>
  </conditionalFormatting>
  <conditionalFormatting sqref="L158 G158:K159 N158:N163 G160:J163 K160:K166">
    <cfRule type="expression" dxfId="15980" priority="49673">
      <formula>$H158="SUBETAPA"</formula>
    </cfRule>
  </conditionalFormatting>
  <conditionalFormatting sqref="L159:L160">
    <cfRule type="expression" dxfId="15979" priority="47094">
      <formula>$H159="CÉLULA CONSTRUTIVA"</formula>
    </cfRule>
    <cfRule type="expression" dxfId="15978" priority="47095">
      <formula>$H159="SUBETAPA"</formula>
    </cfRule>
    <cfRule type="expression" dxfId="15977" priority="47096">
      <formula>$H159="ETAPA"</formula>
    </cfRule>
  </conditionalFormatting>
  <conditionalFormatting sqref="L161">
    <cfRule type="expression" dxfId="15976" priority="47091">
      <formula>$H161="CÉLULA CONSTRUTIVA"</formula>
    </cfRule>
    <cfRule type="expression" dxfId="15975" priority="47092">
      <formula>$H161="SUBETAPA"</formula>
    </cfRule>
    <cfRule type="expression" dxfId="15974" priority="47093">
      <formula>$H161="ETAPA"</formula>
    </cfRule>
  </conditionalFormatting>
  <conditionalFormatting sqref="L162">
    <cfRule type="expression" dxfId="15973" priority="47088">
      <formula>$H162="CÉLULA CONSTRUTIVA"</formula>
    </cfRule>
    <cfRule type="expression" dxfId="15972" priority="47089">
      <formula>$H162="SUBETAPA"</formula>
    </cfRule>
    <cfRule type="expression" dxfId="15971" priority="47090">
      <formula>$H162="ETAPA"</formula>
    </cfRule>
  </conditionalFormatting>
  <conditionalFormatting sqref="L163">
    <cfRule type="expression" dxfId="15970" priority="47085">
      <formula>$H163="CÉLULA CONSTRUTIVA"</formula>
    </cfRule>
    <cfRule type="expression" dxfId="15969" priority="47086">
      <formula>$H163="SUBETAPA"</formula>
    </cfRule>
    <cfRule type="expression" dxfId="15968" priority="47087">
      <formula>$H163="ETAPA"</formula>
    </cfRule>
  </conditionalFormatting>
  <conditionalFormatting sqref="L164">
    <cfRule type="expression" dxfId="15967" priority="47082">
      <formula>$H164="CÉLULA CONSTRUTIVA"</formula>
    </cfRule>
    <cfRule type="expression" dxfId="15966" priority="47083">
      <formula>$H164="SUBETAPA"</formula>
    </cfRule>
    <cfRule type="expression" dxfId="15965" priority="47084">
      <formula>$H164="ETAPA"</formula>
    </cfRule>
  </conditionalFormatting>
  <conditionalFormatting sqref="L165">
    <cfRule type="expression" dxfId="15964" priority="47079">
      <formula>$H165="CÉLULA CONSTRUTIVA"</formula>
    </cfRule>
    <cfRule type="expression" dxfId="15963" priority="47080">
      <formula>$H165="SUBETAPA"</formula>
    </cfRule>
    <cfRule type="expression" dxfId="15962" priority="47081">
      <formula>$H165="ETAPA"</formula>
    </cfRule>
  </conditionalFormatting>
  <conditionalFormatting sqref="L166">
    <cfRule type="expression" dxfId="15961" priority="47076">
      <formula>$H166="CÉLULA CONSTRUTIVA"</formula>
    </cfRule>
    <cfRule type="expression" dxfId="15960" priority="47077">
      <formula>$H166="SUBETAPA"</formula>
    </cfRule>
    <cfRule type="expression" dxfId="15959" priority="47078">
      <formula>$H166="ETAPA"</formula>
    </cfRule>
  </conditionalFormatting>
  <conditionalFormatting sqref="L167">
    <cfRule type="expression" dxfId="15958" priority="47073">
      <formula>$H167="CÉLULA CONSTRUTIVA"</formula>
    </cfRule>
    <cfRule type="expression" dxfId="15957" priority="47074">
      <formula>$H167="SUBETAPA"</formula>
    </cfRule>
    <cfRule type="expression" dxfId="15956" priority="47075">
      <formula>$H167="ETAPA"</formula>
    </cfRule>
  </conditionalFormatting>
  <conditionalFormatting sqref="L168 G168:K169 N168:N173 G170:J173 K170:K176">
    <cfRule type="expression" dxfId="15955" priority="49587">
      <formula>$H168="SUBETAPA"</formula>
    </cfRule>
  </conditionalFormatting>
  <conditionalFormatting sqref="L169:L170">
    <cfRule type="expression" dxfId="15954" priority="47070">
      <formula>$H169="CÉLULA CONSTRUTIVA"</formula>
    </cfRule>
    <cfRule type="expression" dxfId="15953" priority="47071">
      <formula>$H169="SUBETAPA"</formula>
    </cfRule>
    <cfRule type="expression" dxfId="15952" priority="47072">
      <formula>$H169="ETAPA"</formula>
    </cfRule>
  </conditionalFormatting>
  <conditionalFormatting sqref="L171">
    <cfRule type="expression" dxfId="15951" priority="47067">
      <formula>$H171="CÉLULA CONSTRUTIVA"</formula>
    </cfRule>
    <cfRule type="expression" dxfId="15950" priority="47068">
      <formula>$H171="SUBETAPA"</formula>
    </cfRule>
    <cfRule type="expression" dxfId="15949" priority="47069">
      <formula>$H171="ETAPA"</formula>
    </cfRule>
  </conditionalFormatting>
  <conditionalFormatting sqref="L172">
    <cfRule type="expression" dxfId="15948" priority="47064">
      <formula>$H172="CÉLULA CONSTRUTIVA"</formula>
    </cfRule>
    <cfRule type="expression" dxfId="15947" priority="47065">
      <formula>$H172="SUBETAPA"</formula>
    </cfRule>
    <cfRule type="expression" dxfId="15946" priority="47066">
      <formula>$H172="ETAPA"</formula>
    </cfRule>
  </conditionalFormatting>
  <conditionalFormatting sqref="L173">
    <cfRule type="expression" dxfId="15945" priority="47061">
      <formula>$H173="CÉLULA CONSTRUTIVA"</formula>
    </cfRule>
    <cfRule type="expression" dxfId="15944" priority="47062">
      <formula>$H173="SUBETAPA"</formula>
    </cfRule>
    <cfRule type="expression" dxfId="15943" priority="47063">
      <formula>$H173="ETAPA"</formula>
    </cfRule>
  </conditionalFormatting>
  <conditionalFormatting sqref="L174">
    <cfRule type="expression" dxfId="15942" priority="47058">
      <formula>$H174="CÉLULA CONSTRUTIVA"</formula>
    </cfRule>
    <cfRule type="expression" dxfId="15941" priority="47059">
      <formula>$H174="SUBETAPA"</formula>
    </cfRule>
    <cfRule type="expression" dxfId="15940" priority="47060">
      <formula>$H174="ETAPA"</formula>
    </cfRule>
  </conditionalFormatting>
  <conditionalFormatting sqref="L175">
    <cfRule type="expression" dxfId="15939" priority="47055">
      <formula>$H175="CÉLULA CONSTRUTIVA"</formula>
    </cfRule>
    <cfRule type="expression" dxfId="15938" priority="47056">
      <formula>$H175="SUBETAPA"</formula>
    </cfRule>
    <cfRule type="expression" dxfId="15937" priority="47057">
      <formula>$H175="ETAPA"</formula>
    </cfRule>
  </conditionalFormatting>
  <conditionalFormatting sqref="L176">
    <cfRule type="expression" dxfId="15936" priority="47052">
      <formula>$H176="CÉLULA CONSTRUTIVA"</formula>
    </cfRule>
    <cfRule type="expression" dxfId="15935" priority="47053">
      <formula>$H176="SUBETAPA"</formula>
    </cfRule>
    <cfRule type="expression" dxfId="15934" priority="47054">
      <formula>$H176="ETAPA"</formula>
    </cfRule>
  </conditionalFormatting>
  <conditionalFormatting sqref="L177 G179:J182">
    <cfRule type="expression" dxfId="15933" priority="49504">
      <formula>$H177="SUBETAPA"</formula>
    </cfRule>
  </conditionalFormatting>
  <conditionalFormatting sqref="L178">
    <cfRule type="expression" dxfId="15932" priority="3311">
      <formula>$H178="CÉLULA CONSTRUTIVA"</formula>
    </cfRule>
    <cfRule type="expression" dxfId="15931" priority="3312">
      <formula>$H178="SUBETAPA"</formula>
    </cfRule>
    <cfRule type="expression" dxfId="15930" priority="3313">
      <formula>$H178="ETAPA"</formula>
    </cfRule>
  </conditionalFormatting>
  <conditionalFormatting sqref="L180">
    <cfRule type="expression" dxfId="15929" priority="47046">
      <formula>$H180="CÉLULA CONSTRUTIVA"</formula>
    </cfRule>
    <cfRule type="expression" dxfId="15928" priority="47047">
      <formula>$H180="SUBETAPA"</formula>
    </cfRule>
    <cfRule type="expression" dxfId="15927" priority="47048">
      <formula>$H180="ETAPA"</formula>
    </cfRule>
  </conditionalFormatting>
  <conditionalFormatting sqref="L181">
    <cfRule type="expression" dxfId="15926" priority="47043">
      <formula>$H181="CÉLULA CONSTRUTIVA"</formula>
    </cfRule>
    <cfRule type="expression" dxfId="15925" priority="47044">
      <formula>$H181="SUBETAPA"</formula>
    </cfRule>
    <cfRule type="expression" dxfId="15924" priority="47045">
      <formula>$H181="ETAPA"</formula>
    </cfRule>
  </conditionalFormatting>
  <conditionalFormatting sqref="L182">
    <cfRule type="expression" dxfId="15923" priority="47040">
      <formula>$H182="CÉLULA CONSTRUTIVA"</formula>
    </cfRule>
    <cfRule type="expression" dxfId="15922" priority="47041">
      <formula>$H182="SUBETAPA"</formula>
    </cfRule>
    <cfRule type="expression" dxfId="15921" priority="47042">
      <formula>$H182="ETAPA"</formula>
    </cfRule>
  </conditionalFormatting>
  <conditionalFormatting sqref="L183">
    <cfRule type="expression" dxfId="15920" priority="47037">
      <formula>$H183="CÉLULA CONSTRUTIVA"</formula>
    </cfRule>
    <cfRule type="expression" dxfId="15919" priority="47038">
      <formula>$H183="SUBETAPA"</formula>
    </cfRule>
    <cfRule type="expression" dxfId="15918" priority="47039">
      <formula>$H183="ETAPA"</formula>
    </cfRule>
  </conditionalFormatting>
  <conditionalFormatting sqref="L184">
    <cfRule type="expression" dxfId="15917" priority="47034">
      <formula>$H184="CÉLULA CONSTRUTIVA"</formula>
    </cfRule>
    <cfRule type="expression" dxfId="15916" priority="47035">
      <formula>$H184="SUBETAPA"</formula>
    </cfRule>
    <cfRule type="expression" dxfId="15915" priority="47036">
      <formula>$H184="ETAPA"</formula>
    </cfRule>
  </conditionalFormatting>
  <conditionalFormatting sqref="L185">
    <cfRule type="expression" dxfId="15914" priority="3294">
      <formula>$H185="CÉLULA CONSTRUTIVA"</formula>
    </cfRule>
    <cfRule type="expression" dxfId="15913" priority="3295">
      <formula>$H185="SUBETAPA"</formula>
    </cfRule>
    <cfRule type="expression" dxfId="15912" priority="3296">
      <formula>$H185="ETAPA"</formula>
    </cfRule>
  </conditionalFormatting>
  <conditionalFormatting sqref="L186 G188:J191">
    <cfRule type="expression" dxfId="15911" priority="49486">
      <formula>$H186="SUBETAPA"</formula>
    </cfRule>
  </conditionalFormatting>
  <conditionalFormatting sqref="L187">
    <cfRule type="expression" dxfId="15910" priority="3277">
      <formula>$H187="CÉLULA CONSTRUTIVA"</formula>
    </cfRule>
    <cfRule type="expression" dxfId="15909" priority="3278">
      <formula>$H187="SUBETAPA"</formula>
    </cfRule>
    <cfRule type="expression" dxfId="15908" priority="3279">
      <formula>$H187="ETAPA"</formula>
    </cfRule>
  </conditionalFormatting>
  <conditionalFormatting sqref="L189">
    <cfRule type="expression" dxfId="15907" priority="47031">
      <formula>$H189="CÉLULA CONSTRUTIVA"</formula>
    </cfRule>
    <cfRule type="expression" dxfId="15906" priority="47032">
      <formula>$H189="SUBETAPA"</formula>
    </cfRule>
    <cfRule type="expression" dxfId="15905" priority="47033">
      <formula>$H189="ETAPA"</formula>
    </cfRule>
  </conditionalFormatting>
  <conditionalFormatting sqref="L190">
    <cfRule type="expression" dxfId="15904" priority="47028">
      <formula>$H190="CÉLULA CONSTRUTIVA"</formula>
    </cfRule>
    <cfRule type="expression" dxfId="15903" priority="47029">
      <formula>$H190="SUBETAPA"</formula>
    </cfRule>
    <cfRule type="expression" dxfId="15902" priority="47030">
      <formula>$H190="ETAPA"</formula>
    </cfRule>
  </conditionalFormatting>
  <conditionalFormatting sqref="L191">
    <cfRule type="expression" dxfId="15901" priority="47025">
      <formula>$H191="CÉLULA CONSTRUTIVA"</formula>
    </cfRule>
    <cfRule type="expression" dxfId="15900" priority="47026">
      <formula>$H191="SUBETAPA"</formula>
    </cfRule>
    <cfRule type="expression" dxfId="15899" priority="47027">
      <formula>$H191="ETAPA"</formula>
    </cfRule>
  </conditionalFormatting>
  <conditionalFormatting sqref="L192">
    <cfRule type="expression" dxfId="15898" priority="47022">
      <formula>$H192="CÉLULA CONSTRUTIVA"</formula>
    </cfRule>
    <cfRule type="expression" dxfId="15897" priority="47023">
      <formula>$H192="SUBETAPA"</formula>
    </cfRule>
    <cfRule type="expression" dxfId="15896" priority="47024">
      <formula>$H192="ETAPA"</formula>
    </cfRule>
  </conditionalFormatting>
  <conditionalFormatting sqref="L193">
    <cfRule type="expression" dxfId="15895" priority="47019">
      <formula>$H193="CÉLULA CONSTRUTIVA"</formula>
    </cfRule>
    <cfRule type="expression" dxfId="15894" priority="47020">
      <formula>$H193="SUBETAPA"</formula>
    </cfRule>
    <cfRule type="expression" dxfId="15893" priority="47021">
      <formula>$H193="ETAPA"</formula>
    </cfRule>
  </conditionalFormatting>
  <conditionalFormatting sqref="L194">
    <cfRule type="expression" dxfId="15892" priority="3260">
      <formula>$H194="CÉLULA CONSTRUTIVA"</formula>
    </cfRule>
    <cfRule type="expression" dxfId="15891" priority="3261">
      <formula>$H194="SUBETAPA"</formula>
    </cfRule>
    <cfRule type="expression" dxfId="15890" priority="3262">
      <formula>$H194="ETAPA"</formula>
    </cfRule>
  </conditionalFormatting>
  <conditionalFormatting sqref="L195 G197:J200">
    <cfRule type="expression" dxfId="15889" priority="49468">
      <formula>$H195="SUBETAPA"</formula>
    </cfRule>
  </conditionalFormatting>
  <conditionalFormatting sqref="L196">
    <cfRule type="expression" dxfId="15888" priority="3243">
      <formula>$H196="CÉLULA CONSTRUTIVA"</formula>
    </cfRule>
    <cfRule type="expression" dxfId="15887" priority="3244">
      <formula>$H196="SUBETAPA"</formula>
    </cfRule>
    <cfRule type="expression" dxfId="15886" priority="3245">
      <formula>$H196="ETAPA"</formula>
    </cfRule>
  </conditionalFormatting>
  <conditionalFormatting sqref="L198">
    <cfRule type="expression" dxfId="15885" priority="47016">
      <formula>$H198="CÉLULA CONSTRUTIVA"</formula>
    </cfRule>
    <cfRule type="expression" dxfId="15884" priority="47017">
      <formula>$H198="SUBETAPA"</formula>
    </cfRule>
    <cfRule type="expression" dxfId="15883" priority="47018">
      <formula>$H198="ETAPA"</formula>
    </cfRule>
  </conditionalFormatting>
  <conditionalFormatting sqref="L199">
    <cfRule type="expression" dxfId="15882" priority="47013">
      <formula>$H199="CÉLULA CONSTRUTIVA"</formula>
    </cfRule>
    <cfRule type="expression" dxfId="15881" priority="47014">
      <formula>$H199="SUBETAPA"</formula>
    </cfRule>
    <cfRule type="expression" dxfId="15880" priority="47015">
      <formula>$H199="ETAPA"</formula>
    </cfRule>
  </conditionalFormatting>
  <conditionalFormatting sqref="L200">
    <cfRule type="expression" dxfId="15879" priority="47010">
      <formula>$H200="CÉLULA CONSTRUTIVA"</formula>
    </cfRule>
    <cfRule type="expression" dxfId="15878" priority="47011">
      <formula>$H200="SUBETAPA"</formula>
    </cfRule>
    <cfRule type="expression" dxfId="15877" priority="47012">
      <formula>$H200="ETAPA"</formula>
    </cfRule>
  </conditionalFormatting>
  <conditionalFormatting sqref="L201">
    <cfRule type="expression" dxfId="15876" priority="47007">
      <formula>$H201="CÉLULA CONSTRUTIVA"</formula>
    </cfRule>
    <cfRule type="expression" dxfId="15875" priority="47008">
      <formula>$H201="SUBETAPA"</formula>
    </cfRule>
    <cfRule type="expression" dxfId="15874" priority="47009">
      <formula>$H201="ETAPA"</formula>
    </cfRule>
  </conditionalFormatting>
  <conditionalFormatting sqref="L202">
    <cfRule type="expression" dxfId="15873" priority="47004">
      <formula>$H202="CÉLULA CONSTRUTIVA"</formula>
    </cfRule>
    <cfRule type="expression" dxfId="15872" priority="47005">
      <formula>$H202="SUBETAPA"</formula>
    </cfRule>
    <cfRule type="expression" dxfId="15871" priority="47006">
      <formula>$H202="ETAPA"</formula>
    </cfRule>
  </conditionalFormatting>
  <conditionalFormatting sqref="L203">
    <cfRule type="expression" dxfId="15870" priority="3226">
      <formula>$H203="CÉLULA CONSTRUTIVA"</formula>
    </cfRule>
    <cfRule type="expression" dxfId="15869" priority="3227">
      <formula>$H203="SUBETAPA"</formula>
    </cfRule>
    <cfRule type="expression" dxfId="15868" priority="3228">
      <formula>$H203="ETAPA"</formula>
    </cfRule>
  </conditionalFormatting>
  <conditionalFormatting sqref="L205">
    <cfRule type="expression" dxfId="15867" priority="3209">
      <formula>$H205="CÉLULA CONSTRUTIVA"</formula>
    </cfRule>
    <cfRule type="expression" dxfId="15866" priority="3210">
      <formula>$H205="SUBETAPA"</formula>
    </cfRule>
    <cfRule type="expression" dxfId="15865" priority="3211">
      <formula>$H205="ETAPA"</formula>
    </cfRule>
  </conditionalFormatting>
  <conditionalFormatting sqref="L207">
    <cfRule type="expression" dxfId="15864" priority="46314">
      <formula>$H207="CÉLULA CONSTRUTIVA"</formula>
    </cfRule>
    <cfRule type="expression" dxfId="15863" priority="46315">
      <formula>$H207="SUBETAPA"</formula>
    </cfRule>
    <cfRule type="expression" dxfId="15862" priority="46316">
      <formula>$H207="ETAPA"</formula>
    </cfRule>
  </conditionalFormatting>
  <conditionalFormatting sqref="L208">
    <cfRule type="expression" dxfId="15861" priority="46311">
      <formula>$H208="CÉLULA CONSTRUTIVA"</formula>
    </cfRule>
    <cfRule type="expression" dxfId="15860" priority="46312">
      <formula>$H208="SUBETAPA"</formula>
    </cfRule>
    <cfRule type="expression" dxfId="15859" priority="46313">
      <formula>$H208="ETAPA"</formula>
    </cfRule>
  </conditionalFormatting>
  <conditionalFormatting sqref="L209">
    <cfRule type="expression" dxfId="15858" priority="46308">
      <formula>$H209="CÉLULA CONSTRUTIVA"</formula>
    </cfRule>
    <cfRule type="expression" dxfId="15857" priority="46309">
      <formula>$H209="SUBETAPA"</formula>
    </cfRule>
    <cfRule type="expression" dxfId="15856" priority="46310">
      <formula>$H209="ETAPA"</formula>
    </cfRule>
  </conditionalFormatting>
  <conditionalFormatting sqref="L210">
    <cfRule type="expression" dxfId="15855" priority="46305">
      <formula>$H210="CÉLULA CONSTRUTIVA"</formula>
    </cfRule>
    <cfRule type="expression" dxfId="15854" priority="46306">
      <formula>$H210="SUBETAPA"</formula>
    </cfRule>
    <cfRule type="expression" dxfId="15853" priority="46307">
      <formula>$H210="ETAPA"</formula>
    </cfRule>
  </conditionalFormatting>
  <conditionalFormatting sqref="L211">
    <cfRule type="expression" dxfId="15852" priority="46302">
      <formula>$H211="CÉLULA CONSTRUTIVA"</formula>
    </cfRule>
    <cfRule type="expression" dxfId="15851" priority="46303">
      <formula>$H211="SUBETAPA"</formula>
    </cfRule>
    <cfRule type="expression" dxfId="15850" priority="46304">
      <formula>$H211="ETAPA"</formula>
    </cfRule>
  </conditionalFormatting>
  <conditionalFormatting sqref="L212">
    <cfRule type="expression" dxfId="15849" priority="3192">
      <formula>$H212="CÉLULA CONSTRUTIVA"</formula>
    </cfRule>
    <cfRule type="expression" dxfId="15848" priority="3193">
      <formula>$H212="SUBETAPA"</formula>
    </cfRule>
    <cfRule type="expression" dxfId="15847" priority="3194">
      <formula>$H212="ETAPA"</formula>
    </cfRule>
  </conditionalFormatting>
  <conditionalFormatting sqref="L213 G215:J218">
    <cfRule type="expression" dxfId="15846" priority="49450">
      <formula>$H213="SUBETAPA"</formula>
    </cfRule>
  </conditionalFormatting>
  <conditionalFormatting sqref="L214">
    <cfRule type="expression" dxfId="15845" priority="3175">
      <formula>$H214="CÉLULA CONSTRUTIVA"</formula>
    </cfRule>
    <cfRule type="expression" dxfId="15844" priority="3176">
      <formula>$H214="SUBETAPA"</formula>
    </cfRule>
    <cfRule type="expression" dxfId="15843" priority="3177">
      <formula>$H214="ETAPA"</formula>
    </cfRule>
  </conditionalFormatting>
  <conditionalFormatting sqref="L216">
    <cfRule type="expression" dxfId="15842" priority="47001">
      <formula>$H216="CÉLULA CONSTRUTIVA"</formula>
    </cfRule>
    <cfRule type="expression" dxfId="15841" priority="47002">
      <formula>$H216="SUBETAPA"</formula>
    </cfRule>
    <cfRule type="expression" dxfId="15840" priority="47003">
      <formula>$H216="ETAPA"</formula>
    </cfRule>
  </conditionalFormatting>
  <conditionalFormatting sqref="L217">
    <cfRule type="expression" dxfId="15839" priority="46998">
      <formula>$H217="CÉLULA CONSTRUTIVA"</formula>
    </cfRule>
    <cfRule type="expression" dxfId="15838" priority="46999">
      <formula>$H217="SUBETAPA"</formula>
    </cfRule>
    <cfRule type="expression" dxfId="15837" priority="47000">
      <formula>$H217="ETAPA"</formula>
    </cfRule>
  </conditionalFormatting>
  <conditionalFormatting sqref="L218">
    <cfRule type="expression" dxfId="15836" priority="46995">
      <formula>$H218="CÉLULA CONSTRUTIVA"</formula>
    </cfRule>
    <cfRule type="expression" dxfId="15835" priority="46996">
      <formula>$H218="SUBETAPA"</formula>
    </cfRule>
    <cfRule type="expression" dxfId="15834" priority="46997">
      <formula>$H218="ETAPA"</formula>
    </cfRule>
  </conditionalFormatting>
  <conditionalFormatting sqref="L219">
    <cfRule type="expression" dxfId="15833" priority="46992">
      <formula>$H219="CÉLULA CONSTRUTIVA"</formula>
    </cfRule>
    <cfRule type="expression" dxfId="15832" priority="46993">
      <formula>$H219="SUBETAPA"</formula>
    </cfRule>
    <cfRule type="expression" dxfId="15831" priority="46994">
      <formula>$H219="ETAPA"</formula>
    </cfRule>
  </conditionalFormatting>
  <conditionalFormatting sqref="L220">
    <cfRule type="expression" dxfId="15830" priority="46989">
      <formula>$H220="CÉLULA CONSTRUTIVA"</formula>
    </cfRule>
    <cfRule type="expression" dxfId="15829" priority="46990">
      <formula>$H220="SUBETAPA"</formula>
    </cfRule>
    <cfRule type="expression" dxfId="15828" priority="46991">
      <formula>$H220="ETAPA"</formula>
    </cfRule>
  </conditionalFormatting>
  <conditionalFormatting sqref="L221">
    <cfRule type="expression" dxfId="15827" priority="3158">
      <formula>$H221="CÉLULA CONSTRUTIVA"</formula>
    </cfRule>
    <cfRule type="expression" dxfId="15826" priority="3159">
      <formula>$H221="SUBETAPA"</formula>
    </cfRule>
    <cfRule type="expression" dxfId="15825" priority="3160">
      <formula>$H221="ETAPA"</formula>
    </cfRule>
  </conditionalFormatting>
  <conditionalFormatting sqref="L222 G222:K223 N222:N227 G224:J227 K224:K230">
    <cfRule type="expression" dxfId="15824" priority="49429">
      <formula>$H222="SUBETAPA"</formula>
    </cfRule>
  </conditionalFormatting>
  <conditionalFormatting sqref="L223:L224">
    <cfRule type="expression" dxfId="15823" priority="46986">
      <formula>$H223="CÉLULA CONSTRUTIVA"</formula>
    </cfRule>
    <cfRule type="expression" dxfId="15822" priority="46987">
      <formula>$H223="SUBETAPA"</formula>
    </cfRule>
    <cfRule type="expression" dxfId="15821" priority="46988">
      <formula>$H223="ETAPA"</formula>
    </cfRule>
  </conditionalFormatting>
  <conditionalFormatting sqref="L225">
    <cfRule type="expression" dxfId="15820" priority="46983">
      <formula>$H225="CÉLULA CONSTRUTIVA"</formula>
    </cfRule>
    <cfRule type="expression" dxfId="15819" priority="46984">
      <formula>$H225="SUBETAPA"</formula>
    </cfRule>
    <cfRule type="expression" dxfId="15818" priority="46985">
      <formula>$H225="ETAPA"</formula>
    </cfRule>
  </conditionalFormatting>
  <conditionalFormatting sqref="L226">
    <cfRule type="expression" dxfId="15817" priority="46980">
      <formula>$H226="CÉLULA CONSTRUTIVA"</formula>
    </cfRule>
    <cfRule type="expression" dxfId="15816" priority="46981">
      <formula>$H226="SUBETAPA"</formula>
    </cfRule>
    <cfRule type="expression" dxfId="15815" priority="46982">
      <formula>$H226="ETAPA"</formula>
    </cfRule>
  </conditionalFormatting>
  <conditionalFormatting sqref="L227">
    <cfRule type="expression" dxfId="15814" priority="46977">
      <formula>$H227="CÉLULA CONSTRUTIVA"</formula>
    </cfRule>
    <cfRule type="expression" dxfId="15813" priority="46978">
      <formula>$H227="SUBETAPA"</formula>
    </cfRule>
    <cfRule type="expression" dxfId="15812" priority="46979">
      <formula>$H227="ETAPA"</formula>
    </cfRule>
  </conditionalFormatting>
  <conditionalFormatting sqref="L228">
    <cfRule type="expression" dxfId="15811" priority="46974">
      <formula>$H228="CÉLULA CONSTRUTIVA"</formula>
    </cfRule>
    <cfRule type="expression" dxfId="15810" priority="46975">
      <formula>$H228="SUBETAPA"</formula>
    </cfRule>
    <cfRule type="expression" dxfId="15809" priority="46976">
      <formula>$H228="ETAPA"</formula>
    </cfRule>
  </conditionalFormatting>
  <conditionalFormatting sqref="L229">
    <cfRule type="expression" dxfId="15808" priority="46971">
      <formula>$H229="CÉLULA CONSTRUTIVA"</formula>
    </cfRule>
    <cfRule type="expression" dxfId="15807" priority="46972">
      <formula>$H229="SUBETAPA"</formula>
    </cfRule>
    <cfRule type="expression" dxfId="15806" priority="46973">
      <formula>$H229="ETAPA"</formula>
    </cfRule>
  </conditionalFormatting>
  <conditionalFormatting sqref="L230">
    <cfRule type="expression" dxfId="15805" priority="46968">
      <formula>$H230="CÉLULA CONSTRUTIVA"</formula>
    </cfRule>
    <cfRule type="expression" dxfId="15804" priority="46969">
      <formula>$H230="SUBETAPA"</formula>
    </cfRule>
    <cfRule type="expression" dxfId="15803" priority="46970">
      <formula>$H230="ETAPA"</formula>
    </cfRule>
  </conditionalFormatting>
  <conditionalFormatting sqref="L231 G231:K232 N231:N236 G233:J236 K233:K239">
    <cfRule type="expression" dxfId="15802" priority="49379">
      <formula>$H231="SUBETAPA"</formula>
    </cfRule>
  </conditionalFormatting>
  <conditionalFormatting sqref="L232:L239">
    <cfRule type="expression" dxfId="15801" priority="46965">
      <formula>$H232="CÉLULA CONSTRUTIVA"</formula>
    </cfRule>
    <cfRule type="expression" dxfId="15800" priority="46966">
      <formula>$H232="SUBETAPA"</formula>
    </cfRule>
    <cfRule type="expression" dxfId="15799" priority="46967">
      <formula>$H232="ETAPA"</formula>
    </cfRule>
  </conditionalFormatting>
  <conditionalFormatting sqref="L240 G240:K241 N240:N245 G242:J245 K242:K248">
    <cfRule type="expression" dxfId="15798" priority="49329">
      <formula>$H240="SUBETAPA"</formula>
    </cfRule>
  </conditionalFormatting>
  <conditionalFormatting sqref="L241:L248">
    <cfRule type="expression" dxfId="15797" priority="3152">
      <formula>$H241="CÉLULA CONSTRUTIVA"</formula>
    </cfRule>
    <cfRule type="expression" dxfId="15796" priority="3153">
      <formula>$H241="SUBETAPA"</formula>
    </cfRule>
    <cfRule type="expression" dxfId="15795" priority="3154">
      <formula>$H241="ETAPA"</formula>
    </cfRule>
  </conditionalFormatting>
  <conditionalFormatting sqref="L249 G249:K250 N249:N254 G251:J254 K251:K257">
    <cfRule type="expression" dxfId="15794" priority="49279">
      <formula>$H249="SUBETAPA"</formula>
    </cfRule>
  </conditionalFormatting>
  <conditionalFormatting sqref="L250:L251">
    <cfRule type="expression" dxfId="15793" priority="46923">
      <formula>$H250="CÉLULA CONSTRUTIVA"</formula>
    </cfRule>
    <cfRule type="expression" dxfId="15792" priority="46924">
      <formula>$H250="SUBETAPA"</formula>
    </cfRule>
    <cfRule type="expression" dxfId="15791" priority="46925">
      <formula>$H250="ETAPA"</formula>
    </cfRule>
  </conditionalFormatting>
  <conditionalFormatting sqref="L252">
    <cfRule type="expression" dxfId="15790" priority="46920">
      <formula>$H252="CÉLULA CONSTRUTIVA"</formula>
    </cfRule>
    <cfRule type="expression" dxfId="15789" priority="46921">
      <formula>$H252="SUBETAPA"</formula>
    </cfRule>
    <cfRule type="expression" dxfId="15788" priority="46922">
      <formula>$H252="ETAPA"</formula>
    </cfRule>
  </conditionalFormatting>
  <conditionalFormatting sqref="L253">
    <cfRule type="expression" dxfId="15787" priority="46917">
      <formula>$H253="CÉLULA CONSTRUTIVA"</formula>
    </cfRule>
    <cfRule type="expression" dxfId="15786" priority="46918">
      <formula>$H253="SUBETAPA"</formula>
    </cfRule>
    <cfRule type="expression" dxfId="15785" priority="46919">
      <formula>$H253="ETAPA"</formula>
    </cfRule>
  </conditionalFormatting>
  <conditionalFormatting sqref="L254">
    <cfRule type="expression" dxfId="15784" priority="46914">
      <formula>$H254="CÉLULA CONSTRUTIVA"</formula>
    </cfRule>
    <cfRule type="expression" dxfId="15783" priority="46915">
      <formula>$H254="SUBETAPA"</formula>
    </cfRule>
    <cfRule type="expression" dxfId="15782" priority="46916">
      <formula>$H254="ETAPA"</formula>
    </cfRule>
  </conditionalFormatting>
  <conditionalFormatting sqref="L255">
    <cfRule type="expression" dxfId="15781" priority="46911">
      <formula>$H255="CÉLULA CONSTRUTIVA"</formula>
    </cfRule>
    <cfRule type="expression" dxfId="15780" priority="46912">
      <formula>$H255="SUBETAPA"</formula>
    </cfRule>
    <cfRule type="expression" dxfId="15779" priority="46913">
      <formula>$H255="ETAPA"</formula>
    </cfRule>
  </conditionalFormatting>
  <conditionalFormatting sqref="L256">
    <cfRule type="expression" dxfId="15778" priority="46908">
      <formula>$H256="CÉLULA CONSTRUTIVA"</formula>
    </cfRule>
    <cfRule type="expression" dxfId="15777" priority="46909">
      <formula>$H256="SUBETAPA"</formula>
    </cfRule>
    <cfRule type="expression" dxfId="15776" priority="46910">
      <formula>$H256="ETAPA"</formula>
    </cfRule>
  </conditionalFormatting>
  <conditionalFormatting sqref="L257">
    <cfRule type="expression" dxfId="15775" priority="46905">
      <formula>$H257="CÉLULA CONSTRUTIVA"</formula>
    </cfRule>
    <cfRule type="expression" dxfId="15774" priority="46906">
      <formula>$H257="SUBETAPA"</formula>
    </cfRule>
    <cfRule type="expression" dxfId="15773" priority="46907">
      <formula>$H257="ETAPA"</formula>
    </cfRule>
  </conditionalFormatting>
  <conditionalFormatting sqref="L258 G258:K259 N258:N263 G260:J263 K260:K266">
    <cfRule type="expression" dxfId="15772" priority="49229">
      <formula>$H258="SUBETAPA"</formula>
    </cfRule>
  </conditionalFormatting>
  <conditionalFormatting sqref="L259:L260">
    <cfRule type="expression" dxfId="15771" priority="46902">
      <formula>$H259="CÉLULA CONSTRUTIVA"</formula>
    </cfRule>
    <cfRule type="expression" dxfId="15770" priority="46903">
      <formula>$H259="SUBETAPA"</formula>
    </cfRule>
    <cfRule type="expression" dxfId="15769" priority="46904">
      <formula>$H259="ETAPA"</formula>
    </cfRule>
  </conditionalFormatting>
  <conditionalFormatting sqref="L261">
    <cfRule type="expression" dxfId="15768" priority="46899">
      <formula>$H261="CÉLULA CONSTRUTIVA"</formula>
    </cfRule>
    <cfRule type="expression" dxfId="15767" priority="46900">
      <formula>$H261="SUBETAPA"</formula>
    </cfRule>
    <cfRule type="expression" dxfId="15766" priority="46901">
      <formula>$H261="ETAPA"</formula>
    </cfRule>
  </conditionalFormatting>
  <conditionalFormatting sqref="L262">
    <cfRule type="expression" dxfId="15765" priority="46896">
      <formula>$H262="CÉLULA CONSTRUTIVA"</formula>
    </cfRule>
    <cfRule type="expression" dxfId="15764" priority="46897">
      <formula>$H262="SUBETAPA"</formula>
    </cfRule>
    <cfRule type="expression" dxfId="15763" priority="46898">
      <formula>$H262="ETAPA"</formula>
    </cfRule>
  </conditionalFormatting>
  <conditionalFormatting sqref="L263">
    <cfRule type="expression" dxfId="15762" priority="46893">
      <formula>$H263="CÉLULA CONSTRUTIVA"</formula>
    </cfRule>
    <cfRule type="expression" dxfId="15761" priority="46894">
      <formula>$H263="SUBETAPA"</formula>
    </cfRule>
    <cfRule type="expression" dxfId="15760" priority="46895">
      <formula>$H263="ETAPA"</formula>
    </cfRule>
  </conditionalFormatting>
  <conditionalFormatting sqref="L264">
    <cfRule type="expression" dxfId="15759" priority="46890">
      <formula>$H264="CÉLULA CONSTRUTIVA"</formula>
    </cfRule>
    <cfRule type="expression" dxfId="15758" priority="46891">
      <formula>$H264="SUBETAPA"</formula>
    </cfRule>
    <cfRule type="expression" dxfId="15757" priority="46892">
      <formula>$H264="ETAPA"</formula>
    </cfRule>
  </conditionalFormatting>
  <conditionalFormatting sqref="L265">
    <cfRule type="expression" dxfId="15756" priority="46887">
      <formula>$H265="CÉLULA CONSTRUTIVA"</formula>
    </cfRule>
    <cfRule type="expression" dxfId="15755" priority="46888">
      <formula>$H265="SUBETAPA"</formula>
    </cfRule>
    <cfRule type="expression" dxfId="15754" priority="46889">
      <formula>$H265="ETAPA"</formula>
    </cfRule>
  </conditionalFormatting>
  <conditionalFormatting sqref="L266">
    <cfRule type="expression" dxfId="15753" priority="46884">
      <formula>$H266="CÉLULA CONSTRUTIVA"</formula>
    </cfRule>
    <cfRule type="expression" dxfId="15752" priority="46885">
      <formula>$H266="SUBETAPA"</formula>
    </cfRule>
    <cfRule type="expression" dxfId="15751" priority="46886">
      <formula>$H266="ETAPA"</formula>
    </cfRule>
  </conditionalFormatting>
  <conditionalFormatting sqref="L267 G267:K268 N267:N272 G269:J272">
    <cfRule type="expression" dxfId="15750" priority="49179">
      <formula>$H267="SUBETAPA"</formula>
    </cfRule>
  </conditionalFormatting>
  <conditionalFormatting sqref="L268:L269">
    <cfRule type="expression" dxfId="15749" priority="46881">
      <formula>$H268="CÉLULA CONSTRUTIVA"</formula>
    </cfRule>
    <cfRule type="expression" dxfId="15748" priority="46882">
      <formula>$H268="SUBETAPA"</formula>
    </cfRule>
    <cfRule type="expression" dxfId="15747" priority="46883">
      <formula>$H268="ETAPA"</formula>
    </cfRule>
  </conditionalFormatting>
  <conditionalFormatting sqref="L270">
    <cfRule type="expression" dxfId="15746" priority="46878">
      <formula>$H270="CÉLULA CONSTRUTIVA"</formula>
    </cfRule>
    <cfRule type="expression" dxfId="15745" priority="46879">
      <formula>$H270="SUBETAPA"</formula>
    </cfRule>
    <cfRule type="expression" dxfId="15744" priority="46880">
      <formula>$H270="ETAPA"</formula>
    </cfRule>
  </conditionalFormatting>
  <conditionalFormatting sqref="L271">
    <cfRule type="expression" dxfId="15743" priority="46875">
      <formula>$H271="CÉLULA CONSTRUTIVA"</formula>
    </cfRule>
    <cfRule type="expression" dxfId="15742" priority="46876">
      <formula>$H271="SUBETAPA"</formula>
    </cfRule>
    <cfRule type="expression" dxfId="15741" priority="46877">
      <formula>$H271="ETAPA"</formula>
    </cfRule>
  </conditionalFormatting>
  <conditionalFormatting sqref="L272">
    <cfRule type="expression" dxfId="15740" priority="46872">
      <formula>$H272="CÉLULA CONSTRUTIVA"</formula>
    </cfRule>
    <cfRule type="expression" dxfId="15739" priority="46873">
      <formula>$H272="SUBETAPA"</formula>
    </cfRule>
    <cfRule type="expression" dxfId="15738" priority="46874">
      <formula>$H272="ETAPA"</formula>
    </cfRule>
  </conditionalFormatting>
  <conditionalFormatting sqref="L273">
    <cfRule type="expression" dxfId="15737" priority="46869">
      <formula>$H273="CÉLULA CONSTRUTIVA"</formula>
    </cfRule>
    <cfRule type="expression" dxfId="15736" priority="46870">
      <formula>$H273="SUBETAPA"</formula>
    </cfRule>
    <cfRule type="expression" dxfId="15735" priority="46871">
      <formula>$H273="ETAPA"</formula>
    </cfRule>
  </conditionalFormatting>
  <conditionalFormatting sqref="L274 G274:K275">
    <cfRule type="expression" dxfId="15734" priority="49144">
      <formula>$H274="SUBETAPA"</formula>
    </cfRule>
  </conditionalFormatting>
  <conditionalFormatting sqref="L275:L276">
    <cfRule type="expression" dxfId="15733" priority="46866">
      <formula>$H275="CÉLULA CONSTRUTIVA"</formula>
    </cfRule>
    <cfRule type="expression" dxfId="15732" priority="46867">
      <formula>$H275="SUBETAPA"</formula>
    </cfRule>
    <cfRule type="expression" dxfId="15731" priority="46868">
      <formula>$H275="ETAPA"</formula>
    </cfRule>
  </conditionalFormatting>
  <conditionalFormatting sqref="L277">
    <cfRule type="expression" dxfId="15730" priority="46863">
      <formula>$H277="CÉLULA CONSTRUTIVA"</formula>
    </cfRule>
    <cfRule type="expression" dxfId="15729" priority="46864">
      <formula>$H277="SUBETAPA"</formula>
    </cfRule>
    <cfRule type="expression" dxfId="15728" priority="46865">
      <formula>$H277="ETAPA"</formula>
    </cfRule>
  </conditionalFormatting>
  <conditionalFormatting sqref="L278">
    <cfRule type="expression" dxfId="15727" priority="46860">
      <formula>$H278="CÉLULA CONSTRUTIVA"</formula>
    </cfRule>
    <cfRule type="expression" dxfId="15726" priority="46861">
      <formula>$H278="SUBETAPA"</formula>
    </cfRule>
    <cfRule type="expression" dxfId="15725" priority="46862">
      <formula>$H278="ETAPA"</formula>
    </cfRule>
  </conditionalFormatting>
  <conditionalFormatting sqref="L279">
    <cfRule type="expression" dxfId="15724" priority="46857">
      <formula>$H279="CÉLULA CONSTRUTIVA"</formula>
    </cfRule>
    <cfRule type="expression" dxfId="15723" priority="46858">
      <formula>$H279="SUBETAPA"</formula>
    </cfRule>
    <cfRule type="expression" dxfId="15722" priority="46859">
      <formula>$H279="ETAPA"</formula>
    </cfRule>
  </conditionalFormatting>
  <conditionalFormatting sqref="L282">
    <cfRule type="expression" dxfId="15721" priority="50867">
      <formula>$H282="CÉLULA CONSTRUTIVA"</formula>
    </cfRule>
    <cfRule type="expression" dxfId="15720" priority="50868">
      <formula>$H282="SUBETAPA"</formula>
    </cfRule>
    <cfRule type="expression" dxfId="15719" priority="50869">
      <formula>$H282="ETAPA"</formula>
    </cfRule>
  </conditionalFormatting>
  <conditionalFormatting sqref="L284">
    <cfRule type="expression" dxfId="15718" priority="49078">
      <formula>$H284="CÉLULA CONSTRUTIVA"</formula>
    </cfRule>
    <cfRule type="expression" dxfId="15717" priority="49079">
      <formula>$H284="SUBETAPA"</formula>
    </cfRule>
    <cfRule type="expression" dxfId="15716" priority="49080">
      <formula>$H284="ETAPA"</formula>
    </cfRule>
  </conditionalFormatting>
  <conditionalFormatting sqref="L286">
    <cfRule type="expression" dxfId="15715" priority="49032">
      <formula>$H286="CÉLULA CONSTRUTIVA"</formula>
    </cfRule>
    <cfRule type="expression" dxfId="15714" priority="49033">
      <formula>$H286="SUBETAPA"</formula>
    </cfRule>
    <cfRule type="expression" dxfId="15713" priority="49034">
      <formula>$H286="ETAPA"</formula>
    </cfRule>
  </conditionalFormatting>
  <conditionalFormatting sqref="L288">
    <cfRule type="expression" dxfId="15712" priority="48986">
      <formula>$H288="CÉLULA CONSTRUTIVA"</formula>
    </cfRule>
    <cfRule type="expression" dxfId="15711" priority="48987">
      <formula>$H288="SUBETAPA"</formula>
    </cfRule>
    <cfRule type="expression" dxfId="15710" priority="48988">
      <formula>$H288="ETAPA"</formula>
    </cfRule>
  </conditionalFormatting>
  <conditionalFormatting sqref="L290">
    <cfRule type="expression" dxfId="15709" priority="48940">
      <formula>$H290="CÉLULA CONSTRUTIVA"</formula>
    </cfRule>
    <cfRule type="expression" dxfId="15708" priority="48941">
      <formula>$H290="SUBETAPA"</formula>
    </cfRule>
    <cfRule type="expression" dxfId="15707" priority="48942">
      <formula>$H290="ETAPA"</formula>
    </cfRule>
  </conditionalFormatting>
  <conditionalFormatting sqref="L292">
    <cfRule type="expression" dxfId="15706" priority="48894">
      <formula>$H292="CÉLULA CONSTRUTIVA"</formula>
    </cfRule>
    <cfRule type="expression" dxfId="15705" priority="48895">
      <formula>$H292="SUBETAPA"</formula>
    </cfRule>
    <cfRule type="expression" dxfId="15704" priority="48896">
      <formula>$H292="ETAPA"</formula>
    </cfRule>
  </conditionalFormatting>
  <conditionalFormatting sqref="L294">
    <cfRule type="expression" dxfId="15703" priority="48848">
      <formula>$H294="CÉLULA CONSTRUTIVA"</formula>
    </cfRule>
    <cfRule type="expression" dxfId="15702" priority="48849">
      <formula>$H294="SUBETAPA"</formula>
    </cfRule>
    <cfRule type="expression" dxfId="15701" priority="48850">
      <formula>$H294="ETAPA"</formula>
    </cfRule>
  </conditionalFormatting>
  <conditionalFormatting sqref="L296">
    <cfRule type="expression" dxfId="15700" priority="46258">
      <formula>$H296="CÉLULA CONSTRUTIVA"</formula>
    </cfRule>
    <cfRule type="expression" dxfId="15699" priority="46259">
      <formula>$H296="SUBETAPA"</formula>
    </cfRule>
    <cfRule type="expression" dxfId="15698" priority="46260">
      <formula>$H296="ETAPA"</formula>
    </cfRule>
  </conditionalFormatting>
  <conditionalFormatting sqref="L298">
    <cfRule type="expression" dxfId="15697" priority="48802">
      <formula>$H298="CÉLULA CONSTRUTIVA"</formula>
    </cfRule>
    <cfRule type="expression" dxfId="15696" priority="48803">
      <formula>$H298="SUBETAPA"</formula>
    </cfRule>
    <cfRule type="expression" dxfId="15695" priority="48804">
      <formula>$H298="ETAPA"</formula>
    </cfRule>
  </conditionalFormatting>
  <conditionalFormatting sqref="L300">
    <cfRule type="expression" dxfId="15694" priority="48756">
      <formula>$H300="CÉLULA CONSTRUTIVA"</formula>
    </cfRule>
    <cfRule type="expression" dxfId="15693" priority="48757">
      <formula>$H300="SUBETAPA"</formula>
    </cfRule>
    <cfRule type="expression" dxfId="15692" priority="48758">
      <formula>$H300="ETAPA"</formula>
    </cfRule>
  </conditionalFormatting>
  <conditionalFormatting sqref="L302">
    <cfRule type="expression" dxfId="15691" priority="48710">
      <formula>$H302="CÉLULA CONSTRUTIVA"</formula>
    </cfRule>
    <cfRule type="expression" dxfId="15690" priority="48711">
      <formula>$H302="SUBETAPA"</formula>
    </cfRule>
    <cfRule type="expression" dxfId="15689" priority="48712">
      <formula>$H302="ETAPA"</formula>
    </cfRule>
  </conditionalFormatting>
  <conditionalFormatting sqref="L304">
    <cfRule type="expression" dxfId="15688" priority="48664">
      <formula>$H304="CÉLULA CONSTRUTIVA"</formula>
    </cfRule>
    <cfRule type="expression" dxfId="15687" priority="48665">
      <formula>$H304="SUBETAPA"</formula>
    </cfRule>
    <cfRule type="expression" dxfId="15686" priority="48666">
      <formula>$H304="ETAPA"</formula>
    </cfRule>
  </conditionalFormatting>
  <conditionalFormatting sqref="L306">
    <cfRule type="expression" dxfId="15685" priority="48618">
      <formula>$H306="CÉLULA CONSTRUTIVA"</formula>
    </cfRule>
    <cfRule type="expression" dxfId="15684" priority="48619">
      <formula>$H306="SUBETAPA"</formula>
    </cfRule>
    <cfRule type="expression" dxfId="15683" priority="48620">
      <formula>$H306="ETAPA"</formula>
    </cfRule>
  </conditionalFormatting>
  <conditionalFormatting sqref="L308">
    <cfRule type="expression" dxfId="15682" priority="48572">
      <formula>$H308="CÉLULA CONSTRUTIVA"</formula>
    </cfRule>
    <cfRule type="expression" dxfId="15681" priority="48573">
      <formula>$H308="SUBETAPA"</formula>
    </cfRule>
    <cfRule type="expression" dxfId="15680" priority="48574">
      <formula>$H308="ETAPA"</formula>
    </cfRule>
  </conditionalFormatting>
  <conditionalFormatting sqref="L310">
    <cfRule type="expression" dxfId="15679" priority="48526">
      <formula>$H310="CÉLULA CONSTRUTIVA"</formula>
    </cfRule>
    <cfRule type="expression" dxfId="15678" priority="48527">
      <formula>$H310="SUBETAPA"</formula>
    </cfRule>
    <cfRule type="expression" dxfId="15677" priority="48528">
      <formula>$H310="ETAPA"</formula>
    </cfRule>
  </conditionalFormatting>
  <conditionalFormatting sqref="L312">
    <cfRule type="expression" dxfId="15676" priority="48480">
      <formula>$H312="CÉLULA CONSTRUTIVA"</formula>
    </cfRule>
    <cfRule type="expression" dxfId="15675" priority="48481">
      <formula>$H312="SUBETAPA"</formula>
    </cfRule>
    <cfRule type="expression" dxfId="15674" priority="48482">
      <formula>$H312="ETAPA"</formula>
    </cfRule>
  </conditionalFormatting>
  <conditionalFormatting sqref="L359">
    <cfRule type="expression" dxfId="15673" priority="46204">
      <formula>$H359="CÉLULA CONSTRUTIVA"</formula>
    </cfRule>
    <cfRule type="expression" dxfId="15672" priority="46205">
      <formula>$H359="SUBETAPA"</formula>
    </cfRule>
    <cfRule type="expression" dxfId="15671" priority="46206">
      <formula>$H359="ETAPA"</formula>
    </cfRule>
  </conditionalFormatting>
  <conditionalFormatting sqref="L361 L363 L365 L367 L369 L371 L373 L375 L377">
    <cfRule type="expression" dxfId="15670" priority="47775">
      <formula>$H361="CÉLULA CONSTRUTIVA"</formula>
    </cfRule>
    <cfRule type="expression" dxfId="15669" priority="47776">
      <formula>$H361="SUBETAPA"</formula>
    </cfRule>
    <cfRule type="expression" dxfId="15668" priority="47777">
      <formula>$H361="ETAPA"</formula>
    </cfRule>
  </conditionalFormatting>
  <conditionalFormatting sqref="L398 O398">
    <cfRule type="expression" dxfId="15667" priority="7557">
      <formula>$H398="SUBETAPA"</formula>
    </cfRule>
  </conditionalFormatting>
  <conditionalFormatting sqref="L398">
    <cfRule type="expression" dxfId="15666" priority="7554">
      <formula>$H398="ETAPA"</formula>
    </cfRule>
    <cfRule type="expression" dxfId="15665" priority="7555">
      <formula>$H398="SUBETAPA"</formula>
    </cfRule>
    <cfRule type="expression" dxfId="15664" priority="7580">
      <formula>$H398="ETAPA"</formula>
    </cfRule>
  </conditionalFormatting>
  <conditionalFormatting sqref="L413:L414">
    <cfRule type="expression" dxfId="15663" priority="61006">
      <formula>$H413="ETAPA"</formula>
    </cfRule>
    <cfRule type="expression" dxfId="15662" priority="61007">
      <formula>$H413="SUBETAPA"</formula>
    </cfRule>
  </conditionalFormatting>
  <conditionalFormatting sqref="L415">
    <cfRule type="expression" dxfId="15661" priority="7534">
      <formula>$H415="ETAPA"</formula>
    </cfRule>
    <cfRule type="expression" dxfId="15660" priority="7535">
      <formula>$H415="SUBETAPA"</formula>
    </cfRule>
    <cfRule type="expression" dxfId="15659" priority="7536">
      <formula>$H415="SUBETAPA"</formula>
    </cfRule>
    <cfRule type="expression" dxfId="15658" priority="7537">
      <formula>$H415="ETAPA"</formula>
    </cfRule>
    <cfRule type="expression" dxfId="15657" priority="7538">
      <formula>$H415="CÉLULA CONSTRUTIVA"</formula>
    </cfRule>
  </conditionalFormatting>
  <conditionalFormatting sqref="L429:L430">
    <cfRule type="expression" dxfId="15656" priority="61004">
      <formula>$H429="ETAPA"</formula>
    </cfRule>
    <cfRule type="expression" dxfId="15655" priority="61005">
      <formula>$H429="SUBETAPA"</formula>
    </cfRule>
  </conditionalFormatting>
  <conditionalFormatting sqref="L431">
    <cfRule type="expression" dxfId="15654" priority="7507">
      <formula>$H431="CÉLULA CONSTRUTIVA"</formula>
    </cfRule>
    <cfRule type="expression" dxfId="15653" priority="7508">
      <formula>$H431="ETAPA"</formula>
    </cfRule>
    <cfRule type="expression" dxfId="15652" priority="7509">
      <formula>$H431="SUBETAPA"</formula>
    </cfRule>
    <cfRule type="expression" dxfId="15651" priority="7510">
      <formula>$H431="SUBETAPA"</formula>
    </cfRule>
    <cfRule type="expression" dxfId="15650" priority="7511">
      <formula>$H431="ETAPA"</formula>
    </cfRule>
  </conditionalFormatting>
  <conditionalFormatting sqref="L445:L446">
    <cfRule type="expression" dxfId="15649" priority="61002">
      <formula>$H445="ETAPA"</formula>
    </cfRule>
    <cfRule type="expression" dxfId="15648" priority="61003">
      <formula>$H445="SUBETAPA"</formula>
    </cfRule>
  </conditionalFormatting>
  <conditionalFormatting sqref="L447">
    <cfRule type="expression" dxfId="15647" priority="7469">
      <formula>$H447="CÉLULA CONSTRUTIVA"</formula>
    </cfRule>
    <cfRule type="expression" dxfId="15646" priority="7470">
      <formula>$H447="ETAPA"</formula>
    </cfRule>
    <cfRule type="expression" dxfId="15645" priority="7471">
      <formula>$H447="SUBETAPA"</formula>
    </cfRule>
    <cfRule type="expression" dxfId="15644" priority="7472">
      <formula>$H447="SUBETAPA"</formula>
    </cfRule>
    <cfRule type="expression" dxfId="15643" priority="7473">
      <formula>$H447="ETAPA"</formula>
    </cfRule>
  </conditionalFormatting>
  <conditionalFormatting sqref="L462:L463">
    <cfRule type="expression" dxfId="15642" priority="61000">
      <formula>$H462="ETAPA"</formula>
    </cfRule>
    <cfRule type="expression" dxfId="15641" priority="61001">
      <formula>$H462="SUBETAPA"</formula>
    </cfRule>
  </conditionalFormatting>
  <conditionalFormatting sqref="L464">
    <cfRule type="expression" dxfId="15640" priority="7438">
      <formula>$H464="CÉLULA CONSTRUTIVA"</formula>
    </cfRule>
    <cfRule type="expression" dxfId="15639" priority="7439">
      <formula>$H464="ETAPA"</formula>
    </cfRule>
    <cfRule type="expression" dxfId="15638" priority="7440">
      <formula>$H464="SUBETAPA"</formula>
    </cfRule>
    <cfRule type="expression" dxfId="15637" priority="7441">
      <formula>$H464="SUBETAPA"</formula>
    </cfRule>
    <cfRule type="expression" dxfId="15636" priority="7442">
      <formula>$H464="ETAPA"</formula>
    </cfRule>
  </conditionalFormatting>
  <conditionalFormatting sqref="L479:L480">
    <cfRule type="expression" dxfId="15635" priority="60998">
      <formula>$H479="ETAPA"</formula>
    </cfRule>
    <cfRule type="expression" dxfId="15634" priority="60999">
      <formula>$H479="SUBETAPA"</formula>
    </cfRule>
  </conditionalFormatting>
  <conditionalFormatting sqref="L481">
    <cfRule type="expression" dxfId="15633" priority="7407">
      <formula>$H481="CÉLULA CONSTRUTIVA"</formula>
    </cfRule>
    <cfRule type="expression" dxfId="15632" priority="7408">
      <formula>$H481="ETAPA"</formula>
    </cfRule>
    <cfRule type="expression" dxfId="15631" priority="7409">
      <formula>$H481="SUBETAPA"</formula>
    </cfRule>
    <cfRule type="expression" dxfId="15630" priority="7410">
      <formula>$H481="SUBETAPA"</formula>
    </cfRule>
    <cfRule type="expression" dxfId="15629" priority="7411">
      <formula>$H481="ETAPA"</formula>
    </cfRule>
  </conditionalFormatting>
  <conditionalFormatting sqref="L496:L497">
    <cfRule type="expression" dxfId="15628" priority="60996">
      <formula>$H496="ETAPA"</formula>
    </cfRule>
    <cfRule type="expression" dxfId="15627" priority="60997">
      <formula>$H496="SUBETAPA"</formula>
    </cfRule>
  </conditionalFormatting>
  <conditionalFormatting sqref="L498">
    <cfRule type="expression" dxfId="15626" priority="7376">
      <formula>$H498="CÉLULA CONSTRUTIVA"</formula>
    </cfRule>
    <cfRule type="expression" dxfId="15625" priority="7377">
      <formula>$H498="ETAPA"</formula>
    </cfRule>
    <cfRule type="expression" dxfId="15624" priority="7378">
      <formula>$H498="SUBETAPA"</formula>
    </cfRule>
    <cfRule type="expression" dxfId="15623" priority="7379">
      <formula>$H498="SUBETAPA"</formula>
    </cfRule>
    <cfRule type="expression" dxfId="15622" priority="7380">
      <formula>$H498="ETAPA"</formula>
    </cfRule>
  </conditionalFormatting>
  <conditionalFormatting sqref="L514:L515">
    <cfRule type="expression" dxfId="15621" priority="60994">
      <formula>$H514="ETAPA"</formula>
    </cfRule>
    <cfRule type="expression" dxfId="15620" priority="60995">
      <formula>$H514="SUBETAPA"</formula>
    </cfRule>
  </conditionalFormatting>
  <conditionalFormatting sqref="L516">
    <cfRule type="expression" dxfId="15619" priority="7345">
      <formula>$H516="CÉLULA CONSTRUTIVA"</formula>
    </cfRule>
    <cfRule type="expression" dxfId="15618" priority="7346">
      <formula>$H516="ETAPA"</formula>
    </cfRule>
    <cfRule type="expression" dxfId="15617" priority="7347">
      <formula>$H516="SUBETAPA"</formula>
    </cfRule>
    <cfRule type="expression" dxfId="15616" priority="7348">
      <formula>$H516="SUBETAPA"</formula>
    </cfRule>
    <cfRule type="expression" dxfId="15615" priority="7349">
      <formula>$H516="ETAPA"</formula>
    </cfRule>
  </conditionalFormatting>
  <conditionalFormatting sqref="L532:L533">
    <cfRule type="expression" dxfId="15614" priority="60992">
      <formula>$H532="ETAPA"</formula>
    </cfRule>
    <cfRule type="expression" dxfId="15613" priority="60993">
      <formula>$H532="SUBETAPA"</formula>
    </cfRule>
  </conditionalFormatting>
  <conditionalFormatting sqref="L534">
    <cfRule type="expression" dxfId="15612" priority="7314">
      <formula>$H534="CÉLULA CONSTRUTIVA"</formula>
    </cfRule>
    <cfRule type="expression" dxfId="15611" priority="7315">
      <formula>$H534="ETAPA"</formula>
    </cfRule>
    <cfRule type="expression" dxfId="15610" priority="7316">
      <formula>$H534="SUBETAPA"</formula>
    </cfRule>
    <cfRule type="expression" dxfId="15609" priority="7317">
      <formula>$H534="SUBETAPA"</formula>
    </cfRule>
    <cfRule type="expression" dxfId="15608" priority="7318">
      <formula>$H534="ETAPA"</formula>
    </cfRule>
  </conditionalFormatting>
  <conditionalFormatting sqref="L550:L551">
    <cfRule type="expression" dxfId="15607" priority="60990">
      <formula>$H550="ETAPA"</formula>
    </cfRule>
    <cfRule type="expression" dxfId="15606" priority="60991">
      <formula>$H550="SUBETAPA"</formula>
    </cfRule>
  </conditionalFormatting>
  <conditionalFormatting sqref="L552">
    <cfRule type="expression" dxfId="15605" priority="7283">
      <formula>$H552="CÉLULA CONSTRUTIVA"</formula>
    </cfRule>
    <cfRule type="expression" dxfId="15604" priority="7284">
      <formula>$H552="ETAPA"</formula>
    </cfRule>
    <cfRule type="expression" dxfId="15603" priority="7285">
      <formula>$H552="SUBETAPA"</formula>
    </cfRule>
    <cfRule type="expression" dxfId="15602" priority="7286">
      <formula>$H552="SUBETAPA"</formula>
    </cfRule>
    <cfRule type="expression" dxfId="15601" priority="7287">
      <formula>$H552="ETAPA"</formula>
    </cfRule>
  </conditionalFormatting>
  <conditionalFormatting sqref="L568:L569">
    <cfRule type="expression" dxfId="15600" priority="60988">
      <formula>$H568="ETAPA"</formula>
    </cfRule>
    <cfRule type="expression" dxfId="15599" priority="60989">
      <formula>$H568="SUBETAPA"</formula>
    </cfRule>
  </conditionalFormatting>
  <conditionalFormatting sqref="L570">
    <cfRule type="expression" dxfId="15598" priority="7252">
      <formula>$H570="CÉLULA CONSTRUTIVA"</formula>
    </cfRule>
    <cfRule type="expression" dxfId="15597" priority="7253">
      <formula>$H570="ETAPA"</formula>
    </cfRule>
    <cfRule type="expression" dxfId="15596" priority="7254">
      <formula>$H570="SUBETAPA"</formula>
    </cfRule>
    <cfRule type="expression" dxfId="15595" priority="7255">
      <formula>$H570="SUBETAPA"</formula>
    </cfRule>
    <cfRule type="expression" dxfId="15594" priority="7256">
      <formula>$H570="ETAPA"</formula>
    </cfRule>
  </conditionalFormatting>
  <conditionalFormatting sqref="L584:L585">
    <cfRule type="expression" dxfId="15593" priority="60986">
      <formula>$H584="ETAPA"</formula>
    </cfRule>
    <cfRule type="expression" dxfId="15592" priority="60987">
      <formula>$H584="SUBETAPA"</formula>
    </cfRule>
  </conditionalFormatting>
  <conditionalFormatting sqref="L586">
    <cfRule type="expression" dxfId="15591" priority="7221">
      <formula>$H586="CÉLULA CONSTRUTIVA"</formula>
    </cfRule>
    <cfRule type="expression" dxfId="15590" priority="7222">
      <formula>$H586="ETAPA"</formula>
    </cfRule>
    <cfRule type="expression" dxfId="15589" priority="7223">
      <formula>$H586="SUBETAPA"</formula>
    </cfRule>
    <cfRule type="expression" dxfId="15588" priority="7224">
      <formula>$H586="SUBETAPA"</formula>
    </cfRule>
    <cfRule type="expression" dxfId="15587" priority="7225">
      <formula>$H586="ETAPA"</formula>
    </cfRule>
  </conditionalFormatting>
  <conditionalFormatting sqref="L603:L604">
    <cfRule type="expression" dxfId="15586" priority="60984">
      <formula>$H603="ETAPA"</formula>
    </cfRule>
    <cfRule type="expression" dxfId="15585" priority="60985">
      <formula>$H603="SUBETAPA"</formula>
    </cfRule>
  </conditionalFormatting>
  <conditionalFormatting sqref="L605">
    <cfRule type="expression" dxfId="15584" priority="7190">
      <formula>$H605="CÉLULA CONSTRUTIVA"</formula>
    </cfRule>
    <cfRule type="expression" dxfId="15583" priority="7191">
      <formula>$H605="ETAPA"</formula>
    </cfRule>
    <cfRule type="expression" dxfId="15582" priority="7192">
      <formula>$H605="SUBETAPA"</formula>
    </cfRule>
    <cfRule type="expression" dxfId="15581" priority="7193">
      <formula>$H605="SUBETAPA"</formula>
    </cfRule>
    <cfRule type="expression" dxfId="15580" priority="7194">
      <formula>$H605="ETAPA"</formula>
    </cfRule>
  </conditionalFormatting>
  <conditionalFormatting sqref="L618">
    <cfRule type="expression" dxfId="15579" priority="7159">
      <formula>$H618="CÉLULA CONSTRUTIVA"</formula>
    </cfRule>
    <cfRule type="expression" dxfId="15578" priority="7160">
      <formula>$H618="ETAPA"</formula>
    </cfRule>
    <cfRule type="expression" dxfId="15577" priority="7161">
      <formula>$H618="SUBETAPA"</formula>
    </cfRule>
    <cfRule type="expression" dxfId="15576" priority="7162">
      <formula>$H618="SUBETAPA"</formula>
    </cfRule>
    <cfRule type="expression" dxfId="15575" priority="7163">
      <formula>$H618="ETAPA"</formula>
    </cfRule>
  </conditionalFormatting>
  <conditionalFormatting sqref="L814">
    <cfRule type="expression" dxfId="15574" priority="56826">
      <formula>$H814="ETAPA"</formula>
    </cfRule>
  </conditionalFormatting>
  <conditionalFormatting sqref="L825">
    <cfRule type="expression" dxfId="15573" priority="56935">
      <formula>$H825="ETAPA"</formula>
    </cfRule>
  </conditionalFormatting>
  <conditionalFormatting sqref="L1160">
    <cfRule type="expression" dxfId="15572" priority="55485">
      <formula>$H1160="CÉLULA CONSTRUTIVA"</formula>
    </cfRule>
    <cfRule type="expression" dxfId="15571" priority="55486">
      <formula>$H1160="SUBETAPA"</formula>
    </cfRule>
    <cfRule type="expression" dxfId="15570" priority="55487">
      <formula>$H1160="ETAPA"</formula>
    </cfRule>
  </conditionalFormatting>
  <conditionalFormatting sqref="L1161">
    <cfRule type="expression" dxfId="15569" priority="55482">
      <formula>$H1161="CÉLULA CONSTRUTIVA"</formula>
    </cfRule>
    <cfRule type="expression" dxfId="15568" priority="55483">
      <formula>$H1161="SUBETAPA"</formula>
    </cfRule>
    <cfRule type="expression" dxfId="15567" priority="55484">
      <formula>$H1161="ETAPA"</formula>
    </cfRule>
  </conditionalFormatting>
  <conditionalFormatting sqref="L1165">
    <cfRule type="expression" dxfId="15566" priority="55579">
      <formula>$H1165="CÉLULA CONSTRUTIVA"</formula>
    </cfRule>
    <cfRule type="expression" dxfId="15565" priority="55580">
      <formula>$H1165="SUBETAPA"</formula>
    </cfRule>
    <cfRule type="expression" dxfId="15564" priority="55581">
      <formula>$H1165="ETAPA"</formula>
    </cfRule>
  </conditionalFormatting>
  <conditionalFormatting sqref="L1166">
    <cfRule type="expression" dxfId="15563" priority="55576">
      <formula>$H1166="CÉLULA CONSTRUTIVA"</formula>
    </cfRule>
    <cfRule type="expression" dxfId="15562" priority="55577">
      <formula>$H1166="SUBETAPA"</formula>
    </cfRule>
    <cfRule type="expression" dxfId="15561" priority="55578">
      <formula>$H1166="ETAPA"</formula>
    </cfRule>
  </conditionalFormatting>
  <conditionalFormatting sqref="L1170">
    <cfRule type="expression" dxfId="15560" priority="55673">
      <formula>$H1170="CÉLULA CONSTRUTIVA"</formula>
    </cfRule>
    <cfRule type="expression" dxfId="15559" priority="55674">
      <formula>$H1170="SUBETAPA"</formula>
    </cfRule>
    <cfRule type="expression" dxfId="15558" priority="55675">
      <formula>$H1170="ETAPA"</formula>
    </cfRule>
  </conditionalFormatting>
  <conditionalFormatting sqref="L1171">
    <cfRule type="expression" dxfId="15557" priority="55670">
      <formula>$H1171="CÉLULA CONSTRUTIVA"</formula>
    </cfRule>
    <cfRule type="expression" dxfId="15556" priority="55671">
      <formula>$H1171="SUBETAPA"</formula>
    </cfRule>
    <cfRule type="expression" dxfId="15555" priority="55672">
      <formula>$H1171="ETAPA"</formula>
    </cfRule>
  </conditionalFormatting>
  <conditionalFormatting sqref="L1175">
    <cfRule type="expression" dxfId="15554" priority="55767">
      <formula>$H1175="CÉLULA CONSTRUTIVA"</formula>
    </cfRule>
    <cfRule type="expression" dxfId="15553" priority="55768">
      <formula>$H1175="SUBETAPA"</formula>
    </cfRule>
    <cfRule type="expression" dxfId="15552" priority="55769">
      <formula>$H1175="ETAPA"</formula>
    </cfRule>
  </conditionalFormatting>
  <conditionalFormatting sqref="L1176">
    <cfRule type="expression" dxfId="15551" priority="55764">
      <formula>$H1176="CÉLULA CONSTRUTIVA"</formula>
    </cfRule>
    <cfRule type="expression" dxfId="15550" priority="55765">
      <formula>$H1176="SUBETAPA"</formula>
    </cfRule>
    <cfRule type="expression" dxfId="15549" priority="55766">
      <formula>$H1176="ETAPA"</formula>
    </cfRule>
  </conditionalFormatting>
  <conditionalFormatting sqref="L1180">
    <cfRule type="expression" dxfId="15548" priority="55861">
      <formula>$H1180="CÉLULA CONSTRUTIVA"</formula>
    </cfRule>
    <cfRule type="expression" dxfId="15547" priority="55862">
      <formula>$H1180="SUBETAPA"</formula>
    </cfRule>
    <cfRule type="expression" dxfId="15546" priority="55863">
      <formula>$H1180="ETAPA"</formula>
    </cfRule>
  </conditionalFormatting>
  <conditionalFormatting sqref="L1181">
    <cfRule type="expression" dxfId="15545" priority="55858">
      <formula>$H1181="CÉLULA CONSTRUTIVA"</formula>
    </cfRule>
    <cfRule type="expression" dxfId="15544" priority="55859">
      <formula>$H1181="SUBETAPA"</formula>
    </cfRule>
    <cfRule type="expression" dxfId="15543" priority="55860">
      <formula>$H1181="ETAPA"</formula>
    </cfRule>
  </conditionalFormatting>
  <conditionalFormatting sqref="L1185">
    <cfRule type="expression" dxfId="15542" priority="55955">
      <formula>$H1185="CÉLULA CONSTRUTIVA"</formula>
    </cfRule>
    <cfRule type="expression" dxfId="15541" priority="55956">
      <formula>$H1185="SUBETAPA"</formula>
    </cfRule>
    <cfRule type="expression" dxfId="15540" priority="55957">
      <formula>$H1185="ETAPA"</formula>
    </cfRule>
  </conditionalFormatting>
  <conditionalFormatting sqref="L1186">
    <cfRule type="expression" dxfId="15539" priority="55952">
      <formula>$H1186="CÉLULA CONSTRUTIVA"</formula>
    </cfRule>
    <cfRule type="expression" dxfId="15538" priority="55953">
      <formula>$H1186="SUBETAPA"</formula>
    </cfRule>
    <cfRule type="expression" dxfId="15537" priority="55954">
      <formula>$H1186="ETAPA"</formula>
    </cfRule>
  </conditionalFormatting>
  <conditionalFormatting sqref="L1192">
    <cfRule type="expression" dxfId="15536" priority="56049">
      <formula>$H1192="CÉLULA CONSTRUTIVA"</formula>
    </cfRule>
    <cfRule type="expression" dxfId="15535" priority="56050">
      <formula>$H1192="SUBETAPA"</formula>
    </cfRule>
    <cfRule type="expression" dxfId="15534" priority="56051">
      <formula>$H1192="ETAPA"</formula>
    </cfRule>
  </conditionalFormatting>
  <conditionalFormatting sqref="L1193">
    <cfRule type="expression" dxfId="15533" priority="56046">
      <formula>$H1193="CÉLULA CONSTRUTIVA"</formula>
    </cfRule>
    <cfRule type="expression" dxfId="15532" priority="56047">
      <formula>$H1193="SUBETAPA"</formula>
    </cfRule>
    <cfRule type="expression" dxfId="15531" priority="56048">
      <formula>$H1193="ETAPA"</formula>
    </cfRule>
  </conditionalFormatting>
  <conditionalFormatting sqref="L1199">
    <cfRule type="expression" dxfId="15530" priority="56143">
      <formula>$H1199="CÉLULA CONSTRUTIVA"</formula>
    </cfRule>
    <cfRule type="expression" dxfId="15529" priority="56144">
      <formula>$H1199="SUBETAPA"</formula>
    </cfRule>
    <cfRule type="expression" dxfId="15528" priority="56145">
      <formula>$H1199="ETAPA"</formula>
    </cfRule>
  </conditionalFormatting>
  <conditionalFormatting sqref="L1200">
    <cfRule type="expression" dxfId="15527" priority="56140">
      <formula>$H1200="CÉLULA CONSTRUTIVA"</formula>
    </cfRule>
    <cfRule type="expression" dxfId="15526" priority="56141">
      <formula>$H1200="SUBETAPA"</formula>
    </cfRule>
    <cfRule type="expression" dxfId="15525" priority="56142">
      <formula>$H1200="ETAPA"</formula>
    </cfRule>
  </conditionalFormatting>
  <conditionalFormatting sqref="L1206">
    <cfRule type="expression" dxfId="15524" priority="56237">
      <formula>$H1206="CÉLULA CONSTRUTIVA"</formula>
    </cfRule>
    <cfRule type="expression" dxfId="15523" priority="56238">
      <formula>$H1206="SUBETAPA"</formula>
    </cfRule>
    <cfRule type="expression" dxfId="15522" priority="56239">
      <formula>$H1206="ETAPA"</formula>
    </cfRule>
  </conditionalFormatting>
  <conditionalFormatting sqref="L1207">
    <cfRule type="expression" dxfId="15521" priority="56234">
      <formula>$H1207="CÉLULA CONSTRUTIVA"</formula>
    </cfRule>
    <cfRule type="expression" dxfId="15520" priority="56235">
      <formula>$H1207="SUBETAPA"</formula>
    </cfRule>
    <cfRule type="expression" dxfId="15519" priority="56236">
      <formula>$H1207="ETAPA"</formula>
    </cfRule>
  </conditionalFormatting>
  <conditionalFormatting sqref="L1213">
    <cfRule type="expression" dxfId="15518" priority="56331">
      <formula>$H1213="CÉLULA CONSTRUTIVA"</formula>
    </cfRule>
    <cfRule type="expression" dxfId="15517" priority="56332">
      <formula>$H1213="SUBETAPA"</formula>
    </cfRule>
    <cfRule type="expression" dxfId="15516" priority="56333">
      <formula>$H1213="ETAPA"</formula>
    </cfRule>
  </conditionalFormatting>
  <conditionalFormatting sqref="L1214">
    <cfRule type="expression" dxfId="15515" priority="56328">
      <formula>$H1214="CÉLULA CONSTRUTIVA"</formula>
    </cfRule>
    <cfRule type="expression" dxfId="15514" priority="56329">
      <formula>$H1214="SUBETAPA"</formula>
    </cfRule>
    <cfRule type="expression" dxfId="15513" priority="56330">
      <formula>$H1214="ETAPA"</formula>
    </cfRule>
  </conditionalFormatting>
  <conditionalFormatting sqref="L1220">
    <cfRule type="expression" dxfId="15512" priority="56425">
      <formula>$H1220="CÉLULA CONSTRUTIVA"</formula>
    </cfRule>
    <cfRule type="expression" dxfId="15511" priority="56426">
      <formula>$H1220="SUBETAPA"</formula>
    </cfRule>
    <cfRule type="expression" dxfId="15510" priority="56427">
      <formula>$H1220="ETAPA"</formula>
    </cfRule>
  </conditionalFormatting>
  <conditionalFormatting sqref="L1221">
    <cfRule type="expression" dxfId="15509" priority="56422">
      <formula>$H1221="CÉLULA CONSTRUTIVA"</formula>
    </cfRule>
    <cfRule type="expression" dxfId="15508" priority="56423">
      <formula>$H1221="SUBETAPA"</formula>
    </cfRule>
    <cfRule type="expression" dxfId="15507" priority="56424">
      <formula>$H1221="ETAPA"</formula>
    </cfRule>
  </conditionalFormatting>
  <conditionalFormatting sqref="L1225">
    <cfRule type="expression" dxfId="15506" priority="56519">
      <formula>$H1225="CÉLULA CONSTRUTIVA"</formula>
    </cfRule>
    <cfRule type="expression" dxfId="15505" priority="56520">
      <formula>$H1225="SUBETAPA"</formula>
    </cfRule>
    <cfRule type="expression" dxfId="15504" priority="56521">
      <formula>$H1225="ETAPA"</formula>
    </cfRule>
  </conditionalFormatting>
  <conditionalFormatting sqref="L1226">
    <cfRule type="expression" dxfId="15503" priority="56516">
      <formula>$H1226="CÉLULA CONSTRUTIVA"</formula>
    </cfRule>
    <cfRule type="expression" dxfId="15502" priority="56517">
      <formula>$H1226="SUBETAPA"</formula>
    </cfRule>
    <cfRule type="expression" dxfId="15501" priority="56518">
      <formula>$H1226="ETAPA"</formula>
    </cfRule>
  </conditionalFormatting>
  <conditionalFormatting sqref="L1232">
    <cfRule type="expression" dxfId="15500" priority="56613">
      <formula>$H1232="CÉLULA CONSTRUTIVA"</formula>
    </cfRule>
    <cfRule type="expression" dxfId="15499" priority="56614">
      <formula>$H1232="SUBETAPA"</formula>
    </cfRule>
    <cfRule type="expression" dxfId="15498" priority="56615">
      <formula>$H1232="ETAPA"</formula>
    </cfRule>
  </conditionalFormatting>
  <conditionalFormatting sqref="L1233">
    <cfRule type="expression" dxfId="15497" priority="56610">
      <formula>$H1233="CÉLULA CONSTRUTIVA"</formula>
    </cfRule>
    <cfRule type="expression" dxfId="15496" priority="56611">
      <formula>$H1233="SUBETAPA"</formula>
    </cfRule>
    <cfRule type="expression" dxfId="15495" priority="56612">
      <formula>$H1233="ETAPA"</formula>
    </cfRule>
  </conditionalFormatting>
  <conditionalFormatting sqref="L1237">
    <cfRule type="expression" dxfId="15494" priority="56707">
      <formula>$H1237="CÉLULA CONSTRUTIVA"</formula>
    </cfRule>
    <cfRule type="expression" dxfId="15493" priority="56708">
      <formula>$H1237="SUBETAPA"</formula>
    </cfRule>
    <cfRule type="expression" dxfId="15492" priority="56709">
      <formula>$H1237="ETAPA"</formula>
    </cfRule>
  </conditionalFormatting>
  <conditionalFormatting sqref="L1238">
    <cfRule type="expression" dxfId="15491" priority="56704">
      <formula>$H1238="CÉLULA CONSTRUTIVA"</formula>
    </cfRule>
    <cfRule type="expression" dxfId="15490" priority="56705">
      <formula>$H1238="SUBETAPA"</formula>
    </cfRule>
    <cfRule type="expression" dxfId="15489" priority="56706">
      <formula>$H1238="ETAPA"</formula>
    </cfRule>
  </conditionalFormatting>
  <conditionalFormatting sqref="L1239">
    <cfRule type="expression" dxfId="15488" priority="86916">
      <formula>$H1239="CÉLULA CONSTRUTIVA"</formula>
    </cfRule>
    <cfRule type="expression" dxfId="15487" priority="86917">
      <formula>$H1239="SUBETAPA"</formula>
    </cfRule>
    <cfRule type="expression" dxfId="15486" priority="86918">
      <formula>$H1239="ETAPA"</formula>
    </cfRule>
  </conditionalFormatting>
  <conditionalFormatting sqref="L1240">
    <cfRule type="expression" dxfId="15485" priority="86913">
      <formula>$H1240="CÉLULA CONSTRUTIVA"</formula>
    </cfRule>
    <cfRule type="expression" dxfId="15484" priority="86914">
      <formula>$H1240="SUBETAPA"</formula>
    </cfRule>
    <cfRule type="expression" dxfId="15483" priority="86915">
      <formula>$H1240="ETAPA"</formula>
    </cfRule>
  </conditionalFormatting>
  <conditionalFormatting sqref="L1241">
    <cfRule type="expression" dxfId="15482" priority="86910">
      <formula>$H1241="CÉLULA CONSTRUTIVA"</formula>
    </cfRule>
    <cfRule type="expression" dxfId="15481" priority="86911">
      <formula>$H1241="SUBETAPA"</formula>
    </cfRule>
    <cfRule type="expression" dxfId="15480" priority="86912">
      <formula>$H1241="ETAPA"</formula>
    </cfRule>
  </conditionalFormatting>
  <conditionalFormatting sqref="L1262">
    <cfRule type="expression" dxfId="15479" priority="2713">
      <formula>$H1262="ETAPA"</formula>
    </cfRule>
    <cfRule type="expression" dxfId="15478" priority="2724">
      <formula>$H1262="CÉLULA CONSTRUTIVA"</formula>
    </cfRule>
    <cfRule type="expression" dxfId="15477" priority="2725">
      <formula>$H1262="SUBETAPA"</formula>
    </cfRule>
  </conditionalFormatting>
  <conditionalFormatting sqref="L1263:L1264">
    <cfRule type="expression" dxfId="15476" priority="2710">
      <formula>$H1263="CÉLULA CONSTRUTIVA"</formula>
    </cfRule>
    <cfRule type="expression" dxfId="15475" priority="2711">
      <formula>$H1263="SUBETAPA"</formula>
    </cfRule>
    <cfRule type="expression" dxfId="15474" priority="2712">
      <formula>$H1263="ETAPA"</formula>
    </cfRule>
  </conditionalFormatting>
  <conditionalFormatting sqref="L1265">
    <cfRule type="expression" dxfId="15473" priority="2707">
      <formula>$H1265="CÉLULA CONSTRUTIVA"</formula>
    </cfRule>
    <cfRule type="expression" dxfId="15472" priority="2708">
      <formula>$H1265="SUBETAPA"</formula>
    </cfRule>
    <cfRule type="expression" dxfId="15471" priority="2709">
      <formula>$H1265="ETAPA"</formula>
    </cfRule>
  </conditionalFormatting>
  <conditionalFormatting sqref="L1266">
    <cfRule type="expression" dxfId="15470" priority="2704">
      <formula>$H1266="CÉLULA CONSTRUTIVA"</formula>
    </cfRule>
    <cfRule type="expression" dxfId="15469" priority="2705">
      <formula>$H1266="SUBETAPA"</formula>
    </cfRule>
    <cfRule type="expression" dxfId="15468" priority="2706">
      <formula>$H1266="ETAPA"</formula>
    </cfRule>
  </conditionalFormatting>
  <conditionalFormatting sqref="L1276">
    <cfRule type="expression" dxfId="15467" priority="2782">
      <formula>$H1276="ETAPA"</formula>
    </cfRule>
    <cfRule type="expression" dxfId="15466" priority="2793">
      <formula>$H1276="CÉLULA CONSTRUTIVA"</formula>
    </cfRule>
    <cfRule type="expression" dxfId="15465" priority="2794">
      <formula>$H1276="SUBETAPA"</formula>
    </cfRule>
  </conditionalFormatting>
  <conditionalFormatting sqref="L1277:L1278">
    <cfRule type="expression" dxfId="15464" priority="2779">
      <formula>$H1277="CÉLULA CONSTRUTIVA"</formula>
    </cfRule>
    <cfRule type="expression" dxfId="15463" priority="2780">
      <formula>$H1277="SUBETAPA"</formula>
    </cfRule>
    <cfRule type="expression" dxfId="15462" priority="2781">
      <formula>$H1277="ETAPA"</formula>
    </cfRule>
  </conditionalFormatting>
  <conditionalFormatting sqref="L1279">
    <cfRule type="expression" dxfId="15461" priority="2776">
      <formula>$H1279="CÉLULA CONSTRUTIVA"</formula>
    </cfRule>
    <cfRule type="expression" dxfId="15460" priority="2777">
      <formula>$H1279="SUBETAPA"</formula>
    </cfRule>
    <cfRule type="expression" dxfId="15459" priority="2778">
      <formula>$H1279="ETAPA"</formula>
    </cfRule>
  </conditionalFormatting>
  <conditionalFormatting sqref="L1280">
    <cfRule type="expression" dxfId="15458" priority="2773">
      <formula>$H1280="CÉLULA CONSTRUTIVA"</formula>
    </cfRule>
    <cfRule type="expression" dxfId="15457" priority="2774">
      <formula>$H1280="SUBETAPA"</formula>
    </cfRule>
    <cfRule type="expression" dxfId="15456" priority="2775">
      <formula>$H1280="ETAPA"</formula>
    </cfRule>
  </conditionalFormatting>
  <conditionalFormatting sqref="L1290">
    <cfRule type="expression" dxfId="15455" priority="2851">
      <formula>$H1290="ETAPA"</formula>
    </cfRule>
    <cfRule type="expression" dxfId="15454" priority="2862">
      <formula>$H1290="CÉLULA CONSTRUTIVA"</formula>
    </cfRule>
    <cfRule type="expression" dxfId="15453" priority="2863">
      <formula>$H1290="SUBETAPA"</formula>
    </cfRule>
  </conditionalFormatting>
  <conditionalFormatting sqref="L1291:L1292">
    <cfRule type="expression" dxfId="15452" priority="2848">
      <formula>$H1291="CÉLULA CONSTRUTIVA"</formula>
    </cfRule>
    <cfRule type="expression" dxfId="15451" priority="2849">
      <formula>$H1291="SUBETAPA"</formula>
    </cfRule>
    <cfRule type="expression" dxfId="15450" priority="2850">
      <formula>$H1291="ETAPA"</formula>
    </cfRule>
  </conditionalFormatting>
  <conditionalFormatting sqref="L1293">
    <cfRule type="expression" dxfId="15449" priority="2845">
      <formula>$H1293="CÉLULA CONSTRUTIVA"</formula>
    </cfRule>
    <cfRule type="expression" dxfId="15448" priority="2846">
      <formula>$H1293="SUBETAPA"</formula>
    </cfRule>
    <cfRule type="expression" dxfId="15447" priority="2847">
      <formula>$H1293="ETAPA"</formula>
    </cfRule>
  </conditionalFormatting>
  <conditionalFormatting sqref="L1294">
    <cfRule type="expression" dxfId="15446" priority="2842">
      <formula>$H1294="CÉLULA CONSTRUTIVA"</formula>
    </cfRule>
    <cfRule type="expression" dxfId="15445" priority="2843">
      <formula>$H1294="SUBETAPA"</formula>
    </cfRule>
    <cfRule type="expression" dxfId="15444" priority="2844">
      <formula>$H1294="ETAPA"</formula>
    </cfRule>
  </conditionalFormatting>
  <conditionalFormatting sqref="L1304">
    <cfRule type="expression" dxfId="15443" priority="2920">
      <formula>$H1304="ETAPA"</formula>
    </cfRule>
    <cfRule type="expression" dxfId="15442" priority="2931">
      <formula>$H1304="CÉLULA CONSTRUTIVA"</formula>
    </cfRule>
    <cfRule type="expression" dxfId="15441" priority="2932">
      <formula>$H1304="SUBETAPA"</formula>
    </cfRule>
  </conditionalFormatting>
  <conditionalFormatting sqref="L1305:L1306">
    <cfRule type="expression" dxfId="15440" priority="2917">
      <formula>$H1305="CÉLULA CONSTRUTIVA"</formula>
    </cfRule>
    <cfRule type="expression" dxfId="15439" priority="2918">
      <formula>$H1305="SUBETAPA"</formula>
    </cfRule>
    <cfRule type="expression" dxfId="15438" priority="2919">
      <formula>$H1305="ETAPA"</formula>
    </cfRule>
  </conditionalFormatting>
  <conditionalFormatting sqref="L1307">
    <cfRule type="expression" dxfId="15437" priority="2914">
      <formula>$H1307="CÉLULA CONSTRUTIVA"</formula>
    </cfRule>
    <cfRule type="expression" dxfId="15436" priority="2915">
      <formula>$H1307="SUBETAPA"</formula>
    </cfRule>
    <cfRule type="expression" dxfId="15435" priority="2916">
      <formula>$H1307="ETAPA"</formula>
    </cfRule>
  </conditionalFormatting>
  <conditionalFormatting sqref="L1308">
    <cfRule type="expression" dxfId="15434" priority="2911">
      <formula>$H1308="CÉLULA CONSTRUTIVA"</formula>
    </cfRule>
    <cfRule type="expression" dxfId="15433" priority="2912">
      <formula>$H1308="SUBETAPA"</formula>
    </cfRule>
    <cfRule type="expression" dxfId="15432" priority="2913">
      <formula>$H1308="ETAPA"</formula>
    </cfRule>
  </conditionalFormatting>
  <conditionalFormatting sqref="L1318">
    <cfRule type="expression" dxfId="15431" priority="2989">
      <formula>$H1318="ETAPA"</formula>
    </cfRule>
    <cfRule type="expression" dxfId="15430" priority="3000">
      <formula>$H1318="CÉLULA CONSTRUTIVA"</formula>
    </cfRule>
    <cfRule type="expression" dxfId="15429" priority="3001">
      <formula>$H1318="SUBETAPA"</formula>
    </cfRule>
  </conditionalFormatting>
  <conditionalFormatting sqref="L1319:L1320">
    <cfRule type="expression" dxfId="15428" priority="2986">
      <formula>$H1319="CÉLULA CONSTRUTIVA"</formula>
    </cfRule>
    <cfRule type="expression" dxfId="15427" priority="2987">
      <formula>$H1319="SUBETAPA"</formula>
    </cfRule>
    <cfRule type="expression" dxfId="15426" priority="2988">
      <formula>$H1319="ETAPA"</formula>
    </cfRule>
  </conditionalFormatting>
  <conditionalFormatting sqref="L1321">
    <cfRule type="expression" dxfId="15425" priority="2983">
      <formula>$H1321="CÉLULA CONSTRUTIVA"</formula>
    </cfRule>
    <cfRule type="expression" dxfId="15424" priority="2984">
      <formula>$H1321="SUBETAPA"</formula>
    </cfRule>
    <cfRule type="expression" dxfId="15423" priority="2985">
      <formula>$H1321="ETAPA"</formula>
    </cfRule>
  </conditionalFormatting>
  <conditionalFormatting sqref="L1322">
    <cfRule type="expression" dxfId="15422" priority="2980">
      <formula>$H1322="CÉLULA CONSTRUTIVA"</formula>
    </cfRule>
    <cfRule type="expression" dxfId="15421" priority="2981">
      <formula>$H1322="SUBETAPA"</formula>
    </cfRule>
    <cfRule type="expression" dxfId="15420" priority="2982">
      <formula>$H1322="ETAPA"</formula>
    </cfRule>
  </conditionalFormatting>
  <conditionalFormatting sqref="L1332">
    <cfRule type="expression" dxfId="15419" priority="3058">
      <formula>$H1332="ETAPA"</formula>
    </cfRule>
    <cfRule type="expression" dxfId="15418" priority="3069">
      <formula>$H1332="CÉLULA CONSTRUTIVA"</formula>
    </cfRule>
    <cfRule type="expression" dxfId="15417" priority="3070">
      <formula>$H1332="SUBETAPA"</formula>
    </cfRule>
  </conditionalFormatting>
  <conditionalFormatting sqref="L1333:L1334">
    <cfRule type="expression" dxfId="15416" priority="3055">
      <formula>$H1333="CÉLULA CONSTRUTIVA"</formula>
    </cfRule>
    <cfRule type="expression" dxfId="15415" priority="3056">
      <formula>$H1333="SUBETAPA"</formula>
    </cfRule>
    <cfRule type="expression" dxfId="15414" priority="3057">
      <formula>$H1333="ETAPA"</formula>
    </cfRule>
  </conditionalFormatting>
  <conditionalFormatting sqref="L1335">
    <cfRule type="expression" dxfId="15413" priority="3052">
      <formula>$H1335="CÉLULA CONSTRUTIVA"</formula>
    </cfRule>
    <cfRule type="expression" dxfId="15412" priority="3053">
      <formula>$H1335="SUBETAPA"</formula>
    </cfRule>
    <cfRule type="expression" dxfId="15411" priority="3054">
      <formula>$H1335="ETAPA"</formula>
    </cfRule>
  </conditionalFormatting>
  <conditionalFormatting sqref="L1336">
    <cfRule type="expression" dxfId="15410" priority="3049">
      <formula>$H1336="CÉLULA CONSTRUTIVA"</formula>
    </cfRule>
    <cfRule type="expression" dxfId="15409" priority="3050">
      <formula>$H1336="SUBETAPA"</formula>
    </cfRule>
    <cfRule type="expression" dxfId="15408" priority="3051">
      <formula>$H1336="ETAPA"</formula>
    </cfRule>
  </conditionalFormatting>
  <conditionalFormatting sqref="L1346">
    <cfRule type="expression" dxfId="15407" priority="3127">
      <formula>$H1346="ETAPA"</formula>
    </cfRule>
    <cfRule type="expression" dxfId="15406" priority="3138">
      <formula>$H1346="CÉLULA CONSTRUTIVA"</formula>
    </cfRule>
    <cfRule type="expression" dxfId="15405" priority="3139">
      <formula>$H1346="SUBETAPA"</formula>
    </cfRule>
  </conditionalFormatting>
  <conditionalFormatting sqref="L1347:L1348">
    <cfRule type="expression" dxfId="15404" priority="3124">
      <formula>$H1347="CÉLULA CONSTRUTIVA"</formula>
    </cfRule>
    <cfRule type="expression" dxfId="15403" priority="3125">
      <formula>$H1347="SUBETAPA"</formula>
    </cfRule>
    <cfRule type="expression" dxfId="15402" priority="3126">
      <formula>$H1347="ETAPA"</formula>
    </cfRule>
  </conditionalFormatting>
  <conditionalFormatting sqref="L1349">
    <cfRule type="expression" dxfId="15401" priority="3121">
      <formula>$H1349="CÉLULA CONSTRUTIVA"</formula>
    </cfRule>
    <cfRule type="expression" dxfId="15400" priority="3122">
      <formula>$H1349="SUBETAPA"</formula>
    </cfRule>
    <cfRule type="expression" dxfId="15399" priority="3123">
      <formula>$H1349="ETAPA"</formula>
    </cfRule>
  </conditionalFormatting>
  <conditionalFormatting sqref="L1350">
    <cfRule type="expression" dxfId="15398" priority="3118">
      <formula>$H1350="CÉLULA CONSTRUTIVA"</formula>
    </cfRule>
    <cfRule type="expression" dxfId="15397" priority="3119">
      <formula>$H1350="SUBETAPA"</formula>
    </cfRule>
    <cfRule type="expression" dxfId="15396" priority="3120">
      <formula>$H1350="ETAPA"</formula>
    </cfRule>
  </conditionalFormatting>
  <conditionalFormatting sqref="L1360">
    <cfRule type="expression" dxfId="15395" priority="110374">
      <formula>$H1360="CÉLULA CONSTRUTIVA"</formula>
    </cfRule>
    <cfRule type="expression" dxfId="15394" priority="110375">
      <formula>$H1360="SUBETAPA"</formula>
    </cfRule>
    <cfRule type="expression" dxfId="15393" priority="110376">
      <formula>$H1360="ETAPA"</formula>
    </cfRule>
  </conditionalFormatting>
  <conditionalFormatting sqref="L1361:L1362">
    <cfRule type="expression" dxfId="15392" priority="86675">
      <formula>$H1361="CÉLULA CONSTRUTIVA"</formula>
    </cfRule>
    <cfRule type="expression" dxfId="15391" priority="86676">
      <formula>$H1361="SUBETAPA"</formula>
    </cfRule>
    <cfRule type="expression" dxfId="15390" priority="86677">
      <formula>$H1361="ETAPA"</formula>
    </cfRule>
  </conditionalFormatting>
  <conditionalFormatting sqref="L1363">
    <cfRule type="expression" dxfId="15389" priority="86672">
      <formula>$H1363="CÉLULA CONSTRUTIVA"</formula>
    </cfRule>
    <cfRule type="expression" dxfId="15388" priority="86673">
      <formula>$H1363="SUBETAPA"</formula>
    </cfRule>
    <cfRule type="expression" dxfId="15387" priority="86674">
      <formula>$H1363="ETAPA"</formula>
    </cfRule>
  </conditionalFormatting>
  <conditionalFormatting sqref="L1364">
    <cfRule type="expression" dxfId="15386" priority="86669">
      <formula>$H1364="CÉLULA CONSTRUTIVA"</formula>
    </cfRule>
    <cfRule type="expression" dxfId="15385" priority="86670">
      <formula>$H1364="SUBETAPA"</formula>
    </cfRule>
    <cfRule type="expression" dxfId="15384" priority="86671">
      <formula>$H1364="ETAPA"</formula>
    </cfRule>
  </conditionalFormatting>
  <conditionalFormatting sqref="L1365">
    <cfRule type="expression" dxfId="15383" priority="86666">
      <formula>$H1365="CÉLULA CONSTRUTIVA"</formula>
    </cfRule>
    <cfRule type="expression" dxfId="15382" priority="86667">
      <formula>$H1365="SUBETAPA"</formula>
    </cfRule>
    <cfRule type="expression" dxfId="15381" priority="86668">
      <formula>$H1365="ETAPA"</formula>
    </cfRule>
  </conditionalFormatting>
  <conditionalFormatting sqref="L1366">
    <cfRule type="expression" dxfId="15380" priority="53752">
      <formula>$H1366="CÉLULA CONSTRUTIVA"</formula>
    </cfRule>
    <cfRule type="expression" dxfId="15379" priority="53753">
      <formula>$H1366="SUBETAPA"</formula>
    </cfRule>
    <cfRule type="expression" dxfId="15378" priority="53754">
      <formula>$H1366="ETAPA"</formula>
    </cfRule>
  </conditionalFormatting>
  <conditionalFormatting sqref="L1367">
    <cfRule type="expression" dxfId="15377" priority="53749">
      <formula>$H1367="CÉLULA CONSTRUTIVA"</formula>
    </cfRule>
    <cfRule type="expression" dxfId="15376" priority="53750">
      <formula>$H1367="SUBETAPA"</formula>
    </cfRule>
    <cfRule type="expression" dxfId="15375" priority="53751">
      <formula>$H1367="ETAPA"</formula>
    </cfRule>
  </conditionalFormatting>
  <conditionalFormatting sqref="L1368">
    <cfRule type="expression" dxfId="15374" priority="53746">
      <formula>$H1368="CÉLULA CONSTRUTIVA"</formula>
    </cfRule>
    <cfRule type="expression" dxfId="15373" priority="53747">
      <formula>$H1368="SUBETAPA"</formula>
    </cfRule>
    <cfRule type="expression" dxfId="15372" priority="53748">
      <formula>$H1368="ETAPA"</formula>
    </cfRule>
  </conditionalFormatting>
  <conditionalFormatting sqref="L1371">
    <cfRule type="expression" dxfId="15371" priority="53876">
      <formula>$H1371="CÉLULA CONSTRUTIVA"</formula>
    </cfRule>
    <cfRule type="expression" dxfId="15370" priority="53877">
      <formula>$H1371="SUBETAPA"</formula>
    </cfRule>
    <cfRule type="expression" dxfId="15369" priority="53878">
      <formula>$H1371="ETAPA"</formula>
    </cfRule>
  </conditionalFormatting>
  <conditionalFormatting sqref="L1374">
    <cfRule type="expression" dxfId="15368" priority="54000">
      <formula>$H1374="CÉLULA CONSTRUTIVA"</formula>
    </cfRule>
    <cfRule type="expression" dxfId="15367" priority="54001">
      <formula>$H1374="SUBETAPA"</formula>
    </cfRule>
    <cfRule type="expression" dxfId="15366" priority="54002">
      <formula>$H1374="ETAPA"</formula>
    </cfRule>
  </conditionalFormatting>
  <conditionalFormatting sqref="L1377">
    <cfRule type="expression" dxfId="15365" priority="54124">
      <formula>$H1377="CÉLULA CONSTRUTIVA"</formula>
    </cfRule>
    <cfRule type="expression" dxfId="15364" priority="54125">
      <formula>$H1377="SUBETAPA"</formula>
    </cfRule>
    <cfRule type="expression" dxfId="15363" priority="54126">
      <formula>$H1377="ETAPA"</formula>
    </cfRule>
  </conditionalFormatting>
  <conditionalFormatting sqref="L1380">
    <cfRule type="expression" dxfId="15362" priority="54248">
      <formula>$H1380="CÉLULA CONSTRUTIVA"</formula>
    </cfRule>
    <cfRule type="expression" dxfId="15361" priority="54249">
      <formula>$H1380="SUBETAPA"</formula>
    </cfRule>
    <cfRule type="expression" dxfId="15360" priority="54250">
      <formula>$H1380="ETAPA"</formula>
    </cfRule>
  </conditionalFormatting>
  <conditionalFormatting sqref="L1383">
    <cfRule type="expression" dxfId="15359" priority="54372">
      <formula>$H1383="CÉLULA CONSTRUTIVA"</formula>
    </cfRule>
    <cfRule type="expression" dxfId="15358" priority="54373">
      <formula>$H1383="SUBETAPA"</formula>
    </cfRule>
    <cfRule type="expression" dxfId="15357" priority="54374">
      <formula>$H1383="ETAPA"</formula>
    </cfRule>
  </conditionalFormatting>
  <conditionalFormatting sqref="L1386">
    <cfRule type="expression" dxfId="15356" priority="54496">
      <formula>$H1386="CÉLULA CONSTRUTIVA"</formula>
    </cfRule>
    <cfRule type="expression" dxfId="15355" priority="54497">
      <formula>$H1386="SUBETAPA"</formula>
    </cfRule>
    <cfRule type="expression" dxfId="15354" priority="54498">
      <formula>$H1386="ETAPA"</formula>
    </cfRule>
  </conditionalFormatting>
  <conditionalFormatting sqref="L1387">
    <cfRule type="expression" dxfId="15353" priority="54493">
      <formula>$H1387="CÉLULA CONSTRUTIVA"</formula>
    </cfRule>
    <cfRule type="expression" dxfId="15352" priority="54494">
      <formula>$H1387="SUBETAPA"</formula>
    </cfRule>
    <cfRule type="expression" dxfId="15351" priority="54495">
      <formula>$H1387="ETAPA"</formula>
    </cfRule>
  </conditionalFormatting>
  <conditionalFormatting sqref="L1388">
    <cfRule type="expression" dxfId="15350" priority="54490">
      <formula>$H1388="CÉLULA CONSTRUTIVA"</formula>
    </cfRule>
    <cfRule type="expression" dxfId="15349" priority="54491">
      <formula>$H1388="SUBETAPA"</formula>
    </cfRule>
    <cfRule type="expression" dxfId="15348" priority="54492">
      <formula>$H1388="ETAPA"</formula>
    </cfRule>
  </conditionalFormatting>
  <conditionalFormatting sqref="L1393">
    <cfRule type="expression" dxfId="15347" priority="54620">
      <formula>$H1393="CÉLULA CONSTRUTIVA"</formula>
    </cfRule>
    <cfRule type="expression" dxfId="15346" priority="54621">
      <formula>$H1393="SUBETAPA"</formula>
    </cfRule>
    <cfRule type="expression" dxfId="15345" priority="54622">
      <formula>$H1393="ETAPA"</formula>
    </cfRule>
  </conditionalFormatting>
  <conditionalFormatting sqref="L1394">
    <cfRule type="expression" dxfId="15344" priority="54617">
      <formula>$H1394="CÉLULA CONSTRUTIVA"</formula>
    </cfRule>
    <cfRule type="expression" dxfId="15343" priority="54618">
      <formula>$H1394="SUBETAPA"</formula>
    </cfRule>
    <cfRule type="expression" dxfId="15342" priority="54619">
      <formula>$H1394="ETAPA"</formula>
    </cfRule>
  </conditionalFormatting>
  <conditionalFormatting sqref="L1395">
    <cfRule type="expression" dxfId="15341" priority="54614">
      <formula>$H1395="CÉLULA CONSTRUTIVA"</formula>
    </cfRule>
    <cfRule type="expression" dxfId="15340" priority="54615">
      <formula>$H1395="SUBETAPA"</formula>
    </cfRule>
    <cfRule type="expression" dxfId="15339" priority="54616">
      <formula>$H1395="ETAPA"</formula>
    </cfRule>
  </conditionalFormatting>
  <conditionalFormatting sqref="L1400">
    <cfRule type="expression" dxfId="15338" priority="54744">
      <formula>$H1400="CÉLULA CONSTRUTIVA"</formula>
    </cfRule>
    <cfRule type="expression" dxfId="15337" priority="54745">
      <formula>$H1400="SUBETAPA"</formula>
    </cfRule>
    <cfRule type="expression" dxfId="15336" priority="54746">
      <formula>$H1400="ETAPA"</formula>
    </cfRule>
  </conditionalFormatting>
  <conditionalFormatting sqref="L1401">
    <cfRule type="expression" dxfId="15335" priority="54741">
      <formula>$H1401="CÉLULA CONSTRUTIVA"</formula>
    </cfRule>
    <cfRule type="expression" dxfId="15334" priority="54742">
      <formula>$H1401="SUBETAPA"</formula>
    </cfRule>
    <cfRule type="expression" dxfId="15333" priority="54743">
      <formula>$H1401="ETAPA"</formula>
    </cfRule>
  </conditionalFormatting>
  <conditionalFormatting sqref="L1402">
    <cfRule type="expression" dxfId="15332" priority="54738">
      <formula>$H1402="CÉLULA CONSTRUTIVA"</formula>
    </cfRule>
    <cfRule type="expression" dxfId="15331" priority="54739">
      <formula>$H1402="SUBETAPA"</formula>
    </cfRule>
    <cfRule type="expression" dxfId="15330" priority="54740">
      <formula>$H1402="ETAPA"</formula>
    </cfRule>
  </conditionalFormatting>
  <conditionalFormatting sqref="L1405">
    <cfRule type="expression" dxfId="15329" priority="54868">
      <formula>$H1405="CÉLULA CONSTRUTIVA"</formula>
    </cfRule>
    <cfRule type="expression" dxfId="15328" priority="54869">
      <formula>$H1405="SUBETAPA"</formula>
    </cfRule>
    <cfRule type="expression" dxfId="15327" priority="54870">
      <formula>$H1405="ETAPA"</formula>
    </cfRule>
  </conditionalFormatting>
  <conditionalFormatting sqref="L1406">
    <cfRule type="expression" dxfId="15326" priority="54865">
      <formula>$H1406="CÉLULA CONSTRUTIVA"</formula>
    </cfRule>
    <cfRule type="expression" dxfId="15325" priority="54866">
      <formula>$H1406="SUBETAPA"</formula>
    </cfRule>
    <cfRule type="expression" dxfId="15324" priority="54867">
      <formula>$H1406="ETAPA"</formula>
    </cfRule>
  </conditionalFormatting>
  <conditionalFormatting sqref="L1407">
    <cfRule type="expression" dxfId="15323" priority="54862">
      <formula>$H1407="CÉLULA CONSTRUTIVA"</formula>
    </cfRule>
    <cfRule type="expression" dxfId="15322" priority="54863">
      <formula>$H1407="SUBETAPA"</formula>
    </cfRule>
    <cfRule type="expression" dxfId="15321" priority="54864">
      <formula>$H1407="ETAPA"</formula>
    </cfRule>
  </conditionalFormatting>
  <conditionalFormatting sqref="L1410">
    <cfRule type="expression" dxfId="15320" priority="54992">
      <formula>$H1410="CÉLULA CONSTRUTIVA"</formula>
    </cfRule>
    <cfRule type="expression" dxfId="15319" priority="54993">
      <formula>$H1410="SUBETAPA"</formula>
    </cfRule>
    <cfRule type="expression" dxfId="15318" priority="54994">
      <formula>$H1410="ETAPA"</formula>
    </cfRule>
  </conditionalFormatting>
  <conditionalFormatting sqref="L1411">
    <cfRule type="expression" dxfId="15317" priority="54989">
      <formula>$H1411="CÉLULA CONSTRUTIVA"</formula>
    </cfRule>
    <cfRule type="expression" dxfId="15316" priority="54990">
      <formula>$H1411="SUBETAPA"</formula>
    </cfRule>
    <cfRule type="expression" dxfId="15315" priority="54991">
      <formula>$H1411="ETAPA"</formula>
    </cfRule>
  </conditionalFormatting>
  <conditionalFormatting sqref="L1412">
    <cfRule type="expression" dxfId="15314" priority="54986">
      <formula>$H1412="CÉLULA CONSTRUTIVA"</formula>
    </cfRule>
    <cfRule type="expression" dxfId="15313" priority="54987">
      <formula>$H1412="SUBETAPA"</formula>
    </cfRule>
    <cfRule type="expression" dxfId="15312" priority="54988">
      <formula>$H1412="ETAPA"</formula>
    </cfRule>
  </conditionalFormatting>
  <conditionalFormatting sqref="L1415">
    <cfRule type="expression" dxfId="15311" priority="55116">
      <formula>$H1415="CÉLULA CONSTRUTIVA"</formula>
    </cfRule>
    <cfRule type="expression" dxfId="15310" priority="55117">
      <formula>$H1415="SUBETAPA"</formula>
    </cfRule>
    <cfRule type="expression" dxfId="15309" priority="55118">
      <formula>$H1415="ETAPA"</formula>
    </cfRule>
  </conditionalFormatting>
  <conditionalFormatting sqref="L1416">
    <cfRule type="expression" dxfId="15308" priority="55113">
      <formula>$H1416="CÉLULA CONSTRUTIVA"</formula>
    </cfRule>
    <cfRule type="expression" dxfId="15307" priority="55114">
      <formula>$H1416="SUBETAPA"</formula>
    </cfRule>
    <cfRule type="expression" dxfId="15306" priority="55115">
      <formula>$H1416="ETAPA"</formula>
    </cfRule>
  </conditionalFormatting>
  <conditionalFormatting sqref="L1417">
    <cfRule type="expression" dxfId="15305" priority="55110">
      <formula>$H1417="CÉLULA CONSTRUTIVA"</formula>
    </cfRule>
    <cfRule type="expression" dxfId="15304" priority="55111">
      <formula>$H1417="SUBETAPA"</formula>
    </cfRule>
    <cfRule type="expression" dxfId="15303" priority="55112">
      <formula>$H1417="ETAPA"</formula>
    </cfRule>
  </conditionalFormatting>
  <conditionalFormatting sqref="L1420">
    <cfRule type="expression" dxfId="15302" priority="55240">
      <formula>$H1420="CÉLULA CONSTRUTIVA"</formula>
    </cfRule>
    <cfRule type="expression" dxfId="15301" priority="55241">
      <formula>$H1420="SUBETAPA"</formula>
    </cfRule>
    <cfRule type="expression" dxfId="15300" priority="55242">
      <formula>$H1420="ETAPA"</formula>
    </cfRule>
  </conditionalFormatting>
  <conditionalFormatting sqref="L1427">
    <cfRule type="expression" dxfId="15299" priority="91771">
      <formula>$H1427="CÉLULA CONSTRUTIVA"</formula>
    </cfRule>
  </conditionalFormatting>
  <conditionalFormatting sqref="L1440">
    <cfRule type="expression" dxfId="15298" priority="92323">
      <formula>$H1440="ETAPA"</formula>
    </cfRule>
  </conditionalFormatting>
  <conditionalFormatting sqref="L1442">
    <cfRule type="expression" dxfId="15297" priority="92319">
      <formula>$H1442="SUBETAPA"</formula>
    </cfRule>
    <cfRule type="expression" dxfId="15296" priority="92320">
      <formula>$H1442="CÉLULA CONSTRUTIVA"</formula>
    </cfRule>
  </conditionalFormatting>
  <conditionalFormatting sqref="L1471">
    <cfRule type="expression" dxfId="15295" priority="94407">
      <formula>$H1471="CÉLULA CONSTRUTIVA"</formula>
    </cfRule>
  </conditionalFormatting>
  <conditionalFormatting sqref="L1480">
    <cfRule type="expression" dxfId="15294" priority="4348">
      <formula>$H1480="ETAPA"</formula>
    </cfRule>
  </conditionalFormatting>
  <conditionalFormatting sqref="L1480:L1485">
    <cfRule type="expression" dxfId="15293" priority="4350">
      <formula>$H1480="SUBETAPA"</formula>
    </cfRule>
    <cfRule type="expression" dxfId="15292" priority="4351">
      <formula>$H1480="CÉLULA CONSTRUTIVA"</formula>
    </cfRule>
  </conditionalFormatting>
  <conditionalFormatting sqref="L1497">
    <cfRule type="expression" dxfId="15291" priority="87795">
      <formula>$H1497="CÉLULA CONSTRUTIVA"</formula>
    </cfRule>
  </conditionalFormatting>
  <conditionalFormatting sqref="L1498">
    <cfRule type="expression" dxfId="15290" priority="4642">
      <formula>$H1498="CÉLULA CONSTRUTIVA"</formula>
    </cfRule>
    <cfRule type="expression" dxfId="15289" priority="4643">
      <formula>$H1498="ETAPA"</formula>
    </cfRule>
  </conditionalFormatting>
  <conditionalFormatting sqref="L1511">
    <cfRule type="expression" dxfId="15288" priority="4276">
      <formula>$H1511="ETAPA"</formula>
    </cfRule>
  </conditionalFormatting>
  <conditionalFormatting sqref="L1511:L1518">
    <cfRule type="expression" dxfId="15287" priority="4278">
      <formula>$H1511="SUBETAPA"</formula>
    </cfRule>
    <cfRule type="expression" dxfId="15286" priority="4279">
      <formula>$H1511="CÉLULA CONSTRUTIVA"</formula>
    </cfRule>
  </conditionalFormatting>
  <conditionalFormatting sqref="L1522">
    <cfRule type="expression" dxfId="15285" priority="88454">
      <formula>$H1522="CÉLULA CONSTRUTIVA"</formula>
    </cfRule>
  </conditionalFormatting>
  <conditionalFormatting sqref="L1533">
    <cfRule type="expression" dxfId="15284" priority="89006">
      <formula>$H1533="ETAPA"</formula>
    </cfRule>
  </conditionalFormatting>
  <conditionalFormatting sqref="L1542">
    <cfRule type="expression" dxfId="15283" priority="89113">
      <formula>$H1542="CÉLULA CONSTRUTIVA"</formula>
    </cfRule>
  </conditionalFormatting>
  <conditionalFormatting sqref="L1555">
    <cfRule type="expression" dxfId="15282" priority="89665">
      <formula>$H1555="ETAPA"</formula>
    </cfRule>
  </conditionalFormatting>
  <conditionalFormatting sqref="L1581">
    <cfRule type="expression" dxfId="15281" priority="90431">
      <formula>$H1581="CÉLULA CONSTRUTIVA"</formula>
    </cfRule>
  </conditionalFormatting>
  <conditionalFormatting sqref="L1593">
    <cfRule type="expression" dxfId="15280" priority="90983">
      <formula>$H1593="ETAPA"</formula>
    </cfRule>
  </conditionalFormatting>
  <conditionalFormatting sqref="L1602">
    <cfRule type="expression" dxfId="15279" priority="91090">
      <formula>$H1602="CÉLULA CONSTRUTIVA"</formula>
    </cfRule>
  </conditionalFormatting>
  <conditionalFormatting sqref="L1614">
    <cfRule type="expression" dxfId="15278" priority="91643">
      <formula>$H1614="ETAPA"</formula>
    </cfRule>
  </conditionalFormatting>
  <conditionalFormatting sqref="L1623">
    <cfRule type="expression" dxfId="15277" priority="95725">
      <formula>$H1623="CÉLULA CONSTRUTIVA"</formula>
    </cfRule>
  </conditionalFormatting>
  <conditionalFormatting sqref="L1627">
    <cfRule type="expression" dxfId="15276" priority="4522">
      <formula>$H1627="CÉLULA CONSTRUTIVA"</formula>
    </cfRule>
    <cfRule type="expression" dxfId="15275" priority="4523">
      <formula>$H1627="ETAPA"</formula>
    </cfRule>
  </conditionalFormatting>
  <conditionalFormatting sqref="L1638">
    <cfRule type="expression" dxfId="15274" priority="96277">
      <formula>$H1638="ETAPA"</formula>
    </cfRule>
  </conditionalFormatting>
  <conditionalFormatting sqref="L1647">
    <cfRule type="expression" dxfId="15273" priority="96384">
      <formula>$H1647="CÉLULA CONSTRUTIVA"</formula>
    </cfRule>
  </conditionalFormatting>
  <conditionalFormatting sqref="L1656">
    <cfRule type="expression" dxfId="15272" priority="96936">
      <formula>$H1656="ETAPA"</formula>
    </cfRule>
  </conditionalFormatting>
  <conditionalFormatting sqref="L1676:L1677 K1679 K1692:L1692 O1692 L1679:L1680 H1678:H1679 K1678:L1678 O1679 K1693">
    <cfRule type="expression" dxfId="15271" priority="80572">
      <formula>$H1676="CÉLULA CONSTRUTIVA"</formula>
    </cfRule>
  </conditionalFormatting>
  <conditionalFormatting sqref="L1676:L1677 K1692:L1692 O1692 K1679 L1679:L1680 O1679 H1678:H1679 K1678:L1678 K1693">
    <cfRule type="expression" dxfId="15270" priority="80571">
      <formula>$H1676="SUBETAPA"</formula>
    </cfRule>
  </conditionalFormatting>
  <conditionalFormatting sqref="L1684">
    <cfRule type="expression" dxfId="15269" priority="80357">
      <formula>$H1684="SUBETAPA"</formula>
    </cfRule>
    <cfRule type="expression" dxfId="15268" priority="80358">
      <formula>$H1684="CÉLULA CONSTRUTIVA"</formula>
    </cfRule>
  </conditionalFormatting>
  <conditionalFormatting sqref="L1692:L1693">
    <cfRule type="expression" dxfId="15267" priority="80649">
      <formula>$H1692="ETAPA"</formula>
    </cfRule>
  </conditionalFormatting>
  <conditionalFormatting sqref="L1696:L1697 K1699 K1708:L1708 O1708 H1698:H1699 K1698:L1698 O1698:O1699 K1709">
    <cfRule type="expression" dxfId="15266" priority="80896">
      <formula>$H1696="CÉLULA CONSTRUTIVA"</formula>
    </cfRule>
  </conditionalFormatting>
  <conditionalFormatting sqref="L1696:L1697 K1708:L1708 O1708 K1699 O1698:O1699 H1698:H1699 K1698:L1698 K1709">
    <cfRule type="expression" dxfId="15265" priority="80895">
      <formula>$H1696="SUBETAPA"</formula>
    </cfRule>
  </conditionalFormatting>
  <conditionalFormatting sqref="L1701">
    <cfRule type="expression" dxfId="15264" priority="80681">
      <formula>$H1701="SUBETAPA"</formula>
    </cfRule>
    <cfRule type="expression" dxfId="15263" priority="80682">
      <formula>$H1701="CÉLULA CONSTRUTIVA"</formula>
    </cfRule>
  </conditionalFormatting>
  <conditionalFormatting sqref="L1708:L1709">
    <cfRule type="expression" dxfId="15262" priority="80973">
      <formula>$H1708="ETAPA"</formula>
    </cfRule>
  </conditionalFormatting>
  <conditionalFormatting sqref="L1712:L1713 K1715 K1723:L1723 O1723 H1714:H1715 K1714:L1714 O1714:O1715 K1724">
    <cfRule type="expression" dxfId="15261" priority="81220">
      <formula>$H1712="CÉLULA CONSTRUTIVA"</formula>
    </cfRule>
  </conditionalFormatting>
  <conditionalFormatting sqref="L1712:L1713 K1723:L1723 O1723 K1715 O1714:O1715 H1714:H1715 K1714:L1714 K1724">
    <cfRule type="expression" dxfId="15260" priority="81219">
      <formula>$H1712="SUBETAPA"</formula>
    </cfRule>
  </conditionalFormatting>
  <conditionalFormatting sqref="L1717">
    <cfRule type="expression" dxfId="15259" priority="81005">
      <formula>$H1717="SUBETAPA"</formula>
    </cfRule>
    <cfRule type="expression" dxfId="15258" priority="81006">
      <formula>$H1717="CÉLULA CONSTRUTIVA"</formula>
    </cfRule>
  </conditionalFormatting>
  <conditionalFormatting sqref="L1723:L1724">
    <cfRule type="expression" dxfId="15257" priority="81297">
      <formula>$H1723="ETAPA"</formula>
    </cfRule>
  </conditionalFormatting>
  <conditionalFormatting sqref="L1727:L1728 K1730 K1736:L1736 O1736 H1729:H1730 K1729:L1729 O1729:O1730">
    <cfRule type="expression" dxfId="15256" priority="81544">
      <formula>$H1727="CÉLULA CONSTRUTIVA"</formula>
    </cfRule>
  </conditionalFormatting>
  <conditionalFormatting sqref="L1727:L1728 K1736:L1736 O1736 K1730 O1729:O1730 H1729:H1730 K1729:L1729">
    <cfRule type="expression" dxfId="15255" priority="81543">
      <formula>$H1727="SUBETAPA"</formula>
    </cfRule>
  </conditionalFormatting>
  <conditionalFormatting sqref="L1732">
    <cfRule type="expression" dxfId="15254" priority="81329">
      <formula>$H1732="SUBETAPA"</formula>
    </cfRule>
    <cfRule type="expression" dxfId="15253" priority="81330">
      <formula>$H1732="CÉLULA CONSTRUTIVA"</formula>
    </cfRule>
  </conditionalFormatting>
  <conditionalFormatting sqref="L1736">
    <cfRule type="expression" dxfId="15252" priority="81621">
      <formula>$H1736="ETAPA"</formula>
    </cfRule>
  </conditionalFormatting>
  <conditionalFormatting sqref="L1739:L1740 K1742 K1748:L1748 O1748">
    <cfRule type="expression" dxfId="15251" priority="81868">
      <formula>$H1739="CÉLULA CONSTRUTIVA"</formula>
    </cfRule>
  </conditionalFormatting>
  <conditionalFormatting sqref="L1739:L1740 K1748:L1748 O1748 K1742">
    <cfRule type="expression" dxfId="15250" priority="81867">
      <formula>$H1739="SUBETAPA"</formula>
    </cfRule>
  </conditionalFormatting>
  <conditionalFormatting sqref="L1744">
    <cfRule type="expression" dxfId="15249" priority="81653">
      <formula>$H1744="SUBETAPA"</formula>
    </cfRule>
    <cfRule type="expression" dxfId="15248" priority="81654">
      <formula>$H1744="CÉLULA CONSTRUTIVA"</formula>
    </cfRule>
  </conditionalFormatting>
  <conditionalFormatting sqref="L1748">
    <cfRule type="expression" dxfId="15247" priority="81945">
      <formula>$H1748="ETAPA"</formula>
    </cfRule>
  </conditionalFormatting>
  <conditionalFormatting sqref="L1751:L1752 K1754 K1760:L1760 O1760 H1753:H1754 K1753:L1753 O1753:O1754">
    <cfRule type="expression" dxfId="15246" priority="82192">
      <formula>$H1751="CÉLULA CONSTRUTIVA"</formula>
    </cfRule>
  </conditionalFormatting>
  <conditionalFormatting sqref="L1751:L1752 K1760:L1760 O1760 K1754 O1753:O1754 H1753:H1754 K1753:L1753">
    <cfRule type="expression" dxfId="15245" priority="82191">
      <formula>$H1751="SUBETAPA"</formula>
    </cfRule>
  </conditionalFormatting>
  <conditionalFormatting sqref="L1756">
    <cfRule type="expression" dxfId="15244" priority="81977">
      <formula>$H1756="SUBETAPA"</formula>
    </cfRule>
    <cfRule type="expression" dxfId="15243" priority="81978">
      <formula>$H1756="CÉLULA CONSTRUTIVA"</formula>
    </cfRule>
  </conditionalFormatting>
  <conditionalFormatting sqref="L1760">
    <cfRule type="expression" dxfId="15242" priority="82269">
      <formula>$H1760="ETAPA"</formula>
    </cfRule>
  </conditionalFormatting>
  <conditionalFormatting sqref="L1763:L1764 K1766 L1774 H1781:H1783 K1783:L1783 O1783 L1766:L1767 H1765:H1766 K1765:L1765 O1765:O1766 L1776:L1780 J1781:L1782 K1784">
    <cfRule type="expression" dxfId="15241" priority="82516">
      <formula>$H1763="CÉLULA CONSTRUTIVA"</formula>
    </cfRule>
  </conditionalFormatting>
  <conditionalFormatting sqref="L1763:L1764 K1783:L1783 L1774 O1783 K1766 H1781:H1783 L1766:L1767 O1765:O1766 H1765:H1766 K1765:L1765 L1776:L1780 J1781:L1782 K1784">
    <cfRule type="expression" dxfId="15240" priority="82515">
      <formula>$H1763="SUBETAPA"</formula>
    </cfRule>
  </conditionalFormatting>
  <conditionalFormatting sqref="L1772">
    <cfRule type="expression" dxfId="15239" priority="82301">
      <formula>$H1772="SUBETAPA"</formula>
    </cfRule>
    <cfRule type="expression" dxfId="15238" priority="82302">
      <formula>$H1772="CÉLULA CONSTRUTIVA"</formula>
    </cfRule>
  </conditionalFormatting>
  <conditionalFormatting sqref="L1783:L1784">
    <cfRule type="expression" dxfId="15237" priority="82593">
      <formula>$H1783="ETAPA"</formula>
    </cfRule>
  </conditionalFormatting>
  <conditionalFormatting sqref="L1787:L1788 K1790 L1796 H1798 K1809:L1809 O1809 J1798 L1790:L1791 H1789:H1790 K1789:L1789 O1789:O1790 L1798 L1803:L1807 K1810">
    <cfRule type="expression" dxfId="15236" priority="82840">
      <formula>$H1787="CÉLULA CONSTRUTIVA"</formula>
    </cfRule>
  </conditionalFormatting>
  <conditionalFormatting sqref="L1787:L1788 L1798 K1809:L1809 L1796 O1809 K1790 L1790:L1791 O1789:O1790 H1789:H1790 K1789:L1789 L1803:L1807 K1810">
    <cfRule type="expression" dxfId="15235" priority="82839">
      <formula>$H1787="SUBETAPA"</formula>
    </cfRule>
  </conditionalFormatting>
  <conditionalFormatting sqref="L1794">
    <cfRule type="expression" dxfId="15234" priority="82625">
      <formula>$H1794="SUBETAPA"</formula>
    </cfRule>
    <cfRule type="expression" dxfId="15233" priority="82626">
      <formula>$H1794="CÉLULA CONSTRUTIVA"</formula>
    </cfRule>
  </conditionalFormatting>
  <conditionalFormatting sqref="L1809:L1810">
    <cfRule type="expression" dxfId="15232" priority="82917">
      <formula>$H1809="ETAPA"</formula>
    </cfRule>
  </conditionalFormatting>
  <conditionalFormatting sqref="L1813:L1814 K1815:L1815 K1823">
    <cfRule type="expression" dxfId="15231" priority="83163">
      <formula>$H1813="SUBETAPA"</formula>
    </cfRule>
    <cfRule type="expression" dxfId="15230" priority="83164">
      <formula>$H1813="CÉLULA CONSTRUTIVA"</formula>
    </cfRule>
  </conditionalFormatting>
  <conditionalFormatting sqref="L1826:L1827 K1828:L1828 K1836">
    <cfRule type="expression" dxfId="15229" priority="83487">
      <formula>$H1826="SUBETAPA"</formula>
    </cfRule>
    <cfRule type="expression" dxfId="15228" priority="83488">
      <formula>$H1826="CÉLULA CONSTRUTIVA"</formula>
    </cfRule>
  </conditionalFormatting>
  <conditionalFormatting sqref="L1839:L1840 K1851:L1851 H2754 O1851 L2339 J2754:K2754 K1841:L1841 K1852 L2755 L505:L508 L523:L526 L541:L544 L559:L562 L594:L597">
    <cfRule type="expression" dxfId="15227" priority="116239">
      <formula>$H505="SUBETAPA"</formula>
    </cfRule>
  </conditionalFormatting>
  <conditionalFormatting sqref="L1839:L1840 K1851:L1851 O1851 H2754 J2754:K2754 K1841:L1841 K1852 L2755 L505:L508 L523:L526 L541:L544 L559:L562 L594:L597 M2754">
    <cfRule type="expression" dxfId="15226" priority="116240">
      <formula>$H505="CÉLULA CONSTRUTIVA"</formula>
    </cfRule>
  </conditionalFormatting>
  <conditionalFormatting sqref="L1851">
    <cfRule type="expression" dxfId="15225" priority="119700">
      <formula>$H1851="ETAPA"</formula>
    </cfRule>
  </conditionalFormatting>
  <conditionalFormatting sqref="L1855:L1856 K1867:L1867 O1867 K1857:L1857 K1868">
    <cfRule type="expression" dxfId="15224" priority="79300">
      <formula>$H1855="SUBETAPA"</formula>
    </cfRule>
    <cfRule type="expression" dxfId="15223" priority="79301">
      <formula>$H1855="CÉLULA CONSTRUTIVA"</formula>
    </cfRule>
  </conditionalFormatting>
  <conditionalFormatting sqref="L1867:L1868">
    <cfRule type="expression" dxfId="15222" priority="79378">
      <formula>$H1867="ETAPA"</formula>
    </cfRule>
  </conditionalFormatting>
  <conditionalFormatting sqref="L1871:L1872 K1880:L1880 O1880 K1873:L1873 K1881">
    <cfRule type="expression" dxfId="15221" priority="79624">
      <formula>$H1871="SUBETAPA"</formula>
    </cfRule>
    <cfRule type="expression" dxfId="15220" priority="79625">
      <formula>$H1871="CÉLULA CONSTRUTIVA"</formula>
    </cfRule>
  </conditionalFormatting>
  <conditionalFormatting sqref="L1880:L1881">
    <cfRule type="expression" dxfId="15219" priority="79702">
      <formula>$H1880="ETAPA"</formula>
    </cfRule>
  </conditionalFormatting>
  <conditionalFormatting sqref="L1884:L1885 K1886:L1886 K1891 K1896">
    <cfRule type="expression" dxfId="15218" priority="79948">
      <formula>$H1884="SUBETAPA"</formula>
    </cfRule>
    <cfRule type="expression" dxfId="15217" priority="79949">
      <formula>$H1884="CÉLULA CONSTRUTIVA"</formula>
    </cfRule>
  </conditionalFormatting>
  <conditionalFormatting sqref="L1909">
    <cfRule type="expression" dxfId="15216" priority="75977">
      <formula>$H1909="ETAPA"</formula>
    </cfRule>
  </conditionalFormatting>
  <conditionalFormatting sqref="L2040">
    <cfRule type="expression" dxfId="15215" priority="67131">
      <formula>$H2040="SUBETAPA"</formula>
    </cfRule>
    <cfRule type="expression" dxfId="15214" priority="67132">
      <formula>$H2040="CÉLULA CONSTRUTIVA"</formula>
    </cfRule>
  </conditionalFormatting>
  <conditionalFormatting sqref="L2067 H2068 L2071 J2068:L2068">
    <cfRule type="expression" dxfId="15213" priority="67772">
      <formula>$H2067="CÉLULA CONSTRUTIVA"</formula>
    </cfRule>
  </conditionalFormatting>
  <conditionalFormatting sqref="L2071 L2067:L2069">
    <cfRule type="expression" dxfId="15212" priority="67771">
      <formula>$H2067="SUBETAPA"</formula>
    </cfRule>
  </conditionalFormatting>
  <conditionalFormatting sqref="L2088">
    <cfRule type="expression" dxfId="15211" priority="68411">
      <formula>$H2088="SUBETAPA"</formula>
    </cfRule>
    <cfRule type="expression" dxfId="15210" priority="68412">
      <formula>$H2088="CÉLULA CONSTRUTIVA"</formula>
    </cfRule>
  </conditionalFormatting>
  <conditionalFormatting sqref="L2090">
    <cfRule type="expression" dxfId="15209" priority="60577">
      <formula>$H2090="CÉLULA CONSTRUTIVA"</formula>
    </cfRule>
    <cfRule type="expression" dxfId="15208" priority="60580">
      <formula>$H2090="SUBETAPA"</formula>
    </cfRule>
  </conditionalFormatting>
  <conditionalFormatting sqref="L2090:L2092">
    <cfRule type="expression" dxfId="15207" priority="60581">
      <formula>$H2090="ETAPA"</formula>
    </cfRule>
  </conditionalFormatting>
  <conditionalFormatting sqref="L2091">
    <cfRule type="expression" dxfId="15206" priority="60578">
      <formula>$H2091="SUBETAPA"</formula>
    </cfRule>
    <cfRule type="expression" dxfId="15205" priority="60579">
      <formula>$H2091="CÉLULA CONSTRUTIVA"</formula>
    </cfRule>
  </conditionalFormatting>
  <conditionalFormatting sqref="L2092">
    <cfRule type="expression" dxfId="15204" priority="60583">
      <formula>$H2092="SUBETAPA"</formula>
    </cfRule>
    <cfRule type="expression" dxfId="15203" priority="60584">
      <formula>$H2092="CÉLULA CONSTRUTIVA"</formula>
    </cfRule>
  </conditionalFormatting>
  <conditionalFormatting sqref="L2105">
    <cfRule type="expression" dxfId="15202" priority="69051">
      <formula>$H2105="SUBETAPA"</formula>
    </cfRule>
    <cfRule type="expression" dxfId="15201" priority="69052">
      <formula>$H2105="CÉLULA CONSTRUTIVA"</formula>
    </cfRule>
  </conditionalFormatting>
  <conditionalFormatting sqref="L2107">
    <cfRule type="expression" dxfId="15200" priority="60569">
      <formula>$H2107="CÉLULA CONSTRUTIVA"</formula>
    </cfRule>
    <cfRule type="expression" dxfId="15199" priority="60572">
      <formula>$H2107="SUBETAPA"</formula>
    </cfRule>
    <cfRule type="expression" dxfId="15198" priority="60573">
      <formula>$H2107="ETAPA"</formula>
    </cfRule>
  </conditionalFormatting>
  <conditionalFormatting sqref="L2108">
    <cfRule type="expression" dxfId="15197" priority="60570">
      <formula>$H2108="SUBETAPA"</formula>
    </cfRule>
    <cfRule type="expression" dxfId="15196" priority="60571">
      <formula>$H2108="CÉLULA CONSTRUTIVA"</formula>
    </cfRule>
  </conditionalFormatting>
  <conditionalFormatting sqref="L2121">
    <cfRule type="expression" dxfId="15195" priority="69691">
      <formula>$H2121="SUBETAPA"</formula>
    </cfRule>
    <cfRule type="expression" dxfId="15194" priority="69692">
      <formula>$H2121="CÉLULA CONSTRUTIVA"</formula>
    </cfRule>
  </conditionalFormatting>
  <conditionalFormatting sqref="L2123">
    <cfRule type="expression" dxfId="15193" priority="60563">
      <formula>$H2123="CÉLULA CONSTRUTIVA"</formula>
    </cfRule>
    <cfRule type="expression" dxfId="15192" priority="60566">
      <formula>$H2123="SUBETAPA"</formula>
    </cfRule>
  </conditionalFormatting>
  <conditionalFormatting sqref="L2123:L2124">
    <cfRule type="expression" dxfId="15191" priority="60567">
      <formula>$H2123="ETAPA"</formula>
    </cfRule>
  </conditionalFormatting>
  <conditionalFormatting sqref="L2124">
    <cfRule type="expression" dxfId="15190" priority="60564">
      <formula>$H2124="SUBETAPA"</formula>
    </cfRule>
    <cfRule type="expression" dxfId="15189" priority="60565">
      <formula>$H2124="CÉLULA CONSTRUTIVA"</formula>
    </cfRule>
  </conditionalFormatting>
  <conditionalFormatting sqref="L2138">
    <cfRule type="expression" dxfId="15188" priority="70331">
      <formula>$H2138="SUBETAPA"</formula>
    </cfRule>
    <cfRule type="expression" dxfId="15187" priority="70332">
      <formula>$H2138="CÉLULA CONSTRUTIVA"</formula>
    </cfRule>
  </conditionalFormatting>
  <conditionalFormatting sqref="L2141">
    <cfRule type="expression" dxfId="15186" priority="60554">
      <formula>$H2141="CÉLULA CONSTRUTIVA"</formula>
    </cfRule>
    <cfRule type="expression" dxfId="15185" priority="60557">
      <formula>$H2141="SUBETAPA"</formula>
    </cfRule>
  </conditionalFormatting>
  <conditionalFormatting sqref="L2141:L2143">
    <cfRule type="expression" dxfId="15184" priority="60558">
      <formula>$H2141="ETAPA"</formula>
    </cfRule>
  </conditionalFormatting>
  <conditionalFormatting sqref="L2142">
    <cfRule type="expression" dxfId="15183" priority="60555">
      <formula>$H2142="SUBETAPA"</formula>
    </cfRule>
    <cfRule type="expression" dxfId="15182" priority="60556">
      <formula>$H2142="CÉLULA CONSTRUTIVA"</formula>
    </cfRule>
  </conditionalFormatting>
  <conditionalFormatting sqref="L2143">
    <cfRule type="expression" dxfId="15181" priority="60561">
      <formula>$H2143="SUBETAPA"</formula>
    </cfRule>
    <cfRule type="expression" dxfId="15180" priority="60562">
      <formula>$H2143="CÉLULA CONSTRUTIVA"</formula>
    </cfRule>
  </conditionalFormatting>
  <conditionalFormatting sqref="L2156">
    <cfRule type="expression" dxfId="15179" priority="70971">
      <formula>$H2156="SUBETAPA"</formula>
    </cfRule>
    <cfRule type="expression" dxfId="15178" priority="70972">
      <formula>$H2156="CÉLULA CONSTRUTIVA"</formula>
    </cfRule>
  </conditionalFormatting>
  <conditionalFormatting sqref="L2158">
    <cfRule type="expression" dxfId="15177" priority="60545">
      <formula>$H2158="CÉLULA CONSTRUTIVA"</formula>
    </cfRule>
    <cfRule type="expression" dxfId="15176" priority="60548">
      <formula>$H2158="SUBETAPA"</formula>
    </cfRule>
  </conditionalFormatting>
  <conditionalFormatting sqref="L2158:L2160">
    <cfRule type="expression" dxfId="15175" priority="60549">
      <formula>$H2158="ETAPA"</formula>
    </cfRule>
  </conditionalFormatting>
  <conditionalFormatting sqref="L2159">
    <cfRule type="expression" dxfId="15174" priority="60546">
      <formula>$H2159="SUBETAPA"</formula>
    </cfRule>
    <cfRule type="expression" dxfId="15173" priority="60547">
      <formula>$H2159="CÉLULA CONSTRUTIVA"</formula>
    </cfRule>
  </conditionalFormatting>
  <conditionalFormatting sqref="L2160">
    <cfRule type="expression" dxfId="15172" priority="60552">
      <formula>$H2160="SUBETAPA"</formula>
    </cfRule>
    <cfRule type="expression" dxfId="15171" priority="60553">
      <formula>$H2160="CÉLULA CONSTRUTIVA"</formula>
    </cfRule>
  </conditionalFormatting>
  <conditionalFormatting sqref="L2164">
    <cfRule type="expression" dxfId="15170" priority="70785">
      <formula>$H2164="SUBETAPA"</formula>
    </cfRule>
  </conditionalFormatting>
  <conditionalFormatting sqref="L2185:L2186">
    <cfRule type="expression" dxfId="15169" priority="60542">
      <formula>$H2185="CÉLULA CONSTRUTIVA"</formula>
    </cfRule>
    <cfRule type="expression" dxfId="15168" priority="60543">
      <formula>$H2185="SUBETAPA"</formula>
    </cfRule>
    <cfRule type="expression" dxfId="15167" priority="60544">
      <formula>$H2185="ETAPA"</formula>
    </cfRule>
  </conditionalFormatting>
  <conditionalFormatting sqref="L2194:L2195">
    <cfRule type="expression" dxfId="15166" priority="71333">
      <formula>$H2194="SUBETAPA"</formula>
    </cfRule>
    <cfRule type="expression" dxfId="15165" priority="71334">
      <formula>$H2194="CÉLULA CONSTRUTIVA"</formula>
    </cfRule>
  </conditionalFormatting>
  <conditionalFormatting sqref="L2216:L2218">
    <cfRule type="expression" dxfId="15164" priority="60539">
      <formula>$H2216="CÉLULA CONSTRUTIVA"</formula>
    </cfRule>
    <cfRule type="expression" dxfId="15163" priority="60540">
      <formula>$H2216="SUBETAPA"</formula>
    </cfRule>
    <cfRule type="expression" dxfId="15162" priority="60541">
      <formula>$H2216="ETAPA"</formula>
    </cfRule>
  </conditionalFormatting>
  <conditionalFormatting sqref="L2236:L2238">
    <cfRule type="expression" dxfId="15161" priority="60530">
      <formula>$H2236="CÉLULA CONSTRUTIVA"</formula>
    </cfRule>
    <cfRule type="expression" dxfId="15160" priority="60531">
      <formula>$H2236="SUBETAPA"</formula>
    </cfRule>
    <cfRule type="expression" dxfId="15159" priority="60532">
      <formula>$H2236="ETAPA"</formula>
    </cfRule>
  </conditionalFormatting>
  <conditionalFormatting sqref="L2256:L2258">
    <cfRule type="expression" dxfId="15158" priority="60527">
      <formula>$H2256="CÉLULA CONSTRUTIVA"</formula>
    </cfRule>
    <cfRule type="expression" dxfId="15157" priority="60528">
      <formula>$H2256="SUBETAPA"</formula>
    </cfRule>
    <cfRule type="expression" dxfId="15156" priority="60529">
      <formula>$H2256="ETAPA"</formula>
    </cfRule>
  </conditionalFormatting>
  <conditionalFormatting sqref="L2279:L2281">
    <cfRule type="expression" dxfId="15155" priority="60536">
      <formula>$H2279="CÉLULA CONSTRUTIVA"</formula>
    </cfRule>
    <cfRule type="expression" dxfId="15154" priority="60537">
      <formula>$H2279="SUBETAPA"</formula>
    </cfRule>
    <cfRule type="expression" dxfId="15153" priority="60538">
      <formula>$H2279="ETAPA"</formula>
    </cfRule>
  </conditionalFormatting>
  <conditionalFormatting sqref="L2304:L2306">
    <cfRule type="expression" dxfId="15152" priority="60533">
      <formula>$H2304="CÉLULA CONSTRUTIVA"</formula>
    </cfRule>
    <cfRule type="expression" dxfId="15151" priority="60534">
      <formula>$H2304="SUBETAPA"</formula>
    </cfRule>
    <cfRule type="expression" dxfId="15150" priority="60535">
      <formula>$H2304="ETAPA"</formula>
    </cfRule>
  </conditionalFormatting>
  <conditionalFormatting sqref="L2347">
    <cfRule type="expression" dxfId="15149" priority="7138">
      <formula>$H2347="ETAPA"</formula>
    </cfRule>
    <cfRule type="expression" dxfId="15148" priority="7139">
      <formula>$H2347="SUBETAPA"</formula>
    </cfRule>
    <cfRule type="expression" dxfId="15147" priority="7140">
      <formula>$H2347="CÉLULA CONSTRUTIVA"</formula>
    </cfRule>
  </conditionalFormatting>
  <conditionalFormatting sqref="L2368">
    <cfRule type="expression" dxfId="15146" priority="7109">
      <formula>$H2368="ETAPA"</formula>
    </cfRule>
    <cfRule type="expression" dxfId="15145" priority="7110">
      <formula>$H2368="SUBETAPA"</formula>
    </cfRule>
    <cfRule type="expression" dxfId="15144" priority="7111">
      <formula>$H2368="CÉLULA CONSTRUTIVA"</formula>
    </cfRule>
  </conditionalFormatting>
  <conditionalFormatting sqref="L2379 L2384:L2385">
    <cfRule type="expression" dxfId="15143" priority="62208">
      <formula>$H2379="SUBETAPA"</formula>
    </cfRule>
    <cfRule type="expression" dxfId="15142" priority="62209">
      <formula>$H2379="CÉLULA CONSTRUTIVA"</formula>
    </cfRule>
  </conditionalFormatting>
  <conditionalFormatting sqref="L2380">
    <cfRule type="expression" dxfId="15141" priority="7089">
      <formula>$H2380="SUBETAPA"</formula>
    </cfRule>
    <cfRule type="expression" dxfId="15140" priority="7090">
      <formula>$H2380="CÉLULA CONSTRUTIVA"</formula>
    </cfRule>
  </conditionalFormatting>
  <conditionalFormatting sqref="L2395">
    <cfRule type="expression" dxfId="15139" priority="7053">
      <formula>$H2395="ETAPA"</formula>
    </cfRule>
    <cfRule type="expression" dxfId="15138" priority="7054">
      <formula>$H2395="SUBETAPA"</formula>
    </cfRule>
    <cfRule type="expression" dxfId="15137" priority="7055">
      <formula>$H2395="CÉLULA CONSTRUTIVA"</formula>
    </cfRule>
  </conditionalFormatting>
  <conditionalFormatting sqref="L2404">
    <cfRule type="expression" dxfId="15136" priority="62447">
      <formula>$H2404="SUBETAPA"</formula>
    </cfRule>
    <cfRule type="expression" dxfId="15135" priority="62448">
      <formula>$H2404="CÉLULA CONSTRUTIVA"</formula>
    </cfRule>
  </conditionalFormatting>
  <conditionalFormatting sqref="L2405">
    <cfRule type="expression" dxfId="15134" priority="7033">
      <formula>$H2405="SUBETAPA"</formula>
    </cfRule>
    <cfRule type="expression" dxfId="15133" priority="7034">
      <formula>$H2405="CÉLULA CONSTRUTIVA"</formula>
    </cfRule>
  </conditionalFormatting>
  <conditionalFormatting sqref="L2418">
    <cfRule type="expression" dxfId="15132" priority="6997">
      <formula>$H2418="ETAPA"</formula>
    </cfRule>
    <cfRule type="expression" dxfId="15131" priority="6998">
      <formula>$H2418="SUBETAPA"</formula>
    </cfRule>
    <cfRule type="expression" dxfId="15130" priority="6999">
      <formula>$H2418="CÉLULA CONSTRUTIVA"</formula>
    </cfRule>
  </conditionalFormatting>
  <conditionalFormatting sqref="L2427">
    <cfRule type="expression" dxfId="15129" priority="62686">
      <formula>$H2427="SUBETAPA"</formula>
    </cfRule>
    <cfRule type="expression" dxfId="15128" priority="62687">
      <formula>$H2427="CÉLULA CONSTRUTIVA"</formula>
    </cfRule>
  </conditionalFormatting>
  <conditionalFormatting sqref="L2428">
    <cfRule type="expression" dxfId="15127" priority="6977">
      <formula>$H2428="SUBETAPA"</formula>
    </cfRule>
    <cfRule type="expression" dxfId="15126" priority="6978">
      <formula>$H2428="CÉLULA CONSTRUTIVA"</formula>
    </cfRule>
  </conditionalFormatting>
  <conditionalFormatting sqref="L2441">
    <cfRule type="expression" dxfId="15125" priority="6941">
      <formula>$H2441="ETAPA"</formula>
    </cfRule>
    <cfRule type="expression" dxfId="15124" priority="6942">
      <formula>$H2441="SUBETAPA"</formula>
    </cfRule>
    <cfRule type="expression" dxfId="15123" priority="6943">
      <formula>$H2441="CÉLULA CONSTRUTIVA"</formula>
    </cfRule>
  </conditionalFormatting>
  <conditionalFormatting sqref="L2450">
    <cfRule type="expression" dxfId="15122" priority="62925">
      <formula>$H2450="SUBETAPA"</formula>
    </cfRule>
    <cfRule type="expression" dxfId="15121" priority="62926">
      <formula>$H2450="CÉLULA CONSTRUTIVA"</formula>
    </cfRule>
  </conditionalFormatting>
  <conditionalFormatting sqref="L2451">
    <cfRule type="expression" dxfId="15120" priority="6921">
      <formula>$H2451="SUBETAPA"</formula>
    </cfRule>
    <cfRule type="expression" dxfId="15119" priority="6922">
      <formula>$H2451="CÉLULA CONSTRUTIVA"</formula>
    </cfRule>
  </conditionalFormatting>
  <conditionalFormatting sqref="L2465">
    <cfRule type="expression" dxfId="15118" priority="6885">
      <formula>$H2465="ETAPA"</formula>
    </cfRule>
    <cfRule type="expression" dxfId="15117" priority="6886">
      <formula>$H2465="SUBETAPA"</formula>
    </cfRule>
    <cfRule type="expression" dxfId="15116" priority="6887">
      <formula>$H2465="CÉLULA CONSTRUTIVA"</formula>
    </cfRule>
  </conditionalFormatting>
  <conditionalFormatting sqref="L2474">
    <cfRule type="expression" dxfId="15115" priority="63164">
      <formula>$H2474="SUBETAPA"</formula>
    </cfRule>
    <cfRule type="expression" dxfId="15114" priority="63165">
      <formula>$H2474="CÉLULA CONSTRUTIVA"</formula>
    </cfRule>
  </conditionalFormatting>
  <conditionalFormatting sqref="L2475">
    <cfRule type="expression" dxfId="15113" priority="6865">
      <formula>$H2475="SUBETAPA"</formula>
    </cfRule>
    <cfRule type="expression" dxfId="15112" priority="6866">
      <formula>$H2475="CÉLULA CONSTRUTIVA"</formula>
    </cfRule>
  </conditionalFormatting>
  <conditionalFormatting sqref="L2489">
    <cfRule type="expression" dxfId="15111" priority="6829">
      <formula>$H2489="ETAPA"</formula>
    </cfRule>
    <cfRule type="expression" dxfId="15110" priority="6830">
      <formula>$H2489="SUBETAPA"</formula>
    </cfRule>
    <cfRule type="expression" dxfId="15109" priority="6831">
      <formula>$H2489="CÉLULA CONSTRUTIVA"</formula>
    </cfRule>
  </conditionalFormatting>
  <conditionalFormatting sqref="L2502 L2504:L2506">
    <cfRule type="expression" dxfId="15108" priority="63403">
      <formula>$H2502="SUBETAPA"</formula>
    </cfRule>
    <cfRule type="expression" dxfId="15107" priority="63404">
      <formula>$H2502="CÉLULA CONSTRUTIVA"</formula>
    </cfRule>
  </conditionalFormatting>
  <conditionalFormatting sqref="L2503">
    <cfRule type="expression" dxfId="15106" priority="6809">
      <formula>$H2503="SUBETAPA"</formula>
    </cfRule>
    <cfRule type="expression" dxfId="15105" priority="6810">
      <formula>$H2503="CÉLULA CONSTRUTIVA"</formula>
    </cfRule>
  </conditionalFormatting>
  <conditionalFormatting sqref="L2516">
    <cfRule type="expression" dxfId="15104" priority="6773">
      <formula>$H2516="ETAPA"</formula>
    </cfRule>
    <cfRule type="expression" dxfId="15103" priority="6774">
      <formula>$H2516="SUBETAPA"</formula>
    </cfRule>
    <cfRule type="expression" dxfId="15102" priority="6775">
      <formula>$H2516="CÉLULA CONSTRUTIVA"</formula>
    </cfRule>
  </conditionalFormatting>
  <conditionalFormatting sqref="L2526">
    <cfRule type="expression" dxfId="15101" priority="6735">
      <formula>$H2526="SUBETAPA"</formula>
    </cfRule>
    <cfRule type="expression" dxfId="15100" priority="6736">
      <formula>$H2526="CÉLULA CONSTRUTIVA"</formula>
    </cfRule>
  </conditionalFormatting>
  <conditionalFormatting sqref="L2537">
    <cfRule type="expression" dxfId="15099" priority="6694">
      <formula>$H2537="ETAPA"</formula>
    </cfRule>
    <cfRule type="expression" dxfId="15098" priority="6695">
      <formula>$H2537="SUBETAPA"</formula>
    </cfRule>
    <cfRule type="expression" dxfId="15097" priority="6696">
      <formula>$H2537="CÉLULA CONSTRUTIVA"</formula>
    </cfRule>
  </conditionalFormatting>
  <conditionalFormatting sqref="L2544">
    <cfRule type="expression" dxfId="15096" priority="6671">
      <formula>$H2544="SUBETAPA"</formula>
    </cfRule>
    <cfRule type="expression" dxfId="15095" priority="6672">
      <formula>$H2544="CÉLULA CONSTRUTIVA"</formula>
    </cfRule>
  </conditionalFormatting>
  <conditionalFormatting sqref="L2553">
    <cfRule type="expression" dxfId="15094" priority="6636">
      <formula>$H2553="ETAPA"</formula>
    </cfRule>
    <cfRule type="expression" dxfId="15093" priority="6637">
      <formula>$H2553="SUBETAPA"</formula>
    </cfRule>
    <cfRule type="expression" dxfId="15092" priority="6638">
      <formula>$H2553="CÉLULA CONSTRUTIVA"</formula>
    </cfRule>
  </conditionalFormatting>
  <conditionalFormatting sqref="L2560">
    <cfRule type="expression" dxfId="15091" priority="6613">
      <formula>$H2560="SUBETAPA"</formula>
    </cfRule>
    <cfRule type="expression" dxfId="15090" priority="6614">
      <formula>$H2560="CÉLULA CONSTRUTIVA"</formula>
    </cfRule>
  </conditionalFormatting>
  <conditionalFormatting sqref="L2569">
    <cfRule type="expression" dxfId="15089" priority="6578">
      <formula>$H2569="ETAPA"</formula>
    </cfRule>
    <cfRule type="expression" dxfId="15088" priority="6579">
      <formula>$H2569="SUBETAPA"</formula>
    </cfRule>
    <cfRule type="expression" dxfId="15087" priority="6580">
      <formula>$H2569="CÉLULA CONSTRUTIVA"</formula>
    </cfRule>
  </conditionalFormatting>
  <conditionalFormatting sqref="L2576">
    <cfRule type="expression" dxfId="15086" priority="6555">
      <formula>$H2576="SUBETAPA"</formula>
    </cfRule>
    <cfRule type="expression" dxfId="15085" priority="6556">
      <formula>$H2576="CÉLULA CONSTRUTIVA"</formula>
    </cfRule>
  </conditionalFormatting>
  <conditionalFormatting sqref="L2585">
    <cfRule type="expression" dxfId="15084" priority="6520">
      <formula>$H2585="ETAPA"</formula>
    </cfRule>
    <cfRule type="expression" dxfId="15083" priority="6521">
      <formula>$H2585="SUBETAPA"</formula>
    </cfRule>
    <cfRule type="expression" dxfId="15082" priority="6522">
      <formula>$H2585="CÉLULA CONSTRUTIVA"</formula>
    </cfRule>
  </conditionalFormatting>
  <conditionalFormatting sqref="L2592">
    <cfRule type="expression" dxfId="15081" priority="6497">
      <formula>$H2592="SUBETAPA"</formula>
    </cfRule>
    <cfRule type="expression" dxfId="15080" priority="6498">
      <formula>$H2592="CÉLULA CONSTRUTIVA"</formula>
    </cfRule>
  </conditionalFormatting>
  <conditionalFormatting sqref="L2601">
    <cfRule type="expression" dxfId="15079" priority="6462">
      <formula>$H2601="ETAPA"</formula>
    </cfRule>
    <cfRule type="expression" dxfId="15078" priority="6463">
      <formula>$H2601="SUBETAPA"</formula>
    </cfRule>
    <cfRule type="expression" dxfId="15077" priority="6464">
      <formula>$H2601="CÉLULA CONSTRUTIVA"</formula>
    </cfRule>
  </conditionalFormatting>
  <conditionalFormatting sqref="L2608">
    <cfRule type="expression" dxfId="15076" priority="6439">
      <formula>$H2608="SUBETAPA"</formula>
    </cfRule>
    <cfRule type="expression" dxfId="15075" priority="6440">
      <formula>$H2608="CÉLULA CONSTRUTIVA"</formula>
    </cfRule>
  </conditionalFormatting>
  <conditionalFormatting sqref="L2617">
    <cfRule type="expression" dxfId="15074" priority="6404">
      <formula>$H2617="ETAPA"</formula>
    </cfRule>
    <cfRule type="expression" dxfId="15073" priority="6405">
      <formula>$H2617="SUBETAPA"</formula>
    </cfRule>
    <cfRule type="expression" dxfId="15072" priority="6406">
      <formula>$H2617="CÉLULA CONSTRUTIVA"</formula>
    </cfRule>
  </conditionalFormatting>
  <conditionalFormatting sqref="L2623">
    <cfRule type="expression" dxfId="15071" priority="6381">
      <formula>$H2623="SUBETAPA"</formula>
    </cfRule>
    <cfRule type="expression" dxfId="15070" priority="6382">
      <formula>$H2623="CÉLULA CONSTRUTIVA"</formula>
    </cfRule>
  </conditionalFormatting>
  <conditionalFormatting sqref="L2629:L2634">
    <cfRule type="expression" dxfId="15069" priority="1941">
      <formula>$H2629="ETAPA"</formula>
    </cfRule>
  </conditionalFormatting>
  <conditionalFormatting sqref="L2640">
    <cfRule type="expression" dxfId="15068" priority="252">
      <formula>$H2640="CÉLULA CONSTRUTIVA"</formula>
    </cfRule>
    <cfRule type="expression" dxfId="15067" priority="253">
      <formula>$H2640="SUBETAPA"</formula>
    </cfRule>
    <cfRule type="expression" dxfId="15066" priority="254">
      <formula>$H2640="ETAPA"</formula>
    </cfRule>
  </conditionalFormatting>
  <conditionalFormatting sqref="L2641">
    <cfRule type="expression" dxfId="15065" priority="2009">
      <formula>$H2641="ETAPA"</formula>
    </cfRule>
  </conditionalFormatting>
  <conditionalFormatting sqref="L2650">
    <cfRule type="expression" dxfId="15064" priority="231">
      <formula>$H2650="CÉLULA CONSTRUTIVA"</formula>
    </cfRule>
    <cfRule type="expression" dxfId="15063" priority="232">
      <formula>$H2650="SUBETAPA"</formula>
    </cfRule>
    <cfRule type="expression" dxfId="15062" priority="233">
      <formula>$H2650="ETAPA"</formula>
    </cfRule>
  </conditionalFormatting>
  <conditionalFormatting sqref="L2651">
    <cfRule type="expression" dxfId="15061" priority="2077">
      <formula>$H2651="ETAPA"</formula>
    </cfRule>
  </conditionalFormatting>
  <conditionalFormatting sqref="L2659">
    <cfRule type="expression" dxfId="15060" priority="228">
      <formula>$H2659="CÉLULA CONSTRUTIVA"</formula>
    </cfRule>
    <cfRule type="expression" dxfId="15059" priority="229">
      <formula>$H2659="SUBETAPA"</formula>
    </cfRule>
    <cfRule type="expression" dxfId="15058" priority="230">
      <formula>$H2659="ETAPA"</formula>
    </cfRule>
  </conditionalFormatting>
  <conditionalFormatting sqref="L2660">
    <cfRule type="expression" dxfId="15057" priority="2145">
      <formula>$H2660="ETAPA"</formula>
    </cfRule>
  </conditionalFormatting>
  <conditionalFormatting sqref="L2666">
    <cfRule type="expression" dxfId="15056" priority="225">
      <formula>$H2666="CÉLULA CONSTRUTIVA"</formula>
    </cfRule>
    <cfRule type="expression" dxfId="15055" priority="226">
      <formula>$H2666="SUBETAPA"</formula>
    </cfRule>
    <cfRule type="expression" dxfId="15054" priority="227">
      <formula>$H2666="ETAPA"</formula>
    </cfRule>
  </conditionalFormatting>
  <conditionalFormatting sqref="L2667">
    <cfRule type="expression" dxfId="15053" priority="2213">
      <formula>$H2667="ETAPA"</formula>
    </cfRule>
  </conditionalFormatting>
  <conditionalFormatting sqref="L2673">
    <cfRule type="expression" dxfId="15052" priority="222">
      <formula>$H2673="CÉLULA CONSTRUTIVA"</formula>
    </cfRule>
    <cfRule type="expression" dxfId="15051" priority="223">
      <formula>$H2673="SUBETAPA"</formula>
    </cfRule>
    <cfRule type="expression" dxfId="15050" priority="224">
      <formula>$H2673="ETAPA"</formula>
    </cfRule>
  </conditionalFormatting>
  <conditionalFormatting sqref="L2674">
    <cfRule type="expression" dxfId="15049" priority="2281">
      <formula>$H2674="ETAPA"</formula>
    </cfRule>
  </conditionalFormatting>
  <conditionalFormatting sqref="L2675">
    <cfRule type="expression" dxfId="15048" priority="186">
      <formula>$H2675="CÉLULA CONSTRUTIVA"</formula>
    </cfRule>
    <cfRule type="expression" dxfId="15047" priority="187">
      <formula>$H2675="SUBETAPA"</formula>
    </cfRule>
    <cfRule type="expression" dxfId="15046" priority="188">
      <formula>$H2675="ETAPA"</formula>
    </cfRule>
  </conditionalFormatting>
  <conditionalFormatting sqref="L2681">
    <cfRule type="expression" dxfId="15045" priority="219">
      <formula>$H2681="CÉLULA CONSTRUTIVA"</formula>
    </cfRule>
    <cfRule type="expression" dxfId="15044" priority="220">
      <formula>$H2681="SUBETAPA"</formula>
    </cfRule>
    <cfRule type="expression" dxfId="15043" priority="221">
      <formula>$H2681="ETAPA"</formula>
    </cfRule>
  </conditionalFormatting>
  <conditionalFormatting sqref="L2682">
    <cfRule type="expression" dxfId="15042" priority="2349">
      <formula>$H2682="ETAPA"</formula>
    </cfRule>
  </conditionalFormatting>
  <conditionalFormatting sqref="L2683">
    <cfRule type="expression" dxfId="15041" priority="183">
      <formula>$H2683="CÉLULA CONSTRUTIVA"</formula>
    </cfRule>
    <cfRule type="expression" dxfId="15040" priority="184">
      <formula>$H2683="SUBETAPA"</formula>
    </cfRule>
    <cfRule type="expression" dxfId="15039" priority="185">
      <formula>$H2683="ETAPA"</formula>
    </cfRule>
  </conditionalFormatting>
  <conditionalFormatting sqref="L2691">
    <cfRule type="expression" dxfId="15038" priority="216">
      <formula>$H2691="CÉLULA CONSTRUTIVA"</formula>
    </cfRule>
    <cfRule type="expression" dxfId="15037" priority="217">
      <formula>$H2691="SUBETAPA"</formula>
    </cfRule>
    <cfRule type="expression" dxfId="15036" priority="218">
      <formula>$H2691="ETAPA"</formula>
    </cfRule>
  </conditionalFormatting>
  <conditionalFormatting sqref="L2692">
    <cfRule type="expression" dxfId="15035" priority="2417">
      <formula>$H2692="ETAPA"</formula>
    </cfRule>
  </conditionalFormatting>
  <conditionalFormatting sqref="L2693">
    <cfRule type="expression" dxfId="15034" priority="180">
      <formula>$H2693="CÉLULA CONSTRUTIVA"</formula>
    </cfRule>
    <cfRule type="expression" dxfId="15033" priority="181">
      <formula>$H2693="SUBETAPA"</formula>
    </cfRule>
    <cfRule type="expression" dxfId="15032" priority="182">
      <formula>$H2693="ETAPA"</formula>
    </cfRule>
  </conditionalFormatting>
  <conditionalFormatting sqref="L2699">
    <cfRule type="expression" dxfId="15031" priority="213">
      <formula>$H2699="CÉLULA CONSTRUTIVA"</formula>
    </cfRule>
    <cfRule type="expression" dxfId="15030" priority="214">
      <formula>$H2699="SUBETAPA"</formula>
    </cfRule>
    <cfRule type="expression" dxfId="15029" priority="215">
      <formula>$H2699="ETAPA"</formula>
    </cfRule>
  </conditionalFormatting>
  <conditionalFormatting sqref="L2700">
    <cfRule type="expression" dxfId="15028" priority="2485">
      <formula>$H2700="ETAPA"</formula>
    </cfRule>
  </conditionalFormatting>
  <conditionalFormatting sqref="L2701">
    <cfRule type="expression" dxfId="15027" priority="177">
      <formula>$H2701="CÉLULA CONSTRUTIVA"</formula>
    </cfRule>
    <cfRule type="expression" dxfId="15026" priority="178">
      <formula>$H2701="SUBETAPA"</formula>
    </cfRule>
    <cfRule type="expression" dxfId="15025" priority="179">
      <formula>$H2701="ETAPA"</formula>
    </cfRule>
  </conditionalFormatting>
  <conditionalFormatting sqref="L2710">
    <cfRule type="expression" dxfId="15024" priority="210">
      <formula>$H2710="CÉLULA CONSTRUTIVA"</formula>
    </cfRule>
    <cfRule type="expression" dxfId="15023" priority="211">
      <formula>$H2710="SUBETAPA"</formula>
    </cfRule>
    <cfRule type="expression" dxfId="15022" priority="212">
      <formula>$H2710="ETAPA"</formula>
    </cfRule>
  </conditionalFormatting>
  <conditionalFormatting sqref="L2711">
    <cfRule type="expression" dxfId="15021" priority="2553">
      <formula>$H2711="ETAPA"</formula>
    </cfRule>
  </conditionalFormatting>
  <conditionalFormatting sqref="L2712">
    <cfRule type="expression" dxfId="15020" priority="174">
      <formula>$H2712="CÉLULA CONSTRUTIVA"</formula>
    </cfRule>
    <cfRule type="expression" dxfId="15019" priority="175">
      <formula>$H2712="SUBETAPA"</formula>
    </cfRule>
    <cfRule type="expression" dxfId="15018" priority="176">
      <formula>$H2712="ETAPA"</formula>
    </cfRule>
  </conditionalFormatting>
  <conditionalFormatting sqref="L2721">
    <cfRule type="expression" dxfId="15017" priority="207">
      <formula>$H2721="CÉLULA CONSTRUTIVA"</formula>
    </cfRule>
    <cfRule type="expression" dxfId="15016" priority="208">
      <formula>$H2721="SUBETAPA"</formula>
    </cfRule>
    <cfRule type="expression" dxfId="15015" priority="209">
      <formula>$H2721="ETAPA"</formula>
    </cfRule>
  </conditionalFormatting>
  <conditionalFormatting sqref="L2722">
    <cfRule type="expression" dxfId="15014" priority="1796">
      <formula>$H2722="ETAPA"</formula>
    </cfRule>
  </conditionalFormatting>
  <conditionalFormatting sqref="L2723">
    <cfRule type="expression" dxfId="15013" priority="171">
      <formula>$H2723="CÉLULA CONSTRUTIVA"</formula>
    </cfRule>
    <cfRule type="expression" dxfId="15012" priority="172">
      <formula>$H2723="SUBETAPA"</formula>
    </cfRule>
    <cfRule type="expression" dxfId="15011" priority="173">
      <formula>$H2723="ETAPA"</formula>
    </cfRule>
  </conditionalFormatting>
  <conditionalFormatting sqref="L2732">
    <cfRule type="expression" dxfId="15010" priority="204">
      <formula>$H2732="CÉLULA CONSTRUTIVA"</formula>
    </cfRule>
    <cfRule type="expression" dxfId="15009" priority="205">
      <formula>$H2732="SUBETAPA"</formula>
    </cfRule>
    <cfRule type="expression" dxfId="15008" priority="206">
      <formula>$H2732="ETAPA"</formula>
    </cfRule>
  </conditionalFormatting>
  <conditionalFormatting sqref="L2733">
    <cfRule type="expression" dxfId="15007" priority="1868">
      <formula>$H2733="ETAPA"</formula>
    </cfRule>
  </conditionalFormatting>
  <conditionalFormatting sqref="L2734">
    <cfRule type="expression" dxfId="15006" priority="168">
      <formula>$H2734="CÉLULA CONSTRUTIVA"</formula>
    </cfRule>
    <cfRule type="expression" dxfId="15005" priority="169">
      <formula>$H2734="SUBETAPA"</formula>
    </cfRule>
    <cfRule type="expression" dxfId="15004" priority="170">
      <formula>$H2734="ETAPA"</formula>
    </cfRule>
  </conditionalFormatting>
  <conditionalFormatting sqref="L2743">
    <cfRule type="expression" dxfId="15003" priority="201">
      <formula>$H2743="CÉLULA CONSTRUTIVA"</formula>
    </cfRule>
    <cfRule type="expression" dxfId="15002" priority="202">
      <formula>$H2743="SUBETAPA"</formula>
    </cfRule>
    <cfRule type="expression" dxfId="15001" priority="203">
      <formula>$H2743="ETAPA"</formula>
    </cfRule>
  </conditionalFormatting>
  <conditionalFormatting sqref="L2744">
    <cfRule type="expression" dxfId="15000" priority="2621">
      <formula>$H2744="ETAPA"</formula>
    </cfRule>
  </conditionalFormatting>
  <conditionalFormatting sqref="L2745">
    <cfRule type="expression" dxfId="14999" priority="165">
      <formula>$H2745="CÉLULA CONSTRUTIVA"</formula>
    </cfRule>
    <cfRule type="expression" dxfId="14998" priority="166">
      <formula>$H2745="SUBETAPA"</formula>
    </cfRule>
    <cfRule type="expression" dxfId="14997" priority="167">
      <formula>$H2745="ETAPA"</formula>
    </cfRule>
  </conditionalFormatting>
  <conditionalFormatting sqref="L2754">
    <cfRule type="expression" dxfId="14996" priority="198">
      <formula>$H2754="CÉLULA CONSTRUTIVA"</formula>
    </cfRule>
    <cfRule type="expression" dxfId="14995" priority="199">
      <formula>$H2754="SUBETAPA"</formula>
    </cfRule>
    <cfRule type="expression" dxfId="14994" priority="200">
      <formula>$H2754="ETAPA"</formula>
    </cfRule>
  </conditionalFormatting>
  <conditionalFormatting sqref="L2762">
    <cfRule type="expression" dxfId="14993" priority="1387">
      <formula>$H2762="SUBETAPA"</formula>
    </cfRule>
  </conditionalFormatting>
  <conditionalFormatting sqref="L2768">
    <cfRule type="expression" dxfId="14992" priority="1429">
      <formula>$H2768="SUBETAPA"</formula>
    </cfRule>
  </conditionalFormatting>
  <conditionalFormatting sqref="L2774">
    <cfRule type="expression" dxfId="14991" priority="1471">
      <formula>$H2774="SUBETAPA"</formula>
    </cfRule>
  </conditionalFormatting>
  <conditionalFormatting sqref="L2783">
    <cfRule type="expression" dxfId="14990" priority="1513">
      <formula>$H2783="SUBETAPA"</formula>
    </cfRule>
  </conditionalFormatting>
  <conditionalFormatting sqref="L2792">
    <cfRule type="expression" dxfId="14989" priority="1555">
      <formula>$H2792="SUBETAPA"</formula>
    </cfRule>
  </conditionalFormatting>
  <conditionalFormatting sqref="L2796:L2798 M2799:M2802">
    <cfRule type="expression" dxfId="14988" priority="1600">
      <formula>$H2796="ETAPA"</formula>
    </cfRule>
    <cfRule type="expression" dxfId="14987" priority="1614">
      <formula>$H2796="SUBETAPA"</formula>
    </cfRule>
  </conditionalFormatting>
  <conditionalFormatting sqref="L2801">
    <cfRule type="expression" dxfId="14986" priority="1597">
      <formula>$H2801="SUBETAPA"</formula>
    </cfRule>
  </conditionalFormatting>
  <conditionalFormatting sqref="L2802">
    <cfRule type="expression" dxfId="14985" priority="162">
      <formula>$H2802="SUBETAPA"</formula>
    </cfRule>
    <cfRule type="expression" dxfId="14984" priority="163">
      <formula>$H2802="ETAPA"</formula>
    </cfRule>
    <cfRule type="expression" dxfId="14983" priority="164">
      <formula>$H2802="CÉLULA CONSTRUTIVA"</formula>
    </cfRule>
  </conditionalFormatting>
  <conditionalFormatting sqref="L2810">
    <cfRule type="expression" dxfId="14982" priority="1639">
      <formula>$H2810="SUBETAPA"</formula>
    </cfRule>
  </conditionalFormatting>
  <conditionalFormatting sqref="L2811">
    <cfRule type="expression" dxfId="14981" priority="159">
      <formula>$H2811="SUBETAPA"</formula>
    </cfRule>
    <cfRule type="expression" dxfId="14980" priority="160">
      <formula>$H2811="ETAPA"</formula>
    </cfRule>
    <cfRule type="expression" dxfId="14979" priority="161">
      <formula>$H2811="CÉLULA CONSTRUTIVA"</formula>
    </cfRule>
  </conditionalFormatting>
  <conditionalFormatting sqref="L2814:L2816">
    <cfRule type="expression" dxfId="14978" priority="1684">
      <formula>$H2814="ETAPA"</formula>
    </cfRule>
    <cfRule type="expression" dxfId="14977" priority="1698">
      <formula>$H2814="SUBETAPA"</formula>
    </cfRule>
  </conditionalFormatting>
  <conditionalFormatting sqref="L2817">
    <cfRule type="expression" dxfId="14976" priority="1681">
      <formula>$H2817="SUBETAPA"</formula>
    </cfRule>
  </conditionalFormatting>
  <conditionalFormatting sqref="L2818">
    <cfRule type="expression" dxfId="14975" priority="156">
      <formula>$H2818="SUBETAPA"</formula>
    </cfRule>
    <cfRule type="expression" dxfId="14974" priority="157">
      <formula>$H2818="ETAPA"</formula>
    </cfRule>
    <cfRule type="expression" dxfId="14973" priority="158">
      <formula>$H2818="CÉLULA CONSTRUTIVA"</formula>
    </cfRule>
  </conditionalFormatting>
  <conditionalFormatting sqref="L2819">
    <cfRule type="expression" dxfId="14972" priority="425">
      <formula>$H2819="ETAPA"</formula>
    </cfRule>
  </conditionalFormatting>
  <conditionalFormatting sqref="L2821">
    <cfRule type="expression" dxfId="14971" priority="153">
      <formula>$H2821="CÉLULA CONSTRUTIVA"</formula>
    </cfRule>
    <cfRule type="expression" dxfId="14970" priority="154">
      <formula>$H2821="SUBETAPA"</formula>
    </cfRule>
    <cfRule type="expression" dxfId="14969" priority="155">
      <formula>$H2821="ETAPA"</formula>
    </cfRule>
  </conditionalFormatting>
  <conditionalFormatting sqref="L2829">
    <cfRule type="expression" dxfId="14968" priority="81">
      <formula>$H2829="CÉLULA CONSTRUTIVA"</formula>
    </cfRule>
    <cfRule type="expression" dxfId="14967" priority="82">
      <formula>$H2829="SUBETAPA"</formula>
    </cfRule>
    <cfRule type="expression" dxfId="14966" priority="83">
      <formula>$H2829="ETAPA"</formula>
    </cfRule>
  </conditionalFormatting>
  <conditionalFormatting sqref="L2830">
    <cfRule type="expression" dxfId="14965" priority="490">
      <formula>$H2830="ETAPA"</formula>
    </cfRule>
  </conditionalFormatting>
  <conditionalFormatting sqref="L2832">
    <cfRule type="expression" dxfId="14964" priority="150">
      <formula>$H2832="CÉLULA CONSTRUTIVA"</formula>
    </cfRule>
    <cfRule type="expression" dxfId="14963" priority="151">
      <formula>$H2832="SUBETAPA"</formula>
    </cfRule>
    <cfRule type="expression" dxfId="14962" priority="152">
      <formula>$H2832="ETAPA"</formula>
    </cfRule>
  </conditionalFormatting>
  <conditionalFormatting sqref="L2838">
    <cfRule type="expression" dxfId="14961" priority="84">
      <formula>$H2838="CÉLULA CONSTRUTIVA"</formula>
    </cfRule>
    <cfRule type="expression" dxfId="14960" priority="85">
      <formula>$H2838="SUBETAPA"</formula>
    </cfRule>
    <cfRule type="expression" dxfId="14959" priority="86">
      <formula>$H2838="ETAPA"</formula>
    </cfRule>
  </conditionalFormatting>
  <conditionalFormatting sqref="L2839">
    <cfRule type="expression" dxfId="14958" priority="555">
      <formula>$H2839="ETAPA"</formula>
    </cfRule>
  </conditionalFormatting>
  <conditionalFormatting sqref="L2841">
    <cfRule type="expression" dxfId="14957" priority="147">
      <formula>$H2841="CÉLULA CONSTRUTIVA"</formula>
    </cfRule>
    <cfRule type="expression" dxfId="14956" priority="148">
      <formula>$H2841="SUBETAPA"</formula>
    </cfRule>
    <cfRule type="expression" dxfId="14955" priority="149">
      <formula>$H2841="ETAPA"</formula>
    </cfRule>
  </conditionalFormatting>
  <conditionalFormatting sqref="L2847">
    <cfRule type="expression" dxfId="14954" priority="87">
      <formula>$H2847="CÉLULA CONSTRUTIVA"</formula>
    </cfRule>
    <cfRule type="expression" dxfId="14953" priority="88">
      <formula>$H2847="SUBETAPA"</formula>
    </cfRule>
    <cfRule type="expression" dxfId="14952" priority="89">
      <formula>$H2847="ETAPA"</formula>
    </cfRule>
  </conditionalFormatting>
  <conditionalFormatting sqref="L2848">
    <cfRule type="expression" dxfId="14951" priority="620">
      <formula>$H2848="ETAPA"</formula>
    </cfRule>
  </conditionalFormatting>
  <conditionalFormatting sqref="L2850">
    <cfRule type="expression" dxfId="14950" priority="144">
      <formula>$H2850="CÉLULA CONSTRUTIVA"</formula>
    </cfRule>
    <cfRule type="expression" dxfId="14949" priority="145">
      <formula>$H2850="SUBETAPA"</formula>
    </cfRule>
    <cfRule type="expression" dxfId="14948" priority="146">
      <formula>$H2850="ETAPA"</formula>
    </cfRule>
  </conditionalFormatting>
  <conditionalFormatting sqref="L2856">
    <cfRule type="expression" dxfId="14947" priority="90">
      <formula>$H2856="CÉLULA CONSTRUTIVA"</formula>
    </cfRule>
    <cfRule type="expression" dxfId="14946" priority="91">
      <formula>$H2856="SUBETAPA"</formula>
    </cfRule>
    <cfRule type="expression" dxfId="14945" priority="92">
      <formula>$H2856="ETAPA"</formula>
    </cfRule>
  </conditionalFormatting>
  <conditionalFormatting sqref="L2857">
    <cfRule type="expression" dxfId="14944" priority="685">
      <formula>$H2857="ETAPA"</formula>
    </cfRule>
  </conditionalFormatting>
  <conditionalFormatting sqref="L2859">
    <cfRule type="expression" dxfId="14943" priority="141">
      <formula>$H2859="CÉLULA CONSTRUTIVA"</formula>
    </cfRule>
    <cfRule type="expression" dxfId="14942" priority="142">
      <formula>$H2859="SUBETAPA"</formula>
    </cfRule>
    <cfRule type="expression" dxfId="14941" priority="143">
      <formula>$H2859="ETAPA"</formula>
    </cfRule>
  </conditionalFormatting>
  <conditionalFormatting sqref="L2865">
    <cfRule type="expression" dxfId="14940" priority="93">
      <formula>$H2865="CÉLULA CONSTRUTIVA"</formula>
    </cfRule>
    <cfRule type="expression" dxfId="14939" priority="94">
      <formula>$H2865="SUBETAPA"</formula>
    </cfRule>
    <cfRule type="expression" dxfId="14938" priority="95">
      <formula>$H2865="ETAPA"</formula>
    </cfRule>
  </conditionalFormatting>
  <conditionalFormatting sqref="L2866">
    <cfRule type="expression" dxfId="14937" priority="750">
      <formula>$H2866="ETAPA"</formula>
    </cfRule>
  </conditionalFormatting>
  <conditionalFormatting sqref="L2868">
    <cfRule type="expression" dxfId="14936" priority="138">
      <formula>$H2868="CÉLULA CONSTRUTIVA"</formula>
    </cfRule>
    <cfRule type="expression" dxfId="14935" priority="139">
      <formula>$H2868="SUBETAPA"</formula>
    </cfRule>
    <cfRule type="expression" dxfId="14934" priority="140">
      <formula>$H2868="ETAPA"</formula>
    </cfRule>
  </conditionalFormatting>
  <conditionalFormatting sqref="L2874">
    <cfRule type="expression" dxfId="14933" priority="96">
      <formula>$H2874="CÉLULA CONSTRUTIVA"</formula>
    </cfRule>
    <cfRule type="expression" dxfId="14932" priority="97">
      <formula>$H2874="SUBETAPA"</formula>
    </cfRule>
    <cfRule type="expression" dxfId="14931" priority="98">
      <formula>$H2874="ETAPA"</formula>
    </cfRule>
  </conditionalFormatting>
  <conditionalFormatting sqref="L2875">
    <cfRule type="expression" dxfId="14930" priority="815">
      <formula>$H2875="ETAPA"</formula>
    </cfRule>
  </conditionalFormatting>
  <conditionalFormatting sqref="L2877">
    <cfRule type="expression" dxfId="14929" priority="135">
      <formula>$H2877="CÉLULA CONSTRUTIVA"</formula>
    </cfRule>
    <cfRule type="expression" dxfId="14928" priority="136">
      <formula>$H2877="SUBETAPA"</formula>
    </cfRule>
    <cfRule type="expression" dxfId="14927" priority="137">
      <formula>$H2877="ETAPA"</formula>
    </cfRule>
  </conditionalFormatting>
  <conditionalFormatting sqref="L2885">
    <cfRule type="expression" dxfId="14926" priority="99">
      <formula>$H2885="CÉLULA CONSTRUTIVA"</formula>
    </cfRule>
    <cfRule type="expression" dxfId="14925" priority="100">
      <formula>$H2885="SUBETAPA"</formula>
    </cfRule>
    <cfRule type="expression" dxfId="14924" priority="101">
      <formula>$H2885="ETAPA"</formula>
    </cfRule>
  </conditionalFormatting>
  <conditionalFormatting sqref="L2886">
    <cfRule type="expression" dxfId="14923" priority="880">
      <formula>$H2886="ETAPA"</formula>
    </cfRule>
  </conditionalFormatting>
  <conditionalFormatting sqref="L2888">
    <cfRule type="expression" dxfId="14922" priority="132">
      <formula>$H2888="CÉLULA CONSTRUTIVA"</formula>
    </cfRule>
    <cfRule type="expression" dxfId="14921" priority="133">
      <formula>$H2888="SUBETAPA"</formula>
    </cfRule>
    <cfRule type="expression" dxfId="14920" priority="134">
      <formula>$H2888="ETAPA"</formula>
    </cfRule>
  </conditionalFormatting>
  <conditionalFormatting sqref="L2897">
    <cfRule type="expression" dxfId="14919" priority="945">
      <formula>$H2897="ETAPA"</formula>
    </cfRule>
  </conditionalFormatting>
  <conditionalFormatting sqref="L2899">
    <cfRule type="expression" dxfId="14918" priority="129">
      <formula>$H2899="CÉLULA CONSTRUTIVA"</formula>
    </cfRule>
    <cfRule type="expression" dxfId="14917" priority="130">
      <formula>$H2899="SUBETAPA"</formula>
    </cfRule>
    <cfRule type="expression" dxfId="14916" priority="131">
      <formula>$H2899="ETAPA"</formula>
    </cfRule>
  </conditionalFormatting>
  <conditionalFormatting sqref="L2905">
    <cfRule type="expression" dxfId="14915" priority="102">
      <formula>$H2905="CÉLULA CONSTRUTIVA"</formula>
    </cfRule>
    <cfRule type="expression" dxfId="14914" priority="103">
      <formula>$H2905="SUBETAPA"</formula>
    </cfRule>
    <cfRule type="expression" dxfId="14913" priority="104">
      <formula>$H2905="ETAPA"</formula>
    </cfRule>
  </conditionalFormatting>
  <conditionalFormatting sqref="L2906">
    <cfRule type="expression" dxfId="14912" priority="1010">
      <formula>$H2906="ETAPA"</formula>
    </cfRule>
  </conditionalFormatting>
  <conditionalFormatting sqref="L2908">
    <cfRule type="expression" dxfId="14911" priority="126">
      <formula>$H2908="CÉLULA CONSTRUTIVA"</formula>
    </cfRule>
    <cfRule type="expression" dxfId="14910" priority="127">
      <formula>$H2908="SUBETAPA"</formula>
    </cfRule>
    <cfRule type="expression" dxfId="14909" priority="128">
      <formula>$H2908="ETAPA"</formula>
    </cfRule>
  </conditionalFormatting>
  <conditionalFormatting sqref="L2914">
    <cfRule type="expression" dxfId="14908" priority="105">
      <formula>$H2914="CÉLULA CONSTRUTIVA"</formula>
    </cfRule>
    <cfRule type="expression" dxfId="14907" priority="106">
      <formula>$H2914="SUBETAPA"</formula>
    </cfRule>
    <cfRule type="expression" dxfId="14906" priority="107">
      <formula>$H2914="ETAPA"</formula>
    </cfRule>
  </conditionalFormatting>
  <conditionalFormatting sqref="L2915">
    <cfRule type="expression" dxfId="14905" priority="1075">
      <formula>$H2915="ETAPA"</formula>
    </cfRule>
  </conditionalFormatting>
  <conditionalFormatting sqref="L2917">
    <cfRule type="expression" dxfId="14904" priority="123">
      <formula>$H2917="CÉLULA CONSTRUTIVA"</formula>
    </cfRule>
    <cfRule type="expression" dxfId="14903" priority="124">
      <formula>$H2917="SUBETAPA"</formula>
    </cfRule>
    <cfRule type="expression" dxfId="14902" priority="125">
      <formula>$H2917="ETAPA"</formula>
    </cfRule>
  </conditionalFormatting>
  <conditionalFormatting sqref="L2923">
    <cfRule type="expression" dxfId="14901" priority="108">
      <formula>$H2923="CÉLULA CONSTRUTIVA"</formula>
    </cfRule>
    <cfRule type="expression" dxfId="14900" priority="109">
      <formula>$H2923="SUBETAPA"</formula>
    </cfRule>
    <cfRule type="expression" dxfId="14899" priority="110">
      <formula>$H2923="ETAPA"</formula>
    </cfRule>
  </conditionalFormatting>
  <conditionalFormatting sqref="L2924">
    <cfRule type="expression" dxfId="14898" priority="1140">
      <formula>$H2924="ETAPA"</formula>
    </cfRule>
  </conditionalFormatting>
  <conditionalFormatting sqref="L2926">
    <cfRule type="expression" dxfId="14897" priority="120">
      <formula>$H2926="CÉLULA CONSTRUTIVA"</formula>
    </cfRule>
    <cfRule type="expression" dxfId="14896" priority="121">
      <formula>$H2926="SUBETAPA"</formula>
    </cfRule>
    <cfRule type="expression" dxfId="14895" priority="122">
      <formula>$H2926="ETAPA"</formula>
    </cfRule>
  </conditionalFormatting>
  <conditionalFormatting sqref="L2932">
    <cfRule type="expression" dxfId="14894" priority="111">
      <formula>$H2932="CÉLULA CONSTRUTIVA"</formula>
    </cfRule>
    <cfRule type="expression" dxfId="14893" priority="112">
      <formula>$H2932="SUBETAPA"</formula>
    </cfRule>
    <cfRule type="expression" dxfId="14892" priority="113">
      <formula>$H2932="ETAPA"</formula>
    </cfRule>
  </conditionalFormatting>
  <conditionalFormatting sqref="L2933">
    <cfRule type="expression" dxfId="14891" priority="1205">
      <formula>$H2933="ETAPA"</formula>
    </cfRule>
  </conditionalFormatting>
  <conditionalFormatting sqref="L2935">
    <cfRule type="expression" dxfId="14890" priority="117">
      <formula>$H2935="CÉLULA CONSTRUTIVA"</formula>
    </cfRule>
    <cfRule type="expression" dxfId="14889" priority="118">
      <formula>$H2935="SUBETAPA"</formula>
    </cfRule>
    <cfRule type="expression" dxfId="14888" priority="119">
      <formula>$H2935="ETAPA"</formula>
    </cfRule>
  </conditionalFormatting>
  <conditionalFormatting sqref="L2944">
    <cfRule type="expression" dxfId="14887" priority="1270">
      <formula>$H2944="ETAPA"</formula>
    </cfRule>
  </conditionalFormatting>
  <conditionalFormatting sqref="L2945 H2950:H2951 J2950:L2951 G2949:J2949 L2949:M2949">
    <cfRule type="expression" dxfId="14886" priority="1296">
      <formula>$H2945="CÉLULA CONSTRUTIVA"</formula>
    </cfRule>
  </conditionalFormatting>
  <conditionalFormatting sqref="L2945 M2950:M2953 L2950:L2951 L2948:M2949">
    <cfRule type="expression" dxfId="14885" priority="1297">
      <formula>$H2945="SUBETAPA"</formula>
    </cfRule>
  </conditionalFormatting>
  <conditionalFormatting sqref="L2946">
    <cfRule type="expression" dxfId="14884" priority="114">
      <formula>$H2946="CÉLULA CONSTRUTIVA"</formula>
    </cfRule>
    <cfRule type="expression" dxfId="14883" priority="115">
      <formula>$H2946="SUBETAPA"</formula>
    </cfRule>
    <cfRule type="expression" dxfId="14882" priority="116">
      <formula>$H2946="ETAPA"</formula>
    </cfRule>
  </conditionalFormatting>
  <conditionalFormatting sqref="L2957 L2959:L2960">
    <cfRule type="expression" dxfId="14881" priority="66709">
      <formula>$H2957="ETAPA"</formula>
    </cfRule>
  </conditionalFormatting>
  <conditionalFormatting sqref="L2991">
    <cfRule type="expression" dxfId="14880" priority="65681">
      <formula>$H2991="ETAPA"</formula>
    </cfRule>
  </conditionalFormatting>
  <conditionalFormatting sqref="L2998 L3000:L3001">
    <cfRule type="expression" dxfId="14879" priority="66195">
      <formula>$H2998="ETAPA"</formula>
    </cfRule>
  </conditionalFormatting>
  <conditionalFormatting sqref="L3007">
    <cfRule type="expression" dxfId="14878" priority="65797">
      <formula>$H3007="ETAPA"</formula>
    </cfRule>
  </conditionalFormatting>
  <conditionalFormatting sqref="L3014">
    <cfRule type="expression" dxfId="14877" priority="65901">
      <formula>$H3014="ETAPA"</formula>
    </cfRule>
  </conditionalFormatting>
  <conditionalFormatting sqref="L3021">
    <cfRule type="expression" dxfId="14876" priority="65996">
      <formula>$H3021="ETAPA"</formula>
    </cfRule>
  </conditionalFormatting>
  <conditionalFormatting sqref="L3028">
    <cfRule type="expression" dxfId="14875" priority="66100">
      <formula>$H3028="ETAPA"</formula>
    </cfRule>
  </conditionalFormatting>
  <conditionalFormatting sqref="L3035 L3045 L3048 L3125 L3135 L3142 L3149 L3151:L3155 L3157:L3158 L3162 L3164:L3165 L3170 L3172">
    <cfRule type="expression" dxfId="14874" priority="83630">
      <formula>$H3035="ETAPA"</formula>
    </cfRule>
  </conditionalFormatting>
  <conditionalFormatting sqref="L3052 L3066 L3075">
    <cfRule type="expression" dxfId="14873" priority="61053">
      <formula>$H3052="ETAPA"</formula>
    </cfRule>
  </conditionalFormatting>
  <conditionalFormatting sqref="L3083 L3097">
    <cfRule type="expression" dxfId="14872" priority="61299">
      <formula>$H3083="ETAPA"</formula>
    </cfRule>
  </conditionalFormatting>
  <conditionalFormatting sqref="L3102 L3119">
    <cfRule type="expression" dxfId="14871" priority="61545">
      <formula>$H3102="ETAPA"</formula>
    </cfRule>
  </conditionalFormatting>
  <conditionalFormatting sqref="L3173">
    <cfRule type="expression" dxfId="14870" priority="59910">
      <formula>$H3173="SUBETAPA"</formula>
    </cfRule>
    <cfRule type="expression" dxfId="14869" priority="59911">
      <formula>$H3173="CÉLULA CONSTRUTIVA"</formula>
    </cfRule>
  </conditionalFormatting>
  <conditionalFormatting sqref="L17:M17">
    <cfRule type="expression" dxfId="14868" priority="4040">
      <formula>$H17="SUBETAPA"</formula>
    </cfRule>
  </conditionalFormatting>
  <conditionalFormatting sqref="L80:M83">
    <cfRule type="expression" dxfId="14867" priority="50336">
      <formula>$H80="SUBETAPA"</formula>
    </cfRule>
  </conditionalFormatting>
  <conditionalFormatting sqref="L123:M123">
    <cfRule type="expression" dxfId="14866" priority="46374">
      <formula>$H123="ETAPA"</formula>
    </cfRule>
  </conditionalFormatting>
  <conditionalFormatting sqref="L126:M126">
    <cfRule type="expression" dxfId="14865" priority="46377">
      <formula>$H126="ETAPA"</formula>
    </cfRule>
  </conditionalFormatting>
  <conditionalFormatting sqref="L129:M129">
    <cfRule type="expression" dxfId="14864" priority="46380">
      <formula>$H129="ETAPA"</formula>
    </cfRule>
  </conditionalFormatting>
  <conditionalFormatting sqref="L134:M134">
    <cfRule type="expression" dxfId="14863" priority="46383">
      <formula>$H134="ETAPA"</formula>
    </cfRule>
  </conditionalFormatting>
  <conditionalFormatting sqref="L137:M137">
    <cfRule type="expression" dxfId="14862" priority="46386">
      <formula>$H137="ETAPA"</formula>
    </cfRule>
  </conditionalFormatting>
  <conditionalFormatting sqref="L280:M280">
    <cfRule type="expression" dxfId="14861" priority="49128">
      <formula>$H280="CÉLULA CONSTRUTIVA"</formula>
    </cfRule>
  </conditionalFormatting>
  <conditionalFormatting sqref="L280:M281">
    <cfRule type="expression" dxfId="14860" priority="49127">
      <formula>$H280="SUBETAPA"</formula>
    </cfRule>
  </conditionalFormatting>
  <conditionalFormatting sqref="L281:M281 N282">
    <cfRule type="expression" dxfId="14859" priority="50923">
      <formula>$H281="CÉLULA CONSTRUTIVA"</formula>
    </cfRule>
  </conditionalFormatting>
  <conditionalFormatting sqref="L283:M283 N284">
    <cfRule type="expression" dxfId="14858" priority="49108">
      <formula>$H283="CÉLULA CONSTRUTIVA"</formula>
    </cfRule>
  </conditionalFormatting>
  <conditionalFormatting sqref="L285:M285 N286">
    <cfRule type="expression" dxfId="14857" priority="49062">
      <formula>$H285="CÉLULA CONSTRUTIVA"</formula>
    </cfRule>
  </conditionalFormatting>
  <conditionalFormatting sqref="L287:M287 N288">
    <cfRule type="expression" dxfId="14856" priority="49016">
      <formula>$H287="CÉLULA CONSTRUTIVA"</formula>
    </cfRule>
  </conditionalFormatting>
  <conditionalFormatting sqref="L289:M289 N290">
    <cfRule type="expression" dxfId="14855" priority="48970">
      <formula>$H289="CÉLULA CONSTRUTIVA"</formula>
    </cfRule>
  </conditionalFormatting>
  <conditionalFormatting sqref="L291:M291 N292">
    <cfRule type="expression" dxfId="14854" priority="48924">
      <formula>$H291="CÉLULA CONSTRUTIVA"</formula>
    </cfRule>
  </conditionalFormatting>
  <conditionalFormatting sqref="L293:M293 N294">
    <cfRule type="expression" dxfId="14853" priority="48878">
      <formula>$H293="CÉLULA CONSTRUTIVA"</formula>
    </cfRule>
  </conditionalFormatting>
  <conditionalFormatting sqref="L295:M295 N296">
    <cfRule type="expression" dxfId="14852" priority="46288">
      <formula>$H295="SUBETAPA"</formula>
    </cfRule>
    <cfRule type="expression" dxfId="14851" priority="46289">
      <formula>$H295="CÉLULA CONSTRUTIVA"</formula>
    </cfRule>
  </conditionalFormatting>
  <conditionalFormatting sqref="L297:M297 N298">
    <cfRule type="expression" dxfId="14850" priority="48832">
      <formula>$H297="CÉLULA CONSTRUTIVA"</formula>
    </cfRule>
  </conditionalFormatting>
  <conditionalFormatting sqref="L299:M299 N300">
    <cfRule type="expression" dxfId="14849" priority="48786">
      <formula>$H299="CÉLULA CONSTRUTIVA"</formula>
    </cfRule>
  </conditionalFormatting>
  <conditionalFormatting sqref="L301:M301 N302">
    <cfRule type="expression" dxfId="14848" priority="48740">
      <formula>$H301="CÉLULA CONSTRUTIVA"</formula>
    </cfRule>
  </conditionalFormatting>
  <conditionalFormatting sqref="L303:M303 N304">
    <cfRule type="expression" dxfId="14847" priority="48694">
      <formula>$H303="CÉLULA CONSTRUTIVA"</formula>
    </cfRule>
  </conditionalFormatting>
  <conditionalFormatting sqref="L305:M305 N306">
    <cfRule type="expression" dxfId="14846" priority="48648">
      <formula>$H305="CÉLULA CONSTRUTIVA"</formula>
    </cfRule>
  </conditionalFormatting>
  <conditionalFormatting sqref="L307:M307 N308">
    <cfRule type="expression" dxfId="14845" priority="48602">
      <formula>$H307="CÉLULA CONSTRUTIVA"</formula>
    </cfRule>
  </conditionalFormatting>
  <conditionalFormatting sqref="L309:M309 N310">
    <cfRule type="expression" dxfId="14844" priority="48556">
      <formula>$H309="CÉLULA CONSTRUTIVA"</formula>
    </cfRule>
  </conditionalFormatting>
  <conditionalFormatting sqref="L311:M311 N312:O312">
    <cfRule type="expression" dxfId="14843" priority="48510">
      <formula>$H311="CÉLULA CONSTRUTIVA"</formula>
    </cfRule>
  </conditionalFormatting>
  <conditionalFormatting sqref="L347:M347">
    <cfRule type="expression" dxfId="14842" priority="47805">
      <formula>$H347="CÉLULA CONSTRUTIVA"</formula>
    </cfRule>
  </conditionalFormatting>
  <conditionalFormatting sqref="L1911:M1911">
    <cfRule type="expression" dxfId="14841" priority="76061">
      <formula>$H1911="ETAPA"</formula>
    </cfRule>
  </conditionalFormatting>
  <conditionalFormatting sqref="L2730:M2731 L2719:M2720">
    <cfRule type="expression" dxfId="14840" priority="1862">
      <formula>$H2719="SUBETAPA"</formula>
    </cfRule>
    <cfRule type="expression" dxfId="14839" priority="1863">
      <formula>$H2719="CÉLULA CONSTRUTIVA"</formula>
    </cfRule>
  </conditionalFormatting>
  <conditionalFormatting sqref="L2752:M2753 L2741:M2742 L2708:M2709 L2697:M2698 L2689:M2690 L2679:M2680 L2671:M2672 L2664:M2665 L2657:M2658 L2648:M2649 L2638:M2639 L2626:M2628">
    <cfRule type="expression" dxfId="14838" priority="116502">
      <formula>$H2626="SUBETAPA"</formula>
    </cfRule>
    <cfRule type="expression" dxfId="14837"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36" priority="83637">
      <formula>$H2954="SUBETAPA"</formula>
    </cfRule>
    <cfRule type="expression" dxfId="14835" priority="83638">
      <formula>$H2954="CÉLULA CONSTRUTIVA"</formula>
    </cfRule>
  </conditionalFormatting>
  <conditionalFormatting sqref="L48:N48 N45:O45">
    <cfRule type="expression" dxfId="14834" priority="50545">
      <formula>$H45="SUBETAPA"</formula>
    </cfRule>
  </conditionalFormatting>
  <conditionalFormatting sqref="L62:N62">
    <cfRule type="expression" dxfId="14833" priority="50924">
      <formula>$H62="ETAPA"</formula>
    </cfRule>
  </conditionalFormatting>
  <conditionalFormatting sqref="L283:N283">
    <cfRule type="expression" dxfId="14832" priority="49110">
      <formula>$H283="ETAPA"</formula>
    </cfRule>
  </conditionalFormatting>
  <conditionalFormatting sqref="L285:N285">
    <cfRule type="expression" dxfId="14831" priority="49064">
      <formula>$H285="ETAPA"</formula>
    </cfRule>
  </conditionalFormatting>
  <conditionalFormatting sqref="L287:N287">
    <cfRule type="expression" dxfId="14830" priority="49018">
      <formula>$H287="ETAPA"</formula>
    </cfRule>
  </conditionalFormatting>
  <conditionalFormatting sqref="L289:N289">
    <cfRule type="expression" dxfId="14829" priority="48972">
      <formula>$H289="ETAPA"</formula>
    </cfRule>
  </conditionalFormatting>
  <conditionalFormatting sqref="L291:N291">
    <cfRule type="expression" dxfId="14828" priority="48926">
      <formula>$H291="ETAPA"</formula>
    </cfRule>
  </conditionalFormatting>
  <conditionalFormatting sqref="L293:N293">
    <cfRule type="expression" dxfId="14827" priority="48880">
      <formula>$H293="ETAPA"</formula>
    </cfRule>
  </conditionalFormatting>
  <conditionalFormatting sqref="L295:N295">
    <cfRule type="expression" dxfId="14826" priority="46291">
      <formula>$H295="ETAPA"</formula>
    </cfRule>
  </conditionalFormatting>
  <conditionalFormatting sqref="L297:N297">
    <cfRule type="expression" dxfId="14825" priority="48834">
      <formula>$H297="ETAPA"</formula>
    </cfRule>
  </conditionalFormatting>
  <conditionalFormatting sqref="L299:N299">
    <cfRule type="expression" dxfId="14824" priority="48788">
      <formula>$H299="ETAPA"</formula>
    </cfRule>
  </conditionalFormatting>
  <conditionalFormatting sqref="L301:N301">
    <cfRule type="expression" dxfId="14823" priority="48742">
      <formula>$H301="ETAPA"</formula>
    </cfRule>
  </conditionalFormatting>
  <conditionalFormatting sqref="L303:N303">
    <cfRule type="expression" dxfId="14822" priority="48696">
      <formula>$H303="ETAPA"</formula>
    </cfRule>
  </conditionalFormatting>
  <conditionalFormatting sqref="L305:N305">
    <cfRule type="expression" dxfId="14821" priority="48650">
      <formula>$H305="ETAPA"</formula>
    </cfRule>
  </conditionalFormatting>
  <conditionalFormatting sqref="L307:N307">
    <cfRule type="expression" dxfId="14820" priority="48604">
      <formula>$H307="ETAPA"</formula>
    </cfRule>
  </conditionalFormatting>
  <conditionalFormatting sqref="L309:N309">
    <cfRule type="expression" dxfId="14819" priority="48558">
      <formula>$H309="ETAPA"</formula>
    </cfRule>
  </conditionalFormatting>
  <conditionalFormatting sqref="L311:N311">
    <cfRule type="expression" dxfId="14818" priority="48512">
      <formula>$H311="ETAPA"</formula>
    </cfRule>
  </conditionalFormatting>
  <conditionalFormatting sqref="L347:N347">
    <cfRule type="expression" dxfId="14817" priority="47807">
      <formula>$H347="ETAPA"</formula>
    </cfRule>
  </conditionalFormatting>
  <conditionalFormatting sqref="M20">
    <cfRule type="expression" dxfId="14816" priority="46616">
      <formula>$H20="SUBETAPA"</formula>
    </cfRule>
    <cfRule type="expression" dxfId="14815" priority="46617">
      <formula>$H20="CÉLULA CONSTRUTIVA"</formula>
    </cfRule>
    <cfRule type="expression" dxfId="14814" priority="46618">
      <formula>$H20="ETAPA"</formula>
    </cfRule>
  </conditionalFormatting>
  <conditionalFormatting sqref="M21">
    <cfRule type="expression" dxfId="14813" priority="46658">
      <formula>$H21="CÉLULA CONSTRUTIVA"</formula>
    </cfRule>
  </conditionalFormatting>
  <conditionalFormatting sqref="M22">
    <cfRule type="expression" dxfId="14812" priority="46660">
      <formula>$H22="CÉLULA CONSTRUTIVA"</formula>
    </cfRule>
    <cfRule type="expression" dxfId="14811" priority="46661">
      <formula>$H22="ETAPA"</formula>
    </cfRule>
    <cfRule type="expression" dxfId="14810" priority="46662">
      <formula>$H22="CÉLULA CONSTRUTIVA"</formula>
    </cfRule>
    <cfRule type="expression" dxfId="14809" priority="46663">
      <formula>$H22="ETAPA"</formula>
    </cfRule>
    <cfRule type="expression" dxfId="14808" priority="46664">
      <formula>$H22="SUBETAPA"</formula>
    </cfRule>
    <cfRule type="expression" dxfId="14807" priority="46665">
      <formula>$H22="CÉLULA CONSTRUTIVA"</formula>
    </cfRule>
    <cfRule type="expression" dxfId="14806" priority="46666">
      <formula>$H22="ETAPA"</formula>
    </cfRule>
  </conditionalFormatting>
  <conditionalFormatting sqref="M23 K23">
    <cfRule type="expression" dxfId="14805" priority="46586">
      <formula>$H23="CÉLULA CONSTRUTIVA"</formula>
    </cfRule>
  </conditionalFormatting>
  <conditionalFormatting sqref="M23">
    <cfRule type="expression" dxfId="14804" priority="46585">
      <formula>$H23="SUBETAPA"</formula>
    </cfRule>
  </conditionalFormatting>
  <conditionalFormatting sqref="M24">
    <cfRule type="expression" dxfId="14803" priority="50706">
      <formula>$H24="CÉLULA CONSTRUTIVA"</formula>
    </cfRule>
  </conditionalFormatting>
  <conditionalFormatting sqref="M26:M27 I26:K27">
    <cfRule type="expression" dxfId="14802" priority="50675">
      <formula>$H26="CÉLULA CONSTRUTIVA"</formula>
    </cfRule>
  </conditionalFormatting>
  <conditionalFormatting sqref="M28:M30">
    <cfRule type="expression" dxfId="14801" priority="50742">
      <formula>$H28="CÉLULA CONSTRUTIVA"</formula>
    </cfRule>
    <cfRule type="expression" dxfId="14800" priority="50743">
      <formula>$H28="ETAPA"</formula>
    </cfRule>
  </conditionalFormatting>
  <conditionalFormatting sqref="M29">
    <cfRule type="expression" dxfId="14799" priority="50744">
      <formula>$H29="CÉLULA CONSTRUTIVA"</formula>
    </cfRule>
    <cfRule type="expression" dxfId="14798" priority="50745">
      <formula>$H29="ETAPA"</formula>
    </cfRule>
  </conditionalFormatting>
  <conditionalFormatting sqref="M30">
    <cfRule type="expression" dxfId="14797" priority="50746">
      <formula>$H30="CÉLULA CONSTRUTIVA"</formula>
    </cfRule>
    <cfRule type="expression" dxfId="14796" priority="50747">
      <formula>$H30="ETAPA"</formula>
    </cfRule>
  </conditionalFormatting>
  <conditionalFormatting sqref="M32">
    <cfRule type="expression" dxfId="14795" priority="50748">
      <formula>$H32="CÉLULA CONSTRUTIVA"</formula>
    </cfRule>
    <cfRule type="expression" dxfId="14794" priority="50749">
      <formula>$H32="ETAPA"</formula>
    </cfRule>
  </conditionalFormatting>
  <conditionalFormatting sqref="M33:M36">
    <cfRule type="expression" dxfId="14793" priority="50600">
      <formula>$H33="ETAPA"</formula>
    </cfRule>
  </conditionalFormatting>
  <conditionalFormatting sqref="M34:M36">
    <cfRule type="expression" dxfId="14792" priority="50599">
      <formula>$H34="CÉLULA CONSTRUTIVA"</formula>
    </cfRule>
  </conditionalFormatting>
  <conditionalFormatting sqref="M35">
    <cfRule type="expression" dxfId="14791" priority="50601">
      <formula>$H35="CÉLULA CONSTRUTIVA"</formula>
    </cfRule>
    <cfRule type="expression" dxfId="14790" priority="50602">
      <formula>$H35="ETAPA"</formula>
    </cfRule>
  </conditionalFormatting>
  <conditionalFormatting sqref="M36">
    <cfRule type="expression" dxfId="14789" priority="50603">
      <formula>$H36="CÉLULA CONSTRUTIVA"</formula>
    </cfRule>
    <cfRule type="expression" dxfId="14788" priority="50604">
      <formula>$H36="ETAPA"</formula>
    </cfRule>
  </conditionalFormatting>
  <conditionalFormatting sqref="M37">
    <cfRule type="expression" dxfId="14787" priority="46712">
      <formula>$H37="CÉLULA CONSTRUTIVA"</formula>
    </cfRule>
    <cfRule type="expression" dxfId="14786" priority="46713">
      <formula>$H37="ETAPA"</formula>
    </cfRule>
    <cfRule type="expression" dxfId="14785" priority="46714">
      <formula>$H37="CÉLULA CONSTRUTIVA"</formula>
    </cfRule>
    <cfRule type="expression" dxfId="14784" priority="46715">
      <formula>$H37="ETAPA"</formula>
    </cfRule>
    <cfRule type="expression" dxfId="14783" priority="46716">
      <formula>$H37="SUBETAPA"</formula>
    </cfRule>
  </conditionalFormatting>
  <conditionalFormatting sqref="M38">
    <cfRule type="expression" dxfId="14782" priority="50605">
      <formula>$H38="CÉLULA CONSTRUTIVA"</formula>
    </cfRule>
    <cfRule type="expression" dxfId="14781" priority="50606">
      <formula>$H38="ETAPA"</formula>
    </cfRule>
    <cfRule type="expression" dxfId="14780" priority="50607">
      <formula>$H38="CÉLULA CONSTRUTIVA"</formula>
    </cfRule>
    <cfRule type="expression" dxfId="14779" priority="50608">
      <formula>$H38="ETAPA"</formula>
    </cfRule>
    <cfRule type="expression" dxfId="14778" priority="50609">
      <formula>$H38="SUBETAPA"</formula>
    </cfRule>
  </conditionalFormatting>
  <conditionalFormatting sqref="M40">
    <cfRule type="expression" dxfId="14777" priority="46092">
      <formula>$H40="CÉLULA CONSTRUTIVA"</formula>
    </cfRule>
    <cfRule type="expression" dxfId="14776" priority="46093">
      <formula>$H40="ETAPA"</formula>
    </cfRule>
    <cfRule type="expression" dxfId="14775" priority="46094">
      <formula>$H40="CÉLULA CONSTRUTIVA"</formula>
    </cfRule>
    <cfRule type="expression" dxfId="14774" priority="46095">
      <formula>$H40="ETAPA"</formula>
    </cfRule>
    <cfRule type="expression" dxfId="14773" priority="46096">
      <formula>$H40="SUBETAPA"</formula>
    </cfRule>
  </conditionalFormatting>
  <conditionalFormatting sqref="M42:M43 I42:K43">
    <cfRule type="expression" dxfId="14772" priority="50497">
      <formula>$H42="CÉLULA CONSTRUTIVA"</formula>
    </cfRule>
  </conditionalFormatting>
  <conditionalFormatting sqref="M44:M45 M48">
    <cfRule type="expression" dxfId="14771" priority="50532">
      <formula>$H44="CÉLULA CONSTRUTIVA"</formula>
    </cfRule>
    <cfRule type="expression" dxfId="14770" priority="50533">
      <formula>$H44="ETAPA"</formula>
    </cfRule>
  </conditionalFormatting>
  <conditionalFormatting sqref="M45">
    <cfRule type="expression" dxfId="14769" priority="50534">
      <formula>$H45="CÉLULA CONSTRUTIVA"</formula>
    </cfRule>
    <cfRule type="expression" dxfId="14768" priority="50535">
      <formula>$H45="ETAPA"</formula>
    </cfRule>
  </conditionalFormatting>
  <conditionalFormatting sqref="M46">
    <cfRule type="expression" dxfId="14767" priority="46769">
      <formula>$H46="CÉLULA CONSTRUTIVA"</formula>
    </cfRule>
    <cfRule type="expression" dxfId="14766" priority="46770">
      <formula>$H46="ETAPA"</formula>
    </cfRule>
    <cfRule type="expression" dxfId="14765" priority="46771">
      <formula>$H46="CÉLULA CONSTRUTIVA"</formula>
    </cfRule>
    <cfRule type="expression" dxfId="14764" priority="46772">
      <formula>$H46="ETAPA"</formula>
    </cfRule>
    <cfRule type="expression" dxfId="14763" priority="46778">
      <formula>$H46="SUBETAPA"</formula>
    </cfRule>
  </conditionalFormatting>
  <conditionalFormatting sqref="M47">
    <cfRule type="expression" dxfId="14762" priority="46738">
      <formula>$H47="CÉLULA CONSTRUTIVA"</formula>
    </cfRule>
    <cfRule type="expression" dxfId="14761" priority="46739">
      <formula>$H47="ETAPA"</formula>
    </cfRule>
    <cfRule type="expression" dxfId="14760" priority="46740">
      <formula>$H47="CÉLULA CONSTRUTIVA"</formula>
    </cfRule>
    <cfRule type="expression" dxfId="14759" priority="46741">
      <formula>$H47="ETAPA"</formula>
    </cfRule>
    <cfRule type="expression" dxfId="14758" priority="46748">
      <formula>$H47="SUBETAPA"</formula>
    </cfRule>
  </conditionalFormatting>
  <conditionalFormatting sqref="M48">
    <cfRule type="expression" dxfId="14757" priority="50536">
      <formula>$H48="CÉLULA CONSTRUTIVA"</formula>
    </cfRule>
    <cfRule type="expression" dxfId="14756" priority="50537">
      <formula>$H48="ETAPA"</formula>
    </cfRule>
  </conditionalFormatting>
  <conditionalFormatting sqref="M50">
    <cfRule type="expression" dxfId="14755" priority="50538">
      <formula>$H50="CÉLULA CONSTRUTIVA"</formula>
    </cfRule>
    <cfRule type="expression" dxfId="14754" priority="50539">
      <formula>$H50="ETAPA"</formula>
    </cfRule>
  </conditionalFormatting>
  <conditionalFormatting sqref="M52">
    <cfRule type="expression" dxfId="14753" priority="50409">
      <formula>$H52="CÉLULA CONSTRUTIVA"</formula>
    </cfRule>
    <cfRule type="expression" dxfId="14752" priority="50410">
      <formula>$H52="ETAPA"</formula>
    </cfRule>
  </conditionalFormatting>
  <conditionalFormatting sqref="M53">
    <cfRule type="expression" dxfId="14751" priority="46387">
      <formula>$H53="CÉLULA CONSTRUTIVA"</formula>
    </cfRule>
    <cfRule type="expression" dxfId="14750" priority="46388">
      <formula>$H53="ETAPA"</formula>
    </cfRule>
    <cfRule type="expression" dxfId="14749" priority="46389">
      <formula>$H53="CÉLULA CONSTRUTIVA"</formula>
    </cfRule>
    <cfRule type="expression" dxfId="14748" priority="46390">
      <formula>$H53="ETAPA"</formula>
    </cfRule>
    <cfRule type="expression" dxfId="14747" priority="46391">
      <formula>$H53="SUBETAPA"</formula>
    </cfRule>
  </conditionalFormatting>
  <conditionalFormatting sqref="M54">
    <cfRule type="expression" dxfId="14746" priority="46544">
      <formula>$H54="CÉLULA CONSTRUTIVA"</formula>
    </cfRule>
    <cfRule type="expression" dxfId="14745" priority="46545">
      <formula>$H54="ETAPA"</formula>
    </cfRule>
    <cfRule type="expression" dxfId="14744" priority="46546">
      <formula>$H54="CÉLULA CONSTRUTIVA"</formula>
    </cfRule>
    <cfRule type="expression" dxfId="14743" priority="46547">
      <formula>$H54="ETAPA"</formula>
    </cfRule>
    <cfRule type="expression" dxfId="14742" priority="46548">
      <formula>$H54="SUBETAPA"</formula>
    </cfRule>
  </conditionalFormatting>
  <conditionalFormatting sqref="M56">
    <cfRule type="expression" dxfId="14741" priority="50354">
      <formula>$H56="CÉLULA CONSTRUTIVA"</formula>
    </cfRule>
    <cfRule type="expression" dxfId="14740" priority="50355">
      <formula>$H56="ETAPA"</formula>
    </cfRule>
  </conditionalFormatting>
  <conditionalFormatting sqref="M57">
    <cfRule type="expression" dxfId="14739" priority="46782">
      <formula>$H57="SUBETAPA"</formula>
    </cfRule>
    <cfRule type="expression" dxfId="14738" priority="46783">
      <formula>$H57="CÉLULA CONSTRUTIVA"</formula>
    </cfRule>
    <cfRule type="expression" dxfId="14737" priority="46784">
      <formula>$H57="ETAPA"</formula>
    </cfRule>
  </conditionalFormatting>
  <conditionalFormatting sqref="M58">
    <cfRule type="expression" dxfId="14736" priority="50690">
      <formula>$H58="CÉLULA CONSTRUTIVA"</formula>
    </cfRule>
  </conditionalFormatting>
  <conditionalFormatting sqref="M64">
    <cfRule type="expression" dxfId="14735" priority="50930">
      <formula>$H64="CÉLULA CONSTRUTIVA"</formula>
    </cfRule>
    <cfRule type="expression" dxfId="14734" priority="50931">
      <formula>$H64="ETAPA"</formula>
    </cfRule>
  </conditionalFormatting>
  <conditionalFormatting sqref="M65">
    <cfRule type="expression" dxfId="14733" priority="50932">
      <formula>$H65="CÉLULA CONSTRUTIVA"</formula>
    </cfRule>
    <cfRule type="expression" dxfId="14732" priority="50933">
      <formula>$H65="ETAPA"</formula>
    </cfRule>
    <cfRule type="expression" dxfId="14731" priority="50934">
      <formula>$H65="CÉLULA CONSTRUTIVA"</formula>
    </cfRule>
    <cfRule type="expression" dxfId="14730" priority="50935">
      <formula>$H65="ETAPA"</formula>
    </cfRule>
    <cfRule type="expression" dxfId="14729" priority="50936">
      <formula>$H65="SUBETAPA"</formula>
    </cfRule>
  </conditionalFormatting>
  <conditionalFormatting sqref="M66:M68">
    <cfRule type="expression" dxfId="14728" priority="50937">
      <formula>$H66="CÉLULA CONSTRUTIVA"</formula>
    </cfRule>
    <cfRule type="expression" dxfId="14727" priority="50938">
      <formula>$H66="ETAPA"</formula>
    </cfRule>
  </conditionalFormatting>
  <conditionalFormatting sqref="M67">
    <cfRule type="expression" dxfId="14726" priority="50939">
      <formula>$H67="CÉLULA CONSTRUTIVA"</formula>
    </cfRule>
    <cfRule type="expression" dxfId="14725" priority="50940">
      <formula>$H67="ETAPA"</formula>
    </cfRule>
  </conditionalFormatting>
  <conditionalFormatting sqref="M77">
    <cfRule type="expression" dxfId="14724" priority="50945">
      <formula>$H77="CÉLULA CONSTRUTIVA"</formula>
    </cfRule>
  </conditionalFormatting>
  <conditionalFormatting sqref="M84">
    <cfRule type="expression" dxfId="14723" priority="50300">
      <formula>$H84="CÉLULA CONSTRUTIVA"</formula>
    </cfRule>
    <cfRule type="expression" dxfId="14722" priority="50301">
      <formula>$H84="ETAPA"</formula>
    </cfRule>
  </conditionalFormatting>
  <conditionalFormatting sqref="M85:M92">
    <cfRule type="expression" dxfId="14721" priority="50319">
      <formula>$H85="CÉLULA CONSTRUTIVA"</formula>
    </cfRule>
    <cfRule type="expression" dxfId="14720" priority="50320">
      <formula>$H85="ETAPA"</formula>
    </cfRule>
  </conditionalFormatting>
  <conditionalFormatting sqref="M93">
    <cfRule type="expression" dxfId="14719" priority="50321">
      <formula>$H93="CÉLULA CONSTRUTIVA"</formula>
    </cfRule>
  </conditionalFormatting>
  <conditionalFormatting sqref="M96 M100:M101">
    <cfRule type="expression" dxfId="14718" priority="50950">
      <formula>$H96="CÉLULA CONSTRUTIVA"</formula>
    </cfRule>
  </conditionalFormatting>
  <conditionalFormatting sqref="M97:M98">
    <cfRule type="expression" dxfId="14717" priority="50169">
      <formula>$H97="SUBETAPA"</formula>
    </cfRule>
    <cfRule type="expression" dxfId="14716" priority="50170">
      <formula>$H97="CÉLULA CONSTRUTIVA"</formula>
    </cfRule>
  </conditionalFormatting>
  <conditionalFormatting sqref="M104">
    <cfRule type="expression" dxfId="14715" priority="50130">
      <formula>$H104="CÉLULA CONSTRUTIVA"</formula>
    </cfRule>
  </conditionalFormatting>
  <conditionalFormatting sqref="M106">
    <cfRule type="expression" dxfId="14714" priority="50112">
      <formula>$H106="CÉLULA CONSTRUTIVA"</formula>
    </cfRule>
  </conditionalFormatting>
  <conditionalFormatting sqref="M108">
    <cfRule type="expression" dxfId="14713" priority="50094">
      <formula>$H108="CÉLULA CONSTRUTIVA"</formula>
    </cfRule>
  </conditionalFormatting>
  <conditionalFormatting sqref="M110">
    <cfRule type="expression" dxfId="14712" priority="50076">
      <formula>$H110="CÉLULA CONSTRUTIVA"</formula>
    </cfRule>
  </conditionalFormatting>
  <conditionalFormatting sqref="M112">
    <cfRule type="expression" dxfId="14711" priority="50058">
      <formula>$H112="CÉLULA CONSTRUTIVA"</formula>
    </cfRule>
  </conditionalFormatting>
  <conditionalFormatting sqref="M114">
    <cfRule type="expression" dxfId="14710" priority="46358">
      <formula>$H114="SUBETAPA"</formula>
    </cfRule>
    <cfRule type="expression" dxfId="14709" priority="46359">
      <formula>$H114="CÉLULA CONSTRUTIVA"</formula>
    </cfRule>
  </conditionalFormatting>
  <conditionalFormatting sqref="M116">
    <cfRule type="expression" dxfId="14708" priority="50040">
      <formula>$H116="CÉLULA CONSTRUTIVA"</formula>
    </cfRule>
  </conditionalFormatting>
  <conditionalFormatting sqref="M118">
    <cfRule type="expression" dxfId="14707" priority="50022">
      <formula>$H118="CÉLULA CONSTRUTIVA"</formula>
    </cfRule>
  </conditionalFormatting>
  <conditionalFormatting sqref="M120">
    <cfRule type="expression" dxfId="14706" priority="50004">
      <formula>$H120="CÉLULA CONSTRUTIVA"</formula>
    </cfRule>
  </conditionalFormatting>
  <conditionalFormatting sqref="M122">
    <cfRule type="expression" dxfId="14705" priority="49982">
      <formula>$H122="SUBETAPA"</formula>
    </cfRule>
    <cfRule type="expression" dxfId="14704" priority="49983">
      <formula>$H122="CÉLULA CONSTRUTIVA"</formula>
    </cfRule>
  </conditionalFormatting>
  <conditionalFormatting sqref="M125">
    <cfRule type="expression" dxfId="14703" priority="49945">
      <formula>$H125="SUBETAPA"</formula>
    </cfRule>
    <cfRule type="expression" dxfId="14702" priority="49946">
      <formula>$H125="CÉLULA CONSTRUTIVA"</formula>
    </cfRule>
  </conditionalFormatting>
  <conditionalFormatting sqref="M128">
    <cfRule type="expression" dxfId="14701" priority="49908">
      <formula>$H128="SUBETAPA"</formula>
    </cfRule>
    <cfRule type="expression" dxfId="14700" priority="49909">
      <formula>$H128="CÉLULA CONSTRUTIVA"</formula>
    </cfRule>
  </conditionalFormatting>
  <conditionalFormatting sqref="M131">
    <cfRule type="expression" dxfId="14699" priority="49875">
      <formula>$H131="CÉLULA CONSTRUTIVA"</formula>
    </cfRule>
  </conditionalFormatting>
  <conditionalFormatting sqref="M133">
    <cfRule type="expression" dxfId="14698" priority="49853">
      <formula>$H133="SUBETAPA"</formula>
    </cfRule>
    <cfRule type="expression" dxfId="14697" priority="49854">
      <formula>$H133="CÉLULA CONSTRUTIVA"</formula>
    </cfRule>
  </conditionalFormatting>
  <conditionalFormatting sqref="M136">
    <cfRule type="expression" dxfId="14696" priority="49816">
      <formula>$H136="SUBETAPA"</formula>
    </cfRule>
    <cfRule type="expression" dxfId="14695" priority="49817">
      <formula>$H136="CÉLULA CONSTRUTIVA"</formula>
    </cfRule>
  </conditionalFormatting>
  <conditionalFormatting sqref="M148">
    <cfRule type="expression" dxfId="14694" priority="49764">
      <formula>$H148="SUBETAPA"</formula>
    </cfRule>
  </conditionalFormatting>
  <conditionalFormatting sqref="M149:M156">
    <cfRule type="expression" dxfId="14693" priority="49728">
      <formula>$H149="CÉLULA CONSTRUTIVA"</formula>
    </cfRule>
    <cfRule type="expression" dxfId="14692" priority="49729">
      <formula>$H149="SUBETAPA"</formula>
    </cfRule>
    <cfRule type="expression" dxfId="14691" priority="49730">
      <formula>$H149="ETAPA"</formula>
    </cfRule>
  </conditionalFormatting>
  <conditionalFormatting sqref="M157">
    <cfRule type="expression" dxfId="14690" priority="49695">
      <formula>$H157="CÉLULA CONSTRUTIVA"</formula>
    </cfRule>
    <cfRule type="expression" dxfId="14689" priority="49696">
      <formula>$H157="SUBETAPA"</formula>
    </cfRule>
    <cfRule type="expression" dxfId="14688" priority="49697">
      <formula>$H157="ETAPA"</formula>
    </cfRule>
  </conditionalFormatting>
  <conditionalFormatting sqref="M158">
    <cfRule type="expression" dxfId="14687" priority="49678">
      <formula>$H158="SUBETAPA"</formula>
    </cfRule>
  </conditionalFormatting>
  <conditionalFormatting sqref="M159:M166">
    <cfRule type="expression" dxfId="14686" priority="49642">
      <formula>$H159="CÉLULA CONSTRUTIVA"</formula>
    </cfRule>
    <cfRule type="expression" dxfId="14685" priority="49643">
      <formula>$H159="SUBETAPA"</formula>
    </cfRule>
    <cfRule type="expression" dxfId="14684" priority="49644">
      <formula>$H159="ETAPA"</formula>
    </cfRule>
  </conditionalFormatting>
  <conditionalFormatting sqref="M167">
    <cfRule type="expression" dxfId="14683" priority="49609">
      <formula>$H167="CÉLULA CONSTRUTIVA"</formula>
    </cfRule>
    <cfRule type="expression" dxfId="14682" priority="49610">
      <formula>$H167="SUBETAPA"</formula>
    </cfRule>
    <cfRule type="expression" dxfId="14681" priority="49611">
      <formula>$H167="ETAPA"</formula>
    </cfRule>
  </conditionalFormatting>
  <conditionalFormatting sqref="M168">
    <cfRule type="expression" dxfId="14680" priority="49592">
      <formula>$H168="SUBETAPA"</formula>
    </cfRule>
  </conditionalFormatting>
  <conditionalFormatting sqref="M169:M176">
    <cfRule type="expression" dxfId="14679" priority="49556">
      <formula>$H169="CÉLULA CONSTRUTIVA"</formula>
    </cfRule>
    <cfRule type="expression" dxfId="14678" priority="49557">
      <formula>$H169="SUBETAPA"</formula>
    </cfRule>
    <cfRule type="expression" dxfId="14677" priority="49558">
      <formula>$H169="ETAPA"</formula>
    </cfRule>
  </conditionalFormatting>
  <conditionalFormatting sqref="M178">
    <cfRule type="expression" dxfId="14676" priority="3314">
      <formula>$H178="CÉLULA CONSTRUTIVA"</formula>
    </cfRule>
    <cfRule type="expression" dxfId="14675" priority="3315">
      <formula>$H178="SUBETAPA"</formula>
    </cfRule>
    <cfRule type="expression" dxfId="14674" priority="3316">
      <formula>$H178="ETAPA"</formula>
    </cfRule>
  </conditionalFormatting>
  <conditionalFormatting sqref="M185">
    <cfRule type="expression" dxfId="14673" priority="3300">
      <formula>$H185="CÉLULA CONSTRUTIVA"</formula>
    </cfRule>
    <cfRule type="expression" dxfId="14672" priority="3301">
      <formula>$H185="SUBETAPA"</formula>
    </cfRule>
    <cfRule type="expression" dxfId="14671" priority="3302">
      <formula>$H185="ETAPA"</formula>
    </cfRule>
  </conditionalFormatting>
  <conditionalFormatting sqref="M187">
    <cfRule type="expression" dxfId="14670" priority="3280">
      <formula>$H187="CÉLULA CONSTRUTIVA"</formula>
    </cfRule>
    <cfRule type="expression" dxfId="14669" priority="3281">
      <formula>$H187="SUBETAPA"</formula>
    </cfRule>
    <cfRule type="expression" dxfId="14668" priority="3282">
      <formula>$H187="ETAPA"</formula>
    </cfRule>
  </conditionalFormatting>
  <conditionalFormatting sqref="M194">
    <cfRule type="expression" dxfId="14667" priority="3266">
      <formula>$H194="CÉLULA CONSTRUTIVA"</formula>
    </cfRule>
    <cfRule type="expression" dxfId="14666" priority="3267">
      <formula>$H194="SUBETAPA"</formula>
    </cfRule>
    <cfRule type="expression" dxfId="14665" priority="3268">
      <formula>$H194="ETAPA"</formula>
    </cfRule>
  </conditionalFormatting>
  <conditionalFormatting sqref="M196">
    <cfRule type="expression" dxfId="14664" priority="3246">
      <formula>$H196="CÉLULA CONSTRUTIVA"</formula>
    </cfRule>
    <cfRule type="expression" dxfId="14663" priority="3247">
      <formula>$H196="SUBETAPA"</formula>
    </cfRule>
    <cfRule type="expression" dxfId="14662" priority="3248">
      <formula>$H196="ETAPA"</formula>
    </cfRule>
  </conditionalFormatting>
  <conditionalFormatting sqref="M203">
    <cfRule type="expression" dxfId="14661" priority="3232">
      <formula>$H203="CÉLULA CONSTRUTIVA"</formula>
    </cfRule>
    <cfRule type="expression" dxfId="14660" priority="3233">
      <formula>$H203="SUBETAPA"</formula>
    </cfRule>
    <cfRule type="expression" dxfId="14659" priority="3234">
      <formula>$H203="ETAPA"</formula>
    </cfRule>
  </conditionalFormatting>
  <conditionalFormatting sqref="M204">
    <cfRule type="expression" dxfId="14658" priority="46325">
      <formula>$H204="SUBETAPA"</formula>
    </cfRule>
  </conditionalFormatting>
  <conditionalFormatting sqref="M205">
    <cfRule type="expression" dxfId="14657" priority="3212">
      <formula>$H205="CÉLULA CONSTRUTIVA"</formula>
    </cfRule>
    <cfRule type="expression" dxfId="14656" priority="3213">
      <formula>$H205="SUBETAPA"</formula>
    </cfRule>
    <cfRule type="expression" dxfId="14655" priority="3214">
      <formula>$H205="ETAPA"</formula>
    </cfRule>
  </conditionalFormatting>
  <conditionalFormatting sqref="M212">
    <cfRule type="expression" dxfId="14654" priority="3198">
      <formula>$H212="CÉLULA CONSTRUTIVA"</formula>
    </cfRule>
    <cfRule type="expression" dxfId="14653" priority="3199">
      <formula>$H212="SUBETAPA"</formula>
    </cfRule>
    <cfRule type="expression" dxfId="14652" priority="3200">
      <formula>$H212="ETAPA"</formula>
    </cfRule>
  </conditionalFormatting>
  <conditionalFormatting sqref="M214">
    <cfRule type="expression" dxfId="14651" priority="3178">
      <formula>$H214="CÉLULA CONSTRUTIVA"</formula>
    </cfRule>
    <cfRule type="expression" dxfId="14650" priority="3179">
      <formula>$H214="SUBETAPA"</formula>
    </cfRule>
    <cfRule type="expression" dxfId="14649" priority="3180">
      <formula>$H214="ETAPA"</formula>
    </cfRule>
  </conditionalFormatting>
  <conditionalFormatting sqref="M221">
    <cfRule type="expression" dxfId="14648" priority="3164">
      <formula>$H221="CÉLULA CONSTRUTIVA"</formula>
    </cfRule>
    <cfRule type="expression" dxfId="14647" priority="3165">
      <formula>$H221="SUBETAPA"</formula>
    </cfRule>
    <cfRule type="expression" dxfId="14646" priority="3166">
      <formula>$H221="ETAPA"</formula>
    </cfRule>
  </conditionalFormatting>
  <conditionalFormatting sqref="M222">
    <cfRule type="expression" dxfId="14645" priority="49434">
      <formula>$H222="SUBETAPA"</formula>
    </cfRule>
  </conditionalFormatting>
  <conditionalFormatting sqref="M223:M230">
    <cfRule type="expression" dxfId="14644" priority="49398">
      <formula>$H223="CÉLULA CONSTRUTIVA"</formula>
    </cfRule>
    <cfRule type="expression" dxfId="14643" priority="49399">
      <formula>$H223="SUBETAPA"</formula>
    </cfRule>
    <cfRule type="expression" dxfId="14642" priority="49400">
      <formula>$H223="ETAPA"</formula>
    </cfRule>
  </conditionalFormatting>
  <conditionalFormatting sqref="M231">
    <cfRule type="expression" dxfId="14641" priority="49384">
      <formula>$H231="SUBETAPA"</formula>
    </cfRule>
  </conditionalFormatting>
  <conditionalFormatting sqref="M232:M239">
    <cfRule type="expression" dxfId="14640" priority="49348">
      <formula>$H232="CÉLULA CONSTRUTIVA"</formula>
    </cfRule>
    <cfRule type="expression" dxfId="14639" priority="49349">
      <formula>$H232="SUBETAPA"</formula>
    </cfRule>
    <cfRule type="expression" dxfId="14638" priority="49350">
      <formula>$H232="ETAPA"</formula>
    </cfRule>
  </conditionalFormatting>
  <conditionalFormatting sqref="M240">
    <cfRule type="expression" dxfId="14637" priority="49334">
      <formula>$H240="SUBETAPA"</formula>
    </cfRule>
  </conditionalFormatting>
  <conditionalFormatting sqref="M241:M248">
    <cfRule type="expression" dxfId="14636" priority="49298">
      <formula>$H241="CÉLULA CONSTRUTIVA"</formula>
    </cfRule>
    <cfRule type="expression" dxfId="14635" priority="49299">
      <formula>$H241="SUBETAPA"</formula>
    </cfRule>
    <cfRule type="expression" dxfId="14634" priority="49300">
      <formula>$H241="ETAPA"</formula>
    </cfRule>
  </conditionalFormatting>
  <conditionalFormatting sqref="M249">
    <cfRule type="expression" dxfId="14633" priority="49284">
      <formula>$H249="SUBETAPA"</formula>
    </cfRule>
  </conditionalFormatting>
  <conditionalFormatting sqref="M250:M257">
    <cfRule type="expression" dxfId="14632" priority="49248">
      <formula>$H250="CÉLULA CONSTRUTIVA"</formula>
    </cfRule>
    <cfRule type="expression" dxfId="14631" priority="49249">
      <formula>$H250="SUBETAPA"</formula>
    </cfRule>
    <cfRule type="expression" dxfId="14630" priority="49250">
      <formula>$H250="ETAPA"</formula>
    </cfRule>
  </conditionalFormatting>
  <conditionalFormatting sqref="M258">
    <cfRule type="expression" dxfId="14629" priority="49234">
      <formula>$H258="SUBETAPA"</formula>
    </cfRule>
  </conditionalFormatting>
  <conditionalFormatting sqref="M259:M266">
    <cfRule type="expression" dxfId="14628" priority="49198">
      <formula>$H259="CÉLULA CONSTRUTIVA"</formula>
    </cfRule>
    <cfRule type="expression" dxfId="14627" priority="49199">
      <formula>$H259="SUBETAPA"</formula>
    </cfRule>
    <cfRule type="expression" dxfId="14626" priority="49200">
      <formula>$H259="ETAPA"</formula>
    </cfRule>
  </conditionalFormatting>
  <conditionalFormatting sqref="M267">
    <cfRule type="expression" dxfId="14625" priority="49184">
      <formula>$H267="SUBETAPA"</formula>
    </cfRule>
  </conditionalFormatting>
  <conditionalFormatting sqref="M282">
    <cfRule type="expression" dxfId="14624" priority="50864">
      <formula>$H282="CÉLULA CONSTRUTIVA"</formula>
    </cfRule>
    <cfRule type="expression" dxfId="14623" priority="50865">
      <formula>$H282="SUBETAPA"</formula>
    </cfRule>
    <cfRule type="expression" dxfId="14622" priority="50866">
      <formula>$H282="ETAPA"</formula>
    </cfRule>
  </conditionalFormatting>
  <conditionalFormatting sqref="M284">
    <cfRule type="expression" dxfId="14621" priority="49075">
      <formula>$H284="CÉLULA CONSTRUTIVA"</formula>
    </cfRule>
    <cfRule type="expression" dxfId="14620" priority="49076">
      <formula>$H284="SUBETAPA"</formula>
    </cfRule>
    <cfRule type="expression" dxfId="14619" priority="49077">
      <formula>$H284="ETAPA"</formula>
    </cfRule>
  </conditionalFormatting>
  <conditionalFormatting sqref="M286">
    <cfRule type="expression" dxfId="14618" priority="49029">
      <formula>$H286="CÉLULA CONSTRUTIVA"</formula>
    </cfRule>
    <cfRule type="expression" dxfId="14617" priority="49030">
      <formula>$H286="SUBETAPA"</formula>
    </cfRule>
    <cfRule type="expression" dxfId="14616" priority="49031">
      <formula>$H286="ETAPA"</formula>
    </cfRule>
  </conditionalFormatting>
  <conditionalFormatting sqref="M288">
    <cfRule type="expression" dxfId="14615" priority="48983">
      <formula>$H288="CÉLULA CONSTRUTIVA"</formula>
    </cfRule>
    <cfRule type="expression" dxfId="14614" priority="48984">
      <formula>$H288="SUBETAPA"</formula>
    </cfRule>
    <cfRule type="expression" dxfId="14613" priority="48985">
      <formula>$H288="ETAPA"</formula>
    </cfRule>
  </conditionalFormatting>
  <conditionalFormatting sqref="M290">
    <cfRule type="expression" dxfId="14612" priority="48937">
      <formula>$H290="CÉLULA CONSTRUTIVA"</formula>
    </cfRule>
    <cfRule type="expression" dxfId="14611" priority="48938">
      <formula>$H290="SUBETAPA"</formula>
    </cfRule>
    <cfRule type="expression" dxfId="14610" priority="48939">
      <formula>$H290="ETAPA"</formula>
    </cfRule>
  </conditionalFormatting>
  <conditionalFormatting sqref="M292">
    <cfRule type="expression" dxfId="14609" priority="48891">
      <formula>$H292="CÉLULA CONSTRUTIVA"</formula>
    </cfRule>
    <cfRule type="expression" dxfId="14608" priority="48892">
      <formula>$H292="SUBETAPA"</formula>
    </cfRule>
    <cfRule type="expression" dxfId="14607" priority="48893">
      <formula>$H292="ETAPA"</formula>
    </cfRule>
  </conditionalFormatting>
  <conditionalFormatting sqref="M294">
    <cfRule type="expression" dxfId="14606" priority="48845">
      <formula>$H294="CÉLULA CONSTRUTIVA"</formula>
    </cfRule>
    <cfRule type="expression" dxfId="14605" priority="48846">
      <formula>$H294="SUBETAPA"</formula>
    </cfRule>
    <cfRule type="expression" dxfId="14604" priority="48847">
      <formula>$H294="ETAPA"</formula>
    </cfRule>
  </conditionalFormatting>
  <conditionalFormatting sqref="M296">
    <cfRule type="expression" dxfId="14603" priority="46255">
      <formula>$H296="CÉLULA CONSTRUTIVA"</formula>
    </cfRule>
    <cfRule type="expression" dxfId="14602" priority="46256">
      <formula>$H296="SUBETAPA"</formula>
    </cfRule>
    <cfRule type="expression" dxfId="14601" priority="46257">
      <formula>$H296="ETAPA"</formula>
    </cfRule>
  </conditionalFormatting>
  <conditionalFormatting sqref="M298">
    <cfRule type="expression" dxfId="14600" priority="48799">
      <formula>$H298="CÉLULA CONSTRUTIVA"</formula>
    </cfRule>
    <cfRule type="expression" dxfId="14599" priority="48800">
      <formula>$H298="SUBETAPA"</formula>
    </cfRule>
    <cfRule type="expression" dxfId="14598" priority="48801">
      <formula>$H298="ETAPA"</formula>
    </cfRule>
  </conditionalFormatting>
  <conditionalFormatting sqref="M300">
    <cfRule type="expression" dxfId="14597" priority="48753">
      <formula>$H300="CÉLULA CONSTRUTIVA"</formula>
    </cfRule>
    <cfRule type="expression" dxfId="14596" priority="48754">
      <formula>$H300="SUBETAPA"</formula>
    </cfRule>
    <cfRule type="expression" dxfId="14595" priority="48755">
      <formula>$H300="ETAPA"</formula>
    </cfRule>
  </conditionalFormatting>
  <conditionalFormatting sqref="M302">
    <cfRule type="expression" dxfId="14594" priority="48707">
      <formula>$H302="CÉLULA CONSTRUTIVA"</formula>
    </cfRule>
    <cfRule type="expression" dxfId="14593" priority="48708">
      <formula>$H302="SUBETAPA"</formula>
    </cfRule>
    <cfRule type="expression" dxfId="14592" priority="48709">
      <formula>$H302="ETAPA"</formula>
    </cfRule>
  </conditionalFormatting>
  <conditionalFormatting sqref="M304">
    <cfRule type="expression" dxfId="14591" priority="48661">
      <formula>$H304="CÉLULA CONSTRUTIVA"</formula>
    </cfRule>
    <cfRule type="expression" dxfId="14590" priority="48662">
      <formula>$H304="SUBETAPA"</formula>
    </cfRule>
    <cfRule type="expression" dxfId="14589" priority="48663">
      <formula>$H304="ETAPA"</formula>
    </cfRule>
  </conditionalFormatting>
  <conditionalFormatting sqref="M306">
    <cfRule type="expression" dxfId="14588" priority="48615">
      <formula>$H306="CÉLULA CONSTRUTIVA"</formula>
    </cfRule>
    <cfRule type="expression" dxfId="14587" priority="48616">
      <formula>$H306="SUBETAPA"</formula>
    </cfRule>
    <cfRule type="expression" dxfId="14586" priority="48617">
      <formula>$H306="ETAPA"</formula>
    </cfRule>
  </conditionalFormatting>
  <conditionalFormatting sqref="M308">
    <cfRule type="expression" dxfId="14585" priority="48569">
      <formula>$H308="CÉLULA CONSTRUTIVA"</formula>
    </cfRule>
    <cfRule type="expression" dxfId="14584" priority="48570">
      <formula>$H308="SUBETAPA"</formula>
    </cfRule>
    <cfRule type="expression" dxfId="14583" priority="48571">
      <formula>$H308="ETAPA"</formula>
    </cfRule>
  </conditionalFormatting>
  <conditionalFormatting sqref="M310">
    <cfRule type="expression" dxfId="14582" priority="48523">
      <formula>$H310="CÉLULA CONSTRUTIVA"</formula>
    </cfRule>
    <cfRule type="expression" dxfId="14581" priority="48524">
      <formula>$H310="SUBETAPA"</formula>
    </cfRule>
    <cfRule type="expression" dxfId="14580" priority="48525">
      <formula>$H310="ETAPA"</formula>
    </cfRule>
  </conditionalFormatting>
  <conditionalFormatting sqref="M312">
    <cfRule type="expression" dxfId="14579" priority="48477">
      <formula>$H312="CÉLULA CONSTRUTIVA"</formula>
    </cfRule>
    <cfRule type="expression" dxfId="14578" priority="48478">
      <formula>$H312="SUBETAPA"</formula>
    </cfRule>
    <cfRule type="expression" dxfId="14577" priority="48479">
      <formula>$H312="ETAPA"</formula>
    </cfRule>
  </conditionalFormatting>
  <conditionalFormatting sqref="M313">
    <cfRule type="expression" dxfId="14576" priority="48439">
      <formula>$H313="CÉLULA CONSTRUTIVA"</formula>
    </cfRule>
  </conditionalFormatting>
  <conditionalFormatting sqref="M313:M314">
    <cfRule type="expression" dxfId="14575" priority="48438">
      <formula>$H313="SUBETAPA"</formula>
    </cfRule>
  </conditionalFormatting>
  <conditionalFormatting sqref="M314">
    <cfRule type="expression" dxfId="14574" priority="48452">
      <formula>$H314="CÉLULA CONSTRUTIVA"</formula>
    </cfRule>
  </conditionalFormatting>
  <conditionalFormatting sqref="M315">
    <cfRule type="expression" dxfId="14573" priority="46148">
      <formula>$H315="CÉLULA CONSTRUTIVA"</formula>
    </cfRule>
    <cfRule type="expression" dxfId="14572" priority="46149">
      <formula>$H315="SUBETAPA"</formula>
    </cfRule>
    <cfRule type="expression" dxfId="14571" priority="46150">
      <formula>$H315="ETAPA"</formula>
    </cfRule>
  </conditionalFormatting>
  <conditionalFormatting sqref="M316">
    <cfRule type="expression" dxfId="14570" priority="48421">
      <formula>$H316="SUBETAPA"</formula>
    </cfRule>
    <cfRule type="expression" dxfId="14569" priority="48422">
      <formula>$H316="CÉLULA CONSTRUTIVA"</formula>
    </cfRule>
  </conditionalFormatting>
  <conditionalFormatting sqref="M317">
    <cfRule type="expression" dxfId="14568" priority="3976">
      <formula>$H317="CÉLULA CONSTRUTIVA"</formula>
    </cfRule>
    <cfRule type="expression" dxfId="14567" priority="3977">
      <formula>$H317="SUBETAPA"</formula>
    </cfRule>
    <cfRule type="expression" dxfId="14566" priority="3978">
      <formula>$H317="ETAPA"</formula>
    </cfRule>
  </conditionalFormatting>
  <conditionalFormatting sqref="M318">
    <cfRule type="expression" dxfId="14565" priority="48350">
      <formula>$H318="SUBETAPA"</formula>
    </cfRule>
    <cfRule type="expression" dxfId="14564" priority="48351">
      <formula>$H318="CÉLULA CONSTRUTIVA"</formula>
    </cfRule>
  </conditionalFormatting>
  <conditionalFormatting sqref="M319">
    <cfRule type="expression" dxfId="14563" priority="3973">
      <formula>$H319="CÉLULA CONSTRUTIVA"</formula>
    </cfRule>
    <cfRule type="expression" dxfId="14562" priority="3974">
      <formula>$H319="SUBETAPA"</formula>
    </cfRule>
    <cfRule type="expression" dxfId="14561" priority="3975">
      <formula>$H319="ETAPA"</formula>
    </cfRule>
  </conditionalFormatting>
  <conditionalFormatting sqref="M320">
    <cfRule type="expression" dxfId="14560" priority="48335">
      <formula>$H320="SUBETAPA"</formula>
    </cfRule>
    <cfRule type="expression" dxfId="14559" priority="48336">
      <formula>$H320="CÉLULA CONSTRUTIVA"</formula>
    </cfRule>
  </conditionalFormatting>
  <conditionalFormatting sqref="M321">
    <cfRule type="expression" dxfId="14558" priority="3952">
      <formula>$H321="CÉLULA CONSTRUTIVA"</formula>
    </cfRule>
    <cfRule type="expression" dxfId="14557" priority="3953">
      <formula>$H321="SUBETAPA"</formula>
    </cfRule>
    <cfRule type="expression" dxfId="14556" priority="3954">
      <formula>$H321="ETAPA"</formula>
    </cfRule>
  </conditionalFormatting>
  <conditionalFormatting sqref="M322">
    <cfRule type="expression" dxfId="14555" priority="48264">
      <formula>$H322="SUBETAPA"</formula>
    </cfRule>
    <cfRule type="expression" dxfId="14554" priority="48265">
      <formula>$H322="CÉLULA CONSTRUTIVA"</formula>
    </cfRule>
  </conditionalFormatting>
  <conditionalFormatting sqref="M323">
    <cfRule type="expression" dxfId="14553" priority="3949">
      <formula>$H323="CÉLULA CONSTRUTIVA"</formula>
    </cfRule>
    <cfRule type="expression" dxfId="14552" priority="3950">
      <formula>$H323="SUBETAPA"</formula>
    </cfRule>
    <cfRule type="expression" dxfId="14551" priority="3951">
      <formula>$H323="ETAPA"</formula>
    </cfRule>
  </conditionalFormatting>
  <conditionalFormatting sqref="M324">
    <cfRule type="expression" dxfId="14550" priority="3967">
      <formula>$H324="CÉLULA CONSTRUTIVA"</formula>
    </cfRule>
    <cfRule type="expression" dxfId="14549" priority="3968">
      <formula>$H324="SUBETAPA"</formula>
    </cfRule>
    <cfRule type="expression" dxfId="14548" priority="3969">
      <formula>$H324="ETAPA"</formula>
    </cfRule>
  </conditionalFormatting>
  <conditionalFormatting sqref="M325">
    <cfRule type="expression" dxfId="14547" priority="3961">
      <formula>$H325="CÉLULA CONSTRUTIVA"</formula>
    </cfRule>
    <cfRule type="expression" dxfId="14546" priority="3962">
      <formula>$H325="SUBETAPA"</formula>
    </cfRule>
    <cfRule type="expression" dxfId="14545" priority="3963">
      <formula>$H325="ETAPA"</formula>
    </cfRule>
  </conditionalFormatting>
  <conditionalFormatting sqref="M326">
    <cfRule type="expression" dxfId="14544" priority="48178">
      <formula>$H326="SUBETAPA"</formula>
    </cfRule>
    <cfRule type="expression" dxfId="14543" priority="48179">
      <formula>$H326="CÉLULA CONSTRUTIVA"</formula>
    </cfRule>
  </conditionalFormatting>
  <conditionalFormatting sqref="M327">
    <cfRule type="expression" dxfId="14542" priority="3958">
      <formula>$H327="CÉLULA CONSTRUTIVA"</formula>
    </cfRule>
    <cfRule type="expression" dxfId="14541" priority="3959">
      <formula>$H327="SUBETAPA"</formula>
    </cfRule>
    <cfRule type="expression" dxfId="14540" priority="3960">
      <formula>$H327="ETAPA"</formula>
    </cfRule>
  </conditionalFormatting>
  <conditionalFormatting sqref="M328">
    <cfRule type="expression" dxfId="14539" priority="46238">
      <formula>$H328="SUBETAPA"</formula>
    </cfRule>
    <cfRule type="expression" dxfId="14538" priority="46239">
      <formula>$H328="CÉLULA CONSTRUTIVA"</formula>
    </cfRule>
  </conditionalFormatting>
  <conditionalFormatting sqref="M329">
    <cfRule type="expression" dxfId="14537" priority="3955">
      <formula>$H329="CÉLULA CONSTRUTIVA"</formula>
    </cfRule>
    <cfRule type="expression" dxfId="14536" priority="3956">
      <formula>$H329="SUBETAPA"</formula>
    </cfRule>
    <cfRule type="expression" dxfId="14535" priority="3957">
      <formula>$H329="ETAPA"</formula>
    </cfRule>
  </conditionalFormatting>
  <conditionalFormatting sqref="M330">
    <cfRule type="expression" dxfId="14534" priority="46803">
      <formula>$H330="SUBETAPA"</formula>
    </cfRule>
    <cfRule type="expression" dxfId="14533" priority="46804">
      <formula>$H330="CÉLULA CONSTRUTIVA"</formula>
    </cfRule>
    <cfRule type="expression" dxfId="14532" priority="46805">
      <formula>$H330="ETAPA"</formula>
    </cfRule>
  </conditionalFormatting>
  <conditionalFormatting sqref="M331 M345 M333 M335 M337 M339 M341 M343">
    <cfRule type="expression" dxfId="14531" priority="46147">
      <formula>$H331="ETAPA"</formula>
    </cfRule>
  </conditionalFormatting>
  <conditionalFormatting sqref="M332">
    <cfRule type="expression" dxfId="14530" priority="46800">
      <formula>$H332="SUBETAPA"</formula>
    </cfRule>
    <cfRule type="expression" dxfId="14529" priority="46801">
      <formula>$H332="CÉLULA CONSTRUTIVA"</formula>
    </cfRule>
    <cfRule type="expression" dxfId="14528" priority="46802">
      <formula>$H332="ETAPA"</formula>
    </cfRule>
  </conditionalFormatting>
  <conditionalFormatting sqref="M334">
    <cfRule type="expression" dxfId="14527" priority="46797">
      <formula>$H334="SUBETAPA"</formula>
    </cfRule>
    <cfRule type="expression" dxfId="14526" priority="46798">
      <formula>$H334="CÉLULA CONSTRUTIVA"</formula>
    </cfRule>
    <cfRule type="expression" dxfId="14525" priority="46799">
      <formula>$H334="ETAPA"</formula>
    </cfRule>
  </conditionalFormatting>
  <conditionalFormatting sqref="M336">
    <cfRule type="expression" dxfId="14524" priority="46794">
      <formula>$H336="SUBETAPA"</formula>
    </cfRule>
    <cfRule type="expression" dxfId="14523" priority="46795">
      <formula>$H336="CÉLULA CONSTRUTIVA"</formula>
    </cfRule>
    <cfRule type="expression" dxfId="14522" priority="46796">
      <formula>$H336="ETAPA"</formula>
    </cfRule>
  </conditionalFormatting>
  <conditionalFormatting sqref="M338">
    <cfRule type="expression" dxfId="14521" priority="46791">
      <formula>$H338="SUBETAPA"</formula>
    </cfRule>
    <cfRule type="expression" dxfId="14520" priority="46792">
      <formula>$H338="CÉLULA CONSTRUTIVA"</formula>
    </cfRule>
    <cfRule type="expression" dxfId="14519" priority="46793">
      <formula>$H338="ETAPA"</formula>
    </cfRule>
  </conditionalFormatting>
  <conditionalFormatting sqref="M340">
    <cfRule type="expression" dxfId="14518" priority="47931">
      <formula>$H340="SUBETAPA"</formula>
    </cfRule>
    <cfRule type="expression" dxfId="14517" priority="47932">
      <formula>$H340="CÉLULA CONSTRUTIVA"</formula>
    </cfRule>
  </conditionalFormatting>
  <conditionalFormatting sqref="M342">
    <cfRule type="expression" dxfId="14516" priority="46788">
      <formula>$H342="SUBETAPA"</formula>
    </cfRule>
    <cfRule type="expression" dxfId="14515" priority="46789">
      <formula>$H342="CÉLULA CONSTRUTIVA"</formula>
    </cfRule>
    <cfRule type="expression" dxfId="14514" priority="46790">
      <formula>$H342="ETAPA"</formula>
    </cfRule>
  </conditionalFormatting>
  <conditionalFormatting sqref="M344">
    <cfRule type="expression" dxfId="14513" priority="46785">
      <formula>$H344="SUBETAPA"</formula>
    </cfRule>
    <cfRule type="expression" dxfId="14512" priority="46786">
      <formula>$H344="CÉLULA CONSTRUTIVA"</formula>
    </cfRule>
    <cfRule type="expression" dxfId="14511" priority="46787">
      <formula>$H344="ETAPA"</formula>
    </cfRule>
  </conditionalFormatting>
  <conditionalFormatting sqref="M345 M331 M333 M335 M337 M339 M341 M343">
    <cfRule type="expression" dxfId="14510" priority="46145">
      <formula>$H331="CÉLULA CONSTRUTIVA"</formula>
    </cfRule>
    <cfRule type="expression" dxfId="14509" priority="46146">
      <formula>$H331="SUBETAPA"</formula>
    </cfRule>
  </conditionalFormatting>
  <conditionalFormatting sqref="M346">
    <cfRule type="expression" dxfId="14508" priority="48467">
      <formula>$H346="CÉLULA CONSTRUTIVA"</formula>
    </cfRule>
  </conditionalFormatting>
  <conditionalFormatting sqref="M349 N350">
    <cfRule type="expression" dxfId="14507" priority="47759">
      <formula>$H349="CÉLULA CONSTRUTIVA"</formula>
    </cfRule>
  </conditionalFormatting>
  <conditionalFormatting sqref="M349:M350">
    <cfRule type="expression" dxfId="14506" priority="47730">
      <formula>$H349="SUBETAPA"</formula>
    </cfRule>
  </conditionalFormatting>
  <conditionalFormatting sqref="M350">
    <cfRule type="expression" dxfId="14505" priority="47729">
      <formula>$H350="CÉLULA CONSTRUTIVA"</formula>
    </cfRule>
    <cfRule type="expression" dxfId="14504" priority="47731">
      <formula>$H350="ETAPA"</formula>
    </cfRule>
  </conditionalFormatting>
  <conditionalFormatting sqref="M351 N352:O352">
    <cfRule type="expression" dxfId="14503" priority="47716">
      <formula>$H351="CÉLULA CONSTRUTIVA"</formula>
    </cfRule>
  </conditionalFormatting>
  <conditionalFormatting sqref="M351:M352">
    <cfRule type="expression" dxfId="14502" priority="47687">
      <formula>$H351="SUBETAPA"</formula>
    </cfRule>
  </conditionalFormatting>
  <conditionalFormatting sqref="M352">
    <cfRule type="expression" dxfId="14501" priority="47686">
      <formula>$H352="CÉLULA CONSTRUTIVA"</formula>
    </cfRule>
    <cfRule type="expression" dxfId="14500" priority="47688">
      <formula>$H352="ETAPA"</formula>
    </cfRule>
  </conditionalFormatting>
  <conditionalFormatting sqref="M353 N354">
    <cfRule type="expression" dxfId="14499" priority="47673">
      <formula>$H353="CÉLULA CONSTRUTIVA"</formula>
    </cfRule>
  </conditionalFormatting>
  <conditionalFormatting sqref="M353:M354">
    <cfRule type="expression" dxfId="14498" priority="47644">
      <formula>$H353="SUBETAPA"</formula>
    </cfRule>
  </conditionalFormatting>
  <conditionalFormatting sqref="M354">
    <cfRule type="expression" dxfId="14497" priority="47643">
      <formula>$H354="CÉLULA CONSTRUTIVA"</formula>
    </cfRule>
    <cfRule type="expression" dxfId="14496" priority="47645">
      <formula>$H354="ETAPA"</formula>
    </cfRule>
  </conditionalFormatting>
  <conditionalFormatting sqref="M355 N356">
    <cfRule type="expression" dxfId="14495" priority="47630">
      <formula>$H355="CÉLULA CONSTRUTIVA"</formula>
    </cfRule>
  </conditionalFormatting>
  <conditionalFormatting sqref="M355:M356">
    <cfRule type="expression" dxfId="14494" priority="47601">
      <formula>$H355="SUBETAPA"</formula>
    </cfRule>
  </conditionalFormatting>
  <conditionalFormatting sqref="M356">
    <cfRule type="expression" dxfId="14493" priority="47600">
      <formula>$H356="CÉLULA CONSTRUTIVA"</formula>
    </cfRule>
    <cfRule type="expression" dxfId="14492" priority="47602">
      <formula>$H356="ETAPA"</formula>
    </cfRule>
  </conditionalFormatting>
  <conditionalFormatting sqref="M357 N358">
    <cfRule type="expression" dxfId="14491" priority="47587">
      <formula>$H357="CÉLULA CONSTRUTIVA"</formula>
    </cfRule>
  </conditionalFormatting>
  <conditionalFormatting sqref="M357:M358">
    <cfRule type="expression" dxfId="14490" priority="47558">
      <formula>$H357="SUBETAPA"</formula>
    </cfRule>
  </conditionalFormatting>
  <conditionalFormatting sqref="M358">
    <cfRule type="expression" dxfId="14489" priority="47557">
      <formula>$H358="CÉLULA CONSTRUTIVA"</formula>
    </cfRule>
    <cfRule type="expression" dxfId="14488" priority="47559">
      <formula>$H358="ETAPA"</formula>
    </cfRule>
  </conditionalFormatting>
  <conditionalFormatting sqref="M359 N360">
    <cfRule type="expression" dxfId="14487" priority="46190">
      <formula>$H359="SUBETAPA"</formula>
    </cfRule>
    <cfRule type="expression" dxfId="14486" priority="46191">
      <formula>$H359="CÉLULA CONSTRUTIVA"</formula>
    </cfRule>
  </conditionalFormatting>
  <conditionalFormatting sqref="M360">
    <cfRule type="expression" dxfId="14485" priority="46160">
      <formula>$H360="CÉLULA CONSTRUTIVA"</formula>
    </cfRule>
    <cfRule type="expression" dxfId="14484" priority="46161">
      <formula>$H360="SUBETAPA"</formula>
    </cfRule>
    <cfRule type="expression" dxfId="14483" priority="46162">
      <formula>$H360="ETAPA"</formula>
    </cfRule>
  </conditionalFormatting>
  <conditionalFormatting sqref="M361 N362">
    <cfRule type="expression" dxfId="14482" priority="47544">
      <formula>$H361="CÉLULA CONSTRUTIVA"</formula>
    </cfRule>
  </conditionalFormatting>
  <conditionalFormatting sqref="M361:M362">
    <cfRule type="expression" dxfId="14481" priority="47515">
      <formula>$H361="SUBETAPA"</formula>
    </cfRule>
  </conditionalFormatting>
  <conditionalFormatting sqref="M362">
    <cfRule type="expression" dxfId="14480" priority="47514">
      <formula>$H362="CÉLULA CONSTRUTIVA"</formula>
    </cfRule>
    <cfRule type="expression" dxfId="14479" priority="47516">
      <formula>$H362="ETAPA"</formula>
    </cfRule>
  </conditionalFormatting>
  <conditionalFormatting sqref="M363 N364">
    <cfRule type="expression" dxfId="14478" priority="47501">
      <formula>$H363="CÉLULA CONSTRUTIVA"</formula>
    </cfRule>
  </conditionalFormatting>
  <conditionalFormatting sqref="M363:M364">
    <cfRule type="expression" dxfId="14477" priority="47472">
      <formula>$H363="SUBETAPA"</formula>
    </cfRule>
  </conditionalFormatting>
  <conditionalFormatting sqref="M364">
    <cfRule type="expression" dxfId="14476" priority="47471">
      <formula>$H364="CÉLULA CONSTRUTIVA"</formula>
    </cfRule>
    <cfRule type="expression" dxfId="14475" priority="47473">
      <formula>$H364="ETAPA"</formula>
    </cfRule>
  </conditionalFormatting>
  <conditionalFormatting sqref="M365 N366">
    <cfRule type="expression" dxfId="14474" priority="47458">
      <formula>$H365="CÉLULA CONSTRUTIVA"</formula>
    </cfRule>
  </conditionalFormatting>
  <conditionalFormatting sqref="M365:M366">
    <cfRule type="expression" dxfId="14473" priority="47429">
      <formula>$H365="SUBETAPA"</formula>
    </cfRule>
  </conditionalFormatting>
  <conditionalFormatting sqref="M366">
    <cfRule type="expression" dxfId="14472" priority="47428">
      <formula>$H366="CÉLULA CONSTRUTIVA"</formula>
    </cfRule>
    <cfRule type="expression" dxfId="14471" priority="47430">
      <formula>$H366="ETAPA"</formula>
    </cfRule>
  </conditionalFormatting>
  <conditionalFormatting sqref="M367 N368">
    <cfRule type="expression" dxfId="14470" priority="47415">
      <formula>$H367="CÉLULA CONSTRUTIVA"</formula>
    </cfRule>
  </conditionalFormatting>
  <conditionalFormatting sqref="M367:M368">
    <cfRule type="expression" dxfId="14469" priority="47386">
      <formula>$H367="SUBETAPA"</formula>
    </cfRule>
  </conditionalFormatting>
  <conditionalFormatting sqref="M368">
    <cfRule type="expression" dxfId="14468" priority="47385">
      <formula>$H368="CÉLULA CONSTRUTIVA"</formula>
    </cfRule>
    <cfRule type="expression" dxfId="14467" priority="47387">
      <formula>$H368="ETAPA"</formula>
    </cfRule>
  </conditionalFormatting>
  <conditionalFormatting sqref="M369 N370">
    <cfRule type="expression" dxfId="14466" priority="47372">
      <formula>$H369="CÉLULA CONSTRUTIVA"</formula>
    </cfRule>
  </conditionalFormatting>
  <conditionalFormatting sqref="M369:M370">
    <cfRule type="expression" dxfId="14465" priority="47343">
      <formula>$H369="SUBETAPA"</formula>
    </cfRule>
  </conditionalFormatting>
  <conditionalFormatting sqref="M370">
    <cfRule type="expression" dxfId="14464" priority="47342">
      <formula>$H370="CÉLULA CONSTRUTIVA"</formula>
    </cfRule>
    <cfRule type="expression" dxfId="14463" priority="47344">
      <formula>$H370="ETAPA"</formula>
    </cfRule>
  </conditionalFormatting>
  <conditionalFormatting sqref="M371 N372">
    <cfRule type="expression" dxfId="14462" priority="47329">
      <formula>$H371="CÉLULA CONSTRUTIVA"</formula>
    </cfRule>
  </conditionalFormatting>
  <conditionalFormatting sqref="M372">
    <cfRule type="expression" dxfId="14461" priority="47299">
      <formula>$H372="CÉLULA CONSTRUTIVA"</formula>
    </cfRule>
    <cfRule type="expression" dxfId="14460" priority="47300">
      <formula>$H372="SUBETAPA"</formula>
    </cfRule>
    <cfRule type="expression" dxfId="14459" priority="47301">
      <formula>$H372="ETAPA"</formula>
    </cfRule>
  </conditionalFormatting>
  <conditionalFormatting sqref="M373 N374">
    <cfRule type="expression" dxfId="14458" priority="47285">
      <formula>$H373="SUBETAPA"</formula>
    </cfRule>
    <cfRule type="expression" dxfId="14457" priority="47286">
      <formula>$H373="CÉLULA CONSTRUTIVA"</formula>
    </cfRule>
  </conditionalFormatting>
  <conditionalFormatting sqref="M374">
    <cfRule type="expression" dxfId="14456" priority="47256">
      <formula>$H374="CÉLULA CONSTRUTIVA"</formula>
    </cfRule>
    <cfRule type="expression" dxfId="14455" priority="47257">
      <formula>$H374="SUBETAPA"</formula>
    </cfRule>
    <cfRule type="expression" dxfId="14454" priority="47258">
      <formula>$H374="ETAPA"</formula>
    </cfRule>
  </conditionalFormatting>
  <conditionalFormatting sqref="M375 N376">
    <cfRule type="expression" dxfId="14453" priority="47242">
      <formula>$H375="SUBETAPA"</formula>
    </cfRule>
    <cfRule type="expression" dxfId="14452" priority="47243">
      <formula>$H375="CÉLULA CONSTRUTIVA"</formula>
    </cfRule>
  </conditionalFormatting>
  <conditionalFormatting sqref="M376">
    <cfRule type="expression" dxfId="14451" priority="47213">
      <formula>$H376="CÉLULA CONSTRUTIVA"</formula>
    </cfRule>
    <cfRule type="expression" dxfId="14450" priority="47214">
      <formula>$H376="SUBETAPA"</formula>
    </cfRule>
    <cfRule type="expression" dxfId="14449" priority="47215">
      <formula>$H376="ETAPA"</formula>
    </cfRule>
  </conditionalFormatting>
  <conditionalFormatting sqref="M377 N378">
    <cfRule type="expression" dxfId="14448" priority="47199">
      <formula>$H377="SUBETAPA"</formula>
    </cfRule>
    <cfRule type="expression" dxfId="14447" priority="47200">
      <formula>$H377="CÉLULA CONSTRUTIVA"</formula>
    </cfRule>
  </conditionalFormatting>
  <conditionalFormatting sqref="M378">
    <cfRule type="expression" dxfId="14446" priority="47169">
      <formula>$H378="CÉLULA CONSTRUTIVA"</formula>
    </cfRule>
    <cfRule type="expression" dxfId="14445" priority="47170">
      <formula>$H378="SUBETAPA"</formula>
    </cfRule>
    <cfRule type="expression" dxfId="14444" priority="47171">
      <formula>$H378="ETAPA"</formula>
    </cfRule>
  </conditionalFormatting>
  <conditionalFormatting sqref="M619">
    <cfRule type="expression" dxfId="14443" priority="86908">
      <formula>$H619="CÉLULA CONSTRUTIVA"</formula>
    </cfRule>
    <cfRule type="expression" dxfId="14442" priority="86909">
      <formula>$H619="ETAPA"</formula>
    </cfRule>
  </conditionalFormatting>
  <conditionalFormatting sqref="M620:M621">
    <cfRule type="expression" dxfId="14441" priority="59110">
      <formula>$H620="ETAPA"</formula>
    </cfRule>
  </conditionalFormatting>
  <conditionalFormatting sqref="M623">
    <cfRule type="expression" dxfId="14440" priority="59074">
      <formula>$H623="CÉLULA CONSTRUTIVA"</formula>
    </cfRule>
    <cfRule type="expression" dxfId="14439" priority="59075">
      <formula>$H623="ETAPA"</formula>
    </cfRule>
  </conditionalFormatting>
  <conditionalFormatting sqref="M625 M627">
    <cfRule type="expression" dxfId="14438" priority="59104">
      <formula>$H625="CÉLULA CONSTRUTIVA"</formula>
    </cfRule>
    <cfRule type="expression" dxfId="14437" priority="59105">
      <formula>$H625="ETAPA"</formula>
    </cfRule>
  </conditionalFormatting>
  <conditionalFormatting sqref="M629 M631">
    <cfRule type="expression" dxfId="14436" priority="59106">
      <formula>$H629="CÉLULA CONSTRUTIVA"</formula>
    </cfRule>
    <cfRule type="expression" dxfId="14435" priority="59107">
      <formula>$H629="ETAPA"</formula>
    </cfRule>
  </conditionalFormatting>
  <conditionalFormatting sqref="M633:M634 H637:J637">
    <cfRule type="expression" dxfId="14434" priority="59096">
      <formula>$H633="ETAPA"</formula>
    </cfRule>
  </conditionalFormatting>
  <conditionalFormatting sqref="M636 M638">
    <cfRule type="expression" dxfId="14433" priority="59094">
      <formula>$H636="CÉLULA CONSTRUTIVA"</formula>
    </cfRule>
    <cfRule type="expression" dxfId="14432" priority="59095">
      <formula>$H636="ETAPA"</formula>
    </cfRule>
  </conditionalFormatting>
  <conditionalFormatting sqref="M640">
    <cfRule type="expression" dxfId="14431" priority="58514">
      <formula>$H640="CÉLULA CONSTRUTIVA"</formula>
    </cfRule>
    <cfRule type="expression" dxfId="14430" priority="58515">
      <formula>$H640="ETAPA"</formula>
    </cfRule>
  </conditionalFormatting>
  <conditionalFormatting sqref="M642 M644">
    <cfRule type="expression" dxfId="14429" priority="58516">
      <formula>$H642="CÉLULA CONSTRUTIVA"</formula>
    </cfRule>
    <cfRule type="expression" dxfId="14428" priority="58517">
      <formula>$H642="ETAPA"</formula>
    </cfRule>
  </conditionalFormatting>
  <conditionalFormatting sqref="M646:M647 H650:J650">
    <cfRule type="expression" dxfId="14427" priority="58506">
      <formula>$H646="ETAPA"</formula>
    </cfRule>
  </conditionalFormatting>
  <conditionalFormatting sqref="M649">
    <cfRule type="expression" dxfId="14426" priority="58477">
      <formula>$H649="CÉLULA CONSTRUTIVA"</formula>
    </cfRule>
    <cfRule type="expression" dxfId="14425" priority="58479">
      <formula>$H649="SUBETAPA"</formula>
    </cfRule>
  </conditionalFormatting>
  <conditionalFormatting sqref="M651">
    <cfRule type="expression" dxfId="14424" priority="58504">
      <formula>$H651="CÉLULA CONSTRUTIVA"</formula>
    </cfRule>
    <cfRule type="expression" dxfId="14423" priority="58505">
      <formula>$H651="ETAPA"</formula>
    </cfRule>
  </conditionalFormatting>
  <conditionalFormatting sqref="M653">
    <cfRule type="expression" dxfId="14422" priority="58596">
      <formula>$H653="CÉLULA CONSTRUTIVA"</formula>
    </cfRule>
    <cfRule type="expression" dxfId="14421" priority="58597">
      <formula>$H653="ETAPA"</formula>
    </cfRule>
  </conditionalFormatting>
  <conditionalFormatting sqref="M655 M657">
    <cfRule type="expression" dxfId="14420" priority="58598">
      <formula>$H655="CÉLULA CONSTRUTIVA"</formula>
    </cfRule>
    <cfRule type="expression" dxfId="14419" priority="58599">
      <formula>$H655="ETAPA"</formula>
    </cfRule>
  </conditionalFormatting>
  <conditionalFormatting sqref="M659:M660 H663:J663">
    <cfRule type="expression" dxfId="14418" priority="58588">
      <formula>$H659="ETAPA"</formula>
    </cfRule>
  </conditionalFormatting>
  <conditionalFormatting sqref="M662">
    <cfRule type="expression" dxfId="14417" priority="58474">
      <formula>$H662="CÉLULA CONSTRUTIVA"</formula>
    </cfRule>
    <cfRule type="expression" dxfId="14416" priority="58476">
      <formula>$H662="SUBETAPA"</formula>
    </cfRule>
  </conditionalFormatting>
  <conditionalFormatting sqref="M664">
    <cfRule type="expression" dxfId="14415" priority="58586">
      <formula>$H664="CÉLULA CONSTRUTIVA"</formula>
    </cfRule>
    <cfRule type="expression" dxfId="14414" priority="58587">
      <formula>$H664="ETAPA"</formula>
    </cfRule>
  </conditionalFormatting>
  <conditionalFormatting sqref="M666">
    <cfRule type="expression" dxfId="14413" priority="58678">
      <formula>$H666="CÉLULA CONSTRUTIVA"</formula>
    </cfRule>
    <cfRule type="expression" dxfId="14412" priority="58679">
      <formula>$H666="ETAPA"</formula>
    </cfRule>
  </conditionalFormatting>
  <conditionalFormatting sqref="M668 M670">
    <cfRule type="expression" dxfId="14411" priority="58680">
      <formula>$H668="CÉLULA CONSTRUTIVA"</formula>
    </cfRule>
    <cfRule type="expression" dxfId="14410" priority="58681">
      <formula>$H668="ETAPA"</formula>
    </cfRule>
  </conditionalFormatting>
  <conditionalFormatting sqref="M672:M673 H676:J676">
    <cfRule type="expression" dxfId="14409" priority="58670">
      <formula>$H672="ETAPA"</formula>
    </cfRule>
  </conditionalFormatting>
  <conditionalFormatting sqref="M675">
    <cfRule type="expression" dxfId="14408" priority="58471">
      <formula>$H675="CÉLULA CONSTRUTIVA"</formula>
    </cfRule>
    <cfRule type="expression" dxfId="14407" priority="58473">
      <formula>$H675="SUBETAPA"</formula>
    </cfRule>
  </conditionalFormatting>
  <conditionalFormatting sqref="M677">
    <cfRule type="expression" dxfId="14406" priority="58668">
      <formula>$H677="CÉLULA CONSTRUTIVA"</formula>
    </cfRule>
    <cfRule type="expression" dxfId="14405" priority="58669">
      <formula>$H677="ETAPA"</formula>
    </cfRule>
  </conditionalFormatting>
  <conditionalFormatting sqref="M679">
    <cfRule type="expression" dxfId="14404" priority="58760">
      <formula>$H679="CÉLULA CONSTRUTIVA"</formula>
    </cfRule>
    <cfRule type="expression" dxfId="14403" priority="58761">
      <formula>$H679="ETAPA"</formula>
    </cfRule>
  </conditionalFormatting>
  <conditionalFormatting sqref="M681 M683">
    <cfRule type="expression" dxfId="14402" priority="58762">
      <formula>$H681="CÉLULA CONSTRUTIVA"</formula>
    </cfRule>
    <cfRule type="expression" dxfId="14401" priority="58763">
      <formula>$H681="ETAPA"</formula>
    </cfRule>
  </conditionalFormatting>
  <conditionalFormatting sqref="M685:M686 H689:J689">
    <cfRule type="expression" dxfId="14400" priority="58752">
      <formula>$H685="ETAPA"</formula>
    </cfRule>
  </conditionalFormatting>
  <conditionalFormatting sqref="M688">
    <cfRule type="expression" dxfId="14399" priority="58468">
      <formula>$H688="CÉLULA CONSTRUTIVA"</formula>
    </cfRule>
    <cfRule type="expression" dxfId="14398" priority="58470">
      <formula>$H688="SUBETAPA"</formula>
    </cfRule>
  </conditionalFormatting>
  <conditionalFormatting sqref="M690">
    <cfRule type="expression" dxfId="14397" priority="58750">
      <formula>$H690="CÉLULA CONSTRUTIVA"</formula>
    </cfRule>
    <cfRule type="expression" dxfId="14396" priority="58751">
      <formula>$H690="ETAPA"</formula>
    </cfRule>
  </conditionalFormatting>
  <conditionalFormatting sqref="M692">
    <cfRule type="expression" dxfId="14395" priority="58842">
      <formula>$H692="CÉLULA CONSTRUTIVA"</formula>
    </cfRule>
    <cfRule type="expression" dxfId="14394" priority="58843">
      <formula>$H692="ETAPA"</formula>
    </cfRule>
  </conditionalFormatting>
  <conditionalFormatting sqref="M694 M696">
    <cfRule type="expression" dxfId="14393" priority="58844">
      <formula>$H694="CÉLULA CONSTRUTIVA"</formula>
    </cfRule>
    <cfRule type="expression" dxfId="14392" priority="58845">
      <formula>$H694="ETAPA"</formula>
    </cfRule>
  </conditionalFormatting>
  <conditionalFormatting sqref="M698:M699 H702:J702">
    <cfRule type="expression" dxfId="14391" priority="58834">
      <formula>$H698="ETAPA"</formula>
    </cfRule>
  </conditionalFormatting>
  <conditionalFormatting sqref="M701">
    <cfRule type="expression" dxfId="14390" priority="58465">
      <formula>$H701="CÉLULA CONSTRUTIVA"</formula>
    </cfRule>
    <cfRule type="expression" dxfId="14389" priority="58467">
      <formula>$H701="SUBETAPA"</formula>
    </cfRule>
  </conditionalFormatting>
  <conditionalFormatting sqref="M703">
    <cfRule type="expression" dxfId="14388" priority="58832">
      <formula>$H703="CÉLULA CONSTRUTIVA"</formula>
    </cfRule>
    <cfRule type="expression" dxfId="14387" priority="58833">
      <formula>$H703="ETAPA"</formula>
    </cfRule>
  </conditionalFormatting>
  <conditionalFormatting sqref="M705">
    <cfRule type="expression" dxfId="14386" priority="58924">
      <formula>$H705="CÉLULA CONSTRUTIVA"</formula>
    </cfRule>
    <cfRule type="expression" dxfId="14385" priority="58925">
      <formula>$H705="ETAPA"</formula>
    </cfRule>
  </conditionalFormatting>
  <conditionalFormatting sqref="M707 M709">
    <cfRule type="expression" dxfId="14384" priority="58926">
      <formula>$H707="CÉLULA CONSTRUTIVA"</formula>
    </cfRule>
    <cfRule type="expression" dxfId="14383" priority="58927">
      <formula>$H707="ETAPA"</formula>
    </cfRule>
  </conditionalFormatting>
  <conditionalFormatting sqref="M711:M712 H715:J715">
    <cfRule type="expression" dxfId="14382" priority="58916">
      <formula>$H711="ETAPA"</formula>
    </cfRule>
  </conditionalFormatting>
  <conditionalFormatting sqref="M714">
    <cfRule type="expression" dxfId="14381" priority="58462">
      <formula>$H714="CÉLULA CONSTRUTIVA"</formula>
    </cfRule>
    <cfRule type="expression" dxfId="14380" priority="58464">
      <formula>$H714="SUBETAPA"</formula>
    </cfRule>
  </conditionalFormatting>
  <conditionalFormatting sqref="M716">
    <cfRule type="expression" dxfId="14379" priority="58914">
      <formula>$H716="CÉLULA CONSTRUTIVA"</formula>
    </cfRule>
    <cfRule type="expression" dxfId="14378" priority="58915">
      <formula>$H716="ETAPA"</formula>
    </cfRule>
  </conditionalFormatting>
  <conditionalFormatting sqref="M718">
    <cfRule type="expression" dxfId="14377" priority="59009">
      <formula>$H718="CÉLULA CONSTRUTIVA"</formula>
    </cfRule>
    <cfRule type="expression" dxfId="14376" priority="59010">
      <formula>$H718="ETAPA"</formula>
    </cfRule>
  </conditionalFormatting>
  <conditionalFormatting sqref="M720 M722">
    <cfRule type="expression" dxfId="14375" priority="59011">
      <formula>$H720="CÉLULA CONSTRUTIVA"</formula>
    </cfRule>
    <cfRule type="expression" dxfId="14374" priority="59012">
      <formula>$H720="ETAPA"</formula>
    </cfRule>
  </conditionalFormatting>
  <conditionalFormatting sqref="M724:M725 H728:J728">
    <cfRule type="expression" dxfId="14373" priority="58998">
      <formula>$H724="ETAPA"</formula>
    </cfRule>
  </conditionalFormatting>
  <conditionalFormatting sqref="M727">
    <cfRule type="expression" dxfId="14372" priority="58459">
      <formula>$H727="CÉLULA CONSTRUTIVA"</formula>
    </cfRule>
    <cfRule type="expression" dxfId="14371" priority="58461">
      <formula>$H727="SUBETAPA"</formula>
    </cfRule>
  </conditionalFormatting>
  <conditionalFormatting sqref="M729">
    <cfRule type="expression" dxfId="14370" priority="58996">
      <formula>$H729="CÉLULA CONSTRUTIVA"</formula>
    </cfRule>
    <cfRule type="expression" dxfId="14369" priority="58997">
      <formula>$H729="ETAPA"</formula>
    </cfRule>
  </conditionalFormatting>
  <conditionalFormatting sqref="M731">
    <cfRule type="expression" dxfId="14368" priority="59186">
      <formula>$H731="CÉLULA CONSTRUTIVA"</formula>
    </cfRule>
    <cfRule type="expression" dxfId="14367" priority="59187">
      <formula>$H731="ETAPA"</formula>
    </cfRule>
  </conditionalFormatting>
  <conditionalFormatting sqref="M733 M735">
    <cfRule type="expression" dxfId="14366" priority="59188">
      <formula>$H733="CÉLULA CONSTRUTIVA"</formula>
    </cfRule>
    <cfRule type="expression" dxfId="14365" priority="59189">
      <formula>$H733="ETAPA"</formula>
    </cfRule>
  </conditionalFormatting>
  <conditionalFormatting sqref="M737:M738 H741:J741">
    <cfRule type="expression" dxfId="14364" priority="59178">
      <formula>$H737="ETAPA"</formula>
    </cfRule>
  </conditionalFormatting>
  <conditionalFormatting sqref="M740">
    <cfRule type="expression" dxfId="14363" priority="58456">
      <formula>$H740="CÉLULA CONSTRUTIVA"</formula>
    </cfRule>
    <cfRule type="expression" dxfId="14362" priority="58458">
      <formula>$H740="SUBETAPA"</formula>
    </cfRule>
  </conditionalFormatting>
  <conditionalFormatting sqref="M742">
    <cfRule type="expression" dxfId="14361" priority="59176">
      <formula>$H742="CÉLULA CONSTRUTIVA"</formula>
    </cfRule>
    <cfRule type="expression" dxfId="14360" priority="59177">
      <formula>$H742="ETAPA"</formula>
    </cfRule>
  </conditionalFormatting>
  <conditionalFormatting sqref="M744">
    <cfRule type="expression" dxfId="14359" priority="59268">
      <formula>$H744="CÉLULA CONSTRUTIVA"</formula>
    </cfRule>
    <cfRule type="expression" dxfId="14358" priority="59269">
      <formula>$H744="ETAPA"</formula>
    </cfRule>
  </conditionalFormatting>
  <conditionalFormatting sqref="M746 M748">
    <cfRule type="expression" dxfId="14357" priority="59270">
      <formula>$H746="CÉLULA CONSTRUTIVA"</formula>
    </cfRule>
    <cfRule type="expression" dxfId="14356" priority="59271">
      <formula>$H746="ETAPA"</formula>
    </cfRule>
  </conditionalFormatting>
  <conditionalFormatting sqref="M750:M751 H754:J754">
    <cfRule type="expression" dxfId="14355" priority="59260">
      <formula>$H750="ETAPA"</formula>
    </cfRule>
  </conditionalFormatting>
  <conditionalFormatting sqref="M753">
    <cfRule type="expression" dxfId="14354" priority="58453">
      <formula>$H753="CÉLULA CONSTRUTIVA"</formula>
    </cfRule>
    <cfRule type="expression" dxfId="14353" priority="58455">
      <formula>$H753="SUBETAPA"</formula>
    </cfRule>
  </conditionalFormatting>
  <conditionalFormatting sqref="M755">
    <cfRule type="expression" dxfId="14352" priority="59258">
      <formula>$H755="CÉLULA CONSTRUTIVA"</formula>
    </cfRule>
    <cfRule type="expression" dxfId="14351" priority="59259">
      <formula>$H755="ETAPA"</formula>
    </cfRule>
  </conditionalFormatting>
  <conditionalFormatting sqref="M757">
    <cfRule type="expression" dxfId="14350" priority="59350">
      <formula>$H757="CÉLULA CONSTRUTIVA"</formula>
    </cfRule>
    <cfRule type="expression" dxfId="14349" priority="59351">
      <formula>$H757="ETAPA"</formula>
    </cfRule>
  </conditionalFormatting>
  <conditionalFormatting sqref="M759 M761">
    <cfRule type="expression" dxfId="14348" priority="59352">
      <formula>$H759="CÉLULA CONSTRUTIVA"</formula>
    </cfRule>
    <cfRule type="expression" dxfId="14347" priority="59353">
      <formula>$H759="ETAPA"</formula>
    </cfRule>
  </conditionalFormatting>
  <conditionalFormatting sqref="M763:M764 H767:J767">
    <cfRule type="expression" dxfId="14346" priority="59342">
      <formula>$H763="ETAPA"</formula>
    </cfRule>
  </conditionalFormatting>
  <conditionalFormatting sqref="M766">
    <cfRule type="expression" dxfId="14345" priority="58450">
      <formula>$H766="CÉLULA CONSTRUTIVA"</formula>
    </cfRule>
    <cfRule type="expression" dxfId="14344" priority="58452">
      <formula>$H766="SUBETAPA"</formula>
    </cfRule>
  </conditionalFormatting>
  <conditionalFormatting sqref="M768">
    <cfRule type="expression" dxfId="14343" priority="59340">
      <formula>$H768="CÉLULA CONSTRUTIVA"</formula>
    </cfRule>
    <cfRule type="expression" dxfId="14342" priority="59341">
      <formula>$H768="ETAPA"</formula>
    </cfRule>
  </conditionalFormatting>
  <conditionalFormatting sqref="M770">
    <cfRule type="expression" dxfId="14341" priority="59432">
      <formula>$H770="CÉLULA CONSTRUTIVA"</formula>
    </cfRule>
    <cfRule type="expression" dxfId="14340" priority="59433">
      <formula>$H770="ETAPA"</formula>
    </cfRule>
  </conditionalFormatting>
  <conditionalFormatting sqref="M772 M774">
    <cfRule type="expression" dxfId="14339" priority="59434">
      <formula>$H772="CÉLULA CONSTRUTIVA"</formula>
    </cfRule>
    <cfRule type="expression" dxfId="14338" priority="59435">
      <formula>$H772="ETAPA"</formula>
    </cfRule>
  </conditionalFormatting>
  <conditionalFormatting sqref="M776:M777 H780:J780">
    <cfRule type="expression" dxfId="14337" priority="59424">
      <formula>$H776="ETAPA"</formula>
    </cfRule>
  </conditionalFormatting>
  <conditionalFormatting sqref="M779">
    <cfRule type="expression" dxfId="14336" priority="58447">
      <formula>$H779="CÉLULA CONSTRUTIVA"</formula>
    </cfRule>
    <cfRule type="expression" dxfId="14335" priority="58449">
      <formula>$H779="SUBETAPA"</formula>
    </cfRule>
  </conditionalFormatting>
  <conditionalFormatting sqref="M781">
    <cfRule type="expression" dxfId="14334" priority="59422">
      <formula>$H781="CÉLULA CONSTRUTIVA"</formula>
    </cfRule>
    <cfRule type="expression" dxfId="14333" priority="59423">
      <formula>$H781="ETAPA"</formula>
    </cfRule>
  </conditionalFormatting>
  <conditionalFormatting sqref="M783">
    <cfRule type="expression" dxfId="14332" priority="59514">
      <formula>$H783="CÉLULA CONSTRUTIVA"</formula>
    </cfRule>
    <cfRule type="expression" dxfId="14331" priority="59515">
      <formula>$H783="ETAPA"</formula>
    </cfRule>
  </conditionalFormatting>
  <conditionalFormatting sqref="M785 M787">
    <cfRule type="expression" dxfId="14330" priority="59516">
      <formula>$H785="CÉLULA CONSTRUTIVA"</formula>
    </cfRule>
    <cfRule type="expression" dxfId="14329" priority="59517">
      <formula>$H785="ETAPA"</formula>
    </cfRule>
  </conditionalFormatting>
  <conditionalFormatting sqref="M789:M790 H793:J793">
    <cfRule type="expression" dxfId="14328" priority="59506">
      <formula>$H789="ETAPA"</formula>
    </cfRule>
  </conditionalFormatting>
  <conditionalFormatting sqref="M792">
    <cfRule type="expression" dxfId="14327" priority="58444">
      <formula>$H792="CÉLULA CONSTRUTIVA"</formula>
    </cfRule>
    <cfRule type="expression" dxfId="14326" priority="58446">
      <formula>$H792="SUBETAPA"</formula>
    </cfRule>
  </conditionalFormatting>
  <conditionalFormatting sqref="M794">
    <cfRule type="expression" dxfId="14325" priority="59504">
      <formula>$H794="CÉLULA CONSTRUTIVA"</formula>
    </cfRule>
    <cfRule type="expression" dxfId="14324" priority="59505">
      <formula>$H794="ETAPA"</formula>
    </cfRule>
  </conditionalFormatting>
  <conditionalFormatting sqref="M796">
    <cfRule type="expression" dxfId="14323" priority="59596">
      <formula>$H796="CÉLULA CONSTRUTIVA"</formula>
    </cfRule>
    <cfRule type="expression" dxfId="14322" priority="59597">
      <formula>$H796="ETAPA"</formula>
    </cfRule>
  </conditionalFormatting>
  <conditionalFormatting sqref="M798 M800">
    <cfRule type="expression" dxfId="14321" priority="59598">
      <formula>$H798="CÉLULA CONSTRUTIVA"</formula>
    </cfRule>
    <cfRule type="expression" dxfId="14320" priority="59599">
      <formula>$H798="ETAPA"</formula>
    </cfRule>
  </conditionalFormatting>
  <conditionalFormatting sqref="M802:M803 H806:J806">
    <cfRule type="expression" dxfId="14319" priority="59588">
      <formula>$H802="ETAPA"</formula>
    </cfRule>
  </conditionalFormatting>
  <conditionalFormatting sqref="M805">
    <cfRule type="expression" dxfId="14318" priority="58441">
      <formula>$H805="CÉLULA CONSTRUTIVA"</formula>
    </cfRule>
    <cfRule type="expression" dxfId="14317" priority="58443">
      <formula>$H805="SUBETAPA"</formula>
    </cfRule>
  </conditionalFormatting>
  <conditionalFormatting sqref="M807">
    <cfRule type="expression" dxfId="14316" priority="59586">
      <formula>$H807="CÉLULA CONSTRUTIVA"</formula>
    </cfRule>
    <cfRule type="expression" dxfId="14315" priority="59587">
      <formula>$H807="ETAPA"</formula>
    </cfRule>
  </conditionalFormatting>
  <conditionalFormatting sqref="M809 M811">
    <cfRule type="expression" dxfId="14314" priority="56836">
      <formula>$H809="CÉLULA CONSTRUTIVA"</formula>
    </cfRule>
    <cfRule type="expression" dxfId="14313" priority="56837">
      <formula>$H809="ETAPA"</formula>
    </cfRule>
  </conditionalFormatting>
  <conditionalFormatting sqref="M814">
    <cfRule type="expression" dxfId="14312" priority="56827">
      <formula>$H814="CÉLULA CONSTRUTIVA"</formula>
    </cfRule>
    <cfRule type="expression" dxfId="14311" priority="56828">
      <formula>$H814="ETAPA"</formula>
    </cfRule>
  </conditionalFormatting>
  <conditionalFormatting sqref="M816">
    <cfRule type="expression" dxfId="14310" priority="56829">
      <formula>$H816="CÉLULA CONSTRUTIVA"</formula>
    </cfRule>
    <cfRule type="expression" dxfId="14309" priority="56830">
      <formula>$H816="ETAPA"</formula>
    </cfRule>
  </conditionalFormatting>
  <conditionalFormatting sqref="M818:M819">
    <cfRule type="expression" dxfId="14308" priority="56819">
      <formula>$H818="ETAPA"</formula>
    </cfRule>
  </conditionalFormatting>
  <conditionalFormatting sqref="M820 M822">
    <cfRule type="expression" dxfId="14307" priority="56945">
      <formula>$H820="CÉLULA CONSTRUTIVA"</formula>
    </cfRule>
    <cfRule type="expression" dxfId="14306" priority="56946">
      <formula>$H820="ETAPA"</formula>
    </cfRule>
  </conditionalFormatting>
  <conditionalFormatting sqref="M825">
    <cfRule type="expression" dxfId="14305" priority="56936">
      <formula>$H825="CÉLULA CONSTRUTIVA"</formula>
    </cfRule>
    <cfRule type="expression" dxfId="14304" priority="56937">
      <formula>$H825="ETAPA"</formula>
    </cfRule>
  </conditionalFormatting>
  <conditionalFormatting sqref="M827:M828">
    <cfRule type="expression" dxfId="14303" priority="56928">
      <formula>$H827="ETAPA"</formula>
    </cfRule>
  </conditionalFormatting>
  <conditionalFormatting sqref="M829 M831">
    <cfRule type="expression" dxfId="14302" priority="57054">
      <formula>$H829="CÉLULA CONSTRUTIVA"</formula>
    </cfRule>
    <cfRule type="expression" dxfId="14301" priority="57055">
      <formula>$H829="ETAPA"</formula>
    </cfRule>
  </conditionalFormatting>
  <conditionalFormatting sqref="M834">
    <cfRule type="expression" dxfId="14300" priority="57045">
      <formula>$H834="CÉLULA CONSTRUTIVA"</formula>
    </cfRule>
    <cfRule type="expression" dxfId="14299" priority="57046">
      <formula>$H834="ETAPA"</formula>
    </cfRule>
  </conditionalFormatting>
  <conditionalFormatting sqref="M836">
    <cfRule type="expression" dxfId="14298" priority="57037">
      <formula>$H836="ETAPA"</formula>
    </cfRule>
  </conditionalFormatting>
  <conditionalFormatting sqref="M837">
    <cfRule type="expression" dxfId="14297" priority="3422">
      <formula>$H837="ETAPA"</formula>
    </cfRule>
  </conditionalFormatting>
  <conditionalFormatting sqref="M838 M840">
    <cfRule type="expression" dxfId="14296" priority="57163">
      <formula>$H838="CÉLULA CONSTRUTIVA"</formula>
    </cfRule>
    <cfRule type="expression" dxfId="14295" priority="57164">
      <formula>$H838="ETAPA"</formula>
    </cfRule>
  </conditionalFormatting>
  <conditionalFormatting sqref="M843">
    <cfRule type="expression" dxfId="14294" priority="57154">
      <formula>$H843="CÉLULA CONSTRUTIVA"</formula>
    </cfRule>
    <cfRule type="expression" dxfId="14293" priority="57155">
      <formula>$H843="ETAPA"</formula>
    </cfRule>
  </conditionalFormatting>
  <conditionalFormatting sqref="M845">
    <cfRule type="expression" dxfId="14292" priority="57146">
      <formula>$H845="ETAPA"</formula>
    </cfRule>
  </conditionalFormatting>
  <conditionalFormatting sqref="M846">
    <cfRule type="expression" dxfId="14291" priority="3414">
      <formula>$H846="ETAPA"</formula>
    </cfRule>
  </conditionalFormatting>
  <conditionalFormatting sqref="M847 M849">
    <cfRule type="expression" dxfId="14290" priority="57272">
      <formula>$H847="CÉLULA CONSTRUTIVA"</formula>
    </cfRule>
    <cfRule type="expression" dxfId="14289" priority="57273">
      <formula>$H847="ETAPA"</formula>
    </cfRule>
  </conditionalFormatting>
  <conditionalFormatting sqref="M852">
    <cfRule type="expression" dxfId="14288" priority="57263">
      <formula>$H852="CÉLULA CONSTRUTIVA"</formula>
    </cfRule>
    <cfRule type="expression" dxfId="14287" priority="57264">
      <formula>$H852="ETAPA"</formula>
    </cfRule>
  </conditionalFormatting>
  <conditionalFormatting sqref="M854">
    <cfRule type="expression" dxfId="14286" priority="57255">
      <formula>$H854="ETAPA"</formula>
    </cfRule>
  </conditionalFormatting>
  <conditionalFormatting sqref="M855">
    <cfRule type="expression" dxfId="14285" priority="3406">
      <formula>$H855="ETAPA"</formula>
    </cfRule>
  </conditionalFormatting>
  <conditionalFormatting sqref="M856 M858">
    <cfRule type="expression" dxfId="14284" priority="57381">
      <formula>$H856="CÉLULA CONSTRUTIVA"</formula>
    </cfRule>
    <cfRule type="expression" dxfId="14283" priority="57382">
      <formula>$H856="ETAPA"</formula>
    </cfRule>
  </conditionalFormatting>
  <conditionalFormatting sqref="M861">
    <cfRule type="expression" dxfId="14282" priority="57372">
      <formula>$H861="CÉLULA CONSTRUTIVA"</formula>
    </cfRule>
    <cfRule type="expression" dxfId="14281" priority="57373">
      <formula>$H861="ETAPA"</formula>
    </cfRule>
  </conditionalFormatting>
  <conditionalFormatting sqref="M863">
    <cfRule type="expression" dxfId="14280" priority="57364">
      <formula>$H863="ETAPA"</formula>
    </cfRule>
  </conditionalFormatting>
  <conditionalFormatting sqref="M864">
    <cfRule type="expression" dxfId="14279" priority="3398">
      <formula>$H864="ETAPA"</formula>
    </cfRule>
  </conditionalFormatting>
  <conditionalFormatting sqref="M865 M867">
    <cfRule type="expression" dxfId="14278" priority="57490">
      <formula>$H865="CÉLULA CONSTRUTIVA"</formula>
    </cfRule>
    <cfRule type="expression" dxfId="14277" priority="57491">
      <formula>$H865="ETAPA"</formula>
    </cfRule>
  </conditionalFormatting>
  <conditionalFormatting sqref="M870">
    <cfRule type="expression" dxfId="14276" priority="57481">
      <formula>$H870="CÉLULA CONSTRUTIVA"</formula>
    </cfRule>
    <cfRule type="expression" dxfId="14275" priority="57482">
      <formula>$H870="ETAPA"</formula>
    </cfRule>
  </conditionalFormatting>
  <conditionalFormatting sqref="M872">
    <cfRule type="expression" dxfId="14274" priority="57473">
      <formula>$H872="ETAPA"</formula>
    </cfRule>
  </conditionalFormatting>
  <conditionalFormatting sqref="M873">
    <cfRule type="expression" dxfId="14273" priority="3390">
      <formula>$H873="ETAPA"</formula>
    </cfRule>
  </conditionalFormatting>
  <conditionalFormatting sqref="M874 M876">
    <cfRule type="expression" dxfId="14272" priority="57599">
      <formula>$H874="CÉLULA CONSTRUTIVA"</formula>
    </cfRule>
    <cfRule type="expression" dxfId="14271" priority="57600">
      <formula>$H874="ETAPA"</formula>
    </cfRule>
  </conditionalFormatting>
  <conditionalFormatting sqref="M879">
    <cfRule type="expression" dxfId="14270" priority="57590">
      <formula>$H879="CÉLULA CONSTRUTIVA"</formula>
    </cfRule>
    <cfRule type="expression" dxfId="14269" priority="57591">
      <formula>$H879="ETAPA"</formula>
    </cfRule>
  </conditionalFormatting>
  <conditionalFormatting sqref="M881">
    <cfRule type="expression" dxfId="14268" priority="57582">
      <formula>$H881="ETAPA"</formula>
    </cfRule>
  </conditionalFormatting>
  <conditionalFormatting sqref="M882">
    <cfRule type="expression" dxfId="14267" priority="3382">
      <formula>$H882="ETAPA"</formula>
    </cfRule>
  </conditionalFormatting>
  <conditionalFormatting sqref="M883 M885">
    <cfRule type="expression" dxfId="14266" priority="57708">
      <formula>$H883="CÉLULA CONSTRUTIVA"</formula>
    </cfRule>
    <cfRule type="expression" dxfId="14265" priority="57709">
      <formula>$H883="ETAPA"</formula>
    </cfRule>
  </conditionalFormatting>
  <conditionalFormatting sqref="M888">
    <cfRule type="expression" dxfId="14264" priority="57699">
      <formula>$H888="CÉLULA CONSTRUTIVA"</formula>
    </cfRule>
    <cfRule type="expression" dxfId="14263" priority="57700">
      <formula>$H888="ETAPA"</formula>
    </cfRule>
  </conditionalFormatting>
  <conditionalFormatting sqref="M890">
    <cfRule type="expression" dxfId="14262" priority="57691">
      <formula>$H890="ETAPA"</formula>
    </cfRule>
  </conditionalFormatting>
  <conditionalFormatting sqref="M891">
    <cfRule type="expression" dxfId="14261" priority="3374">
      <formula>$H891="ETAPA"</formula>
    </cfRule>
  </conditionalFormatting>
  <conditionalFormatting sqref="M892 M894">
    <cfRule type="expression" dxfId="14260" priority="57817">
      <formula>$H892="CÉLULA CONSTRUTIVA"</formula>
    </cfRule>
    <cfRule type="expression" dxfId="14259" priority="57818">
      <formula>$H892="ETAPA"</formula>
    </cfRule>
  </conditionalFormatting>
  <conditionalFormatting sqref="M897">
    <cfRule type="expression" dxfId="14258" priority="57808">
      <formula>$H897="CÉLULA CONSTRUTIVA"</formula>
    </cfRule>
    <cfRule type="expression" dxfId="14257" priority="57809">
      <formula>$H897="ETAPA"</formula>
    </cfRule>
  </conditionalFormatting>
  <conditionalFormatting sqref="M899">
    <cfRule type="expression" dxfId="14256" priority="57810">
      <formula>$H899="CÉLULA CONSTRUTIVA"</formula>
    </cfRule>
    <cfRule type="expression" dxfId="14255" priority="57811">
      <formula>$H899="ETAPA"</formula>
    </cfRule>
  </conditionalFormatting>
  <conditionalFormatting sqref="M901">
    <cfRule type="expression" dxfId="14254" priority="57800">
      <formula>$H901="ETAPA"</formula>
    </cfRule>
  </conditionalFormatting>
  <conditionalFormatting sqref="M902">
    <cfRule type="expression" dxfId="14253" priority="3366">
      <formula>$H902="ETAPA"</formula>
    </cfRule>
  </conditionalFormatting>
  <conditionalFormatting sqref="M903 M905">
    <cfRule type="expression" dxfId="14252" priority="57926">
      <formula>$H903="CÉLULA CONSTRUTIVA"</formula>
    </cfRule>
    <cfRule type="expression" dxfId="14251" priority="57927">
      <formula>$H903="ETAPA"</formula>
    </cfRule>
  </conditionalFormatting>
  <conditionalFormatting sqref="M908">
    <cfRule type="expression" dxfId="14250" priority="57917">
      <formula>$H908="CÉLULA CONSTRUTIVA"</formula>
    </cfRule>
    <cfRule type="expression" dxfId="14249" priority="57918">
      <formula>$H908="ETAPA"</formula>
    </cfRule>
  </conditionalFormatting>
  <conditionalFormatting sqref="M910">
    <cfRule type="expression" dxfId="14248" priority="57919">
      <formula>$H910="CÉLULA CONSTRUTIVA"</formula>
    </cfRule>
    <cfRule type="expression" dxfId="14247" priority="57920">
      <formula>$H910="ETAPA"</formula>
    </cfRule>
  </conditionalFormatting>
  <conditionalFormatting sqref="M912">
    <cfRule type="expression" dxfId="14246" priority="57909">
      <formula>$H912="ETAPA"</formula>
    </cfRule>
  </conditionalFormatting>
  <conditionalFormatting sqref="M913">
    <cfRule type="expression" dxfId="14245" priority="3358">
      <formula>$H913="ETAPA"</formula>
    </cfRule>
  </conditionalFormatting>
  <conditionalFormatting sqref="M914 M916">
    <cfRule type="expression" dxfId="14244" priority="58035">
      <formula>$H914="CÉLULA CONSTRUTIVA"</formula>
    </cfRule>
    <cfRule type="expression" dxfId="14243" priority="58036">
      <formula>$H914="ETAPA"</formula>
    </cfRule>
  </conditionalFormatting>
  <conditionalFormatting sqref="M919">
    <cfRule type="expression" dxfId="14242" priority="58026">
      <formula>$H919="CÉLULA CONSTRUTIVA"</formula>
    </cfRule>
    <cfRule type="expression" dxfId="14241" priority="58027">
      <formula>$H919="ETAPA"</formula>
    </cfRule>
  </conditionalFormatting>
  <conditionalFormatting sqref="M921">
    <cfRule type="expression" dxfId="14240" priority="58018">
      <formula>$H921="ETAPA"</formula>
    </cfRule>
  </conditionalFormatting>
  <conditionalFormatting sqref="M922">
    <cfRule type="expression" dxfId="14239" priority="3350">
      <formula>$H922="ETAPA"</formula>
    </cfRule>
  </conditionalFormatting>
  <conditionalFormatting sqref="M923 M925">
    <cfRule type="expression" dxfId="14238" priority="58144">
      <formula>$H923="CÉLULA CONSTRUTIVA"</formula>
    </cfRule>
    <cfRule type="expression" dxfId="14237" priority="58145">
      <formula>$H923="ETAPA"</formula>
    </cfRule>
  </conditionalFormatting>
  <conditionalFormatting sqref="M928">
    <cfRule type="expression" dxfId="14236" priority="58135">
      <formula>$H928="CÉLULA CONSTRUTIVA"</formula>
    </cfRule>
    <cfRule type="expression" dxfId="14235" priority="58136">
      <formula>$H928="ETAPA"</formula>
    </cfRule>
  </conditionalFormatting>
  <conditionalFormatting sqref="M930">
    <cfRule type="expression" dxfId="14234" priority="58127">
      <formula>$H930="ETAPA"</formula>
    </cfRule>
  </conditionalFormatting>
  <conditionalFormatting sqref="M931">
    <cfRule type="expression" dxfId="14233" priority="3342">
      <formula>$H931="ETAPA"</formula>
    </cfRule>
  </conditionalFormatting>
  <conditionalFormatting sqref="M932 M934">
    <cfRule type="expression" dxfId="14232" priority="58253">
      <formula>$H932="CÉLULA CONSTRUTIVA"</formula>
    </cfRule>
    <cfRule type="expression" dxfId="14231" priority="58254">
      <formula>$H932="ETAPA"</formula>
    </cfRule>
  </conditionalFormatting>
  <conditionalFormatting sqref="M937">
    <cfRule type="expression" dxfId="14230" priority="58244">
      <formula>$H937="CÉLULA CONSTRUTIVA"</formula>
    </cfRule>
    <cfRule type="expression" dxfId="14229" priority="58245">
      <formula>$H937="ETAPA"</formula>
    </cfRule>
  </conditionalFormatting>
  <conditionalFormatting sqref="M939">
    <cfRule type="expression" dxfId="14228" priority="58246">
      <formula>$H939="CÉLULA CONSTRUTIVA"</formula>
    </cfRule>
    <cfRule type="expression" dxfId="14227" priority="58247">
      <formula>$H939="ETAPA"</formula>
    </cfRule>
  </conditionalFormatting>
  <conditionalFormatting sqref="M941">
    <cfRule type="expression" dxfId="14226" priority="58236">
      <formula>$H941="ETAPA"</formula>
    </cfRule>
  </conditionalFormatting>
  <conditionalFormatting sqref="M942">
    <cfRule type="expression" dxfId="14225" priority="3334">
      <formula>$H942="ETAPA"</formula>
    </cfRule>
  </conditionalFormatting>
  <conditionalFormatting sqref="M944:M945">
    <cfRule type="expression" dxfId="14224" priority="51555">
      <formula>$H944="ETAPA"</formula>
    </cfRule>
  </conditionalFormatting>
  <conditionalFormatting sqref="M947">
    <cfRule type="expression" dxfId="14223" priority="51557">
      <formula>$H947="CÉLULA CONSTRUTIVA"</formula>
    </cfRule>
    <cfRule type="expression" dxfId="14222" priority="51558">
      <formula>$H947="ETAPA"</formula>
    </cfRule>
  </conditionalFormatting>
  <conditionalFormatting sqref="M949">
    <cfRule type="expression" dxfId="14221" priority="51496">
      <formula>$H949="CÉLULA CONSTRUTIVA"</formula>
    </cfRule>
    <cfRule type="expression" dxfId="14220" priority="51497">
      <formula>$H949="ETAPA"</formula>
    </cfRule>
  </conditionalFormatting>
  <conditionalFormatting sqref="M955 M957">
    <cfRule type="expression" dxfId="14219" priority="51562">
      <formula>$H955="CÉLULA CONSTRUTIVA"</formula>
    </cfRule>
    <cfRule type="expression" dxfId="14218" priority="51563">
      <formula>$H955="ETAPA"</formula>
    </cfRule>
  </conditionalFormatting>
  <conditionalFormatting sqref="M959:M960">
    <cfRule type="expression" dxfId="14217" priority="51710">
      <formula>$H959="ETAPA"</formula>
    </cfRule>
  </conditionalFormatting>
  <conditionalFormatting sqref="M962">
    <cfRule type="expression" dxfId="14216" priority="51712">
      <formula>$H962="CÉLULA CONSTRUTIVA"</formula>
    </cfRule>
    <cfRule type="expression" dxfId="14215" priority="51713">
      <formula>$H962="ETAPA"</formula>
    </cfRule>
  </conditionalFormatting>
  <conditionalFormatting sqref="M964">
    <cfRule type="expression" dxfId="14214" priority="51458">
      <formula>$H964="CÉLULA CONSTRUTIVA"</formula>
    </cfRule>
    <cfRule type="expression" dxfId="14213" priority="51459">
      <formula>$H964="ETAPA"</formula>
    </cfRule>
  </conditionalFormatting>
  <conditionalFormatting sqref="M965">
    <cfRule type="expression" dxfId="14212" priority="51472">
      <formula>$H965="ETAPA"</formula>
    </cfRule>
  </conditionalFormatting>
  <conditionalFormatting sqref="M970 M972">
    <cfRule type="expression" dxfId="14211" priority="51717">
      <formula>$H970="CÉLULA CONSTRUTIVA"</formula>
    </cfRule>
    <cfRule type="expression" dxfId="14210" priority="51718">
      <formula>$H970="ETAPA"</formula>
    </cfRule>
  </conditionalFormatting>
  <conditionalFormatting sqref="M974:M975">
    <cfRule type="expression" dxfId="14209" priority="51868">
      <formula>$H974="ETAPA"</formula>
    </cfRule>
  </conditionalFormatting>
  <conditionalFormatting sqref="M977">
    <cfRule type="expression" dxfId="14208" priority="51870">
      <formula>$H977="CÉLULA CONSTRUTIVA"</formula>
    </cfRule>
    <cfRule type="expression" dxfId="14207" priority="51871">
      <formula>$H977="ETAPA"</formula>
    </cfRule>
  </conditionalFormatting>
  <conditionalFormatting sqref="M979">
    <cfRule type="expression" dxfId="14206" priority="51420">
      <formula>$H979="CÉLULA CONSTRUTIVA"</formula>
    </cfRule>
    <cfRule type="expression" dxfId="14205" priority="51421">
      <formula>$H979="ETAPA"</formula>
    </cfRule>
  </conditionalFormatting>
  <conditionalFormatting sqref="M980">
    <cfRule type="expression" dxfId="14204" priority="51434">
      <formula>$H980="ETAPA"</formula>
    </cfRule>
  </conditionalFormatting>
  <conditionalFormatting sqref="M985 M987">
    <cfRule type="expression" dxfId="14203" priority="51875">
      <formula>$H985="CÉLULA CONSTRUTIVA"</formula>
    </cfRule>
    <cfRule type="expression" dxfId="14202" priority="51876">
      <formula>$H985="ETAPA"</formula>
    </cfRule>
  </conditionalFormatting>
  <conditionalFormatting sqref="M989:M990">
    <cfRule type="expression" dxfId="14201" priority="52023">
      <formula>$H989="ETAPA"</formula>
    </cfRule>
  </conditionalFormatting>
  <conditionalFormatting sqref="M992">
    <cfRule type="expression" dxfId="14200" priority="52025">
      <formula>$H992="CÉLULA CONSTRUTIVA"</formula>
    </cfRule>
    <cfRule type="expression" dxfId="14199" priority="52026">
      <formula>$H992="ETAPA"</formula>
    </cfRule>
  </conditionalFormatting>
  <conditionalFormatting sqref="M994">
    <cfRule type="expression" dxfId="14198" priority="51382">
      <formula>$H994="CÉLULA CONSTRUTIVA"</formula>
    </cfRule>
    <cfRule type="expression" dxfId="14197" priority="51383">
      <formula>$H994="ETAPA"</formula>
    </cfRule>
  </conditionalFormatting>
  <conditionalFormatting sqref="M995">
    <cfRule type="expression" dxfId="14196" priority="51396">
      <formula>$H995="ETAPA"</formula>
    </cfRule>
  </conditionalFormatting>
  <conditionalFormatting sqref="M1000 M1002">
    <cfRule type="expression" dxfId="14195" priority="52030">
      <formula>$H1000="CÉLULA CONSTRUTIVA"</formula>
    </cfRule>
    <cfRule type="expression" dxfId="14194" priority="52031">
      <formula>$H1000="ETAPA"</formula>
    </cfRule>
  </conditionalFormatting>
  <conditionalFormatting sqref="M1004:M1005">
    <cfRule type="expression" dxfId="14193" priority="52181">
      <formula>$H1004="ETAPA"</formula>
    </cfRule>
  </conditionalFormatting>
  <conditionalFormatting sqref="M1007">
    <cfRule type="expression" dxfId="14192" priority="52183">
      <formula>$H1007="CÉLULA CONSTRUTIVA"</formula>
    </cfRule>
    <cfRule type="expression" dxfId="14191" priority="52184">
      <formula>$H1007="ETAPA"</formula>
    </cfRule>
  </conditionalFormatting>
  <conditionalFormatting sqref="M1009">
    <cfRule type="expression" dxfId="14190" priority="51344">
      <formula>$H1009="CÉLULA CONSTRUTIVA"</formula>
    </cfRule>
    <cfRule type="expression" dxfId="14189" priority="51345">
      <formula>$H1009="ETAPA"</formula>
    </cfRule>
  </conditionalFormatting>
  <conditionalFormatting sqref="M1010">
    <cfRule type="expression" dxfId="14188" priority="51358">
      <formula>$H1010="ETAPA"</formula>
    </cfRule>
  </conditionalFormatting>
  <conditionalFormatting sqref="M1015 M1017">
    <cfRule type="expression" dxfId="14187" priority="52188">
      <formula>$H1015="CÉLULA CONSTRUTIVA"</formula>
    </cfRule>
    <cfRule type="expression" dxfId="14186" priority="52189">
      <formula>$H1015="ETAPA"</formula>
    </cfRule>
  </conditionalFormatting>
  <conditionalFormatting sqref="M1019:M1020">
    <cfRule type="expression" dxfId="14185" priority="52336">
      <formula>$H1019="ETAPA"</formula>
    </cfRule>
  </conditionalFormatting>
  <conditionalFormatting sqref="M1022">
    <cfRule type="expression" dxfId="14184" priority="52338">
      <formula>$H1022="CÉLULA CONSTRUTIVA"</formula>
    </cfRule>
    <cfRule type="expression" dxfId="14183" priority="52339">
      <formula>$H1022="ETAPA"</formula>
    </cfRule>
  </conditionalFormatting>
  <conditionalFormatting sqref="M1024">
    <cfRule type="expression" dxfId="14182" priority="51306">
      <formula>$H1024="CÉLULA CONSTRUTIVA"</formula>
    </cfRule>
    <cfRule type="expression" dxfId="14181" priority="51307">
      <formula>$H1024="ETAPA"</formula>
    </cfRule>
  </conditionalFormatting>
  <conditionalFormatting sqref="M1025">
    <cfRule type="expression" dxfId="14180" priority="51320">
      <formula>$H1025="ETAPA"</formula>
    </cfRule>
  </conditionalFormatting>
  <conditionalFormatting sqref="M1030 M1032">
    <cfRule type="expression" dxfId="14179" priority="52343">
      <formula>$H1030="CÉLULA CONSTRUTIVA"</formula>
    </cfRule>
    <cfRule type="expression" dxfId="14178" priority="52344">
      <formula>$H1030="ETAPA"</formula>
    </cfRule>
  </conditionalFormatting>
  <conditionalFormatting sqref="M1034:M1035">
    <cfRule type="expression" dxfId="14177" priority="52491">
      <formula>$H1034="ETAPA"</formula>
    </cfRule>
  </conditionalFormatting>
  <conditionalFormatting sqref="M1037">
    <cfRule type="expression" dxfId="14176" priority="52493">
      <formula>$H1037="CÉLULA CONSTRUTIVA"</formula>
    </cfRule>
    <cfRule type="expression" dxfId="14175" priority="52494">
      <formula>$H1037="ETAPA"</formula>
    </cfRule>
  </conditionalFormatting>
  <conditionalFormatting sqref="M1039">
    <cfRule type="expression" dxfId="14174" priority="51268">
      <formula>$H1039="CÉLULA CONSTRUTIVA"</formula>
    </cfRule>
    <cfRule type="expression" dxfId="14173" priority="51269">
      <formula>$H1039="ETAPA"</formula>
    </cfRule>
  </conditionalFormatting>
  <conditionalFormatting sqref="M1040">
    <cfRule type="expression" dxfId="14172" priority="51282">
      <formula>$H1040="ETAPA"</formula>
    </cfRule>
  </conditionalFormatting>
  <conditionalFormatting sqref="M1045 M1047">
    <cfRule type="expression" dxfId="14171" priority="52498">
      <formula>$H1045="CÉLULA CONSTRUTIVA"</formula>
    </cfRule>
    <cfRule type="expression" dxfId="14170" priority="52499">
      <formula>$H1045="ETAPA"</formula>
    </cfRule>
  </conditionalFormatting>
  <conditionalFormatting sqref="M1049:M1050">
    <cfRule type="expression" dxfId="14169" priority="52649">
      <formula>$H1049="ETAPA"</formula>
    </cfRule>
  </conditionalFormatting>
  <conditionalFormatting sqref="M1052">
    <cfRule type="expression" dxfId="14168" priority="52651">
      <formula>$H1052="CÉLULA CONSTRUTIVA"</formula>
    </cfRule>
    <cfRule type="expression" dxfId="14167" priority="52652">
      <formula>$H1052="ETAPA"</formula>
    </cfRule>
  </conditionalFormatting>
  <conditionalFormatting sqref="M1054">
    <cfRule type="expression" dxfId="14166" priority="51230">
      <formula>$H1054="CÉLULA CONSTRUTIVA"</formula>
    </cfRule>
    <cfRule type="expression" dxfId="14165" priority="51231">
      <formula>$H1054="ETAPA"</formula>
    </cfRule>
  </conditionalFormatting>
  <conditionalFormatting sqref="M1055">
    <cfRule type="expression" dxfId="14164" priority="51244">
      <formula>$H1055="ETAPA"</formula>
    </cfRule>
  </conditionalFormatting>
  <conditionalFormatting sqref="M1060 M1062">
    <cfRule type="expression" dxfId="14163" priority="52656">
      <formula>$H1060="CÉLULA CONSTRUTIVA"</formula>
    </cfRule>
    <cfRule type="expression" dxfId="14162" priority="52657">
      <formula>$H1060="ETAPA"</formula>
    </cfRule>
  </conditionalFormatting>
  <conditionalFormatting sqref="M1064:M1065">
    <cfRule type="expression" dxfId="14161" priority="52804">
      <formula>$H1064="ETAPA"</formula>
    </cfRule>
  </conditionalFormatting>
  <conditionalFormatting sqref="M1067">
    <cfRule type="expression" dxfId="14160" priority="52806">
      <formula>$H1067="CÉLULA CONSTRUTIVA"</formula>
    </cfRule>
    <cfRule type="expression" dxfId="14159" priority="52807">
      <formula>$H1067="ETAPA"</formula>
    </cfRule>
  </conditionalFormatting>
  <conditionalFormatting sqref="M1069">
    <cfRule type="expression" dxfId="14158" priority="51192">
      <formula>$H1069="CÉLULA CONSTRUTIVA"</formula>
    </cfRule>
    <cfRule type="expression" dxfId="14157" priority="51193">
      <formula>$H1069="ETAPA"</formula>
    </cfRule>
  </conditionalFormatting>
  <conditionalFormatting sqref="M1070">
    <cfRule type="expression" dxfId="14156" priority="51206">
      <formula>$H1070="ETAPA"</formula>
    </cfRule>
  </conditionalFormatting>
  <conditionalFormatting sqref="M1075 M1077">
    <cfRule type="expression" dxfId="14155" priority="52811">
      <formula>$H1075="CÉLULA CONSTRUTIVA"</formula>
    </cfRule>
    <cfRule type="expression" dxfId="14154" priority="52812">
      <formula>$H1075="ETAPA"</formula>
    </cfRule>
  </conditionalFormatting>
  <conditionalFormatting sqref="M1079:M1080">
    <cfRule type="expression" dxfId="14153" priority="52962">
      <formula>$H1079="ETAPA"</formula>
    </cfRule>
  </conditionalFormatting>
  <conditionalFormatting sqref="M1082">
    <cfRule type="expression" dxfId="14152" priority="52964">
      <formula>$H1082="CÉLULA CONSTRUTIVA"</formula>
    </cfRule>
    <cfRule type="expression" dxfId="14151" priority="52965">
      <formula>$H1082="ETAPA"</formula>
    </cfRule>
  </conditionalFormatting>
  <conditionalFormatting sqref="M1084">
    <cfRule type="expression" dxfId="14150" priority="51154">
      <formula>$H1084="CÉLULA CONSTRUTIVA"</formula>
    </cfRule>
    <cfRule type="expression" dxfId="14149" priority="51155">
      <formula>$H1084="ETAPA"</formula>
    </cfRule>
  </conditionalFormatting>
  <conditionalFormatting sqref="M1085">
    <cfRule type="expression" dxfId="14148" priority="51168">
      <formula>$H1085="ETAPA"</formula>
    </cfRule>
  </conditionalFormatting>
  <conditionalFormatting sqref="M1090 M1092">
    <cfRule type="expression" dxfId="14147" priority="52969">
      <formula>$H1090="CÉLULA CONSTRUTIVA"</formula>
    </cfRule>
    <cfRule type="expression" dxfId="14146" priority="52970">
      <formula>$H1090="ETAPA"</formula>
    </cfRule>
  </conditionalFormatting>
  <conditionalFormatting sqref="M1094:M1095">
    <cfRule type="expression" dxfId="14145" priority="53117">
      <formula>$H1094="ETAPA"</formula>
    </cfRule>
  </conditionalFormatting>
  <conditionalFormatting sqref="M1097">
    <cfRule type="expression" dxfId="14144" priority="53119">
      <formula>$H1097="CÉLULA CONSTRUTIVA"</formula>
    </cfRule>
    <cfRule type="expression" dxfId="14143" priority="53120">
      <formula>$H1097="ETAPA"</formula>
    </cfRule>
  </conditionalFormatting>
  <conditionalFormatting sqref="M1099">
    <cfRule type="expression" dxfId="14142" priority="51116">
      <formula>$H1099="CÉLULA CONSTRUTIVA"</formula>
    </cfRule>
    <cfRule type="expression" dxfId="14141" priority="51117">
      <formula>$H1099="ETAPA"</formula>
    </cfRule>
  </conditionalFormatting>
  <conditionalFormatting sqref="M1100">
    <cfRule type="expression" dxfId="14140" priority="51130">
      <formula>$H1100="ETAPA"</formula>
    </cfRule>
  </conditionalFormatting>
  <conditionalFormatting sqref="M1105 M1107">
    <cfRule type="expression" dxfId="14139" priority="53124">
      <formula>$H1105="CÉLULA CONSTRUTIVA"</formula>
    </cfRule>
    <cfRule type="expression" dxfId="14138" priority="53125">
      <formula>$H1105="ETAPA"</formula>
    </cfRule>
  </conditionalFormatting>
  <conditionalFormatting sqref="M1109:M1110">
    <cfRule type="expression" dxfId="14137" priority="53275">
      <formula>$H1109="ETAPA"</formula>
    </cfRule>
  </conditionalFormatting>
  <conditionalFormatting sqref="M1112">
    <cfRule type="expression" dxfId="14136" priority="53277">
      <formula>$H1112="CÉLULA CONSTRUTIVA"</formula>
    </cfRule>
    <cfRule type="expression" dxfId="14135" priority="53278">
      <formula>$H1112="ETAPA"</formula>
    </cfRule>
  </conditionalFormatting>
  <conditionalFormatting sqref="M1114">
    <cfRule type="expression" dxfId="14134" priority="51078">
      <formula>$H1114="CÉLULA CONSTRUTIVA"</formula>
    </cfRule>
    <cfRule type="expression" dxfId="14133" priority="51079">
      <formula>$H1114="ETAPA"</formula>
    </cfRule>
  </conditionalFormatting>
  <conditionalFormatting sqref="M1115">
    <cfRule type="expression" dxfId="14132" priority="51092">
      <formula>$H1115="ETAPA"</formula>
    </cfRule>
  </conditionalFormatting>
  <conditionalFormatting sqref="M1120 M1122">
    <cfRule type="expression" dxfId="14131" priority="53282">
      <formula>$H1120="CÉLULA CONSTRUTIVA"</formula>
    </cfRule>
    <cfRule type="expression" dxfId="14130" priority="53283">
      <formula>$H1120="ETAPA"</formula>
    </cfRule>
  </conditionalFormatting>
  <conditionalFormatting sqref="M1124:M1125">
    <cfRule type="expression" dxfId="14129" priority="53430">
      <formula>$H1124="ETAPA"</formula>
    </cfRule>
  </conditionalFormatting>
  <conditionalFormatting sqref="M1127">
    <cfRule type="expression" dxfId="14128" priority="53432">
      <formula>$H1127="CÉLULA CONSTRUTIVA"</formula>
    </cfRule>
    <cfRule type="expression" dxfId="14127" priority="53433">
      <formula>$H1127="ETAPA"</formula>
    </cfRule>
  </conditionalFormatting>
  <conditionalFormatting sqref="M1129">
    <cfRule type="expression" dxfId="14126" priority="51040">
      <formula>$H1129="CÉLULA CONSTRUTIVA"</formula>
    </cfRule>
    <cfRule type="expression" dxfId="14125" priority="51041">
      <formula>$H1129="ETAPA"</formula>
    </cfRule>
  </conditionalFormatting>
  <conditionalFormatting sqref="M1130">
    <cfRule type="expression" dxfId="14124" priority="51054">
      <formula>$H1130="ETAPA"</formula>
    </cfRule>
  </conditionalFormatting>
  <conditionalFormatting sqref="M1135 M1137">
    <cfRule type="expression" dxfId="14123" priority="53437">
      <formula>$H1135="CÉLULA CONSTRUTIVA"</formula>
    </cfRule>
    <cfRule type="expression" dxfId="14122" priority="53438">
      <formula>$H1135="ETAPA"</formula>
    </cfRule>
  </conditionalFormatting>
  <conditionalFormatting sqref="M1139:M1140">
    <cfRule type="expression" dxfId="14121" priority="53588">
      <formula>$H1139="ETAPA"</formula>
    </cfRule>
  </conditionalFormatting>
  <conditionalFormatting sqref="M1142">
    <cfRule type="expression" dxfId="14120" priority="53590">
      <formula>$H1142="CÉLULA CONSTRUTIVA"</formula>
    </cfRule>
    <cfRule type="expression" dxfId="14119" priority="53591">
      <formula>$H1142="ETAPA"</formula>
    </cfRule>
  </conditionalFormatting>
  <conditionalFormatting sqref="M1144">
    <cfRule type="expression" dxfId="14118" priority="51002">
      <formula>$H1144="CÉLULA CONSTRUTIVA"</formula>
    </cfRule>
    <cfRule type="expression" dxfId="14117" priority="51003">
      <formula>$H1144="ETAPA"</formula>
    </cfRule>
  </conditionalFormatting>
  <conditionalFormatting sqref="M1145">
    <cfRule type="expression" dxfId="14116" priority="51016">
      <formula>$H1145="ETAPA"</formula>
    </cfRule>
  </conditionalFormatting>
  <conditionalFormatting sqref="M1150 M1152">
    <cfRule type="expression" dxfId="14115" priority="53595">
      <formula>$H1150="CÉLULA CONSTRUTIVA"</formula>
    </cfRule>
    <cfRule type="expression" dxfId="14114" priority="53596">
      <formula>$H1150="ETAPA"</formula>
    </cfRule>
  </conditionalFormatting>
  <conditionalFormatting sqref="M1239:M1243 O3073:O3074 O3095:O3096 O3117:O3118 O3129 O3140:O3141">
    <cfRule type="expression" dxfId="14113" priority="80361">
      <formula>$H1239="ETAPA"</formula>
    </cfRule>
  </conditionalFormatting>
  <conditionalFormatting sqref="M1242:M1243">
    <cfRule type="expression" dxfId="14112" priority="86967">
      <formula>$H1242="SUBETAPA"</formula>
    </cfRule>
    <cfRule type="expression" dxfId="14111" priority="86968">
      <formula>$H1242="CÉLULA CONSTRUTIVA"</formula>
    </cfRule>
  </conditionalFormatting>
  <conditionalFormatting sqref="M1252">
    <cfRule type="expression" dxfId="14110" priority="86969">
      <formula>$H1252="SUBETAPA"</formula>
    </cfRule>
    <cfRule type="expression" dxfId="14109" priority="86970">
      <formula>$H1252="CÉLULA CONSTRUTIVA"</formula>
    </cfRule>
    <cfRule type="expression" dxfId="14108" priority="86971">
      <formula>$H1252="ETAPA"</formula>
    </cfRule>
  </conditionalFormatting>
  <conditionalFormatting sqref="M1253:M1254 I1253:K1254 I1256:K1256 I1255:J1255 M1256:M1257">
    <cfRule type="expression" dxfId="14107" priority="2702">
      <formula>$H1253="CÉLULA CONSTRUTIVA"</formula>
    </cfRule>
  </conditionalFormatting>
  <conditionalFormatting sqref="M1253:M1254 M1256:M1257">
    <cfRule type="expression" dxfId="14106" priority="2701">
      <formula>$H1253="SUBETAPA"</formula>
    </cfRule>
  </conditionalFormatting>
  <conditionalFormatting sqref="M1259">
    <cfRule type="expression" dxfId="14105" priority="2698">
      <formula>$H1259="SUBETAPA"</formula>
    </cfRule>
    <cfRule type="expression" dxfId="14104" priority="2699">
      <formula>$H1259="CÉLULA CONSTRUTIVA"</formula>
    </cfRule>
    <cfRule type="expression" dxfId="14103" priority="2700">
      <formula>$H1259="ETAPA"</formula>
    </cfRule>
  </conditionalFormatting>
  <conditionalFormatting sqref="M1262:M1266">
    <cfRule type="expression" dxfId="14102" priority="2695">
      <formula>$H1262="SUBETAPA"</formula>
    </cfRule>
    <cfRule type="expression" dxfId="14101" priority="2696">
      <formula>$H1262="CÉLULA CONSTRUTIVA"</formula>
    </cfRule>
    <cfRule type="expression" dxfId="14100" priority="2697">
      <formula>$H1262="ETAPA"</formula>
    </cfRule>
  </conditionalFormatting>
  <conditionalFormatting sqref="M1267:M1268 I1267:K1268 I1270:K1270 I1269:J1269 M1270:M1271">
    <cfRule type="expression" dxfId="14099" priority="2771">
      <formula>$H1267="CÉLULA CONSTRUTIVA"</formula>
    </cfRule>
  </conditionalFormatting>
  <conditionalFormatting sqref="M1267:M1268 M1270:M1271">
    <cfRule type="expression" dxfId="14098" priority="2770">
      <formula>$H1267="SUBETAPA"</formula>
    </cfRule>
  </conditionalFormatting>
  <conditionalFormatting sqref="M1273">
    <cfRule type="expression" dxfId="14097" priority="2767">
      <formula>$H1273="SUBETAPA"</formula>
    </cfRule>
    <cfRule type="expression" dxfId="14096" priority="2768">
      <formula>$H1273="CÉLULA CONSTRUTIVA"</formula>
    </cfRule>
    <cfRule type="expression" dxfId="14095" priority="2769">
      <formula>$H1273="ETAPA"</formula>
    </cfRule>
  </conditionalFormatting>
  <conditionalFormatting sqref="M1276:M1280">
    <cfRule type="expression" dxfId="14094" priority="2764">
      <formula>$H1276="SUBETAPA"</formula>
    </cfRule>
    <cfRule type="expression" dxfId="14093" priority="2765">
      <formula>$H1276="CÉLULA CONSTRUTIVA"</formula>
    </cfRule>
    <cfRule type="expression" dxfId="14092" priority="2766">
      <formula>$H1276="ETAPA"</formula>
    </cfRule>
  </conditionalFormatting>
  <conditionalFormatting sqref="M1281:M1282 I1281:K1282 I1284:K1284 I1283:J1283 M1284:M1285">
    <cfRule type="expression" dxfId="14091" priority="2840">
      <formula>$H1281="CÉLULA CONSTRUTIVA"</formula>
    </cfRule>
  </conditionalFormatting>
  <conditionalFormatting sqref="M1281:M1282 M1284:M1285">
    <cfRule type="expression" dxfId="14090" priority="2839">
      <formula>$H1281="SUBETAPA"</formula>
    </cfRule>
  </conditionalFormatting>
  <conditionalFormatting sqref="M1287">
    <cfRule type="expression" dxfId="14089" priority="2836">
      <formula>$H1287="SUBETAPA"</formula>
    </cfRule>
    <cfRule type="expression" dxfId="14088" priority="2837">
      <formula>$H1287="CÉLULA CONSTRUTIVA"</formula>
    </cfRule>
    <cfRule type="expression" dxfId="14087" priority="2838">
      <formula>$H1287="ETAPA"</formula>
    </cfRule>
  </conditionalFormatting>
  <conditionalFormatting sqref="M1290:M1294">
    <cfRule type="expression" dxfId="14086" priority="2833">
      <formula>$H1290="SUBETAPA"</formula>
    </cfRule>
    <cfRule type="expression" dxfId="14085" priority="2834">
      <formula>$H1290="CÉLULA CONSTRUTIVA"</formula>
    </cfRule>
    <cfRule type="expression" dxfId="14084" priority="2835">
      <formula>$H1290="ETAPA"</formula>
    </cfRule>
  </conditionalFormatting>
  <conditionalFormatting sqref="M1295:M1296 I1295:K1296 I1298:K1298 I1297:J1297 M1298:M1299">
    <cfRule type="expression" dxfId="14083" priority="2909">
      <formula>$H1295="CÉLULA CONSTRUTIVA"</formula>
    </cfRule>
  </conditionalFormatting>
  <conditionalFormatting sqref="M1295:M1296 M1298:M1299">
    <cfRule type="expression" dxfId="14082" priority="2908">
      <formula>$H1295="SUBETAPA"</formula>
    </cfRule>
  </conditionalFormatting>
  <conditionalFormatting sqref="M1301">
    <cfRule type="expression" dxfId="14081" priority="2905">
      <formula>$H1301="SUBETAPA"</formula>
    </cfRule>
    <cfRule type="expression" dxfId="14080" priority="2906">
      <formula>$H1301="CÉLULA CONSTRUTIVA"</formula>
    </cfRule>
    <cfRule type="expression" dxfId="14079" priority="2907">
      <formula>$H1301="ETAPA"</formula>
    </cfRule>
  </conditionalFormatting>
  <conditionalFormatting sqref="M1304:M1308">
    <cfRule type="expression" dxfId="14078" priority="2902">
      <formula>$H1304="SUBETAPA"</formula>
    </cfRule>
    <cfRule type="expression" dxfId="14077" priority="2903">
      <formula>$H1304="CÉLULA CONSTRUTIVA"</formula>
    </cfRule>
    <cfRule type="expression" dxfId="14076" priority="2904">
      <formula>$H1304="ETAPA"</formula>
    </cfRule>
  </conditionalFormatting>
  <conditionalFormatting sqref="M1309:M1310 I1309:K1310 I1312:K1312 I1311:J1311 M1313">
    <cfRule type="expression" dxfId="14075" priority="2978">
      <formula>$H1309="CÉLULA CONSTRUTIVA"</formula>
    </cfRule>
  </conditionalFormatting>
  <conditionalFormatting sqref="M1309:M1310 M1313">
    <cfRule type="expression" dxfId="14074" priority="2977">
      <formula>$H1309="SUBETAPA"</formula>
    </cfRule>
  </conditionalFormatting>
  <conditionalFormatting sqref="M1312">
    <cfRule type="expression" dxfId="14073" priority="2656">
      <formula>$H1312="ETAPA"</formula>
    </cfRule>
    <cfRule type="expression" dxfId="14072" priority="2657">
      <formula>$H1312="SUBETAPA"</formula>
    </cfRule>
  </conditionalFormatting>
  <conditionalFormatting sqref="M1315">
    <cfRule type="expression" dxfId="14071" priority="2974">
      <formula>$H1315="SUBETAPA"</formula>
    </cfRule>
    <cfRule type="expression" dxfId="14070" priority="2975">
      <formula>$H1315="CÉLULA CONSTRUTIVA"</formula>
    </cfRule>
    <cfRule type="expression" dxfId="14069" priority="2976">
      <formula>$H1315="ETAPA"</formula>
    </cfRule>
  </conditionalFormatting>
  <conditionalFormatting sqref="M1316">
    <cfRule type="expression" dxfId="14068" priority="2655">
      <formula>$H1316="SUBETAPA"</formula>
    </cfRule>
  </conditionalFormatting>
  <conditionalFormatting sqref="M1318:M1321">
    <cfRule type="expression" dxfId="14067" priority="2971">
      <formula>$H1318="SUBETAPA"</formula>
    </cfRule>
    <cfRule type="expression" dxfId="14066" priority="2972">
      <formula>$H1318="CÉLULA CONSTRUTIVA"</formula>
    </cfRule>
    <cfRule type="expression" dxfId="14065" priority="2973">
      <formula>$H1318="ETAPA"</formula>
    </cfRule>
  </conditionalFormatting>
  <conditionalFormatting sqref="M1322">
    <cfRule type="expression" dxfId="14064" priority="2652">
      <formula>$H1322="ETAPA"</formula>
    </cfRule>
    <cfRule type="expression" dxfId="14063" priority="2653">
      <formula>$H1322="SUBETAPA"</formula>
    </cfRule>
    <cfRule type="expression" dxfId="14062" priority="2654">
      <formula>$H1322="CÉLULA CONSTRUTIVA"</formula>
    </cfRule>
  </conditionalFormatting>
  <conditionalFormatting sqref="M1323:M1324 I1323:K1324 I1326:K1326 I1325:J1325 M1327">
    <cfRule type="expression" dxfId="14061" priority="3047">
      <formula>$H1323="CÉLULA CONSTRUTIVA"</formula>
    </cfRule>
  </conditionalFormatting>
  <conditionalFormatting sqref="M1323:M1324 M1327">
    <cfRule type="expression" dxfId="14060" priority="3046">
      <formula>$H1323="SUBETAPA"</formula>
    </cfRule>
  </conditionalFormatting>
  <conditionalFormatting sqref="M1325">
    <cfRule type="expression" dxfId="14059" priority="2649">
      <formula>$H1325="ETAPA"</formula>
    </cfRule>
    <cfRule type="expression" dxfId="14058" priority="2650">
      <formula>$H1325="SUBETAPA"</formula>
    </cfRule>
    <cfRule type="expression" dxfId="14057" priority="2651">
      <formula>$H1325="CÉLULA CONSTRUTIVA"</formula>
    </cfRule>
  </conditionalFormatting>
  <conditionalFormatting sqref="M1326">
    <cfRule type="expression" dxfId="14056" priority="2646">
      <formula>$H1326="ETAPA"</formula>
    </cfRule>
    <cfRule type="expression" dxfId="14055" priority="2647">
      <formula>$H1326="SUBETAPA"</formula>
    </cfRule>
    <cfRule type="expression" dxfId="14054" priority="2648">
      <formula>$H1326="CÉLULA CONSTRUTIVA"</formula>
    </cfRule>
  </conditionalFormatting>
  <conditionalFormatting sqref="M1328">
    <cfRule type="expression" dxfId="14053" priority="2643">
      <formula>$H1328="ETAPA"</formula>
    </cfRule>
    <cfRule type="expression" dxfId="14052" priority="2644">
      <formula>$H1328="SUBETAPA"</formula>
    </cfRule>
    <cfRule type="expression" dxfId="14051" priority="2645">
      <formula>$H1328="CÉLULA CONSTRUTIVA"</formula>
    </cfRule>
  </conditionalFormatting>
  <conditionalFormatting sqref="M1329">
    <cfRule type="expression" dxfId="14050" priority="3043">
      <formula>$H1329="SUBETAPA"</formula>
    </cfRule>
    <cfRule type="expression" dxfId="14049" priority="3044">
      <formula>$H1329="CÉLULA CONSTRUTIVA"</formula>
    </cfRule>
    <cfRule type="expression" dxfId="14048" priority="3045">
      <formula>$H1329="ETAPA"</formula>
    </cfRule>
  </conditionalFormatting>
  <conditionalFormatting sqref="M1330">
    <cfRule type="expression" dxfId="14047" priority="2640">
      <formula>$H1330="ETAPA"</formula>
    </cfRule>
    <cfRule type="expression" dxfId="14046" priority="2641">
      <formula>$H1330="SUBETAPA"</formula>
    </cfRule>
    <cfRule type="expression" dxfId="14045" priority="2642">
      <formula>$H1330="CÉLULA CONSTRUTIVA"</formula>
    </cfRule>
  </conditionalFormatting>
  <conditionalFormatting sqref="M1331">
    <cfRule type="expression" dxfId="14044" priority="2637">
      <formula>$H1331="ETAPA"</formula>
    </cfRule>
    <cfRule type="expression" dxfId="14043" priority="2638">
      <formula>$H1331="SUBETAPA"</formula>
    </cfRule>
    <cfRule type="expression" dxfId="14042" priority="2639">
      <formula>$H1331="CÉLULA CONSTRUTIVA"</formula>
    </cfRule>
  </conditionalFormatting>
  <conditionalFormatting sqref="M1332:M1335">
    <cfRule type="expression" dxfId="14041" priority="3040">
      <formula>$H1332="SUBETAPA"</formula>
    </cfRule>
    <cfRule type="expression" dxfId="14040" priority="3041">
      <formula>$H1332="CÉLULA CONSTRUTIVA"</formula>
    </cfRule>
    <cfRule type="expression" dxfId="14039" priority="3042">
      <formula>$H1332="ETAPA"</formula>
    </cfRule>
  </conditionalFormatting>
  <conditionalFormatting sqref="M1336">
    <cfRule type="expression" dxfId="14038" priority="2634">
      <formula>$H1336="ETAPA"</formula>
    </cfRule>
    <cfRule type="expression" dxfId="14037" priority="2635">
      <formula>$H1336="SUBETAPA"</formula>
    </cfRule>
    <cfRule type="expression" dxfId="14036" priority="2636">
      <formula>$H1336="CÉLULA CONSTRUTIVA"</formula>
    </cfRule>
  </conditionalFormatting>
  <conditionalFormatting sqref="M1337:M1338 I1337:K1338 I1340:K1340 I1339:J1339 M1340:M1341">
    <cfRule type="expression" dxfId="14035" priority="3116">
      <formula>$H1337="CÉLULA CONSTRUTIVA"</formula>
    </cfRule>
  </conditionalFormatting>
  <conditionalFormatting sqref="M1337:M1338 M1340:M1341">
    <cfRule type="expression" dxfId="14034" priority="3115">
      <formula>$H1337="SUBETAPA"</formula>
    </cfRule>
  </conditionalFormatting>
  <conditionalFormatting sqref="M1343">
    <cfRule type="expression" dxfId="14033" priority="3112">
      <formula>$H1343="SUBETAPA"</formula>
    </cfRule>
    <cfRule type="expression" dxfId="14032" priority="3113">
      <formula>$H1343="CÉLULA CONSTRUTIVA"</formula>
    </cfRule>
    <cfRule type="expression" dxfId="14031" priority="3114">
      <formula>$H1343="ETAPA"</formula>
    </cfRule>
  </conditionalFormatting>
  <conditionalFormatting sqref="M1346:M1350">
    <cfRule type="expression" dxfId="14030" priority="3109">
      <formula>$H1346="SUBETAPA"</formula>
    </cfRule>
    <cfRule type="expression" dxfId="14029" priority="3110">
      <formula>$H1346="CÉLULA CONSTRUTIVA"</formula>
    </cfRule>
    <cfRule type="expression" dxfId="14028" priority="3111">
      <formula>$H1346="ETAPA"</formula>
    </cfRule>
  </conditionalFormatting>
  <conditionalFormatting sqref="M1351:M1352 I1351:K1352 I1354:K1354 I1353:J1353 M1354:M1355">
    <cfRule type="expression" dxfId="14027" priority="86721">
      <formula>$H1351="CÉLULA CONSTRUTIVA"</formula>
    </cfRule>
  </conditionalFormatting>
  <conditionalFormatting sqref="M1351:M1352 M1354:M1355">
    <cfRule type="expression" dxfId="14026" priority="86720">
      <formula>$H1351="SUBETAPA"</formula>
    </cfRule>
  </conditionalFormatting>
  <conditionalFormatting sqref="M1357">
    <cfRule type="expression" dxfId="14025" priority="59899">
      <formula>$H1357="SUBETAPA"</formula>
    </cfRule>
    <cfRule type="expression" dxfId="14024" priority="59900">
      <formula>$H1357="CÉLULA CONSTRUTIVA"</formula>
    </cfRule>
    <cfRule type="expression" dxfId="14023" priority="59901">
      <formula>$H1357="ETAPA"</formula>
    </cfRule>
  </conditionalFormatting>
  <conditionalFormatting sqref="M1360:M1368 M1386:M1388 M1393:M1395 M1400:M1402 M1405:M1407 M1410:M1412 M1415:M1417">
    <cfRule type="expression" dxfId="14022" priority="86704">
      <formula>$H1360="ETAPA"</formula>
    </cfRule>
  </conditionalFormatting>
  <conditionalFormatting sqref="M1370">
    <cfRule type="expression" dxfId="14021" priority="53767">
      <formula>$H1370="SUBETAPA"</formula>
    </cfRule>
    <cfRule type="expression" dxfId="14020" priority="53768">
      <formula>$H1370="CÉLULA CONSTRUTIVA"</formula>
    </cfRule>
    <cfRule type="expression" dxfId="14019" priority="53769">
      <formula>$H1370="ETAPA"</formula>
    </cfRule>
  </conditionalFormatting>
  <conditionalFormatting sqref="M1373">
    <cfRule type="expression" dxfId="14018" priority="53891">
      <formula>$H1373="SUBETAPA"</formula>
    </cfRule>
    <cfRule type="expression" dxfId="14017" priority="53892">
      <formula>$H1373="CÉLULA CONSTRUTIVA"</formula>
    </cfRule>
    <cfRule type="expression" dxfId="14016" priority="53893">
      <formula>$H1373="ETAPA"</formula>
    </cfRule>
  </conditionalFormatting>
  <conditionalFormatting sqref="M1376">
    <cfRule type="expression" dxfId="14015" priority="54015">
      <formula>$H1376="SUBETAPA"</formula>
    </cfRule>
    <cfRule type="expression" dxfId="14014" priority="54016">
      <formula>$H1376="CÉLULA CONSTRUTIVA"</formula>
    </cfRule>
    <cfRule type="expression" dxfId="14013" priority="54017">
      <formula>$H1376="ETAPA"</formula>
    </cfRule>
  </conditionalFormatting>
  <conditionalFormatting sqref="M1379">
    <cfRule type="expression" dxfId="14012" priority="54139">
      <formula>$H1379="SUBETAPA"</formula>
    </cfRule>
    <cfRule type="expression" dxfId="14011" priority="54140">
      <formula>$H1379="CÉLULA CONSTRUTIVA"</formula>
    </cfRule>
    <cfRule type="expression" dxfId="14010" priority="54141">
      <formula>$H1379="ETAPA"</formula>
    </cfRule>
  </conditionalFormatting>
  <conditionalFormatting sqref="M1382">
    <cfRule type="expression" dxfId="14009" priority="54263">
      <formula>$H1382="SUBETAPA"</formula>
    </cfRule>
    <cfRule type="expression" dxfId="14008" priority="54264">
      <formula>$H1382="CÉLULA CONSTRUTIVA"</formula>
    </cfRule>
    <cfRule type="expression" dxfId="14007" priority="54265">
      <formula>$H1382="ETAPA"</formula>
    </cfRule>
  </conditionalFormatting>
  <conditionalFormatting sqref="M1385">
    <cfRule type="expression" dxfId="14006" priority="54387">
      <formula>$H1385="SUBETAPA"</formula>
    </cfRule>
    <cfRule type="expression" dxfId="14005" priority="54388">
      <formula>$H1385="CÉLULA CONSTRUTIVA"</formula>
    </cfRule>
    <cfRule type="expression" dxfId="14004" priority="54389">
      <formula>$H1385="ETAPA"</formula>
    </cfRule>
  </conditionalFormatting>
  <conditionalFormatting sqref="M1390">
    <cfRule type="expression" dxfId="14003" priority="54511">
      <formula>$H1390="SUBETAPA"</formula>
    </cfRule>
    <cfRule type="expression" dxfId="14002" priority="54512">
      <formula>$H1390="CÉLULA CONSTRUTIVA"</formula>
    </cfRule>
    <cfRule type="expression" dxfId="14001" priority="54513">
      <formula>$H1390="ETAPA"</formula>
    </cfRule>
  </conditionalFormatting>
  <conditionalFormatting sqref="M1391">
    <cfRule type="expression" dxfId="14000" priority="54503">
      <formula>$H1391="CÉLULA CONSTRUTIVA"</formula>
    </cfRule>
    <cfRule type="expression" dxfId="13999" priority="54504">
      <formula>$H1391="ETAPA"</formula>
    </cfRule>
  </conditionalFormatting>
  <conditionalFormatting sqref="M1392">
    <cfRule type="expression" dxfId="13998" priority="54514">
      <formula>$H1392="ETAPA"</formula>
    </cfRule>
  </conditionalFormatting>
  <conditionalFormatting sqref="M1397">
    <cfRule type="expression" dxfId="13997" priority="54635">
      <formula>$H1397="SUBETAPA"</formula>
    </cfRule>
    <cfRule type="expression" dxfId="13996" priority="54636">
      <formula>$H1397="CÉLULA CONSTRUTIVA"</formula>
    </cfRule>
    <cfRule type="expression" dxfId="13995" priority="54637">
      <formula>$H1397="ETAPA"</formula>
    </cfRule>
  </conditionalFormatting>
  <conditionalFormatting sqref="M1398">
    <cfRule type="expression" dxfId="13994" priority="54627">
      <formula>$H1398="CÉLULA CONSTRUTIVA"</formula>
    </cfRule>
    <cfRule type="expression" dxfId="13993" priority="54628">
      <formula>$H1398="ETAPA"</formula>
    </cfRule>
  </conditionalFormatting>
  <conditionalFormatting sqref="M1399">
    <cfRule type="expression" dxfId="13992" priority="54638">
      <formula>$H1399="ETAPA"</formula>
    </cfRule>
  </conditionalFormatting>
  <conditionalFormatting sqref="M1404">
    <cfRule type="expression" dxfId="13991" priority="54759">
      <formula>$H1404="SUBETAPA"</formula>
    </cfRule>
    <cfRule type="expression" dxfId="13990" priority="54760">
      <formula>$H1404="CÉLULA CONSTRUTIVA"</formula>
    </cfRule>
    <cfRule type="expression" dxfId="13989" priority="54761">
      <formula>$H1404="ETAPA"</formula>
    </cfRule>
  </conditionalFormatting>
  <conditionalFormatting sqref="M1409">
    <cfRule type="expression" dxfId="13988" priority="54883">
      <formula>$H1409="SUBETAPA"</formula>
    </cfRule>
    <cfRule type="expression" dxfId="13987" priority="54884">
      <formula>$H1409="CÉLULA CONSTRUTIVA"</formula>
    </cfRule>
    <cfRule type="expression" dxfId="13986" priority="54885">
      <formula>$H1409="ETAPA"</formula>
    </cfRule>
  </conditionalFormatting>
  <conditionalFormatting sqref="M1414">
    <cfRule type="expression" dxfId="13985" priority="55007">
      <formula>$H1414="SUBETAPA"</formula>
    </cfRule>
    <cfRule type="expression" dxfId="13984" priority="55008">
      <formula>$H1414="CÉLULA CONSTRUTIVA"</formula>
    </cfRule>
    <cfRule type="expression" dxfId="13983" priority="55009">
      <formula>$H1414="ETAPA"</formula>
    </cfRule>
  </conditionalFormatting>
  <conditionalFormatting sqref="M1415:M1417 M1410:M1412 M1405:M1407 M1400:M1402 M1393:M1395 M1386:M1388 M1360:M1368">
    <cfRule type="expression" dxfId="13982" priority="86702">
      <formula>$H1360="SUBETAPA"</formula>
    </cfRule>
    <cfRule type="expression" dxfId="13981" priority="86703">
      <formula>$H1360="CÉLULA CONSTRUTIVA"</formula>
    </cfRule>
  </conditionalFormatting>
  <conditionalFormatting sqref="M1419">
    <cfRule type="expression" dxfId="13980" priority="55131">
      <formula>$H1419="SUBETAPA"</formula>
    </cfRule>
    <cfRule type="expression" dxfId="13979" priority="55132">
      <formula>$H1419="CÉLULA CONSTRUTIVA"</formula>
    </cfRule>
    <cfRule type="expression" dxfId="13978" priority="55133">
      <formula>$H1419="ETAPA"</formula>
    </cfRule>
  </conditionalFormatting>
  <conditionalFormatting sqref="M1422">
    <cfRule type="expression" dxfId="13977" priority="55255">
      <formula>$H1422="SUBETAPA"</formula>
    </cfRule>
    <cfRule type="expression" dxfId="13976" priority="55256">
      <formula>$H1422="CÉLULA CONSTRUTIVA"</formula>
    </cfRule>
    <cfRule type="expression" dxfId="13975"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74" priority="80494">
      <formula>$H1676="ETAPA"</formula>
    </cfRule>
  </conditionalFormatting>
  <conditionalFormatting sqref="M1676:M1693 M1696:M1709 M1712:M1724 M1727:M1736 M1739:M1748 M1751:M1760 M1763:M1774 M1813:M1823 M1826:M1836 M1893:M1896">
    <cfRule type="expression" dxfId="13973"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72"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71" priority="80493">
      <formula>$H1676="CÉLULA CONSTRUTIVA"</formula>
    </cfRule>
    <cfRule type="expression" dxfId="13970" priority="80495">
      <formula>$H1676="SUBETAPA"</formula>
    </cfRule>
    <cfRule type="expression" dxfId="13969" priority="80496">
      <formula>$H1676="CÉLULA CONSTRUTIVA"</formula>
    </cfRule>
  </conditionalFormatting>
  <conditionalFormatting sqref="M1775:M1784 M2352 M2401 M2424 M2447 M2471 M2498 M2523 M2542 M2558 M2574 M2590 M2606">
    <cfRule type="expression" dxfId="13968" priority="82438">
      <formula>$H1775="ETAPA"</formula>
    </cfRule>
  </conditionalFormatting>
  <conditionalFormatting sqref="M1775:M1784 M2352 M2401 M2424 M2447 M2471 M2498 M2523 M2542:M2543 M2558:M2559 M2574:M2575 M2590:M2591 M2606:M2607">
    <cfRule type="expression" dxfId="13967" priority="82441">
      <formula>$H1775="ETAPA"</formula>
    </cfRule>
  </conditionalFormatting>
  <conditionalFormatting sqref="M1775:M1784 M2352 M2401 M2542 M2523 M2498 M2471 M2447 M2424 M2606 M2590 M2574 M2558">
    <cfRule type="expression" dxfId="13966" priority="82437">
      <formula>$H1775="CÉLULA CONSTRUTIVA"</formula>
    </cfRule>
    <cfRule type="expression" dxfId="13965" priority="82439">
      <formula>$H1775="SUBETAPA"</formula>
    </cfRule>
    <cfRule type="expression" dxfId="13964"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63"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62"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61" priority="78853">
      <formula>$H1800="CÉLULA CONSTRUTIVA"</formula>
    </cfRule>
    <cfRule type="expression" dxfId="13960" priority="78855">
      <formula>$H1800="SUBETAPA"</formula>
    </cfRule>
    <cfRule type="expression" dxfId="13959" priority="78856">
      <formula>$H1800="CÉLULA CONSTRUTIVA"</formula>
    </cfRule>
  </conditionalFormatting>
  <conditionalFormatting sqref="M1824:M1825">
    <cfRule type="expression" dxfId="13958" priority="83491">
      <formula>$H1824="ETAPA"</formula>
    </cfRule>
  </conditionalFormatting>
  <conditionalFormatting sqref="M1899">
    <cfRule type="expression" dxfId="13957" priority="76089">
      <formula>$H1899="SUBETAPA"</formula>
    </cfRule>
  </conditionalFormatting>
  <conditionalFormatting sqref="M1900:M1901 M1914 M1927 M1935 M1940 M1948 M1957 M2014 M2025">
    <cfRule type="expression" dxfId="13956" priority="76127">
      <formula>$H1900="ETAPA"</formula>
    </cfRule>
    <cfRule type="expression" dxfId="13955" priority="76130">
      <formula>$H1900="ETAPA"</formula>
    </cfRule>
  </conditionalFormatting>
  <conditionalFormatting sqref="M1900:M1901 M1935 M1927 M1914 M1957 M1948 M1940 M2025 M2014">
    <cfRule type="expression" dxfId="13954" priority="76126">
      <formula>$H1900="CÉLULA CONSTRUTIVA"</formula>
    </cfRule>
    <cfRule type="expression" dxfId="13953" priority="76128">
      <formula>$H1900="SUBETAPA"</formula>
    </cfRule>
    <cfRule type="expression" dxfId="13952" priority="76129">
      <formula>$H1900="CÉLULA CONSTRUTIVA"</formula>
    </cfRule>
  </conditionalFormatting>
  <conditionalFormatting sqref="M1908:M1909">
    <cfRule type="expression" dxfId="13951" priority="75966">
      <formula>$H1908="ETAPA"</formula>
    </cfRule>
    <cfRule type="expression" dxfId="13950" priority="75967">
      <formula>$H1908="CÉLULA CONSTRUTIVA"</formula>
    </cfRule>
    <cfRule type="expression" dxfId="13949" priority="75968">
      <formula>$H1908="ETAPA"</formula>
    </cfRule>
    <cfRule type="expression" dxfId="13948" priority="75969">
      <formula>$H1908="SUBETAPA"</formula>
    </cfRule>
    <cfRule type="expression" dxfId="13947" priority="75970">
      <formula>$H1908="CÉLULA CONSTRUTIVA"</formula>
    </cfRule>
    <cfRule type="expression" dxfId="13946" priority="75971">
      <formula>$H1908="ETAPA"</formula>
    </cfRule>
  </conditionalFormatting>
  <conditionalFormatting sqref="M1910 O1911">
    <cfRule type="expression" dxfId="13945" priority="76014">
      <formula>$H1910="SUBETAPA"</formula>
    </cfRule>
  </conditionalFormatting>
  <conditionalFormatting sqref="M1911 M1924 M1932 M1937 M1945 M1954 M1970 M2022 M2030">
    <cfRule type="expression" dxfId="13944" priority="76058">
      <formula>$H1911="ETAPA"</formula>
    </cfRule>
  </conditionalFormatting>
  <conditionalFormatting sqref="M1911 M1937 M1932 M1924 M1970 M1954 M1945 M2030 M2022">
    <cfRule type="expression" dxfId="13943" priority="76057">
      <formula>$H1911="CÉLULA CONSTRUTIVA"</formula>
    </cfRule>
    <cfRule type="expression" dxfId="13942" priority="76059">
      <formula>$H1911="SUBETAPA"</formula>
    </cfRule>
    <cfRule type="expression" dxfId="13941" priority="76060">
      <formula>$H1911="CÉLULA CONSTRUTIVA"</formula>
    </cfRule>
  </conditionalFormatting>
  <conditionalFormatting sqref="M1913">
    <cfRule type="expression" dxfId="13940" priority="76275">
      <formula>$H1913="SUBETAPA"</formula>
    </cfRule>
  </conditionalFormatting>
  <conditionalFormatting sqref="M1915:M1919">
    <cfRule type="expression" dxfId="13939" priority="76189">
      <formula>$H1915="CÉLULA CONSTRUTIVA"</formula>
    </cfRule>
    <cfRule type="expression" dxfId="13938" priority="76190">
      <formula>$H1915="ETAPA"</formula>
    </cfRule>
    <cfRule type="expression" dxfId="13937" priority="76191">
      <formula>$H1915="SUBETAPA"</formula>
    </cfRule>
  </conditionalFormatting>
  <conditionalFormatting sqref="M1920 O1920">
    <cfRule type="expression" dxfId="13936" priority="60926">
      <formula>$H1920="CÉLULA CONSTRUTIVA"</formula>
    </cfRule>
    <cfRule type="expression" dxfId="13935" priority="60927">
      <formula>$H1920="ETAPA"</formula>
    </cfRule>
  </conditionalFormatting>
  <conditionalFormatting sqref="M1920">
    <cfRule type="expression" dxfId="13934" priority="60923">
      <formula>$H1920="CÉLULA CONSTRUTIVA"</formula>
    </cfRule>
    <cfRule type="expression" dxfId="13933" priority="60924">
      <formula>$H1920="ETAPA"</formula>
    </cfRule>
    <cfRule type="expression" dxfId="13932" priority="60925">
      <formula>$H1920="SUBETAPA"</formula>
    </cfRule>
  </conditionalFormatting>
  <conditionalFormatting sqref="M1923">
    <cfRule type="expression" dxfId="13931" priority="76200">
      <formula>$H1923="SUBETAPA"</formula>
    </cfRule>
  </conditionalFormatting>
  <conditionalFormatting sqref="M1926">
    <cfRule type="expression" dxfId="13930" priority="76461">
      <formula>$H1926="SUBETAPA"</formula>
    </cfRule>
  </conditionalFormatting>
  <conditionalFormatting sqref="M1931">
    <cfRule type="expression" dxfId="13929" priority="76386">
      <formula>$H1931="SUBETAPA"</formula>
    </cfRule>
  </conditionalFormatting>
  <conditionalFormatting sqref="M1934">
    <cfRule type="expression" dxfId="13928" priority="76647">
      <formula>$H1934="SUBETAPA"</formula>
    </cfRule>
  </conditionalFormatting>
  <conditionalFormatting sqref="M1936">
    <cfRule type="expression" dxfId="13927" priority="76572">
      <formula>$H1936="SUBETAPA"</formula>
    </cfRule>
  </conditionalFormatting>
  <conditionalFormatting sqref="M1939">
    <cfRule type="expression" dxfId="13926" priority="76833">
      <formula>$H1939="SUBETAPA"</formula>
    </cfRule>
  </conditionalFormatting>
  <conditionalFormatting sqref="M1944">
    <cfRule type="expression" dxfId="13925" priority="76758">
      <formula>$H1944="SUBETAPA"</formula>
    </cfRule>
  </conditionalFormatting>
  <conditionalFormatting sqref="M1947">
    <cfRule type="expression" dxfId="13924" priority="77019">
      <formula>$H1947="SUBETAPA"</formula>
    </cfRule>
  </conditionalFormatting>
  <conditionalFormatting sqref="M1953">
    <cfRule type="expression" dxfId="13923" priority="76944">
      <formula>$H1953="SUBETAPA"</formula>
    </cfRule>
  </conditionalFormatting>
  <conditionalFormatting sqref="M1956">
    <cfRule type="expression" dxfId="13922" priority="77205">
      <formula>$H1956="SUBETAPA"</formula>
    </cfRule>
  </conditionalFormatting>
  <conditionalFormatting sqref="M1962 O1962">
    <cfRule type="expression" dxfId="13921" priority="60796">
      <formula>$H1962="CÉLULA CONSTRUTIVA"</formula>
    </cfRule>
    <cfRule type="expression" dxfId="13920" priority="60797">
      <formula>$H1962="ETAPA"</formula>
    </cfRule>
  </conditionalFormatting>
  <conditionalFormatting sqref="M1962">
    <cfRule type="expression" dxfId="13919" priority="60793">
      <formula>$H1962="CÉLULA CONSTRUTIVA"</formula>
    </cfRule>
    <cfRule type="expression" dxfId="13918" priority="60794">
      <formula>$H1962="ETAPA"</formula>
    </cfRule>
    <cfRule type="expression" dxfId="13917" priority="60795">
      <formula>$H1962="SUBETAPA"</formula>
    </cfRule>
  </conditionalFormatting>
  <conditionalFormatting sqref="M1969">
    <cfRule type="expression" dxfId="13916" priority="77130">
      <formula>$H1969="SUBETAPA"</formula>
    </cfRule>
  </conditionalFormatting>
  <conditionalFormatting sqref="M1985:M1989">
    <cfRule type="expression" dxfId="13915" priority="77491">
      <formula>$H1985="CÉLULA CONSTRUTIVA"</formula>
    </cfRule>
    <cfRule type="expression" dxfId="13914" priority="77492">
      <formula>$H1985="ETAPA"</formula>
    </cfRule>
    <cfRule type="expression" dxfId="13913" priority="77493">
      <formula>$H1985="SUBETAPA"</formula>
    </cfRule>
  </conditionalFormatting>
  <conditionalFormatting sqref="M1992:M1996">
    <cfRule type="expression" dxfId="13912" priority="77677">
      <formula>$H1992="CÉLULA CONSTRUTIVA"</formula>
    </cfRule>
    <cfRule type="expression" dxfId="13911" priority="77678">
      <formula>$H1992="ETAPA"</formula>
    </cfRule>
    <cfRule type="expression" dxfId="13910" priority="77679">
      <formula>$H1992="SUBETAPA"</formula>
    </cfRule>
  </conditionalFormatting>
  <conditionalFormatting sqref="M1999:M2003">
    <cfRule type="expression" dxfId="13909" priority="77863">
      <formula>$H1999="CÉLULA CONSTRUTIVA"</formula>
    </cfRule>
    <cfRule type="expression" dxfId="13908" priority="77864">
      <formula>$H1999="ETAPA"</formula>
    </cfRule>
    <cfRule type="expression" dxfId="13907" priority="77865">
      <formula>$H1999="SUBETAPA"</formula>
    </cfRule>
  </conditionalFormatting>
  <conditionalFormatting sqref="M2006:M2010">
    <cfRule type="expression" dxfId="13906" priority="78049">
      <formula>$H2006="CÉLULA CONSTRUTIVA"</formula>
    </cfRule>
    <cfRule type="expression" dxfId="13905" priority="78050">
      <formula>$H2006="ETAPA"</formula>
    </cfRule>
    <cfRule type="expression" dxfId="13904" priority="78051">
      <formula>$H2006="SUBETAPA"</formula>
    </cfRule>
  </conditionalFormatting>
  <conditionalFormatting sqref="M2013">
    <cfRule type="expression" dxfId="13903" priority="78321">
      <formula>$H2013="SUBETAPA"</formula>
    </cfRule>
  </conditionalFormatting>
  <conditionalFormatting sqref="M2015:M2019">
    <cfRule type="expression" dxfId="13902" priority="78235">
      <formula>$H2015="CÉLULA CONSTRUTIVA"</formula>
    </cfRule>
    <cfRule type="expression" dxfId="13901" priority="78236">
      <formula>$H2015="ETAPA"</formula>
    </cfRule>
    <cfRule type="expression" dxfId="13900" priority="78237">
      <formula>$H2015="SUBETAPA"</formula>
    </cfRule>
  </conditionalFormatting>
  <conditionalFormatting sqref="M2021">
    <cfRule type="expression" dxfId="13899" priority="78246">
      <formula>$H2021="SUBETAPA"</formula>
    </cfRule>
  </conditionalFormatting>
  <conditionalFormatting sqref="M2024">
    <cfRule type="expression" dxfId="13898" priority="78507">
      <formula>$H2024="SUBETAPA"</formula>
    </cfRule>
  </conditionalFormatting>
  <conditionalFormatting sqref="M2029">
    <cfRule type="expression" dxfId="13897" priority="78432">
      <formula>$H2029="SUBETAPA"</formula>
    </cfRule>
  </conditionalFormatting>
  <conditionalFormatting sqref="M2343:M2344 O2343:O2344">
    <cfRule type="expression" dxfId="13896" priority="61919">
      <formula>$H2343="CÉLULA CONSTRUTIVA"</formula>
    </cfRule>
  </conditionalFormatting>
  <conditionalFormatting sqref="M2343:M2344">
    <cfRule type="expression" dxfId="13895" priority="61923">
      <formula>$H2343="CÉLULA CONSTRUTIVA"</formula>
    </cfRule>
    <cfRule type="expression" dxfId="13894" priority="61924">
      <formula>$H2343="ETAPA"</formula>
    </cfRule>
    <cfRule type="expression" dxfId="13893" priority="61925">
      <formula>$H2343="SUBETAPA"</formula>
    </cfRule>
    <cfRule type="expression" dxfId="13892" priority="61926">
      <formula>$H2343="CÉLULA CONSTRUTIVA"</formula>
    </cfRule>
    <cfRule type="expression" dxfId="13891" priority="61927">
      <formula>$H2343="ETAPA"</formula>
    </cfRule>
  </conditionalFormatting>
  <conditionalFormatting sqref="M2348:M2349">
    <cfRule type="expression" dxfId="13890" priority="61807">
      <formula>$H2348="ETAPA"</formula>
    </cfRule>
  </conditionalFormatting>
  <conditionalFormatting sqref="M2349">
    <cfRule type="expression" dxfId="13889" priority="61804">
      <formula>$H2349="CÉLULA CONSTRUTIVA"</formula>
    </cfRule>
    <cfRule type="expression" dxfId="13888" priority="61805">
      <formula>$H2349="ETAPA"</formula>
    </cfRule>
    <cfRule type="expression" dxfId="13887" priority="61806">
      <formula>$H2349="CÉLULA CONSTRUTIVA"</formula>
    </cfRule>
    <cfRule type="expression" dxfId="13886" priority="61808">
      <formula>$H2349="SUBETAPA"</formula>
    </cfRule>
  </conditionalFormatting>
  <conditionalFormatting sqref="M2350">
    <cfRule type="expression" dxfId="13885" priority="61809">
      <formula>$H2350="CÉLULA CONSTRUTIVA"</formula>
    </cfRule>
    <cfRule type="expression" dxfId="13884" priority="61810">
      <formula>$H2350="ETAPA"</formula>
    </cfRule>
    <cfRule type="expression" dxfId="13883" priority="61811">
      <formula>$H2350="SUBETAPA"</formula>
    </cfRule>
    <cfRule type="expression" dxfId="13882" priority="61812">
      <formula>$H2350="CÉLULA CONSTRUTIVA"</formula>
    </cfRule>
    <cfRule type="expression" dxfId="13881" priority="61813">
      <formula>$H2350="ETAPA"</formula>
    </cfRule>
  </conditionalFormatting>
  <conditionalFormatting sqref="M2351">
    <cfRule type="expression" dxfId="13880" priority="61782">
      <formula>$H2351="CÉLULA CONSTRUTIVA"</formula>
    </cfRule>
    <cfRule type="expression" dxfId="13879" priority="61783">
      <formula>$H2351="ETAPA"</formula>
    </cfRule>
    <cfRule type="expression" dxfId="13878" priority="61784">
      <formula>$H2351="CÉLULA CONSTRUTIVA"</formula>
    </cfRule>
    <cfRule type="expression" dxfId="13877" priority="61785">
      <formula>$H2351="ETAPA"</formula>
    </cfRule>
    <cfRule type="expression" dxfId="13876" priority="61786">
      <formula>$H2351="SUBETAPA"</formula>
    </cfRule>
  </conditionalFormatting>
  <conditionalFormatting sqref="M2353">
    <cfRule type="expression" dxfId="13875" priority="62010">
      <formula>$H2353="CÉLULA CONSTRUTIVA"</formula>
    </cfRule>
    <cfRule type="expression" dxfId="13874" priority="62011">
      <formula>$H2353="ETAPA"</formula>
    </cfRule>
    <cfRule type="expression" dxfId="13873" priority="62012">
      <formula>$H2353="SUBETAPA"</formula>
    </cfRule>
    <cfRule type="expression" dxfId="13872" priority="62013">
      <formula>$H2353="CÉLULA CONSTRUTIVA"</formula>
    </cfRule>
    <cfRule type="expression" dxfId="13871" priority="62014">
      <formula>$H2353="ETAPA"</formula>
    </cfRule>
  </conditionalFormatting>
  <conditionalFormatting sqref="M2355:M2357">
    <cfRule type="expression" dxfId="13870" priority="61906">
      <formula>$H2355="ETAPA"</formula>
    </cfRule>
  </conditionalFormatting>
  <conditionalFormatting sqref="M2357">
    <cfRule type="expression" dxfId="13869" priority="61901">
      <formula>$H2357="ETAPA"</formula>
    </cfRule>
    <cfRule type="expression" dxfId="13868" priority="61902">
      <formula>$H2357="CÉLULA CONSTRUTIVA"</formula>
    </cfRule>
    <cfRule type="expression" dxfId="13867" priority="61903">
      <formula>$H2357="ETAPA"</formula>
    </cfRule>
    <cfRule type="expression" dxfId="13866" priority="61904">
      <formula>$H2357="SUBETAPA"</formula>
    </cfRule>
    <cfRule type="expression" dxfId="13865" priority="61905">
      <formula>$H2357="CÉLULA CONSTRUTIVA"</formula>
    </cfRule>
  </conditionalFormatting>
  <conditionalFormatting sqref="M2362">
    <cfRule type="expression" dxfId="13864" priority="62200">
      <formula>$H2362="CÉLULA CONSTRUTIVA"</formula>
    </cfRule>
    <cfRule type="expression" dxfId="13863" priority="62201">
      <formula>$H2362="ETAPA"</formula>
    </cfRule>
    <cfRule type="expression" dxfId="13862" priority="62202">
      <formula>$H2362="SUBETAPA"</formula>
    </cfRule>
    <cfRule type="expression" dxfId="13861" priority="62203">
      <formula>$H2362="CÉLULA CONSTRUTIVA"</formula>
    </cfRule>
  </conditionalFormatting>
  <conditionalFormatting sqref="M2364:M2365 O2364:O2365">
    <cfRule type="expression" dxfId="13860" priority="62158">
      <formula>$H2364="CÉLULA CONSTRUTIVA"</formula>
    </cfRule>
  </conditionalFormatting>
  <conditionalFormatting sqref="M2364:M2365">
    <cfRule type="expression" dxfId="13859" priority="62162">
      <formula>$H2364="CÉLULA CONSTRUTIVA"</formula>
    </cfRule>
    <cfRule type="expression" dxfId="13858" priority="62163">
      <formula>$H2364="ETAPA"</formula>
    </cfRule>
    <cfRule type="expression" dxfId="13857" priority="62164">
      <formula>$H2364="SUBETAPA"</formula>
    </cfRule>
    <cfRule type="expression" dxfId="13856" priority="62165">
      <formula>$H2364="CÉLULA CONSTRUTIVA"</formula>
    </cfRule>
    <cfRule type="expression" dxfId="13855" priority="62166">
      <formula>$H2364="ETAPA"</formula>
    </cfRule>
  </conditionalFormatting>
  <conditionalFormatting sqref="M2368">
    <cfRule type="expression" dxfId="13854" priority="7119">
      <formula>$H2368="CÉLULA CONSTRUTIVA"</formula>
    </cfRule>
  </conditionalFormatting>
  <conditionalFormatting sqref="M2369 O2369">
    <cfRule type="expression" dxfId="13853" priority="62214">
      <formula>$H2369="SUBETAPA"</formula>
    </cfRule>
    <cfRule type="expression" dxfId="13852" priority="62215">
      <formula>$H2369="CÉLULA CONSTRUTIVA"</formula>
    </cfRule>
  </conditionalFormatting>
  <conditionalFormatting sqref="M2369">
    <cfRule type="expression" dxfId="13851" priority="62212">
      <formula>$H2369="CÉLULA CONSTRUTIVA"</formula>
    </cfRule>
    <cfRule type="expression" dxfId="13850" priority="62213">
      <formula>$H2369="ETAPA"</formula>
    </cfRule>
  </conditionalFormatting>
  <conditionalFormatting sqref="M2369:M2370">
    <cfRule type="expression" dxfId="13849" priority="62216">
      <formula>$H2369="ETAPA"</formula>
    </cfRule>
  </conditionalFormatting>
  <conditionalFormatting sqref="M2371">
    <cfRule type="expression" dxfId="13848" priority="62043">
      <formula>$H2371="CÉLULA CONSTRUTIVA"</formula>
    </cfRule>
    <cfRule type="expression" dxfId="13847" priority="62044">
      <formula>$H2371="ETAPA"</formula>
    </cfRule>
    <cfRule type="expression" dxfId="13846" priority="62045">
      <formula>$H2371="CÉLULA CONSTRUTIVA"</formula>
    </cfRule>
    <cfRule type="expression" dxfId="13845" priority="62046">
      <formula>$H2371="ETAPA"</formula>
    </cfRule>
    <cfRule type="expression" dxfId="13844" priority="62047">
      <formula>$H2371="SUBETAPA"</formula>
    </cfRule>
  </conditionalFormatting>
  <conditionalFormatting sqref="M2372">
    <cfRule type="expression" dxfId="13843" priority="62048">
      <formula>$H2372="CÉLULA CONSTRUTIVA"</formula>
    </cfRule>
    <cfRule type="expression" dxfId="13842" priority="62049">
      <formula>$H2372="ETAPA"</formula>
    </cfRule>
    <cfRule type="expression" dxfId="13841" priority="62050">
      <formula>$H2372="SUBETAPA"</formula>
    </cfRule>
    <cfRule type="expression" dxfId="13840" priority="62051">
      <formula>$H2372="CÉLULA CONSTRUTIVA"</formula>
    </cfRule>
    <cfRule type="expression" dxfId="13839" priority="62052">
      <formula>$H2372="ETAPA"</formula>
    </cfRule>
  </conditionalFormatting>
  <conditionalFormatting sqref="M2373">
    <cfRule type="expression" dxfId="13838" priority="62021">
      <formula>$H2373="CÉLULA CONSTRUTIVA"</formula>
    </cfRule>
    <cfRule type="expression" dxfId="13837" priority="62022">
      <formula>$H2373="ETAPA"</formula>
    </cfRule>
    <cfRule type="expression" dxfId="13836" priority="62023">
      <formula>$H2373="CÉLULA CONSTRUTIVA"</formula>
    </cfRule>
    <cfRule type="expression" dxfId="13835" priority="62024">
      <formula>$H2373="ETAPA"</formula>
    </cfRule>
    <cfRule type="expression" dxfId="13834" priority="62025">
      <formula>$H2373="SUBETAPA"</formula>
    </cfRule>
  </conditionalFormatting>
  <conditionalFormatting sqref="M2374">
    <cfRule type="expression" dxfId="13833" priority="62026">
      <formula>$H2374="CÉLULA CONSTRUTIVA"</formula>
    </cfRule>
    <cfRule type="expression" dxfId="13832" priority="62027">
      <formula>$H2374="ETAPA"</formula>
    </cfRule>
    <cfRule type="expression" dxfId="13831" priority="62028">
      <formula>$H2374="SUBETAPA"</formula>
    </cfRule>
    <cfRule type="expression" dxfId="13830" priority="62029">
      <formula>$H2374="CÉLULA CONSTRUTIVA"</formula>
    </cfRule>
    <cfRule type="expression" dxfId="13829" priority="62030">
      <formula>$H2374="ETAPA"</formula>
    </cfRule>
  </conditionalFormatting>
  <conditionalFormatting sqref="M2375:M2376">
    <cfRule type="expression" dxfId="13828" priority="62037">
      <formula>$H2375="CÉLULA CONSTRUTIVA"</formula>
    </cfRule>
    <cfRule type="expression" dxfId="13827" priority="62038">
      <formula>$H2375="ETAPA"</formula>
    </cfRule>
    <cfRule type="expression" dxfId="13826" priority="62039">
      <formula>$H2375="SUBETAPA"</formula>
    </cfRule>
    <cfRule type="expression" dxfId="13825" priority="62040">
      <formula>$H2375="CÉLULA CONSTRUTIVA"</formula>
    </cfRule>
    <cfRule type="expression" dxfId="13824" priority="62041">
      <formula>$H2375="ETAPA"</formula>
    </cfRule>
  </conditionalFormatting>
  <conditionalFormatting sqref="M2377">
    <cfRule type="expression" dxfId="13823" priority="62249">
      <formula>$H2377="CÉLULA CONSTRUTIVA"</formula>
    </cfRule>
    <cfRule type="expression" dxfId="13822" priority="62250">
      <formula>$H2377="ETAPA"</formula>
    </cfRule>
    <cfRule type="expression" dxfId="13821" priority="62251">
      <formula>$H2377="SUBETAPA"</formula>
    </cfRule>
    <cfRule type="expression" dxfId="13820" priority="62252">
      <formula>$H2377="CÉLULA CONSTRUTIVA"</formula>
    </cfRule>
    <cfRule type="expression" dxfId="13819" priority="62253">
      <formula>$H2377="ETAPA"</formula>
    </cfRule>
  </conditionalFormatting>
  <conditionalFormatting sqref="M2379:M2382">
    <cfRule type="expression" dxfId="13818" priority="62132">
      <formula>$H2379="ETAPA"</formula>
    </cfRule>
  </conditionalFormatting>
  <conditionalFormatting sqref="M2382">
    <cfRule type="expression" dxfId="13817" priority="62127">
      <formula>$H2382="ETAPA"</formula>
    </cfRule>
    <cfRule type="expression" dxfId="13816" priority="62128">
      <formula>$H2382="CÉLULA CONSTRUTIVA"</formula>
    </cfRule>
    <cfRule type="expression" dxfId="13815" priority="62129">
      <formula>$H2382="ETAPA"</formula>
    </cfRule>
    <cfRule type="expression" dxfId="13814" priority="62130">
      <formula>$H2382="SUBETAPA"</formula>
    </cfRule>
    <cfRule type="expression" dxfId="13813" priority="62131">
      <formula>$H2382="CÉLULA CONSTRUTIVA"</formula>
    </cfRule>
  </conditionalFormatting>
  <conditionalFormatting sqref="M2383">
    <cfRule type="expression" dxfId="13812" priority="62140">
      <formula>$H2383="ETAPA"</formula>
    </cfRule>
    <cfRule type="expression" dxfId="13811" priority="62141">
      <formula>$H2383="CÉLULA CONSTRUTIVA"</formula>
    </cfRule>
    <cfRule type="expression" dxfId="13810" priority="62142">
      <formula>$H2383="ETAPA"</formula>
    </cfRule>
    <cfRule type="expression" dxfId="13809" priority="62143">
      <formula>$H2383="SUBETAPA"</formula>
    </cfRule>
    <cfRule type="expression" dxfId="13808" priority="62144">
      <formula>$H2383="CÉLULA CONSTRUTIVA"</formula>
    </cfRule>
    <cfRule type="expression" dxfId="13807" priority="62145">
      <formula>$H2383="ETAPA"</formula>
    </cfRule>
  </conditionalFormatting>
  <conditionalFormatting sqref="M2384:M2386">
    <cfRule type="expression" dxfId="13806" priority="62074">
      <formula>$H2384="ETAPA"</formula>
    </cfRule>
    <cfRule type="expression" dxfId="13805" priority="62075">
      <formula>$H2384="CÉLULA CONSTRUTIVA"</formula>
    </cfRule>
    <cfRule type="expression" dxfId="13804" priority="62076">
      <formula>$H2384="ETAPA"</formula>
    </cfRule>
    <cfRule type="expression" dxfId="13803" priority="62077">
      <formula>$H2384="SUBETAPA"</formula>
    </cfRule>
    <cfRule type="expression" dxfId="13802" priority="62078">
      <formula>$H2384="CÉLULA CONSTRUTIVA"</formula>
    </cfRule>
    <cfRule type="expression" dxfId="13801" priority="62079">
      <formula>$H2384="ETAPA"</formula>
    </cfRule>
  </conditionalFormatting>
  <conditionalFormatting sqref="M2389">
    <cfRule type="expression" dxfId="13800" priority="62439">
      <formula>$H2389="CÉLULA CONSTRUTIVA"</formula>
    </cfRule>
    <cfRule type="expression" dxfId="13799" priority="62440">
      <formula>$H2389="ETAPA"</formula>
    </cfRule>
    <cfRule type="expression" dxfId="13798" priority="62441">
      <formula>$H2389="SUBETAPA"</formula>
    </cfRule>
    <cfRule type="expression" dxfId="13797" priority="62442">
      <formula>$H2389="CÉLULA CONSTRUTIVA"</formula>
    </cfRule>
  </conditionalFormatting>
  <conditionalFormatting sqref="M2391:M2392 O2391:O2392">
    <cfRule type="expression" dxfId="13796" priority="62397">
      <formula>$H2391="CÉLULA CONSTRUTIVA"</formula>
    </cfRule>
  </conditionalFormatting>
  <conditionalFormatting sqref="M2391:M2392">
    <cfRule type="expression" dxfId="13795" priority="62401">
      <formula>$H2391="CÉLULA CONSTRUTIVA"</formula>
    </cfRule>
    <cfRule type="expression" dxfId="13794" priority="62402">
      <formula>$H2391="ETAPA"</formula>
    </cfRule>
    <cfRule type="expression" dxfId="13793" priority="62403">
      <formula>$H2391="SUBETAPA"</formula>
    </cfRule>
    <cfRule type="expression" dxfId="13792" priority="62404">
      <formula>$H2391="CÉLULA CONSTRUTIVA"</formula>
    </cfRule>
    <cfRule type="expression" dxfId="13791" priority="62405">
      <formula>$H2391="ETAPA"</formula>
    </cfRule>
  </conditionalFormatting>
  <conditionalFormatting sqref="M2395">
    <cfRule type="expression" dxfId="13790" priority="7063">
      <formula>$H2395="CÉLULA CONSTRUTIVA"</formula>
    </cfRule>
  </conditionalFormatting>
  <conditionalFormatting sqref="M2396 O2396">
    <cfRule type="expression" dxfId="13789" priority="62453">
      <formula>$H2396="SUBETAPA"</formula>
    </cfRule>
    <cfRule type="expression" dxfId="13788" priority="62454">
      <formula>$H2396="CÉLULA CONSTRUTIVA"</formula>
    </cfRule>
  </conditionalFormatting>
  <conditionalFormatting sqref="M2396">
    <cfRule type="expression" dxfId="13787" priority="62451">
      <formula>$H2396="CÉLULA CONSTRUTIVA"</formula>
    </cfRule>
    <cfRule type="expression" dxfId="13786" priority="62452">
      <formula>$H2396="ETAPA"</formula>
    </cfRule>
  </conditionalFormatting>
  <conditionalFormatting sqref="M2396:M2397">
    <cfRule type="expression" dxfId="13785" priority="62455">
      <formula>$H2396="ETAPA"</formula>
    </cfRule>
  </conditionalFormatting>
  <conditionalFormatting sqref="M2398">
    <cfRule type="expression" dxfId="13784" priority="62282">
      <formula>$H2398="CÉLULA CONSTRUTIVA"</formula>
    </cfRule>
    <cfRule type="expression" dxfId="13783" priority="62283">
      <formula>$H2398="ETAPA"</formula>
    </cfRule>
    <cfRule type="expression" dxfId="13782" priority="62284">
      <formula>$H2398="CÉLULA CONSTRUTIVA"</formula>
    </cfRule>
    <cfRule type="expression" dxfId="13781" priority="62285">
      <formula>$H2398="ETAPA"</formula>
    </cfRule>
    <cfRule type="expression" dxfId="13780" priority="62286">
      <formula>$H2398="SUBETAPA"</formula>
    </cfRule>
  </conditionalFormatting>
  <conditionalFormatting sqref="M2399">
    <cfRule type="expression" dxfId="13779" priority="62287">
      <formula>$H2399="CÉLULA CONSTRUTIVA"</formula>
    </cfRule>
    <cfRule type="expression" dxfId="13778" priority="62288">
      <formula>$H2399="ETAPA"</formula>
    </cfRule>
    <cfRule type="expression" dxfId="13777" priority="62289">
      <formula>$H2399="SUBETAPA"</formula>
    </cfRule>
    <cfRule type="expression" dxfId="13776" priority="62290">
      <formula>$H2399="CÉLULA CONSTRUTIVA"</formula>
    </cfRule>
    <cfRule type="expression" dxfId="13775" priority="62291">
      <formula>$H2399="ETAPA"</formula>
    </cfRule>
  </conditionalFormatting>
  <conditionalFormatting sqref="M2400">
    <cfRule type="expression" dxfId="13774" priority="62260">
      <formula>$H2400="CÉLULA CONSTRUTIVA"</formula>
    </cfRule>
    <cfRule type="expression" dxfId="13773" priority="62261">
      <formula>$H2400="ETAPA"</formula>
    </cfRule>
    <cfRule type="expression" dxfId="13772" priority="62262">
      <formula>$H2400="CÉLULA CONSTRUTIVA"</formula>
    </cfRule>
    <cfRule type="expression" dxfId="13771" priority="62263">
      <formula>$H2400="ETAPA"</formula>
    </cfRule>
    <cfRule type="expression" dxfId="13770" priority="62264">
      <formula>$H2400="SUBETAPA"</formula>
    </cfRule>
  </conditionalFormatting>
  <conditionalFormatting sqref="M2402">
    <cfRule type="expression" dxfId="13769" priority="62488">
      <formula>$H2402="CÉLULA CONSTRUTIVA"</formula>
    </cfRule>
    <cfRule type="expression" dxfId="13768" priority="62489">
      <formula>$H2402="ETAPA"</formula>
    </cfRule>
    <cfRule type="expression" dxfId="13767" priority="62490">
      <formula>$H2402="SUBETAPA"</formula>
    </cfRule>
    <cfRule type="expression" dxfId="13766" priority="62491">
      <formula>$H2402="CÉLULA CONSTRUTIVA"</formula>
    </cfRule>
    <cfRule type="expression" dxfId="13765" priority="62492">
      <formula>$H2402="ETAPA"</formula>
    </cfRule>
  </conditionalFormatting>
  <conditionalFormatting sqref="M2404:M2407">
    <cfRule type="expression" dxfId="13764" priority="62371">
      <formula>$H2404="ETAPA"</formula>
    </cfRule>
  </conditionalFormatting>
  <conditionalFormatting sqref="M2407">
    <cfRule type="expression" dxfId="13763" priority="62366">
      <formula>$H2407="ETAPA"</formula>
    </cfRule>
    <cfRule type="expression" dxfId="13762" priority="62367">
      <formula>$H2407="CÉLULA CONSTRUTIVA"</formula>
    </cfRule>
    <cfRule type="expression" dxfId="13761" priority="62368">
      <formula>$H2407="ETAPA"</formula>
    </cfRule>
    <cfRule type="expression" dxfId="13760" priority="62369">
      <formula>$H2407="SUBETAPA"</formula>
    </cfRule>
    <cfRule type="expression" dxfId="13759" priority="62370">
      <formula>$H2407="CÉLULA CONSTRUTIVA"</formula>
    </cfRule>
  </conditionalFormatting>
  <conditionalFormatting sqref="M2408">
    <cfRule type="expression" dxfId="13758" priority="62379">
      <formula>$H2408="ETAPA"</formula>
    </cfRule>
    <cfRule type="expression" dxfId="13757" priority="62380">
      <formula>$H2408="CÉLULA CONSTRUTIVA"</formula>
    </cfRule>
    <cfRule type="expression" dxfId="13756" priority="62381">
      <formula>$H2408="ETAPA"</formula>
    </cfRule>
    <cfRule type="expression" dxfId="13755" priority="62382">
      <formula>$H2408="SUBETAPA"</formula>
    </cfRule>
    <cfRule type="expression" dxfId="13754" priority="62383">
      <formula>$H2408="CÉLULA CONSTRUTIVA"</formula>
    </cfRule>
    <cfRule type="expression" dxfId="13753" priority="62384">
      <formula>$H2408="ETAPA"</formula>
    </cfRule>
  </conditionalFormatting>
  <conditionalFormatting sqref="M2413">
    <cfRule type="expression" dxfId="13752" priority="62678">
      <formula>$H2413="CÉLULA CONSTRUTIVA"</formula>
    </cfRule>
    <cfRule type="expression" dxfId="13751" priority="62679">
      <formula>$H2413="ETAPA"</formula>
    </cfRule>
    <cfRule type="expression" dxfId="13750" priority="62680">
      <formula>$H2413="SUBETAPA"</formula>
    </cfRule>
    <cfRule type="expression" dxfId="13749" priority="62681">
      <formula>$H2413="CÉLULA CONSTRUTIVA"</formula>
    </cfRule>
  </conditionalFormatting>
  <conditionalFormatting sqref="M2415:M2416 O2415:O2416">
    <cfRule type="expression" dxfId="13748" priority="62636">
      <formula>$H2415="CÉLULA CONSTRUTIVA"</formula>
    </cfRule>
  </conditionalFormatting>
  <conditionalFormatting sqref="M2415:M2416">
    <cfRule type="expression" dxfId="13747" priority="62640">
      <formula>$H2415="CÉLULA CONSTRUTIVA"</formula>
    </cfRule>
    <cfRule type="expression" dxfId="13746" priority="62641">
      <formula>$H2415="ETAPA"</formula>
    </cfRule>
    <cfRule type="expression" dxfId="13745" priority="62642">
      <formula>$H2415="SUBETAPA"</formula>
    </cfRule>
    <cfRule type="expression" dxfId="13744" priority="62643">
      <formula>$H2415="CÉLULA CONSTRUTIVA"</formula>
    </cfRule>
    <cfRule type="expression" dxfId="13743" priority="62644">
      <formula>$H2415="ETAPA"</formula>
    </cfRule>
  </conditionalFormatting>
  <conditionalFormatting sqref="M2418">
    <cfRule type="expression" dxfId="13742" priority="7007">
      <formula>$H2418="CÉLULA CONSTRUTIVA"</formula>
    </cfRule>
  </conditionalFormatting>
  <conditionalFormatting sqref="M2419 O2419">
    <cfRule type="expression" dxfId="13741" priority="62692">
      <formula>$H2419="SUBETAPA"</formula>
    </cfRule>
    <cfRule type="expression" dxfId="13740" priority="62693">
      <formula>$H2419="CÉLULA CONSTRUTIVA"</formula>
    </cfRule>
  </conditionalFormatting>
  <conditionalFormatting sqref="M2419">
    <cfRule type="expression" dxfId="13739" priority="62690">
      <formula>$H2419="CÉLULA CONSTRUTIVA"</formula>
    </cfRule>
    <cfRule type="expression" dxfId="13738" priority="62691">
      <formula>$H2419="ETAPA"</formula>
    </cfRule>
  </conditionalFormatting>
  <conditionalFormatting sqref="M2419:M2420">
    <cfRule type="expression" dxfId="13737" priority="62694">
      <formula>$H2419="ETAPA"</formula>
    </cfRule>
  </conditionalFormatting>
  <conditionalFormatting sqref="M2421">
    <cfRule type="expression" dxfId="13736" priority="62521">
      <formula>$H2421="CÉLULA CONSTRUTIVA"</formula>
    </cfRule>
    <cfRule type="expression" dxfId="13735" priority="62522">
      <formula>$H2421="ETAPA"</formula>
    </cfRule>
    <cfRule type="expression" dxfId="13734" priority="62523">
      <formula>$H2421="CÉLULA CONSTRUTIVA"</formula>
    </cfRule>
    <cfRule type="expression" dxfId="13733" priority="62524">
      <formula>$H2421="ETAPA"</formula>
    </cfRule>
    <cfRule type="expression" dxfId="13732" priority="62525">
      <formula>$H2421="SUBETAPA"</formula>
    </cfRule>
  </conditionalFormatting>
  <conditionalFormatting sqref="M2422">
    <cfRule type="expression" dxfId="13731" priority="62526">
      <formula>$H2422="CÉLULA CONSTRUTIVA"</formula>
    </cfRule>
    <cfRule type="expression" dxfId="13730" priority="62527">
      <formula>$H2422="ETAPA"</formula>
    </cfRule>
    <cfRule type="expression" dxfId="13729" priority="62528">
      <formula>$H2422="SUBETAPA"</formula>
    </cfRule>
    <cfRule type="expression" dxfId="13728" priority="62529">
      <formula>$H2422="CÉLULA CONSTRUTIVA"</formula>
    </cfRule>
    <cfRule type="expression" dxfId="13727" priority="62530">
      <formula>$H2422="ETAPA"</formula>
    </cfRule>
  </conditionalFormatting>
  <conditionalFormatting sqref="M2423">
    <cfRule type="expression" dxfId="13726" priority="62499">
      <formula>$H2423="CÉLULA CONSTRUTIVA"</formula>
    </cfRule>
    <cfRule type="expression" dxfId="13725" priority="62500">
      <formula>$H2423="ETAPA"</formula>
    </cfRule>
    <cfRule type="expression" dxfId="13724" priority="62501">
      <formula>$H2423="CÉLULA CONSTRUTIVA"</formula>
    </cfRule>
    <cfRule type="expression" dxfId="13723" priority="62502">
      <formula>$H2423="ETAPA"</formula>
    </cfRule>
    <cfRule type="expression" dxfId="13722" priority="62503">
      <formula>$H2423="SUBETAPA"</formula>
    </cfRule>
  </conditionalFormatting>
  <conditionalFormatting sqref="M2425">
    <cfRule type="expression" dxfId="13721" priority="62727">
      <formula>$H2425="CÉLULA CONSTRUTIVA"</formula>
    </cfRule>
    <cfRule type="expression" dxfId="13720" priority="62728">
      <formula>$H2425="ETAPA"</formula>
    </cfRule>
    <cfRule type="expression" dxfId="13719" priority="62729">
      <formula>$H2425="SUBETAPA"</formula>
    </cfRule>
    <cfRule type="expression" dxfId="13718" priority="62730">
      <formula>$H2425="CÉLULA CONSTRUTIVA"</formula>
    </cfRule>
    <cfRule type="expression" dxfId="13717" priority="62731">
      <formula>$H2425="ETAPA"</formula>
    </cfRule>
  </conditionalFormatting>
  <conditionalFormatting sqref="M2427:M2430">
    <cfRule type="expression" dxfId="13716" priority="62610">
      <formula>$H2427="ETAPA"</formula>
    </cfRule>
  </conditionalFormatting>
  <conditionalFormatting sqref="M2430">
    <cfRule type="expression" dxfId="13715" priority="62605">
      <formula>$H2430="ETAPA"</formula>
    </cfRule>
    <cfRule type="expression" dxfId="13714" priority="62606">
      <formula>$H2430="CÉLULA CONSTRUTIVA"</formula>
    </cfRule>
    <cfRule type="expression" dxfId="13713" priority="62607">
      <formula>$H2430="ETAPA"</formula>
    </cfRule>
    <cfRule type="expression" dxfId="13712" priority="62608">
      <formula>$H2430="SUBETAPA"</formula>
    </cfRule>
    <cfRule type="expression" dxfId="13711" priority="62609">
      <formula>$H2430="CÉLULA CONSTRUTIVA"</formula>
    </cfRule>
  </conditionalFormatting>
  <conditionalFormatting sqref="M2431">
    <cfRule type="expression" dxfId="13710" priority="62618">
      <formula>$H2431="ETAPA"</formula>
    </cfRule>
    <cfRule type="expression" dxfId="13709" priority="62619">
      <formula>$H2431="CÉLULA CONSTRUTIVA"</formula>
    </cfRule>
    <cfRule type="expression" dxfId="13708" priority="62620">
      <formula>$H2431="ETAPA"</formula>
    </cfRule>
    <cfRule type="expression" dxfId="13707" priority="62621">
      <formula>$H2431="SUBETAPA"</formula>
    </cfRule>
    <cfRule type="expression" dxfId="13706" priority="62622">
      <formula>$H2431="CÉLULA CONSTRUTIVA"</formula>
    </cfRule>
    <cfRule type="expression" dxfId="13705" priority="62623">
      <formula>$H2431="ETAPA"</formula>
    </cfRule>
  </conditionalFormatting>
  <conditionalFormatting sqref="M2436">
    <cfRule type="expression" dxfId="13704" priority="62917">
      <formula>$H2436="CÉLULA CONSTRUTIVA"</formula>
    </cfRule>
    <cfRule type="expression" dxfId="13703" priority="62918">
      <formula>$H2436="ETAPA"</formula>
    </cfRule>
    <cfRule type="expression" dxfId="13702" priority="62919">
      <formula>$H2436="SUBETAPA"</formula>
    </cfRule>
    <cfRule type="expression" dxfId="13701" priority="62920">
      <formula>$H2436="CÉLULA CONSTRUTIVA"</formula>
    </cfRule>
  </conditionalFormatting>
  <conditionalFormatting sqref="M2438:M2439 O2438:O2439">
    <cfRule type="expression" dxfId="13700" priority="62875">
      <formula>$H2438="CÉLULA CONSTRUTIVA"</formula>
    </cfRule>
  </conditionalFormatting>
  <conditionalFormatting sqref="M2438:M2439">
    <cfRule type="expression" dxfId="13699" priority="62879">
      <formula>$H2438="CÉLULA CONSTRUTIVA"</formula>
    </cfRule>
    <cfRule type="expression" dxfId="13698" priority="62880">
      <formula>$H2438="ETAPA"</formula>
    </cfRule>
    <cfRule type="expression" dxfId="13697" priority="62881">
      <formula>$H2438="SUBETAPA"</formula>
    </cfRule>
    <cfRule type="expression" dxfId="13696" priority="62882">
      <formula>$H2438="CÉLULA CONSTRUTIVA"</formula>
    </cfRule>
    <cfRule type="expression" dxfId="13695" priority="62883">
      <formula>$H2438="ETAPA"</formula>
    </cfRule>
  </conditionalFormatting>
  <conditionalFormatting sqref="M2441">
    <cfRule type="expression" dxfId="13694" priority="6951">
      <formula>$H2441="CÉLULA CONSTRUTIVA"</formula>
    </cfRule>
  </conditionalFormatting>
  <conditionalFormatting sqref="M2442 O2442">
    <cfRule type="expression" dxfId="13693" priority="62931">
      <formula>$H2442="SUBETAPA"</formula>
    </cfRule>
    <cfRule type="expression" dxfId="13692" priority="62932">
      <formula>$H2442="CÉLULA CONSTRUTIVA"</formula>
    </cfRule>
  </conditionalFormatting>
  <conditionalFormatting sqref="M2442">
    <cfRule type="expression" dxfId="13691" priority="62929">
      <formula>$H2442="CÉLULA CONSTRUTIVA"</formula>
    </cfRule>
    <cfRule type="expression" dxfId="13690" priority="62930">
      <formula>$H2442="ETAPA"</formula>
    </cfRule>
  </conditionalFormatting>
  <conditionalFormatting sqref="M2442:M2443">
    <cfRule type="expression" dxfId="13689" priority="62933">
      <formula>$H2442="ETAPA"</formula>
    </cfRule>
  </conditionalFormatting>
  <conditionalFormatting sqref="M2444">
    <cfRule type="expression" dxfId="13688" priority="62760">
      <formula>$H2444="CÉLULA CONSTRUTIVA"</formula>
    </cfRule>
    <cfRule type="expression" dxfId="13687" priority="62761">
      <formula>$H2444="ETAPA"</formula>
    </cfRule>
    <cfRule type="expression" dxfId="13686" priority="62762">
      <formula>$H2444="CÉLULA CONSTRUTIVA"</formula>
    </cfRule>
    <cfRule type="expression" dxfId="13685" priority="62763">
      <formula>$H2444="ETAPA"</formula>
    </cfRule>
    <cfRule type="expression" dxfId="13684" priority="62764">
      <formula>$H2444="SUBETAPA"</formula>
    </cfRule>
  </conditionalFormatting>
  <conditionalFormatting sqref="M2445">
    <cfRule type="expression" dxfId="13683" priority="62765">
      <formula>$H2445="CÉLULA CONSTRUTIVA"</formula>
    </cfRule>
    <cfRule type="expression" dxfId="13682" priority="62766">
      <formula>$H2445="ETAPA"</formula>
    </cfRule>
    <cfRule type="expression" dxfId="13681" priority="62767">
      <formula>$H2445="SUBETAPA"</formula>
    </cfRule>
    <cfRule type="expression" dxfId="13680" priority="62768">
      <formula>$H2445="CÉLULA CONSTRUTIVA"</formula>
    </cfRule>
    <cfRule type="expression" dxfId="13679" priority="62769">
      <formula>$H2445="ETAPA"</formula>
    </cfRule>
  </conditionalFormatting>
  <conditionalFormatting sqref="M2446">
    <cfRule type="expression" dxfId="13678" priority="62738">
      <formula>$H2446="CÉLULA CONSTRUTIVA"</formula>
    </cfRule>
    <cfRule type="expression" dxfId="13677" priority="62739">
      <formula>$H2446="ETAPA"</formula>
    </cfRule>
    <cfRule type="expression" dxfId="13676" priority="62740">
      <formula>$H2446="CÉLULA CONSTRUTIVA"</formula>
    </cfRule>
    <cfRule type="expression" dxfId="13675" priority="62741">
      <formula>$H2446="ETAPA"</formula>
    </cfRule>
    <cfRule type="expression" dxfId="13674" priority="62742">
      <formula>$H2446="SUBETAPA"</formula>
    </cfRule>
  </conditionalFormatting>
  <conditionalFormatting sqref="M2448">
    <cfRule type="expression" dxfId="13673" priority="62966">
      <formula>$H2448="CÉLULA CONSTRUTIVA"</formula>
    </cfRule>
    <cfRule type="expression" dxfId="13672" priority="62967">
      <formula>$H2448="ETAPA"</formula>
    </cfRule>
    <cfRule type="expression" dxfId="13671" priority="62968">
      <formula>$H2448="SUBETAPA"</formula>
    </cfRule>
    <cfRule type="expression" dxfId="13670" priority="62969">
      <formula>$H2448="CÉLULA CONSTRUTIVA"</formula>
    </cfRule>
    <cfRule type="expression" dxfId="13669" priority="62970">
      <formula>$H2448="ETAPA"</formula>
    </cfRule>
  </conditionalFormatting>
  <conditionalFormatting sqref="M2450:M2453">
    <cfRule type="expression" dxfId="13668" priority="62849">
      <formula>$H2450="ETAPA"</formula>
    </cfRule>
  </conditionalFormatting>
  <conditionalFormatting sqref="M2453">
    <cfRule type="expression" dxfId="13667" priority="62844">
      <formula>$H2453="ETAPA"</formula>
    </cfRule>
    <cfRule type="expression" dxfId="13666" priority="62845">
      <formula>$H2453="CÉLULA CONSTRUTIVA"</formula>
    </cfRule>
    <cfRule type="expression" dxfId="13665" priority="62846">
      <formula>$H2453="ETAPA"</formula>
    </cfRule>
    <cfRule type="expression" dxfId="13664" priority="62847">
      <formula>$H2453="SUBETAPA"</formula>
    </cfRule>
    <cfRule type="expression" dxfId="13663" priority="62848">
      <formula>$H2453="CÉLULA CONSTRUTIVA"</formula>
    </cfRule>
  </conditionalFormatting>
  <conditionalFormatting sqref="M2454">
    <cfRule type="expression" dxfId="13662" priority="62857">
      <formula>$H2454="ETAPA"</formula>
    </cfRule>
    <cfRule type="expression" dxfId="13661" priority="62858">
      <formula>$H2454="CÉLULA CONSTRUTIVA"</formula>
    </cfRule>
    <cfRule type="expression" dxfId="13660" priority="62859">
      <formula>$H2454="ETAPA"</formula>
    </cfRule>
    <cfRule type="expression" dxfId="13659" priority="62860">
      <formula>$H2454="SUBETAPA"</formula>
    </cfRule>
    <cfRule type="expression" dxfId="13658" priority="62861">
      <formula>$H2454="CÉLULA CONSTRUTIVA"</formula>
    </cfRule>
    <cfRule type="expression" dxfId="13657" priority="62862">
      <formula>$H2454="ETAPA"</formula>
    </cfRule>
  </conditionalFormatting>
  <conditionalFormatting sqref="M2459">
    <cfRule type="expression" dxfId="13656" priority="63156">
      <formula>$H2459="CÉLULA CONSTRUTIVA"</formula>
    </cfRule>
    <cfRule type="expression" dxfId="13655" priority="63157">
      <formula>$H2459="ETAPA"</formula>
    </cfRule>
    <cfRule type="expression" dxfId="13654" priority="63158">
      <formula>$H2459="SUBETAPA"</formula>
    </cfRule>
    <cfRule type="expression" dxfId="13653" priority="63159">
      <formula>$H2459="CÉLULA CONSTRUTIVA"</formula>
    </cfRule>
  </conditionalFormatting>
  <conditionalFormatting sqref="M2461:M2462 O2461:O2462">
    <cfRule type="expression" dxfId="13652" priority="63114">
      <formula>$H2461="CÉLULA CONSTRUTIVA"</formula>
    </cfRule>
  </conditionalFormatting>
  <conditionalFormatting sqref="M2461:M2462">
    <cfRule type="expression" dxfId="13651" priority="63118">
      <formula>$H2461="CÉLULA CONSTRUTIVA"</formula>
    </cfRule>
    <cfRule type="expression" dxfId="13650" priority="63119">
      <formula>$H2461="ETAPA"</formula>
    </cfRule>
    <cfRule type="expression" dxfId="13649" priority="63120">
      <formula>$H2461="SUBETAPA"</formula>
    </cfRule>
    <cfRule type="expression" dxfId="13648" priority="63121">
      <formula>$H2461="CÉLULA CONSTRUTIVA"</formula>
    </cfRule>
    <cfRule type="expression" dxfId="13647" priority="63122">
      <formula>$H2461="ETAPA"</formula>
    </cfRule>
  </conditionalFormatting>
  <conditionalFormatting sqref="M2465">
    <cfRule type="expression" dxfId="13646" priority="6895">
      <formula>$H2465="CÉLULA CONSTRUTIVA"</formula>
    </cfRule>
  </conditionalFormatting>
  <conditionalFormatting sqref="M2466 O2466">
    <cfRule type="expression" dxfId="13645" priority="63170">
      <formula>$H2466="SUBETAPA"</formula>
    </cfRule>
    <cfRule type="expression" dxfId="13644" priority="63171">
      <formula>$H2466="CÉLULA CONSTRUTIVA"</formula>
    </cfRule>
  </conditionalFormatting>
  <conditionalFormatting sqref="M2466">
    <cfRule type="expression" dxfId="13643" priority="63168">
      <formula>$H2466="CÉLULA CONSTRUTIVA"</formula>
    </cfRule>
    <cfRule type="expression" dxfId="13642" priority="63169">
      <formula>$H2466="ETAPA"</formula>
    </cfRule>
  </conditionalFormatting>
  <conditionalFormatting sqref="M2466:M2467">
    <cfRule type="expression" dxfId="13641" priority="63172">
      <formula>$H2466="ETAPA"</formula>
    </cfRule>
  </conditionalFormatting>
  <conditionalFormatting sqref="M2468">
    <cfRule type="expression" dxfId="13640" priority="62999">
      <formula>$H2468="CÉLULA CONSTRUTIVA"</formula>
    </cfRule>
    <cfRule type="expression" dxfId="13639" priority="63000">
      <formula>$H2468="ETAPA"</formula>
    </cfRule>
    <cfRule type="expression" dxfId="13638" priority="63001">
      <formula>$H2468="CÉLULA CONSTRUTIVA"</formula>
    </cfRule>
    <cfRule type="expression" dxfId="13637" priority="63002">
      <formula>$H2468="ETAPA"</formula>
    </cfRule>
    <cfRule type="expression" dxfId="13636" priority="63003">
      <formula>$H2468="SUBETAPA"</formula>
    </cfRule>
  </conditionalFormatting>
  <conditionalFormatting sqref="M2469">
    <cfRule type="expression" dxfId="13635" priority="63004">
      <formula>$H2469="CÉLULA CONSTRUTIVA"</formula>
    </cfRule>
    <cfRule type="expression" dxfId="13634" priority="63005">
      <formula>$H2469="ETAPA"</formula>
    </cfRule>
    <cfRule type="expression" dxfId="13633" priority="63006">
      <formula>$H2469="SUBETAPA"</formula>
    </cfRule>
    <cfRule type="expression" dxfId="13632" priority="63007">
      <formula>$H2469="CÉLULA CONSTRUTIVA"</formula>
    </cfRule>
    <cfRule type="expression" dxfId="13631" priority="63008">
      <formula>$H2469="ETAPA"</formula>
    </cfRule>
  </conditionalFormatting>
  <conditionalFormatting sqref="M2470">
    <cfRule type="expression" dxfId="13630" priority="62977">
      <formula>$H2470="CÉLULA CONSTRUTIVA"</formula>
    </cfRule>
    <cfRule type="expression" dxfId="13629" priority="62978">
      <formula>$H2470="ETAPA"</formula>
    </cfRule>
    <cfRule type="expression" dxfId="13628" priority="62979">
      <formula>$H2470="CÉLULA CONSTRUTIVA"</formula>
    </cfRule>
    <cfRule type="expression" dxfId="13627" priority="62980">
      <formula>$H2470="ETAPA"</formula>
    </cfRule>
    <cfRule type="expression" dxfId="13626" priority="62981">
      <formula>$H2470="SUBETAPA"</formula>
    </cfRule>
  </conditionalFormatting>
  <conditionalFormatting sqref="M2472">
    <cfRule type="expression" dxfId="13625" priority="63205">
      <formula>$H2472="CÉLULA CONSTRUTIVA"</formula>
    </cfRule>
    <cfRule type="expression" dxfId="13624" priority="63206">
      <formula>$H2472="ETAPA"</formula>
    </cfRule>
    <cfRule type="expression" dxfId="13623" priority="63207">
      <formula>$H2472="SUBETAPA"</formula>
    </cfRule>
    <cfRule type="expression" dxfId="13622" priority="63208">
      <formula>$H2472="CÉLULA CONSTRUTIVA"</formula>
    </cfRule>
    <cfRule type="expression" dxfId="13621" priority="63209">
      <formula>$H2472="ETAPA"</formula>
    </cfRule>
  </conditionalFormatting>
  <conditionalFormatting sqref="M2474:M2477">
    <cfRule type="expression" dxfId="13620" priority="63088">
      <formula>$H2474="ETAPA"</formula>
    </cfRule>
  </conditionalFormatting>
  <conditionalFormatting sqref="M2477">
    <cfRule type="expression" dxfId="13619" priority="63083">
      <formula>$H2477="ETAPA"</formula>
    </cfRule>
    <cfRule type="expression" dxfId="13618" priority="63084">
      <formula>$H2477="CÉLULA CONSTRUTIVA"</formula>
    </cfRule>
    <cfRule type="expression" dxfId="13617" priority="63085">
      <formula>$H2477="ETAPA"</formula>
    </cfRule>
    <cfRule type="expression" dxfId="13616" priority="63086">
      <formula>$H2477="SUBETAPA"</formula>
    </cfRule>
    <cfRule type="expression" dxfId="13615" priority="63087">
      <formula>$H2477="CÉLULA CONSTRUTIVA"</formula>
    </cfRule>
  </conditionalFormatting>
  <conditionalFormatting sqref="M2478">
    <cfRule type="expression" dxfId="13614" priority="63096">
      <formula>$H2478="ETAPA"</formula>
    </cfRule>
    <cfRule type="expression" dxfId="13613" priority="63097">
      <formula>$H2478="CÉLULA CONSTRUTIVA"</formula>
    </cfRule>
    <cfRule type="expression" dxfId="13612" priority="63098">
      <formula>$H2478="ETAPA"</formula>
    </cfRule>
    <cfRule type="expression" dxfId="13611" priority="63099">
      <formula>$H2478="SUBETAPA"</formula>
    </cfRule>
    <cfRule type="expression" dxfId="13610" priority="63100">
      <formula>$H2478="CÉLULA CONSTRUTIVA"</formula>
    </cfRule>
    <cfRule type="expression" dxfId="13609" priority="63101">
      <formula>$H2478="ETAPA"</formula>
    </cfRule>
  </conditionalFormatting>
  <conditionalFormatting sqref="M2483">
    <cfRule type="expression" dxfId="13608" priority="63395">
      <formula>$H2483="CÉLULA CONSTRUTIVA"</formula>
    </cfRule>
    <cfRule type="expression" dxfId="13607" priority="63396">
      <formula>$H2483="ETAPA"</formula>
    </cfRule>
    <cfRule type="expression" dxfId="13606" priority="63397">
      <formula>$H2483="SUBETAPA"</formula>
    </cfRule>
    <cfRule type="expression" dxfId="13605" priority="63398">
      <formula>$H2483="CÉLULA CONSTRUTIVA"</formula>
    </cfRule>
  </conditionalFormatting>
  <conditionalFormatting sqref="M2485:M2486 O2485:O2486">
    <cfRule type="expression" dxfId="13604" priority="63353">
      <formula>$H2485="CÉLULA CONSTRUTIVA"</formula>
    </cfRule>
  </conditionalFormatting>
  <conditionalFormatting sqref="M2485:M2486">
    <cfRule type="expression" dxfId="13603" priority="63357">
      <formula>$H2485="CÉLULA CONSTRUTIVA"</formula>
    </cfRule>
    <cfRule type="expression" dxfId="13602" priority="63358">
      <formula>$H2485="ETAPA"</formula>
    </cfRule>
    <cfRule type="expression" dxfId="13601" priority="63359">
      <formula>$H2485="SUBETAPA"</formula>
    </cfRule>
    <cfRule type="expression" dxfId="13600" priority="63360">
      <formula>$H2485="CÉLULA CONSTRUTIVA"</formula>
    </cfRule>
    <cfRule type="expression" dxfId="13599" priority="63361">
      <formula>$H2485="ETAPA"</formula>
    </cfRule>
  </conditionalFormatting>
  <conditionalFormatting sqref="M2489">
    <cfRule type="expression" dxfId="13598" priority="6839">
      <formula>$H2489="CÉLULA CONSTRUTIVA"</formula>
    </cfRule>
  </conditionalFormatting>
  <conditionalFormatting sqref="M2490 O2490">
    <cfRule type="expression" dxfId="13597" priority="63368">
      <formula>$H2490="ETAPA"</formula>
    </cfRule>
  </conditionalFormatting>
  <conditionalFormatting sqref="M2490">
    <cfRule type="expression" dxfId="13596" priority="63369">
      <formula>$H2490="CÉLULA CONSTRUTIVA"</formula>
    </cfRule>
    <cfRule type="expression" dxfId="13595" priority="63370">
      <formula>$H2490="ETAPA"</formula>
    </cfRule>
    <cfRule type="expression" dxfId="13594" priority="63371">
      <formula>$H2490="SUBETAPA"</formula>
    </cfRule>
    <cfRule type="expression" dxfId="13593" priority="63372">
      <formula>$H2490="CÉLULA CONSTRUTIVA"</formula>
    </cfRule>
    <cfRule type="expression" dxfId="13592" priority="63373">
      <formula>$H2490="ETAPA"</formula>
    </cfRule>
  </conditionalFormatting>
  <conditionalFormatting sqref="M2490:M2491">
    <cfRule type="expression" dxfId="13591" priority="63366">
      <formula>$H2490="CÉLULA CONSTRUTIVA"</formula>
    </cfRule>
  </conditionalFormatting>
  <conditionalFormatting sqref="M2491:M2492 O2491:O2492">
    <cfRule type="expression" dxfId="13590" priority="63409">
      <formula>$H2491="SUBETAPA"</formula>
    </cfRule>
    <cfRule type="expression" dxfId="13589" priority="63410">
      <formula>$H2491="CÉLULA CONSTRUTIVA"</formula>
    </cfRule>
  </conditionalFormatting>
  <conditionalFormatting sqref="M2491:M2492">
    <cfRule type="expression" dxfId="13588" priority="63407">
      <formula>$H2491="CÉLULA CONSTRUTIVA"</formula>
    </cfRule>
    <cfRule type="expression" dxfId="13587" priority="63408">
      <formula>$H2491="ETAPA"</formula>
    </cfRule>
  </conditionalFormatting>
  <conditionalFormatting sqref="M2491:M2493">
    <cfRule type="expression" dxfId="13586" priority="63411">
      <formula>$H2491="ETAPA"</formula>
    </cfRule>
  </conditionalFormatting>
  <conditionalFormatting sqref="M2494">
    <cfRule type="expression" dxfId="13585" priority="63238">
      <formula>$H2494="CÉLULA CONSTRUTIVA"</formula>
    </cfRule>
    <cfRule type="expression" dxfId="13584" priority="63239">
      <formula>$H2494="ETAPA"</formula>
    </cfRule>
    <cfRule type="expression" dxfId="13583" priority="63240">
      <formula>$H2494="CÉLULA CONSTRUTIVA"</formula>
    </cfRule>
    <cfRule type="expression" dxfId="13582" priority="63241">
      <formula>$H2494="ETAPA"</formula>
    </cfRule>
    <cfRule type="expression" dxfId="13581" priority="63242">
      <formula>$H2494="SUBETAPA"</formula>
    </cfRule>
  </conditionalFormatting>
  <conditionalFormatting sqref="M2495">
    <cfRule type="expression" dxfId="13580" priority="63243">
      <formula>$H2495="CÉLULA CONSTRUTIVA"</formula>
    </cfRule>
    <cfRule type="expression" dxfId="13579" priority="63244">
      <formula>$H2495="ETAPA"</formula>
    </cfRule>
    <cfRule type="expression" dxfId="13578" priority="63245">
      <formula>$H2495="SUBETAPA"</formula>
    </cfRule>
    <cfRule type="expression" dxfId="13577" priority="63246">
      <formula>$H2495="CÉLULA CONSTRUTIVA"</formula>
    </cfRule>
    <cfRule type="expression" dxfId="13576" priority="63247">
      <formula>$H2495="ETAPA"</formula>
    </cfRule>
  </conditionalFormatting>
  <conditionalFormatting sqref="M2496">
    <cfRule type="expression" dxfId="13575" priority="63216">
      <formula>$H2496="CÉLULA CONSTRUTIVA"</formula>
    </cfRule>
    <cfRule type="expression" dxfId="13574" priority="63217">
      <formula>$H2496="ETAPA"</formula>
    </cfRule>
    <cfRule type="expression" dxfId="13573" priority="63218">
      <formula>$H2496="CÉLULA CONSTRUTIVA"</formula>
    </cfRule>
    <cfRule type="expression" dxfId="13572" priority="63219">
      <formula>$H2496="ETAPA"</formula>
    </cfRule>
    <cfRule type="expression" dxfId="13571" priority="63220">
      <formula>$H2496="SUBETAPA"</formula>
    </cfRule>
  </conditionalFormatting>
  <conditionalFormatting sqref="M2497">
    <cfRule type="expression" dxfId="13570" priority="63227">
      <formula>$H2497="CÉLULA CONSTRUTIVA"</formula>
    </cfRule>
    <cfRule type="expression" dxfId="13569" priority="63228">
      <formula>$H2497="ETAPA"</formula>
    </cfRule>
    <cfRule type="expression" dxfId="13568" priority="63229">
      <formula>$H2497="CÉLULA CONSTRUTIVA"</formula>
    </cfRule>
    <cfRule type="expression" dxfId="13567" priority="63230">
      <formula>$H2497="ETAPA"</formula>
    </cfRule>
    <cfRule type="expression" dxfId="13566" priority="63231">
      <formula>$H2497="SUBETAPA"</formula>
    </cfRule>
  </conditionalFormatting>
  <conditionalFormatting sqref="M2499">
    <cfRule type="expression" dxfId="13565" priority="63437">
      <formula>$H2499="CÉLULA CONSTRUTIVA"</formula>
    </cfRule>
    <cfRule type="expression" dxfId="13564" priority="63438">
      <formula>$H2499="ETAPA"</formula>
    </cfRule>
    <cfRule type="expression" dxfId="13563" priority="63439">
      <formula>$H2499="CÉLULA CONSTRUTIVA"</formula>
    </cfRule>
    <cfRule type="expression" dxfId="13562" priority="63440">
      <formula>$H2499="ETAPA"</formula>
    </cfRule>
    <cfRule type="expression" dxfId="13561" priority="63441">
      <formula>$H2499="SUBETAPA"</formula>
    </cfRule>
  </conditionalFormatting>
  <conditionalFormatting sqref="M2500">
    <cfRule type="expression" dxfId="13560" priority="63444">
      <formula>$H2500="CÉLULA CONSTRUTIVA"</formula>
    </cfRule>
    <cfRule type="expression" dxfId="13559" priority="63445">
      <formula>$H2500="ETAPA"</formula>
    </cfRule>
    <cfRule type="expression" dxfId="13558" priority="63446">
      <formula>$H2500="SUBETAPA"</formula>
    </cfRule>
    <cfRule type="expression" dxfId="13557" priority="63447">
      <formula>$H2500="CÉLULA CONSTRUTIVA"</formula>
    </cfRule>
  </conditionalFormatting>
  <conditionalFormatting sqref="M2500:M2501">
    <cfRule type="expression" dxfId="13556" priority="63448">
      <formula>$H2500="ETAPA"</formula>
    </cfRule>
  </conditionalFormatting>
  <conditionalFormatting sqref="M2502:M2505">
    <cfRule type="expression" dxfId="13555" priority="63419">
      <formula>$H2502="ETAPA"</formula>
    </cfRule>
    <cfRule type="expression" dxfId="13554" priority="63420">
      <formula>$H2502="CÉLULA CONSTRUTIVA"</formula>
    </cfRule>
    <cfRule type="expression" dxfId="13553" priority="63421">
      <formula>$H2502="ETAPA"</formula>
    </cfRule>
    <cfRule type="expression" dxfId="13552" priority="63422">
      <formula>$H2502="SUBETAPA"</formula>
    </cfRule>
    <cfRule type="expression" dxfId="13551" priority="63423">
      <formula>$H2502="CÉLULA CONSTRUTIVA"</formula>
    </cfRule>
    <cfRule type="expression" dxfId="13550" priority="63424">
      <formula>$H2502="ETAPA"</formula>
    </cfRule>
  </conditionalFormatting>
  <conditionalFormatting sqref="M2506">
    <cfRule type="expression" dxfId="13549" priority="63322">
      <formula>$H2506="ETAPA"</formula>
    </cfRule>
    <cfRule type="expression" dxfId="13548" priority="63323">
      <formula>$H2506="CÉLULA CONSTRUTIVA"</formula>
    </cfRule>
    <cfRule type="expression" dxfId="13547" priority="63324">
      <formula>$H2506="ETAPA"</formula>
    </cfRule>
    <cfRule type="expression" dxfId="13546" priority="63325">
      <formula>$H2506="SUBETAPA"</formula>
    </cfRule>
    <cfRule type="expression" dxfId="13545" priority="63326">
      <formula>$H2506="CÉLULA CONSTRUTIVA"</formula>
    </cfRule>
    <cfRule type="expression" dxfId="13544" priority="63327">
      <formula>$H2506="ETAPA"</formula>
    </cfRule>
  </conditionalFormatting>
  <conditionalFormatting sqref="M2507">
    <cfRule type="expression" dxfId="13543" priority="63335">
      <formula>$H2507="ETAPA"</formula>
    </cfRule>
    <cfRule type="expression" dxfId="13542" priority="63336">
      <formula>$H2507="CÉLULA CONSTRUTIVA"</formula>
    </cfRule>
    <cfRule type="expression" dxfId="13541" priority="63337">
      <formula>$H2507="ETAPA"</formula>
    </cfRule>
    <cfRule type="expression" dxfId="13540" priority="63338">
      <formula>$H2507="SUBETAPA"</formula>
    </cfRule>
    <cfRule type="expression" dxfId="13539" priority="63339">
      <formula>$H2507="CÉLULA CONSTRUTIVA"</formula>
    </cfRule>
    <cfRule type="expression" dxfId="13538" priority="63340">
      <formula>$H2507="ETAPA"</formula>
    </cfRule>
  </conditionalFormatting>
  <conditionalFormatting sqref="M2512:M2513 O2512:O2513">
    <cfRule type="expression" dxfId="13537" priority="63592">
      <formula>$H2512="CÉLULA CONSTRUTIVA"</formula>
    </cfRule>
  </conditionalFormatting>
  <conditionalFormatting sqref="M2512:M2513">
    <cfRule type="expression" dxfId="13536" priority="63596">
      <formula>$H2512="CÉLULA CONSTRUTIVA"</formula>
    </cfRule>
    <cfRule type="expression" dxfId="13535" priority="63597">
      <formula>$H2512="ETAPA"</formula>
    </cfRule>
    <cfRule type="expression" dxfId="13534" priority="63598">
      <formula>$H2512="SUBETAPA"</formula>
    </cfRule>
    <cfRule type="expression" dxfId="13533" priority="63599">
      <formula>$H2512="CÉLULA CONSTRUTIVA"</formula>
    </cfRule>
    <cfRule type="expression" dxfId="13532" priority="63600">
      <formula>$H2512="ETAPA"</formula>
    </cfRule>
  </conditionalFormatting>
  <conditionalFormatting sqref="M2516">
    <cfRule type="expression" dxfId="13531" priority="6783">
      <formula>$H2516="CÉLULA CONSTRUTIVA"</formula>
    </cfRule>
  </conditionalFormatting>
  <conditionalFormatting sqref="M2517 O2517">
    <cfRule type="expression" dxfId="13530" priority="63648">
      <formula>$H2517="SUBETAPA"</formula>
    </cfRule>
    <cfRule type="expression" dxfId="13529" priority="63649">
      <formula>$H2517="CÉLULA CONSTRUTIVA"</formula>
    </cfRule>
  </conditionalFormatting>
  <conditionalFormatting sqref="M2517">
    <cfRule type="expression" dxfId="13528" priority="63646">
      <formula>$H2517="CÉLULA CONSTRUTIVA"</formula>
    </cfRule>
    <cfRule type="expression" dxfId="13527" priority="63647">
      <formula>$H2517="ETAPA"</formula>
    </cfRule>
  </conditionalFormatting>
  <conditionalFormatting sqref="M2517:M2518">
    <cfRule type="expression" dxfId="13526" priority="63650">
      <formula>$H2517="ETAPA"</formula>
    </cfRule>
  </conditionalFormatting>
  <conditionalFormatting sqref="M2519">
    <cfRule type="expression" dxfId="13525" priority="63477">
      <formula>$H2519="CÉLULA CONSTRUTIVA"</formula>
    </cfRule>
    <cfRule type="expression" dxfId="13524" priority="63478">
      <formula>$H2519="ETAPA"</formula>
    </cfRule>
    <cfRule type="expression" dxfId="13523" priority="63479">
      <formula>$H2519="CÉLULA CONSTRUTIVA"</formula>
    </cfRule>
    <cfRule type="expression" dxfId="13522" priority="63480">
      <formula>$H2519="ETAPA"</formula>
    </cfRule>
    <cfRule type="expression" dxfId="13521" priority="63481">
      <formula>$H2519="SUBETAPA"</formula>
    </cfRule>
  </conditionalFormatting>
  <conditionalFormatting sqref="M2520">
    <cfRule type="expression" dxfId="13520" priority="63482">
      <formula>$H2520="CÉLULA CONSTRUTIVA"</formula>
    </cfRule>
    <cfRule type="expression" dxfId="13519" priority="63483">
      <formula>$H2520="ETAPA"</formula>
    </cfRule>
    <cfRule type="expression" dxfId="13518" priority="63484">
      <formula>$H2520="SUBETAPA"</formula>
    </cfRule>
    <cfRule type="expression" dxfId="13517" priority="63485">
      <formula>$H2520="CÉLULA CONSTRUTIVA"</formula>
    </cfRule>
    <cfRule type="expression" dxfId="13516" priority="63486">
      <formula>$H2520="ETAPA"</formula>
    </cfRule>
  </conditionalFormatting>
  <conditionalFormatting sqref="M2521">
    <cfRule type="expression" dxfId="13515" priority="63455">
      <formula>$H2521="CÉLULA CONSTRUTIVA"</formula>
    </cfRule>
    <cfRule type="expression" dxfId="13514" priority="63456">
      <formula>$H2521="ETAPA"</formula>
    </cfRule>
    <cfRule type="expression" dxfId="13513" priority="63457">
      <formula>$H2521="CÉLULA CONSTRUTIVA"</formula>
    </cfRule>
    <cfRule type="expression" dxfId="13512" priority="63458">
      <formula>$H2521="ETAPA"</formula>
    </cfRule>
    <cfRule type="expression" dxfId="13511" priority="63459">
      <formula>$H2521="SUBETAPA"</formula>
    </cfRule>
  </conditionalFormatting>
  <conditionalFormatting sqref="M2522">
    <cfRule type="expression" dxfId="13510" priority="63466">
      <formula>$H2522="CÉLULA CONSTRUTIVA"</formula>
    </cfRule>
    <cfRule type="expression" dxfId="13509" priority="63467">
      <formula>$H2522="ETAPA"</formula>
    </cfRule>
    <cfRule type="expression" dxfId="13508" priority="63468">
      <formula>$H2522="CÉLULA CONSTRUTIVA"</formula>
    </cfRule>
    <cfRule type="expression" dxfId="13507" priority="63469">
      <formula>$H2522="ETAPA"</formula>
    </cfRule>
    <cfRule type="expression" dxfId="13506" priority="63470">
      <formula>$H2522="SUBETAPA"</formula>
    </cfRule>
  </conditionalFormatting>
  <conditionalFormatting sqref="M2524">
    <cfRule type="expression" dxfId="13505" priority="63683">
      <formula>$H2524="CÉLULA CONSTRUTIVA"</formula>
    </cfRule>
    <cfRule type="expression" dxfId="13504" priority="63684">
      <formula>$H2524="ETAPA"</formula>
    </cfRule>
    <cfRule type="expression" dxfId="13503" priority="63685">
      <formula>$H2524="SUBETAPA"</formula>
    </cfRule>
    <cfRule type="expression" dxfId="13502" priority="63686">
      <formula>$H2524="CÉLULA CONSTRUTIVA"</formula>
    </cfRule>
    <cfRule type="expression" dxfId="13501" priority="63687">
      <formula>$H2524="ETAPA"</formula>
    </cfRule>
  </conditionalFormatting>
  <conditionalFormatting sqref="M2526:M2529">
    <cfRule type="expression" dxfId="13500" priority="63579">
      <formula>$H2526="ETAPA"</formula>
    </cfRule>
  </conditionalFormatting>
  <conditionalFormatting sqref="M2529">
    <cfRule type="expression" dxfId="13499" priority="63574">
      <formula>$H2529="ETAPA"</formula>
    </cfRule>
    <cfRule type="expression" dxfId="13498" priority="63575">
      <formula>$H2529="CÉLULA CONSTRUTIVA"</formula>
    </cfRule>
    <cfRule type="expression" dxfId="13497" priority="63576">
      <formula>$H2529="ETAPA"</formula>
    </cfRule>
    <cfRule type="expression" dxfId="13496" priority="63577">
      <formula>$H2529="SUBETAPA"</formula>
    </cfRule>
    <cfRule type="expression" dxfId="13495" priority="63578">
      <formula>$H2529="CÉLULA CONSTRUTIVA"</formula>
    </cfRule>
  </conditionalFormatting>
  <conditionalFormatting sqref="M2530:M2531 M2508:M2509 M2479:M2480 M2455:M2456 M2432:M2433 M2409:M2410 M2358:M2359 M1800:M1801">
    <cfRule type="expression" dxfId="13494" priority="78852">
      <formula>$H1800="ETAPA"</formula>
    </cfRule>
  </conditionalFormatting>
  <conditionalFormatting sqref="M2534:M2535 O2534:O2535">
    <cfRule type="expression" dxfId="13493" priority="63831">
      <formula>$H2534="CÉLULA CONSTRUTIVA"</formula>
    </cfRule>
  </conditionalFormatting>
  <conditionalFormatting sqref="M2534:M2535">
    <cfRule type="expression" dxfId="13492" priority="63835">
      <formula>$H2534="CÉLULA CONSTRUTIVA"</formula>
    </cfRule>
    <cfRule type="expression" dxfId="13491" priority="63836">
      <formula>$H2534="ETAPA"</formula>
    </cfRule>
    <cfRule type="expression" dxfId="13490" priority="63837">
      <formula>$H2534="SUBETAPA"</formula>
    </cfRule>
    <cfRule type="expression" dxfId="13489" priority="63838">
      <formula>$H2534="CÉLULA CONSTRUTIVA"</formula>
    </cfRule>
    <cfRule type="expression" dxfId="13488" priority="63839">
      <formula>$H2534="ETAPA"</formula>
    </cfRule>
  </conditionalFormatting>
  <conditionalFormatting sqref="M2537">
    <cfRule type="expression" dxfId="13487" priority="6704">
      <formula>$H2537="CÉLULA CONSTRUTIVA"</formula>
    </cfRule>
  </conditionalFormatting>
  <conditionalFormatting sqref="M2538:M2539">
    <cfRule type="expression" dxfId="13486" priority="63719">
      <formula>$H2538="ETAPA"</formula>
    </cfRule>
  </conditionalFormatting>
  <conditionalFormatting sqref="M2539">
    <cfRule type="expression" dxfId="13485" priority="63716">
      <formula>$H2539="CÉLULA CONSTRUTIVA"</formula>
    </cfRule>
    <cfRule type="expression" dxfId="13484" priority="63717">
      <formula>$H2539="ETAPA"</formula>
    </cfRule>
    <cfRule type="expression" dxfId="13483" priority="63718">
      <formula>$H2539="CÉLULA CONSTRUTIVA"</formula>
    </cfRule>
    <cfRule type="expression" dxfId="13482" priority="63720">
      <formula>$H2539="SUBETAPA"</formula>
    </cfRule>
  </conditionalFormatting>
  <conditionalFormatting sqref="M2540">
    <cfRule type="expression" dxfId="13481" priority="63721">
      <formula>$H2540="CÉLULA CONSTRUTIVA"</formula>
    </cfRule>
    <cfRule type="expression" dxfId="13480" priority="63722">
      <formula>$H2540="ETAPA"</formula>
    </cfRule>
    <cfRule type="expression" dxfId="13479" priority="63723">
      <formula>$H2540="SUBETAPA"</formula>
    </cfRule>
    <cfRule type="expression" dxfId="13478" priority="63724">
      <formula>$H2540="CÉLULA CONSTRUTIVA"</formula>
    </cfRule>
    <cfRule type="expression" dxfId="13477" priority="63725">
      <formula>$H2540="ETAPA"</formula>
    </cfRule>
  </conditionalFormatting>
  <conditionalFormatting sqref="M2541">
    <cfRule type="expression" dxfId="13476" priority="63694">
      <formula>$H2541="CÉLULA CONSTRUTIVA"</formula>
    </cfRule>
    <cfRule type="expression" dxfId="13475" priority="63695">
      <formula>$H2541="ETAPA"</formula>
    </cfRule>
    <cfRule type="expression" dxfId="13474" priority="63696">
      <formula>$H2541="CÉLULA CONSTRUTIVA"</formula>
    </cfRule>
    <cfRule type="expression" dxfId="13473" priority="63697">
      <formula>$H2541="ETAPA"</formula>
    </cfRule>
    <cfRule type="expression" dxfId="13472" priority="63698">
      <formula>$H2541="SUBETAPA"</formula>
    </cfRule>
  </conditionalFormatting>
  <conditionalFormatting sqref="M2544">
    <cfRule type="expression" dxfId="13471" priority="6677">
      <formula>$H2544="CÉLULA CONSTRUTIVA"</formula>
    </cfRule>
    <cfRule type="expression" dxfId="13470" priority="6678">
      <formula>$H2544="ETAPA"</formula>
    </cfRule>
    <cfRule type="expression" dxfId="13469" priority="6679">
      <formula>$H2544="CÉLULA CONSTRUTIVA"</formula>
    </cfRule>
    <cfRule type="expression" dxfId="13468" priority="6680">
      <formula>$H2544="ETAPA"</formula>
    </cfRule>
    <cfRule type="expression" dxfId="13467" priority="6681">
      <formula>$H2544="SUBETAPA"</formula>
    </cfRule>
    <cfRule type="expression" dxfId="13466" priority="6682">
      <formula>$H2544="CÉLULA CONSTRUTIVA"</formula>
    </cfRule>
    <cfRule type="expression" dxfId="13465" priority="6683">
      <formula>$H2544="ETAPA"</formula>
    </cfRule>
  </conditionalFormatting>
  <conditionalFormatting sqref="M2545:M2547">
    <cfRule type="expression" dxfId="13464" priority="63818">
      <formula>$H2545="ETAPA"</formula>
    </cfRule>
  </conditionalFormatting>
  <conditionalFormatting sqref="M2546">
    <cfRule type="expression" dxfId="13463" priority="63813">
      <formula>$H2546="ETAPA"</formula>
    </cfRule>
    <cfRule type="expression" dxfId="13462" priority="63814">
      <formula>$H2546="CÉLULA CONSTRUTIVA"</formula>
    </cfRule>
    <cfRule type="expression" dxfId="13461" priority="63815">
      <formula>$H2546="ETAPA"</formula>
    </cfRule>
    <cfRule type="expression" dxfId="13460" priority="63816">
      <formula>$H2546="SUBETAPA"</formula>
    </cfRule>
    <cfRule type="expression" dxfId="13459" priority="63817">
      <formula>$H2546="CÉLULA CONSTRUTIVA"</formula>
    </cfRule>
  </conditionalFormatting>
  <conditionalFormatting sqref="M2550:M2551 O2550:O2551">
    <cfRule type="expression" dxfId="13458" priority="64070">
      <formula>$H2550="CÉLULA CONSTRUTIVA"</formula>
    </cfRule>
  </conditionalFormatting>
  <conditionalFormatting sqref="M2550:M2551">
    <cfRule type="expression" dxfId="13457" priority="64074">
      <formula>$H2550="CÉLULA CONSTRUTIVA"</formula>
    </cfRule>
    <cfRule type="expression" dxfId="13456" priority="64075">
      <formula>$H2550="ETAPA"</formula>
    </cfRule>
    <cfRule type="expression" dxfId="13455" priority="64076">
      <formula>$H2550="SUBETAPA"</formula>
    </cfRule>
    <cfRule type="expression" dxfId="13454" priority="64077">
      <formula>$H2550="CÉLULA CONSTRUTIVA"</formula>
    </cfRule>
    <cfRule type="expression" dxfId="13453" priority="64078">
      <formula>$H2550="ETAPA"</formula>
    </cfRule>
  </conditionalFormatting>
  <conditionalFormatting sqref="M2553">
    <cfRule type="expression" dxfId="13452" priority="6646">
      <formula>$H2553="CÉLULA CONSTRUTIVA"</formula>
    </cfRule>
  </conditionalFormatting>
  <conditionalFormatting sqref="M2554:M2555">
    <cfRule type="expression" dxfId="13451" priority="63958">
      <formula>$H2554="ETAPA"</formula>
    </cfRule>
  </conditionalFormatting>
  <conditionalFormatting sqref="M2555">
    <cfRule type="expression" dxfId="13450" priority="63955">
      <formula>$H2555="CÉLULA CONSTRUTIVA"</formula>
    </cfRule>
    <cfRule type="expression" dxfId="13449" priority="63956">
      <formula>$H2555="ETAPA"</formula>
    </cfRule>
    <cfRule type="expression" dxfId="13448" priority="63957">
      <formula>$H2555="CÉLULA CONSTRUTIVA"</formula>
    </cfRule>
    <cfRule type="expression" dxfId="13447" priority="63959">
      <formula>$H2555="SUBETAPA"</formula>
    </cfRule>
  </conditionalFormatting>
  <conditionalFormatting sqref="M2556">
    <cfRule type="expression" dxfId="13446" priority="63960">
      <formula>$H2556="CÉLULA CONSTRUTIVA"</formula>
    </cfRule>
    <cfRule type="expression" dxfId="13445" priority="63961">
      <formula>$H2556="ETAPA"</formula>
    </cfRule>
    <cfRule type="expression" dxfId="13444" priority="63962">
      <formula>$H2556="SUBETAPA"</formula>
    </cfRule>
    <cfRule type="expression" dxfId="13443" priority="63963">
      <formula>$H2556="CÉLULA CONSTRUTIVA"</formula>
    </cfRule>
    <cfRule type="expression" dxfId="13442" priority="63964">
      <formula>$H2556="ETAPA"</formula>
    </cfRule>
  </conditionalFormatting>
  <conditionalFormatting sqref="M2557">
    <cfRule type="expression" dxfId="13441" priority="63933">
      <formula>$H2557="CÉLULA CONSTRUTIVA"</formula>
    </cfRule>
    <cfRule type="expression" dxfId="13440" priority="63934">
      <formula>$H2557="ETAPA"</formula>
    </cfRule>
    <cfRule type="expression" dxfId="13439" priority="63935">
      <formula>$H2557="CÉLULA CONSTRUTIVA"</formula>
    </cfRule>
    <cfRule type="expression" dxfId="13438" priority="63936">
      <formula>$H2557="ETAPA"</formula>
    </cfRule>
    <cfRule type="expression" dxfId="13437" priority="63937">
      <formula>$H2557="SUBETAPA"</formula>
    </cfRule>
  </conditionalFormatting>
  <conditionalFormatting sqref="M2560">
    <cfRule type="expression" dxfId="13436" priority="6619">
      <formula>$H2560="CÉLULA CONSTRUTIVA"</formula>
    </cfRule>
    <cfRule type="expression" dxfId="13435" priority="6620">
      <formula>$H2560="ETAPA"</formula>
    </cfRule>
    <cfRule type="expression" dxfId="13434" priority="6621">
      <formula>$H2560="CÉLULA CONSTRUTIVA"</formula>
    </cfRule>
    <cfRule type="expression" dxfId="13433" priority="6622">
      <formula>$H2560="ETAPA"</formula>
    </cfRule>
    <cfRule type="expression" dxfId="13432" priority="6623">
      <formula>$H2560="SUBETAPA"</formula>
    </cfRule>
    <cfRule type="expression" dxfId="13431" priority="6624">
      <formula>$H2560="CÉLULA CONSTRUTIVA"</formula>
    </cfRule>
    <cfRule type="expression" dxfId="13430" priority="6625">
      <formula>$H2560="ETAPA"</formula>
    </cfRule>
  </conditionalFormatting>
  <conditionalFormatting sqref="M2561:M2563">
    <cfRule type="expression" dxfId="13429" priority="64057">
      <formula>$H2561="ETAPA"</formula>
    </cfRule>
  </conditionalFormatting>
  <conditionalFormatting sqref="M2562">
    <cfRule type="expression" dxfId="13428" priority="64052">
      <formula>$H2562="ETAPA"</formula>
    </cfRule>
    <cfRule type="expression" dxfId="13427" priority="64053">
      <formula>$H2562="CÉLULA CONSTRUTIVA"</formula>
    </cfRule>
    <cfRule type="expression" dxfId="13426" priority="64054">
      <formula>$H2562="ETAPA"</formula>
    </cfRule>
    <cfRule type="expression" dxfId="13425" priority="64055">
      <formula>$H2562="SUBETAPA"</formula>
    </cfRule>
    <cfRule type="expression" dxfId="13424" priority="64056">
      <formula>$H2562="CÉLULA CONSTRUTIVA"</formula>
    </cfRule>
  </conditionalFormatting>
  <conditionalFormatting sqref="M2566:M2567 O2566:O2567">
    <cfRule type="expression" dxfId="13423" priority="64309">
      <formula>$H2566="CÉLULA CONSTRUTIVA"</formula>
    </cfRule>
  </conditionalFormatting>
  <conditionalFormatting sqref="M2566:M2567">
    <cfRule type="expression" dxfId="13422" priority="64313">
      <formula>$H2566="CÉLULA CONSTRUTIVA"</formula>
    </cfRule>
    <cfRule type="expression" dxfId="13421" priority="64314">
      <formula>$H2566="ETAPA"</formula>
    </cfRule>
    <cfRule type="expression" dxfId="13420" priority="64315">
      <formula>$H2566="SUBETAPA"</formula>
    </cfRule>
    <cfRule type="expression" dxfId="13419" priority="64316">
      <formula>$H2566="CÉLULA CONSTRUTIVA"</formula>
    </cfRule>
    <cfRule type="expression" dxfId="13418" priority="64317">
      <formula>$H2566="ETAPA"</formula>
    </cfRule>
  </conditionalFormatting>
  <conditionalFormatting sqref="M2569">
    <cfRule type="expression" dxfId="13417" priority="6588">
      <formula>$H2569="CÉLULA CONSTRUTIVA"</formula>
    </cfRule>
  </conditionalFormatting>
  <conditionalFormatting sqref="M2570:M2571">
    <cfRule type="expression" dxfId="13416" priority="64197">
      <formula>$H2570="ETAPA"</formula>
    </cfRule>
  </conditionalFormatting>
  <conditionalFormatting sqref="M2571">
    <cfRule type="expression" dxfId="13415" priority="64194">
      <formula>$H2571="CÉLULA CONSTRUTIVA"</formula>
    </cfRule>
    <cfRule type="expression" dxfId="13414" priority="64195">
      <formula>$H2571="ETAPA"</formula>
    </cfRule>
    <cfRule type="expression" dxfId="13413" priority="64196">
      <formula>$H2571="CÉLULA CONSTRUTIVA"</formula>
    </cfRule>
    <cfRule type="expression" dxfId="13412" priority="64198">
      <formula>$H2571="SUBETAPA"</formula>
    </cfRule>
  </conditionalFormatting>
  <conditionalFormatting sqref="M2572">
    <cfRule type="expression" dxfId="13411" priority="64199">
      <formula>$H2572="CÉLULA CONSTRUTIVA"</formula>
    </cfRule>
    <cfRule type="expression" dxfId="13410" priority="64200">
      <formula>$H2572="ETAPA"</formula>
    </cfRule>
    <cfRule type="expression" dxfId="13409" priority="64201">
      <formula>$H2572="SUBETAPA"</formula>
    </cfRule>
    <cfRule type="expression" dxfId="13408" priority="64202">
      <formula>$H2572="CÉLULA CONSTRUTIVA"</formula>
    </cfRule>
    <cfRule type="expression" dxfId="13407" priority="64203">
      <formula>$H2572="ETAPA"</formula>
    </cfRule>
  </conditionalFormatting>
  <conditionalFormatting sqref="M2573">
    <cfRule type="expression" dxfId="13406" priority="64172">
      <formula>$H2573="CÉLULA CONSTRUTIVA"</formula>
    </cfRule>
    <cfRule type="expression" dxfId="13405" priority="64173">
      <formula>$H2573="ETAPA"</formula>
    </cfRule>
    <cfRule type="expression" dxfId="13404" priority="64174">
      <formula>$H2573="CÉLULA CONSTRUTIVA"</formula>
    </cfRule>
    <cfRule type="expression" dxfId="13403" priority="64175">
      <formula>$H2573="ETAPA"</formula>
    </cfRule>
    <cfRule type="expression" dxfId="13402" priority="64176">
      <formula>$H2573="SUBETAPA"</formula>
    </cfRule>
  </conditionalFormatting>
  <conditionalFormatting sqref="M2576">
    <cfRule type="expression" dxfId="13401" priority="6561">
      <formula>$H2576="CÉLULA CONSTRUTIVA"</formula>
    </cfRule>
    <cfRule type="expression" dxfId="13400" priority="6562">
      <formula>$H2576="ETAPA"</formula>
    </cfRule>
    <cfRule type="expression" dxfId="13399" priority="6563">
      <formula>$H2576="CÉLULA CONSTRUTIVA"</formula>
    </cfRule>
    <cfRule type="expression" dxfId="13398" priority="6564">
      <formula>$H2576="ETAPA"</formula>
    </cfRule>
    <cfRule type="expression" dxfId="13397" priority="6565">
      <formula>$H2576="SUBETAPA"</formula>
    </cfRule>
    <cfRule type="expression" dxfId="13396" priority="6566">
      <formula>$H2576="CÉLULA CONSTRUTIVA"</formula>
    </cfRule>
    <cfRule type="expression" dxfId="13395" priority="6567">
      <formula>$H2576="ETAPA"</formula>
    </cfRule>
  </conditionalFormatting>
  <conditionalFormatting sqref="M2577:M2579">
    <cfRule type="expression" dxfId="13394" priority="64296">
      <formula>$H2577="ETAPA"</formula>
    </cfRule>
  </conditionalFormatting>
  <conditionalFormatting sqref="M2578">
    <cfRule type="expression" dxfId="13393" priority="64291">
      <formula>$H2578="ETAPA"</formula>
    </cfRule>
    <cfRule type="expression" dxfId="13392" priority="64292">
      <formula>$H2578="CÉLULA CONSTRUTIVA"</formula>
    </cfRule>
    <cfRule type="expression" dxfId="13391" priority="64293">
      <formula>$H2578="ETAPA"</formula>
    </cfRule>
    <cfRule type="expression" dxfId="13390" priority="64294">
      <formula>$H2578="SUBETAPA"</formula>
    </cfRule>
    <cfRule type="expression" dxfId="13389" priority="64295">
      <formula>$H2578="CÉLULA CONSTRUTIVA"</formula>
    </cfRule>
  </conditionalFormatting>
  <conditionalFormatting sqref="M2582:M2583 O2582:O2583">
    <cfRule type="expression" dxfId="13388" priority="64548">
      <formula>$H2582="CÉLULA CONSTRUTIVA"</formula>
    </cfRule>
  </conditionalFormatting>
  <conditionalFormatting sqref="M2582:M2583">
    <cfRule type="expression" dxfId="13387" priority="64552">
      <formula>$H2582="CÉLULA CONSTRUTIVA"</formula>
    </cfRule>
    <cfRule type="expression" dxfId="13386" priority="64553">
      <formula>$H2582="ETAPA"</formula>
    </cfRule>
    <cfRule type="expression" dxfId="13385" priority="64554">
      <formula>$H2582="SUBETAPA"</formula>
    </cfRule>
    <cfRule type="expression" dxfId="13384" priority="64555">
      <formula>$H2582="CÉLULA CONSTRUTIVA"</formula>
    </cfRule>
    <cfRule type="expression" dxfId="13383" priority="64556">
      <formula>$H2582="ETAPA"</formula>
    </cfRule>
  </conditionalFormatting>
  <conditionalFormatting sqref="M2585">
    <cfRule type="expression" dxfId="13382" priority="6530">
      <formula>$H2585="CÉLULA CONSTRUTIVA"</formula>
    </cfRule>
  </conditionalFormatting>
  <conditionalFormatting sqref="M2586:M2587">
    <cfRule type="expression" dxfId="13381" priority="64436">
      <formula>$H2586="ETAPA"</formula>
    </cfRule>
  </conditionalFormatting>
  <conditionalFormatting sqref="M2587">
    <cfRule type="expression" dxfId="13380" priority="64433">
      <formula>$H2587="CÉLULA CONSTRUTIVA"</formula>
    </cfRule>
    <cfRule type="expression" dxfId="13379" priority="64434">
      <formula>$H2587="ETAPA"</formula>
    </cfRule>
    <cfRule type="expression" dxfId="13378" priority="64435">
      <formula>$H2587="CÉLULA CONSTRUTIVA"</formula>
    </cfRule>
    <cfRule type="expression" dxfId="13377" priority="64437">
      <formula>$H2587="SUBETAPA"</formula>
    </cfRule>
  </conditionalFormatting>
  <conditionalFormatting sqref="M2588">
    <cfRule type="expression" dxfId="13376" priority="64438">
      <formula>$H2588="CÉLULA CONSTRUTIVA"</formula>
    </cfRule>
    <cfRule type="expression" dxfId="13375" priority="64439">
      <formula>$H2588="ETAPA"</formula>
    </cfRule>
    <cfRule type="expression" dxfId="13374" priority="64440">
      <formula>$H2588="SUBETAPA"</formula>
    </cfRule>
    <cfRule type="expression" dxfId="13373" priority="64441">
      <formula>$H2588="CÉLULA CONSTRUTIVA"</formula>
    </cfRule>
    <cfRule type="expression" dxfId="13372" priority="64442">
      <formula>$H2588="ETAPA"</formula>
    </cfRule>
  </conditionalFormatting>
  <conditionalFormatting sqref="M2589">
    <cfRule type="expression" dxfId="13371" priority="64411">
      <formula>$H2589="CÉLULA CONSTRUTIVA"</formula>
    </cfRule>
    <cfRule type="expression" dxfId="13370" priority="64412">
      <formula>$H2589="ETAPA"</formula>
    </cfRule>
    <cfRule type="expression" dxfId="13369" priority="64413">
      <formula>$H2589="CÉLULA CONSTRUTIVA"</formula>
    </cfRule>
    <cfRule type="expression" dxfId="13368" priority="64414">
      <formula>$H2589="ETAPA"</formula>
    </cfRule>
    <cfRule type="expression" dxfId="13367" priority="64415">
      <formula>$H2589="SUBETAPA"</formula>
    </cfRule>
  </conditionalFormatting>
  <conditionalFormatting sqref="M2592">
    <cfRule type="expression" dxfId="13366" priority="6503">
      <formula>$H2592="CÉLULA CONSTRUTIVA"</formula>
    </cfRule>
    <cfRule type="expression" dxfId="13365" priority="6504">
      <formula>$H2592="ETAPA"</formula>
    </cfRule>
    <cfRule type="expression" dxfId="13364" priority="6505">
      <formula>$H2592="CÉLULA CONSTRUTIVA"</formula>
    </cfRule>
    <cfRule type="expression" dxfId="13363" priority="6506">
      <formula>$H2592="ETAPA"</formula>
    </cfRule>
    <cfRule type="expression" dxfId="13362" priority="6507">
      <formula>$H2592="SUBETAPA"</formula>
    </cfRule>
    <cfRule type="expression" dxfId="13361" priority="6508">
      <formula>$H2592="CÉLULA CONSTRUTIVA"</formula>
    </cfRule>
    <cfRule type="expression" dxfId="13360" priority="6509">
      <formula>$H2592="ETAPA"</formula>
    </cfRule>
  </conditionalFormatting>
  <conditionalFormatting sqref="M2593:M2595">
    <cfRule type="expression" dxfId="13359" priority="64535">
      <formula>$H2593="ETAPA"</formula>
    </cfRule>
  </conditionalFormatting>
  <conditionalFormatting sqref="M2594">
    <cfRule type="expression" dxfId="13358" priority="64530">
      <formula>$H2594="ETAPA"</formula>
    </cfRule>
    <cfRule type="expression" dxfId="13357" priority="64531">
      <formula>$H2594="CÉLULA CONSTRUTIVA"</formula>
    </cfRule>
    <cfRule type="expression" dxfId="13356" priority="64532">
      <formula>$H2594="ETAPA"</formula>
    </cfRule>
    <cfRule type="expression" dxfId="13355" priority="64533">
      <formula>$H2594="SUBETAPA"</formula>
    </cfRule>
    <cfRule type="expression" dxfId="13354" priority="64534">
      <formula>$H2594="CÉLULA CONSTRUTIVA"</formula>
    </cfRule>
  </conditionalFormatting>
  <conditionalFormatting sqref="M2598:M2599 O2598:O2599">
    <cfRule type="expression" dxfId="13353" priority="64787">
      <formula>$H2598="CÉLULA CONSTRUTIVA"</formula>
    </cfRule>
  </conditionalFormatting>
  <conditionalFormatting sqref="M2598:M2599">
    <cfRule type="expression" dxfId="13352" priority="64791">
      <formula>$H2598="CÉLULA CONSTRUTIVA"</formula>
    </cfRule>
    <cfRule type="expression" dxfId="13351" priority="64792">
      <formula>$H2598="ETAPA"</formula>
    </cfRule>
    <cfRule type="expression" dxfId="13350" priority="64793">
      <formula>$H2598="SUBETAPA"</formula>
    </cfRule>
    <cfRule type="expression" dxfId="13349" priority="64794">
      <formula>$H2598="CÉLULA CONSTRUTIVA"</formula>
    </cfRule>
    <cfRule type="expression" dxfId="13348" priority="64795">
      <formula>$H2598="ETAPA"</formula>
    </cfRule>
  </conditionalFormatting>
  <conditionalFormatting sqref="M2601">
    <cfRule type="expression" dxfId="13347" priority="6472">
      <formula>$H2601="CÉLULA CONSTRUTIVA"</formula>
    </cfRule>
  </conditionalFormatting>
  <conditionalFormatting sqref="M2602:M2603">
    <cfRule type="expression" dxfId="13346" priority="64675">
      <formula>$H2602="ETAPA"</formula>
    </cfRule>
  </conditionalFormatting>
  <conditionalFormatting sqref="M2603">
    <cfRule type="expression" dxfId="13345" priority="64672">
      <formula>$H2603="CÉLULA CONSTRUTIVA"</formula>
    </cfRule>
    <cfRule type="expression" dxfId="13344" priority="64673">
      <formula>$H2603="ETAPA"</formula>
    </cfRule>
    <cfRule type="expression" dxfId="13343" priority="64674">
      <formula>$H2603="CÉLULA CONSTRUTIVA"</formula>
    </cfRule>
    <cfRule type="expression" dxfId="13342" priority="64676">
      <formula>$H2603="SUBETAPA"</formula>
    </cfRule>
  </conditionalFormatting>
  <conditionalFormatting sqref="M2604">
    <cfRule type="expression" dxfId="13341" priority="64677">
      <formula>$H2604="CÉLULA CONSTRUTIVA"</formula>
    </cfRule>
    <cfRule type="expression" dxfId="13340" priority="64678">
      <formula>$H2604="ETAPA"</formula>
    </cfRule>
    <cfRule type="expression" dxfId="13339" priority="64679">
      <formula>$H2604="SUBETAPA"</formula>
    </cfRule>
    <cfRule type="expression" dxfId="13338" priority="64680">
      <formula>$H2604="CÉLULA CONSTRUTIVA"</formula>
    </cfRule>
    <cfRule type="expression" dxfId="13337" priority="64681">
      <formula>$H2604="ETAPA"</formula>
    </cfRule>
  </conditionalFormatting>
  <conditionalFormatting sqref="M2605">
    <cfRule type="expression" dxfId="13336" priority="64650">
      <formula>$H2605="CÉLULA CONSTRUTIVA"</formula>
    </cfRule>
    <cfRule type="expression" dxfId="13335" priority="64651">
      <formula>$H2605="ETAPA"</formula>
    </cfRule>
    <cfRule type="expression" dxfId="13334" priority="64652">
      <formula>$H2605="CÉLULA CONSTRUTIVA"</formula>
    </cfRule>
    <cfRule type="expression" dxfId="13333" priority="64653">
      <formula>$H2605="ETAPA"</formula>
    </cfRule>
    <cfRule type="expression" dxfId="13332" priority="64654">
      <formula>$H2605="SUBETAPA"</formula>
    </cfRule>
  </conditionalFormatting>
  <conditionalFormatting sqref="M2608">
    <cfRule type="expression" dxfId="13331" priority="6445">
      <formula>$H2608="CÉLULA CONSTRUTIVA"</formula>
    </cfRule>
    <cfRule type="expression" dxfId="13330" priority="6446">
      <formula>$H2608="ETAPA"</formula>
    </cfRule>
    <cfRule type="expression" dxfId="13329" priority="6447">
      <formula>$H2608="CÉLULA CONSTRUTIVA"</formula>
    </cfRule>
    <cfRule type="expression" dxfId="13328" priority="6448">
      <formula>$H2608="ETAPA"</formula>
    </cfRule>
    <cfRule type="expression" dxfId="13327" priority="6449">
      <formula>$H2608="SUBETAPA"</formula>
    </cfRule>
    <cfRule type="expression" dxfId="13326" priority="6450">
      <formula>$H2608="CÉLULA CONSTRUTIVA"</formula>
    </cfRule>
    <cfRule type="expression" dxfId="13325" priority="6451">
      <formula>$H2608="ETAPA"</formula>
    </cfRule>
  </conditionalFormatting>
  <conditionalFormatting sqref="M2609:M2611">
    <cfRule type="expression" dxfId="13324" priority="64774">
      <formula>$H2609="ETAPA"</formula>
    </cfRule>
  </conditionalFormatting>
  <conditionalFormatting sqref="M2610">
    <cfRule type="expression" dxfId="13323" priority="64769">
      <formula>$H2610="ETAPA"</formula>
    </cfRule>
    <cfRule type="expression" dxfId="13322" priority="64770">
      <formula>$H2610="CÉLULA CONSTRUTIVA"</formula>
    </cfRule>
    <cfRule type="expression" dxfId="13321" priority="64771">
      <formula>$H2610="ETAPA"</formula>
    </cfRule>
    <cfRule type="expression" dxfId="13320" priority="64772">
      <formula>$H2610="SUBETAPA"</formula>
    </cfRule>
    <cfRule type="expression" dxfId="13319" priority="64773">
      <formula>$H2610="CÉLULA CONSTRUTIVA"</formula>
    </cfRule>
  </conditionalFormatting>
  <conditionalFormatting sqref="M2614:M2615 O2614:O2615">
    <cfRule type="expression" dxfId="13318" priority="65026">
      <formula>$H2614="CÉLULA CONSTRUTIVA"</formula>
    </cfRule>
  </conditionalFormatting>
  <conditionalFormatting sqref="M2614:M2615">
    <cfRule type="expression" dxfId="13317" priority="65030">
      <formula>$H2614="CÉLULA CONSTRUTIVA"</formula>
    </cfRule>
    <cfRule type="expression" dxfId="13316" priority="65031">
      <formula>$H2614="ETAPA"</formula>
    </cfRule>
    <cfRule type="expression" dxfId="13315" priority="65032">
      <formula>$H2614="SUBETAPA"</formula>
    </cfRule>
    <cfRule type="expression" dxfId="13314" priority="65033">
      <formula>$H2614="CÉLULA CONSTRUTIVA"</formula>
    </cfRule>
    <cfRule type="expression" dxfId="13313" priority="65034">
      <formula>$H2614="ETAPA"</formula>
    </cfRule>
  </conditionalFormatting>
  <conditionalFormatting sqref="M2617">
    <cfRule type="expression" dxfId="13312" priority="6414">
      <formula>$H2617="CÉLULA CONSTRUTIVA"</formula>
    </cfRule>
  </conditionalFormatting>
  <conditionalFormatting sqref="M2618:M2619">
    <cfRule type="expression" dxfId="13311" priority="64914">
      <formula>$H2618="ETAPA"</formula>
    </cfRule>
  </conditionalFormatting>
  <conditionalFormatting sqref="M2619">
    <cfRule type="expression" dxfId="13310" priority="64911">
      <formula>$H2619="CÉLULA CONSTRUTIVA"</formula>
    </cfRule>
    <cfRule type="expression" dxfId="13309" priority="64912">
      <formula>$H2619="ETAPA"</formula>
    </cfRule>
    <cfRule type="expression" dxfId="13308" priority="64913">
      <formula>$H2619="CÉLULA CONSTRUTIVA"</formula>
    </cfRule>
    <cfRule type="expression" dxfId="13307" priority="64915">
      <formula>$H2619="SUBETAPA"</formula>
    </cfRule>
  </conditionalFormatting>
  <conditionalFormatting sqref="M2620">
    <cfRule type="expression" dxfId="13306" priority="64916">
      <formula>$H2620="CÉLULA CONSTRUTIVA"</formula>
    </cfRule>
    <cfRule type="expression" dxfId="13305" priority="64917">
      <formula>$H2620="ETAPA"</formula>
    </cfRule>
    <cfRule type="expression" dxfId="13304" priority="64918">
      <formula>$H2620="SUBETAPA"</formula>
    </cfRule>
    <cfRule type="expression" dxfId="13303" priority="64919">
      <formula>$H2620="CÉLULA CONSTRUTIVA"</formula>
    </cfRule>
    <cfRule type="expression" dxfId="13302" priority="64920">
      <formula>$H2620="ETAPA"</formula>
    </cfRule>
  </conditionalFormatting>
  <conditionalFormatting sqref="M2621">
    <cfRule type="expression" dxfId="13301" priority="64889">
      <formula>$H2621="CÉLULA CONSTRUTIVA"</formula>
    </cfRule>
    <cfRule type="expression" dxfId="13300" priority="64890">
      <formula>$H2621="ETAPA"</formula>
    </cfRule>
    <cfRule type="expression" dxfId="13299" priority="64891">
      <formula>$H2621="CÉLULA CONSTRUTIVA"</formula>
    </cfRule>
    <cfRule type="expression" dxfId="13298" priority="64893">
      <formula>$H2621="SUBETAPA"</formula>
    </cfRule>
  </conditionalFormatting>
  <conditionalFormatting sqref="M2621:M2622">
    <cfRule type="expression" dxfId="13297" priority="64892">
      <formula>$H2621="ETAPA"</formula>
    </cfRule>
  </conditionalFormatting>
  <conditionalFormatting sqref="M2623">
    <cfRule type="expression" dxfId="13296" priority="6387">
      <formula>$H2623="CÉLULA CONSTRUTIVA"</formula>
    </cfRule>
    <cfRule type="expression" dxfId="13295" priority="6388">
      <formula>$H2623="ETAPA"</formula>
    </cfRule>
    <cfRule type="expression" dxfId="13294" priority="6389">
      <formula>$H2623="CÉLULA CONSTRUTIVA"</formula>
    </cfRule>
    <cfRule type="expression" dxfId="13293" priority="6390">
      <formula>$H2623="ETAPA"</formula>
    </cfRule>
    <cfRule type="expression" dxfId="13292" priority="6391">
      <formula>$H2623="SUBETAPA"</formula>
    </cfRule>
    <cfRule type="expression" dxfId="13291" priority="6392">
      <formula>$H2623="CÉLULA CONSTRUTIVA"</formula>
    </cfRule>
    <cfRule type="expression" dxfId="13290" priority="6393">
      <formula>$H2623="ETAPA"</formula>
    </cfRule>
  </conditionalFormatting>
  <conditionalFormatting sqref="M2624:M2625">
    <cfRule type="expression" dxfId="13289" priority="65013">
      <formula>$H2624="ETAPA"</formula>
    </cfRule>
  </conditionalFormatting>
  <conditionalFormatting sqref="M2625">
    <cfRule type="expression" dxfId="13288" priority="65008">
      <formula>$H2625="ETAPA"</formula>
    </cfRule>
    <cfRule type="expression" dxfId="13287" priority="65009">
      <formula>$H2625="CÉLULA CONSTRUTIVA"</formula>
    </cfRule>
    <cfRule type="expression" dxfId="13286" priority="65010">
      <formula>$H2625="ETAPA"</formula>
    </cfRule>
    <cfRule type="expression" dxfId="13285" priority="65011">
      <formula>$H2625="SUBETAPA"</formula>
    </cfRule>
    <cfRule type="expression" dxfId="13284" priority="65012">
      <formula>$H2625="CÉLULA CONSTRUTIVA"</formula>
    </cfRule>
  </conditionalFormatting>
  <conditionalFormatting sqref="M2629">
    <cfRule type="expression" dxfId="13283" priority="1929">
      <formula>$H2629="ETAPA"</formula>
    </cfRule>
    <cfRule type="expression" dxfId="13282" priority="1930">
      <formula>$H2629="CÉLULA CONSTRUTIVA"</formula>
    </cfRule>
    <cfRule type="expression" dxfId="13281" priority="1931">
      <formula>$H2629="ETAPA"</formula>
    </cfRule>
    <cfRule type="expression" dxfId="13280" priority="1932">
      <formula>$H2629="SUBETAPA"</formula>
    </cfRule>
  </conditionalFormatting>
  <conditionalFormatting sqref="M2629:M2630">
    <cfRule type="expression" dxfId="13279" priority="1928">
      <formula>$H2629="CÉLULA CONSTRUTIVA"</formula>
    </cfRule>
  </conditionalFormatting>
  <conditionalFormatting sqref="M2629:M2635">
    <cfRule type="expression" dxfId="13278" priority="1933">
      <formula>$H2629="ETAPA"</formula>
    </cfRule>
  </conditionalFormatting>
  <conditionalFormatting sqref="M2630 O2630">
    <cfRule type="expression" dxfId="13277" priority="1895">
      <formula>$H2630="CÉLULA CONSTRUTIVA"</formula>
    </cfRule>
  </conditionalFormatting>
  <conditionalFormatting sqref="M2630">
    <cfRule type="expression" dxfId="13276" priority="1924">
      <formula>$H2630="ETAPA"</formula>
    </cfRule>
    <cfRule type="expression" dxfId="13275" priority="1925">
      <formula>$H2630="SUBETAPA"</formula>
    </cfRule>
    <cfRule type="expression" dxfId="13274" priority="1926">
      <formula>$H2630="CÉLULA CONSTRUTIVA"</formula>
    </cfRule>
    <cfRule type="expression" dxfId="13273" priority="1927">
      <formula>$H2630="ETAPA"</formula>
    </cfRule>
  </conditionalFormatting>
  <conditionalFormatting sqref="M2631:M2635">
    <cfRule type="expression" dxfId="13272" priority="1921">
      <formula>$H2631="CÉLULA CONSTRUTIVA"</formula>
    </cfRule>
    <cfRule type="expression" dxfId="13271" priority="1922">
      <formula>$H2631="SUBETAPA"</formula>
    </cfRule>
    <cfRule type="expression" dxfId="13270" priority="1923">
      <formula>$H2631="CÉLULA CONSTRUTIVA"</formula>
    </cfRule>
    <cfRule type="expression" dxfId="13269" priority="1934">
      <formula>$H2631="ETAPA"</formula>
    </cfRule>
    <cfRule type="expression" dxfId="13268" priority="1935">
      <formula>$H2631="ETAPA"</formula>
    </cfRule>
  </conditionalFormatting>
  <conditionalFormatting sqref="M2640">
    <cfRule type="expression" dxfId="13267" priority="1997">
      <formula>$H2640="ETAPA"</formula>
    </cfRule>
    <cfRule type="expression" dxfId="13266" priority="1998">
      <formula>$H2640="CÉLULA CONSTRUTIVA"</formula>
    </cfRule>
    <cfRule type="expression" dxfId="13265" priority="1999">
      <formula>$H2640="ETAPA"</formula>
    </cfRule>
    <cfRule type="expression" dxfId="13264" priority="2000">
      <formula>$H2640="SUBETAPA"</formula>
    </cfRule>
  </conditionalFormatting>
  <conditionalFormatting sqref="M2640:M2641">
    <cfRule type="expression" dxfId="13263" priority="1996">
      <formula>$H2640="CÉLULA CONSTRUTIVA"</formula>
    </cfRule>
    <cfRule type="expression" dxfId="13262" priority="2001">
      <formula>$H2640="ETAPA"</formula>
    </cfRule>
  </conditionalFormatting>
  <conditionalFormatting sqref="M2641 O2641">
    <cfRule type="expression" dxfId="13261" priority="1963">
      <formula>$H2641="CÉLULA CONSTRUTIVA"</formula>
    </cfRule>
  </conditionalFormatting>
  <conditionalFormatting sqref="M2641">
    <cfRule type="expression" dxfId="13260" priority="1992">
      <formula>$H2641="ETAPA"</formula>
    </cfRule>
    <cfRule type="expression" dxfId="13259" priority="1993">
      <formula>$H2641="SUBETAPA"</formula>
    </cfRule>
    <cfRule type="expression" dxfId="13258" priority="1994">
      <formula>$H2641="CÉLULA CONSTRUTIVA"</formula>
    </cfRule>
    <cfRule type="expression" dxfId="13257" priority="1995">
      <formula>$H2641="ETAPA"</formula>
    </cfRule>
  </conditionalFormatting>
  <conditionalFormatting sqref="M2650">
    <cfRule type="expression" dxfId="13256" priority="2065">
      <formula>$H2650="ETAPA"</formula>
    </cfRule>
    <cfRule type="expression" dxfId="13255" priority="2066">
      <formula>$H2650="CÉLULA CONSTRUTIVA"</formula>
    </cfRule>
    <cfRule type="expression" dxfId="13254" priority="2067">
      <formula>$H2650="ETAPA"</formula>
    </cfRule>
    <cfRule type="expression" dxfId="13253" priority="2068">
      <formula>$H2650="SUBETAPA"</formula>
    </cfRule>
  </conditionalFormatting>
  <conditionalFormatting sqref="M2650:M2651">
    <cfRule type="expression" dxfId="13252" priority="2064">
      <formula>$H2650="CÉLULA CONSTRUTIVA"</formula>
    </cfRule>
    <cfRule type="expression" dxfId="13251" priority="2069">
      <formula>$H2650="ETAPA"</formula>
    </cfRule>
  </conditionalFormatting>
  <conditionalFormatting sqref="M2651 O2651">
    <cfRule type="expression" dxfId="13250" priority="2031">
      <formula>$H2651="CÉLULA CONSTRUTIVA"</formula>
    </cfRule>
  </conditionalFormatting>
  <conditionalFormatting sqref="M2651">
    <cfRule type="expression" dxfId="13249" priority="2060">
      <formula>$H2651="ETAPA"</formula>
    </cfRule>
    <cfRule type="expression" dxfId="13248" priority="2061">
      <formula>$H2651="SUBETAPA"</formula>
    </cfRule>
    <cfRule type="expression" dxfId="13247" priority="2062">
      <formula>$H2651="CÉLULA CONSTRUTIVA"</formula>
    </cfRule>
    <cfRule type="expression" dxfId="13246" priority="2063">
      <formula>$H2651="ETAPA"</formula>
    </cfRule>
  </conditionalFormatting>
  <conditionalFormatting sqref="M2659">
    <cfRule type="expression" dxfId="13245" priority="2133">
      <formula>$H2659="ETAPA"</formula>
    </cfRule>
    <cfRule type="expression" dxfId="13244" priority="2134">
      <formula>$H2659="CÉLULA CONSTRUTIVA"</formula>
    </cfRule>
    <cfRule type="expression" dxfId="13243" priority="2135">
      <formula>$H2659="ETAPA"</formula>
    </cfRule>
    <cfRule type="expression" dxfId="13242" priority="2136">
      <formula>$H2659="SUBETAPA"</formula>
    </cfRule>
  </conditionalFormatting>
  <conditionalFormatting sqref="M2659:M2660">
    <cfRule type="expression" dxfId="13241" priority="2132">
      <formula>$H2659="CÉLULA CONSTRUTIVA"</formula>
    </cfRule>
    <cfRule type="expression" dxfId="13240" priority="2137">
      <formula>$H2659="ETAPA"</formula>
    </cfRule>
  </conditionalFormatting>
  <conditionalFormatting sqref="M2660 O2660">
    <cfRule type="expression" dxfId="13239" priority="2099">
      <formula>$H2660="CÉLULA CONSTRUTIVA"</formula>
    </cfRule>
  </conditionalFormatting>
  <conditionalFormatting sqref="M2660">
    <cfRule type="expression" dxfId="13238" priority="2128">
      <formula>$H2660="ETAPA"</formula>
    </cfRule>
    <cfRule type="expression" dxfId="13237" priority="2129">
      <formula>$H2660="SUBETAPA"</formula>
    </cfRule>
    <cfRule type="expression" dxfId="13236" priority="2130">
      <formula>$H2660="CÉLULA CONSTRUTIVA"</formula>
    </cfRule>
    <cfRule type="expression" dxfId="13235" priority="2131">
      <formula>$H2660="ETAPA"</formula>
    </cfRule>
  </conditionalFormatting>
  <conditionalFormatting sqref="M2666">
    <cfRule type="expression" dxfId="13234" priority="2201">
      <formula>$H2666="ETAPA"</formula>
    </cfRule>
    <cfRule type="expression" dxfId="13233" priority="2202">
      <formula>$H2666="CÉLULA CONSTRUTIVA"</formula>
    </cfRule>
    <cfRule type="expression" dxfId="13232" priority="2203">
      <formula>$H2666="ETAPA"</formula>
    </cfRule>
    <cfRule type="expression" dxfId="13231" priority="2204">
      <formula>$H2666="SUBETAPA"</formula>
    </cfRule>
  </conditionalFormatting>
  <conditionalFormatting sqref="M2666:M2667">
    <cfRule type="expression" dxfId="13230" priority="2200">
      <formula>$H2666="CÉLULA CONSTRUTIVA"</formula>
    </cfRule>
    <cfRule type="expression" dxfId="13229" priority="2205">
      <formula>$H2666="ETAPA"</formula>
    </cfRule>
  </conditionalFormatting>
  <conditionalFormatting sqref="M2667 O2667">
    <cfRule type="expression" dxfId="13228" priority="2167">
      <formula>$H2667="CÉLULA CONSTRUTIVA"</formula>
    </cfRule>
  </conditionalFormatting>
  <conditionalFormatting sqref="M2667">
    <cfRule type="expression" dxfId="13227" priority="2196">
      <formula>$H2667="ETAPA"</formula>
    </cfRule>
    <cfRule type="expression" dxfId="13226" priority="2197">
      <formula>$H2667="SUBETAPA"</formula>
    </cfRule>
    <cfRule type="expression" dxfId="13225" priority="2198">
      <formula>$H2667="CÉLULA CONSTRUTIVA"</formula>
    </cfRule>
    <cfRule type="expression" dxfId="13224" priority="2199">
      <formula>$H2667="ETAPA"</formula>
    </cfRule>
  </conditionalFormatting>
  <conditionalFormatting sqref="M2673">
    <cfRule type="expression" dxfId="13223" priority="2269">
      <formula>$H2673="ETAPA"</formula>
    </cfRule>
    <cfRule type="expression" dxfId="13222" priority="2270">
      <formula>$H2673="CÉLULA CONSTRUTIVA"</formula>
    </cfRule>
    <cfRule type="expression" dxfId="13221" priority="2271">
      <formula>$H2673="ETAPA"</formula>
    </cfRule>
    <cfRule type="expression" dxfId="13220" priority="2272">
      <formula>$H2673="SUBETAPA"</formula>
    </cfRule>
  </conditionalFormatting>
  <conditionalFormatting sqref="M2673:M2674">
    <cfRule type="expression" dxfId="13219" priority="2268">
      <formula>$H2673="CÉLULA CONSTRUTIVA"</formula>
    </cfRule>
    <cfRule type="expression" dxfId="13218" priority="2273">
      <formula>$H2673="ETAPA"</formula>
    </cfRule>
  </conditionalFormatting>
  <conditionalFormatting sqref="M2674 O2674">
    <cfRule type="expression" dxfId="13217" priority="2235">
      <formula>$H2674="CÉLULA CONSTRUTIVA"</formula>
    </cfRule>
  </conditionalFormatting>
  <conditionalFormatting sqref="M2674">
    <cfRule type="expression" dxfId="13216" priority="2264">
      <formula>$H2674="ETAPA"</formula>
    </cfRule>
    <cfRule type="expression" dxfId="13215" priority="2265">
      <formula>$H2674="SUBETAPA"</formula>
    </cfRule>
    <cfRule type="expression" dxfId="13214" priority="2266">
      <formula>$H2674="CÉLULA CONSTRUTIVA"</formula>
    </cfRule>
    <cfRule type="expression" dxfId="13213" priority="2267">
      <formula>$H2674="ETAPA"</formula>
    </cfRule>
  </conditionalFormatting>
  <conditionalFormatting sqref="M2681">
    <cfRule type="expression" dxfId="13212" priority="2337">
      <formula>$H2681="ETAPA"</formula>
    </cfRule>
    <cfRule type="expression" dxfId="13211" priority="2338">
      <formula>$H2681="CÉLULA CONSTRUTIVA"</formula>
    </cfRule>
    <cfRule type="expression" dxfId="13210" priority="2339">
      <formula>$H2681="ETAPA"</formula>
    </cfRule>
    <cfRule type="expression" dxfId="13209" priority="2340">
      <formula>$H2681="SUBETAPA"</formula>
    </cfRule>
  </conditionalFormatting>
  <conditionalFormatting sqref="M2681:M2682">
    <cfRule type="expression" dxfId="13208" priority="2336">
      <formula>$H2681="CÉLULA CONSTRUTIVA"</formula>
    </cfRule>
    <cfRule type="expression" dxfId="13207" priority="2341">
      <formula>$H2681="ETAPA"</formula>
    </cfRule>
  </conditionalFormatting>
  <conditionalFormatting sqref="M2682 O2682">
    <cfRule type="expression" dxfId="13206" priority="2303">
      <formula>$H2682="CÉLULA CONSTRUTIVA"</formula>
    </cfRule>
  </conditionalFormatting>
  <conditionalFormatting sqref="M2682">
    <cfRule type="expression" dxfId="13205" priority="2332">
      <formula>$H2682="ETAPA"</formula>
    </cfRule>
    <cfRule type="expression" dxfId="13204" priority="2333">
      <formula>$H2682="SUBETAPA"</formula>
    </cfRule>
    <cfRule type="expression" dxfId="13203" priority="2334">
      <formula>$H2682="CÉLULA CONSTRUTIVA"</formula>
    </cfRule>
    <cfRule type="expression" dxfId="13202" priority="2335">
      <formula>$H2682="ETAPA"</formula>
    </cfRule>
  </conditionalFormatting>
  <conditionalFormatting sqref="M2691">
    <cfRule type="expression" dxfId="13201" priority="2405">
      <formula>$H2691="ETAPA"</formula>
    </cfRule>
    <cfRule type="expression" dxfId="13200" priority="2406">
      <formula>$H2691="CÉLULA CONSTRUTIVA"</formula>
    </cfRule>
    <cfRule type="expression" dxfId="13199" priority="2407">
      <formula>$H2691="ETAPA"</formula>
    </cfRule>
    <cfRule type="expression" dxfId="13198" priority="2408">
      <formula>$H2691="SUBETAPA"</formula>
    </cfRule>
  </conditionalFormatting>
  <conditionalFormatting sqref="M2691:M2692">
    <cfRule type="expression" dxfId="13197" priority="2404">
      <formula>$H2691="CÉLULA CONSTRUTIVA"</formula>
    </cfRule>
    <cfRule type="expression" dxfId="13196" priority="2409">
      <formula>$H2691="ETAPA"</formula>
    </cfRule>
  </conditionalFormatting>
  <conditionalFormatting sqref="M2692 O2692">
    <cfRule type="expression" dxfId="13195" priority="2371">
      <formula>$H2692="CÉLULA CONSTRUTIVA"</formula>
    </cfRule>
  </conditionalFormatting>
  <conditionalFormatting sqref="M2692">
    <cfRule type="expression" dxfId="13194" priority="2400">
      <formula>$H2692="ETAPA"</formula>
    </cfRule>
    <cfRule type="expression" dxfId="13193" priority="2401">
      <formula>$H2692="SUBETAPA"</formula>
    </cfRule>
    <cfRule type="expression" dxfId="13192" priority="2402">
      <formula>$H2692="CÉLULA CONSTRUTIVA"</formula>
    </cfRule>
    <cfRule type="expression" dxfId="13191" priority="2403">
      <formula>$H2692="ETAPA"</formula>
    </cfRule>
  </conditionalFormatting>
  <conditionalFormatting sqref="M2699">
    <cfRule type="expression" dxfId="13190" priority="2473">
      <formula>$H2699="ETAPA"</formula>
    </cfRule>
    <cfRule type="expression" dxfId="13189" priority="2474">
      <formula>$H2699="CÉLULA CONSTRUTIVA"</formula>
    </cfRule>
    <cfRule type="expression" dxfId="13188" priority="2475">
      <formula>$H2699="ETAPA"</formula>
    </cfRule>
    <cfRule type="expression" dxfId="13187" priority="2476">
      <formula>$H2699="SUBETAPA"</formula>
    </cfRule>
  </conditionalFormatting>
  <conditionalFormatting sqref="M2699:M2700">
    <cfRule type="expression" dxfId="13186" priority="2472">
      <formula>$H2699="CÉLULA CONSTRUTIVA"</formula>
    </cfRule>
    <cfRule type="expression" dxfId="13185" priority="2477">
      <formula>$H2699="ETAPA"</formula>
    </cfRule>
  </conditionalFormatting>
  <conditionalFormatting sqref="M2700 O2700">
    <cfRule type="expression" dxfId="13184" priority="2439">
      <formula>$H2700="CÉLULA CONSTRUTIVA"</formula>
    </cfRule>
  </conditionalFormatting>
  <conditionalFormatting sqref="M2700">
    <cfRule type="expression" dxfId="13183" priority="2468">
      <formula>$H2700="ETAPA"</formula>
    </cfRule>
    <cfRule type="expression" dxfId="13182" priority="2469">
      <formula>$H2700="SUBETAPA"</formula>
    </cfRule>
    <cfRule type="expression" dxfId="13181" priority="2470">
      <formula>$H2700="CÉLULA CONSTRUTIVA"</formula>
    </cfRule>
    <cfRule type="expression" dxfId="13180" priority="2471">
      <formula>$H2700="ETAPA"</formula>
    </cfRule>
  </conditionalFormatting>
  <conditionalFormatting sqref="M2710">
    <cfRule type="expression" dxfId="13179" priority="2541">
      <formula>$H2710="ETAPA"</formula>
    </cfRule>
    <cfRule type="expression" dxfId="13178" priority="2542">
      <formula>$H2710="CÉLULA CONSTRUTIVA"</formula>
    </cfRule>
    <cfRule type="expression" dxfId="13177" priority="2543">
      <formula>$H2710="ETAPA"</formula>
    </cfRule>
    <cfRule type="expression" dxfId="13176" priority="2544">
      <formula>$H2710="SUBETAPA"</formula>
    </cfRule>
  </conditionalFormatting>
  <conditionalFormatting sqref="M2710:M2711">
    <cfRule type="expression" dxfId="13175" priority="2540">
      <formula>$H2710="CÉLULA CONSTRUTIVA"</formula>
    </cfRule>
    <cfRule type="expression" dxfId="13174" priority="2545">
      <formula>$H2710="ETAPA"</formula>
    </cfRule>
  </conditionalFormatting>
  <conditionalFormatting sqref="M2711 O2711">
    <cfRule type="expression" dxfId="13173" priority="2507">
      <formula>$H2711="CÉLULA CONSTRUTIVA"</formula>
    </cfRule>
  </conditionalFormatting>
  <conditionalFormatting sqref="M2711">
    <cfRule type="expression" dxfId="13172" priority="2536">
      <formula>$H2711="ETAPA"</formula>
    </cfRule>
    <cfRule type="expression" dxfId="13171" priority="2537">
      <formula>$H2711="SUBETAPA"</formula>
    </cfRule>
    <cfRule type="expression" dxfId="13170" priority="2538">
      <formula>$H2711="CÉLULA CONSTRUTIVA"</formula>
    </cfRule>
    <cfRule type="expression" dxfId="13169" priority="2539">
      <formula>$H2711="ETAPA"</formula>
    </cfRule>
  </conditionalFormatting>
  <conditionalFormatting sqref="M2721">
    <cfRule type="expression" dxfId="13168" priority="1784">
      <formula>$H2721="ETAPA"</formula>
    </cfRule>
    <cfRule type="expression" dxfId="13167" priority="1785">
      <formula>$H2721="CÉLULA CONSTRUTIVA"</formula>
    </cfRule>
    <cfRule type="expression" dxfId="13166" priority="1786">
      <formula>$H2721="ETAPA"</formula>
    </cfRule>
    <cfRule type="expression" dxfId="13165" priority="1787">
      <formula>$H2721="SUBETAPA"</formula>
    </cfRule>
  </conditionalFormatting>
  <conditionalFormatting sqref="M2721:M2722">
    <cfRule type="expression" dxfId="13164" priority="1783">
      <formula>$H2721="CÉLULA CONSTRUTIVA"</formula>
    </cfRule>
    <cfRule type="expression" dxfId="13163" priority="1788">
      <formula>$H2721="ETAPA"</formula>
    </cfRule>
  </conditionalFormatting>
  <conditionalFormatting sqref="M2722 O2722">
    <cfRule type="expression" dxfId="13162" priority="1750">
      <formula>$H2722="CÉLULA CONSTRUTIVA"</formula>
    </cfRule>
  </conditionalFormatting>
  <conditionalFormatting sqref="M2722">
    <cfRule type="expression" dxfId="13161" priority="1779">
      <formula>$H2722="ETAPA"</formula>
    </cfRule>
    <cfRule type="expression" dxfId="13160" priority="1780">
      <formula>$H2722="SUBETAPA"</formula>
    </cfRule>
    <cfRule type="expression" dxfId="13159" priority="1781">
      <formula>$H2722="CÉLULA CONSTRUTIVA"</formula>
    </cfRule>
    <cfRule type="expression" dxfId="13158" priority="1782">
      <formula>$H2722="ETAPA"</formula>
    </cfRule>
  </conditionalFormatting>
  <conditionalFormatting sqref="M2732">
    <cfRule type="expression" dxfId="13157" priority="1854">
      <formula>$H2732="ETAPA"</formula>
    </cfRule>
    <cfRule type="expression" dxfId="13156" priority="1855">
      <formula>$H2732="CÉLULA CONSTRUTIVA"</formula>
    </cfRule>
    <cfRule type="expression" dxfId="13155" priority="1856">
      <formula>$H2732="ETAPA"</formula>
    </cfRule>
    <cfRule type="expression" dxfId="13154" priority="1857">
      <formula>$H2732="SUBETAPA"</formula>
    </cfRule>
  </conditionalFormatting>
  <conditionalFormatting sqref="M2732:M2733">
    <cfRule type="expression" dxfId="13153" priority="1853">
      <formula>$H2732="CÉLULA CONSTRUTIVA"</formula>
    </cfRule>
    <cfRule type="expression" dxfId="13152" priority="1858">
      <formula>$H2732="ETAPA"</formula>
    </cfRule>
  </conditionalFormatting>
  <conditionalFormatting sqref="M2733 O2733">
    <cfRule type="expression" dxfId="13151" priority="1819">
      <formula>$H2733="CÉLULA CONSTRUTIVA"</formula>
    </cfRule>
  </conditionalFormatting>
  <conditionalFormatting sqref="M2733">
    <cfRule type="expression" dxfId="13150" priority="1849">
      <formula>$H2733="ETAPA"</formula>
    </cfRule>
    <cfRule type="expression" dxfId="13149" priority="1850">
      <formula>$H2733="SUBETAPA"</formula>
    </cfRule>
    <cfRule type="expression" dxfId="13148" priority="1851">
      <formula>$H2733="CÉLULA CONSTRUTIVA"</formula>
    </cfRule>
    <cfRule type="expression" dxfId="13147" priority="1852">
      <formula>$H2733="ETAPA"</formula>
    </cfRule>
  </conditionalFormatting>
  <conditionalFormatting sqref="M2743">
    <cfRule type="expression" dxfId="13146" priority="2609">
      <formula>$H2743="ETAPA"</formula>
    </cfRule>
    <cfRule type="expression" dxfId="13145" priority="2610">
      <formula>$H2743="CÉLULA CONSTRUTIVA"</formula>
    </cfRule>
    <cfRule type="expression" dxfId="13144" priority="2611">
      <formula>$H2743="ETAPA"</formula>
    </cfRule>
    <cfRule type="expression" dxfId="13143" priority="2612">
      <formula>$H2743="SUBETAPA"</formula>
    </cfRule>
  </conditionalFormatting>
  <conditionalFormatting sqref="M2743:M2744">
    <cfRule type="expression" dxfId="13142" priority="2608">
      <formula>$H2743="CÉLULA CONSTRUTIVA"</formula>
    </cfRule>
    <cfRule type="expression" dxfId="13141" priority="2613">
      <formula>$H2743="ETAPA"</formula>
    </cfRule>
  </conditionalFormatting>
  <conditionalFormatting sqref="M2744 O2744">
    <cfRule type="expression" dxfId="13140" priority="2575">
      <formula>$H2744="CÉLULA CONSTRUTIVA"</formula>
    </cfRule>
  </conditionalFormatting>
  <conditionalFormatting sqref="M2744">
    <cfRule type="expression" dxfId="13139" priority="2604">
      <formula>$H2744="ETAPA"</formula>
    </cfRule>
    <cfRule type="expression" dxfId="13138" priority="2605">
      <formula>$H2744="SUBETAPA"</formula>
    </cfRule>
    <cfRule type="expression" dxfId="13137" priority="2606">
      <formula>$H2744="CÉLULA CONSTRUTIVA"</formula>
    </cfRule>
    <cfRule type="expression" dxfId="13136" priority="2607">
      <formula>$H2744="ETAPA"</formula>
    </cfRule>
  </conditionalFormatting>
  <conditionalFormatting sqref="M2754">
    <cfRule type="expression" dxfId="13135" priority="121155">
      <formula>$H2754="ETAPA"</formula>
    </cfRule>
    <cfRule type="expression" dxfId="13134" priority="121156">
      <formula>$H2754="CÉLULA CONSTRUTIVA"</formula>
    </cfRule>
    <cfRule type="expression" dxfId="13133" priority="121157">
      <formula>$H2754="ETAPA"</formula>
    </cfRule>
    <cfRule type="expression" dxfId="13132" priority="121158">
      <formula>$H2754="SUBETAPA"</formula>
    </cfRule>
  </conditionalFormatting>
  <conditionalFormatting sqref="M2754:M2755">
    <cfRule type="expression" dxfId="13131" priority="121159">
      <formula>$H2754="CÉLULA CONSTRUTIVA"</formula>
    </cfRule>
  </conditionalFormatting>
  <conditionalFormatting sqref="M2755 O2755">
    <cfRule type="expression" dxfId="13130" priority="116859">
      <formula>$H2755="CÉLULA CONSTRUTIVA"</formula>
    </cfRule>
  </conditionalFormatting>
  <conditionalFormatting sqref="M2755">
    <cfRule type="expression" dxfId="13129" priority="121164">
      <formula>$H2755="ETAPA"</formula>
    </cfRule>
    <cfRule type="expression" dxfId="13128" priority="121165">
      <formula>$H2755="SUBETAPA"</formula>
    </cfRule>
    <cfRule type="expression" dxfId="13127" priority="121166">
      <formula>$H2755="CÉLULA CONSTRUTIVA"</formula>
    </cfRule>
    <cfRule type="expression" dxfId="13126" priority="121167">
      <formula>$H2755="ETAPA"</formula>
    </cfRule>
  </conditionalFormatting>
  <conditionalFormatting sqref="M2756:M2757 M2723:M2725 M2642:M2643 M2745:M2747 M2734:M2736 M2712:M2714 M2701:M2703 M2693:M2694 M2683:M2684 M2675:M2676 M2668 M2661 M2652">
    <cfRule type="expression" dxfId="13125" priority="378">
      <formula>$H2642="CÉLULA CONSTRUTIVA"</formula>
    </cfRule>
    <cfRule type="expression" dxfId="13124" priority="379">
      <formula>$H2642="SUBETAPA"</formula>
    </cfRule>
    <cfRule type="expression" dxfId="13123" priority="380">
      <formula>$H2642="CÉLULA CONSTRUTIVA"</formula>
    </cfRule>
    <cfRule type="expression" dxfId="13122" priority="381">
      <formula>$H2642="ETAPA"</formula>
    </cfRule>
    <cfRule type="expression" dxfId="13121" priority="382">
      <formula>$H2642="ETAPA"</formula>
    </cfRule>
    <cfRule type="expression" dxfId="13120" priority="383">
      <formula>$H2642="ETAPA"</formula>
    </cfRule>
    <cfRule type="expression" dxfId="13119" priority="387">
      <formula>$H2642="CÉLULA CONSTRUTIVA"</formula>
    </cfRule>
  </conditionalFormatting>
  <conditionalFormatting sqref="M2781:M2784 L2778:L2780">
    <cfRule type="expression" dxfId="13118" priority="1516">
      <formula>$H2778="ETAPA"</formula>
    </cfRule>
    <cfRule type="expression" dxfId="13117" priority="1530">
      <formula>$H2778="SUBETAPA"</formula>
    </cfRule>
  </conditionalFormatting>
  <conditionalFormatting sqref="M2790:M2793 L2787:L2789">
    <cfRule type="expression" dxfId="13116" priority="1558">
      <formula>$H2787="ETAPA"</formula>
    </cfRule>
    <cfRule type="expression" dxfId="13115" priority="1572">
      <formula>$H2787="SUBETAPA"</formula>
    </cfRule>
  </conditionalFormatting>
  <conditionalFormatting sqref="M2808:M2811 L2805:L2807">
    <cfRule type="expression" dxfId="13114" priority="1642">
      <formula>$H2805="ETAPA"</formula>
    </cfRule>
    <cfRule type="expression" dxfId="13113" priority="1656">
      <formula>$H2805="SUBETAPA"</formula>
    </cfRule>
  </conditionalFormatting>
  <conditionalFormatting sqref="M3149:M3150 M3155:M3156 M3162:M3163 M3170:M3171">
    <cfRule type="expression" dxfId="13112" priority="83648">
      <formula>$H3149="ETAPA"</formula>
    </cfRule>
    <cfRule type="expression" dxfId="13111" priority="83649">
      <formula>$H3149="CÉLULA CONSTRUTIVA"</formula>
    </cfRule>
    <cfRule type="expression" dxfId="13110" priority="83650">
      <formula>$H3149="ETAPA"</formula>
    </cfRule>
    <cfRule type="expression" dxfId="13109" priority="83651">
      <formula>$H3149="SUBETAPA"</formula>
    </cfRule>
    <cfRule type="expression" dxfId="13108" priority="83652">
      <formula>$H3149="CÉLULA CONSTRUTIVA"</formula>
    </cfRule>
  </conditionalFormatting>
  <conditionalFormatting sqref="M3149:M3151 M3155:M3157 M3162:M3164 M3170:M3172">
    <cfRule type="expression" dxfId="13107" priority="83653">
      <formula>$H3149="ETAPA"</formula>
    </cfRule>
  </conditionalFormatting>
  <conditionalFormatting sqref="M3151 M3157 M3164 M3172">
    <cfRule type="expression" dxfId="13106" priority="83655">
      <formula>$H3151="CÉLULA CONSTRUTIVA"</formula>
    </cfRule>
    <cfRule type="expression" dxfId="13105" priority="83656">
      <formula>$H3151="ETAPA"</formula>
    </cfRule>
    <cfRule type="expression" dxfId="13104" priority="83657">
      <formula>$H3151="SUBETAPA"</formula>
    </cfRule>
    <cfRule type="expression" dxfId="13103" priority="83658">
      <formula>$H3151="CÉLULA CONSTRUTIVA"</formula>
    </cfRule>
    <cfRule type="expression" dxfId="13102" priority="83659">
      <formula>$H3151="ETAPA"</formula>
    </cfRule>
  </conditionalFormatting>
  <conditionalFormatting sqref="M3152 M3154 M3158 M3165">
    <cfRule type="expression" dxfId="13101" priority="83619">
      <formula>$H3152="ETAPA"</formula>
    </cfRule>
    <cfRule type="expression" dxfId="13100" priority="83621">
      <formula>$H3152="ETAPA"</formula>
    </cfRule>
    <cfRule type="expression" dxfId="13099" priority="83624">
      <formula>$H3152="ETAPA"</formula>
    </cfRule>
  </conditionalFormatting>
  <conditionalFormatting sqref="M3152 M3158 M3165 M3154">
    <cfRule type="expression" dxfId="13098" priority="83620">
      <formula>$H3152="CÉLULA CONSTRUTIVA"</formula>
    </cfRule>
    <cfRule type="expression" dxfId="13097" priority="83622">
      <formula>$H3152="SUBETAPA"</formula>
    </cfRule>
    <cfRule type="expression" dxfId="13096" priority="83623">
      <formula>$H3152="CÉLULA CONSTRUTIVA"</formula>
    </cfRule>
  </conditionalFormatting>
  <conditionalFormatting sqref="M3153 O3153">
    <cfRule type="expression" dxfId="13095" priority="61021">
      <formula>$H3153="CÉLULA CONSTRUTIVA"</formula>
    </cfRule>
  </conditionalFormatting>
  <conditionalFormatting sqref="M3153">
    <cfRule type="expression" dxfId="13094" priority="61023">
      <formula>$H3153="ETAPA"</formula>
    </cfRule>
    <cfRule type="expression" dxfId="13093" priority="61024">
      <formula>$H3153="CÉLULA CONSTRUTIVA"</formula>
    </cfRule>
    <cfRule type="expression" dxfId="13092" priority="61025">
      <formula>$H3153="ETAPA"</formula>
    </cfRule>
    <cfRule type="expression" dxfId="13091" priority="61026">
      <formula>$H3153="SUBETAPA"</formula>
    </cfRule>
    <cfRule type="expression" dxfId="13090" priority="61027">
      <formula>$H3153="CÉLULA CONSTRUTIVA"</formula>
    </cfRule>
    <cfRule type="expression" dxfId="13089" priority="61028">
      <formula>$H3153="ETAPA"</formula>
    </cfRule>
  </conditionalFormatting>
  <conditionalFormatting sqref="M21:N21">
    <cfRule type="expression" dxfId="13088" priority="46659">
      <formula>$H21="ETAPA"</formula>
    </cfRule>
  </conditionalFormatting>
  <conditionalFormatting sqref="M24:N24">
    <cfRule type="expression" dxfId="13087" priority="50707">
      <formula>$H24="ETAPA"</formula>
    </cfRule>
  </conditionalFormatting>
  <conditionalFormatting sqref="M25:N25">
    <cfRule type="expression" dxfId="13086" priority="50752">
      <formula>$H25="ETAPA"</formula>
    </cfRule>
  </conditionalFormatting>
  <conditionalFormatting sqref="M41:N41">
    <cfRule type="expression" dxfId="13085" priority="50542">
      <formula>$H41="ETAPA"</formula>
    </cfRule>
  </conditionalFormatting>
  <conditionalFormatting sqref="M52:N52">
    <cfRule type="expression" dxfId="13084" priority="50407">
      <formula>$H52="SUBETAPA"</formula>
    </cfRule>
  </conditionalFormatting>
  <conditionalFormatting sqref="M56:N56">
    <cfRule type="expression" dxfId="13083" priority="50352">
      <formula>$H56="SUBETAPA"</formula>
    </cfRule>
  </conditionalFormatting>
  <conditionalFormatting sqref="M58:N58">
    <cfRule type="expression" dxfId="13082" priority="50691">
      <formula>$H58="ETAPA"</formula>
    </cfRule>
  </conditionalFormatting>
  <conditionalFormatting sqref="M77:N77">
    <cfRule type="expression" dxfId="13081" priority="50944">
      <formula>$H77="SUBETAPA"</formula>
    </cfRule>
  </conditionalFormatting>
  <conditionalFormatting sqref="M84:N84">
    <cfRule type="expression" dxfId="13080" priority="50299">
      <formula>$H84="SUBETAPA"</formula>
    </cfRule>
  </conditionalFormatting>
  <conditionalFormatting sqref="M85:N93">
    <cfRule type="expression" dxfId="13079" priority="50318">
      <formula>$H85="SUBETAPA"</formula>
    </cfRule>
  </conditionalFormatting>
  <conditionalFormatting sqref="M96:N96 M100:M101">
    <cfRule type="expression" dxfId="13078" priority="50949">
      <formula>$H96="SUBETAPA"</formula>
    </cfRule>
  </conditionalFormatting>
  <conditionalFormatting sqref="M104:N104">
    <cfRule type="expression" dxfId="13077" priority="50129">
      <formula>$H104="SUBETAPA"</formula>
    </cfRule>
  </conditionalFormatting>
  <conditionalFormatting sqref="M106:N106">
    <cfRule type="expression" dxfId="13076" priority="50111">
      <formula>$H106="SUBETAPA"</formula>
    </cfRule>
  </conditionalFormatting>
  <conditionalFormatting sqref="M108:N108">
    <cfRule type="expression" dxfId="13075" priority="50093">
      <formula>$H108="SUBETAPA"</formula>
    </cfRule>
  </conditionalFormatting>
  <conditionalFormatting sqref="M110:N110">
    <cfRule type="expression" dxfId="13074" priority="50075">
      <formula>$H110="SUBETAPA"</formula>
    </cfRule>
  </conditionalFormatting>
  <conditionalFormatting sqref="M112:N112">
    <cfRule type="expression" dxfId="13073" priority="50057">
      <formula>$H112="SUBETAPA"</formula>
    </cfRule>
  </conditionalFormatting>
  <conditionalFormatting sqref="M116:N116">
    <cfRule type="expression" dxfId="13072" priority="50039">
      <formula>$H116="SUBETAPA"</formula>
    </cfRule>
  </conditionalFormatting>
  <conditionalFormatting sqref="M118:N118">
    <cfRule type="expression" dxfId="13071" priority="50021">
      <formula>$H118="SUBETAPA"</formula>
    </cfRule>
  </conditionalFormatting>
  <conditionalFormatting sqref="M120:N120">
    <cfRule type="expression" dxfId="13070" priority="50003">
      <formula>$H120="SUBETAPA"</formula>
    </cfRule>
  </conditionalFormatting>
  <conditionalFormatting sqref="M131:N131">
    <cfRule type="expression" dxfId="13069" priority="49874">
      <formula>$H131="SUBETAPA"</formula>
    </cfRule>
  </conditionalFormatting>
  <conditionalFormatting sqref="M139:N139">
    <cfRule type="expression" dxfId="13068" priority="49782">
      <formula>$H139="SUBETAPA"</formula>
    </cfRule>
  </conditionalFormatting>
  <conditionalFormatting sqref="M140:N140">
    <cfRule type="expression" dxfId="13067" priority="50951">
      <formula>$H140="SUBETAPA"</formula>
    </cfRule>
  </conditionalFormatting>
  <conditionalFormatting sqref="M177:N177">
    <cfRule type="expression" dxfId="13066" priority="49508">
      <formula>$H177="SUBETAPA"</formula>
    </cfRule>
  </conditionalFormatting>
  <conditionalFormatting sqref="M186:N186">
    <cfRule type="expression" dxfId="13065" priority="49490">
      <formula>$H186="SUBETAPA"</formula>
    </cfRule>
  </conditionalFormatting>
  <conditionalFormatting sqref="M195:N195">
    <cfRule type="expression" dxfId="13064" priority="49472">
      <formula>$H195="SUBETAPA"</formula>
    </cfRule>
  </conditionalFormatting>
  <conditionalFormatting sqref="M213:N213">
    <cfRule type="expression" dxfId="13063" priority="49454">
      <formula>$H213="SUBETAPA"</formula>
    </cfRule>
  </conditionalFormatting>
  <conditionalFormatting sqref="M274:N274">
    <cfRule type="expression" dxfId="13062" priority="49149">
      <formula>$H274="SUBETAPA"</formula>
    </cfRule>
  </conditionalFormatting>
  <conditionalFormatting sqref="M314:N314">
    <cfRule type="expression" dxfId="13061" priority="48453">
      <formula>$H314="ETAPA"</formula>
    </cfRule>
  </conditionalFormatting>
  <conditionalFormatting sqref="M316:N316">
    <cfRule type="expression" dxfId="13060" priority="48423">
      <formula>$H316="ETAPA"</formula>
    </cfRule>
  </conditionalFormatting>
  <conditionalFormatting sqref="M318:N318">
    <cfRule type="expression" dxfId="13059" priority="48352">
      <formula>$H318="ETAPA"</formula>
    </cfRule>
  </conditionalFormatting>
  <conditionalFormatting sqref="M320:N320">
    <cfRule type="expression" dxfId="13058" priority="48337">
      <formula>$H320="ETAPA"</formula>
    </cfRule>
  </conditionalFormatting>
  <conditionalFormatting sqref="M322:N322">
    <cfRule type="expression" dxfId="13057" priority="48266">
      <formula>$H322="ETAPA"</formula>
    </cfRule>
  </conditionalFormatting>
  <conditionalFormatting sqref="M326:N326">
    <cfRule type="expression" dxfId="13056" priority="48180">
      <formula>$H326="ETAPA"</formula>
    </cfRule>
  </conditionalFormatting>
  <conditionalFormatting sqref="M328:N328">
    <cfRule type="expression" dxfId="13055" priority="46240">
      <formula>$H328="ETAPA"</formula>
    </cfRule>
  </conditionalFormatting>
  <conditionalFormatting sqref="M340:N340">
    <cfRule type="expression" dxfId="13054" priority="47933">
      <formula>$H340="ETAPA"</formula>
    </cfRule>
  </conditionalFormatting>
  <conditionalFormatting sqref="M349:N349">
    <cfRule type="expression" dxfId="13053" priority="47761">
      <formula>$H349="ETAPA"</formula>
    </cfRule>
  </conditionalFormatting>
  <conditionalFormatting sqref="M351:N351">
    <cfRule type="expression" dxfId="13052" priority="47718">
      <formula>$H351="ETAPA"</formula>
    </cfRule>
  </conditionalFormatting>
  <conditionalFormatting sqref="M353:N353">
    <cfRule type="expression" dxfId="13051" priority="47675">
      <formula>$H353="ETAPA"</formula>
    </cfRule>
  </conditionalFormatting>
  <conditionalFormatting sqref="M355:N355">
    <cfRule type="expression" dxfId="13050" priority="47632">
      <formula>$H355="ETAPA"</formula>
    </cfRule>
  </conditionalFormatting>
  <conditionalFormatting sqref="M357:N357">
    <cfRule type="expression" dxfId="13049" priority="47589">
      <formula>$H357="ETAPA"</formula>
    </cfRule>
  </conditionalFormatting>
  <conditionalFormatting sqref="M359:N359">
    <cfRule type="expression" dxfId="13048" priority="46193">
      <formula>$H359="ETAPA"</formula>
    </cfRule>
  </conditionalFormatting>
  <conditionalFormatting sqref="M361:N361">
    <cfRule type="expression" dxfId="13047" priority="47546">
      <formula>$H361="ETAPA"</formula>
    </cfRule>
  </conditionalFormatting>
  <conditionalFormatting sqref="M363:N363">
    <cfRule type="expression" dxfId="13046" priority="47503">
      <formula>$H363="ETAPA"</formula>
    </cfRule>
  </conditionalFormatting>
  <conditionalFormatting sqref="M365:N365">
    <cfRule type="expression" dxfId="13045" priority="47460">
      <formula>$H365="ETAPA"</formula>
    </cfRule>
  </conditionalFormatting>
  <conditionalFormatting sqref="M367:N367">
    <cfRule type="expression" dxfId="13044" priority="47417">
      <formula>$H367="ETAPA"</formula>
    </cfRule>
  </conditionalFormatting>
  <conditionalFormatting sqref="M369:N369">
    <cfRule type="expression" dxfId="13043" priority="47374">
      <formula>$H369="ETAPA"</formula>
    </cfRule>
  </conditionalFormatting>
  <conditionalFormatting sqref="M371:N371">
    <cfRule type="expression" dxfId="13042" priority="47331">
      <formula>$H371="ETAPA"</formula>
    </cfRule>
  </conditionalFormatting>
  <conditionalFormatting sqref="M373:N373">
    <cfRule type="expression" dxfId="13041" priority="47288">
      <formula>$H373="ETAPA"</formula>
    </cfRule>
  </conditionalFormatting>
  <conditionalFormatting sqref="M375:N375">
    <cfRule type="expression" dxfId="13040" priority="47245">
      <formula>$H375="ETAPA"</formula>
    </cfRule>
  </conditionalFormatting>
  <conditionalFormatting sqref="M377:N377">
    <cfRule type="expression" dxfId="13039" priority="47202">
      <formula>$H377="ETAPA"</formula>
    </cfRule>
  </conditionalFormatting>
  <conditionalFormatting sqref="M3056:N3056">
    <cfRule type="expression" dxfId="13038" priority="4">
      <formula>$H3056="CÉLULA CONSTRUTIVA"</formula>
    </cfRule>
  </conditionalFormatting>
  <conditionalFormatting sqref="N8">
    <cfRule type="expression" dxfId="13037" priority="50999">
      <formula>$H8="SUBETAPA"</formula>
    </cfRule>
    <cfRule type="expression" dxfId="13036" priority="51000">
      <formula>$H8="CÉLULA CONSTRUTIVA"</formula>
    </cfRule>
  </conditionalFormatting>
  <conditionalFormatting sqref="N8:N10 M59:N60 N69:N70 N100:N101">
    <cfRule type="expression" dxfId="13035" priority="50957">
      <formula>$H8="ETAPA"</formula>
    </cfRule>
  </conditionalFormatting>
  <conditionalFormatting sqref="N9 N59 N69 N100">
    <cfRule type="expression" dxfId="13034" priority="50955">
      <formula>$H9="SUBETAPA"</formula>
    </cfRule>
    <cfRule type="expression" dxfId="13033" priority="50956">
      <formula>$H9="CÉLULA CONSTRUTIVA"</formula>
    </cfRule>
  </conditionalFormatting>
  <conditionalFormatting sqref="N10 N60 N63 N66 N70 N72 N77 N79 N101 N140 N281">
    <cfRule type="expression" dxfId="13032" priority="50959">
      <formula>$H10="CÉLULA CONSTRUTIVA"</formula>
    </cfRule>
  </conditionalFormatting>
  <conditionalFormatting sqref="N10 N60 N70 N101 M79:N79 N281 N63 N65:N66 N72">
    <cfRule type="expression" dxfId="13031" priority="50958">
      <formula>$H10="SUBETAPA"</formula>
    </cfRule>
  </conditionalFormatting>
  <conditionalFormatting sqref="N12">
    <cfRule type="expression" dxfId="13030" priority="4077">
      <formula>$H12="SUBETAPA"</formula>
    </cfRule>
    <cfRule type="expression" dxfId="13029" priority="4078">
      <formula>$H12="CÉLULA CONSTRUTIVA"</formula>
    </cfRule>
  </conditionalFormatting>
  <conditionalFormatting sqref="N12:N13">
    <cfRule type="expression" dxfId="13028" priority="4079">
      <formula>$H12="ETAPA"</formula>
    </cfRule>
  </conditionalFormatting>
  <conditionalFormatting sqref="N13">
    <cfRule type="expression" dxfId="13027" priority="4080">
      <formula>$H13="SUBETAPA"</formula>
    </cfRule>
    <cfRule type="expression" dxfId="13026" priority="4081">
      <formula>$H13="CÉLULA CONSTRUTIVA"</formula>
    </cfRule>
  </conditionalFormatting>
  <conditionalFormatting sqref="N16">
    <cfRule type="expression" dxfId="13025" priority="4051">
      <formula>$H16="ETAPA"</formula>
    </cfRule>
    <cfRule type="expression" dxfId="13024" priority="4052">
      <formula>$H16="SUBETAPA"</formula>
    </cfRule>
    <cfRule type="expression" dxfId="13023" priority="4053">
      <formula>$H16="CÉLULA CONSTRUTIVA"</formula>
    </cfRule>
  </conditionalFormatting>
  <conditionalFormatting sqref="N20">
    <cfRule type="expression" dxfId="13022" priority="46610">
      <formula>$H20="CÉLULA CONSTRUTIVA"</formula>
    </cfRule>
    <cfRule type="expression" dxfId="13021" priority="46611">
      <formula>$H20="SUBETAPA"</formula>
    </cfRule>
    <cfRule type="expression" dxfId="13020" priority="46612">
      <formula>$H20="ETAPA"</formula>
    </cfRule>
    <cfRule type="expression" dxfId="13019" priority="46613">
      <formula>$H20="SUBETAPA"</formula>
    </cfRule>
    <cfRule type="expression" dxfId="13018" priority="46614">
      <formula>$H20="CÉLULA CONSTRUTIVA"</formula>
    </cfRule>
    <cfRule type="expression" dxfId="13017" priority="46615">
      <formula>$H20="ETAPA"</formula>
    </cfRule>
  </conditionalFormatting>
  <conditionalFormatting sqref="N21">
    <cfRule type="expression" dxfId="13016" priority="46667">
      <formula>$H21="SUBETAPA"</formula>
    </cfRule>
    <cfRule type="expression" dxfId="13015" priority="46668">
      <formula>$H21="CÉLULA CONSTRUTIVA"</formula>
    </cfRule>
  </conditionalFormatting>
  <conditionalFormatting sqref="N21:N22">
    <cfRule type="expression" dxfId="13014" priority="46656">
      <formula>$H21="ETAPA"</formula>
    </cfRule>
  </conditionalFormatting>
  <conditionalFormatting sqref="N22">
    <cfRule type="expression" dxfId="13013" priority="46673">
      <formula>$H22="SUBETAPA"</formula>
    </cfRule>
  </conditionalFormatting>
  <conditionalFormatting sqref="N23 L22:L23">
    <cfRule type="expression" dxfId="13012" priority="46581">
      <formula>$H22="ETAPA"</formula>
    </cfRule>
  </conditionalFormatting>
  <conditionalFormatting sqref="N23 L23">
    <cfRule type="expression" dxfId="13011" priority="46579">
      <formula>$H23="CÉLULA CONSTRUTIVA"</formula>
    </cfRule>
  </conditionalFormatting>
  <conditionalFormatting sqref="N23">
    <cfRule type="expression" dxfId="13010" priority="46580">
      <formula>$H23="SUBETAPA"</formula>
    </cfRule>
    <cfRule type="expression" dxfId="13009" priority="46582">
      <formula>$H23="SUBETAPA"</formula>
    </cfRule>
    <cfRule type="expression" dxfId="13008" priority="46583">
      <formula>$H23="CÉLULA CONSTRUTIVA"</formula>
    </cfRule>
    <cfRule type="expression" dxfId="13007" priority="46584">
      <formula>$H23="ETAPA"</formula>
    </cfRule>
  </conditionalFormatting>
  <conditionalFormatting sqref="N24">
    <cfRule type="expression" dxfId="13006" priority="50703">
      <formula>$H24="SUBETAPA"</formula>
    </cfRule>
    <cfRule type="expression" dxfId="13005" priority="50704">
      <formula>$H24="ETAPA"</formula>
    </cfRule>
    <cfRule type="expression" dxfId="13004" priority="50715">
      <formula>$H24="CÉLULA CONSTRUTIVA"</formula>
    </cfRule>
  </conditionalFormatting>
  <conditionalFormatting sqref="N25">
    <cfRule type="expression" dxfId="13003" priority="50750">
      <formula>$H25="SUBETAPA"</formula>
    </cfRule>
    <cfRule type="expression" dxfId="13002" priority="50751">
      <formula>$H25="CÉLULA CONSTRUTIVA"</formula>
    </cfRule>
  </conditionalFormatting>
  <conditionalFormatting sqref="N26">
    <cfRule type="expression" dxfId="13001" priority="50670">
      <formula>$H26="SUBETAPA"</formula>
    </cfRule>
    <cfRule type="expression" dxfId="13000" priority="50671">
      <formula>$H26="CÉLULA CONSTRUTIVA"</formula>
    </cfRule>
  </conditionalFormatting>
  <conditionalFormatting sqref="N26:N27 L26:L27 G26:G27">
    <cfRule type="expression" dxfId="12999" priority="50663">
      <formula>$H26="CÉLULA CONSTRUTIVA"</formula>
    </cfRule>
  </conditionalFormatting>
  <conditionalFormatting sqref="N26:N27 L26:L30">
    <cfRule type="expression" dxfId="12998" priority="50665">
      <formula>$H26="ETAPA"</formula>
    </cfRule>
  </conditionalFormatting>
  <conditionalFormatting sqref="N28 N30:N31">
    <cfRule type="expression" dxfId="12997" priority="50753">
      <formula>$H28="SUBETAPA"</formula>
    </cfRule>
  </conditionalFormatting>
  <conditionalFormatting sqref="N28 N31">
    <cfRule type="expression" dxfId="12996" priority="50754">
      <formula>$H28="CÉLULA CONSTRUTIVA"</formula>
    </cfRule>
  </conditionalFormatting>
  <conditionalFormatting sqref="N33">
    <cfRule type="expression" dxfId="12995" priority="50612">
      <formula>$H33="SUBETAPA"</formula>
    </cfRule>
    <cfRule type="expression" dxfId="12994" priority="50613">
      <formula>$H33="CÉLULA CONSTRUTIVA"</formula>
    </cfRule>
  </conditionalFormatting>
  <conditionalFormatting sqref="N33:N34">
    <cfRule type="expression" dxfId="12993" priority="50614">
      <formula>$H33="ETAPA"</formula>
    </cfRule>
  </conditionalFormatting>
  <conditionalFormatting sqref="N34 N38:N39">
    <cfRule type="expression" dxfId="12992" priority="50615">
      <formula>$H34="SUBETAPA"</formula>
    </cfRule>
  </conditionalFormatting>
  <conditionalFormatting sqref="N34 N39">
    <cfRule type="expression" dxfId="12991" priority="50616">
      <formula>$H34="CÉLULA CONSTRUTIVA"</formula>
    </cfRule>
  </conditionalFormatting>
  <conditionalFormatting sqref="N34:N36">
    <cfRule type="expression" dxfId="12990" priority="50633">
      <formula>$H34="CÉLULA CONSTRUTIVA"</formula>
    </cfRule>
    <cfRule type="expression" dxfId="12989" priority="50635">
      <formula>$H34="ETAPA"</formula>
    </cfRule>
  </conditionalFormatting>
  <conditionalFormatting sqref="N37">
    <cfRule type="expression" dxfId="12988" priority="46717">
      <formula>$H37="SUBETAPA"</formula>
    </cfRule>
    <cfRule type="expression" dxfId="12987" priority="46718">
      <formula>$H37="CÉLULA CONSTRUTIVA"</formula>
    </cfRule>
    <cfRule type="expression" dxfId="12986" priority="46719">
      <formula>$H37="CÉLULA CONSTRUTIVA"</formula>
    </cfRule>
    <cfRule type="expression" dxfId="12985" priority="46720">
      <formula>$H37="ETAPA"</formula>
    </cfRule>
  </conditionalFormatting>
  <conditionalFormatting sqref="N38">
    <cfRule type="expression" dxfId="12984" priority="50617">
      <formula>$H38="CÉLULA CONSTRUTIVA"</formula>
    </cfRule>
  </conditionalFormatting>
  <conditionalFormatting sqref="N41">
    <cfRule type="expression" dxfId="12983" priority="50540">
      <formula>$H41="SUBETAPA"</formula>
    </cfRule>
    <cfRule type="expression" dxfId="12982" priority="50541">
      <formula>$H41="CÉLULA CONSTRUTIVA"</formula>
    </cfRule>
  </conditionalFormatting>
  <conditionalFormatting sqref="N42">
    <cfRule type="expression" dxfId="12981" priority="50492">
      <formula>$H42="SUBETAPA"</formula>
    </cfRule>
    <cfRule type="expression" dxfId="12980" priority="50493">
      <formula>$H42="CÉLULA CONSTRUTIVA"</formula>
    </cfRule>
  </conditionalFormatting>
  <conditionalFormatting sqref="N42:N43 L42:L43 G42">
    <cfRule type="expression" dxfId="12979" priority="50485">
      <formula>$H42="CÉLULA CONSTRUTIVA"</formula>
    </cfRule>
  </conditionalFormatting>
  <conditionalFormatting sqref="N42:N43 L42:L43">
    <cfRule type="expression" dxfId="12978" priority="50487">
      <formula>$H42="ETAPA"</formula>
    </cfRule>
  </conditionalFormatting>
  <conditionalFormatting sqref="N44 N49">
    <cfRule type="expression" dxfId="12977" priority="50543">
      <formula>$H44="SUBETAPA"</formula>
    </cfRule>
    <cfRule type="expression" dxfId="12976" priority="50544">
      <formula>$H44="CÉLULA CONSTRUTIVA"</formula>
    </cfRule>
  </conditionalFormatting>
  <conditionalFormatting sqref="N46">
    <cfRule type="expression" dxfId="12975" priority="46773">
      <formula>$H46="SUBETAPA"</formula>
    </cfRule>
    <cfRule type="expression" dxfId="12974" priority="46774">
      <formula>$H46="CÉLULA CONSTRUTIVA"</formula>
    </cfRule>
    <cfRule type="expression" dxfId="12973" priority="46775">
      <formula>$H46="ETAPA"</formula>
    </cfRule>
  </conditionalFormatting>
  <conditionalFormatting sqref="N47">
    <cfRule type="expression" dxfId="12972" priority="46742">
      <formula>$H47="SUBETAPA"</formula>
    </cfRule>
    <cfRule type="expression" dxfId="12971" priority="46743">
      <formula>$H47="CÉLULA CONSTRUTIVA"</formula>
    </cfRule>
    <cfRule type="expression" dxfId="12970" priority="46744">
      <formula>$H47="ETAPA"</formula>
    </cfRule>
  </conditionalFormatting>
  <conditionalFormatting sqref="N51 N54">
    <cfRule type="expression" dxfId="12969" priority="50447">
      <formula>$H51="SUBETAPA"</formula>
    </cfRule>
  </conditionalFormatting>
  <conditionalFormatting sqref="N51">
    <cfRule type="expression" dxfId="12968" priority="50451">
      <formula>$H51="CÉLULA CONSTRUTIVA"</formula>
    </cfRule>
  </conditionalFormatting>
  <conditionalFormatting sqref="N52">
    <cfRule type="expression" dxfId="12967" priority="50411">
      <formula>$H52="CÉLULA CONSTRUTIVA"</formula>
    </cfRule>
    <cfRule type="expression" dxfId="12966" priority="50412">
      <formula>$H52="ETAPA"</formula>
    </cfRule>
    <cfRule type="expression" dxfId="12965" priority="50422">
      <formula>$H52="CÉLULA CONSTRUTIVA"</formula>
    </cfRule>
    <cfRule type="expression" dxfId="12964" priority="50423">
      <formula>$H52="ETAPA"</formula>
    </cfRule>
  </conditionalFormatting>
  <conditionalFormatting sqref="N53">
    <cfRule type="expression" dxfId="12963" priority="46414">
      <formula>$H53="SUBETAPA"</formula>
    </cfRule>
  </conditionalFormatting>
  <conditionalFormatting sqref="N55 N57">
    <cfRule type="expression" dxfId="12962" priority="50392">
      <formula>$H55="SUBETAPA"</formula>
    </cfRule>
  </conditionalFormatting>
  <conditionalFormatting sqref="N55">
    <cfRule type="expression" dxfId="12961" priority="50396">
      <formula>$H55="CÉLULA CONSTRUTIVA"</formula>
    </cfRule>
  </conditionalFormatting>
  <conditionalFormatting sqref="N56">
    <cfRule type="expression" dxfId="12960" priority="50356">
      <formula>$H56="CÉLULA CONSTRUTIVA"</formula>
    </cfRule>
    <cfRule type="expression" dxfId="12959" priority="50357">
      <formula>$H56="ETAPA"</formula>
    </cfRule>
    <cfRule type="expression" dxfId="12958" priority="50367">
      <formula>$H56="CÉLULA CONSTRUTIVA"</formula>
    </cfRule>
    <cfRule type="expression" dxfId="12957" priority="50368">
      <formula>$H56="ETAPA"</formula>
    </cfRule>
  </conditionalFormatting>
  <conditionalFormatting sqref="N58">
    <cfRule type="expression" dxfId="12956" priority="50687">
      <formula>$H58="SUBETAPA"</formula>
    </cfRule>
    <cfRule type="expression" dxfId="12955" priority="50688">
      <formula>$H58="ETAPA"</formula>
    </cfRule>
    <cfRule type="expression" dxfId="12954" priority="50699">
      <formula>$H58="CÉLULA CONSTRUTIVA"</formula>
    </cfRule>
  </conditionalFormatting>
  <conditionalFormatting sqref="N65">
    <cfRule type="expression" dxfId="12953" priority="50960">
      <formula>$H65="CÉLULA CONSTRUTIVA"</formula>
    </cfRule>
  </conditionalFormatting>
  <conditionalFormatting sqref="N68">
    <cfRule type="expression" dxfId="12952" priority="50961">
      <formula>$H68="SUBETAPA"</formula>
    </cfRule>
    <cfRule type="expression" dxfId="12951" priority="50962">
      <formula>$H68="CÉLULA CONSTRUTIVA"</formula>
    </cfRule>
    <cfRule type="expression" dxfId="12950" priority="50963">
      <formula>$H68="ETAPA"</formula>
    </cfRule>
  </conditionalFormatting>
  <conditionalFormatting sqref="N80">
    <cfRule type="expression" dxfId="12949" priority="50326">
      <formula>$H80="SUBETAPA"</formula>
    </cfRule>
    <cfRule type="expression" dxfId="12948" priority="50327">
      <formula>$H80="CÉLULA CONSTRUTIVA"</formula>
    </cfRule>
  </conditionalFormatting>
  <conditionalFormatting sqref="N80:N81">
    <cfRule type="expression" dxfId="12947" priority="50328">
      <formula>$H80="ETAPA"</formula>
    </cfRule>
  </conditionalFormatting>
  <conditionalFormatting sqref="N81 M95:N95 N83">
    <cfRule type="expression" dxfId="12946" priority="50329">
      <formula>$H81="SUBETAPA"</formula>
    </cfRule>
  </conditionalFormatting>
  <conditionalFormatting sqref="N81 N83 N93 N95">
    <cfRule type="expression" dxfId="12945" priority="50330">
      <formula>$H81="CÉLULA CONSTRUTIVA"</formula>
    </cfRule>
  </conditionalFormatting>
  <conditionalFormatting sqref="N84 G84:K84">
    <cfRule type="expression" dxfId="12944" priority="50307">
      <formula>$H84="ETAPA"</formula>
    </cfRule>
  </conditionalFormatting>
  <conditionalFormatting sqref="N84">
    <cfRule type="expression" dxfId="12943" priority="50295">
      <formula>$H84="SUBETAPA"</formula>
    </cfRule>
    <cfRule type="expression" dxfId="12942" priority="50296">
      <formula>$H84="ETAPA"</formula>
    </cfRule>
    <cfRule type="expression" dxfId="12941" priority="50306">
      <formula>$H84="CÉLULA CONSTRUTIVA"</formula>
    </cfRule>
  </conditionalFormatting>
  <conditionalFormatting sqref="N85:N86">
    <cfRule type="expression" dxfId="12940" priority="50340">
      <formula>$H85="CÉLULA CONSTRUTIVA"</formula>
    </cfRule>
  </conditionalFormatting>
  <conditionalFormatting sqref="N85:N91 G83:K83 G85:K87 G91:K92 G90:I90 K90 G89:K89 G88:I88 K88">
    <cfRule type="expression" dxfId="12939" priority="50341">
      <formula>$H83="ETAPA"</formula>
    </cfRule>
  </conditionalFormatting>
  <conditionalFormatting sqref="N87:N92">
    <cfRule type="expression" dxfId="12938" priority="50331">
      <formula>$H87="CÉLULA CONSTRUTIVA"</formula>
    </cfRule>
  </conditionalFormatting>
  <conditionalFormatting sqref="N92">
    <cfRule type="expression" dxfId="12937" priority="50332">
      <formula>$H92="ETAPA"</formula>
    </cfRule>
  </conditionalFormatting>
  <conditionalFormatting sqref="N96">
    <cfRule type="expression" dxfId="12936" priority="50953">
      <formula>$H96="CÉLULA CONSTRUTIVA"</formula>
    </cfRule>
    <cfRule type="expression" dxfId="12935" priority="50954">
      <formula>$H96="ETAPA"</formula>
    </cfRule>
  </conditionalFormatting>
  <conditionalFormatting sqref="N97">
    <cfRule type="expression" dxfId="12934" priority="50172">
      <formula>$H97="SUBETAPA"</formula>
    </cfRule>
    <cfRule type="expression" dxfId="12933" priority="50173">
      <formula>$H97="CÉLULA CONSTRUTIVA"</formula>
    </cfRule>
  </conditionalFormatting>
  <conditionalFormatting sqref="N97:N98">
    <cfRule type="expression" dxfId="12932" priority="50174">
      <formula>$H97="ETAPA"</formula>
    </cfRule>
  </conditionalFormatting>
  <conditionalFormatting sqref="N98">
    <cfRule type="expression" dxfId="12931" priority="50175">
      <formula>$H98="SUBETAPA"</formula>
    </cfRule>
    <cfRule type="expression" dxfId="12930" priority="50176">
      <formula>$H98="CÉLULA CONSTRUTIVA"</formula>
    </cfRule>
  </conditionalFormatting>
  <conditionalFormatting sqref="N104">
    <cfRule type="expression" dxfId="12929" priority="50132">
      <formula>$H104="CÉLULA CONSTRUTIVA"</formula>
    </cfRule>
  </conditionalFormatting>
  <conditionalFormatting sqref="N106">
    <cfRule type="expression" dxfId="12928" priority="50114">
      <formula>$H106="CÉLULA CONSTRUTIVA"</formula>
    </cfRule>
  </conditionalFormatting>
  <conditionalFormatting sqref="N108">
    <cfRule type="expression" dxfId="12927" priority="50096">
      <formula>$H108="CÉLULA CONSTRUTIVA"</formula>
    </cfRule>
  </conditionalFormatting>
  <conditionalFormatting sqref="N110">
    <cfRule type="expression" dxfId="12926" priority="50078">
      <formula>$H110="CÉLULA CONSTRUTIVA"</formula>
    </cfRule>
  </conditionalFormatting>
  <conditionalFormatting sqref="N112">
    <cfRule type="expression" dxfId="12925" priority="50060">
      <formula>$H112="CÉLULA CONSTRUTIVA"</formula>
    </cfRule>
  </conditionalFormatting>
  <conditionalFormatting sqref="N114">
    <cfRule type="expression" dxfId="12924" priority="46361">
      <formula>$H114="SUBETAPA"</formula>
    </cfRule>
    <cfRule type="expression" dxfId="12923" priority="46362">
      <formula>$H114="CÉLULA CONSTRUTIVA"</formula>
    </cfRule>
  </conditionalFormatting>
  <conditionalFormatting sqref="N116">
    <cfRule type="expression" dxfId="12922" priority="50042">
      <formula>$H116="CÉLULA CONSTRUTIVA"</formula>
    </cfRule>
  </conditionalFormatting>
  <conditionalFormatting sqref="N118">
    <cfRule type="expression" dxfId="12921" priority="50024">
      <formula>$H118="CÉLULA CONSTRUTIVA"</formula>
    </cfRule>
  </conditionalFormatting>
  <conditionalFormatting sqref="N120">
    <cfRule type="expression" dxfId="12920" priority="50006">
      <formula>$H120="CÉLULA CONSTRUTIVA"</formula>
    </cfRule>
  </conditionalFormatting>
  <conditionalFormatting sqref="N122">
    <cfRule type="expression" dxfId="12919" priority="49986">
      <formula>$H122="CÉLULA CONSTRUTIVA"</formula>
    </cfRule>
  </conditionalFormatting>
  <conditionalFormatting sqref="N122:N123 G123:K123">
    <cfRule type="expression" dxfId="12918" priority="49978">
      <formula>$H122="ETAPA"</formula>
    </cfRule>
  </conditionalFormatting>
  <conditionalFormatting sqref="N122:N123 G122:L122 G123:K123">
    <cfRule type="expression" dxfId="12917" priority="49976">
      <formula>$H122="CÉLULA CONSTRUTIVA"</formula>
    </cfRule>
  </conditionalFormatting>
  <conditionalFormatting sqref="N122:N123">
    <cfRule type="expression" dxfId="12916" priority="49985">
      <formula>$H122="SUBETAPA"</formula>
    </cfRule>
  </conditionalFormatting>
  <conditionalFormatting sqref="N123">
    <cfRule type="expression" dxfId="12915" priority="49987">
      <formula>$H123="CÉLULA CONSTRUTIVA"</formula>
    </cfRule>
    <cfRule type="expression" dxfId="12914" priority="49988">
      <formula>$H123="ETAPA"</formula>
    </cfRule>
  </conditionalFormatting>
  <conditionalFormatting sqref="N125">
    <cfRule type="expression" dxfId="12913" priority="49949">
      <formula>$H125="CÉLULA CONSTRUTIVA"</formula>
    </cfRule>
  </conditionalFormatting>
  <conditionalFormatting sqref="N125:N126 G126:K126">
    <cfRule type="expression" dxfId="12912" priority="49941">
      <formula>$H125="ETAPA"</formula>
    </cfRule>
  </conditionalFormatting>
  <conditionalFormatting sqref="N125:N126 G125:L125 G126:K126">
    <cfRule type="expression" dxfId="12911" priority="49939">
      <formula>$H125="CÉLULA CONSTRUTIVA"</formula>
    </cfRule>
  </conditionalFormatting>
  <conditionalFormatting sqref="N125:N126">
    <cfRule type="expression" dxfId="12910" priority="49948">
      <formula>$H125="SUBETAPA"</formula>
    </cfRule>
  </conditionalFormatting>
  <conditionalFormatting sqref="N126">
    <cfRule type="expression" dxfId="12909" priority="49950">
      <formula>$H126="CÉLULA CONSTRUTIVA"</formula>
    </cfRule>
    <cfRule type="expression" dxfId="12908" priority="49951">
      <formula>$H126="ETAPA"</formula>
    </cfRule>
  </conditionalFormatting>
  <conditionalFormatting sqref="N128">
    <cfRule type="expression" dxfId="12907" priority="49912">
      <formula>$H128="CÉLULA CONSTRUTIVA"</formula>
    </cfRule>
  </conditionalFormatting>
  <conditionalFormatting sqref="N128:N129 G129:K129">
    <cfRule type="expression" dxfId="12906" priority="49904">
      <formula>$H128="ETAPA"</formula>
    </cfRule>
  </conditionalFormatting>
  <conditionalFormatting sqref="N128:N129 G128:L128 G129:K129">
    <cfRule type="expression" dxfId="12905" priority="49902">
      <formula>$H128="CÉLULA CONSTRUTIVA"</formula>
    </cfRule>
  </conditionalFormatting>
  <conditionalFormatting sqref="N128:N129">
    <cfRule type="expression" dxfId="12904" priority="49911">
      <formula>$H128="SUBETAPA"</formula>
    </cfRule>
  </conditionalFormatting>
  <conditionalFormatting sqref="N129">
    <cfRule type="expression" dxfId="12903" priority="49913">
      <formula>$H129="CÉLULA CONSTRUTIVA"</formula>
    </cfRule>
    <cfRule type="expression" dxfId="12902" priority="49914">
      <formula>$H129="ETAPA"</formula>
    </cfRule>
  </conditionalFormatting>
  <conditionalFormatting sqref="N131">
    <cfRule type="expression" dxfId="12901" priority="49877">
      <formula>$H131="CÉLULA CONSTRUTIVA"</formula>
    </cfRule>
  </conditionalFormatting>
  <conditionalFormatting sqref="N133">
    <cfRule type="expression" dxfId="12900" priority="49857">
      <formula>$H133="CÉLULA CONSTRUTIVA"</formula>
    </cfRule>
  </conditionalFormatting>
  <conditionalFormatting sqref="N133:N134 G134:K134">
    <cfRule type="expression" dxfId="12899" priority="49849">
      <formula>$H133="ETAPA"</formula>
    </cfRule>
  </conditionalFormatting>
  <conditionalFormatting sqref="N133:N134 G133:L133 G134:K134">
    <cfRule type="expression" dxfId="12898" priority="49847">
      <formula>$H133="CÉLULA CONSTRUTIVA"</formula>
    </cfRule>
  </conditionalFormatting>
  <conditionalFormatting sqref="N133:N134">
    <cfRule type="expression" dxfId="12897" priority="49856">
      <formula>$H133="SUBETAPA"</formula>
    </cfRule>
  </conditionalFormatting>
  <conditionalFormatting sqref="N134">
    <cfRule type="expression" dxfId="12896" priority="49858">
      <formula>$H134="CÉLULA CONSTRUTIVA"</formula>
    </cfRule>
    <cfRule type="expression" dxfId="12895" priority="49859">
      <formula>$H134="ETAPA"</formula>
    </cfRule>
  </conditionalFormatting>
  <conditionalFormatting sqref="N136">
    <cfRule type="expression" dxfId="12894" priority="49820">
      <formula>$H136="CÉLULA CONSTRUTIVA"</formula>
    </cfRule>
  </conditionalFormatting>
  <conditionalFormatting sqref="N136:N137 G137:K137">
    <cfRule type="expression" dxfId="12893" priority="49812">
      <formula>$H136="ETAPA"</formula>
    </cfRule>
  </conditionalFormatting>
  <conditionalFormatting sqref="N136:N137 G136:L136 G137:K137">
    <cfRule type="expression" dxfId="12892" priority="49810">
      <formula>$H136="CÉLULA CONSTRUTIVA"</formula>
    </cfRule>
  </conditionalFormatting>
  <conditionalFormatting sqref="N136:N137">
    <cfRule type="expression" dxfId="12891" priority="49819">
      <formula>$H136="SUBETAPA"</formula>
    </cfRule>
  </conditionalFormatting>
  <conditionalFormatting sqref="N137">
    <cfRule type="expression" dxfId="12890" priority="49821">
      <formula>$H137="CÉLULA CONSTRUTIVA"</formula>
    </cfRule>
    <cfRule type="expression" dxfId="12889" priority="49822">
      <formula>$H137="ETAPA"</formula>
    </cfRule>
  </conditionalFormatting>
  <conditionalFormatting sqref="N139">
    <cfRule type="expression" dxfId="12888" priority="49783">
      <formula>$H139="CÉLULA CONSTRUTIVA"</formula>
    </cfRule>
  </conditionalFormatting>
  <conditionalFormatting sqref="N145:N147 G145:J147">
    <cfRule type="expression" dxfId="12887" priority="50885">
      <formula>$H145="CÉLULA CONSTRUTIVA"</formula>
    </cfRule>
  </conditionalFormatting>
  <conditionalFormatting sqref="N145:N147">
    <cfRule type="expression" dxfId="12886" priority="50887">
      <formula>$H145="ETAPA"</formula>
    </cfRule>
    <cfRule type="expression" dxfId="12885" priority="50889">
      <formula>$H145="SUBETAPA"</formula>
    </cfRule>
  </conditionalFormatting>
  <conditionalFormatting sqref="N148">
    <cfRule type="expression" dxfId="12884" priority="49766">
      <formula>$H148="CÉLULA CONSTRUTIVA"</formula>
    </cfRule>
  </conditionalFormatting>
  <conditionalFormatting sqref="N148:N153">
    <cfRule type="expression" dxfId="12883" priority="49765">
      <formula>$H148="SUBETAPA"</formula>
    </cfRule>
  </conditionalFormatting>
  <conditionalFormatting sqref="N154:N156 G154:J156">
    <cfRule type="expression" dxfId="12882" priority="49731">
      <formula>$H154="CÉLULA CONSTRUTIVA"</formula>
    </cfRule>
  </conditionalFormatting>
  <conditionalFormatting sqref="N154:N156">
    <cfRule type="expression" dxfId="12881" priority="49733">
      <formula>$H154="ETAPA"</formula>
    </cfRule>
    <cfRule type="expression" dxfId="12880" priority="49735">
      <formula>$H154="SUBETAPA"</formula>
    </cfRule>
  </conditionalFormatting>
  <conditionalFormatting sqref="N157 G157:I157">
    <cfRule type="expression" dxfId="12879" priority="49698">
      <formula>$H157="CÉLULA CONSTRUTIVA"</formula>
    </cfRule>
  </conditionalFormatting>
  <conditionalFormatting sqref="N157">
    <cfRule type="expression" dxfId="12878" priority="49700">
      <formula>$H157="ETAPA"</formula>
    </cfRule>
    <cfRule type="expression" dxfId="12877" priority="49702">
      <formula>$H157="SUBETAPA"</formula>
    </cfRule>
  </conditionalFormatting>
  <conditionalFormatting sqref="N158">
    <cfRule type="expression" dxfId="12876" priority="49680">
      <formula>$H158="CÉLULA CONSTRUTIVA"</formula>
    </cfRule>
  </conditionalFormatting>
  <conditionalFormatting sqref="N158:N163">
    <cfRule type="expression" dxfId="12875" priority="49679">
      <formula>$H158="SUBETAPA"</formula>
    </cfRule>
  </conditionalFormatting>
  <conditionalFormatting sqref="N164:N166 G164:J166">
    <cfRule type="expression" dxfId="12874" priority="49645">
      <formula>$H164="CÉLULA CONSTRUTIVA"</formula>
    </cfRule>
  </conditionalFormatting>
  <conditionalFormatting sqref="N164:N166">
    <cfRule type="expression" dxfId="12873" priority="49647">
      <formula>$H164="ETAPA"</formula>
    </cfRule>
    <cfRule type="expression" dxfId="12872" priority="49649">
      <formula>$H164="SUBETAPA"</formula>
    </cfRule>
  </conditionalFormatting>
  <conditionalFormatting sqref="N167 G167:I167">
    <cfRule type="expression" dxfId="12871" priority="49612">
      <formula>$H167="CÉLULA CONSTRUTIVA"</formula>
    </cfRule>
  </conditionalFormatting>
  <conditionalFormatting sqref="N167">
    <cfRule type="expression" dxfId="12870" priority="49614">
      <formula>$H167="ETAPA"</formula>
    </cfRule>
    <cfRule type="expression" dxfId="12869" priority="49616">
      <formula>$H167="SUBETAPA"</formula>
    </cfRule>
  </conditionalFormatting>
  <conditionalFormatting sqref="N168">
    <cfRule type="expression" dxfId="12868" priority="49594">
      <formula>$H168="CÉLULA CONSTRUTIVA"</formula>
    </cfRule>
  </conditionalFormatting>
  <conditionalFormatting sqref="N168:N173">
    <cfRule type="expression" dxfId="12867" priority="49593">
      <formula>$H168="SUBETAPA"</formula>
    </cfRule>
  </conditionalFormatting>
  <conditionalFormatting sqref="N174:N176 G174:J176">
    <cfRule type="expression" dxfId="12866" priority="49559">
      <formula>$H174="CÉLULA CONSTRUTIVA"</formula>
    </cfRule>
  </conditionalFormatting>
  <conditionalFormatting sqref="N174:N176">
    <cfRule type="expression" dxfId="12865" priority="49561">
      <formula>$H174="ETAPA"</formula>
    </cfRule>
    <cfRule type="expression" dxfId="12864" priority="49563">
      <formula>$H174="SUBETAPA"</formula>
    </cfRule>
  </conditionalFormatting>
  <conditionalFormatting sqref="N177">
    <cfRule type="expression" dxfId="12863" priority="49509">
      <formula>$H177="CÉLULA CONSTRUTIVA"</formula>
    </cfRule>
  </conditionalFormatting>
  <conditionalFormatting sqref="N178">
    <cfRule type="expression" dxfId="12862" priority="3319">
      <formula>$H178="ETAPA"</formula>
    </cfRule>
    <cfRule type="expression" dxfId="12861" priority="3322">
      <formula>$H178="SUBETAPA"</formula>
    </cfRule>
  </conditionalFormatting>
  <conditionalFormatting sqref="N185 G185:J185">
    <cfRule type="expression" dxfId="12860" priority="3303">
      <formula>$H185="CÉLULA CONSTRUTIVA"</formula>
    </cfRule>
  </conditionalFormatting>
  <conditionalFormatting sqref="N185">
    <cfRule type="expression" dxfId="12859" priority="3305">
      <formula>$H185="ETAPA"</formula>
    </cfRule>
    <cfRule type="expression" dxfId="12858" priority="3307">
      <formula>$H185="SUBETAPA"</formula>
    </cfRule>
  </conditionalFormatting>
  <conditionalFormatting sqref="N186">
    <cfRule type="expression" dxfId="12857" priority="49491">
      <formula>$H186="CÉLULA CONSTRUTIVA"</formula>
    </cfRule>
  </conditionalFormatting>
  <conditionalFormatting sqref="N187">
    <cfRule type="expression" dxfId="12856" priority="3285">
      <formula>$H187="ETAPA"</formula>
    </cfRule>
    <cfRule type="expression" dxfId="12855" priority="3288">
      <formula>$H187="SUBETAPA"</formula>
    </cfRule>
  </conditionalFormatting>
  <conditionalFormatting sqref="N194 G194:J194">
    <cfRule type="expression" dxfId="12854" priority="3269">
      <formula>$H194="CÉLULA CONSTRUTIVA"</formula>
    </cfRule>
  </conditionalFormatting>
  <conditionalFormatting sqref="N194">
    <cfRule type="expression" dxfId="12853" priority="3271">
      <formula>$H194="ETAPA"</formula>
    </cfRule>
    <cfRule type="expression" dxfId="12852" priority="3273">
      <formula>$H194="SUBETAPA"</formula>
    </cfRule>
  </conditionalFormatting>
  <conditionalFormatting sqref="N195">
    <cfRule type="expression" dxfId="12851" priority="49473">
      <formula>$H195="CÉLULA CONSTRUTIVA"</formula>
    </cfRule>
  </conditionalFormatting>
  <conditionalFormatting sqref="N196">
    <cfRule type="expression" dxfId="12850" priority="3251">
      <formula>$H196="ETAPA"</formula>
    </cfRule>
    <cfRule type="expression" dxfId="12849" priority="3254">
      <formula>$H196="SUBETAPA"</formula>
    </cfRule>
  </conditionalFormatting>
  <conditionalFormatting sqref="N203 G203:J203">
    <cfRule type="expression" dxfId="12848" priority="3235">
      <formula>$H203="CÉLULA CONSTRUTIVA"</formula>
    </cfRule>
  </conditionalFormatting>
  <conditionalFormatting sqref="N203">
    <cfRule type="expression" dxfId="12847" priority="3237">
      <formula>$H203="ETAPA"</formula>
    </cfRule>
    <cfRule type="expression" dxfId="12846" priority="3239">
      <formula>$H203="SUBETAPA"</formula>
    </cfRule>
  </conditionalFormatting>
  <conditionalFormatting sqref="N204 L206 K206:K211 G210:J211 M206:O211">
    <cfRule type="expression" dxfId="12845" priority="46338">
      <formula>$H204="ETAPA"</formula>
    </cfRule>
  </conditionalFormatting>
  <conditionalFormatting sqref="N204">
    <cfRule type="expression" dxfId="12844" priority="46326">
      <formula>$H204="SUBETAPA"</formula>
    </cfRule>
    <cfRule type="expression" dxfId="12843" priority="46327">
      <formula>$H204="CÉLULA CONSTRUTIVA"</formula>
    </cfRule>
  </conditionalFormatting>
  <conditionalFormatting sqref="N205">
    <cfRule type="expression" dxfId="12842" priority="3217">
      <formula>$H205="ETAPA"</formula>
    </cfRule>
    <cfRule type="expression" dxfId="12841" priority="3220">
      <formula>$H205="SUBETAPA"</formula>
    </cfRule>
  </conditionalFormatting>
  <conditionalFormatting sqref="N212 G212:J212">
    <cfRule type="expression" dxfId="12840" priority="3201">
      <formula>$H212="CÉLULA CONSTRUTIVA"</formula>
    </cfRule>
  </conditionalFormatting>
  <conditionalFormatting sqref="N212">
    <cfRule type="expression" dxfId="12839" priority="3203">
      <formula>$H212="ETAPA"</formula>
    </cfRule>
    <cfRule type="expression" dxfId="12838" priority="3205">
      <formula>$H212="SUBETAPA"</formula>
    </cfRule>
  </conditionalFormatting>
  <conditionalFormatting sqref="N213">
    <cfRule type="expression" dxfId="12837" priority="49455">
      <formula>$H213="CÉLULA CONSTRUTIVA"</formula>
    </cfRule>
  </conditionalFormatting>
  <conditionalFormatting sqref="N214">
    <cfRule type="expression" dxfId="12836" priority="3183">
      <formula>$H214="ETAPA"</formula>
    </cfRule>
    <cfRule type="expression" dxfId="12835" priority="3186">
      <formula>$H214="SUBETAPA"</formula>
    </cfRule>
  </conditionalFormatting>
  <conditionalFormatting sqref="N221 G221:J221">
    <cfRule type="expression" dxfId="12834" priority="3167">
      <formula>$H221="CÉLULA CONSTRUTIVA"</formula>
    </cfRule>
  </conditionalFormatting>
  <conditionalFormatting sqref="N221">
    <cfRule type="expression" dxfId="12833" priority="3169">
      <formula>$H221="ETAPA"</formula>
    </cfRule>
    <cfRule type="expression" dxfId="12832" priority="3171">
      <formula>$H221="SUBETAPA"</formula>
    </cfRule>
  </conditionalFormatting>
  <conditionalFormatting sqref="N222">
    <cfRule type="expression" dxfId="12831" priority="49436">
      <formula>$H222="CÉLULA CONSTRUTIVA"</formula>
    </cfRule>
  </conditionalFormatting>
  <conditionalFormatting sqref="N222:N227">
    <cfRule type="expression" dxfId="12830" priority="49435">
      <formula>$H222="SUBETAPA"</formula>
    </cfRule>
  </conditionalFormatting>
  <conditionalFormatting sqref="N228:N230 G228:J230">
    <cfRule type="expression" dxfId="12829" priority="49401">
      <formula>$H228="CÉLULA CONSTRUTIVA"</formula>
    </cfRule>
  </conditionalFormatting>
  <conditionalFormatting sqref="N228:N230">
    <cfRule type="expression" dxfId="12828" priority="49403">
      <formula>$H228="ETAPA"</formula>
    </cfRule>
    <cfRule type="expression" dxfId="12827" priority="49405">
      <formula>$H228="SUBETAPA"</formula>
    </cfRule>
  </conditionalFormatting>
  <conditionalFormatting sqref="N231">
    <cfRule type="expression" dxfId="12826" priority="49386">
      <formula>$H231="CÉLULA CONSTRUTIVA"</formula>
    </cfRule>
  </conditionalFormatting>
  <conditionalFormatting sqref="N231:N236">
    <cfRule type="expression" dxfId="12825" priority="49385">
      <formula>$H231="SUBETAPA"</formula>
    </cfRule>
  </conditionalFormatting>
  <conditionalFormatting sqref="N237:N239 G237:J239">
    <cfRule type="expression" dxfId="12824" priority="49351">
      <formula>$H237="CÉLULA CONSTRUTIVA"</formula>
    </cfRule>
  </conditionalFormatting>
  <conditionalFormatting sqref="N237:N239">
    <cfRule type="expression" dxfId="12823" priority="49353">
      <formula>$H237="ETAPA"</formula>
    </cfRule>
    <cfRule type="expression" dxfId="12822" priority="49355">
      <formula>$H237="SUBETAPA"</formula>
    </cfRule>
  </conditionalFormatting>
  <conditionalFormatting sqref="N240">
    <cfRule type="expression" dxfId="12821" priority="49336">
      <formula>$H240="CÉLULA CONSTRUTIVA"</formula>
    </cfRule>
  </conditionalFormatting>
  <conditionalFormatting sqref="N240:N245">
    <cfRule type="expression" dxfId="12820" priority="49335">
      <formula>$H240="SUBETAPA"</formula>
    </cfRule>
  </conditionalFormatting>
  <conditionalFormatting sqref="N246:N248 G246:J248">
    <cfRule type="expression" dxfId="12819" priority="49301">
      <formula>$H246="CÉLULA CONSTRUTIVA"</formula>
    </cfRule>
  </conditionalFormatting>
  <conditionalFormatting sqref="N246:N248">
    <cfRule type="expression" dxfId="12818" priority="49303">
      <formula>$H246="ETAPA"</formula>
    </cfRule>
    <cfRule type="expression" dxfId="12817" priority="49305">
      <formula>$H246="SUBETAPA"</formula>
    </cfRule>
  </conditionalFormatting>
  <conditionalFormatting sqref="N249">
    <cfRule type="expression" dxfId="12816" priority="49286">
      <formula>$H249="CÉLULA CONSTRUTIVA"</formula>
    </cfRule>
  </conditionalFormatting>
  <conditionalFormatting sqref="N249:N254">
    <cfRule type="expression" dxfId="12815" priority="49285">
      <formula>$H249="SUBETAPA"</formula>
    </cfRule>
  </conditionalFormatting>
  <conditionalFormatting sqref="N255:N257 G255:J257">
    <cfRule type="expression" dxfId="12814" priority="49251">
      <formula>$H255="CÉLULA CONSTRUTIVA"</formula>
    </cfRule>
  </conditionalFormatting>
  <conditionalFormatting sqref="N255:N257">
    <cfRule type="expression" dxfId="12813" priority="49253">
      <formula>$H255="ETAPA"</formula>
    </cfRule>
    <cfRule type="expression" dxfId="12812" priority="49255">
      <formula>$H255="SUBETAPA"</formula>
    </cfRule>
  </conditionalFormatting>
  <conditionalFormatting sqref="N258">
    <cfRule type="expression" dxfId="12811" priority="49236">
      <formula>$H258="CÉLULA CONSTRUTIVA"</formula>
    </cfRule>
  </conditionalFormatting>
  <conditionalFormatting sqref="N258:N263">
    <cfRule type="expression" dxfId="12810" priority="49235">
      <formula>$H258="SUBETAPA"</formula>
    </cfRule>
  </conditionalFormatting>
  <conditionalFormatting sqref="N264:N266 G264:J266">
    <cfRule type="expression" dxfId="12809" priority="49201">
      <formula>$H264="CÉLULA CONSTRUTIVA"</formula>
    </cfRule>
  </conditionalFormatting>
  <conditionalFormatting sqref="N264:N266">
    <cfRule type="expression" dxfId="12808" priority="49203">
      <formula>$H264="ETAPA"</formula>
    </cfRule>
    <cfRule type="expression" dxfId="12807" priority="49205">
      <formula>$H264="SUBETAPA"</formula>
    </cfRule>
  </conditionalFormatting>
  <conditionalFormatting sqref="N267">
    <cfRule type="expression" dxfId="12806" priority="49186">
      <formula>$H267="CÉLULA CONSTRUTIVA"</formula>
    </cfRule>
  </conditionalFormatting>
  <conditionalFormatting sqref="N267:N272">
    <cfRule type="expression" dxfId="12805" priority="49185">
      <formula>$H267="SUBETAPA"</formula>
    </cfRule>
  </conditionalFormatting>
  <conditionalFormatting sqref="N274">
    <cfRule type="expression" dxfId="12804" priority="49150">
      <formula>$H274="CÉLULA CONSTRUTIVA"</formula>
    </cfRule>
  </conditionalFormatting>
  <conditionalFormatting sqref="N280">
    <cfRule type="expression" dxfId="12803" priority="49130">
      <formula>$H280="SUBETAPA"</formula>
    </cfRule>
    <cfRule type="expression" dxfId="12802" priority="49131">
      <formula>$H280="CÉLULA CONSTRUTIVA"</formula>
    </cfRule>
  </conditionalFormatting>
  <conditionalFormatting sqref="N282 G141:J144 K141:K147">
    <cfRule type="expression" dxfId="12801" priority="50926">
      <formula>$H141="ETAPA"</formula>
    </cfRule>
  </conditionalFormatting>
  <conditionalFormatting sqref="N282">
    <cfRule type="expression" dxfId="12800" priority="50922">
      <formula>$H282="SUBETAPA"</formula>
    </cfRule>
  </conditionalFormatting>
  <conditionalFormatting sqref="N283">
    <cfRule type="expression" dxfId="12799" priority="49111">
      <formula>$H283="SUBETAPA"</formula>
    </cfRule>
    <cfRule type="expression" dxfId="12798" priority="49112">
      <formula>$H283="CÉLULA CONSTRUTIVA"</formula>
    </cfRule>
  </conditionalFormatting>
  <conditionalFormatting sqref="N284 L283:M283">
    <cfRule type="expression" dxfId="12797" priority="49107">
      <formula>$H283="SUBETAPA"</formula>
    </cfRule>
  </conditionalFormatting>
  <conditionalFormatting sqref="N284">
    <cfRule type="expression" dxfId="12796" priority="49109">
      <formula>$H284="ETAPA"</formula>
    </cfRule>
  </conditionalFormatting>
  <conditionalFormatting sqref="N285">
    <cfRule type="expression" dxfId="12795" priority="49065">
      <formula>$H285="SUBETAPA"</formula>
    </cfRule>
    <cfRule type="expression" dxfId="12794" priority="49066">
      <formula>$H285="CÉLULA CONSTRUTIVA"</formula>
    </cfRule>
  </conditionalFormatting>
  <conditionalFormatting sqref="N286 L285:M285">
    <cfRule type="expression" dxfId="12793" priority="49061">
      <formula>$H285="SUBETAPA"</formula>
    </cfRule>
  </conditionalFormatting>
  <conditionalFormatting sqref="N286">
    <cfRule type="expression" dxfId="12792" priority="49063">
      <formula>$H286="ETAPA"</formula>
    </cfRule>
  </conditionalFormatting>
  <conditionalFormatting sqref="N287">
    <cfRule type="expression" dxfId="12791" priority="49019">
      <formula>$H287="SUBETAPA"</formula>
    </cfRule>
    <cfRule type="expression" dxfId="12790" priority="49020">
      <formula>$H287="CÉLULA CONSTRUTIVA"</formula>
    </cfRule>
  </conditionalFormatting>
  <conditionalFormatting sqref="N288 L287:M287">
    <cfRule type="expression" dxfId="12789" priority="49015">
      <formula>$H287="SUBETAPA"</formula>
    </cfRule>
  </conditionalFormatting>
  <conditionalFormatting sqref="N288">
    <cfRule type="expression" dxfId="12788" priority="49017">
      <formula>$H288="ETAPA"</formula>
    </cfRule>
  </conditionalFormatting>
  <conditionalFormatting sqref="N289">
    <cfRule type="expression" dxfId="12787" priority="48973">
      <formula>$H289="SUBETAPA"</formula>
    </cfRule>
    <cfRule type="expression" dxfId="12786" priority="48974">
      <formula>$H289="CÉLULA CONSTRUTIVA"</formula>
    </cfRule>
  </conditionalFormatting>
  <conditionalFormatting sqref="N290 L289:M289">
    <cfRule type="expression" dxfId="12785" priority="48969">
      <formula>$H289="SUBETAPA"</formula>
    </cfRule>
  </conditionalFormatting>
  <conditionalFormatting sqref="N290">
    <cfRule type="expression" dxfId="12784" priority="48971">
      <formula>$H290="ETAPA"</formula>
    </cfRule>
  </conditionalFormatting>
  <conditionalFormatting sqref="N291">
    <cfRule type="expression" dxfId="12783" priority="48927">
      <formula>$H291="SUBETAPA"</formula>
    </cfRule>
    <cfRule type="expression" dxfId="12782" priority="48928">
      <formula>$H291="CÉLULA CONSTRUTIVA"</formula>
    </cfRule>
  </conditionalFormatting>
  <conditionalFormatting sqref="N292 L291:M291">
    <cfRule type="expression" dxfId="12781" priority="48923">
      <formula>$H291="SUBETAPA"</formula>
    </cfRule>
  </conditionalFormatting>
  <conditionalFormatting sqref="N292">
    <cfRule type="expression" dxfId="12780" priority="48925">
      <formula>$H292="ETAPA"</formula>
    </cfRule>
  </conditionalFormatting>
  <conditionalFormatting sqref="N293">
    <cfRule type="expression" dxfId="12779" priority="48881">
      <formula>$H293="SUBETAPA"</formula>
    </cfRule>
    <cfRule type="expression" dxfId="12778" priority="48882">
      <formula>$H293="CÉLULA CONSTRUTIVA"</formula>
    </cfRule>
  </conditionalFormatting>
  <conditionalFormatting sqref="N294 L293:M293">
    <cfRule type="expression" dxfId="12777" priority="48877">
      <formula>$H293="SUBETAPA"</formula>
    </cfRule>
  </conditionalFormatting>
  <conditionalFormatting sqref="N294">
    <cfRule type="expression" dxfId="12776" priority="48879">
      <formula>$H294="ETAPA"</formula>
    </cfRule>
  </conditionalFormatting>
  <conditionalFormatting sqref="N295">
    <cfRule type="expression" dxfId="12775" priority="46292">
      <formula>$H295="SUBETAPA"</formula>
    </cfRule>
    <cfRule type="expression" dxfId="12774" priority="46293">
      <formula>$H295="CÉLULA CONSTRUTIVA"</formula>
    </cfRule>
  </conditionalFormatting>
  <conditionalFormatting sqref="N296">
    <cfRule type="expression" dxfId="12773" priority="46290">
      <formula>$H296="ETAPA"</formula>
    </cfRule>
  </conditionalFormatting>
  <conditionalFormatting sqref="N297">
    <cfRule type="expression" dxfId="12772" priority="48835">
      <formula>$H297="SUBETAPA"</formula>
    </cfRule>
    <cfRule type="expression" dxfId="12771" priority="48836">
      <formula>$H297="CÉLULA CONSTRUTIVA"</formula>
    </cfRule>
  </conditionalFormatting>
  <conditionalFormatting sqref="N298 L297:M297">
    <cfRule type="expression" dxfId="12770" priority="48831">
      <formula>$H297="SUBETAPA"</formula>
    </cfRule>
  </conditionalFormatting>
  <conditionalFormatting sqref="N298">
    <cfRule type="expression" dxfId="12769" priority="48833">
      <formula>$H298="ETAPA"</formula>
    </cfRule>
  </conditionalFormatting>
  <conditionalFormatting sqref="N299">
    <cfRule type="expression" dxfId="12768" priority="48789">
      <formula>$H299="SUBETAPA"</formula>
    </cfRule>
    <cfRule type="expression" dxfId="12767" priority="48790">
      <formula>$H299="CÉLULA CONSTRUTIVA"</formula>
    </cfRule>
  </conditionalFormatting>
  <conditionalFormatting sqref="N300 L299:M299">
    <cfRule type="expression" dxfId="12766" priority="48785">
      <formula>$H299="SUBETAPA"</formula>
    </cfRule>
  </conditionalFormatting>
  <conditionalFormatting sqref="N300">
    <cfRule type="expression" dxfId="12765" priority="48787">
      <formula>$H300="ETAPA"</formula>
    </cfRule>
  </conditionalFormatting>
  <conditionalFormatting sqref="N301">
    <cfRule type="expression" dxfId="12764" priority="48743">
      <formula>$H301="SUBETAPA"</formula>
    </cfRule>
    <cfRule type="expression" dxfId="12763" priority="48744">
      <formula>$H301="CÉLULA CONSTRUTIVA"</formula>
    </cfRule>
  </conditionalFormatting>
  <conditionalFormatting sqref="N302 L301:M301">
    <cfRule type="expression" dxfId="12762" priority="48739">
      <formula>$H301="SUBETAPA"</formula>
    </cfRule>
  </conditionalFormatting>
  <conditionalFormatting sqref="N302">
    <cfRule type="expression" dxfId="12761" priority="48741">
      <formula>$H302="ETAPA"</formula>
    </cfRule>
  </conditionalFormatting>
  <conditionalFormatting sqref="N303">
    <cfRule type="expression" dxfId="12760" priority="48697">
      <formula>$H303="SUBETAPA"</formula>
    </cfRule>
    <cfRule type="expression" dxfId="12759" priority="48698">
      <formula>$H303="CÉLULA CONSTRUTIVA"</formula>
    </cfRule>
  </conditionalFormatting>
  <conditionalFormatting sqref="N304">
    <cfRule type="expression" dxfId="12758" priority="48693">
      <formula>$H304="SUBETAPA"</formula>
    </cfRule>
    <cfRule type="expression" dxfId="12757" priority="48695">
      <formula>$H304="ETAPA"</formula>
    </cfRule>
  </conditionalFormatting>
  <conditionalFormatting sqref="N305">
    <cfRule type="expression" dxfId="12756" priority="48651">
      <formula>$H305="SUBETAPA"</formula>
    </cfRule>
    <cfRule type="expression" dxfId="12755" priority="48652">
      <formula>$H305="CÉLULA CONSTRUTIVA"</formula>
    </cfRule>
  </conditionalFormatting>
  <conditionalFormatting sqref="N306 L305:M305">
    <cfRule type="expression" dxfId="12754" priority="48647">
      <formula>$H305="SUBETAPA"</formula>
    </cfRule>
  </conditionalFormatting>
  <conditionalFormatting sqref="N306">
    <cfRule type="expression" dxfId="12753" priority="48649">
      <formula>$H306="ETAPA"</formula>
    </cfRule>
  </conditionalFormatting>
  <conditionalFormatting sqref="N307">
    <cfRule type="expression" dxfId="12752" priority="48605">
      <formula>$H307="SUBETAPA"</formula>
    </cfRule>
    <cfRule type="expression" dxfId="12751" priority="48606">
      <formula>$H307="CÉLULA CONSTRUTIVA"</formula>
    </cfRule>
  </conditionalFormatting>
  <conditionalFormatting sqref="N308">
    <cfRule type="expression" dxfId="12750" priority="48601">
      <formula>$H308="SUBETAPA"</formula>
    </cfRule>
    <cfRule type="expression" dxfId="12749" priority="48603">
      <formula>$H308="ETAPA"</formula>
    </cfRule>
  </conditionalFormatting>
  <conditionalFormatting sqref="N309">
    <cfRule type="expression" dxfId="12748" priority="48559">
      <formula>$H309="SUBETAPA"</formula>
    </cfRule>
    <cfRule type="expression" dxfId="12747" priority="48560">
      <formula>$H309="CÉLULA CONSTRUTIVA"</formula>
    </cfRule>
  </conditionalFormatting>
  <conditionalFormatting sqref="N310 L309:M309">
    <cfRule type="expression" dxfId="12746" priority="48555">
      <formula>$H309="SUBETAPA"</formula>
    </cfRule>
  </conditionalFormatting>
  <conditionalFormatting sqref="N310">
    <cfRule type="expression" dxfId="12745" priority="48557">
      <formula>$H310="ETAPA"</formula>
    </cfRule>
  </conditionalFormatting>
  <conditionalFormatting sqref="N311">
    <cfRule type="expression" dxfId="12744" priority="48513">
      <formula>$H311="SUBETAPA"</formula>
    </cfRule>
    <cfRule type="expression" dxfId="12743" priority="48514">
      <formula>$H311="CÉLULA CONSTRUTIVA"</formula>
    </cfRule>
  </conditionalFormatting>
  <conditionalFormatting sqref="N313">
    <cfRule type="expression" dxfId="12742" priority="48441">
      <formula>$H313="SUBETAPA"</formula>
    </cfRule>
    <cfRule type="expression" dxfId="12741" priority="48442">
      <formula>$H313="CÉLULA CONSTRUTIVA"</formula>
    </cfRule>
  </conditionalFormatting>
  <conditionalFormatting sqref="N314">
    <cfRule type="expression" dxfId="12740" priority="48454">
      <formula>$H314="SUBETAPA"</formula>
    </cfRule>
    <cfRule type="expression" dxfId="12739" priority="48455">
      <formula>$H314="CÉLULA CONSTRUTIVA"</formula>
    </cfRule>
  </conditionalFormatting>
  <conditionalFormatting sqref="N315">
    <cfRule type="expression" dxfId="12738" priority="48414">
      <formula>$H315="SUBETAPA"</formula>
    </cfRule>
    <cfRule type="expression" dxfId="12737" priority="48415">
      <formula>$H315="CÉLULA CONSTRUTIVA"</formula>
    </cfRule>
    <cfRule type="expression" dxfId="12736" priority="48416">
      <formula>$H315="ETAPA"</formula>
    </cfRule>
  </conditionalFormatting>
  <conditionalFormatting sqref="N316">
    <cfRule type="expression" dxfId="12735" priority="48424">
      <formula>$H316="SUBETAPA"</formula>
    </cfRule>
    <cfRule type="expression" dxfId="12734" priority="48425">
      <formula>$H316="CÉLULA CONSTRUTIVA"</formula>
    </cfRule>
  </conditionalFormatting>
  <conditionalFormatting sqref="N317">
    <cfRule type="expression" dxfId="12733" priority="48387">
      <formula>$H317="SUBETAPA"</formula>
    </cfRule>
    <cfRule type="expression" dxfId="12732" priority="48388">
      <formula>$H317="CÉLULA CONSTRUTIVA"</formula>
    </cfRule>
    <cfRule type="expression" dxfId="12731" priority="48389">
      <formula>$H317="ETAPA"</formula>
    </cfRule>
  </conditionalFormatting>
  <conditionalFormatting sqref="N318">
    <cfRule type="expression" dxfId="12730" priority="48353">
      <formula>$H318="SUBETAPA"</formula>
    </cfRule>
    <cfRule type="expression" dxfId="12729" priority="48354">
      <formula>$H318="CÉLULA CONSTRUTIVA"</formula>
    </cfRule>
  </conditionalFormatting>
  <conditionalFormatting sqref="N319">
    <cfRule type="expression" dxfId="12728" priority="48328">
      <formula>$H319="SUBETAPA"</formula>
    </cfRule>
    <cfRule type="expression" dxfId="12727" priority="48329">
      <formula>$H319="CÉLULA CONSTRUTIVA"</formula>
    </cfRule>
    <cfRule type="expression" dxfId="12726" priority="48330">
      <formula>$H319="ETAPA"</formula>
    </cfRule>
  </conditionalFormatting>
  <conditionalFormatting sqref="N320">
    <cfRule type="expression" dxfId="12725" priority="48338">
      <formula>$H320="SUBETAPA"</formula>
    </cfRule>
    <cfRule type="expression" dxfId="12724" priority="48339">
      <formula>$H320="CÉLULA CONSTRUTIVA"</formula>
    </cfRule>
  </conditionalFormatting>
  <conditionalFormatting sqref="N321">
    <cfRule type="expression" dxfId="12723" priority="48301">
      <formula>$H321="SUBETAPA"</formula>
    </cfRule>
    <cfRule type="expression" dxfId="12722" priority="48302">
      <formula>$H321="CÉLULA CONSTRUTIVA"</formula>
    </cfRule>
    <cfRule type="expression" dxfId="12721" priority="48303">
      <formula>$H321="ETAPA"</formula>
    </cfRule>
  </conditionalFormatting>
  <conditionalFormatting sqref="N322">
    <cfRule type="expression" dxfId="12720" priority="48267">
      <formula>$H322="SUBETAPA"</formula>
    </cfRule>
    <cfRule type="expression" dxfId="12719" priority="48268">
      <formula>$H322="CÉLULA CONSTRUTIVA"</formula>
    </cfRule>
  </conditionalFormatting>
  <conditionalFormatting sqref="N323">
    <cfRule type="expression" dxfId="12718" priority="48242">
      <formula>$H323="SUBETAPA"</formula>
    </cfRule>
    <cfRule type="expression" dxfId="12717" priority="48243">
      <formula>$H323="CÉLULA CONSTRUTIVA"</formula>
    </cfRule>
    <cfRule type="expression" dxfId="12716" priority="48244">
      <formula>$H323="ETAPA"</formula>
    </cfRule>
  </conditionalFormatting>
  <conditionalFormatting sqref="N324">
    <cfRule type="expression" dxfId="12715" priority="48251">
      <formula>$H324="ETAPA"</formula>
    </cfRule>
    <cfRule type="expression" dxfId="12714" priority="48252">
      <formula>$H324="SUBETAPA"</formula>
    </cfRule>
    <cfRule type="expression" dxfId="12713" priority="48253">
      <formula>$H324="CÉLULA CONSTRUTIVA"</formula>
    </cfRule>
  </conditionalFormatting>
  <conditionalFormatting sqref="N325">
    <cfRule type="expression" dxfId="12712" priority="48215">
      <formula>$H325="SUBETAPA"</formula>
    </cfRule>
    <cfRule type="expression" dxfId="12711" priority="48216">
      <formula>$H325="CÉLULA CONSTRUTIVA"</formula>
    </cfRule>
    <cfRule type="expression" dxfId="12710" priority="48217">
      <formula>$H325="ETAPA"</formula>
    </cfRule>
  </conditionalFormatting>
  <conditionalFormatting sqref="N326">
    <cfRule type="expression" dxfId="12709" priority="48181">
      <formula>$H326="SUBETAPA"</formula>
    </cfRule>
    <cfRule type="expression" dxfId="12708" priority="48182">
      <formula>$H326="CÉLULA CONSTRUTIVA"</formula>
    </cfRule>
  </conditionalFormatting>
  <conditionalFormatting sqref="N327">
    <cfRule type="expression" dxfId="12707" priority="48158">
      <formula>$H327="SUBETAPA"</formula>
    </cfRule>
    <cfRule type="expression" dxfId="12706" priority="48159">
      <formula>$H327="CÉLULA CONSTRUTIVA"</formula>
    </cfRule>
    <cfRule type="expression" dxfId="12705" priority="48160">
      <formula>$H327="ETAPA"</formula>
    </cfRule>
  </conditionalFormatting>
  <conditionalFormatting sqref="N328">
    <cfRule type="expression" dxfId="12704" priority="46241">
      <formula>$H328="SUBETAPA"</formula>
    </cfRule>
    <cfRule type="expression" dxfId="12703" priority="46242">
      <formula>$H328="CÉLULA CONSTRUTIVA"</formula>
    </cfRule>
  </conditionalFormatting>
  <conditionalFormatting sqref="N329">
    <cfRule type="expression" dxfId="12702" priority="46231">
      <formula>$H329="SUBETAPA"</formula>
    </cfRule>
    <cfRule type="expression" dxfId="12701" priority="46232">
      <formula>$H329="CÉLULA CONSTRUTIVA"</formula>
    </cfRule>
    <cfRule type="expression" dxfId="12700" priority="46233">
      <formula>$H329="ETAPA"</formula>
    </cfRule>
  </conditionalFormatting>
  <conditionalFormatting sqref="N330">
    <cfRule type="expression" dxfId="12699" priority="48163">
      <formula>$H330="ETAPA"</formula>
    </cfRule>
    <cfRule type="expression" dxfId="12698" priority="48166">
      <formula>$H330="SUBETAPA"</formula>
    </cfRule>
    <cfRule type="expression" dxfId="12697" priority="48167">
      <formula>$H330="CÉLULA CONSTRUTIVA"</formula>
    </cfRule>
  </conditionalFormatting>
  <conditionalFormatting sqref="N331">
    <cfRule type="expression" dxfId="12696" priority="48132">
      <formula>$H331="SUBETAPA"</formula>
    </cfRule>
    <cfRule type="expression" dxfId="12695" priority="48133">
      <formula>$H331="CÉLULA CONSTRUTIVA"</formula>
    </cfRule>
    <cfRule type="expression" dxfId="12694" priority="48134">
      <formula>$H331="ETAPA"</formula>
    </cfRule>
  </conditionalFormatting>
  <conditionalFormatting sqref="N332">
    <cfRule type="expression" dxfId="12693" priority="48095">
      <formula>$H332="ETAPA"</formula>
    </cfRule>
    <cfRule type="expression" dxfId="12692" priority="48098">
      <formula>$H332="SUBETAPA"</formula>
    </cfRule>
    <cfRule type="expression" dxfId="12691" priority="48099">
      <formula>$H332="CÉLULA CONSTRUTIVA"</formula>
    </cfRule>
  </conditionalFormatting>
  <conditionalFormatting sqref="N333">
    <cfRule type="expression" dxfId="12690" priority="48077">
      <formula>$H333="SUBETAPA"</formula>
    </cfRule>
    <cfRule type="expression" dxfId="12689" priority="48078">
      <formula>$H333="CÉLULA CONSTRUTIVA"</formula>
    </cfRule>
    <cfRule type="expression" dxfId="12688" priority="48079">
      <formula>$H333="ETAPA"</formula>
    </cfRule>
  </conditionalFormatting>
  <conditionalFormatting sqref="N334">
    <cfRule type="expression" dxfId="12687" priority="48082">
      <formula>$H334="ETAPA"</formula>
    </cfRule>
    <cfRule type="expression" dxfId="12686" priority="48085">
      <formula>$H334="SUBETAPA"</formula>
    </cfRule>
    <cfRule type="expression" dxfId="12685" priority="48086">
      <formula>$H334="CÉLULA CONSTRUTIVA"</formula>
    </cfRule>
  </conditionalFormatting>
  <conditionalFormatting sqref="N335">
    <cfRule type="expression" dxfId="12684" priority="48050">
      <formula>$H335="SUBETAPA"</formula>
    </cfRule>
    <cfRule type="expression" dxfId="12683" priority="48051">
      <formula>$H335="CÉLULA CONSTRUTIVA"</formula>
    </cfRule>
    <cfRule type="expression" dxfId="12682" priority="48052">
      <formula>$H335="ETAPA"</formula>
    </cfRule>
  </conditionalFormatting>
  <conditionalFormatting sqref="N336">
    <cfRule type="expression" dxfId="12681" priority="48013">
      <formula>$H336="ETAPA"</formula>
    </cfRule>
    <cfRule type="expression" dxfId="12680" priority="48016">
      <formula>$H336="SUBETAPA"</formula>
    </cfRule>
    <cfRule type="expression" dxfId="12679" priority="48017">
      <formula>$H336="CÉLULA CONSTRUTIVA"</formula>
    </cfRule>
  </conditionalFormatting>
  <conditionalFormatting sqref="N337">
    <cfRule type="expression" dxfId="12678" priority="47995">
      <formula>$H337="SUBETAPA"</formula>
    </cfRule>
    <cfRule type="expression" dxfId="12677" priority="47996">
      <formula>$H337="CÉLULA CONSTRUTIVA"</formula>
    </cfRule>
    <cfRule type="expression" dxfId="12676" priority="47997">
      <formula>$H337="ETAPA"</formula>
    </cfRule>
  </conditionalFormatting>
  <conditionalFormatting sqref="N338">
    <cfRule type="expression" dxfId="12675" priority="48000">
      <formula>$H338="ETAPA"</formula>
    </cfRule>
    <cfRule type="expression" dxfId="12674" priority="48003">
      <formula>$H338="SUBETAPA"</formula>
    </cfRule>
    <cfRule type="expression" dxfId="12673" priority="48004">
      <formula>$H338="CÉLULA CONSTRUTIVA"</formula>
    </cfRule>
  </conditionalFormatting>
  <conditionalFormatting sqref="N339">
    <cfRule type="expression" dxfId="12672" priority="47968">
      <formula>$H339="SUBETAPA"</formula>
    </cfRule>
    <cfRule type="expression" dxfId="12671" priority="47969">
      <formula>$H339="CÉLULA CONSTRUTIVA"</formula>
    </cfRule>
    <cfRule type="expression" dxfId="12670" priority="47970">
      <formula>$H339="ETAPA"</formula>
    </cfRule>
  </conditionalFormatting>
  <conditionalFormatting sqref="N340">
    <cfRule type="expression" dxfId="12669" priority="47934">
      <formula>$H340="SUBETAPA"</formula>
    </cfRule>
    <cfRule type="expression" dxfId="12668" priority="47935">
      <formula>$H340="CÉLULA CONSTRUTIVA"</formula>
    </cfRule>
  </conditionalFormatting>
  <conditionalFormatting sqref="N341">
    <cfRule type="expression" dxfId="12667" priority="47911">
      <formula>$H341="SUBETAPA"</formula>
    </cfRule>
    <cfRule type="expression" dxfId="12666" priority="47912">
      <formula>$H341="CÉLULA CONSTRUTIVA"</formula>
    </cfRule>
    <cfRule type="expression" dxfId="12665" priority="47913">
      <formula>$H341="ETAPA"</formula>
    </cfRule>
  </conditionalFormatting>
  <conditionalFormatting sqref="N342">
    <cfRule type="expression" dxfId="12664" priority="47916">
      <formula>$H342="ETAPA"</formula>
    </cfRule>
    <cfRule type="expression" dxfId="12663" priority="47919">
      <formula>$H342="SUBETAPA"</formula>
    </cfRule>
    <cfRule type="expression" dxfId="12662" priority="47920">
      <formula>$H342="CÉLULA CONSTRUTIVA"</formula>
    </cfRule>
  </conditionalFormatting>
  <conditionalFormatting sqref="N343">
    <cfRule type="expression" dxfId="12661" priority="47884">
      <formula>$H343="SUBETAPA"</formula>
    </cfRule>
    <cfRule type="expression" dxfId="12660" priority="47885">
      <formula>$H343="CÉLULA CONSTRUTIVA"</formula>
    </cfRule>
    <cfRule type="expression" dxfId="12659" priority="47886">
      <formula>$H343="ETAPA"</formula>
    </cfRule>
  </conditionalFormatting>
  <conditionalFormatting sqref="N344">
    <cfRule type="expression" dxfId="12658" priority="47850">
      <formula>$H344="SUBETAPA"</formula>
    </cfRule>
    <cfRule type="expression" dxfId="12657" priority="47851">
      <formula>$H344="CÉLULA CONSTRUTIVA"</formula>
    </cfRule>
  </conditionalFormatting>
  <conditionalFormatting sqref="N346">
    <cfRule type="expression" dxfId="12656" priority="48469">
      <formula>$H346="SUBETAPA"</formula>
    </cfRule>
    <cfRule type="expression" dxfId="12655" priority="48470">
      <formula>$H346="CÉLULA CONSTRUTIVA"</formula>
    </cfRule>
  </conditionalFormatting>
  <conditionalFormatting sqref="N347">
    <cfRule type="expression" dxfId="12654" priority="47808">
      <formula>$H347="SUBETAPA"</formula>
    </cfRule>
    <cfRule type="expression" dxfId="12653"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52" priority="6006">
      <formula>$H348="SUBETAPA"</formula>
    </cfRule>
    <cfRule type="expression" dxfId="12651" priority="6007">
      <formula>$H348="ETAPA"</formula>
    </cfRule>
  </conditionalFormatting>
  <conditionalFormatting sqref="N349">
    <cfRule type="expression" dxfId="12650" priority="47762">
      <formula>$H349="SUBETAPA"</formula>
    </cfRule>
    <cfRule type="expression" dxfId="12649" priority="47763">
      <formula>$H349="CÉLULA CONSTRUTIVA"</formula>
    </cfRule>
  </conditionalFormatting>
  <conditionalFormatting sqref="N350">
    <cfRule type="expression" dxfId="12648" priority="47758">
      <formula>$H350="SUBETAPA"</formula>
    </cfRule>
    <cfRule type="expression" dxfId="12647" priority="47760">
      <formula>$H350="ETAPA"</formula>
    </cfRule>
  </conditionalFormatting>
  <conditionalFormatting sqref="N351">
    <cfRule type="expression" dxfId="12646" priority="47719">
      <formula>$H351="SUBETAPA"</formula>
    </cfRule>
    <cfRule type="expression" dxfId="12645" priority="47720">
      <formula>$H351="CÉLULA CONSTRUTIVA"</formula>
    </cfRule>
  </conditionalFormatting>
  <conditionalFormatting sqref="N353">
    <cfRule type="expression" dxfId="12644" priority="47676">
      <formula>$H353="SUBETAPA"</formula>
    </cfRule>
    <cfRule type="expression" dxfId="12643" priority="47677">
      <formula>$H353="CÉLULA CONSTRUTIVA"</formula>
    </cfRule>
  </conditionalFormatting>
  <conditionalFormatting sqref="N354">
    <cfRule type="expression" dxfId="12642" priority="47672">
      <formula>$H354="SUBETAPA"</formula>
    </cfRule>
    <cfRule type="expression" dxfId="12641" priority="47674">
      <formula>$H354="ETAPA"</formula>
    </cfRule>
  </conditionalFormatting>
  <conditionalFormatting sqref="N355">
    <cfRule type="expression" dxfId="12640" priority="47633">
      <formula>$H355="SUBETAPA"</formula>
    </cfRule>
    <cfRule type="expression" dxfId="12639" priority="47634">
      <formula>$H355="CÉLULA CONSTRUTIVA"</formula>
    </cfRule>
  </conditionalFormatting>
  <conditionalFormatting sqref="N356">
    <cfRule type="expression" dxfId="12638" priority="47629">
      <formula>$H356="SUBETAPA"</formula>
    </cfRule>
    <cfRule type="expression" dxfId="12637" priority="47631">
      <formula>$H356="ETAPA"</formula>
    </cfRule>
  </conditionalFormatting>
  <conditionalFormatting sqref="N357">
    <cfRule type="expression" dxfId="12636" priority="47590">
      <formula>$H357="SUBETAPA"</formula>
    </cfRule>
    <cfRule type="expression" dxfId="12635" priority="47591">
      <formula>$H357="CÉLULA CONSTRUTIVA"</formula>
    </cfRule>
  </conditionalFormatting>
  <conditionalFormatting sqref="N358">
    <cfRule type="expression" dxfId="12634" priority="47586">
      <formula>$H358="SUBETAPA"</formula>
    </cfRule>
    <cfRule type="expression" dxfId="12633" priority="47588">
      <formula>$H358="ETAPA"</formula>
    </cfRule>
  </conditionalFormatting>
  <conditionalFormatting sqref="N359">
    <cfRule type="expression" dxfId="12632" priority="46194">
      <formula>$H359="SUBETAPA"</formula>
    </cfRule>
    <cfRule type="expression" dxfId="12631" priority="46195">
      <formula>$H359="CÉLULA CONSTRUTIVA"</formula>
    </cfRule>
  </conditionalFormatting>
  <conditionalFormatting sqref="N360">
    <cfRule type="expression" dxfId="12630" priority="46192">
      <formula>$H360="ETAPA"</formula>
    </cfRule>
  </conditionalFormatting>
  <conditionalFormatting sqref="N361">
    <cfRule type="expression" dxfId="12629" priority="47547">
      <formula>$H361="SUBETAPA"</formula>
    </cfRule>
    <cfRule type="expression" dxfId="12628" priority="47548">
      <formula>$H361="CÉLULA CONSTRUTIVA"</formula>
    </cfRule>
  </conditionalFormatting>
  <conditionalFormatting sqref="N362">
    <cfRule type="expression" dxfId="12627" priority="47543">
      <formula>$H362="SUBETAPA"</formula>
    </cfRule>
    <cfRule type="expression" dxfId="12626" priority="47545">
      <formula>$H362="ETAPA"</formula>
    </cfRule>
  </conditionalFormatting>
  <conditionalFormatting sqref="N363">
    <cfRule type="expression" dxfId="12625" priority="47504">
      <formula>$H363="SUBETAPA"</formula>
    </cfRule>
    <cfRule type="expression" dxfId="12624" priority="47505">
      <formula>$H363="CÉLULA CONSTRUTIVA"</formula>
    </cfRule>
  </conditionalFormatting>
  <conditionalFormatting sqref="N364">
    <cfRule type="expression" dxfId="12623" priority="47500">
      <formula>$H364="SUBETAPA"</formula>
    </cfRule>
    <cfRule type="expression" dxfId="12622" priority="47502">
      <formula>$H364="ETAPA"</formula>
    </cfRule>
  </conditionalFormatting>
  <conditionalFormatting sqref="N365">
    <cfRule type="expression" dxfId="12621" priority="47461">
      <formula>$H365="SUBETAPA"</formula>
    </cfRule>
    <cfRule type="expression" dxfId="12620" priority="47462">
      <formula>$H365="CÉLULA CONSTRUTIVA"</formula>
    </cfRule>
  </conditionalFormatting>
  <conditionalFormatting sqref="N366">
    <cfRule type="expression" dxfId="12619" priority="47457">
      <formula>$H366="SUBETAPA"</formula>
    </cfRule>
    <cfRule type="expression" dxfId="12618" priority="47459">
      <formula>$H366="ETAPA"</formula>
    </cfRule>
  </conditionalFormatting>
  <conditionalFormatting sqref="N367">
    <cfRule type="expression" dxfId="12617" priority="47418">
      <formula>$H367="SUBETAPA"</formula>
    </cfRule>
    <cfRule type="expression" dxfId="12616" priority="47419">
      <formula>$H367="CÉLULA CONSTRUTIVA"</formula>
    </cfRule>
  </conditionalFormatting>
  <conditionalFormatting sqref="N368">
    <cfRule type="expression" dxfId="12615" priority="47414">
      <formula>$H368="SUBETAPA"</formula>
    </cfRule>
    <cfRule type="expression" dxfId="12614" priority="47416">
      <formula>$H368="ETAPA"</formula>
    </cfRule>
  </conditionalFormatting>
  <conditionalFormatting sqref="N369">
    <cfRule type="expression" dxfId="12613" priority="47375">
      <formula>$H369="SUBETAPA"</formula>
    </cfRule>
    <cfRule type="expression" dxfId="12612" priority="47376">
      <formula>$H369="CÉLULA CONSTRUTIVA"</formula>
    </cfRule>
  </conditionalFormatting>
  <conditionalFormatting sqref="N370">
    <cfRule type="expression" dxfId="12611" priority="47371">
      <formula>$H370="SUBETAPA"</formula>
    </cfRule>
    <cfRule type="expression" dxfId="12610" priority="47373">
      <formula>$H370="ETAPA"</formula>
    </cfRule>
  </conditionalFormatting>
  <conditionalFormatting sqref="N371">
    <cfRule type="expression" dxfId="12609" priority="47332">
      <formula>$H371="SUBETAPA"</formula>
    </cfRule>
    <cfRule type="expression" dxfId="12608" priority="47333">
      <formula>$H371="CÉLULA CONSTRUTIVA"</formula>
    </cfRule>
  </conditionalFormatting>
  <conditionalFormatting sqref="N372 M371">
    <cfRule type="expression" dxfId="12607" priority="47328">
      <formula>$H371="SUBETAPA"</formula>
    </cfRule>
  </conditionalFormatting>
  <conditionalFormatting sqref="N372">
    <cfRule type="expression" dxfId="12606" priority="47330">
      <formula>$H372="ETAPA"</formula>
    </cfRule>
  </conditionalFormatting>
  <conditionalFormatting sqref="N373">
    <cfRule type="expression" dxfId="12605" priority="47289">
      <formula>$H373="SUBETAPA"</formula>
    </cfRule>
    <cfRule type="expression" dxfId="12604" priority="47290">
      <formula>$H373="CÉLULA CONSTRUTIVA"</formula>
    </cfRule>
  </conditionalFormatting>
  <conditionalFormatting sqref="N374">
    <cfRule type="expression" dxfId="12603" priority="47287">
      <formula>$H374="ETAPA"</formula>
    </cfRule>
  </conditionalFormatting>
  <conditionalFormatting sqref="N375">
    <cfRule type="expression" dxfId="12602" priority="47246">
      <formula>$H375="SUBETAPA"</formula>
    </cfRule>
    <cfRule type="expression" dxfId="12601" priority="47247">
      <formula>$H375="CÉLULA CONSTRUTIVA"</formula>
    </cfRule>
  </conditionalFormatting>
  <conditionalFormatting sqref="N376">
    <cfRule type="expression" dxfId="12600" priority="47244">
      <formula>$H376="ETAPA"</formula>
    </cfRule>
  </conditionalFormatting>
  <conditionalFormatting sqref="N377">
    <cfRule type="expression" dxfId="12599" priority="47203">
      <formula>$H377="SUBETAPA"</formula>
    </cfRule>
    <cfRule type="expression" dxfId="12598" priority="47204">
      <formula>$H377="CÉLULA CONSTRUTIVA"</formula>
    </cfRule>
  </conditionalFormatting>
  <conditionalFormatting sqref="N378">
    <cfRule type="expression" dxfId="12597" priority="47201">
      <formula>$H378="ETAPA"</formula>
    </cfRule>
  </conditionalFormatting>
  <conditionalFormatting sqref="N27:O27">
    <cfRule type="expression" dxfId="12596" priority="50672">
      <formula>$H27="SUBETAPA"</formula>
    </cfRule>
    <cfRule type="expression" dxfId="12595" priority="50673">
      <formula>$H27="CÉLULA CONSTRUTIVA"</formula>
    </cfRule>
    <cfRule type="expression" dxfId="12594" priority="50674">
      <formula>$H27="ETAPA"</formula>
    </cfRule>
  </conditionalFormatting>
  <conditionalFormatting sqref="N29:O29 N30 N32:O32">
    <cfRule type="expression" dxfId="12593" priority="50757">
      <formula>$H29="ETAPA"</formula>
    </cfRule>
  </conditionalFormatting>
  <conditionalFormatting sqref="N29:O29 N30">
    <cfRule type="expression" dxfId="12592" priority="50756">
      <formula>$H29="CÉLULA CONSTRUTIVA"</formula>
    </cfRule>
  </conditionalFormatting>
  <conditionalFormatting sqref="N29:O29">
    <cfRule type="expression" dxfId="12591" priority="50755">
      <formula>$H29="SUBETAPA"</formula>
    </cfRule>
  </conditionalFormatting>
  <conditionalFormatting sqref="N32:O32">
    <cfRule type="expression" dxfId="12590" priority="50732">
      <formula>$H32="SUBETAPA"</formula>
    </cfRule>
  </conditionalFormatting>
  <conditionalFormatting sqref="N35:O35 N36">
    <cfRule type="expression" dxfId="12589" priority="50619">
      <formula>$H35="CÉLULA CONSTRUTIVA"</formula>
    </cfRule>
  </conditionalFormatting>
  <conditionalFormatting sqref="N35:O35">
    <cfRule type="expression" dxfId="12588" priority="50618">
      <formula>$H35="SUBETAPA"</formula>
    </cfRule>
  </conditionalFormatting>
  <conditionalFormatting sqref="N40:O40">
    <cfRule type="expression" dxfId="12587" priority="50586">
      <formula>$H40="SUBETAPA"</formula>
    </cfRule>
  </conditionalFormatting>
  <conditionalFormatting sqref="N43:O43">
    <cfRule type="expression" dxfId="12586" priority="50494">
      <formula>$H43="SUBETAPA"</formula>
    </cfRule>
    <cfRule type="expression" dxfId="12585" priority="50495">
      <formula>$H43="CÉLULA CONSTRUTIVA"</formula>
    </cfRule>
    <cfRule type="expression" dxfId="12584" priority="50496">
      <formula>$H43="ETAPA"</formula>
    </cfRule>
  </conditionalFormatting>
  <conditionalFormatting sqref="N45:O45 N48 N50:O50">
    <cfRule type="expression" dxfId="12583" priority="50547">
      <formula>$H45="ETAPA"</formula>
    </cfRule>
  </conditionalFormatting>
  <conditionalFormatting sqref="N45:O45 N48">
    <cfRule type="expression" dxfId="12582" priority="50546">
      <formula>$H45="CÉLULA CONSTRUTIVA"</formula>
    </cfRule>
  </conditionalFormatting>
  <conditionalFormatting sqref="N46:O46 K46">
    <cfRule type="expression" dxfId="12581" priority="46779">
      <formula>$H46="CÉLULA CONSTRUTIVA"</formula>
    </cfRule>
    <cfRule type="expression" dxfId="12580" priority="46780">
      <formula>$H46="SUBETAPA"</formula>
    </cfRule>
  </conditionalFormatting>
  <conditionalFormatting sqref="N50:O50">
    <cfRule type="expression" dxfId="12579" priority="50521">
      <formula>$H50="SUBETAPA"</formula>
    </cfRule>
  </conditionalFormatting>
  <conditionalFormatting sqref="N53:O53 H53:L53">
    <cfRule type="expression" dxfId="12578" priority="46413">
      <formula>$H53="CÉLULA CONSTRUTIVA"</formula>
    </cfRule>
    <cfRule type="expression" dxfId="12577" priority="46417">
      <formula>$H53="SUBETAPA"</formula>
    </cfRule>
  </conditionalFormatting>
  <conditionalFormatting sqref="N53:O53">
    <cfRule type="expression" dxfId="12576" priority="46415">
      <formula>$H53="ETAPA"</formula>
    </cfRule>
  </conditionalFormatting>
  <conditionalFormatting sqref="N64:O64">
    <cfRule type="expression" dxfId="12575" priority="50965">
      <formula>$H64="SUBETAPA"</formula>
    </cfRule>
    <cfRule type="expression" dxfId="12574" priority="50966">
      <formula>$H64="CÉLULA CONSTRUTIVA"</formula>
    </cfRule>
  </conditionalFormatting>
  <conditionalFormatting sqref="N67:O67">
    <cfRule type="expression" dxfId="12573" priority="50964">
      <formula>$H67="SUBETAPA"</formula>
    </cfRule>
  </conditionalFormatting>
  <conditionalFormatting sqref="N71:O71">
    <cfRule type="expression" dxfId="12572" priority="50967">
      <formula>$H71="SUBETAPA"</formula>
    </cfRule>
    <cfRule type="expression" dxfId="12571" priority="50968">
      <formula>$H71="CÉLULA CONSTRUTIVA"</formula>
    </cfRule>
    <cfRule type="expression" dxfId="12570" priority="50969">
      <formula>$H71="ETAPA"</formula>
    </cfRule>
  </conditionalFormatting>
  <conditionalFormatting sqref="N82:O82">
    <cfRule type="expression" dxfId="12569" priority="50333">
      <formula>$H82="SUBETAPA"</formula>
    </cfRule>
    <cfRule type="expression" dxfId="12568" priority="50334">
      <formula>$H82="CÉLULA CONSTRUTIVA"</formula>
    </cfRule>
    <cfRule type="expression" dxfId="12567" priority="50335">
      <formula>$H82="ETAPA"</formula>
    </cfRule>
  </conditionalFormatting>
  <conditionalFormatting sqref="N99:O99">
    <cfRule type="expression" dxfId="12566" priority="50177">
      <formula>$H99="SUBETAPA"</formula>
    </cfRule>
    <cfRule type="expression" dxfId="12565" priority="50178">
      <formula>$H99="CÉLULA CONSTRUTIVA"</formula>
    </cfRule>
    <cfRule type="expression" dxfId="12564" priority="50179">
      <formula>$H99="ETAPA"</formula>
    </cfRule>
  </conditionalFormatting>
  <conditionalFormatting sqref="N102:O102">
    <cfRule type="expression" dxfId="12563" priority="50970">
      <formula>$H102="SUBETAPA"</formula>
    </cfRule>
    <cfRule type="expression" dxfId="12562" priority="50971">
      <formula>$H102="CÉLULA CONSTRUTIVA"</formula>
    </cfRule>
    <cfRule type="expression" dxfId="12561" priority="50972">
      <formula>$H102="ETAPA"</formula>
    </cfRule>
  </conditionalFormatting>
  <conditionalFormatting sqref="N115:O115 G115:L115">
    <cfRule type="expression" dxfId="12560" priority="46369">
      <formula>$H115="CÉLULA CONSTRUTIVA"</formula>
    </cfRule>
  </conditionalFormatting>
  <conditionalFormatting sqref="N115:O115 L115">
    <cfRule type="expression" dxfId="12559" priority="46370">
      <formula>$H115="SUBETAPA"</formula>
    </cfRule>
  </conditionalFormatting>
  <conditionalFormatting sqref="N312:O312 L311:M311">
    <cfRule type="expression" dxfId="12558" priority="48509">
      <formula>$H311="SUBETAPA"</formula>
    </cfRule>
  </conditionalFormatting>
  <conditionalFormatting sqref="N312:O312">
    <cfRule type="expression" dxfId="12557" priority="48511">
      <formula>$H312="ETAPA"</formula>
    </cfRule>
  </conditionalFormatting>
  <conditionalFormatting sqref="N344:O344">
    <cfRule type="expression" dxfId="12556" priority="47847">
      <formula>$H344="ETAPA"</formula>
    </cfRule>
  </conditionalFormatting>
  <conditionalFormatting sqref="N345:O345">
    <cfRule type="expression" dxfId="12555" priority="47842">
      <formula>$H345="SUBETAPA"</formula>
    </cfRule>
    <cfRule type="expression" dxfId="12554" priority="47843">
      <formula>$H345="CÉLULA CONSTRUTIVA"</formula>
    </cfRule>
    <cfRule type="expression" dxfId="12553" priority="47844">
      <formula>$H345="ETAPA"</formula>
    </cfRule>
  </conditionalFormatting>
  <conditionalFormatting sqref="N352:O352">
    <cfRule type="expression" dxfId="12552" priority="47715">
      <formula>$H352="SUBETAPA"</formula>
    </cfRule>
    <cfRule type="expression" dxfId="12551" priority="47717">
      <formula>$H352="ETAPA"</formula>
    </cfRule>
  </conditionalFormatting>
  <conditionalFormatting sqref="O8:O10 O59:O60 O63 O66 O68 O70 O72 O77 O79 O96 O140 O281 O100:O101">
    <cfRule type="expression" dxfId="12550" priority="50915">
      <formula>$H8="CÉLULA CONSTRUTIVA"</formula>
    </cfRule>
  </conditionalFormatting>
  <conditionalFormatting sqref="O12:O13">
    <cfRule type="expression" dxfId="12549" priority="4074">
      <formula>$H12="SUBETAPA"</formula>
    </cfRule>
    <cfRule type="expression" dxfId="12548" priority="4075">
      <formula>$H12="CÉLULA CONSTRUTIVA"</formula>
    </cfRule>
  </conditionalFormatting>
  <conditionalFormatting sqref="O14:O15 O17 O1155:O1238 O20">
    <cfRule type="expression" dxfId="12547" priority="4056">
      <formula>$H14="ETAPA"</formula>
    </cfRule>
    <cfRule type="expression" dxfId="12546" priority="4057">
      <formula>$H14="SUBETAPA"</formula>
    </cfRule>
    <cfRule type="expression" dxfId="12545" priority="4058">
      <formula>$H14="ETAPA"</formula>
    </cfRule>
    <cfRule type="expression" dxfId="12544" priority="4059">
      <formula>$H14="SUBETAPA"</formula>
    </cfRule>
    <cfRule type="expression" dxfId="12543" priority="4060">
      <formula>$H14="ETAPA"</formula>
    </cfRule>
    <cfRule type="expression" dxfId="12542" priority="4061">
      <formula>$H14="SUBETAPA"</formula>
    </cfRule>
    <cfRule type="expression" dxfId="12541" priority="4062">
      <formula>$H14="CÉLULA CONSTRUTIVA"</formula>
    </cfRule>
  </conditionalFormatting>
  <conditionalFormatting sqref="O16">
    <cfRule type="expression" dxfId="12540" priority="4048">
      <formula>$H16="SUBETAPA"</formula>
    </cfRule>
    <cfRule type="expression" dxfId="12539" priority="4049">
      <formula>$H16="CÉLULA CONSTRUTIVA"</formula>
    </cfRule>
  </conditionalFormatting>
  <conditionalFormatting sqref="O18:O19">
    <cfRule type="expression" dxfId="12538" priority="46555">
      <formula>$H18="SUBETAPA"</formula>
    </cfRule>
    <cfRule type="expression" dxfId="12537" priority="46556">
      <formula>$H18="CÉLULA CONSTRUTIVA"</formula>
    </cfRule>
    <cfRule type="expression" dxfId="12536" priority="46557">
      <formula>$H18="ETAPA"</formula>
    </cfRule>
  </conditionalFormatting>
  <conditionalFormatting sqref="O21:O22">
    <cfRule type="expression" dxfId="12535" priority="46552">
      <formula>$H21="SUBETAPA"</formula>
    </cfRule>
    <cfRule type="expression" dxfId="12534" priority="46553">
      <formula>$H21="CÉLULA CONSTRUTIVA"</formula>
    </cfRule>
    <cfRule type="expression" dxfId="12533" priority="46554">
      <formula>$H21="ETAPA"</formula>
    </cfRule>
  </conditionalFormatting>
  <conditionalFormatting sqref="O23">
    <cfRule type="expression" dxfId="12532" priority="4029">
      <formula>$H23="ETAPA"</formula>
    </cfRule>
    <cfRule type="expression" dxfId="12531" priority="4030">
      <formula>$H23="SUBETAPA"</formula>
    </cfRule>
    <cfRule type="expression" dxfId="12530" priority="4031">
      <formula>$H23="ETAPA"</formula>
    </cfRule>
    <cfRule type="expression" dxfId="12529" priority="4032">
      <formula>$H23="SUBETAPA"</formula>
    </cfRule>
    <cfRule type="expression" dxfId="12528" priority="4033">
      <formula>$H23="ETAPA"</formula>
    </cfRule>
    <cfRule type="expression" dxfId="12527" priority="4034">
      <formula>$H23="SUBETAPA"</formula>
    </cfRule>
    <cfRule type="expression" dxfId="12526" priority="4035">
      <formula>$H23="CÉLULA CONSTRUTIVA"</formula>
    </cfRule>
  </conditionalFormatting>
  <conditionalFormatting sqref="O24:O26">
    <cfRule type="expression" dxfId="12525" priority="50660">
      <formula>$H24="SUBETAPA"</formula>
    </cfRule>
  </conditionalFormatting>
  <conditionalFormatting sqref="O25 O28 O31">
    <cfRule type="expression" dxfId="12524" priority="50737">
      <formula>$H25="CÉLULA CONSTRUTIVA"</formula>
    </cfRule>
  </conditionalFormatting>
  <conditionalFormatting sqref="O26">
    <cfRule type="expression" dxfId="12523" priority="50661">
      <formula>$H26="CÉLULA CONSTRUTIVA"</formula>
    </cfRule>
    <cfRule type="expression" dxfId="12522" priority="50662">
      <formula>$H26="ETAPA"</formula>
    </cfRule>
  </conditionalFormatting>
  <conditionalFormatting sqref="O28 O31">
    <cfRule type="expression" dxfId="12521" priority="50736">
      <formula>$H28="SUBETAPA"</formula>
    </cfRule>
  </conditionalFormatting>
  <conditionalFormatting sqref="O33:O34 O39">
    <cfRule type="expression" dxfId="12520" priority="50590">
      <formula>$H33="SUBETAPA"</formula>
    </cfRule>
    <cfRule type="expression" dxfId="12519" priority="50591">
      <formula>$H33="CÉLULA CONSTRUTIVA"</formula>
    </cfRule>
    <cfRule type="expression" dxfId="12518" priority="50592">
      <formula>$H33="ETAPA"</formula>
    </cfRule>
  </conditionalFormatting>
  <conditionalFormatting sqref="O41 N44:O44 N49:O49">
    <cfRule type="expression" dxfId="12517" priority="50527">
      <formula>$H41="ETAPA"</formula>
    </cfRule>
  </conditionalFormatting>
  <conditionalFormatting sqref="O41 O44 O49">
    <cfRule type="expression" dxfId="12516" priority="50526">
      <formula>$H41="CÉLULA CONSTRUTIVA"</formula>
    </cfRule>
  </conditionalFormatting>
  <conditionalFormatting sqref="O41:O42">
    <cfRule type="expression" dxfId="12515" priority="50482">
      <formula>$H41="SUBETAPA"</formula>
    </cfRule>
  </conditionalFormatting>
  <conditionalFormatting sqref="O42">
    <cfRule type="expression" dxfId="12514" priority="50483">
      <formula>$H42="CÉLULA CONSTRUTIVA"</formula>
    </cfRule>
    <cfRule type="expression" dxfId="12513" priority="50484">
      <formula>$H42="ETAPA"</formula>
    </cfRule>
  </conditionalFormatting>
  <conditionalFormatting sqref="O44 O49">
    <cfRule type="expression" dxfId="12512" priority="50525">
      <formula>$H44="SUBETAPA"</formula>
    </cfRule>
  </conditionalFormatting>
  <conditionalFormatting sqref="O51">
    <cfRule type="expression" dxfId="12511" priority="50444">
      <formula>$H51="CÉLULA CONSTRUTIVA"</formula>
    </cfRule>
    <cfRule type="expression" dxfId="12510" priority="50445">
      <formula>$H51="ETAPA"</formula>
    </cfRule>
  </conditionalFormatting>
  <conditionalFormatting sqref="O51:O52">
    <cfRule type="expression" dxfId="12509" priority="50403">
      <formula>$H51="SUBETAPA"</formula>
    </cfRule>
  </conditionalFormatting>
  <conditionalFormatting sqref="O52">
    <cfRule type="expression" dxfId="12508" priority="50404">
      <formula>$H52="CÉLULA CONSTRUTIVA"</formula>
    </cfRule>
    <cfRule type="expression" dxfId="12507" priority="50405">
      <formula>$H52="ETAPA"</formula>
    </cfRule>
  </conditionalFormatting>
  <conditionalFormatting sqref="O55">
    <cfRule type="expression" dxfId="12506" priority="50389">
      <formula>$H55="CÉLULA CONSTRUTIVA"</formula>
    </cfRule>
    <cfRule type="expression" dxfId="12505" priority="50390">
      <formula>$H55="ETAPA"</formula>
    </cfRule>
  </conditionalFormatting>
  <conditionalFormatting sqref="O55:O56">
    <cfRule type="expression" dxfId="12504" priority="50348">
      <formula>$H55="SUBETAPA"</formula>
    </cfRule>
  </conditionalFormatting>
  <conditionalFormatting sqref="O56">
    <cfRule type="expression" dxfId="12503" priority="50349">
      <formula>$H56="CÉLULA CONSTRUTIVA"</formula>
    </cfRule>
    <cfRule type="expression" dxfId="12502" priority="50350">
      <formula>$H56="ETAPA"</formula>
    </cfRule>
  </conditionalFormatting>
  <conditionalFormatting sqref="O58">
    <cfRule type="expression" dxfId="12501" priority="50684">
      <formula>$H58="CÉLULA CONSTRUTIVA"</formula>
    </cfRule>
    <cfRule type="expression" dxfId="12500" priority="50685">
      <formula>$H58="ETAPA"</formula>
    </cfRule>
  </conditionalFormatting>
  <conditionalFormatting sqref="O58:O60">
    <cfRule type="expression" dxfId="12499" priority="50683">
      <formula>$H58="SUBETAPA"</formula>
    </cfRule>
  </conditionalFormatting>
  <conditionalFormatting sqref="O61:O62">
    <cfRule type="expression" dxfId="12498" priority="3979">
      <formula>$H61="ETAPA"</formula>
    </cfRule>
    <cfRule type="expression" dxfId="12497" priority="3980">
      <formula>$H61="SUBETAPA"</formula>
    </cfRule>
    <cfRule type="expression" dxfId="12496" priority="3981">
      <formula>$H61="ETAPA"</formula>
    </cfRule>
    <cfRule type="expression" dxfId="12495" priority="3982">
      <formula>$H61="SUBETAPA"</formula>
    </cfRule>
    <cfRule type="expression" dxfId="12494" priority="3983">
      <formula>$H61="ETAPA"</formula>
    </cfRule>
    <cfRule type="expression" dxfId="12493" priority="3984">
      <formula>$H61="SUBETAPA"</formula>
    </cfRule>
    <cfRule type="expression" dxfId="12492" priority="3985">
      <formula>$H61="CÉLULA CONSTRUTIVA"</formula>
    </cfRule>
  </conditionalFormatting>
  <conditionalFormatting sqref="O80 G80:G82 N80:N83 N85:N93 G93:L94 M94:O94">
    <cfRule type="expression" dxfId="12491" priority="50313">
      <formula>$H80="SUBETAPA"</formula>
    </cfRule>
  </conditionalFormatting>
  <conditionalFormatting sqref="O80 N80:N83 N85:N93 M94:O94 L80:L83">
    <cfRule type="expression" dxfId="12490" priority="50314">
      <formula>$H80="ETAPA"</formula>
    </cfRule>
  </conditionalFormatting>
  <conditionalFormatting sqref="O81 O83 O93 O95">
    <cfRule type="expression" dxfId="12489" priority="50310">
      <formula>$H81="CÉLULA CONSTRUTIVA"</formula>
    </cfRule>
    <cfRule type="expression" dxfId="12488" priority="50311">
      <formula>$H81="ETAPA"</formula>
    </cfRule>
  </conditionalFormatting>
  <conditionalFormatting sqref="O81 O83 O95">
    <cfRule type="expression" dxfId="12487" priority="50309">
      <formula>$H81="SUBETAPA"</formula>
    </cfRule>
  </conditionalFormatting>
  <conditionalFormatting sqref="O84:O92">
    <cfRule type="expression" dxfId="12486" priority="50304">
      <formula>$H84="CÉLULA CONSTRUTIVA"</formula>
    </cfRule>
    <cfRule type="expression" dxfId="12485" priority="50305">
      <formula>$H84="ETAPA"</formula>
    </cfRule>
  </conditionalFormatting>
  <conditionalFormatting sqref="O84:O93">
    <cfRule type="expression" dxfId="12484" priority="50303">
      <formula>$H84="SUBETAPA"</formula>
    </cfRule>
  </conditionalFormatting>
  <conditionalFormatting sqref="O96:O98">
    <cfRule type="expression" dxfId="12483" priority="50160">
      <formula>$H96="SUBETAPA"</formula>
    </cfRule>
  </conditionalFormatting>
  <conditionalFormatting sqref="O97:O98">
    <cfRule type="expression" dxfId="12482" priority="50161">
      <formula>$H97="CÉLULA CONSTRUTIVA"</formula>
    </cfRule>
    <cfRule type="expression" dxfId="12481" priority="50162">
      <formula>$H97="ETAPA"</formula>
    </cfRule>
  </conditionalFormatting>
  <conditionalFormatting sqref="O104">
    <cfRule type="expression" dxfId="12480" priority="50121">
      <formula>$H104="SUBETAPA"</formula>
    </cfRule>
    <cfRule type="expression" dxfId="12479" priority="50122">
      <formula>$H104="CÉLULA CONSTRUTIVA"</formula>
    </cfRule>
    <cfRule type="expression" dxfId="12478" priority="50123">
      <formula>$H104="ETAPA"</formula>
    </cfRule>
  </conditionalFormatting>
  <conditionalFormatting sqref="O106">
    <cfRule type="expression" dxfId="12477" priority="50103">
      <formula>$H106="SUBETAPA"</formula>
    </cfRule>
    <cfRule type="expression" dxfId="12476" priority="50104">
      <formula>$H106="CÉLULA CONSTRUTIVA"</formula>
    </cfRule>
    <cfRule type="expression" dxfId="12475" priority="50105">
      <formula>$H106="ETAPA"</formula>
    </cfRule>
  </conditionalFormatting>
  <conditionalFormatting sqref="O108">
    <cfRule type="expression" dxfId="12474" priority="50085">
      <formula>$H108="SUBETAPA"</formula>
    </cfRule>
    <cfRule type="expression" dxfId="12473" priority="50086">
      <formula>$H108="CÉLULA CONSTRUTIVA"</formula>
    </cfRule>
    <cfRule type="expression" dxfId="12472" priority="50087">
      <formula>$H108="ETAPA"</formula>
    </cfRule>
  </conditionalFormatting>
  <conditionalFormatting sqref="O110">
    <cfRule type="expression" dxfId="12471" priority="50067">
      <formula>$H110="SUBETAPA"</formula>
    </cfRule>
    <cfRule type="expression" dxfId="12470" priority="50068">
      <formula>$H110="CÉLULA CONSTRUTIVA"</formula>
    </cfRule>
    <cfRule type="expression" dxfId="12469" priority="50069">
      <formula>$H110="ETAPA"</formula>
    </cfRule>
  </conditionalFormatting>
  <conditionalFormatting sqref="O112">
    <cfRule type="expression" dxfId="12468" priority="50049">
      <formula>$H112="SUBETAPA"</formula>
    </cfRule>
    <cfRule type="expression" dxfId="12467" priority="50050">
      <formula>$H112="CÉLULA CONSTRUTIVA"</formula>
    </cfRule>
    <cfRule type="expression" dxfId="12466" priority="50051">
      <formula>$H112="ETAPA"</formula>
    </cfRule>
  </conditionalFormatting>
  <conditionalFormatting sqref="O114">
    <cfRule type="expression" dxfId="12465" priority="46350">
      <formula>$H114="SUBETAPA"</formula>
    </cfRule>
    <cfRule type="expression" dxfId="12464" priority="46351">
      <formula>$H114="CÉLULA CONSTRUTIVA"</formula>
    </cfRule>
    <cfRule type="expression" dxfId="12463" priority="46352">
      <formula>$H114="ETAPA"</formula>
    </cfRule>
  </conditionalFormatting>
  <conditionalFormatting sqref="O116">
    <cfRule type="expression" dxfId="12462" priority="50031">
      <formula>$H116="SUBETAPA"</formula>
    </cfRule>
    <cfRule type="expression" dxfId="12461" priority="50032">
      <formula>$H116="CÉLULA CONSTRUTIVA"</formula>
    </cfRule>
    <cfRule type="expression" dxfId="12460" priority="50033">
      <formula>$H116="ETAPA"</formula>
    </cfRule>
  </conditionalFormatting>
  <conditionalFormatting sqref="O118">
    <cfRule type="expression" dxfId="12459" priority="50013">
      <formula>$H118="SUBETAPA"</formula>
    </cfRule>
    <cfRule type="expression" dxfId="12458" priority="50014">
      <formula>$H118="CÉLULA CONSTRUTIVA"</formula>
    </cfRule>
    <cfRule type="expression" dxfId="12457" priority="50015">
      <formula>$H118="ETAPA"</formula>
    </cfRule>
  </conditionalFormatting>
  <conditionalFormatting sqref="O120">
    <cfRule type="expression" dxfId="12456" priority="49995">
      <formula>$H120="SUBETAPA"</formula>
    </cfRule>
    <cfRule type="expression" dxfId="12455" priority="49996">
      <formula>$H120="CÉLULA CONSTRUTIVA"</formula>
    </cfRule>
    <cfRule type="expression" dxfId="12454" priority="49997">
      <formula>$H120="ETAPA"</formula>
    </cfRule>
  </conditionalFormatting>
  <conditionalFormatting sqref="O122">
    <cfRule type="expression" dxfId="12453" priority="49973">
      <formula>$H122="SUBETAPA"</formula>
    </cfRule>
    <cfRule type="expression" dxfId="12452" priority="49974">
      <formula>$H122="CÉLULA CONSTRUTIVA"</formula>
    </cfRule>
    <cfRule type="expression" dxfId="12451" priority="49975">
      <formula>$H122="ETAPA"</formula>
    </cfRule>
  </conditionalFormatting>
  <conditionalFormatting sqref="O123 O126">
    <cfRule type="expression" dxfId="12450" priority="46144">
      <formula>$H123="ETAPA"</formula>
    </cfRule>
  </conditionalFormatting>
  <conditionalFormatting sqref="O125">
    <cfRule type="expression" dxfId="12449" priority="49936">
      <formula>$H125="SUBETAPA"</formula>
    </cfRule>
    <cfRule type="expression" dxfId="12448" priority="49937">
      <formula>$H125="CÉLULA CONSTRUTIVA"</formula>
    </cfRule>
    <cfRule type="expression" dxfId="12447" priority="49938">
      <formula>$H125="ETAPA"</formula>
    </cfRule>
  </conditionalFormatting>
  <conditionalFormatting sqref="O126 O123">
    <cfRule type="expression" dxfId="12446" priority="46142">
      <formula>$H123="SUBETAPA"</formula>
    </cfRule>
    <cfRule type="expression" dxfId="12445" priority="46143">
      <formula>$H123="CÉLULA CONSTRUTIVA"</formula>
    </cfRule>
  </conditionalFormatting>
  <conditionalFormatting sqref="O128">
    <cfRule type="expression" dxfId="12444" priority="49899">
      <formula>$H128="SUBETAPA"</formula>
    </cfRule>
    <cfRule type="expression" dxfId="12443" priority="49900">
      <formula>$H128="CÉLULA CONSTRUTIVA"</formula>
    </cfRule>
    <cfRule type="expression" dxfId="12442" priority="49901">
      <formula>$H128="ETAPA"</formula>
    </cfRule>
  </conditionalFormatting>
  <conditionalFormatting sqref="O129">
    <cfRule type="expression" dxfId="12441" priority="47121">
      <formula>$H129="SUBETAPA"</formula>
    </cfRule>
    <cfRule type="expression" dxfId="12440" priority="47122">
      <formula>$H129="CÉLULA CONSTRUTIVA"</formula>
    </cfRule>
    <cfRule type="expression" dxfId="12439" priority="47123">
      <formula>$H129="ETAPA"</formula>
    </cfRule>
  </conditionalFormatting>
  <conditionalFormatting sqref="O131">
    <cfRule type="expression" dxfId="12438" priority="49866">
      <formula>$H131="SUBETAPA"</formula>
    </cfRule>
    <cfRule type="expression" dxfId="12437" priority="49867">
      <formula>$H131="CÉLULA CONSTRUTIVA"</formula>
    </cfRule>
    <cfRule type="expression" dxfId="12436" priority="49868">
      <formula>$H131="ETAPA"</formula>
    </cfRule>
  </conditionalFormatting>
  <conditionalFormatting sqref="O133">
    <cfRule type="expression" dxfId="12435" priority="49844">
      <formula>$H133="SUBETAPA"</formula>
    </cfRule>
    <cfRule type="expression" dxfId="12434" priority="49845">
      <formula>$H133="CÉLULA CONSTRUTIVA"</formula>
    </cfRule>
    <cfRule type="expression" dxfId="12433" priority="49846">
      <formula>$H133="ETAPA"</formula>
    </cfRule>
  </conditionalFormatting>
  <conditionalFormatting sqref="O134">
    <cfRule type="expression" dxfId="12432" priority="46347">
      <formula>$H134="SUBETAPA"</formula>
    </cfRule>
    <cfRule type="expression" dxfId="12431" priority="46348">
      <formula>$H134="CÉLULA CONSTRUTIVA"</formula>
    </cfRule>
    <cfRule type="expression" dxfId="12430" priority="46349">
      <formula>$H134="ETAPA"</formula>
    </cfRule>
  </conditionalFormatting>
  <conditionalFormatting sqref="O136">
    <cfRule type="expression" dxfId="12429" priority="49807">
      <formula>$H136="SUBETAPA"</formula>
    </cfRule>
    <cfRule type="expression" dxfId="12428" priority="49808">
      <formula>$H136="CÉLULA CONSTRUTIVA"</formula>
    </cfRule>
    <cfRule type="expression" dxfId="12427" priority="49809">
      <formula>$H136="ETAPA"</formula>
    </cfRule>
  </conditionalFormatting>
  <conditionalFormatting sqref="O137">
    <cfRule type="expression" dxfId="12426" priority="46344">
      <formula>$H137="SUBETAPA"</formula>
    </cfRule>
    <cfRule type="expression" dxfId="12425" priority="46345">
      <formula>$H137="CÉLULA CONSTRUTIVA"</formula>
    </cfRule>
    <cfRule type="expression" dxfId="12424" priority="46346">
      <formula>$H137="ETAPA"</formula>
    </cfRule>
  </conditionalFormatting>
  <conditionalFormatting sqref="O139">
    <cfRule type="expression" dxfId="12423" priority="49776">
      <formula>$H139="CÉLULA CONSTRUTIVA"</formula>
    </cfRule>
    <cfRule type="expression" dxfId="12422" priority="49777">
      <formula>$H139="ETAPA"</formula>
    </cfRule>
  </conditionalFormatting>
  <conditionalFormatting sqref="O141:O147">
    <cfRule type="expression" dxfId="12421" priority="50862">
      <formula>$H141="CÉLULA CONSTRUTIVA"</formula>
    </cfRule>
    <cfRule type="expression" dxfId="12420" priority="50863">
      <formula>$H141="ETAPA"</formula>
    </cfRule>
  </conditionalFormatting>
  <conditionalFormatting sqref="O148">
    <cfRule type="expression" dxfId="12419" priority="49756">
      <formula>$H148="CÉLULA CONSTRUTIVA"</formula>
    </cfRule>
    <cfRule type="expression" dxfId="12418" priority="49757">
      <formula>$H148="ETAPA"</formula>
    </cfRule>
  </conditionalFormatting>
  <conditionalFormatting sqref="O149">
    <cfRule type="expression" dxfId="12417" priority="49762">
      <formula>$H149="CÉLULA CONSTRUTIVA"</formula>
    </cfRule>
    <cfRule type="expression" dxfId="12416" priority="49767">
      <formula>$H149="ETAPA"</formula>
    </cfRule>
  </conditionalFormatting>
  <conditionalFormatting sqref="O150:O156">
    <cfRule type="expression" dxfId="12415" priority="49726">
      <formula>$H150="CÉLULA CONSTRUTIVA"</formula>
    </cfRule>
    <cfRule type="expression" dxfId="12414" priority="49727">
      <formula>$H150="ETAPA"</formula>
    </cfRule>
  </conditionalFormatting>
  <conditionalFormatting sqref="O157">
    <cfRule type="expression" dxfId="12413" priority="49693">
      <formula>$H157="CÉLULA CONSTRUTIVA"</formula>
    </cfRule>
    <cfRule type="expression" dxfId="12412" priority="49694">
      <formula>$H157="ETAPA"</formula>
    </cfRule>
  </conditionalFormatting>
  <conditionalFormatting sqref="O158">
    <cfRule type="expression" dxfId="12411" priority="49670">
      <formula>$H158="CÉLULA CONSTRUTIVA"</formula>
    </cfRule>
    <cfRule type="expression" dxfId="12410" priority="49671">
      <formula>$H158="ETAPA"</formula>
    </cfRule>
  </conditionalFormatting>
  <conditionalFormatting sqref="O159">
    <cfRule type="expression" dxfId="12409" priority="49676">
      <formula>$H159="CÉLULA CONSTRUTIVA"</formula>
    </cfRule>
    <cfRule type="expression" dxfId="12408" priority="49681">
      <formula>$H159="ETAPA"</formula>
    </cfRule>
  </conditionalFormatting>
  <conditionalFormatting sqref="O160:O166">
    <cfRule type="expression" dxfId="12407" priority="49640">
      <formula>$H160="CÉLULA CONSTRUTIVA"</formula>
    </cfRule>
    <cfRule type="expression" dxfId="12406" priority="49641">
      <formula>$H160="ETAPA"</formula>
    </cfRule>
  </conditionalFormatting>
  <conditionalFormatting sqref="O167">
    <cfRule type="expression" dxfId="12405" priority="49607">
      <formula>$H167="CÉLULA CONSTRUTIVA"</formula>
    </cfRule>
    <cfRule type="expression" dxfId="12404" priority="49608">
      <formula>$H167="ETAPA"</formula>
    </cfRule>
  </conditionalFormatting>
  <conditionalFormatting sqref="O168">
    <cfRule type="expression" dxfId="12403" priority="49584">
      <formula>$H168="CÉLULA CONSTRUTIVA"</formula>
    </cfRule>
    <cfRule type="expression" dxfId="12402" priority="49585">
      <formula>$H168="ETAPA"</formula>
    </cfRule>
  </conditionalFormatting>
  <conditionalFormatting sqref="O169">
    <cfRule type="expression" dxfId="12401" priority="49590">
      <formula>$H169="CÉLULA CONSTRUTIVA"</formula>
    </cfRule>
    <cfRule type="expression" dxfId="12400" priority="49595">
      <formula>$H169="ETAPA"</formula>
    </cfRule>
  </conditionalFormatting>
  <conditionalFormatting sqref="O170:O176">
    <cfRule type="expression" dxfId="12399" priority="49554">
      <formula>$H170="CÉLULA CONSTRUTIVA"</formula>
    </cfRule>
    <cfRule type="expression" dxfId="12398" priority="49555">
      <formula>$H170="ETAPA"</formula>
    </cfRule>
  </conditionalFormatting>
  <conditionalFormatting sqref="O177">
    <cfRule type="expression" dxfId="12397" priority="49501">
      <formula>$H177="CÉLULA CONSTRUTIVA"</formula>
    </cfRule>
    <cfRule type="expression" dxfId="12396" priority="49502">
      <formula>$H177="ETAPA"</formula>
    </cfRule>
  </conditionalFormatting>
  <conditionalFormatting sqref="O178">
    <cfRule type="expression" dxfId="12395" priority="3321">
      <formula>$H178="CÉLULA CONSTRUTIVA"</formula>
    </cfRule>
    <cfRule type="expression" dxfId="12394" priority="3323">
      <formula>$H178="ETAPA"</formula>
    </cfRule>
  </conditionalFormatting>
  <conditionalFormatting sqref="O185">
    <cfRule type="expression" dxfId="12393" priority="3297">
      <formula>$H185="SUBETAPA"</formula>
    </cfRule>
    <cfRule type="expression" dxfId="12392" priority="3298">
      <formula>$H185="CÉLULA CONSTRUTIVA"</formula>
    </cfRule>
    <cfRule type="expression" dxfId="12391" priority="3299">
      <formula>$H185="ETAPA"</formula>
    </cfRule>
  </conditionalFormatting>
  <conditionalFormatting sqref="O186">
    <cfRule type="expression" dxfId="12390" priority="49482">
      <formula>$H186="SUBETAPA"</formula>
    </cfRule>
    <cfRule type="expression" dxfId="12389" priority="49483">
      <formula>$H186="CÉLULA CONSTRUTIVA"</formula>
    </cfRule>
    <cfRule type="expression" dxfId="12388" priority="49484">
      <formula>$H186="ETAPA"</formula>
    </cfRule>
  </conditionalFormatting>
  <conditionalFormatting sqref="O187">
    <cfRule type="expression" dxfId="12387" priority="3287">
      <formula>$H187="CÉLULA CONSTRUTIVA"</formula>
    </cfRule>
    <cfRule type="expression" dxfId="12386" priority="3289">
      <formula>$H187="ETAPA"</formula>
    </cfRule>
    <cfRule type="expression" dxfId="12385" priority="3293">
      <formula>$H187="SUBETAPA"</formula>
    </cfRule>
  </conditionalFormatting>
  <conditionalFormatting sqref="O194">
    <cfRule type="expression" dxfId="12384" priority="3263">
      <formula>$H194="SUBETAPA"</formula>
    </cfRule>
    <cfRule type="expression" dxfId="12383" priority="3264">
      <formula>$H194="CÉLULA CONSTRUTIVA"</formula>
    </cfRule>
    <cfRule type="expression" dxfId="12382" priority="3265">
      <formula>$H194="ETAPA"</formula>
    </cfRule>
  </conditionalFormatting>
  <conditionalFormatting sqref="O195">
    <cfRule type="expression" dxfId="12381" priority="49464">
      <formula>$H195="SUBETAPA"</formula>
    </cfRule>
    <cfRule type="expression" dxfId="12380" priority="49465">
      <formula>$H195="CÉLULA CONSTRUTIVA"</formula>
    </cfRule>
    <cfRule type="expression" dxfId="12379" priority="49466">
      <formula>$H195="ETAPA"</formula>
    </cfRule>
  </conditionalFormatting>
  <conditionalFormatting sqref="O196">
    <cfRule type="expression" dxfId="12378" priority="3253">
      <formula>$H196="CÉLULA CONSTRUTIVA"</formula>
    </cfRule>
    <cfRule type="expression" dxfId="12377" priority="3255">
      <formula>$H196="ETAPA"</formula>
    </cfRule>
    <cfRule type="expression" dxfId="12376" priority="3259">
      <formula>$H196="SUBETAPA"</formula>
    </cfRule>
  </conditionalFormatting>
  <conditionalFormatting sqref="O203">
    <cfRule type="expression" dxfId="12375" priority="3229">
      <formula>$H203="SUBETAPA"</formula>
    </cfRule>
    <cfRule type="expression" dxfId="12374" priority="3230">
      <formula>$H203="CÉLULA CONSTRUTIVA"</formula>
    </cfRule>
    <cfRule type="expression" dxfId="12373" priority="3231">
      <formula>$H203="ETAPA"</formula>
    </cfRule>
  </conditionalFormatting>
  <conditionalFormatting sqref="O204">
    <cfRule type="expression" dxfId="12372" priority="46317">
      <formula>$H204="SUBETAPA"</formula>
    </cfRule>
    <cfRule type="expression" dxfId="12371" priority="46318">
      <formula>$H204="CÉLULA CONSTRUTIVA"</formula>
    </cfRule>
    <cfRule type="expression" dxfId="12370" priority="46319">
      <formula>$H204="ETAPA"</formula>
    </cfRule>
  </conditionalFormatting>
  <conditionalFormatting sqref="O205">
    <cfRule type="expression" dxfId="12369" priority="3219">
      <formula>$H205="CÉLULA CONSTRUTIVA"</formula>
    </cfRule>
    <cfRule type="expression" dxfId="12368" priority="3221">
      <formula>$H205="ETAPA"</formula>
    </cfRule>
    <cfRule type="expression" dxfId="12367" priority="3225">
      <formula>$H205="SUBETAPA"</formula>
    </cfRule>
  </conditionalFormatting>
  <conditionalFormatting sqref="O212">
    <cfRule type="expression" dxfId="12366" priority="3195">
      <formula>$H212="SUBETAPA"</formula>
    </cfRule>
    <cfRule type="expression" dxfId="12365" priority="3196">
      <formula>$H212="CÉLULA CONSTRUTIVA"</formula>
    </cfRule>
    <cfRule type="expression" dxfId="12364" priority="3197">
      <formula>$H212="ETAPA"</formula>
    </cfRule>
  </conditionalFormatting>
  <conditionalFormatting sqref="O213">
    <cfRule type="expression" dxfId="12363" priority="49446">
      <formula>$H213="SUBETAPA"</formula>
    </cfRule>
    <cfRule type="expression" dxfId="12362" priority="49447">
      <formula>$H213="CÉLULA CONSTRUTIVA"</formula>
    </cfRule>
    <cfRule type="expression" dxfId="12361" priority="49448">
      <formula>$H213="ETAPA"</formula>
    </cfRule>
  </conditionalFormatting>
  <conditionalFormatting sqref="O214">
    <cfRule type="expression" dxfId="12360" priority="3185">
      <formula>$H214="CÉLULA CONSTRUTIVA"</formula>
    </cfRule>
    <cfRule type="expression" dxfId="12359" priority="3187">
      <formula>$H214="ETAPA"</formula>
    </cfRule>
    <cfRule type="expression" dxfId="12358" priority="3191">
      <formula>$H214="SUBETAPA"</formula>
    </cfRule>
  </conditionalFormatting>
  <conditionalFormatting sqref="O221">
    <cfRule type="expression" dxfId="12357" priority="3161">
      <formula>$H221="SUBETAPA"</formula>
    </cfRule>
    <cfRule type="expression" dxfId="12356" priority="3162">
      <formula>$H221="CÉLULA CONSTRUTIVA"</formula>
    </cfRule>
    <cfRule type="expression" dxfId="12355" priority="3163">
      <formula>$H221="ETAPA"</formula>
    </cfRule>
  </conditionalFormatting>
  <conditionalFormatting sqref="O222">
    <cfRule type="expression" dxfId="12354" priority="49426">
      <formula>$H222="CÉLULA CONSTRUTIVA"</formula>
    </cfRule>
    <cfRule type="expression" dxfId="12353" priority="49427">
      <formula>$H222="ETAPA"</formula>
    </cfRule>
  </conditionalFormatting>
  <conditionalFormatting sqref="O222:O268">
    <cfRule type="expression" dxfId="12352" priority="49175">
      <formula>$H222="SUBETAPA"</formula>
    </cfRule>
  </conditionalFormatting>
  <conditionalFormatting sqref="O223">
    <cfRule type="expression" dxfId="12351" priority="49432">
      <formula>$H223="CÉLULA CONSTRUTIVA"</formula>
    </cfRule>
    <cfRule type="expression" dxfId="12350" priority="49437">
      <formula>$H223="ETAPA"</formula>
    </cfRule>
  </conditionalFormatting>
  <conditionalFormatting sqref="O224:O230">
    <cfRule type="expression" dxfId="12349" priority="49396">
      <formula>$H224="CÉLULA CONSTRUTIVA"</formula>
    </cfRule>
    <cfRule type="expression" dxfId="12348" priority="49397">
      <formula>$H224="ETAPA"</formula>
    </cfRule>
  </conditionalFormatting>
  <conditionalFormatting sqref="O231">
    <cfRule type="expression" dxfId="12347" priority="49376">
      <formula>$H231="CÉLULA CONSTRUTIVA"</formula>
    </cfRule>
    <cfRule type="expression" dxfId="12346" priority="49377">
      <formula>$H231="ETAPA"</formula>
    </cfRule>
  </conditionalFormatting>
  <conditionalFormatting sqref="O232">
    <cfRule type="expression" dxfId="12345" priority="49382">
      <formula>$H232="CÉLULA CONSTRUTIVA"</formula>
    </cfRule>
    <cfRule type="expression" dxfId="12344" priority="49387">
      <formula>$H232="ETAPA"</formula>
    </cfRule>
  </conditionalFormatting>
  <conditionalFormatting sqref="O233:O239">
    <cfRule type="expression" dxfId="12343" priority="49346">
      <formula>$H233="CÉLULA CONSTRUTIVA"</formula>
    </cfRule>
    <cfRule type="expression" dxfId="12342" priority="49347">
      <formula>$H233="ETAPA"</formula>
    </cfRule>
  </conditionalFormatting>
  <conditionalFormatting sqref="O240">
    <cfRule type="expression" dxfId="12341" priority="49326">
      <formula>$H240="CÉLULA CONSTRUTIVA"</formula>
    </cfRule>
    <cfRule type="expression" dxfId="12340" priority="49327">
      <formula>$H240="ETAPA"</formula>
    </cfRule>
  </conditionalFormatting>
  <conditionalFormatting sqref="O241">
    <cfRule type="expression" dxfId="12339" priority="49332">
      <formula>$H241="CÉLULA CONSTRUTIVA"</formula>
    </cfRule>
    <cfRule type="expression" dxfId="12338" priority="49337">
      <formula>$H241="ETAPA"</formula>
    </cfRule>
  </conditionalFormatting>
  <conditionalFormatting sqref="O242:O248">
    <cfRule type="expression" dxfId="12337" priority="49296">
      <formula>$H242="CÉLULA CONSTRUTIVA"</formula>
    </cfRule>
    <cfRule type="expression" dxfId="12336" priority="49297">
      <formula>$H242="ETAPA"</formula>
    </cfRule>
  </conditionalFormatting>
  <conditionalFormatting sqref="O249">
    <cfRule type="expression" dxfId="12335" priority="49276">
      <formula>$H249="CÉLULA CONSTRUTIVA"</formula>
    </cfRule>
    <cfRule type="expression" dxfId="12334" priority="49277">
      <formula>$H249="ETAPA"</formula>
    </cfRule>
  </conditionalFormatting>
  <conditionalFormatting sqref="O250">
    <cfRule type="expression" dxfId="12333" priority="49282">
      <formula>$H250="CÉLULA CONSTRUTIVA"</formula>
    </cfRule>
    <cfRule type="expression" dxfId="12332" priority="49287">
      <formula>$H250="ETAPA"</formula>
    </cfRule>
  </conditionalFormatting>
  <conditionalFormatting sqref="O251:O257">
    <cfRule type="expression" dxfId="12331" priority="49246">
      <formula>$H251="CÉLULA CONSTRUTIVA"</formula>
    </cfRule>
    <cfRule type="expression" dxfId="12330" priority="49247">
      <formula>$H251="ETAPA"</formula>
    </cfRule>
  </conditionalFormatting>
  <conditionalFormatting sqref="O258">
    <cfRule type="expression" dxfId="12329" priority="49226">
      <formula>$H258="CÉLULA CONSTRUTIVA"</formula>
    </cfRule>
    <cfRule type="expression" dxfId="12328" priority="49227">
      <formula>$H258="ETAPA"</formula>
    </cfRule>
  </conditionalFormatting>
  <conditionalFormatting sqref="O259">
    <cfRule type="expression" dxfId="12327" priority="49232">
      <formula>$H259="CÉLULA CONSTRUTIVA"</formula>
    </cfRule>
    <cfRule type="expression" dxfId="12326" priority="49237">
      <formula>$H259="ETAPA"</formula>
    </cfRule>
  </conditionalFormatting>
  <conditionalFormatting sqref="O260:O266">
    <cfRule type="expression" dxfId="12325" priority="49196">
      <formula>$H260="CÉLULA CONSTRUTIVA"</formula>
    </cfRule>
    <cfRule type="expression" dxfId="12324" priority="49197">
      <formula>$H260="ETAPA"</formula>
    </cfRule>
  </conditionalFormatting>
  <conditionalFormatting sqref="O267">
    <cfRule type="expression" dxfId="12323" priority="49176">
      <formula>$H267="CÉLULA CONSTRUTIVA"</formula>
    </cfRule>
    <cfRule type="expression" dxfId="12322" priority="49177">
      <formula>$H267="ETAPA"</formula>
    </cfRule>
  </conditionalFormatting>
  <conditionalFormatting sqref="O268">
    <cfRule type="expression" dxfId="12321" priority="49182">
      <formula>$H268="CÉLULA CONSTRUTIVA"</formula>
    </cfRule>
    <cfRule type="expression" dxfId="12320" priority="49187">
      <formula>$H268="ETAPA"</formula>
    </cfRule>
  </conditionalFormatting>
  <conditionalFormatting sqref="O274">
    <cfRule type="expression" dxfId="12319" priority="49141">
      <formula>$H274="CÉLULA CONSTRUTIVA"</formula>
    </cfRule>
    <cfRule type="expression" dxfId="12318" priority="49142">
      <formula>$H274="ETAPA"</formula>
    </cfRule>
  </conditionalFormatting>
  <conditionalFormatting sqref="O274:O275">
    <cfRule type="expression" dxfId="12317" priority="49140">
      <formula>$H274="SUBETAPA"</formula>
    </cfRule>
  </conditionalFormatting>
  <conditionalFormatting sqref="O275">
    <cfRule type="expression" dxfId="12316" priority="49147">
      <formula>$H275="CÉLULA CONSTRUTIVA"</formula>
    </cfRule>
    <cfRule type="expression" dxfId="12315" priority="49151">
      <formula>$H275="ETAPA"</formula>
    </cfRule>
  </conditionalFormatting>
  <conditionalFormatting sqref="O280">
    <cfRule type="expression" dxfId="12314" priority="49122">
      <formula>$H280="CÉLULA CONSTRUTIVA"</formula>
    </cfRule>
    <cfRule type="expression" dxfId="12313" priority="49123">
      <formula>$H280="ETAPA"</formula>
    </cfRule>
  </conditionalFormatting>
  <conditionalFormatting sqref="O280:O281">
    <cfRule type="expression" dxfId="12312" priority="49121">
      <formula>$H280="SUBETAPA"</formula>
    </cfRule>
  </conditionalFormatting>
  <conditionalFormatting sqref="O282">
    <cfRule type="expression" dxfId="12311" priority="3942">
      <formula>$H282="ETAPA"</formula>
    </cfRule>
    <cfRule type="expression" dxfId="12310" priority="3943">
      <formula>$H282="SUBETAPA"</formula>
    </cfRule>
    <cfRule type="expression" dxfId="12309" priority="3944">
      <formula>$H282="ETAPA"</formula>
    </cfRule>
    <cfRule type="expression" dxfId="12308" priority="3945">
      <formula>$H282="SUBETAPA"</formula>
    </cfRule>
    <cfRule type="expression" dxfId="12307" priority="3946">
      <formula>$H282="ETAPA"</formula>
    </cfRule>
    <cfRule type="expression" dxfId="12306" priority="3947">
      <formula>$H282="SUBETAPA"</formula>
    </cfRule>
    <cfRule type="expression" dxfId="12305" priority="3948">
      <formula>$H282="CÉLULA CONSTRUTIVA"</formula>
    </cfRule>
  </conditionalFormatting>
  <conditionalFormatting sqref="O283">
    <cfRule type="expression" dxfId="12304" priority="49101">
      <formula>$H283="SUBETAPA"</formula>
    </cfRule>
    <cfRule type="expression" dxfId="12303" priority="49102">
      <formula>$H283="CÉLULA CONSTRUTIVA"</formula>
    </cfRule>
    <cfRule type="expression" dxfId="12302" priority="49103">
      <formula>$H283="ETAPA"</formula>
    </cfRule>
  </conditionalFormatting>
  <conditionalFormatting sqref="O284">
    <cfRule type="expression" dxfId="12301" priority="3935">
      <formula>$H284="ETAPA"</formula>
    </cfRule>
    <cfRule type="expression" dxfId="12300" priority="3936">
      <formula>$H284="SUBETAPA"</formula>
    </cfRule>
    <cfRule type="expression" dxfId="12299" priority="3937">
      <formula>$H284="ETAPA"</formula>
    </cfRule>
    <cfRule type="expression" dxfId="12298" priority="3938">
      <formula>$H284="SUBETAPA"</formula>
    </cfRule>
    <cfRule type="expression" dxfId="12297" priority="3939">
      <formula>$H284="ETAPA"</formula>
    </cfRule>
    <cfRule type="expression" dxfId="12296" priority="3940">
      <formula>$H284="SUBETAPA"</formula>
    </cfRule>
    <cfRule type="expression" dxfId="12295" priority="3941">
      <formula>$H284="CÉLULA CONSTRUTIVA"</formula>
    </cfRule>
  </conditionalFormatting>
  <conditionalFormatting sqref="O285">
    <cfRule type="expression" dxfId="12294" priority="49055">
      <formula>$H285="SUBETAPA"</formula>
    </cfRule>
    <cfRule type="expression" dxfId="12293" priority="49056">
      <formula>$H285="CÉLULA CONSTRUTIVA"</formula>
    </cfRule>
    <cfRule type="expression" dxfId="12292" priority="49057">
      <formula>$H285="ETAPA"</formula>
    </cfRule>
  </conditionalFormatting>
  <conditionalFormatting sqref="O286">
    <cfRule type="expression" dxfId="12291" priority="3928">
      <formula>$H286="ETAPA"</formula>
    </cfRule>
    <cfRule type="expression" dxfId="12290" priority="3929">
      <formula>$H286="SUBETAPA"</formula>
    </cfRule>
    <cfRule type="expression" dxfId="12289" priority="3930">
      <formula>$H286="ETAPA"</formula>
    </cfRule>
    <cfRule type="expression" dxfId="12288" priority="3931">
      <formula>$H286="SUBETAPA"</formula>
    </cfRule>
    <cfRule type="expression" dxfId="12287" priority="3932">
      <formula>$H286="ETAPA"</formula>
    </cfRule>
    <cfRule type="expression" dxfId="12286" priority="3933">
      <formula>$H286="SUBETAPA"</formula>
    </cfRule>
    <cfRule type="expression" dxfId="12285" priority="3934">
      <formula>$H286="CÉLULA CONSTRUTIVA"</formula>
    </cfRule>
  </conditionalFormatting>
  <conditionalFormatting sqref="O287">
    <cfRule type="expression" dxfId="12284" priority="49009">
      <formula>$H287="SUBETAPA"</formula>
    </cfRule>
    <cfRule type="expression" dxfId="12283" priority="49010">
      <formula>$H287="CÉLULA CONSTRUTIVA"</formula>
    </cfRule>
    <cfRule type="expression" dxfId="12282" priority="49011">
      <formula>$H287="ETAPA"</formula>
    </cfRule>
  </conditionalFormatting>
  <conditionalFormatting sqref="O288">
    <cfRule type="expression" dxfId="12281" priority="3921">
      <formula>$H288="ETAPA"</formula>
    </cfRule>
    <cfRule type="expression" dxfId="12280" priority="3922">
      <formula>$H288="SUBETAPA"</formula>
    </cfRule>
    <cfRule type="expression" dxfId="12279" priority="3923">
      <formula>$H288="ETAPA"</formula>
    </cfRule>
    <cfRule type="expression" dxfId="12278" priority="3924">
      <formula>$H288="SUBETAPA"</formula>
    </cfRule>
    <cfRule type="expression" dxfId="12277" priority="3925">
      <formula>$H288="ETAPA"</formula>
    </cfRule>
    <cfRule type="expression" dxfId="12276" priority="3926">
      <formula>$H288="SUBETAPA"</formula>
    </cfRule>
    <cfRule type="expression" dxfId="12275" priority="3927">
      <formula>$H288="CÉLULA CONSTRUTIVA"</formula>
    </cfRule>
  </conditionalFormatting>
  <conditionalFormatting sqref="O289">
    <cfRule type="expression" dxfId="12274" priority="48963">
      <formula>$H289="SUBETAPA"</formula>
    </cfRule>
    <cfRule type="expression" dxfId="12273" priority="48964">
      <formula>$H289="CÉLULA CONSTRUTIVA"</formula>
    </cfRule>
    <cfRule type="expression" dxfId="12272" priority="48965">
      <formula>$H289="ETAPA"</formula>
    </cfRule>
  </conditionalFormatting>
  <conditionalFormatting sqref="O290">
    <cfRule type="expression" dxfId="12271" priority="3914">
      <formula>$H290="ETAPA"</formula>
    </cfRule>
    <cfRule type="expression" dxfId="12270" priority="3915">
      <formula>$H290="SUBETAPA"</formula>
    </cfRule>
    <cfRule type="expression" dxfId="12269" priority="3916">
      <formula>$H290="ETAPA"</formula>
    </cfRule>
    <cfRule type="expression" dxfId="12268" priority="3917">
      <formula>$H290="SUBETAPA"</formula>
    </cfRule>
    <cfRule type="expression" dxfId="12267" priority="3918">
      <formula>$H290="ETAPA"</formula>
    </cfRule>
    <cfRule type="expression" dxfId="12266" priority="3919">
      <formula>$H290="SUBETAPA"</formula>
    </cfRule>
    <cfRule type="expression" dxfId="12265" priority="3920">
      <formula>$H290="CÉLULA CONSTRUTIVA"</formula>
    </cfRule>
  </conditionalFormatting>
  <conditionalFormatting sqref="O291">
    <cfRule type="expression" dxfId="12264" priority="48917">
      <formula>$H291="SUBETAPA"</formula>
    </cfRule>
    <cfRule type="expression" dxfId="12263" priority="48918">
      <formula>$H291="CÉLULA CONSTRUTIVA"</formula>
    </cfRule>
    <cfRule type="expression" dxfId="12262" priority="48919">
      <formula>$H291="ETAPA"</formula>
    </cfRule>
  </conditionalFormatting>
  <conditionalFormatting sqref="O292">
    <cfRule type="expression" dxfId="12261" priority="3907">
      <formula>$H292="ETAPA"</formula>
    </cfRule>
    <cfRule type="expression" dxfId="12260" priority="3908">
      <formula>$H292="SUBETAPA"</formula>
    </cfRule>
    <cfRule type="expression" dxfId="12259" priority="3909">
      <formula>$H292="ETAPA"</formula>
    </cfRule>
    <cfRule type="expression" dxfId="12258" priority="3910">
      <formula>$H292="SUBETAPA"</formula>
    </cfRule>
    <cfRule type="expression" dxfId="12257" priority="3911">
      <formula>$H292="ETAPA"</formula>
    </cfRule>
    <cfRule type="expression" dxfId="12256" priority="3912">
      <formula>$H292="SUBETAPA"</formula>
    </cfRule>
    <cfRule type="expression" dxfId="12255" priority="3913">
      <formula>$H292="CÉLULA CONSTRUTIVA"</formula>
    </cfRule>
  </conditionalFormatting>
  <conditionalFormatting sqref="O293">
    <cfRule type="expression" dxfId="12254" priority="48871">
      <formula>$H293="SUBETAPA"</formula>
    </cfRule>
    <cfRule type="expression" dxfId="12253" priority="48872">
      <formula>$H293="CÉLULA CONSTRUTIVA"</formula>
    </cfRule>
    <cfRule type="expression" dxfId="12252" priority="48873">
      <formula>$H293="ETAPA"</formula>
    </cfRule>
  </conditionalFormatting>
  <conditionalFormatting sqref="O294">
    <cfRule type="expression" dxfId="12251" priority="3900">
      <formula>$H294="ETAPA"</formula>
    </cfRule>
    <cfRule type="expression" dxfId="12250" priority="3901">
      <formula>$H294="SUBETAPA"</formula>
    </cfRule>
    <cfRule type="expression" dxfId="12249" priority="3902">
      <formula>$H294="ETAPA"</formula>
    </cfRule>
    <cfRule type="expression" dxfId="12248" priority="3903">
      <formula>$H294="SUBETAPA"</formula>
    </cfRule>
    <cfRule type="expression" dxfId="12247" priority="3904">
      <formula>$H294="ETAPA"</formula>
    </cfRule>
    <cfRule type="expression" dxfId="12246" priority="3905">
      <formula>$H294="SUBETAPA"</formula>
    </cfRule>
    <cfRule type="expression" dxfId="12245" priority="3906">
      <formula>$H294="CÉLULA CONSTRUTIVA"</formula>
    </cfRule>
  </conditionalFormatting>
  <conditionalFormatting sqref="O295">
    <cfRule type="expression" dxfId="12244" priority="46282">
      <formula>$H295="SUBETAPA"</formula>
    </cfRule>
    <cfRule type="expression" dxfId="12243" priority="46283">
      <formula>$H295="CÉLULA CONSTRUTIVA"</formula>
    </cfRule>
    <cfRule type="expression" dxfId="12242" priority="46284">
      <formula>$H295="ETAPA"</formula>
    </cfRule>
  </conditionalFormatting>
  <conditionalFormatting sqref="O296">
    <cfRule type="expression" dxfId="12241" priority="3893">
      <formula>$H296="ETAPA"</formula>
    </cfRule>
    <cfRule type="expression" dxfId="12240" priority="3894">
      <formula>$H296="SUBETAPA"</formula>
    </cfRule>
    <cfRule type="expression" dxfId="12239" priority="3895">
      <formula>$H296="ETAPA"</formula>
    </cfRule>
    <cfRule type="expression" dxfId="12238" priority="3896">
      <formula>$H296="SUBETAPA"</formula>
    </cfRule>
    <cfRule type="expression" dxfId="12237" priority="3897">
      <formula>$H296="ETAPA"</formula>
    </cfRule>
    <cfRule type="expression" dxfId="12236" priority="3898">
      <formula>$H296="SUBETAPA"</formula>
    </cfRule>
    <cfRule type="expression" dxfId="12235" priority="3899">
      <formula>$H296="CÉLULA CONSTRUTIVA"</formula>
    </cfRule>
  </conditionalFormatting>
  <conditionalFormatting sqref="O297">
    <cfRule type="expression" dxfId="12234" priority="48825">
      <formula>$H297="SUBETAPA"</formula>
    </cfRule>
    <cfRule type="expression" dxfId="12233" priority="48826">
      <formula>$H297="CÉLULA CONSTRUTIVA"</formula>
    </cfRule>
    <cfRule type="expression" dxfId="12232" priority="48827">
      <formula>$H297="ETAPA"</formula>
    </cfRule>
  </conditionalFormatting>
  <conditionalFormatting sqref="O298">
    <cfRule type="expression" dxfId="12231" priority="3886">
      <formula>$H298="ETAPA"</formula>
    </cfRule>
    <cfRule type="expression" dxfId="12230" priority="3887">
      <formula>$H298="SUBETAPA"</formula>
    </cfRule>
    <cfRule type="expression" dxfId="12229" priority="3888">
      <formula>$H298="ETAPA"</formula>
    </cfRule>
    <cfRule type="expression" dxfId="12228" priority="3889">
      <formula>$H298="SUBETAPA"</formula>
    </cfRule>
    <cfRule type="expression" dxfId="12227" priority="3890">
      <formula>$H298="ETAPA"</formula>
    </cfRule>
    <cfRule type="expression" dxfId="12226" priority="3891">
      <formula>$H298="SUBETAPA"</formula>
    </cfRule>
    <cfRule type="expression" dxfId="12225" priority="3892">
      <formula>$H298="CÉLULA CONSTRUTIVA"</formula>
    </cfRule>
  </conditionalFormatting>
  <conditionalFormatting sqref="O299">
    <cfRule type="expression" dxfId="12224" priority="48779">
      <formula>$H299="SUBETAPA"</formula>
    </cfRule>
    <cfRule type="expression" dxfId="12223" priority="48780">
      <formula>$H299="CÉLULA CONSTRUTIVA"</formula>
    </cfRule>
    <cfRule type="expression" dxfId="12222" priority="48781">
      <formula>$H299="ETAPA"</formula>
    </cfRule>
  </conditionalFormatting>
  <conditionalFormatting sqref="O300">
    <cfRule type="expression" dxfId="12221" priority="3879">
      <formula>$H300="ETAPA"</formula>
    </cfRule>
    <cfRule type="expression" dxfId="12220" priority="3880">
      <formula>$H300="SUBETAPA"</formula>
    </cfRule>
    <cfRule type="expression" dxfId="12219" priority="3881">
      <formula>$H300="ETAPA"</formula>
    </cfRule>
    <cfRule type="expression" dxfId="12218" priority="3882">
      <formula>$H300="SUBETAPA"</formula>
    </cfRule>
    <cfRule type="expression" dxfId="12217" priority="3883">
      <formula>$H300="ETAPA"</formula>
    </cfRule>
    <cfRule type="expression" dxfId="12216" priority="3884">
      <formula>$H300="SUBETAPA"</formula>
    </cfRule>
    <cfRule type="expression" dxfId="12215" priority="3885">
      <formula>$H300="CÉLULA CONSTRUTIVA"</formula>
    </cfRule>
  </conditionalFormatting>
  <conditionalFormatting sqref="O301">
    <cfRule type="expression" dxfId="12214" priority="48733">
      <formula>$H301="SUBETAPA"</formula>
    </cfRule>
    <cfRule type="expression" dxfId="12213" priority="48734">
      <formula>$H301="CÉLULA CONSTRUTIVA"</formula>
    </cfRule>
    <cfRule type="expression" dxfId="12212" priority="48735">
      <formula>$H301="ETAPA"</formula>
    </cfRule>
  </conditionalFormatting>
  <conditionalFormatting sqref="O303">
    <cfRule type="expression" dxfId="12211" priority="48687">
      <formula>$H303="SUBETAPA"</formula>
    </cfRule>
    <cfRule type="expression" dxfId="12210" priority="48688">
      <formula>$H303="CÉLULA CONSTRUTIVA"</formula>
    </cfRule>
    <cfRule type="expression" dxfId="12209" priority="48689">
      <formula>$H303="ETAPA"</formula>
    </cfRule>
  </conditionalFormatting>
  <conditionalFormatting sqref="O304 O302">
    <cfRule type="expression" dxfId="12208" priority="3865">
      <formula>$H302="ETAPA"</formula>
    </cfRule>
    <cfRule type="expression" dxfId="12207" priority="3866">
      <formula>$H302="SUBETAPA"</formula>
    </cfRule>
    <cfRule type="expression" dxfId="12206" priority="3867">
      <formula>$H302="ETAPA"</formula>
    </cfRule>
    <cfRule type="expression" dxfId="12205" priority="3868">
      <formula>$H302="SUBETAPA"</formula>
    </cfRule>
    <cfRule type="expression" dxfId="12204" priority="3869">
      <formula>$H302="ETAPA"</formula>
    </cfRule>
    <cfRule type="expression" dxfId="12203" priority="3870">
      <formula>$H302="SUBETAPA"</formula>
    </cfRule>
    <cfRule type="expression" dxfId="12202" priority="3871">
      <formula>$H302="CÉLULA CONSTRUTIVA"</formula>
    </cfRule>
  </conditionalFormatting>
  <conditionalFormatting sqref="O305">
    <cfRule type="expression" dxfId="12201" priority="48641">
      <formula>$H305="SUBETAPA"</formula>
    </cfRule>
    <cfRule type="expression" dxfId="12200" priority="48642">
      <formula>$H305="CÉLULA CONSTRUTIVA"</formula>
    </cfRule>
    <cfRule type="expression" dxfId="12199" priority="48643">
      <formula>$H305="ETAPA"</formula>
    </cfRule>
  </conditionalFormatting>
  <conditionalFormatting sqref="O306">
    <cfRule type="expression" dxfId="12198" priority="3858">
      <formula>$H306="ETAPA"</formula>
    </cfRule>
    <cfRule type="expression" dxfId="12197" priority="3859">
      <formula>$H306="SUBETAPA"</formula>
    </cfRule>
    <cfRule type="expression" dxfId="12196" priority="3860">
      <formula>$H306="ETAPA"</formula>
    </cfRule>
    <cfRule type="expression" dxfId="12195" priority="3861">
      <formula>$H306="SUBETAPA"</formula>
    </cfRule>
    <cfRule type="expression" dxfId="12194" priority="3862">
      <formula>$H306="ETAPA"</formula>
    </cfRule>
    <cfRule type="expression" dxfId="12193" priority="3863">
      <formula>$H306="SUBETAPA"</formula>
    </cfRule>
    <cfRule type="expression" dxfId="12192" priority="3864">
      <formula>$H306="CÉLULA CONSTRUTIVA"</formula>
    </cfRule>
  </conditionalFormatting>
  <conditionalFormatting sqref="O307">
    <cfRule type="expression" dxfId="12191" priority="48595">
      <formula>$H307="SUBETAPA"</formula>
    </cfRule>
    <cfRule type="expression" dxfId="12190" priority="48596">
      <formula>$H307="CÉLULA CONSTRUTIVA"</formula>
    </cfRule>
    <cfRule type="expression" dxfId="12189" priority="48597">
      <formula>$H307="ETAPA"</formula>
    </cfRule>
  </conditionalFormatting>
  <conditionalFormatting sqref="O308">
    <cfRule type="expression" dxfId="12188" priority="3851">
      <formula>$H308="ETAPA"</formula>
    </cfRule>
    <cfRule type="expression" dxfId="12187" priority="3852">
      <formula>$H308="SUBETAPA"</formula>
    </cfRule>
    <cfRule type="expression" dxfId="12186" priority="3853">
      <formula>$H308="ETAPA"</formula>
    </cfRule>
    <cfRule type="expression" dxfId="12185" priority="3854">
      <formula>$H308="SUBETAPA"</formula>
    </cfRule>
    <cfRule type="expression" dxfId="12184" priority="3855">
      <formula>$H308="ETAPA"</formula>
    </cfRule>
    <cfRule type="expression" dxfId="12183" priority="3856">
      <formula>$H308="SUBETAPA"</formula>
    </cfRule>
    <cfRule type="expression" dxfId="12182" priority="3857">
      <formula>$H308="CÉLULA CONSTRUTIVA"</formula>
    </cfRule>
  </conditionalFormatting>
  <conditionalFormatting sqref="O309">
    <cfRule type="expression" dxfId="12181" priority="48549">
      <formula>$H309="SUBETAPA"</formula>
    </cfRule>
    <cfRule type="expression" dxfId="12180" priority="48550">
      <formula>$H309="CÉLULA CONSTRUTIVA"</formula>
    </cfRule>
    <cfRule type="expression" dxfId="12179" priority="48551">
      <formula>$H309="ETAPA"</formula>
    </cfRule>
  </conditionalFormatting>
  <conditionalFormatting sqref="O310">
    <cfRule type="expression" dxfId="12178" priority="3844">
      <formula>$H310="ETAPA"</formula>
    </cfRule>
    <cfRule type="expression" dxfId="12177" priority="3845">
      <formula>$H310="SUBETAPA"</formula>
    </cfRule>
    <cfRule type="expression" dxfId="12176" priority="3846">
      <formula>$H310="ETAPA"</formula>
    </cfRule>
    <cfRule type="expression" dxfId="12175" priority="3847">
      <formula>$H310="SUBETAPA"</formula>
    </cfRule>
    <cfRule type="expression" dxfId="12174" priority="3848">
      <formula>$H310="ETAPA"</formula>
    </cfRule>
    <cfRule type="expression" dxfId="12173" priority="3849">
      <formula>$H310="SUBETAPA"</formula>
    </cfRule>
    <cfRule type="expression" dxfId="12172" priority="3850">
      <formula>$H310="CÉLULA CONSTRUTIVA"</formula>
    </cfRule>
  </conditionalFormatting>
  <conditionalFormatting sqref="O311">
    <cfRule type="expression" dxfId="12171" priority="48503">
      <formula>$H311="SUBETAPA"</formula>
    </cfRule>
    <cfRule type="expression" dxfId="12170" priority="48504">
      <formula>$H311="CÉLULA CONSTRUTIVA"</formula>
    </cfRule>
    <cfRule type="expression" dxfId="12169" priority="48505">
      <formula>$H311="ETAPA"</formula>
    </cfRule>
  </conditionalFormatting>
  <conditionalFormatting sqref="O313">
    <cfRule type="expression" dxfId="12168" priority="48433">
      <formula>$H313="CÉLULA CONSTRUTIVA"</formula>
    </cfRule>
    <cfRule type="expression" dxfId="12167" priority="48434">
      <formula>$H313="ETAPA"</formula>
    </cfRule>
  </conditionalFormatting>
  <conditionalFormatting sqref="O313:O314">
    <cfRule type="expression" dxfId="12166" priority="48432">
      <formula>$H313="SUBETAPA"</formula>
    </cfRule>
  </conditionalFormatting>
  <conditionalFormatting sqref="O314">
    <cfRule type="expression" dxfId="12165" priority="48449">
      <formula>$H314="CÉLULA CONSTRUTIVA"</formula>
    </cfRule>
    <cfRule type="expression" dxfId="12164" priority="48450">
      <formula>$H314="ETAPA"</formula>
    </cfRule>
  </conditionalFormatting>
  <conditionalFormatting sqref="O315">
    <cfRule type="expression" dxfId="12163" priority="3795">
      <formula>$H315="ETAPA"</formula>
    </cfRule>
    <cfRule type="expression" dxfId="12162" priority="3796">
      <formula>$H315="SUBETAPA"</formula>
    </cfRule>
    <cfRule type="expression" dxfId="12161" priority="3797">
      <formula>$H315="ETAPA"</formula>
    </cfRule>
    <cfRule type="expression" dxfId="12160" priority="3798">
      <formula>$H315="SUBETAPA"</formula>
    </cfRule>
    <cfRule type="expression" dxfId="12159" priority="3799">
      <formula>$H315="ETAPA"</formula>
    </cfRule>
    <cfRule type="expression" dxfId="12158" priority="3800">
      <formula>$H315="SUBETAPA"</formula>
    </cfRule>
    <cfRule type="expression" dxfId="12157" priority="3801">
      <formula>$H315="CÉLULA CONSTRUTIVA"</formula>
    </cfRule>
  </conditionalFormatting>
  <conditionalFormatting sqref="O316">
    <cfRule type="expression" dxfId="12156" priority="3841">
      <formula>$H316="SUBETAPA"</formula>
    </cfRule>
    <cfRule type="expression" dxfId="12155" priority="3842">
      <formula>$H316="CÉLULA CONSTRUTIVA"</formula>
    </cfRule>
    <cfRule type="expression" dxfId="12154" priority="3843">
      <formula>$H316="ETAPA"</formula>
    </cfRule>
  </conditionalFormatting>
  <conditionalFormatting sqref="O317">
    <cfRule type="expression" dxfId="12153" priority="3788">
      <formula>$H317="ETAPA"</formula>
    </cfRule>
    <cfRule type="expression" dxfId="12152" priority="3789">
      <formula>$H317="SUBETAPA"</formula>
    </cfRule>
    <cfRule type="expression" dxfId="12151" priority="3790">
      <formula>$H317="ETAPA"</formula>
    </cfRule>
    <cfRule type="expression" dxfId="12150" priority="3791">
      <formula>$H317="SUBETAPA"</formula>
    </cfRule>
    <cfRule type="expression" dxfId="12149" priority="3792">
      <formula>$H317="ETAPA"</formula>
    </cfRule>
    <cfRule type="expression" dxfId="12148" priority="3793">
      <formula>$H317="SUBETAPA"</formula>
    </cfRule>
    <cfRule type="expression" dxfId="12147" priority="3794">
      <formula>$H317="CÉLULA CONSTRUTIVA"</formula>
    </cfRule>
  </conditionalFormatting>
  <conditionalFormatting sqref="O318">
    <cfRule type="expression" dxfId="12146" priority="3838">
      <formula>$H318="SUBETAPA"</formula>
    </cfRule>
    <cfRule type="expression" dxfId="12145" priority="3839">
      <formula>$H318="CÉLULA CONSTRUTIVA"</formula>
    </cfRule>
    <cfRule type="expression" dxfId="12144" priority="3840">
      <formula>$H318="ETAPA"</formula>
    </cfRule>
  </conditionalFormatting>
  <conditionalFormatting sqref="O319">
    <cfRule type="expression" dxfId="12143" priority="3781">
      <formula>$H319="ETAPA"</formula>
    </cfRule>
    <cfRule type="expression" dxfId="12142" priority="3782">
      <formula>$H319="SUBETAPA"</formula>
    </cfRule>
    <cfRule type="expression" dxfId="12141" priority="3783">
      <formula>$H319="ETAPA"</formula>
    </cfRule>
    <cfRule type="expression" dxfId="12140" priority="3784">
      <formula>$H319="SUBETAPA"</formula>
    </cfRule>
    <cfRule type="expression" dxfId="12139" priority="3785">
      <formula>$H319="ETAPA"</formula>
    </cfRule>
    <cfRule type="expression" dxfId="12138" priority="3786">
      <formula>$H319="SUBETAPA"</formula>
    </cfRule>
    <cfRule type="expression" dxfId="12137" priority="3787">
      <formula>$H319="CÉLULA CONSTRUTIVA"</formula>
    </cfRule>
  </conditionalFormatting>
  <conditionalFormatting sqref="O320">
    <cfRule type="expression" dxfId="12136" priority="3835">
      <formula>$H320="SUBETAPA"</formula>
    </cfRule>
    <cfRule type="expression" dxfId="12135" priority="3836">
      <formula>$H320="CÉLULA CONSTRUTIVA"</formula>
    </cfRule>
    <cfRule type="expression" dxfId="12134" priority="3837">
      <formula>$H320="ETAPA"</formula>
    </cfRule>
  </conditionalFormatting>
  <conditionalFormatting sqref="O321">
    <cfRule type="expression" dxfId="12133" priority="3774">
      <formula>$H321="ETAPA"</formula>
    </cfRule>
    <cfRule type="expression" dxfId="12132" priority="3775">
      <formula>$H321="SUBETAPA"</formula>
    </cfRule>
    <cfRule type="expression" dxfId="12131" priority="3776">
      <formula>$H321="ETAPA"</formula>
    </cfRule>
    <cfRule type="expression" dxfId="12130" priority="3777">
      <formula>$H321="SUBETAPA"</formula>
    </cfRule>
    <cfRule type="expression" dxfId="12129" priority="3778">
      <formula>$H321="ETAPA"</formula>
    </cfRule>
    <cfRule type="expression" dxfId="12128" priority="3779">
      <formula>$H321="SUBETAPA"</formula>
    </cfRule>
    <cfRule type="expression" dxfId="12127" priority="3780">
      <formula>$H321="CÉLULA CONSTRUTIVA"</formula>
    </cfRule>
  </conditionalFormatting>
  <conditionalFormatting sqref="O322">
    <cfRule type="expression" dxfId="12126" priority="3832">
      <formula>$H322="SUBETAPA"</formula>
    </cfRule>
    <cfRule type="expression" dxfId="12125" priority="3833">
      <formula>$H322="CÉLULA CONSTRUTIVA"</formula>
    </cfRule>
    <cfRule type="expression" dxfId="12124" priority="3834">
      <formula>$H322="ETAPA"</formula>
    </cfRule>
  </conditionalFormatting>
  <conditionalFormatting sqref="O323">
    <cfRule type="expression" dxfId="12123" priority="3767">
      <formula>$H323="ETAPA"</formula>
    </cfRule>
    <cfRule type="expression" dxfId="12122" priority="3768">
      <formula>$H323="SUBETAPA"</formula>
    </cfRule>
    <cfRule type="expression" dxfId="12121" priority="3769">
      <formula>$H323="ETAPA"</formula>
    </cfRule>
    <cfRule type="expression" dxfId="12120" priority="3770">
      <formula>$H323="SUBETAPA"</formula>
    </cfRule>
    <cfRule type="expression" dxfId="12119" priority="3771">
      <formula>$H323="ETAPA"</formula>
    </cfRule>
    <cfRule type="expression" dxfId="12118" priority="3772">
      <formula>$H323="SUBETAPA"</formula>
    </cfRule>
    <cfRule type="expression" dxfId="12117" priority="3773">
      <formula>$H323="CÉLULA CONSTRUTIVA"</formula>
    </cfRule>
  </conditionalFormatting>
  <conditionalFormatting sqref="O324">
    <cfRule type="expression" dxfId="12116" priority="3829">
      <formula>$H324="SUBETAPA"</formula>
    </cfRule>
    <cfRule type="expression" dxfId="12115" priority="3830">
      <formula>$H324="CÉLULA CONSTRUTIVA"</formula>
    </cfRule>
    <cfRule type="expression" dxfId="12114" priority="3831">
      <formula>$H324="ETAPA"</formula>
    </cfRule>
  </conditionalFormatting>
  <conditionalFormatting sqref="O325">
    <cfRule type="expression" dxfId="12113" priority="3760">
      <formula>$H325="ETAPA"</formula>
    </cfRule>
    <cfRule type="expression" dxfId="12112" priority="3761">
      <formula>$H325="SUBETAPA"</formula>
    </cfRule>
    <cfRule type="expression" dxfId="12111" priority="3762">
      <formula>$H325="ETAPA"</formula>
    </cfRule>
    <cfRule type="expression" dxfId="12110" priority="3763">
      <formula>$H325="SUBETAPA"</formula>
    </cfRule>
    <cfRule type="expression" dxfId="12109" priority="3764">
      <formula>$H325="ETAPA"</formula>
    </cfRule>
    <cfRule type="expression" dxfId="12108" priority="3765">
      <formula>$H325="SUBETAPA"</formula>
    </cfRule>
    <cfRule type="expression" dxfId="12107" priority="3766">
      <formula>$H325="CÉLULA CONSTRUTIVA"</formula>
    </cfRule>
  </conditionalFormatting>
  <conditionalFormatting sqref="O326">
    <cfRule type="expression" dxfId="12106" priority="3826">
      <formula>$H326="SUBETAPA"</formula>
    </cfRule>
    <cfRule type="expression" dxfId="12105" priority="3827">
      <formula>$H326="CÉLULA CONSTRUTIVA"</formula>
    </cfRule>
    <cfRule type="expression" dxfId="12104" priority="3828">
      <formula>$H326="ETAPA"</formula>
    </cfRule>
  </conditionalFormatting>
  <conditionalFormatting sqref="O327">
    <cfRule type="expression" dxfId="12103" priority="3753">
      <formula>$H327="ETAPA"</formula>
    </cfRule>
    <cfRule type="expression" dxfId="12102" priority="3754">
      <formula>$H327="SUBETAPA"</formula>
    </cfRule>
    <cfRule type="expression" dxfId="12101" priority="3755">
      <formula>$H327="ETAPA"</formula>
    </cfRule>
    <cfRule type="expression" dxfId="12100" priority="3756">
      <formula>$H327="SUBETAPA"</formula>
    </cfRule>
    <cfRule type="expression" dxfId="12099" priority="3757">
      <formula>$H327="ETAPA"</formula>
    </cfRule>
    <cfRule type="expression" dxfId="12098" priority="3758">
      <formula>$H327="SUBETAPA"</formula>
    </cfRule>
    <cfRule type="expression" dxfId="12097" priority="3759">
      <formula>$H327="CÉLULA CONSTRUTIVA"</formula>
    </cfRule>
  </conditionalFormatting>
  <conditionalFormatting sqref="O328">
    <cfRule type="expression" dxfId="12096" priority="3802">
      <formula>$H328="SUBETAPA"</formula>
    </cfRule>
    <cfRule type="expression" dxfId="12095" priority="3803">
      <formula>$H328="CÉLULA CONSTRUTIVA"</formula>
    </cfRule>
    <cfRule type="expression" dxfId="12094" priority="3804">
      <formula>$H328="ETAPA"</formula>
    </cfRule>
  </conditionalFormatting>
  <conditionalFormatting sqref="O329">
    <cfRule type="expression" dxfId="12093" priority="3746">
      <formula>$H329="ETAPA"</formula>
    </cfRule>
    <cfRule type="expression" dxfId="12092" priority="3747">
      <formula>$H329="SUBETAPA"</formula>
    </cfRule>
    <cfRule type="expression" dxfId="12091" priority="3748">
      <formula>$H329="ETAPA"</formula>
    </cfRule>
    <cfRule type="expression" dxfId="12090" priority="3749">
      <formula>$H329="SUBETAPA"</formula>
    </cfRule>
    <cfRule type="expression" dxfId="12089" priority="3750">
      <formula>$H329="ETAPA"</formula>
    </cfRule>
    <cfRule type="expression" dxfId="12088" priority="3751">
      <formula>$H329="SUBETAPA"</formula>
    </cfRule>
    <cfRule type="expression" dxfId="12087" priority="3752">
      <formula>$H329="CÉLULA CONSTRUTIVA"</formula>
    </cfRule>
  </conditionalFormatting>
  <conditionalFormatting sqref="O330">
    <cfRule type="expression" dxfId="12086" priority="3823">
      <formula>$H330="SUBETAPA"</formula>
    </cfRule>
    <cfRule type="expression" dxfId="12085" priority="3824">
      <formula>$H330="CÉLULA CONSTRUTIVA"</formula>
    </cfRule>
    <cfRule type="expression" dxfId="12084" priority="3825">
      <formula>$H330="ETAPA"</formula>
    </cfRule>
  </conditionalFormatting>
  <conditionalFormatting sqref="O331">
    <cfRule type="expression" dxfId="12083" priority="3739">
      <formula>$H331="ETAPA"</formula>
    </cfRule>
    <cfRule type="expression" dxfId="12082" priority="3740">
      <formula>$H331="SUBETAPA"</formula>
    </cfRule>
    <cfRule type="expression" dxfId="12081" priority="3741">
      <formula>$H331="ETAPA"</formula>
    </cfRule>
    <cfRule type="expression" dxfId="12080" priority="3742">
      <formula>$H331="SUBETAPA"</formula>
    </cfRule>
    <cfRule type="expression" dxfId="12079" priority="3743">
      <formula>$H331="ETAPA"</formula>
    </cfRule>
    <cfRule type="expression" dxfId="12078" priority="3744">
      <formula>$H331="SUBETAPA"</formula>
    </cfRule>
    <cfRule type="expression" dxfId="12077" priority="3745">
      <formula>$H331="CÉLULA CONSTRUTIVA"</formula>
    </cfRule>
  </conditionalFormatting>
  <conditionalFormatting sqref="O332">
    <cfRule type="expression" dxfId="12076" priority="3820">
      <formula>$H332="SUBETAPA"</formula>
    </cfRule>
    <cfRule type="expression" dxfId="12075" priority="3821">
      <formula>$H332="CÉLULA CONSTRUTIVA"</formula>
    </cfRule>
    <cfRule type="expression" dxfId="12074" priority="3822">
      <formula>$H332="ETAPA"</formula>
    </cfRule>
  </conditionalFormatting>
  <conditionalFormatting sqref="O333">
    <cfRule type="expression" dxfId="12073" priority="3732">
      <formula>$H333="ETAPA"</formula>
    </cfRule>
    <cfRule type="expression" dxfId="12072" priority="3733">
      <formula>$H333="SUBETAPA"</formula>
    </cfRule>
    <cfRule type="expression" dxfId="12071" priority="3734">
      <formula>$H333="ETAPA"</formula>
    </cfRule>
    <cfRule type="expression" dxfId="12070" priority="3735">
      <formula>$H333="SUBETAPA"</formula>
    </cfRule>
    <cfRule type="expression" dxfId="12069" priority="3736">
      <formula>$H333="ETAPA"</formula>
    </cfRule>
    <cfRule type="expression" dxfId="12068" priority="3737">
      <formula>$H333="SUBETAPA"</formula>
    </cfRule>
    <cfRule type="expression" dxfId="12067" priority="3738">
      <formula>$H333="CÉLULA CONSTRUTIVA"</formula>
    </cfRule>
  </conditionalFormatting>
  <conditionalFormatting sqref="O334">
    <cfRule type="expression" dxfId="12066" priority="3817">
      <formula>$H334="SUBETAPA"</formula>
    </cfRule>
    <cfRule type="expression" dxfId="12065" priority="3818">
      <formula>$H334="CÉLULA CONSTRUTIVA"</formula>
    </cfRule>
    <cfRule type="expression" dxfId="12064" priority="3819">
      <formula>$H334="ETAPA"</formula>
    </cfRule>
  </conditionalFormatting>
  <conditionalFormatting sqref="O336">
    <cfRule type="expression" dxfId="12063" priority="3814">
      <formula>$H336="SUBETAPA"</formula>
    </cfRule>
    <cfRule type="expression" dxfId="12062" priority="3815">
      <formula>$H336="CÉLULA CONSTRUTIVA"</formula>
    </cfRule>
    <cfRule type="expression" dxfId="12061" priority="3816">
      <formula>$H336="ETAPA"</formula>
    </cfRule>
  </conditionalFormatting>
  <conditionalFormatting sqref="O337 O335">
    <cfRule type="expression" dxfId="12060" priority="3725">
      <formula>$H335="ETAPA"</formula>
    </cfRule>
    <cfRule type="expression" dxfId="12059" priority="3726">
      <formula>$H335="SUBETAPA"</formula>
    </cfRule>
    <cfRule type="expression" dxfId="12058" priority="3727">
      <formula>$H335="ETAPA"</formula>
    </cfRule>
    <cfRule type="expression" dxfId="12057" priority="3728">
      <formula>$H335="SUBETAPA"</formula>
    </cfRule>
    <cfRule type="expression" dxfId="12056" priority="3729">
      <formula>$H335="ETAPA"</formula>
    </cfRule>
    <cfRule type="expression" dxfId="12055" priority="3730">
      <formula>$H335="SUBETAPA"</formula>
    </cfRule>
    <cfRule type="expression" dxfId="12054" priority="3731">
      <formula>$H335="CÉLULA CONSTRUTIVA"</formula>
    </cfRule>
  </conditionalFormatting>
  <conditionalFormatting sqref="O338">
    <cfRule type="expression" dxfId="12053" priority="3811">
      <formula>$H338="SUBETAPA"</formula>
    </cfRule>
    <cfRule type="expression" dxfId="12052" priority="3812">
      <formula>$H338="CÉLULA CONSTRUTIVA"</formula>
    </cfRule>
    <cfRule type="expression" dxfId="12051" priority="3813">
      <formula>$H338="ETAPA"</formula>
    </cfRule>
  </conditionalFormatting>
  <conditionalFormatting sqref="O339">
    <cfRule type="expression" dxfId="12050" priority="3718">
      <formula>$H339="ETAPA"</formula>
    </cfRule>
    <cfRule type="expression" dxfId="12049" priority="3719">
      <formula>$H339="SUBETAPA"</formula>
    </cfRule>
    <cfRule type="expression" dxfId="12048" priority="3720">
      <formula>$H339="ETAPA"</formula>
    </cfRule>
    <cfRule type="expression" dxfId="12047" priority="3721">
      <formula>$H339="SUBETAPA"</formula>
    </cfRule>
    <cfRule type="expression" dxfId="12046" priority="3722">
      <formula>$H339="ETAPA"</formula>
    </cfRule>
    <cfRule type="expression" dxfId="12045" priority="3723">
      <formula>$H339="SUBETAPA"</formula>
    </cfRule>
    <cfRule type="expression" dxfId="12044" priority="3724">
      <formula>$H339="CÉLULA CONSTRUTIVA"</formula>
    </cfRule>
  </conditionalFormatting>
  <conditionalFormatting sqref="O340">
    <cfRule type="expression" dxfId="12043" priority="3808">
      <formula>$H340="SUBETAPA"</formula>
    </cfRule>
    <cfRule type="expression" dxfId="12042" priority="3809">
      <formula>$H340="CÉLULA CONSTRUTIVA"</formula>
    </cfRule>
    <cfRule type="expression" dxfId="12041" priority="3810">
      <formula>$H340="ETAPA"</formula>
    </cfRule>
  </conditionalFormatting>
  <conditionalFormatting sqref="O341">
    <cfRule type="expression" dxfId="12040" priority="3711">
      <formula>$H341="ETAPA"</formula>
    </cfRule>
    <cfRule type="expression" dxfId="12039" priority="3712">
      <formula>$H341="SUBETAPA"</formula>
    </cfRule>
    <cfRule type="expression" dxfId="12038" priority="3713">
      <formula>$H341="ETAPA"</formula>
    </cfRule>
    <cfRule type="expression" dxfId="12037" priority="3714">
      <formula>$H341="SUBETAPA"</formula>
    </cfRule>
    <cfRule type="expression" dxfId="12036" priority="3715">
      <formula>$H341="ETAPA"</formula>
    </cfRule>
    <cfRule type="expression" dxfId="12035" priority="3716">
      <formula>$H341="SUBETAPA"</formula>
    </cfRule>
    <cfRule type="expression" dxfId="12034" priority="3717">
      <formula>$H341="CÉLULA CONSTRUTIVA"</formula>
    </cfRule>
  </conditionalFormatting>
  <conditionalFormatting sqref="O342">
    <cfRule type="expression" dxfId="12033" priority="3805">
      <formula>$H342="SUBETAPA"</formula>
    </cfRule>
    <cfRule type="expression" dxfId="12032" priority="3806">
      <formula>$H342="CÉLULA CONSTRUTIVA"</formula>
    </cfRule>
    <cfRule type="expression" dxfId="12031" priority="3807">
      <formula>$H342="ETAPA"</formula>
    </cfRule>
  </conditionalFormatting>
  <conditionalFormatting sqref="O343">
    <cfRule type="expression" dxfId="12030" priority="3704">
      <formula>$H343="ETAPA"</formula>
    </cfRule>
    <cfRule type="expression" dxfId="12029" priority="3705">
      <formula>$H343="SUBETAPA"</formula>
    </cfRule>
    <cfRule type="expression" dxfId="12028" priority="3706">
      <formula>$H343="ETAPA"</formula>
    </cfRule>
    <cfRule type="expression" dxfId="12027" priority="3707">
      <formula>$H343="SUBETAPA"</formula>
    </cfRule>
    <cfRule type="expression" dxfId="12026" priority="3708">
      <formula>$H343="ETAPA"</formula>
    </cfRule>
    <cfRule type="expression" dxfId="12025" priority="3709">
      <formula>$H343="SUBETAPA"</formula>
    </cfRule>
    <cfRule type="expression" dxfId="12024" priority="3710">
      <formula>$H343="CÉLULA CONSTRUTIVA"</formula>
    </cfRule>
  </conditionalFormatting>
  <conditionalFormatting sqref="O344">
    <cfRule type="expression" dxfId="12023" priority="47845">
      <formula>$H344="SUBETAPA"</formula>
    </cfRule>
    <cfRule type="expression" dxfId="12022" priority="47846">
      <formula>$H344="CÉLULA CONSTRUTIVA"</formula>
    </cfRule>
  </conditionalFormatting>
  <conditionalFormatting sqref="O346">
    <cfRule type="expression" dxfId="12021" priority="48462">
      <formula>$H346="CÉLULA CONSTRUTIVA"</formula>
    </cfRule>
    <cfRule type="expression" dxfId="12020" priority="48463">
      <formula>$H346="ETAPA"</formula>
    </cfRule>
  </conditionalFormatting>
  <conditionalFormatting sqref="O346:O347">
    <cfRule type="expression" dxfId="12019" priority="47798">
      <formula>$H346="SUBETAPA"</formula>
    </cfRule>
  </conditionalFormatting>
  <conditionalFormatting sqref="O347">
    <cfRule type="expression" dxfId="12018" priority="47799">
      <formula>$H347="CÉLULA CONSTRUTIVA"</formula>
    </cfRule>
    <cfRule type="expression" dxfId="12017" priority="47800">
      <formula>$H347="ETAPA"</formula>
    </cfRule>
  </conditionalFormatting>
  <conditionalFormatting sqref="O348">
    <cfRule type="expression" dxfId="12016" priority="3697">
      <formula>$H348="ETAPA"</formula>
    </cfRule>
    <cfRule type="expression" dxfId="12015" priority="3698">
      <formula>$H348="SUBETAPA"</formula>
    </cfRule>
    <cfRule type="expression" dxfId="12014" priority="3699">
      <formula>$H348="ETAPA"</formula>
    </cfRule>
    <cfRule type="expression" dxfId="12013" priority="3700">
      <formula>$H348="SUBETAPA"</formula>
    </cfRule>
    <cfRule type="expression" dxfId="12012" priority="3701">
      <formula>$H348="ETAPA"</formula>
    </cfRule>
    <cfRule type="expression" dxfId="12011" priority="3702">
      <formula>$H348="SUBETAPA"</formula>
    </cfRule>
    <cfRule type="expression" dxfId="12010" priority="3703">
      <formula>$H348="CÉLULA CONSTRUTIVA"</formula>
    </cfRule>
  </conditionalFormatting>
  <conditionalFormatting sqref="O349">
    <cfRule type="expression" dxfId="12009" priority="47752">
      <formula>$H349="SUBETAPA"</formula>
    </cfRule>
    <cfRule type="expression" dxfId="12008" priority="47753">
      <formula>$H349="CÉLULA CONSTRUTIVA"</formula>
    </cfRule>
    <cfRule type="expression" dxfId="12007" priority="47754">
      <formula>$H349="ETAPA"</formula>
    </cfRule>
  </conditionalFormatting>
  <conditionalFormatting sqref="O350">
    <cfRule type="expression" dxfId="12006" priority="3690">
      <formula>$H350="ETAPA"</formula>
    </cfRule>
    <cfRule type="expression" dxfId="12005" priority="3691">
      <formula>$H350="SUBETAPA"</formula>
    </cfRule>
    <cfRule type="expression" dxfId="12004" priority="3692">
      <formula>$H350="ETAPA"</formula>
    </cfRule>
    <cfRule type="expression" dxfId="12003" priority="3693">
      <formula>$H350="SUBETAPA"</formula>
    </cfRule>
    <cfRule type="expression" dxfId="12002" priority="3694">
      <formula>$H350="ETAPA"</formula>
    </cfRule>
    <cfRule type="expression" dxfId="12001" priority="3695">
      <formula>$H350="SUBETAPA"</formula>
    </cfRule>
    <cfRule type="expression" dxfId="12000" priority="3696">
      <formula>$H350="CÉLULA CONSTRUTIVA"</formula>
    </cfRule>
  </conditionalFormatting>
  <conditionalFormatting sqref="O351">
    <cfRule type="expression" dxfId="11999" priority="47709">
      <formula>$H351="SUBETAPA"</formula>
    </cfRule>
    <cfRule type="expression" dxfId="11998" priority="47710">
      <formula>$H351="CÉLULA CONSTRUTIVA"</formula>
    </cfRule>
    <cfRule type="expression" dxfId="11997" priority="47711">
      <formula>$H351="ETAPA"</formula>
    </cfRule>
  </conditionalFormatting>
  <conditionalFormatting sqref="O353">
    <cfRule type="expression" dxfId="11996" priority="47666">
      <formula>$H353="SUBETAPA"</formula>
    </cfRule>
    <cfRule type="expression" dxfId="11995" priority="47667">
      <formula>$H353="CÉLULA CONSTRUTIVA"</formula>
    </cfRule>
    <cfRule type="expression" dxfId="11994" priority="47668">
      <formula>$H353="ETAPA"</formula>
    </cfRule>
  </conditionalFormatting>
  <conditionalFormatting sqref="O354">
    <cfRule type="expression" dxfId="11993" priority="3687">
      <formula>$H354="SUBETAPA"</formula>
    </cfRule>
    <cfRule type="expression" dxfId="11992" priority="3688">
      <formula>$H354="CÉLULA CONSTRUTIVA"</formula>
    </cfRule>
    <cfRule type="expression" dxfId="11991" priority="3689">
      <formula>$H354="ETAPA"</formula>
    </cfRule>
  </conditionalFormatting>
  <conditionalFormatting sqref="O355">
    <cfRule type="expression" dxfId="11990" priority="47623">
      <formula>$H355="SUBETAPA"</formula>
    </cfRule>
    <cfRule type="expression" dxfId="11989" priority="47624">
      <formula>$H355="CÉLULA CONSTRUTIVA"</formula>
    </cfRule>
    <cfRule type="expression" dxfId="11988" priority="47625">
      <formula>$H355="ETAPA"</formula>
    </cfRule>
  </conditionalFormatting>
  <conditionalFormatting sqref="O356">
    <cfRule type="expression" dxfId="11987" priority="3684">
      <formula>$H356="SUBETAPA"</formula>
    </cfRule>
    <cfRule type="expression" dxfId="11986" priority="3685">
      <formula>$H356="CÉLULA CONSTRUTIVA"</formula>
    </cfRule>
    <cfRule type="expression" dxfId="11985" priority="3686">
      <formula>$H356="ETAPA"</formula>
    </cfRule>
  </conditionalFormatting>
  <conditionalFormatting sqref="O357">
    <cfRule type="expression" dxfId="11984" priority="47580">
      <formula>$H357="SUBETAPA"</formula>
    </cfRule>
    <cfRule type="expression" dxfId="11983" priority="47581">
      <formula>$H357="CÉLULA CONSTRUTIVA"</formula>
    </cfRule>
    <cfRule type="expression" dxfId="11982" priority="47582">
      <formula>$H357="ETAPA"</formula>
    </cfRule>
  </conditionalFormatting>
  <conditionalFormatting sqref="O358">
    <cfRule type="expression" dxfId="11981" priority="3681">
      <formula>$H358="SUBETAPA"</formula>
    </cfRule>
    <cfRule type="expression" dxfId="11980" priority="3682">
      <formula>$H358="CÉLULA CONSTRUTIVA"</formula>
    </cfRule>
    <cfRule type="expression" dxfId="11979" priority="3683">
      <formula>$H358="ETAPA"</formula>
    </cfRule>
  </conditionalFormatting>
  <conditionalFormatting sqref="O359">
    <cfRule type="expression" dxfId="11978" priority="46184">
      <formula>$H359="SUBETAPA"</formula>
    </cfRule>
    <cfRule type="expression" dxfId="11977" priority="46185">
      <formula>$H359="CÉLULA CONSTRUTIVA"</formula>
    </cfRule>
    <cfRule type="expression" dxfId="11976" priority="46186">
      <formula>$H359="ETAPA"</formula>
    </cfRule>
  </conditionalFormatting>
  <conditionalFormatting sqref="O360">
    <cfRule type="expression" dxfId="11975" priority="3678">
      <formula>$H360="SUBETAPA"</formula>
    </cfRule>
    <cfRule type="expression" dxfId="11974" priority="3679">
      <formula>$H360="CÉLULA CONSTRUTIVA"</formula>
    </cfRule>
    <cfRule type="expression" dxfId="11973" priority="3680">
      <formula>$H360="ETAPA"</formula>
    </cfRule>
  </conditionalFormatting>
  <conditionalFormatting sqref="O361">
    <cfRule type="expression" dxfId="11972" priority="47537">
      <formula>$H361="SUBETAPA"</formula>
    </cfRule>
    <cfRule type="expression" dxfId="11971" priority="47538">
      <formula>$H361="CÉLULA CONSTRUTIVA"</formula>
    </cfRule>
    <cfRule type="expression" dxfId="11970" priority="47539">
      <formula>$H361="ETAPA"</formula>
    </cfRule>
  </conditionalFormatting>
  <conditionalFormatting sqref="O362">
    <cfRule type="expression" dxfId="11969" priority="3675">
      <formula>$H362="SUBETAPA"</formula>
    </cfRule>
    <cfRule type="expression" dxfId="11968" priority="3676">
      <formula>$H362="CÉLULA CONSTRUTIVA"</formula>
    </cfRule>
    <cfRule type="expression" dxfId="11967" priority="3677">
      <formula>$H362="ETAPA"</formula>
    </cfRule>
  </conditionalFormatting>
  <conditionalFormatting sqref="O363">
    <cfRule type="expression" dxfId="11966" priority="47494">
      <formula>$H363="SUBETAPA"</formula>
    </cfRule>
    <cfRule type="expression" dxfId="11965" priority="47495">
      <formula>$H363="CÉLULA CONSTRUTIVA"</formula>
    </cfRule>
    <cfRule type="expression" dxfId="11964" priority="47496">
      <formula>$H363="ETAPA"</formula>
    </cfRule>
  </conditionalFormatting>
  <conditionalFormatting sqref="O364">
    <cfRule type="expression" dxfId="11963" priority="3672">
      <formula>$H364="SUBETAPA"</formula>
    </cfRule>
    <cfRule type="expression" dxfId="11962" priority="3673">
      <formula>$H364="CÉLULA CONSTRUTIVA"</formula>
    </cfRule>
    <cfRule type="expression" dxfId="11961" priority="3674">
      <formula>$H364="ETAPA"</formula>
    </cfRule>
  </conditionalFormatting>
  <conditionalFormatting sqref="O365">
    <cfRule type="expression" dxfId="11960" priority="47451">
      <formula>$H365="SUBETAPA"</formula>
    </cfRule>
    <cfRule type="expression" dxfId="11959" priority="47452">
      <formula>$H365="CÉLULA CONSTRUTIVA"</formula>
    </cfRule>
    <cfRule type="expression" dxfId="11958" priority="47453">
      <formula>$H365="ETAPA"</formula>
    </cfRule>
  </conditionalFormatting>
  <conditionalFormatting sqref="O366">
    <cfRule type="expression" dxfId="11957" priority="3669">
      <formula>$H366="SUBETAPA"</formula>
    </cfRule>
    <cfRule type="expression" dxfId="11956" priority="3670">
      <formula>$H366="CÉLULA CONSTRUTIVA"</formula>
    </cfRule>
    <cfRule type="expression" dxfId="11955" priority="3671">
      <formula>$H366="ETAPA"</formula>
    </cfRule>
  </conditionalFormatting>
  <conditionalFormatting sqref="O367">
    <cfRule type="expression" dxfId="11954" priority="47408">
      <formula>$H367="SUBETAPA"</formula>
    </cfRule>
    <cfRule type="expression" dxfId="11953" priority="47409">
      <formula>$H367="CÉLULA CONSTRUTIVA"</formula>
    </cfRule>
    <cfRule type="expression" dxfId="11952" priority="47410">
      <formula>$H367="ETAPA"</formula>
    </cfRule>
  </conditionalFormatting>
  <conditionalFormatting sqref="O368">
    <cfRule type="expression" dxfId="11951" priority="3666">
      <formula>$H368="SUBETAPA"</formula>
    </cfRule>
    <cfRule type="expression" dxfId="11950" priority="3667">
      <formula>$H368="CÉLULA CONSTRUTIVA"</formula>
    </cfRule>
    <cfRule type="expression" dxfId="11949" priority="3668">
      <formula>$H368="ETAPA"</formula>
    </cfRule>
  </conditionalFormatting>
  <conditionalFormatting sqref="O369">
    <cfRule type="expression" dxfId="11948" priority="47365">
      <formula>$H369="SUBETAPA"</formula>
    </cfRule>
    <cfRule type="expression" dxfId="11947" priority="47366">
      <formula>$H369="CÉLULA CONSTRUTIVA"</formula>
    </cfRule>
    <cfRule type="expression" dxfId="11946" priority="47367">
      <formula>$H369="ETAPA"</formula>
    </cfRule>
  </conditionalFormatting>
  <conditionalFormatting sqref="O370">
    <cfRule type="expression" dxfId="11945" priority="3663">
      <formula>$H370="SUBETAPA"</formula>
    </cfRule>
    <cfRule type="expression" dxfId="11944" priority="3664">
      <formula>$H370="CÉLULA CONSTRUTIVA"</formula>
    </cfRule>
    <cfRule type="expression" dxfId="11943" priority="3665">
      <formula>$H370="ETAPA"</formula>
    </cfRule>
  </conditionalFormatting>
  <conditionalFormatting sqref="O371">
    <cfRule type="expression" dxfId="11942" priority="47322">
      <formula>$H371="SUBETAPA"</formula>
    </cfRule>
    <cfRule type="expression" dxfId="11941" priority="47323">
      <formula>$H371="CÉLULA CONSTRUTIVA"</formula>
    </cfRule>
    <cfRule type="expression" dxfId="11940" priority="47324">
      <formula>$H371="ETAPA"</formula>
    </cfRule>
  </conditionalFormatting>
  <conditionalFormatting sqref="O372">
    <cfRule type="expression" dxfId="11939" priority="3660">
      <formula>$H372="SUBETAPA"</formula>
    </cfRule>
    <cfRule type="expression" dxfId="11938" priority="3661">
      <formula>$H372="CÉLULA CONSTRUTIVA"</formula>
    </cfRule>
    <cfRule type="expression" dxfId="11937" priority="3662">
      <formula>$H372="ETAPA"</formula>
    </cfRule>
  </conditionalFormatting>
  <conditionalFormatting sqref="O373">
    <cfRule type="expression" dxfId="11936" priority="47279">
      <formula>$H373="SUBETAPA"</formula>
    </cfRule>
    <cfRule type="expression" dxfId="11935" priority="47280">
      <formula>$H373="CÉLULA CONSTRUTIVA"</formula>
    </cfRule>
    <cfRule type="expression" dxfId="11934" priority="47281">
      <formula>$H373="ETAPA"</formula>
    </cfRule>
  </conditionalFormatting>
  <conditionalFormatting sqref="O374">
    <cfRule type="expression" dxfId="11933" priority="3657">
      <formula>$H374="SUBETAPA"</formula>
    </cfRule>
    <cfRule type="expression" dxfId="11932" priority="3658">
      <formula>$H374="CÉLULA CONSTRUTIVA"</formula>
    </cfRule>
    <cfRule type="expression" dxfId="11931" priority="3659">
      <formula>$H374="ETAPA"</formula>
    </cfRule>
  </conditionalFormatting>
  <conditionalFormatting sqref="O375">
    <cfRule type="expression" dxfId="11930" priority="47236">
      <formula>$H375="SUBETAPA"</formula>
    </cfRule>
    <cfRule type="expression" dxfId="11929" priority="47237">
      <formula>$H375="CÉLULA CONSTRUTIVA"</formula>
    </cfRule>
    <cfRule type="expression" dxfId="11928" priority="47238">
      <formula>$H375="ETAPA"</formula>
    </cfRule>
  </conditionalFormatting>
  <conditionalFormatting sqref="O376">
    <cfRule type="expression" dxfId="11927" priority="3654">
      <formula>$H376="SUBETAPA"</formula>
    </cfRule>
    <cfRule type="expression" dxfId="11926" priority="3655">
      <formula>$H376="CÉLULA CONSTRUTIVA"</formula>
    </cfRule>
    <cfRule type="expression" dxfId="11925" priority="3656">
      <formula>$H376="ETAPA"</formula>
    </cfRule>
  </conditionalFormatting>
  <conditionalFormatting sqref="O377">
    <cfRule type="expression" dxfId="11924" priority="47193">
      <formula>$H377="SUBETAPA"</formula>
    </cfRule>
    <cfRule type="expression" dxfId="11923" priority="47194">
      <formula>$H377="CÉLULA CONSTRUTIVA"</formula>
    </cfRule>
    <cfRule type="expression" dxfId="11922" priority="47195">
      <formula>$H377="ETAPA"</formula>
    </cfRule>
  </conditionalFormatting>
  <conditionalFormatting sqref="O378">
    <cfRule type="expression" dxfId="11921" priority="3651">
      <formula>$H378="SUBETAPA"</formula>
    </cfRule>
    <cfRule type="expression" dxfId="11920" priority="3652">
      <formula>$H378="CÉLULA CONSTRUTIVA"</formula>
    </cfRule>
    <cfRule type="expression" dxfId="11919" priority="3653">
      <formula>$H378="ETAPA"</formula>
    </cfRule>
  </conditionalFormatting>
  <conditionalFormatting sqref="O379">
    <cfRule type="expression" dxfId="11918" priority="58353">
      <formula>$H379="CÉLULA CONSTRUTIVA"</formula>
    </cfRule>
    <cfRule type="expression" dxfId="11917" priority="58354">
      <formula>$H379="ETAPA"</formula>
    </cfRule>
    <cfRule type="expression" dxfId="11916" priority="58355">
      <formula>$H379="SUBETAPA"</formula>
    </cfRule>
  </conditionalFormatting>
  <conditionalFormatting sqref="O382:O384 G383:K384 M383:M384">
    <cfRule type="expression" dxfId="11915" priority="99292">
      <formula>$H382="ETAPA"</formula>
    </cfRule>
  </conditionalFormatting>
  <conditionalFormatting sqref="O385">
    <cfRule type="expression" dxfId="11914" priority="99298">
      <formula>$H385="SUBETAPA"</formula>
    </cfRule>
  </conditionalFormatting>
  <conditionalFormatting sqref="O388:O390 G387:I390">
    <cfRule type="expression" dxfId="11913" priority="99311">
      <formula>$H387="SUBETAPA"</formula>
    </cfRule>
  </conditionalFormatting>
  <conditionalFormatting sqref="O398 L398">
    <cfRule type="expression" dxfId="11912" priority="7581">
      <formula>$H398="CÉLULA CONSTRUTIVA"</formula>
    </cfRule>
  </conditionalFormatting>
  <conditionalFormatting sqref="O398">
    <cfRule type="expression" dxfId="11911" priority="7556">
      <formula>$H398="ETAPA"</formula>
    </cfRule>
  </conditionalFormatting>
  <conditionalFormatting sqref="O402">
    <cfRule type="expression" dxfId="11910" priority="99393">
      <formula>$H402="SUBETAPA"</formula>
    </cfRule>
  </conditionalFormatting>
  <conditionalFormatting sqref="O405:O407 G404:I407">
    <cfRule type="expression" dxfId="11909" priority="99406">
      <formula>$H404="SUBETAPA"</formula>
    </cfRule>
  </conditionalFormatting>
  <conditionalFormatting sqref="O419">
    <cfRule type="expression" dxfId="11908" priority="99488">
      <formula>$H419="SUBETAPA"</formula>
    </cfRule>
  </conditionalFormatting>
  <conditionalFormatting sqref="O422:O424 G421:I424">
    <cfRule type="expression" dxfId="11907" priority="99501">
      <formula>$H421="SUBETAPA"</formula>
    </cfRule>
  </conditionalFormatting>
  <conditionalFormatting sqref="O431 G431:I431 K431">
    <cfRule type="expression" dxfId="11906" priority="7527">
      <formula>$H431="SUBETAPA"</formula>
    </cfRule>
  </conditionalFormatting>
  <conditionalFormatting sqref="O431">
    <cfRule type="expression" dxfId="11905" priority="7526">
      <formula>$H431="ETAPA"</formula>
    </cfRule>
  </conditionalFormatting>
  <conditionalFormatting sqref="O435">
    <cfRule type="expression" dxfId="11904" priority="99583">
      <formula>$H435="SUBETAPA"</formula>
    </cfRule>
  </conditionalFormatting>
  <conditionalFormatting sqref="O438:O440 G437:I440">
    <cfRule type="expression" dxfId="11903" priority="99596">
      <formula>$H437="SUBETAPA"</formula>
    </cfRule>
  </conditionalFormatting>
  <conditionalFormatting sqref="O447 G447:I447 K447">
    <cfRule type="expression" dxfId="11902" priority="7489">
      <formula>$H447="SUBETAPA"</formula>
    </cfRule>
  </conditionalFormatting>
  <conditionalFormatting sqref="O447">
    <cfRule type="expression" dxfId="11901" priority="7488">
      <formula>$H447="ETAPA"</formula>
    </cfRule>
  </conditionalFormatting>
  <conditionalFormatting sqref="O451">
    <cfRule type="expression" dxfId="11900" priority="99678">
      <formula>$H451="SUBETAPA"</formula>
    </cfRule>
  </conditionalFormatting>
  <conditionalFormatting sqref="O454:O456 G453:I456">
    <cfRule type="expression" dxfId="11899" priority="99691">
      <formula>$H453="SUBETAPA"</formula>
    </cfRule>
  </conditionalFormatting>
  <conditionalFormatting sqref="O464 G464:I464 K464">
    <cfRule type="expression" dxfId="11898" priority="7458">
      <formula>$H464="SUBETAPA"</formula>
    </cfRule>
  </conditionalFormatting>
  <conditionalFormatting sqref="O464">
    <cfRule type="expression" dxfId="11897" priority="7457">
      <formula>$H464="ETAPA"</formula>
    </cfRule>
  </conditionalFormatting>
  <conditionalFormatting sqref="O468">
    <cfRule type="expression" dxfId="11896" priority="99773">
      <formula>$H468="SUBETAPA"</formula>
    </cfRule>
  </conditionalFormatting>
  <conditionalFormatting sqref="O471:O473 G470:I473">
    <cfRule type="expression" dxfId="11895" priority="99786">
      <formula>$H470="SUBETAPA"</formula>
    </cfRule>
  </conditionalFormatting>
  <conditionalFormatting sqref="O481 G481:I481 K481">
    <cfRule type="expression" dxfId="11894" priority="7427">
      <formula>$H481="SUBETAPA"</formula>
    </cfRule>
  </conditionalFormatting>
  <conditionalFormatting sqref="O481">
    <cfRule type="expression" dxfId="11893" priority="7426">
      <formula>$H481="ETAPA"</formula>
    </cfRule>
  </conditionalFormatting>
  <conditionalFormatting sqref="O485">
    <cfRule type="expression" dxfId="11892" priority="99868">
      <formula>$H485="SUBETAPA"</formula>
    </cfRule>
  </conditionalFormatting>
  <conditionalFormatting sqref="O488:O490 G487:I490">
    <cfRule type="expression" dxfId="11891" priority="99881">
      <formula>$H487="SUBETAPA"</formula>
    </cfRule>
  </conditionalFormatting>
  <conditionalFormatting sqref="O498 G498:I498 K498">
    <cfRule type="expression" dxfId="11890" priority="7396">
      <formula>$H498="SUBETAPA"</formula>
    </cfRule>
  </conditionalFormatting>
  <conditionalFormatting sqref="O498">
    <cfRule type="expression" dxfId="11889" priority="7395">
      <formula>$H498="ETAPA"</formula>
    </cfRule>
  </conditionalFormatting>
  <conditionalFormatting sqref="O502">
    <cfRule type="expression" dxfId="11888" priority="99963">
      <formula>$H502="SUBETAPA"</formula>
    </cfRule>
  </conditionalFormatting>
  <conditionalFormatting sqref="O505:O508 G504:I508">
    <cfRule type="expression" dxfId="11887" priority="99976">
      <formula>$H504="SUBETAPA"</formula>
    </cfRule>
  </conditionalFormatting>
  <conditionalFormatting sqref="O516 G516:I516 K516">
    <cfRule type="expression" dxfId="11886" priority="7365">
      <formula>$H516="SUBETAPA"</formula>
    </cfRule>
  </conditionalFormatting>
  <conditionalFormatting sqref="O516">
    <cfRule type="expression" dxfId="11885" priority="7364">
      <formula>$H516="ETAPA"</formula>
    </cfRule>
  </conditionalFormatting>
  <conditionalFormatting sqref="O520">
    <cfRule type="expression" dxfId="11884" priority="100058">
      <formula>$H520="SUBETAPA"</formula>
    </cfRule>
  </conditionalFormatting>
  <conditionalFormatting sqref="O523:O525 G522:I525">
    <cfRule type="expression" dxfId="11883" priority="100071">
      <formula>$H522="SUBETAPA"</formula>
    </cfRule>
  </conditionalFormatting>
  <conditionalFormatting sqref="O526 G526:I526">
    <cfRule type="expression" dxfId="11882" priority="59766">
      <formula>$H526="SUBETAPA"</formula>
    </cfRule>
  </conditionalFormatting>
  <conditionalFormatting sqref="O534 G534:I534 K534">
    <cfRule type="expression" dxfId="11881" priority="7334">
      <formula>$H534="SUBETAPA"</formula>
    </cfRule>
  </conditionalFormatting>
  <conditionalFormatting sqref="O534">
    <cfRule type="expression" dxfId="11880" priority="7333">
      <formula>$H534="ETAPA"</formula>
    </cfRule>
  </conditionalFormatting>
  <conditionalFormatting sqref="O537:O538">
    <cfRule type="expression" dxfId="11879" priority="100155">
      <formula>$H537="ETAPA"</formula>
    </cfRule>
  </conditionalFormatting>
  <conditionalFormatting sqref="O538">
    <cfRule type="expression" dxfId="11878" priority="100153">
      <formula>$H538="SUBETAPA"</formula>
    </cfRule>
  </conditionalFormatting>
  <conditionalFormatting sqref="O541:O543 G540:I543">
    <cfRule type="expression" dxfId="11877" priority="100166">
      <formula>$H540="SUBETAPA"</formula>
    </cfRule>
  </conditionalFormatting>
  <conditionalFormatting sqref="O544 G544:I544">
    <cfRule type="expression" dxfId="11876" priority="59748">
      <formula>$H544="SUBETAPA"</formula>
    </cfRule>
  </conditionalFormatting>
  <conditionalFormatting sqref="O552 G552:I552 K552">
    <cfRule type="expression" dxfId="11875" priority="7303">
      <formula>$H552="SUBETAPA"</formula>
    </cfRule>
  </conditionalFormatting>
  <conditionalFormatting sqref="O552">
    <cfRule type="expression" dxfId="11874" priority="7302">
      <formula>$H552="ETAPA"</formula>
    </cfRule>
  </conditionalFormatting>
  <conditionalFormatting sqref="O555:O556">
    <cfRule type="expression" dxfId="11873" priority="100250">
      <formula>$H555="ETAPA"</formula>
    </cfRule>
  </conditionalFormatting>
  <conditionalFormatting sqref="O556">
    <cfRule type="expression" dxfId="11872" priority="100248">
      <formula>$H556="SUBETAPA"</formula>
    </cfRule>
  </conditionalFormatting>
  <conditionalFormatting sqref="O559:O561 G558:I561">
    <cfRule type="expression" dxfId="11871" priority="100261">
      <formula>$H558="SUBETAPA"</formula>
    </cfRule>
  </conditionalFormatting>
  <conditionalFormatting sqref="O562 G562:I562">
    <cfRule type="expression" dxfId="11870" priority="59730">
      <formula>$H562="SUBETAPA"</formula>
    </cfRule>
  </conditionalFormatting>
  <conditionalFormatting sqref="O570 G570:I570 K570">
    <cfRule type="expression" dxfId="11869" priority="7272">
      <formula>$H570="SUBETAPA"</formula>
    </cfRule>
  </conditionalFormatting>
  <conditionalFormatting sqref="O570">
    <cfRule type="expression" dxfId="11868" priority="7271">
      <formula>$H570="ETAPA"</formula>
    </cfRule>
  </conditionalFormatting>
  <conditionalFormatting sqref="O573:O574">
    <cfRule type="expression" dxfId="11867" priority="100345">
      <formula>$H573="ETAPA"</formula>
    </cfRule>
  </conditionalFormatting>
  <conditionalFormatting sqref="O574">
    <cfRule type="expression" dxfId="11866" priority="100343">
      <formula>$H574="SUBETAPA"</formula>
    </cfRule>
  </conditionalFormatting>
  <conditionalFormatting sqref="O577:O579 G576:I579">
    <cfRule type="expression" dxfId="11865" priority="100356">
      <formula>$H576="SUBETAPA"</formula>
    </cfRule>
  </conditionalFormatting>
  <conditionalFormatting sqref="O586 G586:I586 K586">
    <cfRule type="expression" dxfId="11864" priority="7241">
      <formula>$H586="SUBETAPA"</formula>
    </cfRule>
  </conditionalFormatting>
  <conditionalFormatting sqref="O586">
    <cfRule type="expression" dxfId="11863" priority="7240">
      <formula>$H586="ETAPA"</formula>
    </cfRule>
  </conditionalFormatting>
  <conditionalFormatting sqref="O589 G589:K590 M589:M590">
    <cfRule type="expression" dxfId="11862" priority="100434">
      <formula>$H589="ETAPA"</formula>
    </cfRule>
  </conditionalFormatting>
  <conditionalFormatting sqref="O590:O591">
    <cfRule type="expression" dxfId="11861" priority="100440">
      <formula>$H590="ETAPA"</formula>
    </cfRule>
  </conditionalFormatting>
  <conditionalFormatting sqref="O591">
    <cfRule type="expression" dxfId="11860" priority="100438">
      <formula>$H591="SUBETAPA"</formula>
    </cfRule>
  </conditionalFormatting>
  <conditionalFormatting sqref="O594:O596 G593:I596">
    <cfRule type="expression" dxfId="11859" priority="100451">
      <formula>$H593="SUBETAPA"</formula>
    </cfRule>
  </conditionalFormatting>
  <conditionalFormatting sqref="O597 G597:I597">
    <cfRule type="expression" dxfId="11858" priority="59694">
      <formula>$H597="SUBETAPA"</formula>
    </cfRule>
  </conditionalFormatting>
  <conditionalFormatting sqref="O605 G605:I605 K605">
    <cfRule type="expression" dxfId="11857" priority="7210">
      <formula>$H605="SUBETAPA"</formula>
    </cfRule>
  </conditionalFormatting>
  <conditionalFormatting sqref="O605">
    <cfRule type="expression" dxfId="11856" priority="7209">
      <formula>$H605="ETAPA"</formula>
    </cfRule>
  </conditionalFormatting>
  <conditionalFormatting sqref="O611:O613 G610:I613">
    <cfRule type="expression" dxfId="11855" priority="100546">
      <formula>$H610="SUBETAPA"</formula>
    </cfRule>
  </conditionalFormatting>
  <conditionalFormatting sqref="O618 G618:I618 K618">
    <cfRule type="expression" dxfId="11854" priority="7179">
      <formula>$H618="SUBETAPA"</formula>
    </cfRule>
  </conditionalFormatting>
  <conditionalFormatting sqref="O618">
    <cfRule type="expression" dxfId="11853" priority="7178">
      <formula>$H618="ETAPA"</formula>
    </cfRule>
  </conditionalFormatting>
  <conditionalFormatting sqref="O619">
    <cfRule type="expression" dxfId="11852" priority="58356">
      <formula>$H619="CÉLULA CONSTRUTIVA"</formula>
    </cfRule>
    <cfRule type="expression" dxfId="11851" priority="58357">
      <formula>$H619="ETAPA"</formula>
    </cfRule>
    <cfRule type="expression" dxfId="11850" priority="58358">
      <formula>$H619="SUBETAPA"</formula>
    </cfRule>
  </conditionalFormatting>
  <conditionalFormatting sqref="O620:O621 O1242:O1243 O1250">
    <cfRule type="expression" dxfId="11849" priority="86952">
      <formula>$H620="ETAPA"</formula>
    </cfRule>
  </conditionalFormatting>
  <conditionalFormatting sqref="O622:O635">
    <cfRule type="expression" dxfId="11848" priority="58379">
      <formula>$H622="SUBETAPA"</formula>
    </cfRule>
    <cfRule type="expression" dxfId="11847" priority="58380">
      <formula>$H622="ETAPA"</formula>
    </cfRule>
  </conditionalFormatting>
  <conditionalFormatting sqref="O636">
    <cfRule type="expression" dxfId="11846" priority="3584">
      <formula>$H636="SUBETAPA"</formula>
    </cfRule>
    <cfRule type="expression" dxfId="11845" priority="3585">
      <formula>$H636="CÉLULA CONSTRUTIVA"</formula>
    </cfRule>
    <cfRule type="expression" dxfId="11844" priority="3586">
      <formula>$H636="ETAPA"</formula>
    </cfRule>
  </conditionalFormatting>
  <conditionalFormatting sqref="O638">
    <cfRule type="expression" dxfId="11843" priority="59087">
      <formula>$H638="SUBETAPA"</formula>
    </cfRule>
    <cfRule type="expression" dxfId="11842" priority="59088">
      <formula>$H638="CÉLULA CONSTRUTIVA"</formula>
    </cfRule>
    <cfRule type="expression" dxfId="11841" priority="59089">
      <formula>$H638="ETAPA"</formula>
    </cfRule>
  </conditionalFormatting>
  <conditionalFormatting sqref="O649">
    <cfRule type="expression" dxfId="11840" priority="3587">
      <formula>$H649="SUBETAPA"</formula>
    </cfRule>
    <cfRule type="expression" dxfId="11839" priority="3588">
      <formula>$H649="CÉLULA CONSTRUTIVA"</formula>
    </cfRule>
    <cfRule type="expression" dxfId="11838" priority="3589">
      <formula>$H649="ETAPA"</formula>
    </cfRule>
  </conditionalFormatting>
  <conditionalFormatting sqref="O651">
    <cfRule type="expression" dxfId="11837" priority="58497">
      <formula>$H651="SUBETAPA"</formula>
    </cfRule>
    <cfRule type="expression" dxfId="11836" priority="58498">
      <formula>$H651="CÉLULA CONSTRUTIVA"</formula>
    </cfRule>
    <cfRule type="expression" dxfId="11835" priority="58499">
      <formula>$H651="ETAPA"</formula>
    </cfRule>
  </conditionalFormatting>
  <conditionalFormatting sqref="O662">
    <cfRule type="expression" dxfId="11834" priority="3590">
      <formula>$H662="SUBETAPA"</formula>
    </cfRule>
    <cfRule type="expression" dxfId="11833" priority="3591">
      <formula>$H662="CÉLULA CONSTRUTIVA"</formula>
    </cfRule>
    <cfRule type="expression" dxfId="11832" priority="3592">
      <formula>$H662="ETAPA"</formula>
    </cfRule>
  </conditionalFormatting>
  <conditionalFormatting sqref="O664">
    <cfRule type="expression" dxfId="11831" priority="58579">
      <formula>$H664="SUBETAPA"</formula>
    </cfRule>
    <cfRule type="expression" dxfId="11830" priority="58580">
      <formula>$H664="CÉLULA CONSTRUTIVA"</formula>
    </cfRule>
    <cfRule type="expression" dxfId="11829" priority="58581">
      <formula>$H664="ETAPA"</formula>
    </cfRule>
  </conditionalFormatting>
  <conditionalFormatting sqref="O675">
    <cfRule type="expression" dxfId="11828" priority="3593">
      <formula>$H675="SUBETAPA"</formula>
    </cfRule>
    <cfRule type="expression" dxfId="11827" priority="3594">
      <formula>$H675="CÉLULA CONSTRUTIVA"</formula>
    </cfRule>
    <cfRule type="expression" dxfId="11826" priority="3595">
      <formula>$H675="ETAPA"</formula>
    </cfRule>
  </conditionalFormatting>
  <conditionalFormatting sqref="O677">
    <cfRule type="expression" dxfId="11825" priority="58661">
      <formula>$H677="SUBETAPA"</formula>
    </cfRule>
    <cfRule type="expression" dxfId="11824" priority="58662">
      <formula>$H677="CÉLULA CONSTRUTIVA"</formula>
    </cfRule>
    <cfRule type="expression" dxfId="11823" priority="58663">
      <formula>$H677="ETAPA"</formula>
    </cfRule>
  </conditionalFormatting>
  <conditionalFormatting sqref="O688">
    <cfRule type="expression" dxfId="11822" priority="3596">
      <formula>$H688="SUBETAPA"</formula>
    </cfRule>
    <cfRule type="expression" dxfId="11821" priority="3597">
      <formula>$H688="CÉLULA CONSTRUTIVA"</formula>
    </cfRule>
    <cfRule type="expression" dxfId="11820" priority="3598">
      <formula>$H688="ETAPA"</formula>
    </cfRule>
  </conditionalFormatting>
  <conditionalFormatting sqref="O690">
    <cfRule type="expression" dxfId="11819" priority="58743">
      <formula>$H690="SUBETAPA"</formula>
    </cfRule>
    <cfRule type="expression" dxfId="11818" priority="58744">
      <formula>$H690="CÉLULA CONSTRUTIVA"</formula>
    </cfRule>
    <cfRule type="expression" dxfId="11817" priority="58745">
      <formula>$H690="ETAPA"</formula>
    </cfRule>
  </conditionalFormatting>
  <conditionalFormatting sqref="O701">
    <cfRule type="expression" dxfId="11816" priority="3599">
      <formula>$H701="SUBETAPA"</formula>
    </cfRule>
    <cfRule type="expression" dxfId="11815" priority="3600">
      <formula>$H701="CÉLULA CONSTRUTIVA"</formula>
    </cfRule>
    <cfRule type="expression" dxfId="11814" priority="3601">
      <formula>$H701="ETAPA"</formula>
    </cfRule>
  </conditionalFormatting>
  <conditionalFormatting sqref="O703">
    <cfRule type="expression" dxfId="11813" priority="58825">
      <formula>$H703="SUBETAPA"</formula>
    </cfRule>
    <cfRule type="expression" dxfId="11812" priority="58826">
      <formula>$H703="CÉLULA CONSTRUTIVA"</formula>
    </cfRule>
    <cfRule type="expression" dxfId="11811" priority="58827">
      <formula>$H703="ETAPA"</formula>
    </cfRule>
  </conditionalFormatting>
  <conditionalFormatting sqref="O714">
    <cfRule type="expression" dxfId="11810" priority="3602">
      <formula>$H714="SUBETAPA"</formula>
    </cfRule>
    <cfRule type="expression" dxfId="11809" priority="3603">
      <formula>$H714="CÉLULA CONSTRUTIVA"</formula>
    </cfRule>
    <cfRule type="expression" dxfId="11808" priority="3604">
      <formula>$H714="ETAPA"</formula>
    </cfRule>
  </conditionalFormatting>
  <conditionalFormatting sqref="O716">
    <cfRule type="expression" dxfId="11807" priority="58907">
      <formula>$H716="SUBETAPA"</formula>
    </cfRule>
    <cfRule type="expression" dxfId="11806" priority="58908">
      <formula>$H716="CÉLULA CONSTRUTIVA"</formula>
    </cfRule>
    <cfRule type="expression" dxfId="11805" priority="58909">
      <formula>$H716="ETAPA"</formula>
    </cfRule>
  </conditionalFormatting>
  <conditionalFormatting sqref="O727">
    <cfRule type="expression" dxfId="11804" priority="3605">
      <formula>$H727="SUBETAPA"</formula>
    </cfRule>
    <cfRule type="expression" dxfId="11803" priority="3606">
      <formula>$H727="CÉLULA CONSTRUTIVA"</formula>
    </cfRule>
    <cfRule type="expression" dxfId="11802" priority="3607">
      <formula>$H727="ETAPA"</formula>
    </cfRule>
  </conditionalFormatting>
  <conditionalFormatting sqref="O729">
    <cfRule type="expression" dxfId="11801" priority="58989">
      <formula>$H729="SUBETAPA"</formula>
    </cfRule>
    <cfRule type="expression" dxfId="11800" priority="58990">
      <formula>$H729="CÉLULA CONSTRUTIVA"</formula>
    </cfRule>
    <cfRule type="expression" dxfId="11799" priority="58991">
      <formula>$H729="ETAPA"</formula>
    </cfRule>
  </conditionalFormatting>
  <conditionalFormatting sqref="O740">
    <cfRule type="expression" dxfId="11798" priority="3608">
      <formula>$H740="SUBETAPA"</formula>
    </cfRule>
    <cfRule type="expression" dxfId="11797" priority="3609">
      <formula>$H740="CÉLULA CONSTRUTIVA"</formula>
    </cfRule>
    <cfRule type="expression" dxfId="11796" priority="3610">
      <formula>$H740="ETAPA"</formula>
    </cfRule>
  </conditionalFormatting>
  <conditionalFormatting sqref="O742">
    <cfRule type="expression" dxfId="11795" priority="59169">
      <formula>$H742="SUBETAPA"</formula>
    </cfRule>
    <cfRule type="expression" dxfId="11794" priority="59170">
      <formula>$H742="CÉLULA CONSTRUTIVA"</formula>
    </cfRule>
    <cfRule type="expression" dxfId="11793" priority="59171">
      <formula>$H742="ETAPA"</formula>
    </cfRule>
  </conditionalFormatting>
  <conditionalFormatting sqref="O753">
    <cfRule type="expression" dxfId="11792" priority="58421">
      <formula>$H753="SUBETAPA"</formula>
    </cfRule>
    <cfRule type="expression" dxfId="11791" priority="58422">
      <formula>$H753="CÉLULA CONSTRUTIVA"</formula>
    </cfRule>
    <cfRule type="expression" dxfId="11790" priority="58423">
      <formula>$H753="ETAPA"</formula>
    </cfRule>
  </conditionalFormatting>
  <conditionalFormatting sqref="O755">
    <cfRule type="expression" dxfId="11789" priority="59251">
      <formula>$H755="SUBETAPA"</formula>
    </cfRule>
    <cfRule type="expression" dxfId="11788" priority="59252">
      <formula>$H755="CÉLULA CONSTRUTIVA"</formula>
    </cfRule>
    <cfRule type="expression" dxfId="11787" priority="59253">
      <formula>$H755="ETAPA"</formula>
    </cfRule>
  </conditionalFormatting>
  <conditionalFormatting sqref="O766">
    <cfRule type="expression" dxfId="11786" priority="3611">
      <formula>$H766="SUBETAPA"</formula>
    </cfRule>
    <cfRule type="expression" dxfId="11785" priority="3612">
      <formula>$H766="CÉLULA CONSTRUTIVA"</formula>
    </cfRule>
    <cfRule type="expression" dxfId="11784" priority="3613">
      <formula>$H766="ETAPA"</formula>
    </cfRule>
  </conditionalFormatting>
  <conditionalFormatting sqref="O768">
    <cfRule type="expression" dxfId="11783" priority="59333">
      <formula>$H768="SUBETAPA"</formula>
    </cfRule>
    <cfRule type="expression" dxfId="11782" priority="59334">
      <formula>$H768="CÉLULA CONSTRUTIVA"</formula>
    </cfRule>
    <cfRule type="expression" dxfId="11781" priority="59335">
      <formula>$H768="ETAPA"</formula>
    </cfRule>
  </conditionalFormatting>
  <conditionalFormatting sqref="O779">
    <cfRule type="expression" dxfId="11780" priority="3581">
      <formula>$H779="SUBETAPA"</formula>
    </cfRule>
    <cfRule type="expression" dxfId="11779" priority="3582">
      <formula>$H779="CÉLULA CONSTRUTIVA"</formula>
    </cfRule>
    <cfRule type="expression" dxfId="11778" priority="3583">
      <formula>$H779="ETAPA"</formula>
    </cfRule>
  </conditionalFormatting>
  <conditionalFormatting sqref="O781">
    <cfRule type="expression" dxfId="11777" priority="59415">
      <formula>$H781="SUBETAPA"</formula>
    </cfRule>
    <cfRule type="expression" dxfId="11776" priority="59416">
      <formula>$H781="CÉLULA CONSTRUTIVA"</formula>
    </cfRule>
    <cfRule type="expression" dxfId="11775" priority="59417">
      <formula>$H781="ETAPA"</formula>
    </cfRule>
  </conditionalFormatting>
  <conditionalFormatting sqref="O792">
    <cfRule type="expression" dxfId="11774" priority="3578">
      <formula>$H792="SUBETAPA"</formula>
    </cfRule>
    <cfRule type="expression" dxfId="11773" priority="3579">
      <formula>$H792="CÉLULA CONSTRUTIVA"</formula>
    </cfRule>
    <cfRule type="expression" dxfId="11772" priority="3580">
      <formula>$H792="ETAPA"</formula>
    </cfRule>
  </conditionalFormatting>
  <conditionalFormatting sqref="O794">
    <cfRule type="expression" dxfId="11771" priority="59497">
      <formula>$H794="SUBETAPA"</formula>
    </cfRule>
    <cfRule type="expression" dxfId="11770" priority="59498">
      <formula>$H794="CÉLULA CONSTRUTIVA"</formula>
    </cfRule>
    <cfRule type="expression" dxfId="11769" priority="59499">
      <formula>$H794="ETAPA"</formula>
    </cfRule>
  </conditionalFormatting>
  <conditionalFormatting sqref="O805">
    <cfRule type="expression" dxfId="11768" priority="3575">
      <formula>$H805="SUBETAPA"</formula>
    </cfRule>
    <cfRule type="expression" dxfId="11767" priority="3576">
      <formula>$H805="CÉLULA CONSTRUTIVA"</formula>
    </cfRule>
    <cfRule type="expression" dxfId="11766" priority="3577">
      <formula>$H805="ETAPA"</formula>
    </cfRule>
  </conditionalFormatting>
  <conditionalFormatting sqref="O807">
    <cfRule type="expression" dxfId="11765" priority="59579">
      <formula>$H807="SUBETAPA"</formula>
    </cfRule>
    <cfRule type="expression" dxfId="11764" priority="59580">
      <formula>$H807="CÉLULA CONSTRUTIVA"</formula>
    </cfRule>
    <cfRule type="expression" dxfId="11763" priority="59581">
      <formula>$H807="ETAPA"</formula>
    </cfRule>
  </conditionalFormatting>
  <conditionalFormatting sqref="O808">
    <cfRule type="expression" dxfId="11762" priority="58350">
      <formula>$H808="CÉLULA CONSTRUTIVA"</formula>
    </cfRule>
    <cfRule type="expression" dxfId="11761" priority="58351">
      <formula>$H808="ETAPA"</formula>
    </cfRule>
    <cfRule type="expression" dxfId="11760" priority="58352">
      <formula>$H808="SUBETAPA"</formula>
    </cfRule>
  </conditionalFormatting>
  <conditionalFormatting sqref="O809">
    <cfRule type="expression" dxfId="11759" priority="56833">
      <formula>$H809="SUBETAPA"</formula>
    </cfRule>
    <cfRule type="expression" dxfId="11758" priority="56834">
      <formula>$H809="CÉLULA CONSTRUTIVA"</formula>
    </cfRule>
    <cfRule type="expression" dxfId="11757" priority="56835">
      <formula>$H809="ETAPA"</formula>
    </cfRule>
  </conditionalFormatting>
  <conditionalFormatting sqref="O811">
    <cfRule type="expression" dxfId="11756" priority="56814">
      <formula>$H811="SUBETAPA"</formula>
    </cfRule>
    <cfRule type="expression" dxfId="11755" priority="56815">
      <formula>$H811="ETAPA"</formula>
    </cfRule>
  </conditionalFormatting>
  <conditionalFormatting sqref="O813">
    <cfRule type="expression" dxfId="11754" priority="56812">
      <formula>$H813="SUBETAPA"</formula>
    </cfRule>
    <cfRule type="expression" dxfId="11753" priority="56813">
      <formula>$H813="ETAPA"</formula>
    </cfRule>
  </conditionalFormatting>
  <conditionalFormatting sqref="O814">
    <cfRule type="expression" dxfId="11752" priority="56820">
      <formula>$H814="SUBETAPA"</formula>
    </cfRule>
    <cfRule type="expression" dxfId="11751" priority="56821">
      <formula>$H814="CÉLULA CONSTRUTIVA"</formula>
    </cfRule>
    <cfRule type="expression" dxfId="11750" priority="56822">
      <formula>$H814="ETAPA"</formula>
    </cfRule>
  </conditionalFormatting>
  <conditionalFormatting sqref="O815">
    <cfRule type="expression" dxfId="11749" priority="56808">
      <formula>$H815="SUBETAPA"</formula>
    </cfRule>
    <cfRule type="expression" dxfId="11748" priority="56809">
      <formula>$H815="ETAPA"</formula>
    </cfRule>
  </conditionalFormatting>
  <conditionalFormatting sqref="O816 O812">
    <cfRule type="expression" dxfId="11747" priority="56823">
      <formula>$H812="SUBETAPA"</formula>
    </cfRule>
    <cfRule type="expression" dxfId="11746" priority="56824">
      <formula>$H812="CÉLULA CONSTRUTIVA"</formula>
    </cfRule>
    <cfRule type="expression" dxfId="11745" priority="56825">
      <formula>$H812="ETAPA"</formula>
    </cfRule>
  </conditionalFormatting>
  <conditionalFormatting sqref="O817">
    <cfRule type="expression" dxfId="11744" priority="56794">
      <formula>$H817="SUBETAPA"</formula>
    </cfRule>
    <cfRule type="expression" dxfId="11743" priority="56795">
      <formula>$H817="ETAPA"</formula>
    </cfRule>
    <cfRule type="expression" dxfId="11742" priority="56796">
      <formula>$H817="CÉLULA CONSTRUTIVA"</formula>
    </cfRule>
  </conditionalFormatting>
  <conditionalFormatting sqref="O818">
    <cfRule type="expression" dxfId="11741" priority="56816">
      <formula>$H818="SUBETAPA"</formula>
    </cfRule>
    <cfRule type="expression" dxfId="11740" priority="56817">
      <formula>$H818="CÉLULA CONSTRUTIVA"</formula>
    </cfRule>
    <cfRule type="expression" dxfId="11739" priority="56818">
      <formula>$H818="ETAPA"</formula>
    </cfRule>
  </conditionalFormatting>
  <conditionalFormatting sqref="O819">
    <cfRule type="expression" dxfId="11738" priority="3430">
      <formula>$H819="ETAPA"</formula>
    </cfRule>
    <cfRule type="expression" dxfId="11737" priority="3431">
      <formula>$H819="SUBETAPA"</formula>
    </cfRule>
    <cfRule type="expression" dxfId="11736" priority="3432">
      <formula>$H819="ETAPA"</formula>
    </cfRule>
    <cfRule type="expression" dxfId="11735" priority="3433">
      <formula>$H819="SUBETAPA"</formula>
    </cfRule>
    <cfRule type="expression" dxfId="11734" priority="3434">
      <formula>$H819="ETAPA"</formula>
    </cfRule>
    <cfRule type="expression" dxfId="11733" priority="3435">
      <formula>$H819="SUBETAPA"</formula>
    </cfRule>
    <cfRule type="expression" dxfId="11732" priority="3436">
      <formula>$H819="CÉLULA CONSTRUTIVA"</formula>
    </cfRule>
  </conditionalFormatting>
  <conditionalFormatting sqref="O820">
    <cfRule type="expression" dxfId="11731" priority="56942">
      <formula>$H820="SUBETAPA"</formula>
    </cfRule>
    <cfRule type="expression" dxfId="11730" priority="56943">
      <formula>$H820="CÉLULA CONSTRUTIVA"</formula>
    </cfRule>
    <cfRule type="expression" dxfId="11729" priority="56944">
      <formula>$H820="ETAPA"</formula>
    </cfRule>
  </conditionalFormatting>
  <conditionalFormatting sqref="O822">
    <cfRule type="expression" dxfId="11728" priority="56923">
      <formula>$H822="SUBETAPA"</formula>
    </cfRule>
    <cfRule type="expression" dxfId="11727" priority="56924">
      <formula>$H822="ETAPA"</formula>
    </cfRule>
  </conditionalFormatting>
  <conditionalFormatting sqref="O823">
    <cfRule type="expression" dxfId="11726" priority="56932">
      <formula>$H823="SUBETAPA"</formula>
    </cfRule>
    <cfRule type="expression" dxfId="11725" priority="56933">
      <formula>$H823="CÉLULA CONSTRUTIVA"</formula>
    </cfRule>
    <cfRule type="expression" dxfId="11724" priority="56934">
      <formula>$H823="ETAPA"</formula>
    </cfRule>
  </conditionalFormatting>
  <conditionalFormatting sqref="O824">
    <cfRule type="expression" dxfId="11723" priority="56921">
      <formula>$H824="SUBETAPA"</formula>
    </cfRule>
    <cfRule type="expression" dxfId="11722" priority="56922">
      <formula>$H824="ETAPA"</formula>
    </cfRule>
  </conditionalFormatting>
  <conditionalFormatting sqref="O825">
    <cfRule type="expression" dxfId="11721" priority="56929">
      <formula>$H825="SUBETAPA"</formula>
    </cfRule>
    <cfRule type="expression" dxfId="11720" priority="56930">
      <formula>$H825="CÉLULA CONSTRUTIVA"</formula>
    </cfRule>
    <cfRule type="expression" dxfId="11719" priority="56931">
      <formula>$H825="ETAPA"</formula>
    </cfRule>
  </conditionalFormatting>
  <conditionalFormatting sqref="O826">
    <cfRule type="expression" dxfId="11718" priority="56917">
      <formula>$H826="SUBETAPA"</formula>
    </cfRule>
    <cfRule type="expression" dxfId="11717" priority="56918">
      <formula>$H826="ETAPA"</formula>
    </cfRule>
  </conditionalFormatting>
  <conditionalFormatting sqref="O827">
    <cfRule type="expression" dxfId="11716" priority="56925">
      <formula>$H827="SUBETAPA"</formula>
    </cfRule>
    <cfRule type="expression" dxfId="11715" priority="56926">
      <formula>$H827="CÉLULA CONSTRUTIVA"</formula>
    </cfRule>
    <cfRule type="expression" dxfId="11714" priority="56927">
      <formula>$H827="ETAPA"</formula>
    </cfRule>
  </conditionalFormatting>
  <conditionalFormatting sqref="O828">
    <cfRule type="expression" dxfId="11713" priority="3423">
      <formula>$H828="ETAPA"</formula>
    </cfRule>
    <cfRule type="expression" dxfId="11712" priority="3424">
      <formula>$H828="SUBETAPA"</formula>
    </cfRule>
    <cfRule type="expression" dxfId="11711" priority="3425">
      <formula>$H828="ETAPA"</formula>
    </cfRule>
    <cfRule type="expression" dxfId="11710" priority="3426">
      <formula>$H828="SUBETAPA"</formula>
    </cfRule>
    <cfRule type="expression" dxfId="11709" priority="3427">
      <formula>$H828="ETAPA"</formula>
    </cfRule>
    <cfRule type="expression" dxfId="11708" priority="3428">
      <formula>$H828="SUBETAPA"</formula>
    </cfRule>
    <cfRule type="expression" dxfId="11707" priority="3429">
      <formula>$H828="CÉLULA CONSTRUTIVA"</formula>
    </cfRule>
  </conditionalFormatting>
  <conditionalFormatting sqref="O829">
    <cfRule type="expression" dxfId="11706" priority="57051">
      <formula>$H829="SUBETAPA"</formula>
    </cfRule>
    <cfRule type="expression" dxfId="11705" priority="57052">
      <formula>$H829="CÉLULA CONSTRUTIVA"</formula>
    </cfRule>
    <cfRule type="expression" dxfId="11704" priority="57053">
      <formula>$H829="ETAPA"</formula>
    </cfRule>
  </conditionalFormatting>
  <conditionalFormatting sqref="O831">
    <cfRule type="expression" dxfId="11703" priority="57032">
      <formula>$H831="SUBETAPA"</formula>
    </cfRule>
    <cfRule type="expression" dxfId="11702" priority="57033">
      <formula>$H831="ETAPA"</formula>
    </cfRule>
  </conditionalFormatting>
  <conditionalFormatting sqref="O832">
    <cfRule type="expression" dxfId="11701" priority="57041">
      <formula>$H832="SUBETAPA"</formula>
    </cfRule>
    <cfRule type="expression" dxfId="11700" priority="57042">
      <formula>$H832="CÉLULA CONSTRUTIVA"</formula>
    </cfRule>
    <cfRule type="expression" dxfId="11699" priority="57043">
      <formula>$H832="ETAPA"</formula>
    </cfRule>
  </conditionalFormatting>
  <conditionalFormatting sqref="O833">
    <cfRule type="expression" dxfId="11698" priority="57030">
      <formula>$H833="SUBETAPA"</formula>
    </cfRule>
    <cfRule type="expression" dxfId="11697" priority="57031">
      <formula>$H833="ETAPA"</formula>
    </cfRule>
  </conditionalFormatting>
  <conditionalFormatting sqref="O834">
    <cfRule type="expression" dxfId="11696" priority="57038">
      <formula>$H834="SUBETAPA"</formula>
    </cfRule>
    <cfRule type="expression" dxfId="11695" priority="57039">
      <formula>$H834="CÉLULA CONSTRUTIVA"</formula>
    </cfRule>
    <cfRule type="expression" dxfId="11694" priority="57040">
      <formula>$H834="ETAPA"</formula>
    </cfRule>
  </conditionalFormatting>
  <conditionalFormatting sqref="O835">
    <cfRule type="expression" dxfId="11693" priority="57026">
      <formula>$H835="SUBETAPA"</formula>
    </cfRule>
    <cfRule type="expression" dxfId="11692" priority="57027">
      <formula>$H835="ETAPA"</formula>
    </cfRule>
  </conditionalFormatting>
  <conditionalFormatting sqref="O836">
    <cfRule type="expression" dxfId="11691" priority="57034">
      <formula>$H836="SUBETAPA"</formula>
    </cfRule>
    <cfRule type="expression" dxfId="11690" priority="57035">
      <formula>$H836="CÉLULA CONSTRUTIVA"</formula>
    </cfRule>
    <cfRule type="expression" dxfId="11689" priority="57036">
      <formula>$H836="ETAPA"</formula>
    </cfRule>
  </conditionalFormatting>
  <conditionalFormatting sqref="O837">
    <cfRule type="expression" dxfId="11688" priority="3415">
      <formula>$H837="ETAPA"</formula>
    </cfRule>
    <cfRule type="expression" dxfId="11687" priority="3416">
      <formula>$H837="SUBETAPA"</formula>
    </cfRule>
    <cfRule type="expression" dxfId="11686" priority="3417">
      <formula>$H837="ETAPA"</formula>
    </cfRule>
    <cfRule type="expression" dxfId="11685" priority="3418">
      <formula>$H837="SUBETAPA"</formula>
    </cfRule>
    <cfRule type="expression" dxfId="11684" priority="3419">
      <formula>$H837="ETAPA"</formula>
    </cfRule>
    <cfRule type="expression" dxfId="11683" priority="3420">
      <formula>$H837="SUBETAPA"</formula>
    </cfRule>
    <cfRule type="expression" dxfId="11682" priority="3421">
      <formula>$H837="CÉLULA CONSTRUTIVA"</formula>
    </cfRule>
  </conditionalFormatting>
  <conditionalFormatting sqref="O838">
    <cfRule type="expression" dxfId="11681" priority="57160">
      <formula>$H838="SUBETAPA"</formula>
    </cfRule>
    <cfRule type="expression" dxfId="11680" priority="57161">
      <formula>$H838="CÉLULA CONSTRUTIVA"</formula>
    </cfRule>
    <cfRule type="expression" dxfId="11679" priority="57162">
      <formula>$H838="ETAPA"</formula>
    </cfRule>
  </conditionalFormatting>
  <conditionalFormatting sqref="O840">
    <cfRule type="expression" dxfId="11678" priority="57141">
      <formula>$H840="SUBETAPA"</formula>
    </cfRule>
    <cfRule type="expression" dxfId="11677" priority="57142">
      <formula>$H840="ETAPA"</formula>
    </cfRule>
  </conditionalFormatting>
  <conditionalFormatting sqref="O841">
    <cfRule type="expression" dxfId="11676" priority="57150">
      <formula>$H841="SUBETAPA"</formula>
    </cfRule>
    <cfRule type="expression" dxfId="11675" priority="57151">
      <formula>$H841="CÉLULA CONSTRUTIVA"</formula>
    </cfRule>
    <cfRule type="expression" dxfId="11674" priority="57152">
      <formula>$H841="ETAPA"</formula>
    </cfRule>
  </conditionalFormatting>
  <conditionalFormatting sqref="O842">
    <cfRule type="expression" dxfId="11673" priority="57139">
      <formula>$H842="SUBETAPA"</formula>
    </cfRule>
    <cfRule type="expression" dxfId="11672" priority="57140">
      <formula>$H842="ETAPA"</formula>
    </cfRule>
  </conditionalFormatting>
  <conditionalFormatting sqref="O843">
    <cfRule type="expression" dxfId="11671" priority="57147">
      <formula>$H843="SUBETAPA"</formula>
    </cfRule>
    <cfRule type="expression" dxfId="11670" priority="57148">
      <formula>$H843="CÉLULA CONSTRUTIVA"</formula>
    </cfRule>
    <cfRule type="expression" dxfId="11669" priority="57149">
      <formula>$H843="ETAPA"</formula>
    </cfRule>
  </conditionalFormatting>
  <conditionalFormatting sqref="O844">
    <cfRule type="expression" dxfId="11668" priority="57135">
      <formula>$H844="SUBETAPA"</formula>
    </cfRule>
    <cfRule type="expression" dxfId="11667" priority="57136">
      <formula>$H844="ETAPA"</formula>
    </cfRule>
  </conditionalFormatting>
  <conditionalFormatting sqref="O845">
    <cfRule type="expression" dxfId="11666" priority="57143">
      <formula>$H845="SUBETAPA"</formula>
    </cfRule>
    <cfRule type="expression" dxfId="11665" priority="57144">
      <formula>$H845="CÉLULA CONSTRUTIVA"</formula>
    </cfRule>
    <cfRule type="expression" dxfId="11664" priority="57145">
      <formula>$H845="ETAPA"</formula>
    </cfRule>
  </conditionalFormatting>
  <conditionalFormatting sqref="O846">
    <cfRule type="expression" dxfId="11663" priority="3407">
      <formula>$H846="ETAPA"</formula>
    </cfRule>
    <cfRule type="expression" dxfId="11662" priority="3408">
      <formula>$H846="SUBETAPA"</formula>
    </cfRule>
    <cfRule type="expression" dxfId="11661" priority="3409">
      <formula>$H846="ETAPA"</formula>
    </cfRule>
    <cfRule type="expression" dxfId="11660" priority="3410">
      <formula>$H846="SUBETAPA"</formula>
    </cfRule>
    <cfRule type="expression" dxfId="11659" priority="3411">
      <formula>$H846="ETAPA"</formula>
    </cfRule>
    <cfRule type="expression" dxfId="11658" priority="3412">
      <formula>$H846="SUBETAPA"</formula>
    </cfRule>
    <cfRule type="expression" dxfId="11657" priority="3413">
      <formula>$H846="CÉLULA CONSTRUTIVA"</formula>
    </cfRule>
  </conditionalFormatting>
  <conditionalFormatting sqref="O847">
    <cfRule type="expression" dxfId="11656" priority="57269">
      <formula>$H847="SUBETAPA"</formula>
    </cfRule>
    <cfRule type="expression" dxfId="11655" priority="57270">
      <formula>$H847="CÉLULA CONSTRUTIVA"</formula>
    </cfRule>
    <cfRule type="expression" dxfId="11654" priority="57271">
      <formula>$H847="ETAPA"</formula>
    </cfRule>
  </conditionalFormatting>
  <conditionalFormatting sqref="O849">
    <cfRule type="expression" dxfId="11653" priority="57250">
      <formula>$H849="SUBETAPA"</formula>
    </cfRule>
    <cfRule type="expression" dxfId="11652" priority="57251">
      <formula>$H849="ETAPA"</formula>
    </cfRule>
  </conditionalFormatting>
  <conditionalFormatting sqref="O850">
    <cfRule type="expression" dxfId="11651" priority="57259">
      <formula>$H850="SUBETAPA"</formula>
    </cfRule>
    <cfRule type="expression" dxfId="11650" priority="57260">
      <formula>$H850="CÉLULA CONSTRUTIVA"</formula>
    </cfRule>
    <cfRule type="expression" dxfId="11649" priority="57261">
      <formula>$H850="ETAPA"</formula>
    </cfRule>
  </conditionalFormatting>
  <conditionalFormatting sqref="O851">
    <cfRule type="expression" dxfId="11648" priority="57248">
      <formula>$H851="SUBETAPA"</formula>
    </cfRule>
    <cfRule type="expression" dxfId="11647" priority="57249">
      <formula>$H851="ETAPA"</formula>
    </cfRule>
  </conditionalFormatting>
  <conditionalFormatting sqref="O852">
    <cfRule type="expression" dxfId="11646" priority="57256">
      <formula>$H852="SUBETAPA"</formula>
    </cfRule>
    <cfRule type="expression" dxfId="11645" priority="57257">
      <formula>$H852="CÉLULA CONSTRUTIVA"</formula>
    </cfRule>
    <cfRule type="expression" dxfId="11644" priority="57258">
      <formula>$H852="ETAPA"</formula>
    </cfRule>
  </conditionalFormatting>
  <conditionalFormatting sqref="O853">
    <cfRule type="expression" dxfId="11643" priority="57244">
      <formula>$H853="SUBETAPA"</formula>
    </cfRule>
    <cfRule type="expression" dxfId="11642" priority="57245">
      <formula>$H853="ETAPA"</formula>
    </cfRule>
  </conditionalFormatting>
  <conditionalFormatting sqref="O854">
    <cfRule type="expression" dxfId="11641" priority="57252">
      <formula>$H854="SUBETAPA"</formula>
    </cfRule>
    <cfRule type="expression" dxfId="11640" priority="57253">
      <formula>$H854="CÉLULA CONSTRUTIVA"</formula>
    </cfRule>
    <cfRule type="expression" dxfId="11639" priority="57254">
      <formula>$H854="ETAPA"</formula>
    </cfRule>
  </conditionalFormatting>
  <conditionalFormatting sqref="O855">
    <cfRule type="expression" dxfId="11638" priority="3399">
      <formula>$H855="ETAPA"</formula>
    </cfRule>
    <cfRule type="expression" dxfId="11637" priority="3400">
      <formula>$H855="SUBETAPA"</formula>
    </cfRule>
    <cfRule type="expression" dxfId="11636" priority="3401">
      <formula>$H855="ETAPA"</formula>
    </cfRule>
    <cfRule type="expression" dxfId="11635" priority="3402">
      <formula>$H855="SUBETAPA"</formula>
    </cfRule>
    <cfRule type="expression" dxfId="11634" priority="3403">
      <formula>$H855="ETAPA"</formula>
    </cfRule>
    <cfRule type="expression" dxfId="11633" priority="3404">
      <formula>$H855="SUBETAPA"</formula>
    </cfRule>
    <cfRule type="expression" dxfId="11632" priority="3405">
      <formula>$H855="CÉLULA CONSTRUTIVA"</formula>
    </cfRule>
  </conditionalFormatting>
  <conditionalFormatting sqref="O856">
    <cfRule type="expression" dxfId="11631" priority="57378">
      <formula>$H856="SUBETAPA"</formula>
    </cfRule>
    <cfRule type="expression" dxfId="11630" priority="57379">
      <formula>$H856="CÉLULA CONSTRUTIVA"</formula>
    </cfRule>
    <cfRule type="expression" dxfId="11629" priority="57380">
      <formula>$H856="ETAPA"</formula>
    </cfRule>
  </conditionalFormatting>
  <conditionalFormatting sqref="O858">
    <cfRule type="expression" dxfId="11628" priority="57359">
      <formula>$H858="SUBETAPA"</formula>
    </cfRule>
    <cfRule type="expression" dxfId="11627" priority="57360">
      <formula>$H858="ETAPA"</formula>
    </cfRule>
  </conditionalFormatting>
  <conditionalFormatting sqref="O859">
    <cfRule type="expression" dxfId="11626" priority="57368">
      <formula>$H859="SUBETAPA"</formula>
    </cfRule>
    <cfRule type="expression" dxfId="11625" priority="57369">
      <formula>$H859="CÉLULA CONSTRUTIVA"</formula>
    </cfRule>
    <cfRule type="expression" dxfId="11624" priority="57370">
      <formula>$H859="ETAPA"</formula>
    </cfRule>
  </conditionalFormatting>
  <conditionalFormatting sqref="O860">
    <cfRule type="expression" dxfId="11623" priority="57357">
      <formula>$H860="SUBETAPA"</formula>
    </cfRule>
    <cfRule type="expression" dxfId="11622" priority="57358">
      <formula>$H860="ETAPA"</formula>
    </cfRule>
  </conditionalFormatting>
  <conditionalFormatting sqref="O861">
    <cfRule type="expression" dxfId="11621" priority="57365">
      <formula>$H861="SUBETAPA"</formula>
    </cfRule>
    <cfRule type="expression" dxfId="11620" priority="57366">
      <formula>$H861="CÉLULA CONSTRUTIVA"</formula>
    </cfRule>
    <cfRule type="expression" dxfId="11619" priority="57367">
      <formula>$H861="ETAPA"</formula>
    </cfRule>
  </conditionalFormatting>
  <conditionalFormatting sqref="O862">
    <cfRule type="expression" dxfId="11618" priority="57353">
      <formula>$H862="SUBETAPA"</formula>
    </cfRule>
    <cfRule type="expression" dxfId="11617" priority="57354">
      <formula>$H862="ETAPA"</formula>
    </cfRule>
  </conditionalFormatting>
  <conditionalFormatting sqref="O863">
    <cfRule type="expression" dxfId="11616" priority="57361">
      <formula>$H863="SUBETAPA"</formula>
    </cfRule>
    <cfRule type="expression" dxfId="11615" priority="57362">
      <formula>$H863="CÉLULA CONSTRUTIVA"</formula>
    </cfRule>
    <cfRule type="expression" dxfId="11614" priority="57363">
      <formula>$H863="ETAPA"</formula>
    </cfRule>
  </conditionalFormatting>
  <conditionalFormatting sqref="O864">
    <cfRule type="expression" dxfId="11613" priority="3391">
      <formula>$H864="ETAPA"</formula>
    </cfRule>
    <cfRule type="expression" dxfId="11612" priority="3392">
      <formula>$H864="SUBETAPA"</formula>
    </cfRule>
    <cfRule type="expression" dxfId="11611" priority="3393">
      <formula>$H864="ETAPA"</formula>
    </cfRule>
    <cfRule type="expression" dxfId="11610" priority="3394">
      <formula>$H864="SUBETAPA"</formula>
    </cfRule>
    <cfRule type="expression" dxfId="11609" priority="3395">
      <formula>$H864="ETAPA"</formula>
    </cfRule>
    <cfRule type="expression" dxfId="11608" priority="3396">
      <formula>$H864="SUBETAPA"</formula>
    </cfRule>
    <cfRule type="expression" dxfId="11607" priority="3397">
      <formula>$H864="CÉLULA CONSTRUTIVA"</formula>
    </cfRule>
  </conditionalFormatting>
  <conditionalFormatting sqref="O865">
    <cfRule type="expression" dxfId="11606" priority="57487">
      <formula>$H865="SUBETAPA"</formula>
    </cfRule>
    <cfRule type="expression" dxfId="11605" priority="57488">
      <formula>$H865="CÉLULA CONSTRUTIVA"</formula>
    </cfRule>
    <cfRule type="expression" dxfId="11604" priority="57489">
      <formula>$H865="ETAPA"</formula>
    </cfRule>
  </conditionalFormatting>
  <conditionalFormatting sqref="O867">
    <cfRule type="expression" dxfId="11603" priority="57468">
      <formula>$H867="SUBETAPA"</formula>
    </cfRule>
    <cfRule type="expression" dxfId="11602" priority="57469">
      <formula>$H867="ETAPA"</formula>
    </cfRule>
  </conditionalFormatting>
  <conditionalFormatting sqref="O868">
    <cfRule type="expression" dxfId="11601" priority="57477">
      <formula>$H868="SUBETAPA"</formula>
    </cfRule>
    <cfRule type="expression" dxfId="11600" priority="57478">
      <formula>$H868="CÉLULA CONSTRUTIVA"</formula>
    </cfRule>
    <cfRule type="expression" dxfId="11599" priority="57479">
      <formula>$H868="ETAPA"</formula>
    </cfRule>
  </conditionalFormatting>
  <conditionalFormatting sqref="O869">
    <cfRule type="expression" dxfId="11598" priority="57466">
      <formula>$H869="SUBETAPA"</formula>
    </cfRule>
    <cfRule type="expression" dxfId="11597" priority="57467">
      <formula>$H869="ETAPA"</formula>
    </cfRule>
  </conditionalFormatting>
  <conditionalFormatting sqref="O870">
    <cfRule type="expression" dxfId="11596" priority="57474">
      <formula>$H870="SUBETAPA"</formula>
    </cfRule>
    <cfRule type="expression" dxfId="11595" priority="57475">
      <formula>$H870="CÉLULA CONSTRUTIVA"</formula>
    </cfRule>
    <cfRule type="expression" dxfId="11594" priority="57476">
      <formula>$H870="ETAPA"</formula>
    </cfRule>
  </conditionalFormatting>
  <conditionalFormatting sqref="O871">
    <cfRule type="expression" dxfId="11593" priority="57462">
      <formula>$H871="SUBETAPA"</formula>
    </cfRule>
    <cfRule type="expression" dxfId="11592" priority="57463">
      <formula>$H871="ETAPA"</formula>
    </cfRule>
  </conditionalFormatting>
  <conditionalFormatting sqref="O872">
    <cfRule type="expression" dxfId="11591" priority="57470">
      <formula>$H872="SUBETAPA"</formula>
    </cfRule>
    <cfRule type="expression" dxfId="11590" priority="57471">
      <formula>$H872="CÉLULA CONSTRUTIVA"</formula>
    </cfRule>
    <cfRule type="expression" dxfId="11589" priority="57472">
      <formula>$H872="ETAPA"</formula>
    </cfRule>
  </conditionalFormatting>
  <conditionalFormatting sqref="O873">
    <cfRule type="expression" dxfId="11588" priority="3383">
      <formula>$H873="ETAPA"</formula>
    </cfRule>
    <cfRule type="expression" dxfId="11587" priority="3384">
      <formula>$H873="SUBETAPA"</formula>
    </cfRule>
    <cfRule type="expression" dxfId="11586" priority="3385">
      <formula>$H873="ETAPA"</formula>
    </cfRule>
    <cfRule type="expression" dxfId="11585" priority="3386">
      <formula>$H873="SUBETAPA"</formula>
    </cfRule>
    <cfRule type="expression" dxfId="11584" priority="3387">
      <formula>$H873="ETAPA"</formula>
    </cfRule>
    <cfRule type="expression" dxfId="11583" priority="3388">
      <formula>$H873="SUBETAPA"</formula>
    </cfRule>
    <cfRule type="expression" dxfId="11582" priority="3389">
      <formula>$H873="CÉLULA CONSTRUTIVA"</formula>
    </cfRule>
  </conditionalFormatting>
  <conditionalFormatting sqref="O874">
    <cfRule type="expression" dxfId="11581" priority="57596">
      <formula>$H874="SUBETAPA"</formula>
    </cfRule>
    <cfRule type="expression" dxfId="11580" priority="57597">
      <formula>$H874="CÉLULA CONSTRUTIVA"</formula>
    </cfRule>
    <cfRule type="expression" dxfId="11579" priority="57598">
      <formula>$H874="ETAPA"</formula>
    </cfRule>
  </conditionalFormatting>
  <conditionalFormatting sqref="O876">
    <cfRule type="expression" dxfId="11578" priority="57577">
      <formula>$H876="SUBETAPA"</formula>
    </cfRule>
    <cfRule type="expression" dxfId="11577" priority="57578">
      <formula>$H876="ETAPA"</formula>
    </cfRule>
  </conditionalFormatting>
  <conditionalFormatting sqref="O877">
    <cfRule type="expression" dxfId="11576" priority="57586">
      <formula>$H877="SUBETAPA"</formula>
    </cfRule>
    <cfRule type="expression" dxfId="11575" priority="57587">
      <formula>$H877="CÉLULA CONSTRUTIVA"</formula>
    </cfRule>
    <cfRule type="expression" dxfId="11574" priority="57588">
      <formula>$H877="ETAPA"</formula>
    </cfRule>
  </conditionalFormatting>
  <conditionalFormatting sqref="O878">
    <cfRule type="expression" dxfId="11573" priority="57575">
      <formula>$H878="SUBETAPA"</formula>
    </cfRule>
    <cfRule type="expression" dxfId="11572" priority="57576">
      <formula>$H878="ETAPA"</formula>
    </cfRule>
  </conditionalFormatting>
  <conditionalFormatting sqref="O879">
    <cfRule type="expression" dxfId="11571" priority="57583">
      <formula>$H879="SUBETAPA"</formula>
    </cfRule>
    <cfRule type="expression" dxfId="11570" priority="57584">
      <formula>$H879="CÉLULA CONSTRUTIVA"</formula>
    </cfRule>
    <cfRule type="expression" dxfId="11569" priority="57585">
      <formula>$H879="ETAPA"</formula>
    </cfRule>
  </conditionalFormatting>
  <conditionalFormatting sqref="O880">
    <cfRule type="expression" dxfId="11568" priority="57571">
      <formula>$H880="SUBETAPA"</formula>
    </cfRule>
    <cfRule type="expression" dxfId="11567" priority="57572">
      <formula>$H880="ETAPA"</formula>
    </cfRule>
  </conditionalFormatting>
  <conditionalFormatting sqref="O881">
    <cfRule type="expression" dxfId="11566" priority="57579">
      <formula>$H881="SUBETAPA"</formula>
    </cfRule>
    <cfRule type="expression" dxfId="11565" priority="57580">
      <formula>$H881="CÉLULA CONSTRUTIVA"</formula>
    </cfRule>
    <cfRule type="expression" dxfId="11564" priority="57581">
      <formula>$H881="ETAPA"</formula>
    </cfRule>
  </conditionalFormatting>
  <conditionalFormatting sqref="O882">
    <cfRule type="expression" dxfId="11563" priority="3375">
      <formula>$H882="ETAPA"</formula>
    </cfRule>
    <cfRule type="expression" dxfId="11562" priority="3376">
      <formula>$H882="SUBETAPA"</formula>
    </cfRule>
    <cfRule type="expression" dxfId="11561" priority="3377">
      <formula>$H882="ETAPA"</formula>
    </cfRule>
    <cfRule type="expression" dxfId="11560" priority="3378">
      <formula>$H882="SUBETAPA"</formula>
    </cfRule>
    <cfRule type="expression" dxfId="11559" priority="3379">
      <formula>$H882="ETAPA"</formula>
    </cfRule>
    <cfRule type="expression" dxfId="11558" priority="3380">
      <formula>$H882="SUBETAPA"</formula>
    </cfRule>
    <cfRule type="expression" dxfId="11557" priority="3381">
      <formula>$H882="CÉLULA CONSTRUTIVA"</formula>
    </cfRule>
  </conditionalFormatting>
  <conditionalFormatting sqref="O883">
    <cfRule type="expression" dxfId="11556" priority="57705">
      <formula>$H883="SUBETAPA"</formula>
    </cfRule>
    <cfRule type="expression" dxfId="11555" priority="57706">
      <formula>$H883="CÉLULA CONSTRUTIVA"</formula>
    </cfRule>
    <cfRule type="expression" dxfId="11554" priority="57707">
      <formula>$H883="ETAPA"</formula>
    </cfRule>
  </conditionalFormatting>
  <conditionalFormatting sqref="O885">
    <cfRule type="expression" dxfId="11553" priority="57686">
      <formula>$H885="SUBETAPA"</formula>
    </cfRule>
    <cfRule type="expression" dxfId="11552" priority="57687">
      <formula>$H885="ETAPA"</formula>
    </cfRule>
  </conditionalFormatting>
  <conditionalFormatting sqref="O886">
    <cfRule type="expression" dxfId="11551" priority="57695">
      <formula>$H886="SUBETAPA"</formula>
    </cfRule>
    <cfRule type="expression" dxfId="11550" priority="57696">
      <formula>$H886="CÉLULA CONSTRUTIVA"</formula>
    </cfRule>
    <cfRule type="expression" dxfId="11549" priority="57697">
      <formula>$H886="ETAPA"</formula>
    </cfRule>
  </conditionalFormatting>
  <conditionalFormatting sqref="O887">
    <cfRule type="expression" dxfId="11548" priority="57684">
      <formula>$H887="SUBETAPA"</formula>
    </cfRule>
    <cfRule type="expression" dxfId="11547" priority="57685">
      <formula>$H887="ETAPA"</formula>
    </cfRule>
  </conditionalFormatting>
  <conditionalFormatting sqref="O888">
    <cfRule type="expression" dxfId="11546" priority="57692">
      <formula>$H888="SUBETAPA"</formula>
    </cfRule>
    <cfRule type="expression" dxfId="11545" priority="57693">
      <formula>$H888="CÉLULA CONSTRUTIVA"</formula>
    </cfRule>
    <cfRule type="expression" dxfId="11544" priority="57694">
      <formula>$H888="ETAPA"</formula>
    </cfRule>
  </conditionalFormatting>
  <conditionalFormatting sqref="O889">
    <cfRule type="expression" dxfId="11543" priority="57680">
      <formula>$H889="SUBETAPA"</formula>
    </cfRule>
    <cfRule type="expression" dxfId="11542" priority="57681">
      <formula>$H889="ETAPA"</formula>
    </cfRule>
  </conditionalFormatting>
  <conditionalFormatting sqref="O890">
    <cfRule type="expression" dxfId="11541" priority="57688">
      <formula>$H890="SUBETAPA"</formula>
    </cfRule>
    <cfRule type="expression" dxfId="11540" priority="57689">
      <formula>$H890="CÉLULA CONSTRUTIVA"</formula>
    </cfRule>
    <cfRule type="expression" dxfId="11539" priority="57690">
      <formula>$H890="ETAPA"</formula>
    </cfRule>
  </conditionalFormatting>
  <conditionalFormatting sqref="O891">
    <cfRule type="expression" dxfId="11538" priority="3367">
      <formula>$H891="ETAPA"</formula>
    </cfRule>
    <cfRule type="expression" dxfId="11537" priority="3368">
      <formula>$H891="SUBETAPA"</formula>
    </cfRule>
    <cfRule type="expression" dxfId="11536" priority="3369">
      <formula>$H891="ETAPA"</formula>
    </cfRule>
    <cfRule type="expression" dxfId="11535" priority="3370">
      <formula>$H891="SUBETAPA"</formula>
    </cfRule>
    <cfRule type="expression" dxfId="11534" priority="3371">
      <formula>$H891="ETAPA"</formula>
    </cfRule>
    <cfRule type="expression" dxfId="11533" priority="3372">
      <formula>$H891="SUBETAPA"</formula>
    </cfRule>
    <cfRule type="expression" dxfId="11532" priority="3373">
      <formula>$H891="CÉLULA CONSTRUTIVA"</formula>
    </cfRule>
  </conditionalFormatting>
  <conditionalFormatting sqref="O892">
    <cfRule type="expression" dxfId="11531" priority="57814">
      <formula>$H892="SUBETAPA"</formula>
    </cfRule>
    <cfRule type="expression" dxfId="11530" priority="57815">
      <formula>$H892="CÉLULA CONSTRUTIVA"</formula>
    </cfRule>
    <cfRule type="expression" dxfId="11529" priority="57816">
      <formula>$H892="ETAPA"</formula>
    </cfRule>
  </conditionalFormatting>
  <conditionalFormatting sqref="O894">
    <cfRule type="expression" dxfId="11528" priority="57795">
      <formula>$H894="SUBETAPA"</formula>
    </cfRule>
    <cfRule type="expression" dxfId="11527" priority="57796">
      <formula>$H894="ETAPA"</formula>
    </cfRule>
  </conditionalFormatting>
  <conditionalFormatting sqref="O895 O899">
    <cfRule type="expression" dxfId="11526" priority="57806">
      <formula>$H895="ETAPA"</formula>
    </cfRule>
  </conditionalFormatting>
  <conditionalFormatting sqref="O896">
    <cfRule type="expression" dxfId="11525" priority="57793">
      <formula>$H896="SUBETAPA"</formula>
    </cfRule>
    <cfRule type="expression" dxfId="11524" priority="57794">
      <formula>$H896="ETAPA"</formula>
    </cfRule>
  </conditionalFormatting>
  <conditionalFormatting sqref="O897">
    <cfRule type="expression" dxfId="11523" priority="57801">
      <formula>$H897="SUBETAPA"</formula>
    </cfRule>
    <cfRule type="expression" dxfId="11522" priority="57802">
      <formula>$H897="CÉLULA CONSTRUTIVA"</formula>
    </cfRule>
    <cfRule type="expression" dxfId="11521" priority="57803">
      <formula>$H897="ETAPA"</formula>
    </cfRule>
  </conditionalFormatting>
  <conditionalFormatting sqref="O898">
    <cfRule type="expression" dxfId="11520" priority="57789">
      <formula>$H898="SUBETAPA"</formula>
    </cfRule>
    <cfRule type="expression" dxfId="11519" priority="57790">
      <formula>$H898="ETAPA"</formula>
    </cfRule>
  </conditionalFormatting>
  <conditionalFormatting sqref="O899 O895">
    <cfRule type="expression" dxfId="11518" priority="57804">
      <formula>$H895="SUBETAPA"</formula>
    </cfRule>
    <cfRule type="expression" dxfId="11517" priority="57805">
      <formula>$H895="CÉLULA CONSTRUTIVA"</formula>
    </cfRule>
  </conditionalFormatting>
  <conditionalFormatting sqref="O900">
    <cfRule type="expression" dxfId="11516" priority="57775">
      <formula>$H900="SUBETAPA"</formula>
    </cfRule>
    <cfRule type="expression" dxfId="11515" priority="57776">
      <formula>$H900="ETAPA"</formula>
    </cfRule>
    <cfRule type="expression" dxfId="11514" priority="57777">
      <formula>$H900="CÉLULA CONSTRUTIVA"</formula>
    </cfRule>
  </conditionalFormatting>
  <conditionalFormatting sqref="O901">
    <cfRule type="expression" dxfId="11513" priority="57797">
      <formula>$H901="SUBETAPA"</formula>
    </cfRule>
    <cfRule type="expression" dxfId="11512" priority="57798">
      <formula>$H901="CÉLULA CONSTRUTIVA"</formula>
    </cfRule>
    <cfRule type="expression" dxfId="11511" priority="57799">
      <formula>$H901="ETAPA"</formula>
    </cfRule>
  </conditionalFormatting>
  <conditionalFormatting sqref="O902">
    <cfRule type="expression" dxfId="11510" priority="3359">
      <formula>$H902="ETAPA"</formula>
    </cfRule>
    <cfRule type="expression" dxfId="11509" priority="3360">
      <formula>$H902="SUBETAPA"</formula>
    </cfRule>
    <cfRule type="expression" dxfId="11508" priority="3361">
      <formula>$H902="ETAPA"</formula>
    </cfRule>
    <cfRule type="expression" dxfId="11507" priority="3362">
      <formula>$H902="SUBETAPA"</formula>
    </cfRule>
    <cfRule type="expression" dxfId="11506" priority="3363">
      <formula>$H902="ETAPA"</formula>
    </cfRule>
    <cfRule type="expression" dxfId="11505" priority="3364">
      <formula>$H902="SUBETAPA"</formula>
    </cfRule>
    <cfRule type="expression" dxfId="11504" priority="3365">
      <formula>$H902="CÉLULA CONSTRUTIVA"</formula>
    </cfRule>
  </conditionalFormatting>
  <conditionalFormatting sqref="O903">
    <cfRule type="expression" dxfId="11503" priority="57923">
      <formula>$H903="SUBETAPA"</formula>
    </cfRule>
    <cfRule type="expression" dxfId="11502" priority="57924">
      <formula>$H903="CÉLULA CONSTRUTIVA"</formula>
    </cfRule>
    <cfRule type="expression" dxfId="11501" priority="57925">
      <formula>$H903="ETAPA"</formula>
    </cfRule>
  </conditionalFormatting>
  <conditionalFormatting sqref="O905">
    <cfRule type="expression" dxfId="11500" priority="57904">
      <formula>$H905="SUBETAPA"</formula>
    </cfRule>
    <cfRule type="expression" dxfId="11499" priority="57905">
      <formula>$H905="ETAPA"</formula>
    </cfRule>
  </conditionalFormatting>
  <conditionalFormatting sqref="O906 O910">
    <cfRule type="expression" dxfId="11498" priority="57915">
      <formula>$H906="ETAPA"</formula>
    </cfRule>
  </conditionalFormatting>
  <conditionalFormatting sqref="O907">
    <cfRule type="expression" dxfId="11497" priority="57902">
      <formula>$H907="SUBETAPA"</formula>
    </cfRule>
    <cfRule type="expression" dxfId="11496" priority="57903">
      <formula>$H907="ETAPA"</formula>
    </cfRule>
  </conditionalFormatting>
  <conditionalFormatting sqref="O908">
    <cfRule type="expression" dxfId="11495" priority="57910">
      <formula>$H908="SUBETAPA"</formula>
    </cfRule>
    <cfRule type="expression" dxfId="11494" priority="57911">
      <formula>$H908="CÉLULA CONSTRUTIVA"</formula>
    </cfRule>
    <cfRule type="expression" dxfId="11493" priority="57912">
      <formula>$H908="ETAPA"</formula>
    </cfRule>
  </conditionalFormatting>
  <conditionalFormatting sqref="O909">
    <cfRule type="expression" dxfId="11492" priority="57898">
      <formula>$H909="SUBETAPA"</formula>
    </cfRule>
    <cfRule type="expression" dxfId="11491" priority="57899">
      <formula>$H909="ETAPA"</formula>
    </cfRule>
  </conditionalFormatting>
  <conditionalFormatting sqref="O910 O906">
    <cfRule type="expression" dxfId="11490" priority="57913">
      <formula>$H906="SUBETAPA"</formula>
    </cfRule>
    <cfRule type="expression" dxfId="11489" priority="57914">
      <formula>$H906="CÉLULA CONSTRUTIVA"</formula>
    </cfRule>
  </conditionalFormatting>
  <conditionalFormatting sqref="O911">
    <cfRule type="expression" dxfId="11488" priority="57884">
      <formula>$H911="SUBETAPA"</formula>
    </cfRule>
    <cfRule type="expression" dxfId="11487" priority="57885">
      <formula>$H911="ETAPA"</formula>
    </cfRule>
    <cfRule type="expression" dxfId="11486" priority="57886">
      <formula>$H911="CÉLULA CONSTRUTIVA"</formula>
    </cfRule>
  </conditionalFormatting>
  <conditionalFormatting sqref="O912">
    <cfRule type="expression" dxfId="11485" priority="57906">
      <formula>$H912="SUBETAPA"</formula>
    </cfRule>
    <cfRule type="expression" dxfId="11484" priority="57907">
      <formula>$H912="CÉLULA CONSTRUTIVA"</formula>
    </cfRule>
    <cfRule type="expression" dxfId="11483" priority="57908">
      <formula>$H912="ETAPA"</formula>
    </cfRule>
  </conditionalFormatting>
  <conditionalFormatting sqref="O913">
    <cfRule type="expression" dxfId="11482" priority="3351">
      <formula>$H913="ETAPA"</formula>
    </cfRule>
    <cfRule type="expression" dxfId="11481" priority="3352">
      <formula>$H913="SUBETAPA"</formula>
    </cfRule>
    <cfRule type="expression" dxfId="11480" priority="3353">
      <formula>$H913="ETAPA"</formula>
    </cfRule>
    <cfRule type="expression" dxfId="11479" priority="3354">
      <formula>$H913="SUBETAPA"</formula>
    </cfRule>
    <cfRule type="expression" dxfId="11478" priority="3355">
      <formula>$H913="ETAPA"</formula>
    </cfRule>
    <cfRule type="expression" dxfId="11477" priority="3356">
      <formula>$H913="SUBETAPA"</formula>
    </cfRule>
    <cfRule type="expression" dxfId="11476" priority="3357">
      <formula>$H913="CÉLULA CONSTRUTIVA"</formula>
    </cfRule>
  </conditionalFormatting>
  <conditionalFormatting sqref="O914">
    <cfRule type="expression" dxfId="11475" priority="58032">
      <formula>$H914="SUBETAPA"</formula>
    </cfRule>
    <cfRule type="expression" dxfId="11474" priority="58033">
      <formula>$H914="CÉLULA CONSTRUTIVA"</formula>
    </cfRule>
    <cfRule type="expression" dxfId="11473" priority="58034">
      <formula>$H914="ETAPA"</formula>
    </cfRule>
  </conditionalFormatting>
  <conditionalFormatting sqref="O916">
    <cfRule type="expression" dxfId="11472" priority="58013">
      <formula>$H916="SUBETAPA"</formula>
    </cfRule>
    <cfRule type="expression" dxfId="11471" priority="58014">
      <formula>$H916="ETAPA"</formula>
    </cfRule>
  </conditionalFormatting>
  <conditionalFormatting sqref="O917">
    <cfRule type="expression" dxfId="11470" priority="58022">
      <formula>$H917="SUBETAPA"</formula>
    </cfRule>
    <cfRule type="expression" dxfId="11469" priority="58023">
      <formula>$H917="CÉLULA CONSTRUTIVA"</formula>
    </cfRule>
    <cfRule type="expression" dxfId="11468" priority="58024">
      <formula>$H917="ETAPA"</formula>
    </cfRule>
  </conditionalFormatting>
  <conditionalFormatting sqref="O918">
    <cfRule type="expression" dxfId="11467" priority="58011">
      <formula>$H918="SUBETAPA"</formula>
    </cfRule>
    <cfRule type="expression" dxfId="11466" priority="58012">
      <formula>$H918="ETAPA"</formula>
    </cfRule>
  </conditionalFormatting>
  <conditionalFormatting sqref="O919">
    <cfRule type="expression" dxfId="11465" priority="58019">
      <formula>$H919="SUBETAPA"</formula>
    </cfRule>
    <cfRule type="expression" dxfId="11464" priority="58020">
      <formula>$H919="CÉLULA CONSTRUTIVA"</formula>
    </cfRule>
    <cfRule type="expression" dxfId="11463" priority="58021">
      <formula>$H919="ETAPA"</formula>
    </cfRule>
  </conditionalFormatting>
  <conditionalFormatting sqref="O920">
    <cfRule type="expression" dxfId="11462" priority="58007">
      <formula>$H920="SUBETAPA"</formula>
    </cfRule>
    <cfRule type="expression" dxfId="11461" priority="58008">
      <formula>$H920="ETAPA"</formula>
    </cfRule>
  </conditionalFormatting>
  <conditionalFormatting sqref="O921">
    <cfRule type="expression" dxfId="11460" priority="58015">
      <formula>$H921="SUBETAPA"</formula>
    </cfRule>
    <cfRule type="expression" dxfId="11459" priority="58016">
      <formula>$H921="CÉLULA CONSTRUTIVA"</formula>
    </cfRule>
    <cfRule type="expression" dxfId="11458" priority="58017">
      <formula>$H921="ETAPA"</formula>
    </cfRule>
  </conditionalFormatting>
  <conditionalFormatting sqref="O922">
    <cfRule type="expression" dxfId="11457" priority="3343">
      <formula>$H922="ETAPA"</formula>
    </cfRule>
    <cfRule type="expression" dxfId="11456" priority="3344">
      <formula>$H922="SUBETAPA"</formula>
    </cfRule>
    <cfRule type="expression" dxfId="11455" priority="3345">
      <formula>$H922="ETAPA"</formula>
    </cfRule>
    <cfRule type="expression" dxfId="11454" priority="3346">
      <formula>$H922="SUBETAPA"</formula>
    </cfRule>
    <cfRule type="expression" dxfId="11453" priority="3347">
      <formula>$H922="ETAPA"</formula>
    </cfRule>
    <cfRule type="expression" dxfId="11452" priority="3348">
      <formula>$H922="SUBETAPA"</formula>
    </cfRule>
    <cfRule type="expression" dxfId="11451" priority="3349">
      <formula>$H922="CÉLULA CONSTRUTIVA"</formula>
    </cfRule>
  </conditionalFormatting>
  <conditionalFormatting sqref="O923">
    <cfRule type="expression" dxfId="11450" priority="58141">
      <formula>$H923="SUBETAPA"</formula>
    </cfRule>
    <cfRule type="expression" dxfId="11449" priority="58142">
      <formula>$H923="CÉLULA CONSTRUTIVA"</formula>
    </cfRule>
    <cfRule type="expression" dxfId="11448" priority="58143">
      <formula>$H923="ETAPA"</formula>
    </cfRule>
  </conditionalFormatting>
  <conditionalFormatting sqref="O925">
    <cfRule type="expression" dxfId="11447" priority="58122">
      <formula>$H925="SUBETAPA"</formula>
    </cfRule>
    <cfRule type="expression" dxfId="11446" priority="58123">
      <formula>$H925="ETAPA"</formula>
    </cfRule>
  </conditionalFormatting>
  <conditionalFormatting sqref="O926">
    <cfRule type="expression" dxfId="11445" priority="58131">
      <formula>$H926="SUBETAPA"</formula>
    </cfRule>
    <cfRule type="expression" dxfId="11444" priority="58132">
      <formula>$H926="CÉLULA CONSTRUTIVA"</formula>
    </cfRule>
    <cfRule type="expression" dxfId="11443" priority="58133">
      <formula>$H926="ETAPA"</formula>
    </cfRule>
  </conditionalFormatting>
  <conditionalFormatting sqref="O927">
    <cfRule type="expression" dxfId="11442" priority="58120">
      <formula>$H927="SUBETAPA"</formula>
    </cfRule>
    <cfRule type="expression" dxfId="11441" priority="58121">
      <formula>$H927="ETAPA"</formula>
    </cfRule>
  </conditionalFormatting>
  <conditionalFormatting sqref="O928">
    <cfRule type="expression" dxfId="11440" priority="58128">
      <formula>$H928="SUBETAPA"</formula>
    </cfRule>
    <cfRule type="expression" dxfId="11439" priority="58129">
      <formula>$H928="CÉLULA CONSTRUTIVA"</formula>
    </cfRule>
    <cfRule type="expression" dxfId="11438" priority="58130">
      <formula>$H928="ETAPA"</formula>
    </cfRule>
  </conditionalFormatting>
  <conditionalFormatting sqref="O929">
    <cfRule type="expression" dxfId="11437" priority="58116">
      <formula>$H929="SUBETAPA"</formula>
    </cfRule>
    <cfRule type="expression" dxfId="11436" priority="58117">
      <formula>$H929="ETAPA"</formula>
    </cfRule>
  </conditionalFormatting>
  <conditionalFormatting sqref="O930">
    <cfRule type="expression" dxfId="11435" priority="58124">
      <formula>$H930="SUBETAPA"</formula>
    </cfRule>
    <cfRule type="expression" dxfId="11434" priority="58125">
      <formula>$H930="CÉLULA CONSTRUTIVA"</formula>
    </cfRule>
    <cfRule type="expression" dxfId="11433" priority="58126">
      <formula>$H930="ETAPA"</formula>
    </cfRule>
  </conditionalFormatting>
  <conditionalFormatting sqref="O931">
    <cfRule type="expression" dxfId="11432" priority="3335">
      <formula>$H931="ETAPA"</formula>
    </cfRule>
    <cfRule type="expression" dxfId="11431" priority="3336">
      <formula>$H931="SUBETAPA"</formula>
    </cfRule>
    <cfRule type="expression" dxfId="11430" priority="3337">
      <formula>$H931="ETAPA"</formula>
    </cfRule>
    <cfRule type="expression" dxfId="11429" priority="3338">
      <formula>$H931="SUBETAPA"</formula>
    </cfRule>
    <cfRule type="expression" dxfId="11428" priority="3339">
      <formula>$H931="ETAPA"</formula>
    </cfRule>
    <cfRule type="expression" dxfId="11427" priority="3340">
      <formula>$H931="SUBETAPA"</formula>
    </cfRule>
    <cfRule type="expression" dxfId="11426" priority="3341">
      <formula>$H931="CÉLULA CONSTRUTIVA"</formula>
    </cfRule>
  </conditionalFormatting>
  <conditionalFormatting sqref="O932">
    <cfRule type="expression" dxfId="11425" priority="58250">
      <formula>$H932="SUBETAPA"</formula>
    </cfRule>
    <cfRule type="expression" dxfId="11424" priority="58251">
      <formula>$H932="CÉLULA CONSTRUTIVA"</formula>
    </cfRule>
    <cfRule type="expression" dxfId="11423" priority="58252">
      <formula>$H932="ETAPA"</formula>
    </cfRule>
  </conditionalFormatting>
  <conditionalFormatting sqref="O934">
    <cfRule type="expression" dxfId="11422" priority="58231">
      <formula>$H934="SUBETAPA"</formula>
    </cfRule>
    <cfRule type="expression" dxfId="11421" priority="58232">
      <formula>$H934="ETAPA"</formula>
    </cfRule>
  </conditionalFormatting>
  <conditionalFormatting sqref="O935 O939">
    <cfRule type="expression" dxfId="11420" priority="58242">
      <formula>$H935="ETAPA"</formula>
    </cfRule>
  </conditionalFormatting>
  <conditionalFormatting sqref="O936">
    <cfRule type="expression" dxfId="11419" priority="58229">
      <formula>$H936="SUBETAPA"</formula>
    </cfRule>
    <cfRule type="expression" dxfId="11418" priority="58230">
      <formula>$H936="ETAPA"</formula>
    </cfRule>
  </conditionalFormatting>
  <conditionalFormatting sqref="O937">
    <cfRule type="expression" dxfId="11417" priority="58237">
      <formula>$H937="SUBETAPA"</formula>
    </cfRule>
    <cfRule type="expression" dxfId="11416" priority="58238">
      <formula>$H937="CÉLULA CONSTRUTIVA"</formula>
    </cfRule>
    <cfRule type="expression" dxfId="11415" priority="58239">
      <formula>$H937="ETAPA"</formula>
    </cfRule>
  </conditionalFormatting>
  <conditionalFormatting sqref="O938">
    <cfRule type="expression" dxfId="11414" priority="58225">
      <formula>$H938="SUBETAPA"</formula>
    </cfRule>
    <cfRule type="expression" dxfId="11413" priority="58226">
      <formula>$H938="ETAPA"</formula>
    </cfRule>
  </conditionalFormatting>
  <conditionalFormatting sqref="O939 O935">
    <cfRule type="expression" dxfId="11412" priority="58240">
      <formula>$H935="SUBETAPA"</formula>
    </cfRule>
    <cfRule type="expression" dxfId="11411" priority="58241">
      <formula>$H935="CÉLULA CONSTRUTIVA"</formula>
    </cfRule>
  </conditionalFormatting>
  <conditionalFormatting sqref="O940">
    <cfRule type="expression" dxfId="11410" priority="58211">
      <formula>$H940="SUBETAPA"</formula>
    </cfRule>
    <cfRule type="expression" dxfId="11409" priority="58212">
      <formula>$H940="ETAPA"</formula>
    </cfRule>
    <cfRule type="expression" dxfId="11408" priority="58213">
      <formula>$H940="CÉLULA CONSTRUTIVA"</formula>
    </cfRule>
  </conditionalFormatting>
  <conditionalFormatting sqref="O941">
    <cfRule type="expression" dxfId="11407" priority="58233">
      <formula>$H941="SUBETAPA"</formula>
    </cfRule>
    <cfRule type="expression" dxfId="11406" priority="58234">
      <formula>$H941="CÉLULA CONSTRUTIVA"</formula>
    </cfRule>
    <cfRule type="expression" dxfId="11405" priority="58235">
      <formula>$H941="ETAPA"</formula>
    </cfRule>
  </conditionalFormatting>
  <conditionalFormatting sqref="O942">
    <cfRule type="expression" dxfId="11404" priority="3327">
      <formula>$H942="ETAPA"</formula>
    </cfRule>
    <cfRule type="expression" dxfId="11403" priority="3328">
      <formula>$H942="SUBETAPA"</formula>
    </cfRule>
    <cfRule type="expression" dxfId="11402" priority="3329">
      <formula>$H942="ETAPA"</formula>
    </cfRule>
    <cfRule type="expression" dxfId="11401" priority="3330">
      <formula>$H942="SUBETAPA"</formula>
    </cfRule>
    <cfRule type="expression" dxfId="11400" priority="3331">
      <formula>$H942="ETAPA"</formula>
    </cfRule>
    <cfRule type="expression" dxfId="11399" priority="3332">
      <formula>$H942="SUBETAPA"</formula>
    </cfRule>
    <cfRule type="expression" dxfId="11398" priority="3333">
      <formula>$H942="CÉLULA CONSTRUTIVA"</formula>
    </cfRule>
  </conditionalFormatting>
  <conditionalFormatting sqref="O943">
    <cfRule type="expression" dxfId="11397" priority="58347">
      <formula>$H943="CÉLULA CONSTRUTIVA"</formula>
    </cfRule>
    <cfRule type="expression" dxfId="11396" priority="58348">
      <formula>$H943="ETAPA"</formula>
    </cfRule>
    <cfRule type="expression" dxfId="11395" priority="58349">
      <formula>$H943="SUBETAPA"</formula>
    </cfRule>
  </conditionalFormatting>
  <conditionalFormatting sqref="O944:O945">
    <cfRule type="expression" dxfId="11394" priority="51552">
      <formula>$H944="SUBETAPA"</formula>
    </cfRule>
    <cfRule type="expression" dxfId="11393" priority="51553">
      <formula>$H944="CÉLULA CONSTRUTIVA"</formula>
    </cfRule>
    <cfRule type="expression" dxfId="11392" priority="51554">
      <formula>$H944="ETAPA"</formula>
    </cfRule>
  </conditionalFormatting>
  <conditionalFormatting sqref="O955 O957 O947:O953">
    <cfRule type="expression" dxfId="11391" priority="51559">
      <formula>$H947="SUBETAPA"</formula>
    </cfRule>
    <cfRule type="expression" dxfId="11390" priority="51560">
      <formula>$H947="CÉLULA CONSTRUTIVA"</formula>
    </cfRule>
    <cfRule type="expression" dxfId="11389" priority="51561">
      <formula>$H947="ETAPA"</formula>
    </cfRule>
  </conditionalFormatting>
  <conditionalFormatting sqref="O959:O960">
    <cfRule type="expression" dxfId="11388" priority="51707">
      <formula>$H959="SUBETAPA"</formula>
    </cfRule>
    <cfRule type="expression" dxfId="11387" priority="51708">
      <formula>$H959="CÉLULA CONSTRUTIVA"</formula>
    </cfRule>
    <cfRule type="expression" dxfId="11386" priority="51709">
      <formula>$H959="ETAPA"</formula>
    </cfRule>
  </conditionalFormatting>
  <conditionalFormatting sqref="O964:O965">
    <cfRule type="expression" dxfId="11385" priority="51469">
      <formula>$H964="SUBETAPA"</formula>
    </cfRule>
    <cfRule type="expression" dxfId="11384" priority="51470">
      <formula>$H964="CÉLULA CONSTRUTIVA"</formula>
    </cfRule>
    <cfRule type="expression" dxfId="11383" priority="51471">
      <formula>$H964="ETAPA"</formula>
    </cfRule>
  </conditionalFormatting>
  <conditionalFormatting sqref="O967">
    <cfRule type="expression" dxfId="11382" priority="51546">
      <formula>$H967="SUBETAPA"</formula>
    </cfRule>
    <cfRule type="expression" dxfId="11381" priority="51547">
      <formula>$H967="CÉLULA CONSTRUTIVA"</formula>
    </cfRule>
    <cfRule type="expression" dxfId="11380" priority="51548">
      <formula>$H967="ETAPA"</formula>
    </cfRule>
  </conditionalFormatting>
  <conditionalFormatting sqref="O968 O970 O972 O962:O963 O966">
    <cfRule type="expression" dxfId="11379" priority="51714">
      <formula>$H962="SUBETAPA"</formula>
    </cfRule>
    <cfRule type="expression" dxfId="11378" priority="51715">
      <formula>$H962="CÉLULA CONSTRUTIVA"</formula>
    </cfRule>
    <cfRule type="expression" dxfId="11377" priority="51716">
      <formula>$H962="ETAPA"</formula>
    </cfRule>
  </conditionalFormatting>
  <conditionalFormatting sqref="O974:O975">
    <cfRule type="expression" dxfId="11376" priority="51865">
      <formula>$H974="SUBETAPA"</formula>
    </cfRule>
    <cfRule type="expression" dxfId="11375" priority="51866">
      <formula>$H974="CÉLULA CONSTRUTIVA"</formula>
    </cfRule>
    <cfRule type="expression" dxfId="11374" priority="51867">
      <formula>$H974="ETAPA"</formula>
    </cfRule>
  </conditionalFormatting>
  <conditionalFormatting sqref="O979:O980">
    <cfRule type="expression" dxfId="11373" priority="51431">
      <formula>$H979="SUBETAPA"</formula>
    </cfRule>
    <cfRule type="expression" dxfId="11372" priority="51432">
      <formula>$H979="CÉLULA CONSTRUTIVA"</formula>
    </cfRule>
    <cfRule type="expression" dxfId="11371" priority="51433">
      <formula>$H979="ETAPA"</formula>
    </cfRule>
  </conditionalFormatting>
  <conditionalFormatting sqref="O982">
    <cfRule type="expression" dxfId="11370" priority="51543">
      <formula>$H982="SUBETAPA"</formula>
    </cfRule>
    <cfRule type="expression" dxfId="11369" priority="51544">
      <formula>$H982="CÉLULA CONSTRUTIVA"</formula>
    </cfRule>
    <cfRule type="expression" dxfId="11368" priority="51545">
      <formula>$H982="ETAPA"</formula>
    </cfRule>
  </conditionalFormatting>
  <conditionalFormatting sqref="O985 O987 O977:O978 O983 O981">
    <cfRule type="expression" dxfId="11367" priority="51872">
      <formula>$H977="SUBETAPA"</formula>
    </cfRule>
    <cfRule type="expression" dxfId="11366" priority="51873">
      <formula>$H977="CÉLULA CONSTRUTIVA"</formula>
    </cfRule>
    <cfRule type="expression" dxfId="11365" priority="51874">
      <formula>$H977="ETAPA"</formula>
    </cfRule>
  </conditionalFormatting>
  <conditionalFormatting sqref="O989:O990">
    <cfRule type="expression" dxfId="11364" priority="52020">
      <formula>$H989="SUBETAPA"</formula>
    </cfRule>
    <cfRule type="expression" dxfId="11363" priority="52021">
      <formula>$H989="CÉLULA CONSTRUTIVA"</formula>
    </cfRule>
    <cfRule type="expression" dxfId="11362" priority="52022">
      <formula>$H989="ETAPA"</formula>
    </cfRule>
  </conditionalFormatting>
  <conditionalFormatting sqref="O994:O995">
    <cfRule type="expression" dxfId="11361" priority="51393">
      <formula>$H994="SUBETAPA"</formula>
    </cfRule>
    <cfRule type="expression" dxfId="11360" priority="51394">
      <formula>$H994="CÉLULA CONSTRUTIVA"</formula>
    </cfRule>
    <cfRule type="expression" dxfId="11359" priority="51395">
      <formula>$H994="ETAPA"</formula>
    </cfRule>
  </conditionalFormatting>
  <conditionalFormatting sqref="O997">
    <cfRule type="expression" dxfId="11358" priority="51540">
      <formula>$H997="SUBETAPA"</formula>
    </cfRule>
    <cfRule type="expression" dxfId="11357" priority="51541">
      <formula>$H997="CÉLULA CONSTRUTIVA"</formula>
    </cfRule>
    <cfRule type="expression" dxfId="11356" priority="51542">
      <formula>$H997="ETAPA"</formula>
    </cfRule>
  </conditionalFormatting>
  <conditionalFormatting sqref="O998 O1000 O1002 O992:O993 O996">
    <cfRule type="expression" dxfId="11355" priority="52027">
      <formula>$H992="SUBETAPA"</formula>
    </cfRule>
    <cfRule type="expression" dxfId="11354" priority="52028">
      <formula>$H992="CÉLULA CONSTRUTIVA"</formula>
    </cfRule>
    <cfRule type="expression" dxfId="11353" priority="52029">
      <formula>$H992="ETAPA"</formula>
    </cfRule>
  </conditionalFormatting>
  <conditionalFormatting sqref="O1004:O1005">
    <cfRule type="expression" dxfId="11352" priority="52178">
      <formula>$H1004="SUBETAPA"</formula>
    </cfRule>
    <cfRule type="expression" dxfId="11351" priority="52179">
      <formula>$H1004="CÉLULA CONSTRUTIVA"</formula>
    </cfRule>
    <cfRule type="expression" dxfId="11350" priority="52180">
      <formula>$H1004="ETAPA"</formula>
    </cfRule>
  </conditionalFormatting>
  <conditionalFormatting sqref="O1009:O1010">
    <cfRule type="expression" dxfId="11349" priority="51355">
      <formula>$H1009="SUBETAPA"</formula>
    </cfRule>
    <cfRule type="expression" dxfId="11348" priority="51356">
      <formula>$H1009="CÉLULA CONSTRUTIVA"</formula>
    </cfRule>
    <cfRule type="expression" dxfId="11347" priority="51357">
      <formula>$H1009="ETAPA"</formula>
    </cfRule>
  </conditionalFormatting>
  <conditionalFormatting sqref="O1012">
    <cfRule type="expression" dxfId="11346" priority="51537">
      <formula>$H1012="SUBETAPA"</formula>
    </cfRule>
    <cfRule type="expression" dxfId="11345" priority="51538">
      <formula>$H1012="CÉLULA CONSTRUTIVA"</formula>
    </cfRule>
    <cfRule type="expression" dxfId="11344" priority="51539">
      <formula>$H1012="ETAPA"</formula>
    </cfRule>
  </conditionalFormatting>
  <conditionalFormatting sqref="O1015 O1017 O1007:O1008 O1013 O1011">
    <cfRule type="expression" dxfId="11343" priority="52185">
      <formula>$H1007="SUBETAPA"</formula>
    </cfRule>
    <cfRule type="expression" dxfId="11342" priority="52186">
      <formula>$H1007="CÉLULA CONSTRUTIVA"</formula>
    </cfRule>
    <cfRule type="expression" dxfId="11341" priority="52187">
      <formula>$H1007="ETAPA"</formula>
    </cfRule>
  </conditionalFormatting>
  <conditionalFormatting sqref="O1019:O1020">
    <cfRule type="expression" dxfId="11340" priority="52333">
      <formula>$H1019="SUBETAPA"</formula>
    </cfRule>
    <cfRule type="expression" dxfId="11339" priority="52334">
      <formula>$H1019="CÉLULA CONSTRUTIVA"</formula>
    </cfRule>
    <cfRule type="expression" dxfId="11338" priority="52335">
      <formula>$H1019="ETAPA"</formula>
    </cfRule>
  </conditionalFormatting>
  <conditionalFormatting sqref="O1024:O1025">
    <cfRule type="expression" dxfId="11337" priority="51317">
      <formula>$H1024="SUBETAPA"</formula>
    </cfRule>
    <cfRule type="expression" dxfId="11336" priority="51318">
      <formula>$H1024="CÉLULA CONSTRUTIVA"</formula>
    </cfRule>
    <cfRule type="expression" dxfId="11335" priority="51319">
      <formula>$H1024="ETAPA"</formula>
    </cfRule>
  </conditionalFormatting>
  <conditionalFormatting sqref="O1027">
    <cfRule type="expression" dxfId="11334" priority="51534">
      <formula>$H1027="SUBETAPA"</formula>
    </cfRule>
    <cfRule type="expression" dxfId="11333" priority="51535">
      <formula>$H1027="CÉLULA CONSTRUTIVA"</formula>
    </cfRule>
    <cfRule type="expression" dxfId="11332" priority="51536">
      <formula>$H1027="ETAPA"</formula>
    </cfRule>
  </conditionalFormatting>
  <conditionalFormatting sqref="O1028 O1030 O1032 O1022:O1023 O1026">
    <cfRule type="expression" dxfId="11331" priority="52340">
      <formula>$H1022="SUBETAPA"</formula>
    </cfRule>
    <cfRule type="expression" dxfId="11330" priority="52341">
      <formula>$H1022="CÉLULA CONSTRUTIVA"</formula>
    </cfRule>
    <cfRule type="expression" dxfId="11329" priority="52342">
      <formula>$H1022="ETAPA"</formula>
    </cfRule>
  </conditionalFormatting>
  <conditionalFormatting sqref="O1034:O1035">
    <cfRule type="expression" dxfId="11328" priority="52488">
      <formula>$H1034="SUBETAPA"</formula>
    </cfRule>
    <cfRule type="expression" dxfId="11327" priority="52489">
      <formula>$H1034="CÉLULA CONSTRUTIVA"</formula>
    </cfRule>
    <cfRule type="expression" dxfId="11326" priority="52490">
      <formula>$H1034="ETAPA"</formula>
    </cfRule>
  </conditionalFormatting>
  <conditionalFormatting sqref="O1039:O1040">
    <cfRule type="expression" dxfId="11325" priority="51279">
      <formula>$H1039="SUBETAPA"</formula>
    </cfRule>
    <cfRule type="expression" dxfId="11324" priority="51280">
      <formula>$H1039="CÉLULA CONSTRUTIVA"</formula>
    </cfRule>
    <cfRule type="expression" dxfId="11323" priority="51281">
      <formula>$H1039="ETAPA"</formula>
    </cfRule>
  </conditionalFormatting>
  <conditionalFormatting sqref="O1042">
    <cfRule type="expression" dxfId="11322" priority="51531">
      <formula>$H1042="SUBETAPA"</formula>
    </cfRule>
    <cfRule type="expression" dxfId="11321" priority="51532">
      <formula>$H1042="CÉLULA CONSTRUTIVA"</formula>
    </cfRule>
    <cfRule type="expression" dxfId="11320" priority="51533">
      <formula>$H1042="ETAPA"</formula>
    </cfRule>
  </conditionalFormatting>
  <conditionalFormatting sqref="O1045 O1047 O1037:O1038 O1043 O1041">
    <cfRule type="expression" dxfId="11319" priority="52495">
      <formula>$H1037="SUBETAPA"</formula>
    </cfRule>
    <cfRule type="expression" dxfId="11318" priority="52496">
      <formula>$H1037="CÉLULA CONSTRUTIVA"</formula>
    </cfRule>
    <cfRule type="expression" dxfId="11317" priority="52497">
      <formula>$H1037="ETAPA"</formula>
    </cfRule>
  </conditionalFormatting>
  <conditionalFormatting sqref="O1049:O1050">
    <cfRule type="expression" dxfId="11316" priority="52646">
      <formula>$H1049="SUBETAPA"</formula>
    </cfRule>
    <cfRule type="expression" dxfId="11315" priority="52647">
      <formula>$H1049="CÉLULA CONSTRUTIVA"</formula>
    </cfRule>
    <cfRule type="expression" dxfId="11314" priority="52648">
      <formula>$H1049="ETAPA"</formula>
    </cfRule>
  </conditionalFormatting>
  <conditionalFormatting sqref="O1054:O1055">
    <cfRule type="expression" dxfId="11313" priority="51241">
      <formula>$H1054="SUBETAPA"</formula>
    </cfRule>
    <cfRule type="expression" dxfId="11312" priority="51242">
      <formula>$H1054="CÉLULA CONSTRUTIVA"</formula>
    </cfRule>
    <cfRule type="expression" dxfId="11311" priority="51243">
      <formula>$H1054="ETAPA"</formula>
    </cfRule>
  </conditionalFormatting>
  <conditionalFormatting sqref="O1057">
    <cfRule type="expression" dxfId="11310" priority="51528">
      <formula>$H1057="SUBETAPA"</formula>
    </cfRule>
    <cfRule type="expression" dxfId="11309" priority="51529">
      <formula>$H1057="CÉLULA CONSTRUTIVA"</formula>
    </cfRule>
    <cfRule type="expression" dxfId="11308" priority="51530">
      <formula>$H1057="ETAPA"</formula>
    </cfRule>
  </conditionalFormatting>
  <conditionalFormatting sqref="O1060 O1062 O1052:O1053 O1058 O1056">
    <cfRule type="expression" dxfId="11307" priority="52653">
      <formula>$H1052="SUBETAPA"</formula>
    </cfRule>
    <cfRule type="expression" dxfId="11306" priority="52654">
      <formula>$H1052="CÉLULA CONSTRUTIVA"</formula>
    </cfRule>
    <cfRule type="expression" dxfId="11305" priority="52655">
      <formula>$H1052="ETAPA"</formula>
    </cfRule>
  </conditionalFormatting>
  <conditionalFormatting sqref="O1064:O1065">
    <cfRule type="expression" dxfId="11304" priority="52801">
      <formula>$H1064="SUBETAPA"</formula>
    </cfRule>
    <cfRule type="expression" dxfId="11303" priority="52802">
      <formula>$H1064="CÉLULA CONSTRUTIVA"</formula>
    </cfRule>
    <cfRule type="expression" dxfId="11302" priority="52803">
      <formula>$H1064="ETAPA"</formula>
    </cfRule>
  </conditionalFormatting>
  <conditionalFormatting sqref="O1069:O1070">
    <cfRule type="expression" dxfId="11301" priority="51203">
      <formula>$H1069="SUBETAPA"</formula>
    </cfRule>
    <cfRule type="expression" dxfId="11300" priority="51204">
      <formula>$H1069="CÉLULA CONSTRUTIVA"</formula>
    </cfRule>
    <cfRule type="expression" dxfId="11299" priority="51205">
      <formula>$H1069="ETAPA"</formula>
    </cfRule>
  </conditionalFormatting>
  <conditionalFormatting sqref="O1072">
    <cfRule type="expression" dxfId="11298" priority="51525">
      <formula>$H1072="SUBETAPA"</formula>
    </cfRule>
    <cfRule type="expression" dxfId="11297" priority="51526">
      <formula>$H1072="CÉLULA CONSTRUTIVA"</formula>
    </cfRule>
    <cfRule type="expression" dxfId="11296" priority="51527">
      <formula>$H1072="ETAPA"</formula>
    </cfRule>
  </conditionalFormatting>
  <conditionalFormatting sqref="O1073 O1075 O1077 O1067:O1068 O1071">
    <cfRule type="expression" dxfId="11295" priority="52808">
      <formula>$H1067="SUBETAPA"</formula>
    </cfRule>
    <cfRule type="expression" dxfId="11294" priority="52809">
      <formula>$H1067="CÉLULA CONSTRUTIVA"</formula>
    </cfRule>
    <cfRule type="expression" dxfId="11293" priority="52810">
      <formula>$H1067="ETAPA"</formula>
    </cfRule>
  </conditionalFormatting>
  <conditionalFormatting sqref="O1079:O1080">
    <cfRule type="expression" dxfId="11292" priority="52959">
      <formula>$H1079="SUBETAPA"</formula>
    </cfRule>
    <cfRule type="expression" dxfId="11291" priority="52960">
      <formula>$H1079="CÉLULA CONSTRUTIVA"</formula>
    </cfRule>
    <cfRule type="expression" dxfId="11290" priority="52961">
      <formula>$H1079="ETAPA"</formula>
    </cfRule>
  </conditionalFormatting>
  <conditionalFormatting sqref="O1084:O1085">
    <cfRule type="expression" dxfId="11289" priority="51165">
      <formula>$H1084="SUBETAPA"</formula>
    </cfRule>
    <cfRule type="expression" dxfId="11288" priority="51166">
      <formula>$H1084="CÉLULA CONSTRUTIVA"</formula>
    </cfRule>
    <cfRule type="expression" dxfId="11287" priority="51167">
      <formula>$H1084="ETAPA"</formula>
    </cfRule>
  </conditionalFormatting>
  <conditionalFormatting sqref="O1087">
    <cfRule type="expression" dxfId="11286" priority="51522">
      <formula>$H1087="SUBETAPA"</formula>
    </cfRule>
    <cfRule type="expression" dxfId="11285" priority="51523">
      <formula>$H1087="CÉLULA CONSTRUTIVA"</formula>
    </cfRule>
    <cfRule type="expression" dxfId="11284" priority="51524">
      <formula>$H1087="ETAPA"</formula>
    </cfRule>
  </conditionalFormatting>
  <conditionalFormatting sqref="O1090 O1092 O1082:O1083 O1088 O1086">
    <cfRule type="expression" dxfId="11283" priority="52966">
      <formula>$H1082="SUBETAPA"</formula>
    </cfRule>
    <cfRule type="expression" dxfId="11282" priority="52967">
      <formula>$H1082="CÉLULA CONSTRUTIVA"</formula>
    </cfRule>
    <cfRule type="expression" dxfId="11281" priority="52968">
      <formula>$H1082="ETAPA"</formula>
    </cfRule>
  </conditionalFormatting>
  <conditionalFormatting sqref="O1094:O1095">
    <cfRule type="expression" dxfId="11280" priority="53114">
      <formula>$H1094="SUBETAPA"</formula>
    </cfRule>
    <cfRule type="expression" dxfId="11279" priority="53115">
      <formula>$H1094="CÉLULA CONSTRUTIVA"</formula>
    </cfRule>
    <cfRule type="expression" dxfId="11278" priority="53116">
      <formula>$H1094="ETAPA"</formula>
    </cfRule>
  </conditionalFormatting>
  <conditionalFormatting sqref="O1099:O1100">
    <cfRule type="expression" dxfId="11277" priority="51127">
      <formula>$H1099="SUBETAPA"</formula>
    </cfRule>
    <cfRule type="expression" dxfId="11276" priority="51128">
      <formula>$H1099="CÉLULA CONSTRUTIVA"</formula>
    </cfRule>
    <cfRule type="expression" dxfId="11275" priority="51129">
      <formula>$H1099="ETAPA"</formula>
    </cfRule>
  </conditionalFormatting>
  <conditionalFormatting sqref="O1102">
    <cfRule type="expression" dxfId="11274" priority="51519">
      <formula>$H1102="SUBETAPA"</formula>
    </cfRule>
    <cfRule type="expression" dxfId="11273" priority="51520">
      <formula>$H1102="CÉLULA CONSTRUTIVA"</formula>
    </cfRule>
    <cfRule type="expression" dxfId="11272" priority="51521">
      <formula>$H1102="ETAPA"</formula>
    </cfRule>
  </conditionalFormatting>
  <conditionalFormatting sqref="O1103 O1105 O1107 O1097:O1098 O1101">
    <cfRule type="expression" dxfId="11271" priority="53121">
      <formula>$H1097="SUBETAPA"</formula>
    </cfRule>
    <cfRule type="expression" dxfId="11270" priority="53122">
      <formula>$H1097="CÉLULA CONSTRUTIVA"</formula>
    </cfRule>
    <cfRule type="expression" dxfId="11269" priority="53123">
      <formula>$H1097="ETAPA"</formula>
    </cfRule>
  </conditionalFormatting>
  <conditionalFormatting sqref="O1109:O1110">
    <cfRule type="expression" dxfId="11268" priority="53272">
      <formula>$H1109="SUBETAPA"</formula>
    </cfRule>
    <cfRule type="expression" dxfId="11267" priority="53273">
      <formula>$H1109="CÉLULA CONSTRUTIVA"</formula>
    </cfRule>
    <cfRule type="expression" dxfId="11266" priority="53274">
      <formula>$H1109="ETAPA"</formula>
    </cfRule>
  </conditionalFormatting>
  <conditionalFormatting sqref="O1114:O1115">
    <cfRule type="expression" dxfId="11265" priority="51089">
      <formula>$H1114="SUBETAPA"</formula>
    </cfRule>
    <cfRule type="expression" dxfId="11264" priority="51090">
      <formula>$H1114="CÉLULA CONSTRUTIVA"</formula>
    </cfRule>
    <cfRule type="expression" dxfId="11263" priority="51091">
      <formula>$H1114="ETAPA"</formula>
    </cfRule>
  </conditionalFormatting>
  <conditionalFormatting sqref="O1117">
    <cfRule type="expression" dxfId="11262" priority="51516">
      <formula>$H1117="SUBETAPA"</formula>
    </cfRule>
    <cfRule type="expression" dxfId="11261" priority="51517">
      <formula>$H1117="CÉLULA CONSTRUTIVA"</formula>
    </cfRule>
    <cfRule type="expression" dxfId="11260" priority="51518">
      <formula>$H1117="ETAPA"</formula>
    </cfRule>
  </conditionalFormatting>
  <conditionalFormatting sqref="O1120 O1122 O1112:O1113 O1118 O1116">
    <cfRule type="expression" dxfId="11259" priority="53279">
      <formula>$H1112="SUBETAPA"</formula>
    </cfRule>
    <cfRule type="expression" dxfId="11258" priority="53280">
      <formula>$H1112="CÉLULA CONSTRUTIVA"</formula>
    </cfRule>
    <cfRule type="expression" dxfId="11257" priority="53281">
      <formula>$H1112="ETAPA"</formula>
    </cfRule>
  </conditionalFormatting>
  <conditionalFormatting sqref="O1124:O1125">
    <cfRule type="expression" dxfId="11256" priority="53427">
      <formula>$H1124="SUBETAPA"</formula>
    </cfRule>
    <cfRule type="expression" dxfId="11255" priority="53428">
      <formula>$H1124="CÉLULA CONSTRUTIVA"</formula>
    </cfRule>
    <cfRule type="expression" dxfId="11254" priority="53429">
      <formula>$H1124="ETAPA"</formula>
    </cfRule>
  </conditionalFormatting>
  <conditionalFormatting sqref="O1129:O1130">
    <cfRule type="expression" dxfId="11253" priority="51051">
      <formula>$H1129="SUBETAPA"</formula>
    </cfRule>
    <cfRule type="expression" dxfId="11252" priority="51052">
      <formula>$H1129="CÉLULA CONSTRUTIVA"</formula>
    </cfRule>
    <cfRule type="expression" dxfId="11251" priority="51053">
      <formula>$H1129="ETAPA"</formula>
    </cfRule>
  </conditionalFormatting>
  <conditionalFormatting sqref="O1132">
    <cfRule type="expression" dxfId="11250" priority="51513">
      <formula>$H1132="SUBETAPA"</formula>
    </cfRule>
    <cfRule type="expression" dxfId="11249" priority="51514">
      <formula>$H1132="CÉLULA CONSTRUTIVA"</formula>
    </cfRule>
    <cfRule type="expression" dxfId="11248" priority="51515">
      <formula>$H1132="ETAPA"</formula>
    </cfRule>
  </conditionalFormatting>
  <conditionalFormatting sqref="O1133 O1135 O1137 O1127:O1128 O1131">
    <cfRule type="expression" dxfId="11247" priority="53434">
      <formula>$H1127="SUBETAPA"</formula>
    </cfRule>
    <cfRule type="expression" dxfId="11246" priority="53435">
      <formula>$H1127="CÉLULA CONSTRUTIVA"</formula>
    </cfRule>
    <cfRule type="expression" dxfId="11245" priority="53436">
      <formula>$H1127="ETAPA"</formula>
    </cfRule>
  </conditionalFormatting>
  <conditionalFormatting sqref="O1139:O1140">
    <cfRule type="expression" dxfId="11244" priority="53585">
      <formula>$H1139="SUBETAPA"</formula>
    </cfRule>
    <cfRule type="expression" dxfId="11243" priority="53586">
      <formula>$H1139="CÉLULA CONSTRUTIVA"</formula>
    </cfRule>
    <cfRule type="expression" dxfId="11242" priority="53587">
      <formula>$H1139="ETAPA"</formula>
    </cfRule>
  </conditionalFormatting>
  <conditionalFormatting sqref="O1144:O1145">
    <cfRule type="expression" dxfId="11241" priority="51013">
      <formula>$H1144="SUBETAPA"</formula>
    </cfRule>
    <cfRule type="expression" dxfId="11240" priority="51014">
      <formula>$H1144="CÉLULA CONSTRUTIVA"</formula>
    </cfRule>
    <cfRule type="expression" dxfId="11239" priority="51015">
      <formula>$H1144="ETAPA"</formula>
    </cfRule>
  </conditionalFormatting>
  <conditionalFormatting sqref="O1147">
    <cfRule type="expression" dxfId="11238" priority="51510">
      <formula>$H1147="SUBETAPA"</formula>
    </cfRule>
    <cfRule type="expression" dxfId="11237" priority="51511">
      <formula>$H1147="CÉLULA CONSTRUTIVA"</formula>
    </cfRule>
    <cfRule type="expression" dxfId="11236" priority="51512">
      <formula>$H1147="ETAPA"</formula>
    </cfRule>
  </conditionalFormatting>
  <conditionalFormatting sqref="O1150 O1152 O1142:O1143 O1148 O1146">
    <cfRule type="expression" dxfId="11235" priority="53592">
      <formula>$H1142="SUBETAPA"</formula>
    </cfRule>
    <cfRule type="expression" dxfId="11234" priority="53593">
      <formula>$H1142="CÉLULA CONSTRUTIVA"</formula>
    </cfRule>
    <cfRule type="expression" dxfId="11233" priority="53594">
      <formula>$H1142="ETAPA"</formula>
    </cfRule>
  </conditionalFormatting>
  <conditionalFormatting sqref="O1154">
    <cfRule type="expression" dxfId="11232" priority="58344">
      <formula>$H1154="CÉLULA CONSTRUTIVA"</formula>
    </cfRule>
    <cfRule type="expression" dxfId="11231" priority="58345">
      <formula>$H1154="ETAPA"</formula>
    </cfRule>
    <cfRule type="expression" dxfId="11230" priority="58346">
      <formula>$H1154="SUBETAPA"</formula>
    </cfRule>
  </conditionalFormatting>
  <conditionalFormatting sqref="O1239">
    <cfRule type="expression" dxfId="11229" priority="58341">
      <formula>$H1239="CÉLULA CONSTRUTIVA"</formula>
    </cfRule>
    <cfRule type="expression" dxfId="11228" priority="58342">
      <formula>$H1239="ETAPA"</formula>
    </cfRule>
    <cfRule type="expression" dxfId="11227" priority="58343">
      <formula>$H1239="SUBETAPA"</formula>
    </cfRule>
  </conditionalFormatting>
  <conditionalFormatting sqref="O1240:O1241">
    <cfRule type="expression" dxfId="11226" priority="86985">
      <formula>$H1240="SUBETAPA"</formula>
    </cfRule>
    <cfRule type="expression" dxfId="11225" priority="86986">
      <formula>$H1240="CÉLULA CONSTRUTIVA"</formula>
    </cfRule>
    <cfRule type="expression" dxfId="11224" priority="86987">
      <formula>$H1240="ETAPA"</formula>
    </cfRule>
  </conditionalFormatting>
  <conditionalFormatting sqref="O1245:O1246">
    <cfRule type="expression" dxfId="11223" priority="3554">
      <formula>$H1245="ETAPA"</formula>
    </cfRule>
    <cfRule type="expression" dxfId="11222" priority="3555">
      <formula>$H1245="SUBETAPA"</formula>
    </cfRule>
    <cfRule type="expression" dxfId="11221" priority="3556">
      <formula>$H1245="ETAPA"</formula>
    </cfRule>
    <cfRule type="expression" dxfId="11220" priority="3557">
      <formula>$H1245="SUBETAPA"</formula>
    </cfRule>
    <cfRule type="expression" dxfId="11219" priority="3558">
      <formula>$H1245="ETAPA"</formula>
    </cfRule>
    <cfRule type="expression" dxfId="11218" priority="3559">
      <formula>$H1245="SUBETAPA"</formula>
    </cfRule>
    <cfRule type="expression" dxfId="11217" priority="3560">
      <formula>$H1245="CÉLULA CONSTRUTIVA"</formula>
    </cfRule>
  </conditionalFormatting>
  <conditionalFormatting sqref="O1249">
    <cfRule type="expression" dxfId="11216" priority="3561">
      <formula>$H1249="ETAPA"</formula>
    </cfRule>
    <cfRule type="expression" dxfId="11215" priority="3562">
      <formula>$H1249="SUBETAPA"</formula>
    </cfRule>
    <cfRule type="expression" dxfId="11214" priority="3563">
      <formula>$H1249="ETAPA"</formula>
    </cfRule>
    <cfRule type="expression" dxfId="11213" priority="3564">
      <formula>$H1249="SUBETAPA"</formula>
    </cfRule>
    <cfRule type="expression" dxfId="11212" priority="3565">
      <formula>$H1249="ETAPA"</formula>
    </cfRule>
    <cfRule type="expression" dxfId="11211" priority="3566">
      <formula>$H1249="SUBETAPA"</formula>
    </cfRule>
    <cfRule type="expression" dxfId="11210" priority="3567">
      <formula>$H1249="CÉLULA CONSTRUTIVA"</formula>
    </cfRule>
  </conditionalFormatting>
  <conditionalFormatting sqref="O1250 O620:O621 O1242:O1243">
    <cfRule type="expression" dxfId="11209" priority="86950">
      <formula>$H620="SUBETAPA"</formula>
    </cfRule>
    <cfRule type="expression" dxfId="11208" priority="86951">
      <formula>$H620="CÉLULA CONSTRUTIVA"</formula>
    </cfRule>
  </conditionalFormatting>
  <conditionalFormatting sqref="O1252">
    <cfRule type="expression" dxfId="11207" priority="58338">
      <formula>$H1252="CÉLULA CONSTRUTIVA"</formula>
    </cfRule>
    <cfRule type="expression" dxfId="11206" priority="58339">
      <formula>$H1252="ETAPA"</formula>
    </cfRule>
    <cfRule type="expression" dxfId="11205" priority="58340">
      <formula>$H1252="SUBETAPA"</formula>
    </cfRule>
  </conditionalFormatting>
  <conditionalFormatting sqref="O1253:O1254 O1257">
    <cfRule type="expression" dxfId="11204" priority="2694">
      <formula>$H1253="ETAPA"</formula>
    </cfRule>
  </conditionalFormatting>
  <conditionalFormatting sqref="O1255:O1256">
    <cfRule type="expression" dxfId="11203" priority="2687">
      <formula>$H1255="ETAPA"</formula>
    </cfRule>
    <cfRule type="expression" dxfId="11202" priority="2688">
      <formula>$H1255="SUBETAPA"</formula>
    </cfRule>
    <cfRule type="expression" dxfId="11201" priority="2689">
      <formula>$H1255="ETAPA"</formula>
    </cfRule>
    <cfRule type="expression" dxfId="11200" priority="2690">
      <formula>$H1255="SUBETAPA"</formula>
    </cfRule>
    <cfRule type="expression" dxfId="11199" priority="2691">
      <formula>$H1255="ETAPA"</formula>
    </cfRule>
    <cfRule type="expression" dxfId="11198" priority="2692">
      <formula>$H1255="SUBETAPA"</formula>
    </cfRule>
    <cfRule type="expression" dxfId="11197" priority="2693">
      <formula>$H1255="CÉLULA CONSTRUTIVA"</formula>
    </cfRule>
  </conditionalFormatting>
  <conditionalFormatting sqref="O1257 O1253:O1254">
    <cfRule type="expression" dxfId="11196" priority="2685">
      <formula>$H1253="SUBETAPA"</formula>
    </cfRule>
    <cfRule type="expression" dxfId="11195" priority="2686">
      <formula>$H1253="CÉLULA CONSTRUTIVA"</formula>
    </cfRule>
  </conditionalFormatting>
  <conditionalFormatting sqref="O1259">
    <cfRule type="expression" dxfId="11194" priority="2682">
      <formula>$H1259="SUBETAPA"</formula>
    </cfRule>
    <cfRule type="expression" dxfId="11193" priority="2683">
      <formula>$H1259="CÉLULA CONSTRUTIVA"</formula>
    </cfRule>
    <cfRule type="expression" dxfId="11192" priority="2684">
      <formula>$H1259="ETAPA"</formula>
    </cfRule>
  </conditionalFormatting>
  <conditionalFormatting sqref="O1260">
    <cfRule type="expression" dxfId="11191" priority="2679">
      <formula>$H1260="ETAPA"</formula>
    </cfRule>
    <cfRule type="expression" dxfId="11190" priority="2680">
      <formula>$H1260="SUBETAPA"</formula>
    </cfRule>
    <cfRule type="expression" dxfId="11189" priority="2681">
      <formula>$H1260="CÉLULA CONSTRUTIVA"</formula>
    </cfRule>
  </conditionalFormatting>
  <conditionalFormatting sqref="O1261">
    <cfRule type="expression" dxfId="11188" priority="2658">
      <formula>$H1261="ETAPA"</formula>
    </cfRule>
    <cfRule type="expression" dxfId="11187" priority="2659">
      <formula>$H1261="SUBETAPA"</formula>
    </cfRule>
    <cfRule type="expression" dxfId="11186" priority="2660">
      <formula>$H1261="ETAPA"</formula>
    </cfRule>
    <cfRule type="expression" dxfId="11185" priority="2661">
      <formula>$H1261="SUBETAPA"</formula>
    </cfRule>
    <cfRule type="expression" dxfId="11184" priority="2662">
      <formula>$H1261="ETAPA"</formula>
    </cfRule>
    <cfRule type="expression" dxfId="11183" priority="2663">
      <formula>$H1261="SUBETAPA"</formula>
    </cfRule>
    <cfRule type="expression" dxfId="11182" priority="2664">
      <formula>$H1261="CÉLULA CONSTRUTIVA"</formula>
    </cfRule>
  </conditionalFormatting>
  <conditionalFormatting sqref="O1262:O1266">
    <cfRule type="expression" dxfId="11181" priority="2676">
      <formula>$H1262="SUBETAPA"</formula>
    </cfRule>
    <cfRule type="expression" dxfId="11180" priority="2677">
      <formula>$H1262="CÉLULA CONSTRUTIVA"</formula>
    </cfRule>
    <cfRule type="expression" dxfId="11179" priority="2678">
      <formula>$H1262="ETAPA"</formula>
    </cfRule>
  </conditionalFormatting>
  <conditionalFormatting sqref="O1267:O1268 O1271">
    <cfRule type="expression" dxfId="11178" priority="2763">
      <formula>$H1267="ETAPA"</formula>
    </cfRule>
  </conditionalFormatting>
  <conditionalFormatting sqref="O1269:O1270">
    <cfRule type="expression" dxfId="11177" priority="2756">
      <formula>$H1269="ETAPA"</formula>
    </cfRule>
    <cfRule type="expression" dxfId="11176" priority="2757">
      <formula>$H1269="SUBETAPA"</formula>
    </cfRule>
    <cfRule type="expression" dxfId="11175" priority="2758">
      <formula>$H1269="ETAPA"</formula>
    </cfRule>
    <cfRule type="expression" dxfId="11174" priority="2759">
      <formula>$H1269="SUBETAPA"</formula>
    </cfRule>
    <cfRule type="expression" dxfId="11173" priority="2760">
      <formula>$H1269="ETAPA"</formula>
    </cfRule>
    <cfRule type="expression" dxfId="11172" priority="2761">
      <formula>$H1269="SUBETAPA"</formula>
    </cfRule>
    <cfRule type="expression" dxfId="11171" priority="2762">
      <formula>$H1269="CÉLULA CONSTRUTIVA"</formula>
    </cfRule>
  </conditionalFormatting>
  <conditionalFormatting sqref="O1271 O1267:O1268">
    <cfRule type="expression" dxfId="11170" priority="2754">
      <formula>$H1267="SUBETAPA"</formula>
    </cfRule>
    <cfRule type="expression" dxfId="11169" priority="2755">
      <formula>$H1267="CÉLULA CONSTRUTIVA"</formula>
    </cfRule>
  </conditionalFormatting>
  <conditionalFormatting sqref="O1273">
    <cfRule type="expression" dxfId="11168" priority="2751">
      <formula>$H1273="SUBETAPA"</formula>
    </cfRule>
    <cfRule type="expression" dxfId="11167" priority="2752">
      <formula>$H1273="CÉLULA CONSTRUTIVA"</formula>
    </cfRule>
    <cfRule type="expression" dxfId="11166" priority="2753">
      <formula>$H1273="ETAPA"</formula>
    </cfRule>
  </conditionalFormatting>
  <conditionalFormatting sqref="O1274">
    <cfRule type="expression" dxfId="11165" priority="2748">
      <formula>$H1274="ETAPA"</formula>
    </cfRule>
    <cfRule type="expression" dxfId="11164" priority="2749">
      <formula>$H1274="SUBETAPA"</formula>
    </cfRule>
    <cfRule type="expression" dxfId="11163" priority="2750">
      <formula>$H1274="CÉLULA CONSTRUTIVA"</formula>
    </cfRule>
  </conditionalFormatting>
  <conditionalFormatting sqref="O1275">
    <cfRule type="expression" dxfId="11162" priority="2727">
      <formula>$H1275="ETAPA"</formula>
    </cfRule>
    <cfRule type="expression" dxfId="11161" priority="2728">
      <formula>$H1275="SUBETAPA"</formula>
    </cfRule>
    <cfRule type="expression" dxfId="11160" priority="2729">
      <formula>$H1275="ETAPA"</formula>
    </cfRule>
    <cfRule type="expression" dxfId="11159" priority="2730">
      <formula>$H1275="SUBETAPA"</formula>
    </cfRule>
    <cfRule type="expression" dxfId="11158" priority="2731">
      <formula>$H1275="ETAPA"</formula>
    </cfRule>
    <cfRule type="expression" dxfId="11157" priority="2732">
      <formula>$H1275="SUBETAPA"</formula>
    </cfRule>
    <cfRule type="expression" dxfId="11156" priority="2733">
      <formula>$H1275="CÉLULA CONSTRUTIVA"</formula>
    </cfRule>
  </conditionalFormatting>
  <conditionalFormatting sqref="O1276:O1280">
    <cfRule type="expression" dxfId="11155" priority="2745">
      <formula>$H1276="SUBETAPA"</formula>
    </cfRule>
    <cfRule type="expression" dxfId="11154" priority="2746">
      <formula>$H1276="CÉLULA CONSTRUTIVA"</formula>
    </cfRule>
    <cfRule type="expression" dxfId="11153" priority="2747">
      <formula>$H1276="ETAPA"</formula>
    </cfRule>
  </conditionalFormatting>
  <conditionalFormatting sqref="O1281:O1282 O1285">
    <cfRule type="expression" dxfId="11152" priority="2832">
      <formula>$H1281="ETAPA"</formula>
    </cfRule>
  </conditionalFormatting>
  <conditionalFormatting sqref="O1283:O1284">
    <cfRule type="expression" dxfId="11151" priority="2825">
      <formula>$H1283="ETAPA"</formula>
    </cfRule>
    <cfRule type="expression" dxfId="11150" priority="2826">
      <formula>$H1283="SUBETAPA"</formula>
    </cfRule>
    <cfRule type="expression" dxfId="11149" priority="2827">
      <formula>$H1283="ETAPA"</formula>
    </cfRule>
    <cfRule type="expression" dxfId="11148" priority="2828">
      <formula>$H1283="SUBETAPA"</formula>
    </cfRule>
    <cfRule type="expression" dxfId="11147" priority="2829">
      <formula>$H1283="ETAPA"</formula>
    </cfRule>
    <cfRule type="expression" dxfId="11146" priority="2830">
      <formula>$H1283="SUBETAPA"</formula>
    </cfRule>
    <cfRule type="expression" dxfId="11145" priority="2831">
      <formula>$H1283="CÉLULA CONSTRUTIVA"</formula>
    </cfRule>
  </conditionalFormatting>
  <conditionalFormatting sqref="O1285 O1281:O1282">
    <cfRule type="expression" dxfId="11144" priority="2823">
      <formula>$H1281="SUBETAPA"</formula>
    </cfRule>
    <cfRule type="expression" dxfId="11143" priority="2824">
      <formula>$H1281="CÉLULA CONSTRUTIVA"</formula>
    </cfRule>
  </conditionalFormatting>
  <conditionalFormatting sqref="O1287">
    <cfRule type="expression" dxfId="11142" priority="2820">
      <formula>$H1287="SUBETAPA"</formula>
    </cfRule>
    <cfRule type="expression" dxfId="11141" priority="2821">
      <formula>$H1287="CÉLULA CONSTRUTIVA"</formula>
    </cfRule>
    <cfRule type="expression" dxfId="11140" priority="2822">
      <formula>$H1287="ETAPA"</formula>
    </cfRule>
  </conditionalFormatting>
  <conditionalFormatting sqref="O1288">
    <cfRule type="expression" dxfId="11139" priority="2817">
      <formula>$H1288="ETAPA"</formula>
    </cfRule>
    <cfRule type="expression" dxfId="11138" priority="2818">
      <formula>$H1288="SUBETAPA"</formula>
    </cfRule>
    <cfRule type="expression" dxfId="11137" priority="2819">
      <formula>$H1288="CÉLULA CONSTRUTIVA"</formula>
    </cfRule>
  </conditionalFormatting>
  <conditionalFormatting sqref="O1289">
    <cfRule type="expression" dxfId="11136" priority="2796">
      <formula>$H1289="ETAPA"</formula>
    </cfRule>
    <cfRule type="expression" dxfId="11135" priority="2797">
      <formula>$H1289="SUBETAPA"</formula>
    </cfRule>
    <cfRule type="expression" dxfId="11134" priority="2798">
      <formula>$H1289="ETAPA"</formula>
    </cfRule>
    <cfRule type="expression" dxfId="11133" priority="2799">
      <formula>$H1289="SUBETAPA"</formula>
    </cfRule>
    <cfRule type="expression" dxfId="11132" priority="2800">
      <formula>$H1289="ETAPA"</formula>
    </cfRule>
    <cfRule type="expression" dxfId="11131" priority="2801">
      <formula>$H1289="SUBETAPA"</formula>
    </cfRule>
    <cfRule type="expression" dxfId="11130" priority="2802">
      <formula>$H1289="CÉLULA CONSTRUTIVA"</formula>
    </cfRule>
  </conditionalFormatting>
  <conditionalFormatting sqref="O1290:O1294">
    <cfRule type="expression" dxfId="11129" priority="2814">
      <formula>$H1290="SUBETAPA"</formula>
    </cfRule>
    <cfRule type="expression" dxfId="11128" priority="2815">
      <formula>$H1290="CÉLULA CONSTRUTIVA"</formula>
    </cfRule>
    <cfRule type="expression" dxfId="11127" priority="2816">
      <formula>$H1290="ETAPA"</formula>
    </cfRule>
  </conditionalFormatting>
  <conditionalFormatting sqref="O1295:O1296 O1299">
    <cfRule type="expression" dxfId="11126" priority="2901">
      <formula>$H1295="ETAPA"</formula>
    </cfRule>
  </conditionalFormatting>
  <conditionalFormatting sqref="O1297:O1298">
    <cfRule type="expression" dxfId="11125" priority="2894">
      <formula>$H1297="ETAPA"</formula>
    </cfRule>
    <cfRule type="expression" dxfId="11124" priority="2895">
      <formula>$H1297="SUBETAPA"</formula>
    </cfRule>
    <cfRule type="expression" dxfId="11123" priority="2896">
      <formula>$H1297="ETAPA"</formula>
    </cfRule>
    <cfRule type="expression" dxfId="11122" priority="2897">
      <formula>$H1297="SUBETAPA"</formula>
    </cfRule>
    <cfRule type="expression" dxfId="11121" priority="2898">
      <formula>$H1297="ETAPA"</formula>
    </cfRule>
    <cfRule type="expression" dxfId="11120" priority="2899">
      <formula>$H1297="SUBETAPA"</formula>
    </cfRule>
    <cfRule type="expression" dxfId="11119" priority="2900">
      <formula>$H1297="CÉLULA CONSTRUTIVA"</formula>
    </cfRule>
  </conditionalFormatting>
  <conditionalFormatting sqref="O1299 O1295:O1296">
    <cfRule type="expression" dxfId="11118" priority="2892">
      <formula>$H1295="SUBETAPA"</formula>
    </cfRule>
    <cfRule type="expression" dxfId="11117" priority="2893">
      <formula>$H1295="CÉLULA CONSTRUTIVA"</formula>
    </cfRule>
  </conditionalFormatting>
  <conditionalFormatting sqref="O1301">
    <cfRule type="expression" dxfId="11116" priority="2889">
      <formula>$H1301="SUBETAPA"</formula>
    </cfRule>
    <cfRule type="expression" dxfId="11115" priority="2890">
      <formula>$H1301="CÉLULA CONSTRUTIVA"</formula>
    </cfRule>
    <cfRule type="expression" dxfId="11114" priority="2891">
      <formula>$H1301="ETAPA"</formula>
    </cfRule>
  </conditionalFormatting>
  <conditionalFormatting sqref="O1302">
    <cfRule type="expression" dxfId="11113" priority="2886">
      <formula>$H1302="ETAPA"</formula>
    </cfRule>
    <cfRule type="expression" dxfId="11112" priority="2887">
      <formula>$H1302="SUBETAPA"</formula>
    </cfRule>
    <cfRule type="expression" dxfId="11111" priority="2888">
      <formula>$H1302="CÉLULA CONSTRUTIVA"</formula>
    </cfRule>
  </conditionalFormatting>
  <conditionalFormatting sqref="O1303">
    <cfRule type="expression" dxfId="11110" priority="2865">
      <formula>$H1303="ETAPA"</formula>
    </cfRule>
    <cfRule type="expression" dxfId="11109" priority="2866">
      <formula>$H1303="SUBETAPA"</formula>
    </cfRule>
    <cfRule type="expression" dxfId="11108" priority="2867">
      <formula>$H1303="ETAPA"</formula>
    </cfRule>
    <cfRule type="expression" dxfId="11107" priority="2868">
      <formula>$H1303="SUBETAPA"</formula>
    </cfRule>
    <cfRule type="expression" dxfId="11106" priority="2869">
      <formula>$H1303="ETAPA"</formula>
    </cfRule>
    <cfRule type="expression" dxfId="11105" priority="2870">
      <formula>$H1303="SUBETAPA"</formula>
    </cfRule>
    <cfRule type="expression" dxfId="11104" priority="2871">
      <formula>$H1303="CÉLULA CONSTRUTIVA"</formula>
    </cfRule>
  </conditionalFormatting>
  <conditionalFormatting sqref="O1304:O1308">
    <cfRule type="expression" dxfId="11103" priority="2883">
      <formula>$H1304="SUBETAPA"</formula>
    </cfRule>
    <cfRule type="expression" dxfId="11102" priority="2884">
      <formula>$H1304="CÉLULA CONSTRUTIVA"</formula>
    </cfRule>
    <cfRule type="expression" dxfId="11101" priority="2885">
      <formula>$H1304="ETAPA"</formula>
    </cfRule>
  </conditionalFormatting>
  <conditionalFormatting sqref="O1309:O1310 O1313">
    <cfRule type="expression" dxfId="11100" priority="2970">
      <formula>$H1309="ETAPA"</formula>
    </cfRule>
  </conditionalFormatting>
  <conditionalFormatting sqref="O1311:O1312">
    <cfRule type="expression" dxfId="11099" priority="2963">
      <formula>$H1311="ETAPA"</formula>
    </cfRule>
    <cfRule type="expression" dxfId="11098" priority="2964">
      <formula>$H1311="SUBETAPA"</formula>
    </cfRule>
    <cfRule type="expression" dxfId="11097" priority="2965">
      <formula>$H1311="ETAPA"</formula>
    </cfRule>
    <cfRule type="expression" dxfId="11096" priority="2966">
      <formula>$H1311="SUBETAPA"</formula>
    </cfRule>
    <cfRule type="expression" dxfId="11095" priority="2967">
      <formula>$H1311="ETAPA"</formula>
    </cfRule>
    <cfRule type="expression" dxfId="11094" priority="2968">
      <formula>$H1311="SUBETAPA"</formula>
    </cfRule>
    <cfRule type="expression" dxfId="11093" priority="2969">
      <formula>$H1311="CÉLULA CONSTRUTIVA"</formula>
    </cfRule>
  </conditionalFormatting>
  <conditionalFormatting sqref="O1313 O1309:O1310">
    <cfRule type="expression" dxfId="11092" priority="2961">
      <formula>$H1309="SUBETAPA"</formula>
    </cfRule>
    <cfRule type="expression" dxfId="11091" priority="2962">
      <formula>$H1309="CÉLULA CONSTRUTIVA"</formula>
    </cfRule>
  </conditionalFormatting>
  <conditionalFormatting sqref="O1315">
    <cfRule type="expression" dxfId="11090" priority="2958">
      <formula>$H1315="SUBETAPA"</formula>
    </cfRule>
    <cfRule type="expression" dxfId="11089" priority="2959">
      <formula>$H1315="CÉLULA CONSTRUTIVA"</formula>
    </cfRule>
    <cfRule type="expression" dxfId="11088" priority="2960">
      <formula>$H1315="ETAPA"</formula>
    </cfRule>
  </conditionalFormatting>
  <conditionalFormatting sqref="O1316">
    <cfRule type="expression" dxfId="11087" priority="2955">
      <formula>$H1316="ETAPA"</formula>
    </cfRule>
    <cfRule type="expression" dxfId="11086" priority="2956">
      <formula>$H1316="SUBETAPA"</formula>
    </cfRule>
    <cfRule type="expression" dxfId="11085" priority="2957">
      <formula>$H1316="CÉLULA CONSTRUTIVA"</formula>
    </cfRule>
  </conditionalFormatting>
  <conditionalFormatting sqref="O1317">
    <cfRule type="expression" dxfId="11084" priority="2934">
      <formula>$H1317="ETAPA"</formula>
    </cfRule>
    <cfRule type="expression" dxfId="11083" priority="2935">
      <formula>$H1317="SUBETAPA"</formula>
    </cfRule>
    <cfRule type="expression" dxfId="11082" priority="2936">
      <formula>$H1317="ETAPA"</formula>
    </cfRule>
    <cfRule type="expression" dxfId="11081" priority="2937">
      <formula>$H1317="SUBETAPA"</formula>
    </cfRule>
    <cfRule type="expression" dxfId="11080" priority="2938">
      <formula>$H1317="ETAPA"</formula>
    </cfRule>
    <cfRule type="expression" dxfId="11079" priority="2939">
      <formula>$H1317="SUBETAPA"</formula>
    </cfRule>
    <cfRule type="expression" dxfId="11078" priority="2940">
      <formula>$H1317="CÉLULA CONSTRUTIVA"</formula>
    </cfRule>
  </conditionalFormatting>
  <conditionalFormatting sqref="O1318:O1322">
    <cfRule type="expression" dxfId="11077" priority="2952">
      <formula>$H1318="SUBETAPA"</formula>
    </cfRule>
    <cfRule type="expression" dxfId="11076" priority="2953">
      <formula>$H1318="CÉLULA CONSTRUTIVA"</formula>
    </cfRule>
    <cfRule type="expression" dxfId="11075" priority="2954">
      <formula>$H1318="ETAPA"</formula>
    </cfRule>
  </conditionalFormatting>
  <conditionalFormatting sqref="O1323:O1324 O1327">
    <cfRule type="expression" dxfId="11074" priority="3039">
      <formula>$H1323="ETAPA"</formula>
    </cfRule>
  </conditionalFormatting>
  <conditionalFormatting sqref="O1325:O1326">
    <cfRule type="expression" dxfId="11073" priority="3032">
      <formula>$H1325="ETAPA"</formula>
    </cfRule>
    <cfRule type="expression" dxfId="11072" priority="3033">
      <formula>$H1325="SUBETAPA"</formula>
    </cfRule>
    <cfRule type="expression" dxfId="11071" priority="3034">
      <formula>$H1325="ETAPA"</formula>
    </cfRule>
    <cfRule type="expression" dxfId="11070" priority="3035">
      <formula>$H1325="SUBETAPA"</formula>
    </cfRule>
    <cfRule type="expression" dxfId="11069" priority="3036">
      <formula>$H1325="ETAPA"</formula>
    </cfRule>
    <cfRule type="expression" dxfId="11068" priority="3037">
      <formula>$H1325="SUBETAPA"</formula>
    </cfRule>
    <cfRule type="expression" dxfId="11067" priority="3038">
      <formula>$H1325="CÉLULA CONSTRUTIVA"</formula>
    </cfRule>
  </conditionalFormatting>
  <conditionalFormatting sqref="O1327 O1323:O1324">
    <cfRule type="expression" dxfId="11066" priority="3030">
      <formula>$H1323="SUBETAPA"</formula>
    </cfRule>
    <cfRule type="expression" dxfId="11065" priority="3031">
      <formula>$H1323="CÉLULA CONSTRUTIVA"</formula>
    </cfRule>
  </conditionalFormatting>
  <conditionalFormatting sqref="O1329">
    <cfRule type="expression" dxfId="11064" priority="3027">
      <formula>$H1329="SUBETAPA"</formula>
    </cfRule>
    <cfRule type="expression" dxfId="11063" priority="3028">
      <formula>$H1329="CÉLULA CONSTRUTIVA"</formula>
    </cfRule>
    <cfRule type="expression" dxfId="11062" priority="3029">
      <formula>$H1329="ETAPA"</formula>
    </cfRule>
  </conditionalFormatting>
  <conditionalFormatting sqref="O1330">
    <cfRule type="expression" dxfId="11061" priority="3024">
      <formula>$H1330="ETAPA"</formula>
    </cfRule>
    <cfRule type="expression" dxfId="11060" priority="3025">
      <formula>$H1330="SUBETAPA"</formula>
    </cfRule>
    <cfRule type="expression" dxfId="11059" priority="3026">
      <formula>$H1330="CÉLULA CONSTRUTIVA"</formula>
    </cfRule>
  </conditionalFormatting>
  <conditionalFormatting sqref="O1331">
    <cfRule type="expression" dxfId="11058" priority="3003">
      <formula>$H1331="ETAPA"</formula>
    </cfRule>
    <cfRule type="expression" dxfId="11057" priority="3004">
      <formula>$H1331="SUBETAPA"</formula>
    </cfRule>
    <cfRule type="expression" dxfId="11056" priority="3005">
      <formula>$H1331="ETAPA"</formula>
    </cfRule>
    <cfRule type="expression" dxfId="11055" priority="3006">
      <formula>$H1331="SUBETAPA"</formula>
    </cfRule>
    <cfRule type="expression" dxfId="11054" priority="3007">
      <formula>$H1331="ETAPA"</formula>
    </cfRule>
    <cfRule type="expression" dxfId="11053" priority="3008">
      <formula>$H1331="SUBETAPA"</formula>
    </cfRule>
    <cfRule type="expression" dxfId="11052" priority="3009">
      <formula>$H1331="CÉLULA CONSTRUTIVA"</formula>
    </cfRule>
  </conditionalFormatting>
  <conditionalFormatting sqref="O1332:O1336">
    <cfRule type="expression" dxfId="11051" priority="3021">
      <formula>$H1332="SUBETAPA"</formula>
    </cfRule>
    <cfRule type="expression" dxfId="11050" priority="3022">
      <formula>$H1332="CÉLULA CONSTRUTIVA"</formula>
    </cfRule>
    <cfRule type="expression" dxfId="11049" priority="3023">
      <formula>$H1332="ETAPA"</formula>
    </cfRule>
  </conditionalFormatting>
  <conditionalFormatting sqref="O1337:O1338 O1341">
    <cfRule type="expression" dxfId="11048" priority="3108">
      <formula>$H1337="ETAPA"</formula>
    </cfRule>
  </conditionalFormatting>
  <conditionalFormatting sqref="O1339:O1340">
    <cfRule type="expression" dxfId="11047" priority="3101">
      <formula>$H1339="ETAPA"</formula>
    </cfRule>
    <cfRule type="expression" dxfId="11046" priority="3102">
      <formula>$H1339="SUBETAPA"</formula>
    </cfRule>
    <cfRule type="expression" dxfId="11045" priority="3103">
      <formula>$H1339="ETAPA"</formula>
    </cfRule>
    <cfRule type="expression" dxfId="11044" priority="3104">
      <formula>$H1339="SUBETAPA"</formula>
    </cfRule>
    <cfRule type="expression" dxfId="11043" priority="3105">
      <formula>$H1339="ETAPA"</formula>
    </cfRule>
    <cfRule type="expression" dxfId="11042" priority="3106">
      <formula>$H1339="SUBETAPA"</formula>
    </cfRule>
    <cfRule type="expression" dxfId="11041" priority="3107">
      <formula>$H1339="CÉLULA CONSTRUTIVA"</formula>
    </cfRule>
  </conditionalFormatting>
  <conditionalFormatting sqref="O1341 O1337:O1338">
    <cfRule type="expression" dxfId="11040" priority="3099">
      <formula>$H1337="SUBETAPA"</formula>
    </cfRule>
    <cfRule type="expression" dxfId="11039" priority="3100">
      <formula>$H1337="CÉLULA CONSTRUTIVA"</formula>
    </cfRule>
  </conditionalFormatting>
  <conditionalFormatting sqref="O1343">
    <cfRule type="expression" dxfId="11038" priority="3096">
      <formula>$H1343="SUBETAPA"</formula>
    </cfRule>
    <cfRule type="expression" dxfId="11037" priority="3097">
      <formula>$H1343="CÉLULA CONSTRUTIVA"</formula>
    </cfRule>
    <cfRule type="expression" dxfId="11036" priority="3098">
      <formula>$H1343="ETAPA"</formula>
    </cfRule>
  </conditionalFormatting>
  <conditionalFormatting sqref="O1344">
    <cfRule type="expression" dxfId="11035" priority="3093">
      <formula>$H1344="ETAPA"</formula>
    </cfRule>
    <cfRule type="expression" dxfId="11034" priority="3094">
      <formula>$H1344="SUBETAPA"</formula>
    </cfRule>
    <cfRule type="expression" dxfId="11033" priority="3095">
      <formula>$H1344="CÉLULA CONSTRUTIVA"</formula>
    </cfRule>
  </conditionalFormatting>
  <conditionalFormatting sqref="O1345">
    <cfRule type="expression" dxfId="11032" priority="3072">
      <formula>$H1345="ETAPA"</formula>
    </cfRule>
    <cfRule type="expression" dxfId="11031" priority="3073">
      <formula>$H1345="SUBETAPA"</formula>
    </cfRule>
    <cfRule type="expression" dxfId="11030" priority="3074">
      <formula>$H1345="ETAPA"</formula>
    </cfRule>
    <cfRule type="expression" dxfId="11029" priority="3075">
      <formula>$H1345="SUBETAPA"</formula>
    </cfRule>
    <cfRule type="expression" dxfId="11028" priority="3076">
      <formula>$H1345="ETAPA"</formula>
    </cfRule>
    <cfRule type="expression" dxfId="11027" priority="3077">
      <formula>$H1345="SUBETAPA"</formula>
    </cfRule>
    <cfRule type="expression" dxfId="11026" priority="3078">
      <formula>$H1345="CÉLULA CONSTRUTIVA"</formula>
    </cfRule>
  </conditionalFormatting>
  <conditionalFormatting sqref="O1346:O1350">
    <cfRule type="expression" dxfId="11025" priority="3090">
      <formula>$H1346="SUBETAPA"</formula>
    </cfRule>
    <cfRule type="expression" dxfId="11024" priority="3091">
      <formula>$H1346="CÉLULA CONSTRUTIVA"</formula>
    </cfRule>
    <cfRule type="expression" dxfId="11023" priority="3092">
      <formula>$H1346="ETAPA"</formula>
    </cfRule>
  </conditionalFormatting>
  <conditionalFormatting sqref="O1351:O1352 O1355">
    <cfRule type="expression" dxfId="11022" priority="86699">
      <formula>$H1351="ETAPA"</formula>
    </cfRule>
  </conditionalFormatting>
  <conditionalFormatting sqref="O1353:O1354">
    <cfRule type="expression" dxfId="11021" priority="3547">
      <formula>$H1353="ETAPA"</formula>
    </cfRule>
    <cfRule type="expression" dxfId="11020" priority="3548">
      <formula>$H1353="SUBETAPA"</formula>
    </cfRule>
    <cfRule type="expression" dxfId="11019" priority="3549">
      <formula>$H1353="ETAPA"</formula>
    </cfRule>
    <cfRule type="expression" dxfId="11018" priority="3550">
      <formula>$H1353="SUBETAPA"</formula>
    </cfRule>
    <cfRule type="expression" dxfId="11017" priority="3551">
      <formula>$H1353="ETAPA"</formula>
    </cfRule>
    <cfRule type="expression" dxfId="11016" priority="3552">
      <formula>$H1353="SUBETAPA"</formula>
    </cfRule>
    <cfRule type="expression" dxfId="11015" priority="3553">
      <formula>$H1353="CÉLULA CONSTRUTIVA"</formula>
    </cfRule>
  </conditionalFormatting>
  <conditionalFormatting sqref="O1355 O1351:O1352">
    <cfRule type="expression" dxfId="11014" priority="86697">
      <formula>$H1351="SUBETAPA"</formula>
    </cfRule>
    <cfRule type="expression" dxfId="11013" priority="86698">
      <formula>$H1351="CÉLULA CONSTRUTIVA"</formula>
    </cfRule>
  </conditionalFormatting>
  <conditionalFormatting sqref="O1357">
    <cfRule type="expression" dxfId="11012" priority="59896">
      <formula>$H1357="SUBETAPA"</formula>
    </cfRule>
    <cfRule type="expression" dxfId="11011" priority="59897">
      <formula>$H1357="CÉLULA CONSTRUTIVA"</formula>
    </cfRule>
    <cfRule type="expression" dxfId="11010" priority="59898">
      <formula>$H1357="ETAPA"</formula>
    </cfRule>
  </conditionalFormatting>
  <conditionalFormatting sqref="O1358">
    <cfRule type="expression" dxfId="11009" priority="3537">
      <formula>$H1358="ETAPA"</formula>
    </cfRule>
    <cfRule type="expression" dxfId="11008" priority="3538">
      <formula>$H1358="SUBETAPA"</formula>
    </cfRule>
    <cfRule type="expression" dxfId="11007" priority="3539">
      <formula>$H1358="CÉLULA CONSTRUTIVA"</formula>
    </cfRule>
  </conditionalFormatting>
  <conditionalFormatting sqref="O1359">
    <cfRule type="expression" dxfId="11006" priority="3141">
      <formula>$H1359="ETAPA"</formula>
    </cfRule>
    <cfRule type="expression" dxfId="11005" priority="3142">
      <formula>$H1359="SUBETAPA"</formula>
    </cfRule>
    <cfRule type="expression" dxfId="11004" priority="3143">
      <formula>$H1359="ETAPA"</formula>
    </cfRule>
    <cfRule type="expression" dxfId="11003" priority="3144">
      <formula>$H1359="SUBETAPA"</formula>
    </cfRule>
    <cfRule type="expression" dxfId="11002" priority="3145">
      <formula>$H1359="ETAPA"</formula>
    </cfRule>
    <cfRule type="expression" dxfId="11001" priority="3146">
      <formula>$H1359="SUBETAPA"</formula>
    </cfRule>
    <cfRule type="expression" dxfId="11000" priority="3147">
      <formula>$H1359="CÉLULA CONSTRUTIVA"</formula>
    </cfRule>
  </conditionalFormatting>
  <conditionalFormatting sqref="O1360:O1364">
    <cfRule type="expression" dxfId="10999" priority="86717">
      <formula>$H1360="SUBETAPA"</formula>
    </cfRule>
    <cfRule type="expression" dxfId="10998" priority="86718">
      <formula>$H1360="CÉLULA CONSTRUTIVA"</formula>
    </cfRule>
    <cfRule type="expression" dxfId="10997" priority="86719">
      <formula>$H1360="ETAPA"</formula>
    </cfRule>
  </conditionalFormatting>
  <conditionalFormatting sqref="O1365">
    <cfRule type="expression" dxfId="10996" priority="58335">
      <formula>$H1365="CÉLULA CONSTRUTIVA"</formula>
    </cfRule>
    <cfRule type="expression" dxfId="10995" priority="58336">
      <formula>$H1365="ETAPA"</formula>
    </cfRule>
    <cfRule type="expression" dxfId="10994" priority="58337">
      <formula>$H1365="SUBETAPA"</formula>
    </cfRule>
  </conditionalFormatting>
  <conditionalFormatting sqref="O1366:O1368">
    <cfRule type="expression" dxfId="10993" priority="53755">
      <formula>$H1366="SUBETAPA"</formula>
    </cfRule>
    <cfRule type="expression" dxfId="10992" priority="53756">
      <formula>$H1366="CÉLULA CONSTRUTIVA"</formula>
    </cfRule>
    <cfRule type="expression" dxfId="10991" priority="53757">
      <formula>$H1366="ETAPA"</formula>
    </cfRule>
  </conditionalFormatting>
  <conditionalFormatting sqref="O1370">
    <cfRule type="expression" dxfId="10990" priority="3530">
      <formula>$H1370="ETAPA"</formula>
    </cfRule>
    <cfRule type="expression" dxfId="10989" priority="3531">
      <formula>$H1370="SUBETAPA"</formula>
    </cfRule>
    <cfRule type="expression" dxfId="10988" priority="3532">
      <formula>$H1370="ETAPA"</formula>
    </cfRule>
    <cfRule type="expression" dxfId="10987" priority="3533">
      <formula>$H1370="SUBETAPA"</formula>
    </cfRule>
    <cfRule type="expression" dxfId="10986" priority="3534">
      <formula>$H1370="ETAPA"</formula>
    </cfRule>
    <cfRule type="expression" dxfId="10985" priority="3535">
      <formula>$H1370="SUBETAPA"</formula>
    </cfRule>
    <cfRule type="expression" dxfId="10984" priority="3536">
      <formula>$H1370="CÉLULA CONSTRUTIVA"</formula>
    </cfRule>
  </conditionalFormatting>
  <conditionalFormatting sqref="O1373">
    <cfRule type="expression" dxfId="10983" priority="3523">
      <formula>$H1373="ETAPA"</formula>
    </cfRule>
    <cfRule type="expression" dxfId="10982" priority="3524">
      <formula>$H1373="SUBETAPA"</formula>
    </cfRule>
    <cfRule type="expression" dxfId="10981" priority="3525">
      <formula>$H1373="ETAPA"</formula>
    </cfRule>
    <cfRule type="expression" dxfId="10980" priority="3526">
      <formula>$H1373="SUBETAPA"</formula>
    </cfRule>
    <cfRule type="expression" dxfId="10979" priority="3527">
      <formula>$H1373="ETAPA"</formula>
    </cfRule>
    <cfRule type="expression" dxfId="10978" priority="3528">
      <formula>$H1373="SUBETAPA"</formula>
    </cfRule>
    <cfRule type="expression" dxfId="10977" priority="3529">
      <formula>$H1373="CÉLULA CONSTRUTIVA"</formula>
    </cfRule>
  </conditionalFormatting>
  <conditionalFormatting sqref="O1376 H1376 J1376:L1376">
    <cfRule type="expression" dxfId="10976" priority="54014">
      <formula>$H1376="ETAPA"</formula>
    </cfRule>
  </conditionalFormatting>
  <conditionalFormatting sqref="O1379 H1379 J1379:L1379">
    <cfRule type="expression" dxfId="10975" priority="54138">
      <formula>$H1379="ETAPA"</formula>
    </cfRule>
  </conditionalFormatting>
  <conditionalFormatting sqref="O1382 H1382 J1382:L1382">
    <cfRule type="expression" dxfId="10974" priority="54262">
      <formula>$H1382="ETAPA"</formula>
    </cfRule>
  </conditionalFormatting>
  <conditionalFormatting sqref="O1385 H1385 J1385:L1385">
    <cfRule type="expression" dxfId="10973" priority="54386">
      <formula>$H1385="ETAPA"</formula>
    </cfRule>
  </conditionalFormatting>
  <conditionalFormatting sqref="O1386:O1388">
    <cfRule type="expression" dxfId="10972" priority="54499">
      <formula>$H1386="SUBETAPA"</formula>
    </cfRule>
    <cfRule type="expression" dxfId="10971" priority="54500">
      <formula>$H1386="CÉLULA CONSTRUTIVA"</formula>
    </cfRule>
    <cfRule type="expression" dxfId="10970" priority="54501">
      <formula>$H1386="ETAPA"</formula>
    </cfRule>
  </conditionalFormatting>
  <conditionalFormatting sqref="O1390 H1390 J1390:L1390">
    <cfRule type="expression" dxfId="10969" priority="54510">
      <formula>$H1390="ETAPA"</formula>
    </cfRule>
  </conditionalFormatting>
  <conditionalFormatting sqref="O1391:O1392">
    <cfRule type="expression" dxfId="10968" priority="54505">
      <formula>$H1391="SUBETAPA"</formula>
    </cfRule>
    <cfRule type="expression" dxfId="10967" priority="54506">
      <formula>$H1391="CÉLULA CONSTRUTIVA"</formula>
    </cfRule>
    <cfRule type="expression" dxfId="10966" priority="54507">
      <formula>$H1391="ETAPA"</formula>
    </cfRule>
  </conditionalFormatting>
  <conditionalFormatting sqref="O1393:O1395">
    <cfRule type="expression" dxfId="10965" priority="54623">
      <formula>$H1393="SUBETAPA"</formula>
    </cfRule>
    <cfRule type="expression" dxfId="10964" priority="54624">
      <formula>$H1393="CÉLULA CONSTRUTIVA"</formula>
    </cfRule>
    <cfRule type="expression" dxfId="10963" priority="54625">
      <formula>$H1393="ETAPA"</formula>
    </cfRule>
  </conditionalFormatting>
  <conditionalFormatting sqref="O1397 H1397 J1397:L1397">
    <cfRule type="expression" dxfId="10962" priority="54634">
      <formula>$H1397="ETAPA"</formula>
    </cfRule>
  </conditionalFormatting>
  <conditionalFormatting sqref="O1398:O1399">
    <cfRule type="expression" dxfId="10961" priority="54629">
      <formula>$H1398="SUBETAPA"</formula>
    </cfRule>
    <cfRule type="expression" dxfId="10960" priority="54630">
      <formula>$H1398="CÉLULA CONSTRUTIVA"</formula>
    </cfRule>
    <cfRule type="expression" dxfId="10959" priority="54631">
      <formula>$H1398="ETAPA"</formula>
    </cfRule>
  </conditionalFormatting>
  <conditionalFormatting sqref="O1400:O1402">
    <cfRule type="expression" dxfId="10958" priority="54747">
      <formula>$H1400="SUBETAPA"</formula>
    </cfRule>
    <cfRule type="expression" dxfId="10957" priority="54748">
      <formula>$H1400="CÉLULA CONSTRUTIVA"</formula>
    </cfRule>
    <cfRule type="expression" dxfId="10956" priority="54749">
      <formula>$H1400="ETAPA"</formula>
    </cfRule>
  </conditionalFormatting>
  <conditionalFormatting sqref="O1404">
    <cfRule type="expression" dxfId="10955" priority="3516">
      <formula>$H1404="ETAPA"</formula>
    </cfRule>
    <cfRule type="expression" dxfId="10954" priority="3517">
      <formula>$H1404="SUBETAPA"</formula>
    </cfRule>
    <cfRule type="expression" dxfId="10953" priority="3518">
      <formula>$H1404="ETAPA"</formula>
    </cfRule>
    <cfRule type="expression" dxfId="10952" priority="3519">
      <formula>$H1404="SUBETAPA"</formula>
    </cfRule>
    <cfRule type="expression" dxfId="10951" priority="3520">
      <formula>$H1404="ETAPA"</formula>
    </cfRule>
    <cfRule type="expression" dxfId="10950" priority="3521">
      <formula>$H1404="SUBETAPA"</formula>
    </cfRule>
    <cfRule type="expression" dxfId="10949" priority="3522">
      <formula>$H1404="CÉLULA CONSTRUTIVA"</formula>
    </cfRule>
  </conditionalFormatting>
  <conditionalFormatting sqref="O1405:O1406">
    <cfRule type="expression" dxfId="10948" priority="54871">
      <formula>$H1405="SUBETAPA"</formula>
    </cfRule>
    <cfRule type="expression" dxfId="10947" priority="54872">
      <formula>$H1405="CÉLULA CONSTRUTIVA"</formula>
    </cfRule>
    <cfRule type="expression" dxfId="10946" priority="54873">
      <formula>$H1405="ETAPA"</formula>
    </cfRule>
  </conditionalFormatting>
  <conditionalFormatting sqref="O1407">
    <cfRule type="expression" dxfId="10945" priority="3509">
      <formula>$H1407="ETAPA"</formula>
    </cfRule>
    <cfRule type="expression" dxfId="10944" priority="3510">
      <formula>$H1407="SUBETAPA"</formula>
    </cfRule>
    <cfRule type="expression" dxfId="10943" priority="3511">
      <formula>$H1407="ETAPA"</formula>
    </cfRule>
    <cfRule type="expression" dxfId="10942" priority="3512">
      <formula>$H1407="SUBETAPA"</formula>
    </cfRule>
    <cfRule type="expression" dxfId="10941" priority="3513">
      <formula>$H1407="ETAPA"</formula>
    </cfRule>
    <cfRule type="expression" dxfId="10940" priority="3514">
      <formula>$H1407="SUBETAPA"</formula>
    </cfRule>
    <cfRule type="expression" dxfId="10939" priority="3515">
      <formula>$H1407="CÉLULA CONSTRUTIVA"</formula>
    </cfRule>
  </conditionalFormatting>
  <conditionalFormatting sqref="O1409 H1409 J1409:L1409">
    <cfRule type="expression" dxfId="10938" priority="54882">
      <formula>$H1409="ETAPA"</formula>
    </cfRule>
  </conditionalFormatting>
  <conditionalFormatting sqref="O1410:O1412">
    <cfRule type="expression" dxfId="10937" priority="54995">
      <formula>$H1410="SUBETAPA"</formula>
    </cfRule>
    <cfRule type="expression" dxfId="10936" priority="54996">
      <formula>$H1410="CÉLULA CONSTRUTIVA"</formula>
    </cfRule>
    <cfRule type="expression" dxfId="10935" priority="54997">
      <formula>$H1410="ETAPA"</formula>
    </cfRule>
  </conditionalFormatting>
  <conditionalFormatting sqref="O1414">
    <cfRule type="expression" dxfId="10934" priority="3495">
      <formula>$H1414="ETAPA"</formula>
    </cfRule>
    <cfRule type="expression" dxfId="10933" priority="3496">
      <formula>$H1414="SUBETAPA"</formula>
    </cfRule>
    <cfRule type="expression" dxfId="10932" priority="3497">
      <formula>$H1414="ETAPA"</formula>
    </cfRule>
    <cfRule type="expression" dxfId="10931" priority="3498">
      <formula>$H1414="SUBETAPA"</formula>
    </cfRule>
    <cfRule type="expression" dxfId="10930" priority="3499">
      <formula>$H1414="ETAPA"</formula>
    </cfRule>
    <cfRule type="expression" dxfId="10929" priority="3500">
      <formula>$H1414="SUBETAPA"</formula>
    </cfRule>
    <cfRule type="expression" dxfId="10928" priority="3501">
      <formula>$H1414="CÉLULA CONSTRUTIVA"</formula>
    </cfRule>
  </conditionalFormatting>
  <conditionalFormatting sqref="O1415:O1417">
    <cfRule type="expression" dxfId="10927" priority="55119">
      <formula>$H1415="SUBETAPA"</formula>
    </cfRule>
    <cfRule type="expression" dxfId="10926" priority="55120">
      <formula>$H1415="CÉLULA CONSTRUTIVA"</formula>
    </cfRule>
    <cfRule type="expression" dxfId="10925" priority="55121">
      <formula>$H1415="ETAPA"</formula>
    </cfRule>
  </conditionalFormatting>
  <conditionalFormatting sqref="O1419">
    <cfRule type="expression" dxfId="10924" priority="3481">
      <formula>$H1419="ETAPA"</formula>
    </cfRule>
    <cfRule type="expression" dxfId="10923" priority="3482">
      <formula>$H1419="SUBETAPA"</formula>
    </cfRule>
    <cfRule type="expression" dxfId="10922" priority="3483">
      <formula>$H1419="ETAPA"</formula>
    </cfRule>
    <cfRule type="expression" dxfId="10921" priority="3484">
      <formula>$H1419="SUBETAPA"</formula>
    </cfRule>
    <cfRule type="expression" dxfId="10920" priority="3485">
      <formula>$H1419="ETAPA"</formula>
    </cfRule>
    <cfRule type="expression" dxfId="10919" priority="3486">
      <formula>$H1419="SUBETAPA"</formula>
    </cfRule>
    <cfRule type="expression" dxfId="10918" priority="3487">
      <formula>$H1419="CÉLULA CONSTRUTIVA"</formula>
    </cfRule>
  </conditionalFormatting>
  <conditionalFormatting sqref="O1422">
    <cfRule type="expression" dxfId="10917" priority="3467">
      <formula>$H1422="ETAPA"</formula>
    </cfRule>
    <cfRule type="expression" dxfId="10916" priority="3468">
      <formula>$H1422="SUBETAPA"</formula>
    </cfRule>
    <cfRule type="expression" dxfId="10915" priority="3469">
      <formula>$H1422="ETAPA"</formula>
    </cfRule>
    <cfRule type="expression" dxfId="10914" priority="3470">
      <formula>$H1422="SUBETAPA"</formula>
    </cfRule>
    <cfRule type="expression" dxfId="10913" priority="3471">
      <formula>$H1422="ETAPA"</formula>
    </cfRule>
    <cfRule type="expression" dxfId="10912" priority="3472">
      <formula>$H1422="SUBETAPA"</formula>
    </cfRule>
    <cfRule type="expression" dxfId="10911" priority="3473">
      <formula>$H1422="CÉLULA CONSTRUTIVA"</formula>
    </cfRule>
  </conditionalFormatting>
  <conditionalFormatting sqref="O1423">
    <cfRule type="expression" dxfId="10910" priority="58332">
      <formula>$H1423="CÉLULA CONSTRUTIVA"</formula>
    </cfRule>
    <cfRule type="expression" dxfId="10909" priority="58333">
      <formula>$H1423="ETAPA"</formula>
    </cfRule>
    <cfRule type="expression" dxfId="10908" priority="58334">
      <formula>$H1423="SUBETAPA"</formula>
    </cfRule>
  </conditionalFormatting>
  <conditionalFormatting sqref="O1428:O1429">
    <cfRule type="expression" dxfId="10907" priority="91930">
      <formula>$H1428="SUBETAPA"</formula>
    </cfRule>
    <cfRule type="expression" dxfId="10906" priority="91931">
      <formula>$H1428="CÉLULA CONSTRUTIVA"</formula>
    </cfRule>
  </conditionalFormatting>
  <conditionalFormatting sqref="O1431">
    <cfRule type="expression" dxfId="10905" priority="4777">
      <formula>$H1431="ETAPA"</formula>
    </cfRule>
    <cfRule type="expression" dxfId="10904" priority="4778">
      <formula>$H1431="SUBETAPA"</formula>
    </cfRule>
  </conditionalFormatting>
  <conditionalFormatting sqref="O1437:O1442">
    <cfRule type="expression" dxfId="10903" priority="92312">
      <formula>$H1437="ETAPA"</formula>
    </cfRule>
  </conditionalFormatting>
  <conditionalFormatting sqref="O1440:O1442">
    <cfRule type="expression" dxfId="10902" priority="92310">
      <formula>$H1440="SUBETAPA"</formula>
    </cfRule>
    <cfRule type="expression" dxfId="10901" priority="92311">
      <formula>$H1440="CÉLULA CONSTRUTIVA"</formula>
    </cfRule>
  </conditionalFormatting>
  <conditionalFormatting sqref="O1443:O1446">
    <cfRule type="expression" dxfId="10900" priority="92193">
      <formula>$H1443="CÉLULA CONSTRUTIVA"</formula>
    </cfRule>
  </conditionalFormatting>
  <conditionalFormatting sqref="O1456">
    <cfRule type="expression" dxfId="10899" priority="4426">
      <formula>$H1456="ETAPA"</formula>
    </cfRule>
    <cfRule type="expression" dxfId="10898" priority="4427">
      <formula>$H1456="SUBETAPA"</formula>
    </cfRule>
  </conditionalFormatting>
  <conditionalFormatting sqref="O1460 K1460">
    <cfRule type="expression" dxfId="10897" priority="4442">
      <formula>$H1460="SUBETAPA"</formula>
    </cfRule>
    <cfRule type="expression" dxfId="10896" priority="4443">
      <formula>$H1460="ETAPA"</formula>
    </cfRule>
  </conditionalFormatting>
  <conditionalFormatting sqref="O1463">
    <cfRule type="expression" dxfId="10895" priority="4390">
      <formula>$H1463="ETAPA"</formula>
    </cfRule>
    <cfRule type="expression" dxfId="10894" priority="4391">
      <formula>$H1463="SUBETAPA"</formula>
    </cfRule>
  </conditionalFormatting>
  <conditionalFormatting sqref="O1467 K1467">
    <cfRule type="expression" dxfId="10893" priority="4406">
      <formula>$H1467="SUBETAPA"</formula>
    </cfRule>
    <cfRule type="expression" dxfId="10892" priority="4407">
      <formula>$H1467="ETAPA"</formula>
    </cfRule>
  </conditionalFormatting>
  <conditionalFormatting sqref="O1473">
    <cfRule type="expression" dxfId="10891" priority="4354">
      <formula>$H1473="ETAPA"</formula>
    </cfRule>
    <cfRule type="expression" dxfId="10890" priority="4355">
      <formula>$H1473="SUBETAPA"</formula>
    </cfRule>
  </conditionalFormatting>
  <conditionalFormatting sqref="O1482 K1482">
    <cfRule type="expression" dxfId="10889" priority="4367">
      <formula>$H1482="SUBETAPA"</formula>
    </cfRule>
    <cfRule type="expression" dxfId="10888" priority="4368">
      <formula>$H1482="ETAPA"</formula>
    </cfRule>
  </conditionalFormatting>
  <conditionalFormatting sqref="O1482:O1485">
    <cfRule type="expression" dxfId="10887" priority="4358">
      <formula>$H1482="CÉLULA CONSTRUTIVA"</formula>
    </cfRule>
  </conditionalFormatting>
  <conditionalFormatting sqref="O1483 O1485 J1485:K1485 K1483">
    <cfRule type="expression" dxfId="10886" priority="4370">
      <formula>$H1483="SUBETAPA"</formula>
    </cfRule>
    <cfRule type="expression" dxfId="10885" priority="4371">
      <formula>$H1483="ETAPA"</formula>
    </cfRule>
  </conditionalFormatting>
  <conditionalFormatting sqref="O1484 K1484">
    <cfRule type="expression" dxfId="10884" priority="4364">
      <formula>$H1484="SUBETAPA"</formula>
    </cfRule>
    <cfRule type="expression" dxfId="10883" priority="4365">
      <formula>$H1484="ETAPA"</formula>
    </cfRule>
  </conditionalFormatting>
  <conditionalFormatting sqref="O1488">
    <cfRule type="expression" dxfId="10882" priority="4318">
      <formula>$H1488="ETAPA"</formula>
    </cfRule>
    <cfRule type="expression" dxfId="10881" priority="4319">
      <formula>$H1488="SUBETAPA"</formula>
    </cfRule>
  </conditionalFormatting>
  <conditionalFormatting sqref="O1492:O1493 J1493:K1493 K1492">
    <cfRule type="expression" dxfId="10880" priority="4334">
      <formula>$H1492="SUBETAPA"</formula>
    </cfRule>
    <cfRule type="expression" dxfId="10879" priority="4335">
      <formula>$H1492="ETAPA"</formula>
    </cfRule>
  </conditionalFormatting>
  <conditionalFormatting sqref="O1499">
    <cfRule type="expression" dxfId="10878" priority="4460">
      <formula>$H1499="SUBETAPA"</formula>
    </cfRule>
    <cfRule type="expression" dxfId="10877" priority="4461">
      <formula>$H1499="CÉLULA CONSTRUTIVA"</formula>
    </cfRule>
  </conditionalFormatting>
  <conditionalFormatting sqref="O1501:O1504">
    <cfRule type="expression" dxfId="10876" priority="4638">
      <formula>$H1501="ETAPA"</formula>
    </cfRule>
    <cfRule type="expression" dxfId="10875" priority="4639">
      <formula>$H1501="SUBETAPA"</formula>
    </cfRule>
  </conditionalFormatting>
  <conditionalFormatting sqref="O1505">
    <cfRule type="expression" dxfId="10874" priority="4282">
      <formula>$H1505="ETAPA"</formula>
    </cfRule>
    <cfRule type="expression" dxfId="10873" priority="4283">
      <formula>$H1505="SUBETAPA"</formula>
    </cfRule>
  </conditionalFormatting>
  <conditionalFormatting sqref="O1513 K1513">
    <cfRule type="expression" dxfId="10872" priority="4295">
      <formula>$H1513="SUBETAPA"</formula>
    </cfRule>
    <cfRule type="expression" dxfId="10871" priority="4296">
      <formula>$H1513="ETAPA"</formula>
    </cfRule>
  </conditionalFormatting>
  <conditionalFormatting sqref="O1513:O1518">
    <cfRule type="expression" dxfId="10870" priority="4286">
      <formula>$H1513="CÉLULA CONSTRUTIVA"</formula>
    </cfRule>
  </conditionalFormatting>
  <conditionalFormatting sqref="O1516:O1517 K1516:K1517">
    <cfRule type="expression" dxfId="10869" priority="4292">
      <formula>$H1516="SUBETAPA"</formula>
    </cfRule>
    <cfRule type="expression" dxfId="10868" priority="4293">
      <formula>$H1516="ETAPA"</formula>
    </cfRule>
  </conditionalFormatting>
  <conditionalFormatting sqref="O1518 J1518:K1518 O1514:O1515 K1514:K1515">
    <cfRule type="expression" dxfId="10867" priority="4298">
      <formula>$H1514="SUBETAPA"</formula>
    </cfRule>
    <cfRule type="expression" dxfId="10866" priority="4299">
      <formula>$H1514="ETAPA"</formula>
    </cfRule>
  </conditionalFormatting>
  <conditionalFormatting sqref="O1535:O1538">
    <cfRule type="expression" dxfId="10865" priority="88876">
      <formula>$H1535="CÉLULA CONSTRUTIVA"</formula>
    </cfRule>
  </conditionalFormatting>
  <conditionalFormatting sqref="O1543:O1545">
    <cfRule type="expression" dxfId="10864" priority="4600">
      <formula>$H1543="ETAPA"</formula>
    </cfRule>
    <cfRule type="expression" dxfId="10863" priority="4601">
      <formula>$H1543="SUBETAPA"</formula>
    </cfRule>
  </conditionalFormatting>
  <conditionalFormatting sqref="O1547:O1551">
    <cfRule type="expression" dxfId="10862" priority="4598">
      <formula>$H1547="ETAPA"</formula>
    </cfRule>
    <cfRule type="expression" dxfId="10861" priority="4599">
      <formula>$H1547="SUBETAPA"</formula>
    </cfRule>
  </conditionalFormatting>
  <conditionalFormatting sqref="O1557:O1560">
    <cfRule type="expression" dxfId="10860" priority="89535">
      <formula>$H1557="CÉLULA CONSTRUTIVA"</formula>
    </cfRule>
  </conditionalFormatting>
  <conditionalFormatting sqref="O1585:O1589">
    <cfRule type="expression" dxfId="10859" priority="4558">
      <formula>$H1585="ETAPA"</formula>
    </cfRule>
    <cfRule type="expression" dxfId="10858" priority="4559">
      <formula>$H1585="SUBETAPA"</formula>
    </cfRule>
  </conditionalFormatting>
  <conditionalFormatting sqref="O1595:O1598">
    <cfRule type="expression" dxfId="10857" priority="90853">
      <formula>$H1595="CÉLULA CONSTRUTIVA"</formula>
    </cfRule>
  </conditionalFormatting>
  <conditionalFormatting sqref="O1606:O1610">
    <cfRule type="expression" dxfId="10856" priority="4538">
      <formula>$H1606="ETAPA"</formula>
    </cfRule>
    <cfRule type="expression" dxfId="10855" priority="4539">
      <formula>$H1606="SUBETAPA"</formula>
    </cfRule>
  </conditionalFormatting>
  <conditionalFormatting sqref="O1616:O1619">
    <cfRule type="expression" dxfId="10854" priority="91513">
      <formula>$H1616="CÉLULA CONSTRUTIVA"</formula>
    </cfRule>
  </conditionalFormatting>
  <conditionalFormatting sqref="O1624:O1626">
    <cfRule type="expression" dxfId="10853" priority="4520">
      <formula>$H1624="ETAPA"</formula>
    </cfRule>
    <cfRule type="expression" dxfId="10852" priority="4521">
      <formula>$H1624="SUBETAPA"</formula>
    </cfRule>
  </conditionalFormatting>
  <conditionalFormatting sqref="O1630:O1634">
    <cfRule type="expression" dxfId="10851" priority="4518">
      <formula>$H1630="ETAPA"</formula>
    </cfRule>
    <cfRule type="expression" dxfId="10850" priority="4519">
      <formula>$H1630="SUBETAPA"</formula>
    </cfRule>
  </conditionalFormatting>
  <conditionalFormatting sqref="O1640:O1643">
    <cfRule type="expression" dxfId="10849" priority="96147">
      <formula>$H1640="CÉLULA CONSTRUTIVA"</formula>
    </cfRule>
  </conditionalFormatting>
  <conditionalFormatting sqref="O1648:O1650">
    <cfRule type="expression" dxfId="10848" priority="4500">
      <formula>$H1648="ETAPA"</formula>
    </cfRule>
    <cfRule type="expression" dxfId="10847" priority="4501">
      <formula>$H1648="SUBETAPA"</formula>
    </cfRule>
  </conditionalFormatting>
  <conditionalFormatting sqref="O1674:O1675 O1681 O1693">
    <cfRule type="expression" dxfId="10846" priority="80565">
      <formula>$H1674="CÉLULA CONSTRUTIVA"</formula>
    </cfRule>
    <cfRule type="expression" dxfId="10845" priority="80566">
      <formula>$H1674="ETAPA"</formula>
    </cfRule>
  </conditionalFormatting>
  <conditionalFormatting sqref="O1676 H1676 K1676">
    <cfRule type="expression" dxfId="10844" priority="80490">
      <formula>$H1676="SUBETAPA"</formula>
    </cfRule>
  </conditionalFormatting>
  <conditionalFormatting sqref="O1676:O1677">
    <cfRule type="expression" dxfId="10843" priority="80483">
      <formula>$H1676="ETAPA"</formula>
    </cfRule>
  </conditionalFormatting>
  <conditionalFormatting sqref="O1677 H1677 K1677">
    <cfRule type="expression" dxfId="10842" priority="80484">
      <formula>$H1677="SUBETAPA"</formula>
    </cfRule>
  </conditionalFormatting>
  <conditionalFormatting sqref="O1678">
    <cfRule type="expression" dxfId="10841" priority="3460">
      <formula>$H1678="ETAPA"</formula>
    </cfRule>
    <cfRule type="expression" dxfId="10840" priority="3461">
      <formula>$H1678="SUBETAPA"</formula>
    </cfRule>
    <cfRule type="expression" dxfId="10839" priority="3462">
      <formula>$H1678="ETAPA"</formula>
    </cfRule>
    <cfRule type="expression" dxfId="10838" priority="3463">
      <formula>$H1678="SUBETAPA"</formula>
    </cfRule>
    <cfRule type="expression" dxfId="10837" priority="3464">
      <formula>$H1678="ETAPA"</formula>
    </cfRule>
    <cfRule type="expression" dxfId="10836" priority="3465">
      <formula>$H1678="SUBETAPA"</formula>
    </cfRule>
    <cfRule type="expression" dxfId="10835" priority="3466">
      <formula>$H1678="CÉLULA CONSTRUTIVA"</formula>
    </cfRule>
  </conditionalFormatting>
  <conditionalFormatting sqref="O1683 O1685">
    <cfRule type="expression" dxfId="10834" priority="80353">
      <formula>$H1683="CÉLULA CONSTRUTIVA"</formula>
    </cfRule>
  </conditionalFormatting>
  <conditionalFormatting sqref="O1684 H1683:H1684 J1684 J1683:L1683">
    <cfRule type="expression" dxfId="10833" priority="80354">
      <formula>$H1683="CÉLULA CONSTRUTIVA"</formula>
    </cfRule>
  </conditionalFormatting>
  <conditionalFormatting sqref="O1689:O1690">
    <cfRule type="expression" dxfId="10832" priority="80397">
      <formula>$H1689="CÉLULA CONSTRUTIVA"</formula>
    </cfRule>
  </conditionalFormatting>
  <conditionalFormatting sqref="O1692">
    <cfRule type="expression" dxfId="10831" priority="80450">
      <formula>$H1692="ETAPA"</formula>
    </cfRule>
  </conditionalFormatting>
  <conditionalFormatting sqref="O1694:O1695 O1709">
    <cfRule type="expression" dxfId="10830" priority="80889">
      <formula>$H1694="CÉLULA CONSTRUTIVA"</formula>
    </cfRule>
    <cfRule type="expression" dxfId="10829" priority="80890">
      <formula>$H1694="ETAPA"</formula>
    </cfRule>
  </conditionalFormatting>
  <conditionalFormatting sqref="O1696 H1696 K1696">
    <cfRule type="expression" dxfId="10828" priority="80814">
      <formula>$H1696="SUBETAPA"</formula>
    </cfRule>
  </conditionalFormatting>
  <conditionalFormatting sqref="O1696:O1700">
    <cfRule type="expression" dxfId="10827" priority="80691">
      <formula>$H1696="ETAPA"</formula>
    </cfRule>
  </conditionalFormatting>
  <conditionalFormatting sqref="O1697 H1697 K1697">
    <cfRule type="expression" dxfId="10826" priority="80808">
      <formula>$H1697="SUBETAPA"</formula>
    </cfRule>
  </conditionalFormatting>
  <conditionalFormatting sqref="O1700 O1702">
    <cfRule type="expression" dxfId="10825" priority="80677">
      <formula>$H1700="CÉLULA CONSTRUTIVA"</formula>
    </cfRule>
  </conditionalFormatting>
  <conditionalFormatting sqref="O1701">
    <cfRule type="expression" dxfId="10824" priority="60979">
      <formula>$H1701="CÉLULA CONSTRUTIVA"</formula>
    </cfRule>
    <cfRule type="expression" dxfId="10823" priority="60980">
      <formula>$H1701="SUBETAPA"</formula>
    </cfRule>
    <cfRule type="expression" dxfId="10822" priority="60981">
      <formula>$H1701="ETAPA"</formula>
    </cfRule>
  </conditionalFormatting>
  <conditionalFormatting sqref="O1706:O1707">
    <cfRule type="expression" dxfId="10821" priority="80721">
      <formula>$H1706="CÉLULA CONSTRUTIVA"</formula>
    </cfRule>
  </conditionalFormatting>
  <conditionalFormatting sqref="O1710:O1711 O1724">
    <cfRule type="expression" dxfId="10820" priority="81213">
      <formula>$H1710="CÉLULA CONSTRUTIVA"</formula>
    </cfRule>
    <cfRule type="expression" dxfId="10819" priority="81214">
      <formula>$H1710="ETAPA"</formula>
    </cfRule>
  </conditionalFormatting>
  <conditionalFormatting sqref="O1712 H1712 K1712">
    <cfRule type="expression" dxfId="10818" priority="81138">
      <formula>$H1712="SUBETAPA"</formula>
    </cfRule>
  </conditionalFormatting>
  <conditionalFormatting sqref="O1712:O1716">
    <cfRule type="expression" dxfId="10817" priority="81015">
      <formula>$H1712="ETAPA"</formula>
    </cfRule>
  </conditionalFormatting>
  <conditionalFormatting sqref="O1713 H1713 K1713">
    <cfRule type="expression" dxfId="10816" priority="81132">
      <formula>$H1713="SUBETAPA"</formula>
    </cfRule>
  </conditionalFormatting>
  <conditionalFormatting sqref="O1716">
    <cfRule type="expression" dxfId="10815" priority="81001">
      <formula>$H1716="CÉLULA CONSTRUTIVA"</formula>
    </cfRule>
  </conditionalFormatting>
  <conditionalFormatting sqref="O1717">
    <cfRule type="expression" dxfId="10814" priority="60976">
      <formula>$H1717="CÉLULA CONSTRUTIVA"</formula>
    </cfRule>
    <cfRule type="expression" dxfId="10813" priority="60977">
      <formula>$H1717="SUBETAPA"</formula>
    </cfRule>
    <cfRule type="expression" dxfId="10812" priority="60978">
      <formula>$H1717="ETAPA"</formula>
    </cfRule>
  </conditionalFormatting>
  <conditionalFormatting sqref="O1721:O1722">
    <cfRule type="expression" dxfId="10811" priority="81045">
      <formula>$H1721="CÉLULA CONSTRUTIVA"</formula>
    </cfRule>
  </conditionalFormatting>
  <conditionalFormatting sqref="O1725:O1726">
    <cfRule type="expression" dxfId="10810" priority="81537">
      <formula>$H1725="CÉLULA CONSTRUTIVA"</formula>
    </cfRule>
    <cfRule type="expression" dxfId="10809" priority="81538">
      <formula>$H1725="ETAPA"</formula>
    </cfRule>
  </conditionalFormatting>
  <conditionalFormatting sqref="O1727 H1727 K1727">
    <cfRule type="expression" dxfId="10808" priority="81462">
      <formula>$H1727="SUBETAPA"</formula>
    </cfRule>
  </conditionalFormatting>
  <conditionalFormatting sqref="O1727:O1731">
    <cfRule type="expression" dxfId="10807" priority="81339">
      <formula>$H1727="ETAPA"</formula>
    </cfRule>
  </conditionalFormatting>
  <conditionalFormatting sqref="O1728 H1728 K1728">
    <cfRule type="expression" dxfId="10806" priority="81456">
      <formula>$H1728="SUBETAPA"</formula>
    </cfRule>
  </conditionalFormatting>
  <conditionalFormatting sqref="O1731">
    <cfRule type="expression" dxfId="10805" priority="81325">
      <formula>$H1731="CÉLULA CONSTRUTIVA"</formula>
    </cfRule>
  </conditionalFormatting>
  <conditionalFormatting sqref="O1732">
    <cfRule type="expression" dxfId="10804" priority="60973">
      <formula>$H1732="CÉLULA CONSTRUTIVA"</formula>
    </cfRule>
    <cfRule type="expression" dxfId="10803" priority="60974">
      <formula>$H1732="SUBETAPA"</formula>
    </cfRule>
    <cfRule type="expression" dxfId="10802" priority="60975">
      <formula>$H1732="ETAPA"</formula>
    </cfRule>
  </conditionalFormatting>
  <conditionalFormatting sqref="O1734:O1735">
    <cfRule type="expression" dxfId="10801" priority="81369">
      <formula>$H1734="CÉLULA CONSTRUTIVA"</formula>
    </cfRule>
  </conditionalFormatting>
  <conditionalFormatting sqref="O1737:O1738 O1742:O1743">
    <cfRule type="expression" dxfId="10800" priority="81862">
      <formula>$H1737="ETAPA"</formula>
    </cfRule>
  </conditionalFormatting>
  <conditionalFormatting sqref="O1737:O1738">
    <cfRule type="expression" dxfId="10799" priority="81861">
      <formula>$H1737="CÉLULA CONSTRUTIVA"</formula>
    </cfRule>
  </conditionalFormatting>
  <conditionalFormatting sqref="O1739 H1739 K1739">
    <cfRule type="expression" dxfId="10798" priority="81786">
      <formula>$H1739="SUBETAPA"</formula>
    </cfRule>
  </conditionalFormatting>
  <conditionalFormatting sqref="O1739:O1740">
    <cfRule type="expression" dxfId="10797" priority="81779">
      <formula>$H1739="ETAPA"</formula>
    </cfRule>
  </conditionalFormatting>
  <conditionalFormatting sqref="O1740 H1740 K1740">
    <cfRule type="expression" dxfId="10796" priority="81780">
      <formula>$H1740="SUBETAPA"</formula>
    </cfRule>
  </conditionalFormatting>
  <conditionalFormatting sqref="O1743">
    <cfRule type="expression" dxfId="10795" priority="81649">
      <formula>$H1743="CÉLULA CONSTRUTIVA"</formula>
    </cfRule>
  </conditionalFormatting>
  <conditionalFormatting sqref="O1744">
    <cfRule type="expression" dxfId="10794" priority="60970">
      <formula>$H1744="CÉLULA CONSTRUTIVA"</formula>
    </cfRule>
    <cfRule type="expression" dxfId="10793" priority="60971">
      <formula>$H1744="SUBETAPA"</formula>
    </cfRule>
    <cfRule type="expression" dxfId="10792" priority="60972">
      <formula>$H1744="ETAPA"</formula>
    </cfRule>
  </conditionalFormatting>
  <conditionalFormatting sqref="O1746:O1747">
    <cfRule type="expression" dxfId="10791" priority="81693">
      <formula>$H1746="CÉLULA CONSTRUTIVA"</formula>
    </cfRule>
  </conditionalFormatting>
  <conditionalFormatting sqref="O1749:O1750">
    <cfRule type="expression" dxfId="10790" priority="82185">
      <formula>$H1749="CÉLULA CONSTRUTIVA"</formula>
    </cfRule>
    <cfRule type="expression" dxfId="10789" priority="82186">
      <formula>$H1749="ETAPA"</formula>
    </cfRule>
  </conditionalFormatting>
  <conditionalFormatting sqref="O1751 H1751 K1751">
    <cfRule type="expression" dxfId="10788" priority="82110">
      <formula>$H1751="SUBETAPA"</formula>
    </cfRule>
  </conditionalFormatting>
  <conditionalFormatting sqref="O1751:O1755">
    <cfRule type="expression" dxfId="10787" priority="81987">
      <formula>$H1751="ETAPA"</formula>
    </cfRule>
  </conditionalFormatting>
  <conditionalFormatting sqref="O1752 H1752 K1752">
    <cfRule type="expression" dxfId="10786" priority="82104">
      <formula>$H1752="SUBETAPA"</formula>
    </cfRule>
  </conditionalFormatting>
  <conditionalFormatting sqref="O1755">
    <cfRule type="expression" dxfId="10785" priority="81973">
      <formula>$H1755="CÉLULA CONSTRUTIVA"</formula>
    </cfRule>
  </conditionalFormatting>
  <conditionalFormatting sqref="O1756">
    <cfRule type="expression" dxfId="10784" priority="60967">
      <formula>$H1756="CÉLULA CONSTRUTIVA"</formula>
    </cfRule>
    <cfRule type="expression" dxfId="10783" priority="60968">
      <formula>$H1756="SUBETAPA"</formula>
    </cfRule>
    <cfRule type="expression" dxfId="10782" priority="60969">
      <formula>$H1756="ETAPA"</formula>
    </cfRule>
  </conditionalFormatting>
  <conditionalFormatting sqref="O1758:O1759">
    <cfRule type="expression" dxfId="10781" priority="82017">
      <formula>$H1758="CÉLULA CONSTRUTIVA"</formula>
    </cfRule>
  </conditionalFormatting>
  <conditionalFormatting sqref="O1761:O1762 O1773 O1781:O1782 O1784">
    <cfRule type="expression" dxfId="10780" priority="82509">
      <formula>$H1761="CÉLULA CONSTRUTIVA"</formula>
    </cfRule>
  </conditionalFormatting>
  <conditionalFormatting sqref="O1761:O1762 O1781:O1782 O1784 O1771">
    <cfRule type="expression" dxfId="10779" priority="82510">
      <formula>$H1761="ETAPA"</formula>
    </cfRule>
  </conditionalFormatting>
  <conditionalFormatting sqref="O1763 H1763 K1763">
    <cfRule type="expression" dxfId="10778" priority="82434">
      <formula>$H1763="SUBETAPA"</formula>
    </cfRule>
  </conditionalFormatting>
  <conditionalFormatting sqref="O1763:O1767">
    <cfRule type="expression" dxfId="10777" priority="82311">
      <formula>$H1763="ETAPA"</formula>
    </cfRule>
  </conditionalFormatting>
  <conditionalFormatting sqref="O1764 H1764 K1764">
    <cfRule type="expression" dxfId="10776" priority="82428">
      <formula>$H1764="SUBETAPA"</formula>
    </cfRule>
  </conditionalFormatting>
  <conditionalFormatting sqref="O1767 H1767 K1767">
    <cfRule type="expression" dxfId="10775" priority="82338">
      <formula>$H1767="SUBETAPA"</formula>
    </cfRule>
  </conditionalFormatting>
  <conditionalFormatting sqref="O1771">
    <cfRule type="expression" dxfId="10774" priority="82297">
      <formula>$H1771="CÉLULA CONSTRUTIVA"</formula>
    </cfRule>
  </conditionalFormatting>
  <conditionalFormatting sqref="O1772">
    <cfRule type="expression" dxfId="10773" priority="60964">
      <formula>$H1772="CÉLULA CONSTRUTIVA"</formula>
    </cfRule>
    <cfRule type="expression" dxfId="10772" priority="60965">
      <formula>$H1772="SUBETAPA"</formula>
    </cfRule>
    <cfRule type="expression" dxfId="10771" priority="60966">
      <formula>$H1772="ETAPA"</formula>
    </cfRule>
  </conditionalFormatting>
  <conditionalFormatting sqref="O1779:O1780">
    <cfRule type="expression" dxfId="10770" priority="82341">
      <formula>$H1779="CÉLULA CONSTRUTIVA"</formula>
    </cfRule>
  </conditionalFormatting>
  <conditionalFormatting sqref="O1783">
    <cfRule type="expression" dxfId="10769" priority="82394">
      <formula>$H1783="ETAPA"</formula>
    </cfRule>
  </conditionalFormatting>
  <conditionalFormatting sqref="O1785:O1786 O1795 O1797 O1799 O1810">
    <cfRule type="expression" dxfId="10768" priority="82833">
      <formula>$H1785="CÉLULA CONSTRUTIVA"</formula>
    </cfRule>
  </conditionalFormatting>
  <conditionalFormatting sqref="O1785:O1786 O1797 O1799 O1810 O1793">
    <cfRule type="expression" dxfId="10767" priority="82834">
      <formula>$H1785="ETAPA"</formula>
    </cfRule>
  </conditionalFormatting>
  <conditionalFormatting sqref="O1787 H1787 K1787">
    <cfRule type="expression" dxfId="10766" priority="82758">
      <formula>$H1787="SUBETAPA"</formula>
    </cfRule>
  </conditionalFormatting>
  <conditionalFormatting sqref="O1787:O1791">
    <cfRule type="expression" dxfId="10765" priority="82635">
      <formula>$H1787="ETAPA"</formula>
    </cfRule>
  </conditionalFormatting>
  <conditionalFormatting sqref="O1788 H1788 K1788">
    <cfRule type="expression" dxfId="10764" priority="82752">
      <formula>$H1788="SUBETAPA"</formula>
    </cfRule>
  </conditionalFormatting>
  <conditionalFormatting sqref="O1791 H1791 K1791">
    <cfRule type="expression" dxfId="10763" priority="82662">
      <formula>$H1791="SUBETAPA"</formula>
    </cfRule>
  </conditionalFormatting>
  <conditionalFormatting sqref="O1793">
    <cfRule type="expression" dxfId="10762" priority="82621">
      <formula>$H1793="CÉLULA CONSTRUTIVA"</formula>
    </cfRule>
  </conditionalFormatting>
  <conditionalFormatting sqref="O1794">
    <cfRule type="expression" dxfId="10761" priority="60961">
      <formula>$H1794="CÉLULA CONSTRUTIVA"</formula>
    </cfRule>
    <cfRule type="expression" dxfId="10760" priority="60962">
      <formula>$H1794="SUBETAPA"</formula>
    </cfRule>
    <cfRule type="expression" dxfId="10759" priority="60963">
      <formula>$H1794="ETAPA"</formula>
    </cfRule>
  </conditionalFormatting>
  <conditionalFormatting sqref="O1796 H1810 H1795:H1796 H1802 J1802:L1802 J1796 L1810 J1795:L1795 O1802:O1805">
    <cfRule type="expression" dxfId="10758" priority="82835">
      <formula>$H1795="CÉLULA CONSTRUTIVA"</formula>
    </cfRule>
  </conditionalFormatting>
  <conditionalFormatting sqref="O1798">
    <cfRule type="expression" dxfId="10757" priority="82783">
      <formula>$H1798="ETAPA"</formula>
    </cfRule>
  </conditionalFormatting>
  <conditionalFormatting sqref="O1800:O1801">
    <cfRule type="expression" dxfId="10756" priority="78847">
      <formula>$H1800="CÉLULA CONSTRUTIVA"</formula>
    </cfRule>
    <cfRule type="expression" dxfId="10755" priority="78848">
      <formula>$H1800="ETAPA"</formula>
    </cfRule>
    <cfRule type="expression" dxfId="10754" priority="78858">
      <formula>$H1800="CÉLULA CONSTRUTIVA"</formula>
    </cfRule>
    <cfRule type="expression" dxfId="10753" priority="78859">
      <formula>$H1800="ETAPA"</formula>
    </cfRule>
  </conditionalFormatting>
  <conditionalFormatting sqref="O1806:O1807">
    <cfRule type="expression" dxfId="10752" priority="82665">
      <formula>$H1806="CÉLULA CONSTRUTIVA"</formula>
    </cfRule>
  </conditionalFormatting>
  <conditionalFormatting sqref="O1809">
    <cfRule type="expression" dxfId="10751" priority="82718">
      <formula>$H1809="ETAPA"</formula>
    </cfRule>
  </conditionalFormatting>
  <conditionalFormatting sqref="O1811:O1812 O1823">
    <cfRule type="expression" dxfId="10750" priority="83157">
      <formula>$H1811="CÉLULA CONSTRUTIVA"</formula>
    </cfRule>
    <cfRule type="expression" dxfId="10749" priority="83158">
      <formula>$H1811="ETAPA"</formula>
    </cfRule>
  </conditionalFormatting>
  <conditionalFormatting sqref="O1813 H1813 K1813">
    <cfRule type="expression" dxfId="10748" priority="83082">
      <formula>$H1813="SUBETAPA"</formula>
    </cfRule>
  </conditionalFormatting>
  <conditionalFormatting sqref="O1813:O1816">
    <cfRule type="expression" dxfId="10747" priority="82959">
      <formula>$H1813="ETAPA"</formula>
    </cfRule>
  </conditionalFormatting>
  <conditionalFormatting sqref="O1814 H1814 K1814">
    <cfRule type="expression" dxfId="10746" priority="83076">
      <formula>$H1814="SUBETAPA"</formula>
    </cfRule>
  </conditionalFormatting>
  <conditionalFormatting sqref="O1816 H1816 K1816">
    <cfRule type="expression" dxfId="10745" priority="82986">
      <formula>$H1816="SUBETAPA"</formula>
    </cfRule>
  </conditionalFormatting>
  <conditionalFormatting sqref="O1824:O1825 O1836">
    <cfRule type="expression" dxfId="10744" priority="83481">
      <formula>$H1824="CÉLULA CONSTRUTIVA"</formula>
    </cfRule>
    <cfRule type="expression" dxfId="10743" priority="83482">
      <formula>$H1824="ETAPA"</formula>
    </cfRule>
  </conditionalFormatting>
  <conditionalFormatting sqref="O1826 H1826 K1826">
    <cfRule type="expression" dxfId="10742" priority="83406">
      <formula>$H1826="SUBETAPA"</formula>
    </cfRule>
  </conditionalFormatting>
  <conditionalFormatting sqref="O1827 H1827 K1827">
    <cfRule type="expression" dxfId="10741" priority="83400">
      <formula>$H1827="SUBETAPA"</formula>
    </cfRule>
  </conditionalFormatting>
  <conditionalFormatting sqref="O1829 H1829 K1829">
    <cfRule type="expression" dxfId="10740" priority="83310">
      <formula>$H1829="SUBETAPA"</formula>
    </cfRule>
  </conditionalFormatting>
  <conditionalFormatting sqref="O1839 H1839 K1839">
    <cfRule type="expression" dxfId="10739" priority="111884">
      <formula>$H1839="SUBETAPA"</formula>
    </cfRule>
  </conditionalFormatting>
  <conditionalFormatting sqref="O1840 H1840 K1840">
    <cfRule type="expression" dxfId="10738" priority="111837">
      <formula>$H1840="SUBETAPA"</formula>
    </cfRule>
  </conditionalFormatting>
  <conditionalFormatting sqref="O1842 H1842 K1842">
    <cfRule type="expression" dxfId="10737" priority="104426">
      <formula>$H1842="SUBETAPA"</formula>
    </cfRule>
  </conditionalFormatting>
  <conditionalFormatting sqref="O1844">
    <cfRule type="expression" dxfId="10736" priority="83593">
      <formula>$H1844="CÉLULA CONSTRUTIVA"</formula>
    </cfRule>
  </conditionalFormatting>
  <conditionalFormatting sqref="O1845">
    <cfRule type="expression" dxfId="10735" priority="83568">
      <formula>$H1845="CÉLULA CONSTRUTIVA"</formula>
    </cfRule>
  </conditionalFormatting>
  <conditionalFormatting sqref="O1851">
    <cfRule type="expression" dxfId="10734" priority="111758">
      <formula>$H1851="ETAPA"</formula>
    </cfRule>
  </conditionalFormatting>
  <conditionalFormatting sqref="O1853:O1854 O1868 O1860">
    <cfRule type="expression" dxfId="10733" priority="79295">
      <formula>$H1853="ETAPA"</formula>
    </cfRule>
  </conditionalFormatting>
  <conditionalFormatting sqref="O1853:O1854 O1868">
    <cfRule type="expression" dxfId="10732" priority="79294">
      <formula>$H1853="CÉLULA CONSTRUTIVA"</formula>
    </cfRule>
  </conditionalFormatting>
  <conditionalFormatting sqref="O1855 H1855 K1855">
    <cfRule type="expression" dxfId="10731" priority="79219">
      <formula>$H1855="SUBETAPA"</formula>
    </cfRule>
  </conditionalFormatting>
  <conditionalFormatting sqref="O1855:O1858">
    <cfRule type="expression" dxfId="10730" priority="79096">
      <formula>$H1855="ETAPA"</formula>
    </cfRule>
  </conditionalFormatting>
  <conditionalFormatting sqref="O1856 H1856 K1856">
    <cfRule type="expression" dxfId="10729" priority="79213">
      <formula>$H1856="SUBETAPA"</formula>
    </cfRule>
  </conditionalFormatting>
  <conditionalFormatting sqref="O1858 H1858 K1858">
    <cfRule type="expression" dxfId="10728" priority="79123">
      <formula>$H1858="SUBETAPA"</formula>
    </cfRule>
  </conditionalFormatting>
  <conditionalFormatting sqref="O1860">
    <cfRule type="expression" dxfId="10727" priority="79082">
      <formula>$H1860="CÉLULA CONSTRUTIVA"</formula>
    </cfRule>
  </conditionalFormatting>
  <conditionalFormatting sqref="O1861">
    <cfRule type="expression" dxfId="10726" priority="79057">
      <formula>$H1861="CÉLULA CONSTRUTIVA"</formula>
    </cfRule>
  </conditionalFormatting>
  <conditionalFormatting sqref="O1867">
    <cfRule type="expression" dxfId="10725" priority="79179">
      <formula>$H1867="ETAPA"</formula>
    </cfRule>
  </conditionalFormatting>
  <conditionalFormatting sqref="O1869:O1870 O1881">
    <cfRule type="expression" dxfId="10724" priority="79618">
      <formula>$H1869="CÉLULA CONSTRUTIVA"</formula>
    </cfRule>
    <cfRule type="expression" dxfId="10723" priority="79619">
      <formula>$H1869="ETAPA"</formula>
    </cfRule>
  </conditionalFormatting>
  <conditionalFormatting sqref="O1871 H1871 K1871">
    <cfRule type="expression" dxfId="10722" priority="79543">
      <formula>$H1871="SUBETAPA"</formula>
    </cfRule>
  </conditionalFormatting>
  <conditionalFormatting sqref="O1871:O1874">
    <cfRule type="expression" dxfId="10721" priority="79420">
      <formula>$H1871="ETAPA"</formula>
    </cfRule>
  </conditionalFormatting>
  <conditionalFormatting sqref="O1872 H1872 K1872">
    <cfRule type="expression" dxfId="10720" priority="79537">
      <formula>$H1872="SUBETAPA"</formula>
    </cfRule>
  </conditionalFormatting>
  <conditionalFormatting sqref="O1874">
    <cfRule type="expression" dxfId="10719" priority="79406">
      <formula>$H1874="CÉLULA CONSTRUTIVA"</formula>
    </cfRule>
  </conditionalFormatting>
  <conditionalFormatting sqref="O1875">
    <cfRule type="expression" dxfId="10718" priority="79381">
      <formula>$H1875="CÉLULA CONSTRUTIVA"</formula>
    </cfRule>
  </conditionalFormatting>
  <conditionalFormatting sqref="O1880">
    <cfRule type="expression" dxfId="10717" priority="79503">
      <formula>$H1880="ETAPA"</formula>
    </cfRule>
  </conditionalFormatting>
  <conditionalFormatting sqref="O1882:O1883 O1896">
    <cfRule type="expression" dxfId="10716" priority="79942">
      <formula>$H1882="CÉLULA CONSTRUTIVA"</formula>
    </cfRule>
    <cfRule type="expression" dxfId="10715" priority="79943">
      <formula>$H1882="ETAPA"</formula>
    </cfRule>
  </conditionalFormatting>
  <conditionalFormatting sqref="O1884 H1884 K1884">
    <cfRule type="expression" dxfId="10714" priority="79867">
      <formula>$H1884="SUBETAPA"</formula>
    </cfRule>
  </conditionalFormatting>
  <conditionalFormatting sqref="O1884:O1886">
    <cfRule type="expression" dxfId="10713" priority="79744">
      <formula>$H1884="ETAPA"</formula>
    </cfRule>
  </conditionalFormatting>
  <conditionalFormatting sqref="O1885 H1885 K1885">
    <cfRule type="expression" dxfId="10712" priority="79861">
      <formula>$H1885="SUBETAPA"</formula>
    </cfRule>
  </conditionalFormatting>
  <conditionalFormatting sqref="O1897">
    <cfRule type="expression" dxfId="10711" priority="59931">
      <formula>$H1897="ETAPA"</formula>
    </cfRule>
    <cfRule type="expression" dxfId="10710" priority="59932">
      <formula>$H1897="SUBETAPA"</formula>
    </cfRule>
    <cfRule type="expression" dxfId="10709" priority="59933">
      <formula>$H1897="CÉLULA CONSTRUTIVA"</formula>
    </cfRule>
  </conditionalFormatting>
  <conditionalFormatting sqref="O1908">
    <cfRule type="expression" dxfId="10708" priority="75972">
      <formula>$H1908="CÉLULA CONSTRUTIVA"</formula>
    </cfRule>
    <cfRule type="expression" dxfId="10707" priority="75973">
      <formula>$H1908="ETAPA"</formula>
    </cfRule>
    <cfRule type="expression" dxfId="10706" priority="75994">
      <formula>$H1908="SUBETAPA"</formula>
    </cfRule>
  </conditionalFormatting>
  <conditionalFormatting sqref="O1909">
    <cfRule type="expression" dxfId="10705" priority="75982">
      <formula>$H1909="SUBETAPA"</formula>
    </cfRule>
    <cfRule type="expression" dxfId="10704" priority="75983">
      <formula>$H1909="CÉLULA CONSTRUTIVA"</formula>
    </cfRule>
    <cfRule type="expression" dxfId="10703" priority="75984">
      <formula>$H1909="ETAPA"</formula>
    </cfRule>
  </conditionalFormatting>
  <conditionalFormatting sqref="O1911 M1911">
    <cfRule type="expression" dxfId="10702" priority="76013">
      <formula>$H1911="ETAPA"</formula>
    </cfRule>
  </conditionalFormatting>
  <conditionalFormatting sqref="O1911">
    <cfRule type="expression" dxfId="10701" priority="76012">
      <formula>$H1911="CÉLULA CONSTRUTIVA"</formula>
    </cfRule>
  </conditionalFormatting>
  <conditionalFormatting sqref="O1915:O1919">
    <cfRule type="expression" dxfId="10700" priority="76192">
      <formula>$H1915="CÉLULA CONSTRUTIVA"</formula>
    </cfRule>
    <cfRule type="expression" dxfId="10699" priority="76193">
      <formula>$H1915="ETAPA"</formula>
    </cfRule>
  </conditionalFormatting>
  <conditionalFormatting sqref="O1924 L1924:M1924">
    <cfRule type="expression" dxfId="10698" priority="76186">
      <formula>$H1924="ETAPA"</formula>
    </cfRule>
  </conditionalFormatting>
  <conditionalFormatting sqref="O1924">
    <cfRule type="expression" dxfId="10697" priority="76185">
      <formula>$H1924="CÉLULA CONSTRUTIVA"</formula>
    </cfRule>
    <cfRule type="expression" dxfId="10696" priority="76187">
      <formula>$H1924="SUBETAPA"</formula>
    </cfRule>
  </conditionalFormatting>
  <conditionalFormatting sqref="O1932 L1932:M1932">
    <cfRule type="expression" dxfId="10695" priority="76372">
      <formula>$H1932="ETAPA"</formula>
    </cfRule>
  </conditionalFormatting>
  <conditionalFormatting sqref="O1932">
    <cfRule type="expression" dxfId="10694" priority="76371">
      <formula>$H1932="CÉLULA CONSTRUTIVA"</formula>
    </cfRule>
    <cfRule type="expression" dxfId="10693" priority="76373">
      <formula>$H1932="SUBETAPA"</formula>
    </cfRule>
  </conditionalFormatting>
  <conditionalFormatting sqref="O1937 L1937:M1937">
    <cfRule type="expression" dxfId="10692" priority="76558">
      <formula>$H1937="ETAPA"</formula>
    </cfRule>
  </conditionalFormatting>
  <conditionalFormatting sqref="O1937">
    <cfRule type="expression" dxfId="10691" priority="76557">
      <formula>$H1937="CÉLULA CONSTRUTIVA"</formula>
    </cfRule>
    <cfRule type="expression" dxfId="10690" priority="76559">
      <formula>$H1937="SUBETAPA"</formula>
    </cfRule>
  </conditionalFormatting>
  <conditionalFormatting sqref="O1945 L1945:M1945">
    <cfRule type="expression" dxfId="10689" priority="76744">
      <formula>$H1945="ETAPA"</formula>
    </cfRule>
  </conditionalFormatting>
  <conditionalFormatting sqref="O1945">
    <cfRule type="expression" dxfId="10688" priority="76743">
      <formula>$H1945="CÉLULA CONSTRUTIVA"</formula>
    </cfRule>
    <cfRule type="expression" dxfId="10687" priority="76745">
      <formula>$H1945="SUBETAPA"</formula>
    </cfRule>
  </conditionalFormatting>
  <conditionalFormatting sqref="O1954 L1954:M1954">
    <cfRule type="expression" dxfId="10686" priority="76930">
      <formula>$H1954="ETAPA"</formula>
    </cfRule>
  </conditionalFormatting>
  <conditionalFormatting sqref="O1954">
    <cfRule type="expression" dxfId="10685" priority="76929">
      <formula>$H1954="CÉLULA CONSTRUTIVA"</formula>
    </cfRule>
    <cfRule type="expression" dxfId="10684" priority="76931">
      <formula>$H1954="SUBETAPA"</formula>
    </cfRule>
  </conditionalFormatting>
  <conditionalFormatting sqref="O1970 L1970:M1970">
    <cfRule type="expression" dxfId="10683" priority="77116">
      <formula>$H1970="ETAPA"</formula>
    </cfRule>
  </conditionalFormatting>
  <conditionalFormatting sqref="O1970">
    <cfRule type="expression" dxfId="10682" priority="77115">
      <formula>$H1970="CÉLULA CONSTRUTIVA"</formula>
    </cfRule>
    <cfRule type="expression" dxfId="10681" priority="77117">
      <formula>$H1970="SUBETAPA"</formula>
    </cfRule>
  </conditionalFormatting>
  <conditionalFormatting sqref="O1985:O1989">
    <cfRule type="expression" dxfId="10680" priority="77494">
      <formula>$H1985="CÉLULA CONSTRUTIVA"</formula>
    </cfRule>
    <cfRule type="expression" dxfId="10679" priority="77495">
      <formula>$H1985="ETAPA"</formula>
    </cfRule>
  </conditionalFormatting>
  <conditionalFormatting sqref="O1992:O1996">
    <cfRule type="expression" dxfId="10678" priority="77680">
      <formula>$H1992="CÉLULA CONSTRUTIVA"</formula>
    </cfRule>
    <cfRule type="expression" dxfId="10677" priority="77681">
      <formula>$H1992="ETAPA"</formula>
    </cfRule>
  </conditionalFormatting>
  <conditionalFormatting sqref="O1999:O2003">
    <cfRule type="expression" dxfId="10676" priority="77866">
      <formula>$H1999="CÉLULA CONSTRUTIVA"</formula>
    </cfRule>
    <cfRule type="expression" dxfId="10675" priority="77867">
      <formula>$H1999="ETAPA"</formula>
    </cfRule>
  </conditionalFormatting>
  <conditionalFormatting sqref="O2006:O2010">
    <cfRule type="expression" dxfId="10674" priority="78052">
      <formula>$H2006="CÉLULA CONSTRUTIVA"</formula>
    </cfRule>
    <cfRule type="expression" dxfId="10673" priority="78053">
      <formula>$H2006="ETAPA"</formula>
    </cfRule>
  </conditionalFormatting>
  <conditionalFormatting sqref="O2015:O2019">
    <cfRule type="expression" dxfId="10672" priority="78238">
      <formula>$H2015="CÉLULA CONSTRUTIVA"</formula>
    </cfRule>
    <cfRule type="expression" dxfId="10671" priority="78239">
      <formula>$H2015="ETAPA"</formula>
    </cfRule>
  </conditionalFormatting>
  <conditionalFormatting sqref="O2022 L2022:M2022">
    <cfRule type="expression" dxfId="10670" priority="78232">
      <formula>$H2022="ETAPA"</formula>
    </cfRule>
  </conditionalFormatting>
  <conditionalFormatting sqref="O2022">
    <cfRule type="expression" dxfId="10669" priority="78231">
      <formula>$H2022="CÉLULA CONSTRUTIVA"</formula>
    </cfRule>
    <cfRule type="expression" dxfId="10668" priority="78233">
      <formula>$H2022="SUBETAPA"</formula>
    </cfRule>
  </conditionalFormatting>
  <conditionalFormatting sqref="O2030 L2030:M2030">
    <cfRule type="expression" dxfId="10667" priority="78418">
      <formula>$H2030="ETAPA"</formula>
    </cfRule>
  </conditionalFormatting>
  <conditionalFormatting sqref="O2030">
    <cfRule type="expression" dxfId="10666" priority="78417">
      <formula>$H2030="CÉLULA CONSTRUTIVA"</formula>
    </cfRule>
    <cfRule type="expression" dxfId="10665" priority="78419">
      <formula>$H2030="SUBETAPA"</formula>
    </cfRule>
  </conditionalFormatting>
  <conditionalFormatting sqref="O2032:O2033 O2035:O2040 O2052 O2054:O2055 O2061:O2062">
    <cfRule type="expression" dxfId="10664" priority="67440">
      <formula>$H2032="ETAPA"</formula>
    </cfRule>
  </conditionalFormatting>
  <conditionalFormatting sqref="O2034">
    <cfRule type="expression" dxfId="10663" priority="3453">
      <formula>$H2034="ETAPA"</formula>
    </cfRule>
    <cfRule type="expression" dxfId="10662" priority="3454">
      <formula>$H2034="SUBETAPA"</formula>
    </cfRule>
    <cfRule type="expression" dxfId="10661" priority="3455">
      <formula>$H2034="ETAPA"</formula>
    </cfRule>
    <cfRule type="expression" dxfId="10660" priority="3456">
      <formula>$H2034="SUBETAPA"</formula>
    </cfRule>
    <cfRule type="expression" dxfId="10659" priority="3457">
      <formula>$H2034="ETAPA"</formula>
    </cfRule>
    <cfRule type="expression" dxfId="10658" priority="3458">
      <formula>$H2034="SUBETAPA"</formula>
    </cfRule>
    <cfRule type="expression" dxfId="10657" priority="3459">
      <formula>$H2034="CÉLULA CONSTRUTIVA"</formula>
    </cfRule>
  </conditionalFormatting>
  <conditionalFormatting sqref="O2041">
    <cfRule type="expression" dxfId="10656" priority="3446">
      <formula>$H2041="ETAPA"</formula>
    </cfRule>
    <cfRule type="expression" dxfId="10655" priority="3447">
      <formula>$H2041="SUBETAPA"</formula>
    </cfRule>
    <cfRule type="expression" dxfId="10654" priority="3448">
      <formula>$H2041="ETAPA"</formula>
    </cfRule>
    <cfRule type="expression" dxfId="10653" priority="3449">
      <formula>$H2041="SUBETAPA"</formula>
    </cfRule>
    <cfRule type="expression" dxfId="10652" priority="3450">
      <formula>$H2041="ETAPA"</formula>
    </cfRule>
    <cfRule type="expression" dxfId="10651" priority="3451">
      <formula>$H2041="SUBETAPA"</formula>
    </cfRule>
    <cfRule type="expression" dxfId="10650" priority="3452">
      <formula>$H2041="CÉLULA CONSTRUTIVA"</formula>
    </cfRule>
  </conditionalFormatting>
  <conditionalFormatting sqref="O2043 H2043 K2043">
    <cfRule type="expression" dxfId="10649" priority="67271">
      <formula>$H2043="SUBETAPA"</formula>
    </cfRule>
  </conditionalFormatting>
  <conditionalFormatting sqref="O2043:O2046">
    <cfRule type="expression" dxfId="10648" priority="66889">
      <formula>$H2043="ETAPA"</formula>
    </cfRule>
  </conditionalFormatting>
  <conditionalFormatting sqref="O2047 H2047 K2047">
    <cfRule type="expression" dxfId="10647" priority="67159">
      <formula>$H2047="SUBETAPA"</formula>
    </cfRule>
  </conditionalFormatting>
  <conditionalFormatting sqref="O2047:O2049">
    <cfRule type="expression" dxfId="10646" priority="66894">
      <formula>$H2047="ETAPA"</formula>
    </cfRule>
  </conditionalFormatting>
  <conditionalFormatting sqref="O2048:O2049">
    <cfRule type="expression" dxfId="10645" priority="66892">
      <formula>$H2048="SUBETAPA"</formula>
    </cfRule>
    <cfRule type="expression" dxfId="10644" priority="66893">
      <formula>$H2048="CÉLULA CONSTRUTIVA"</formula>
    </cfRule>
  </conditionalFormatting>
  <conditionalFormatting sqref="O2051 J2061:L2062 J2051:L2051 H2051">
    <cfRule type="expression" dxfId="10643" priority="67442">
      <formula>$H2051="CÉLULA CONSTRUTIVA"</formula>
    </cfRule>
  </conditionalFormatting>
  <conditionalFormatting sqref="O2051 L2056 J2061:L2062 J2051:L2051 H2051">
    <cfRule type="expression" dxfId="10642" priority="67441">
      <formula>$H2051="SUBETAPA"</formula>
    </cfRule>
  </conditionalFormatting>
  <conditionalFormatting sqref="O2052 O2054:O2055 O2061:O2062 O2032:O2033 O2035:O2036">
    <cfRule type="expression" dxfId="10641" priority="67360">
      <formula>$H2032="CÉLULA CONSTRUTIVA"</formula>
    </cfRule>
    <cfRule type="expression" dxfId="10640" priority="67439">
      <formula>$H2032="SUBETAPA"</formula>
    </cfRule>
  </conditionalFormatting>
  <conditionalFormatting sqref="O2053 H2052:H2053 J2053:K2053 J2052:L2052 L2053:L2054">
    <cfRule type="expression" dxfId="10639" priority="67361">
      <formula>$H2052="CÉLULA CONSTRUTIVA"</formula>
    </cfRule>
  </conditionalFormatting>
  <conditionalFormatting sqref="O2059:O2060 H2059:H2064">
    <cfRule type="expression" dxfId="10638" priority="67185">
      <formula>$H2059="ETAPA"</formula>
    </cfRule>
  </conditionalFormatting>
  <conditionalFormatting sqref="O2059:O2060">
    <cfRule type="expression" dxfId="10637" priority="67162">
      <formula>$H2059="CÉLULA CONSTRUTIVA"</formula>
    </cfRule>
  </conditionalFormatting>
  <conditionalFormatting sqref="O2063:O2064 O2066 O2072 O2074 O2076:O2077 O2082:O2083">
    <cfRule type="expression" dxfId="10636" priority="68080">
      <formula>$H2063="ETAPA"</formula>
    </cfRule>
  </conditionalFormatting>
  <conditionalFormatting sqref="O2067 H2066:H2067 J2067:K2067 J2066:L2066 K2070:L2070">
    <cfRule type="expression" dxfId="10635" priority="67744">
      <formula>$H2066="CÉLULA CONSTRUTIVA"</formula>
    </cfRule>
  </conditionalFormatting>
  <conditionalFormatting sqref="O2073 J2082:L2083 J2073:L2073 H2073">
    <cfRule type="expression" dxfId="10634" priority="68082">
      <formula>$H2073="CÉLULA CONSTRUTIVA"</formula>
    </cfRule>
  </conditionalFormatting>
  <conditionalFormatting sqref="O2073 L2078 J2082:L2083 J2073:L2073 H2073">
    <cfRule type="expression" dxfId="10633" priority="68081">
      <formula>$H2073="SUBETAPA"</formula>
    </cfRule>
  </conditionalFormatting>
  <conditionalFormatting sqref="O2073">
    <cfRule type="expression" dxfId="10632" priority="68004">
      <formula>$H2073="ETAPA"</formula>
    </cfRule>
  </conditionalFormatting>
  <conditionalFormatting sqref="O2074 O2076:O2077 O2082:O2083 O2072 O2063:O2064 O2066">
    <cfRule type="expression" dxfId="10631" priority="68000">
      <formula>$H2063="CÉLULA CONSTRUTIVA"</formula>
    </cfRule>
    <cfRule type="expression" dxfId="10630" priority="68079">
      <formula>$H2063="SUBETAPA"</formula>
    </cfRule>
  </conditionalFormatting>
  <conditionalFormatting sqref="O2075 H2074:H2075 J2075:K2075 J2074:L2074 H2079:H2080 J2079:L2080 L2075:L2076">
    <cfRule type="expression" dxfId="10629" priority="68001">
      <formula>$H2074="CÉLULA CONSTRUTIVA"</formula>
    </cfRule>
  </conditionalFormatting>
  <conditionalFormatting sqref="O2084:O2085 O2087 O2092 O2094:O2096">
    <cfRule type="expression" dxfId="10628" priority="68720">
      <formula>$H2084="ETAPA"</formula>
    </cfRule>
  </conditionalFormatting>
  <conditionalFormatting sqref="O2088 H2087:H2088 J2088:K2088 J2087:L2087 K2090">
    <cfRule type="expression" dxfId="10627" priority="68384">
      <formula>$H2087="CÉLULA CONSTRUTIVA"</formula>
    </cfRule>
  </conditionalFormatting>
  <conditionalFormatting sqref="O2093 J2093:L2093 H2093">
    <cfRule type="expression" dxfId="10626" priority="68722">
      <formula>$H2093="CÉLULA CONSTRUTIVA"</formula>
    </cfRule>
  </conditionalFormatting>
  <conditionalFormatting sqref="O2093 L2097 J2093:L2093 H2093">
    <cfRule type="expression" dxfId="10625" priority="68721">
      <formula>$H2093="SUBETAPA"</formula>
    </cfRule>
  </conditionalFormatting>
  <conditionalFormatting sqref="O2094:O2096 O2092 O2084:O2085 O2087">
    <cfRule type="expression" dxfId="10624" priority="68640">
      <formula>$H2084="CÉLULA CONSTRUTIVA"</formula>
    </cfRule>
    <cfRule type="expression" dxfId="10623" priority="68719">
      <formula>$H2084="SUBETAPA"</formula>
    </cfRule>
  </conditionalFormatting>
  <conditionalFormatting sqref="O2101:O2102 O2104 O2110:O2112">
    <cfRule type="expression" dxfId="10622" priority="69360">
      <formula>$H2101="ETAPA"</formula>
    </cfRule>
  </conditionalFormatting>
  <conditionalFormatting sqref="O2105 H2104:H2105 J2105:K2105 J2104:L2104 K2107">
    <cfRule type="expression" dxfId="10621" priority="69024">
      <formula>$H2104="CÉLULA CONSTRUTIVA"</formula>
    </cfRule>
  </conditionalFormatting>
  <conditionalFormatting sqref="O2109 J2109:L2109 H2109">
    <cfRule type="expression" dxfId="10620" priority="69362">
      <formula>$H2109="CÉLULA CONSTRUTIVA"</formula>
    </cfRule>
  </conditionalFormatting>
  <conditionalFormatting sqref="O2109 L2113 J2109:L2109 H2109">
    <cfRule type="expression" dxfId="10619" priority="69361">
      <formula>$H2109="SUBETAPA"</formula>
    </cfRule>
  </conditionalFormatting>
  <conditionalFormatting sqref="O2110:O2112 O2101:O2102 O2104">
    <cfRule type="expression" dxfId="10618" priority="69280">
      <formula>$H2101="CÉLULA CONSTRUTIVA"</formula>
    </cfRule>
    <cfRule type="expression" dxfId="10617" priority="69359">
      <formula>$H2101="SUBETAPA"</formula>
    </cfRule>
  </conditionalFormatting>
  <conditionalFormatting sqref="O2117:O2118 O2120 O2125 O2127:O2129">
    <cfRule type="expression" dxfId="10616" priority="70000">
      <formula>$H2117="ETAPA"</formula>
    </cfRule>
  </conditionalFormatting>
  <conditionalFormatting sqref="O2121 H2120:H2121 J2121:K2121 J2120:L2120 K2123">
    <cfRule type="expression" dxfId="10615" priority="69664">
      <formula>$H2120="CÉLULA CONSTRUTIVA"</formula>
    </cfRule>
  </conditionalFormatting>
  <conditionalFormatting sqref="O2126 J2126:L2126 H2126">
    <cfRule type="expression" dxfId="10614" priority="70002">
      <formula>$H2126="CÉLULA CONSTRUTIVA"</formula>
    </cfRule>
  </conditionalFormatting>
  <conditionalFormatting sqref="O2126 L2130 J2126:L2126 H2126">
    <cfRule type="expression" dxfId="10613" priority="70001">
      <formula>$H2126="SUBETAPA"</formula>
    </cfRule>
  </conditionalFormatting>
  <conditionalFormatting sqref="O2127:O2129 O2125 O2117:O2118 O2120">
    <cfRule type="expression" dxfId="10612" priority="69920">
      <formula>$H2117="CÉLULA CONSTRUTIVA"</formula>
    </cfRule>
    <cfRule type="expression" dxfId="10611" priority="69999">
      <formula>$H2117="SUBETAPA"</formula>
    </cfRule>
  </conditionalFormatting>
  <conditionalFormatting sqref="O2134:O2135 O2137 O2139:O2143 O2145:O2147">
    <cfRule type="expression" dxfId="10610" priority="70640">
      <formula>$H2134="ETAPA"</formula>
    </cfRule>
  </conditionalFormatting>
  <conditionalFormatting sqref="O2138 H2137:H2138 J2138:K2138 J2137:L2137 H2140:H2141 O2140:O2142 J2140:L2140 K2141">
    <cfRule type="expression" dxfId="10609" priority="70304">
      <formula>$H2137="CÉLULA CONSTRUTIVA"</formula>
    </cfRule>
  </conditionalFormatting>
  <conditionalFormatting sqref="O2144 J2144:L2144 H2144">
    <cfRule type="expression" dxfId="10608" priority="70642">
      <formula>$H2144="CÉLULA CONSTRUTIVA"</formula>
    </cfRule>
  </conditionalFormatting>
  <conditionalFormatting sqref="O2144 L2148 J2144:L2144 H2144">
    <cfRule type="expression" dxfId="10607" priority="70641">
      <formula>$H2144="SUBETAPA"</formula>
    </cfRule>
  </conditionalFormatting>
  <conditionalFormatting sqref="O2145:O2147 O2143 O2134:O2135 O2137">
    <cfRule type="expression" dxfId="10606" priority="70560">
      <formula>$H2134="CÉLULA CONSTRUTIVA"</formula>
    </cfRule>
    <cfRule type="expression" dxfId="10605" priority="70639">
      <formula>$H2134="SUBETAPA"</formula>
    </cfRule>
  </conditionalFormatting>
  <conditionalFormatting sqref="O2152:O2153 O2155 O2160 O2169 O2171 O2173 O2178:O2179">
    <cfRule type="expression" dxfId="10604" priority="71280">
      <formula>$H2152="ETAPA"</formula>
    </cfRule>
  </conditionalFormatting>
  <conditionalFormatting sqref="O2156 H2155:H2156 J2156:K2156 J2155:L2155 K2158">
    <cfRule type="expression" dxfId="10603" priority="70944">
      <formula>$H2155="CÉLULA CONSTRUTIVA"</formula>
    </cfRule>
  </conditionalFormatting>
  <conditionalFormatting sqref="O2161 H2161 J2161:L2161">
    <cfRule type="expression" dxfId="10602" priority="70795">
      <formula>$H2161="SUBETAPA"</formula>
    </cfRule>
  </conditionalFormatting>
  <conditionalFormatting sqref="O2165">
    <cfRule type="expression" dxfId="10601" priority="70787">
      <formula>$H2165="CÉLULA CONSTRUTIVA"</formula>
    </cfRule>
    <cfRule type="expression" dxfId="10600" priority="70817">
      <formula>$H2165="SUBETAPA"</formula>
    </cfRule>
  </conditionalFormatting>
  <conditionalFormatting sqref="O2165:O2166">
    <cfRule type="expression" dxfId="10599" priority="70818">
      <formula>$H2165="ETAPA"</formula>
    </cfRule>
  </conditionalFormatting>
  <conditionalFormatting sqref="O2166 H2166 K2166">
    <cfRule type="expression" dxfId="10598" priority="70999">
      <formula>$H2166="SUBETAPA"</formula>
    </cfRule>
  </conditionalFormatting>
  <conditionalFormatting sqref="O2168 H2172 H2178:H2180 O2180 J2178:L2179 J2172:L2172 J2168:L2168 H2168 K2180:L2180">
    <cfRule type="expression" dxfId="10597" priority="71282">
      <formula>$H2168="CÉLULA CONSTRUTIVA"</formula>
    </cfRule>
  </conditionalFormatting>
  <conditionalFormatting sqref="O2168 L2172 L2174 O2180 H2178:H2180 J2178:L2179 J2168:L2168 H2168 K2180:L2180">
    <cfRule type="expression" dxfId="10596" priority="71281">
      <formula>$H2168="SUBETAPA"</formula>
    </cfRule>
  </conditionalFormatting>
  <conditionalFormatting sqref="O2169 O2171 O2173 O2178:O2179 O2160 O2152:O2153 O2155">
    <cfRule type="expression" dxfId="10595" priority="71200">
      <formula>$H2152="CÉLULA CONSTRUTIVA"</formula>
    </cfRule>
    <cfRule type="expression" dxfId="10594" priority="71279">
      <formula>$H2152="SUBETAPA"</formula>
    </cfRule>
  </conditionalFormatting>
  <conditionalFormatting sqref="O2170 H2169:H2170 J2170:K2170 J2169:L2169 L2170:L2171">
    <cfRule type="expression" dxfId="10593" priority="71201">
      <formula>$H2169="CÉLULA CONSTRUTIVA"</formula>
    </cfRule>
  </conditionalFormatting>
  <conditionalFormatting sqref="O2181:O2182 O2187 O2191 O2201 O2203:O2204 O2208:O2209">
    <cfRule type="expression" dxfId="10592" priority="71920">
      <formula>$H2181="ETAPA"</formula>
    </cfRule>
  </conditionalFormatting>
  <conditionalFormatting sqref="O2188:O2190">
    <cfRule type="expression" dxfId="10591" priority="71375">
      <formula>$H2188="ETAPA"</formula>
    </cfRule>
  </conditionalFormatting>
  <conditionalFormatting sqref="O2190 H2190 K2190">
    <cfRule type="expression" dxfId="10590" priority="71639">
      <formula>$H2190="SUBETAPA"</formula>
    </cfRule>
  </conditionalFormatting>
  <conditionalFormatting sqref="O2191 O2201 O2203:O2204 O2208:O2209 O2187 O2181:O2182">
    <cfRule type="expression" dxfId="10589" priority="71840">
      <formula>$H2181="CÉLULA CONSTRUTIVA"</formula>
    </cfRule>
    <cfRule type="expression" dxfId="10588" priority="71919">
      <formula>$H2181="SUBETAPA"</formula>
    </cfRule>
  </conditionalFormatting>
  <conditionalFormatting sqref="O2196">
    <cfRule type="expression" dxfId="10587" priority="71335">
      <formula>$H2196="CÉLULA CONSTRUTIVA"</formula>
    </cfRule>
    <cfRule type="expression" dxfId="10586" priority="71363">
      <formula>$H2196="SUBETAPA"</formula>
    </cfRule>
    <cfRule type="expression" dxfId="10585" priority="71364">
      <formula>$H2196="ETAPA"</formula>
    </cfRule>
  </conditionalFormatting>
  <conditionalFormatting sqref="O2200 J2208:L2209 J2200:L2200 H2200">
    <cfRule type="expression" dxfId="10584" priority="71922">
      <formula>$H2200="CÉLULA CONSTRUTIVA"</formula>
    </cfRule>
  </conditionalFormatting>
  <conditionalFormatting sqref="O2200 L2205 J2208:L2209 J2200:L2200 H2200">
    <cfRule type="expression" dxfId="10583" priority="71921">
      <formula>$H2200="SUBETAPA"</formula>
    </cfRule>
  </conditionalFormatting>
  <conditionalFormatting sqref="O2202 H2201:H2202 J2202:K2202 J2201:L2201 L2202:L2203">
    <cfRule type="expression" dxfId="10582" priority="71841">
      <formula>$H2201="CÉLULA CONSTRUTIVA"</formula>
    </cfRule>
  </conditionalFormatting>
  <conditionalFormatting sqref="O2210:O2211 O2218 O2222 O2224:O2225 O2228:O2229">
    <cfRule type="expression" dxfId="10581" priority="72560">
      <formula>$H2210="ETAPA"</formula>
    </cfRule>
  </conditionalFormatting>
  <conditionalFormatting sqref="O2213">
    <cfRule type="expression" dxfId="10580" priority="72105">
      <formula>$H2213="SUBETAPA"</formula>
    </cfRule>
    <cfRule type="expression" dxfId="10579" priority="72106">
      <formula>$H2213="CÉLULA CONSTRUTIVA"</formula>
    </cfRule>
    <cfRule type="expression" dxfId="10578" priority="72107">
      <formula>$H2213="ETAPA"</formula>
    </cfRule>
  </conditionalFormatting>
  <conditionalFormatting sqref="O2214 H2210:H2211 O2221">
    <cfRule type="expression" dxfId="10577" priority="72484">
      <formula>$H2210="ETAPA"</formula>
    </cfRule>
  </conditionalFormatting>
  <conditionalFormatting sqref="O2214">
    <cfRule type="expression" dxfId="10576" priority="72251">
      <formula>$H2214="SUBETAPA"</formula>
    </cfRule>
    <cfRule type="expression" dxfId="10575" priority="72252">
      <formula>$H2214="CÉLULA CONSTRUTIVA"</formula>
    </cfRule>
  </conditionalFormatting>
  <conditionalFormatting sqref="O2219 H2219 K2219">
    <cfRule type="expression" dxfId="10574" priority="72279">
      <formula>$H2219="SUBETAPA"</formula>
    </cfRule>
  </conditionalFormatting>
  <conditionalFormatting sqref="O2219">
    <cfRule type="expression" dxfId="10573" priority="72277">
      <formula>$H2219="ETAPA"</formula>
    </cfRule>
  </conditionalFormatting>
  <conditionalFormatting sqref="O2221 J2228:L2229 J2221:L2221 H2221 L2223:L2224">
    <cfRule type="expression" dxfId="10572" priority="72562">
      <formula>$H2221="CÉLULA CONSTRUTIVA"</formula>
    </cfRule>
  </conditionalFormatting>
  <conditionalFormatting sqref="O2221 L2226 J2228:L2229 J2221:L2221 H2221">
    <cfRule type="expression" dxfId="10571" priority="72561">
      <formula>$H2221="SUBETAPA"</formula>
    </cfRule>
  </conditionalFormatting>
  <conditionalFormatting sqref="O2222 O2224:O2225 O2228:O2229 O2218 O2210:O2211">
    <cfRule type="expression" dxfId="10570" priority="72480">
      <formula>$H2210="CÉLULA CONSTRUTIVA"</formula>
    </cfRule>
    <cfRule type="expression" dxfId="10569" priority="72559">
      <formula>$H2210="SUBETAPA"</formula>
    </cfRule>
  </conditionalFormatting>
  <conditionalFormatting sqref="O2223 H2222:H2223 J2223:K2223 J2222:L2222">
    <cfRule type="expression" dxfId="10568" priority="72481">
      <formula>$H2222="CÉLULA CONSTRUTIVA"</formula>
    </cfRule>
  </conditionalFormatting>
  <conditionalFormatting sqref="O2230:O2231 O2238 O2242 O2244:O2245 O2248:O2249">
    <cfRule type="expression" dxfId="10567" priority="73200">
      <formula>$H2230="ETAPA"</formula>
    </cfRule>
  </conditionalFormatting>
  <conditionalFormatting sqref="O2233">
    <cfRule type="expression" dxfId="10566" priority="72745">
      <formula>$H2233="SUBETAPA"</formula>
    </cfRule>
    <cfRule type="expression" dxfId="10565" priority="72746">
      <formula>$H2233="CÉLULA CONSTRUTIVA"</formula>
    </cfRule>
    <cfRule type="expression" dxfId="10564" priority="72747">
      <formula>$H2233="ETAPA"</formula>
    </cfRule>
  </conditionalFormatting>
  <conditionalFormatting sqref="O2234 O2241">
    <cfRule type="expression" dxfId="10563" priority="73124">
      <formula>$H2234="ETAPA"</formula>
    </cfRule>
  </conditionalFormatting>
  <conditionalFormatting sqref="O2234">
    <cfRule type="expression" dxfId="10562" priority="72891">
      <formula>$H2234="SUBETAPA"</formula>
    </cfRule>
    <cfRule type="expression" dxfId="10561" priority="72892">
      <formula>$H2234="CÉLULA CONSTRUTIVA"</formula>
    </cfRule>
  </conditionalFormatting>
  <conditionalFormatting sqref="O2239 H2239 K2239">
    <cfRule type="expression" dxfId="10560" priority="72919">
      <formula>$H2239="SUBETAPA"</formula>
    </cfRule>
  </conditionalFormatting>
  <conditionalFormatting sqref="O2239">
    <cfRule type="expression" dxfId="10559" priority="72917">
      <formula>$H2239="ETAPA"</formula>
    </cfRule>
  </conditionalFormatting>
  <conditionalFormatting sqref="O2241 L2243 J2248:L2249 J2241:L2241 H2241">
    <cfRule type="expression" dxfId="10558" priority="73202">
      <formula>$H2241="CÉLULA CONSTRUTIVA"</formula>
    </cfRule>
  </conditionalFormatting>
  <conditionalFormatting sqref="O2241 L2243 L2246 J2248:L2249 J2241:L2241 H2241">
    <cfRule type="expression" dxfId="10557" priority="73201">
      <formula>$H2241="SUBETAPA"</formula>
    </cfRule>
  </conditionalFormatting>
  <conditionalFormatting sqref="O2242 O2244:O2245 O2248:O2249 O2238 O2230:O2231">
    <cfRule type="expression" dxfId="10556" priority="73120">
      <formula>$H2230="CÉLULA CONSTRUTIVA"</formula>
    </cfRule>
    <cfRule type="expression" dxfId="10555" priority="73199">
      <formula>$H2230="SUBETAPA"</formula>
    </cfRule>
  </conditionalFormatting>
  <conditionalFormatting sqref="O2243 H2242:H2243 J2243:K2243 J2242:L2242">
    <cfRule type="expression" dxfId="10554" priority="73121">
      <formula>$H2242="CÉLULA CONSTRUTIVA"</formula>
    </cfRule>
  </conditionalFormatting>
  <conditionalFormatting sqref="O2250:O2251 O2258 O2264 O2266:O2267 O2271:O2272">
    <cfRule type="expression" dxfId="10553" priority="73840">
      <formula>$H2250="ETAPA"</formula>
    </cfRule>
  </conditionalFormatting>
  <conditionalFormatting sqref="O2253">
    <cfRule type="expression" dxfId="10552" priority="73385">
      <formula>$H2253="SUBETAPA"</formula>
    </cfRule>
    <cfRule type="expression" dxfId="10551" priority="73386">
      <formula>$H2253="CÉLULA CONSTRUTIVA"</formula>
    </cfRule>
    <cfRule type="expression" dxfId="10550" priority="73387">
      <formula>$H2253="ETAPA"</formula>
    </cfRule>
  </conditionalFormatting>
  <conditionalFormatting sqref="O2254 O2263">
    <cfRule type="expression" dxfId="10549" priority="73764">
      <formula>$H2254="ETAPA"</formula>
    </cfRule>
  </conditionalFormatting>
  <conditionalFormatting sqref="O2254">
    <cfRule type="expression" dxfId="10548" priority="73531">
      <formula>$H2254="SUBETAPA"</formula>
    </cfRule>
    <cfRule type="expression" dxfId="10547" priority="73532">
      <formula>$H2254="CÉLULA CONSTRUTIVA"</formula>
    </cfRule>
  </conditionalFormatting>
  <conditionalFormatting sqref="O2259 H2259 K2259">
    <cfRule type="expression" dxfId="10546" priority="73671">
      <formula>$H2259="SUBETAPA"</formula>
    </cfRule>
  </conditionalFormatting>
  <conditionalFormatting sqref="O2259:O2261">
    <cfRule type="expression" dxfId="10545" priority="73288">
      <formula>$H2259="ETAPA"</formula>
    </cfRule>
  </conditionalFormatting>
  <conditionalFormatting sqref="O2261 H2261 K2261">
    <cfRule type="expression" dxfId="10544" priority="73559">
      <formula>$H2261="SUBETAPA"</formula>
    </cfRule>
  </conditionalFormatting>
  <conditionalFormatting sqref="O2263 L2265 J2271:L2272">
    <cfRule type="expression" dxfId="10543" priority="73842">
      <formula>$H2263="CÉLULA CONSTRUTIVA"</formula>
    </cfRule>
  </conditionalFormatting>
  <conditionalFormatting sqref="O2263 L2265 L2268 J2271:L2272">
    <cfRule type="expression" dxfId="10542" priority="73841">
      <formula>$H2263="SUBETAPA"</formula>
    </cfRule>
  </conditionalFormatting>
  <conditionalFormatting sqref="O2264 O2266:O2267 O2271:O2272 O2258 O2250:O2251">
    <cfRule type="expression" dxfId="10541" priority="73760">
      <formula>$H2250="CÉLULA CONSTRUTIVA"</formula>
    </cfRule>
    <cfRule type="expression" dxfId="10540" priority="73839">
      <formula>$H2250="SUBETAPA"</formula>
    </cfRule>
  </conditionalFormatting>
  <conditionalFormatting sqref="O2265 H2264:H2265 J2265:K2265 J2264:L2264">
    <cfRule type="expression" dxfId="10539" priority="73761">
      <formula>$H2264="CÉLULA CONSTRUTIVA"</formula>
    </cfRule>
  </conditionalFormatting>
  <conditionalFormatting sqref="O2273:O2274 O2281 O2288 O2290:O2291 O2295:O2296">
    <cfRule type="expression" dxfId="10538" priority="74480">
      <formula>$H2273="ETAPA"</formula>
    </cfRule>
  </conditionalFormatting>
  <conditionalFormatting sqref="O2276">
    <cfRule type="expression" dxfId="10537" priority="74025">
      <formula>$H2276="SUBETAPA"</formula>
    </cfRule>
    <cfRule type="expression" dxfId="10536" priority="74026">
      <formula>$H2276="CÉLULA CONSTRUTIVA"</formula>
    </cfRule>
    <cfRule type="expression" dxfId="10535" priority="74027">
      <formula>$H2276="ETAPA"</formula>
    </cfRule>
  </conditionalFormatting>
  <conditionalFormatting sqref="O2277 O2287">
    <cfRule type="expression" dxfId="10534" priority="74404">
      <formula>$H2277="ETAPA"</formula>
    </cfRule>
  </conditionalFormatting>
  <conditionalFormatting sqref="O2277">
    <cfRule type="expression" dxfId="10533" priority="74171">
      <formula>$H2277="SUBETAPA"</formula>
    </cfRule>
    <cfRule type="expression" dxfId="10532" priority="74172">
      <formula>$H2277="CÉLULA CONSTRUTIVA"</formula>
    </cfRule>
  </conditionalFormatting>
  <conditionalFormatting sqref="O2282 H2282 K2282">
    <cfRule type="expression" dxfId="10531" priority="74311">
      <formula>$H2282="SUBETAPA"</formula>
    </cfRule>
  </conditionalFormatting>
  <conditionalFormatting sqref="O2282:O2285">
    <cfRule type="expression" dxfId="10530" priority="73928">
      <formula>$H2282="ETAPA"</formula>
    </cfRule>
  </conditionalFormatting>
  <conditionalFormatting sqref="O2285 H2285 K2285">
    <cfRule type="expression" dxfId="10529" priority="74199">
      <formula>$H2285="SUBETAPA"</formula>
    </cfRule>
  </conditionalFormatting>
  <conditionalFormatting sqref="O2287 L2289 J2295:L2296">
    <cfRule type="expression" dxfId="10528" priority="74482">
      <formula>$H2287="CÉLULA CONSTRUTIVA"</formula>
    </cfRule>
  </conditionalFormatting>
  <conditionalFormatting sqref="O2287 L2289 L2292 J2295:L2296">
    <cfRule type="expression" dxfId="10527" priority="74481">
      <formula>$H2287="SUBETAPA"</formula>
    </cfRule>
  </conditionalFormatting>
  <conditionalFormatting sqref="O2288 O2290:O2291 O2295:O2296 O2281 O2273:O2274">
    <cfRule type="expression" dxfId="10526" priority="74400">
      <formula>$H2273="CÉLULA CONSTRUTIVA"</formula>
    </cfRule>
    <cfRule type="expression" dxfId="10525" priority="74479">
      <formula>$H2273="SUBETAPA"</formula>
    </cfRule>
  </conditionalFormatting>
  <conditionalFormatting sqref="O2289 H2288:H2289 J2289:K2289 J2288:L2288">
    <cfRule type="expression" dxfId="10524" priority="74401">
      <formula>$H2288="CÉLULA CONSTRUTIVA"</formula>
    </cfRule>
  </conditionalFormatting>
  <conditionalFormatting sqref="O2297:O2298 O2306 O2311 O2313 O2319:O2320">
    <cfRule type="expression" dxfId="10523" priority="75120">
      <formula>$H2297="ETAPA"</formula>
    </cfRule>
  </conditionalFormatting>
  <conditionalFormatting sqref="O2299:O2300 H2299:H2300 K2299:K2300">
    <cfRule type="expression" dxfId="10522" priority="74740">
      <formula>$H2299="SUBETAPA"</formula>
    </cfRule>
  </conditionalFormatting>
  <conditionalFormatting sqref="O2299:O2301">
    <cfRule type="expression" dxfId="10521" priority="74667">
      <formula>$H2299="ETAPA"</formula>
    </cfRule>
  </conditionalFormatting>
  <conditionalFormatting sqref="O2301">
    <cfRule type="expression" dxfId="10520" priority="74665">
      <formula>$H2301="SUBETAPA"</formula>
    </cfRule>
    <cfRule type="expression" dxfId="10519" priority="74666">
      <formula>$H2301="CÉLULA CONSTRUTIVA"</formula>
    </cfRule>
  </conditionalFormatting>
  <conditionalFormatting sqref="O2302">
    <cfRule type="expression" dxfId="10518" priority="74811">
      <formula>$H2302="SUBETAPA"</formula>
    </cfRule>
    <cfRule type="expression" dxfId="10517" priority="74812">
      <formula>$H2302="CÉLULA CONSTRUTIVA"</formula>
    </cfRule>
    <cfRule type="expression" dxfId="10516" priority="75044">
      <formula>$H2302="ETAPA"</formula>
    </cfRule>
  </conditionalFormatting>
  <conditionalFormatting sqref="O2307 H2307 K2307">
    <cfRule type="expression" dxfId="10515" priority="74951">
      <formula>$H2307="SUBETAPA"</formula>
    </cfRule>
  </conditionalFormatting>
  <conditionalFormatting sqref="O2307:O2310">
    <cfRule type="expression" dxfId="10514" priority="74569">
      <formula>$H2307="ETAPA"</formula>
    </cfRule>
  </conditionalFormatting>
  <conditionalFormatting sqref="O2310 L2312 K2314:L2315 J2319:L2320 J2310:L2310 H2310">
    <cfRule type="expression" dxfId="10513" priority="75122">
      <formula>$H2310="CÉLULA CONSTRUTIVA"</formula>
    </cfRule>
  </conditionalFormatting>
  <conditionalFormatting sqref="O2310 L2312 L2314 J2319:L2320 J2310:L2310 H2310">
    <cfRule type="expression" dxfId="10512" priority="75121">
      <formula>$H2310="SUBETAPA"</formula>
    </cfRule>
  </conditionalFormatting>
  <conditionalFormatting sqref="O2311 O2313 O2319:O2320 O2306 O2297:O2298">
    <cfRule type="expression" dxfId="10511" priority="75040">
      <formula>$H2297="CÉLULA CONSTRUTIVA"</formula>
    </cfRule>
    <cfRule type="expression" dxfId="10510" priority="75119">
      <formula>$H2297="SUBETAPA"</formula>
    </cfRule>
  </conditionalFormatting>
  <conditionalFormatting sqref="O2312 H2311:H2312 J2312:K2312 J2311:L2311">
    <cfRule type="expression" dxfId="10509" priority="75041">
      <formula>$H2311="CÉLULA CONSTRUTIVA"</formula>
    </cfRule>
  </conditionalFormatting>
  <conditionalFormatting sqref="O2317:O2318 H2317:H2322">
    <cfRule type="expression" dxfId="10508" priority="74865">
      <formula>$H2317="ETAPA"</formula>
    </cfRule>
  </conditionalFormatting>
  <conditionalFormatting sqref="O2317:O2318">
    <cfRule type="expression" dxfId="10507" priority="74842">
      <formula>$H2317="CÉLULA CONSTRUTIVA"</formula>
    </cfRule>
  </conditionalFormatting>
  <conditionalFormatting sqref="O2321:O2322 O2328 O2330 O2333:O2334">
    <cfRule type="expression" dxfId="10506" priority="75760">
      <formula>$H2321="ETAPA"</formula>
    </cfRule>
  </conditionalFormatting>
  <conditionalFormatting sqref="O2327 L2329 J2333:L2334 J2327:L2327 H2327">
    <cfRule type="expression" dxfId="10505" priority="75762">
      <formula>$H2327="CÉLULA CONSTRUTIVA"</formula>
    </cfRule>
  </conditionalFormatting>
  <conditionalFormatting sqref="O2327 L2329 L2331 J2333:L2334 J2327:L2327 H2327">
    <cfRule type="expression" dxfId="10504" priority="75761">
      <formula>$H2327="SUBETAPA"</formula>
    </cfRule>
  </conditionalFormatting>
  <conditionalFormatting sqref="O2327">
    <cfRule type="expression" dxfId="10503" priority="75684">
      <formula>$H2327="ETAPA"</formula>
    </cfRule>
  </conditionalFormatting>
  <conditionalFormatting sqref="O2328 O2330 O2333:O2334 O2321:O2322">
    <cfRule type="expression" dxfId="10502" priority="75680">
      <formula>$H2321="CÉLULA CONSTRUTIVA"</formula>
    </cfRule>
    <cfRule type="expression" dxfId="10501" priority="75759">
      <formula>$H2321="SUBETAPA"</formula>
    </cfRule>
  </conditionalFormatting>
  <conditionalFormatting sqref="O2329 H2328:H2329 J2329:K2329 J2328:L2328">
    <cfRule type="expression" dxfId="10500" priority="75681">
      <formula>$H2328="CÉLULA CONSTRUTIVA"</formula>
    </cfRule>
  </conditionalFormatting>
  <conditionalFormatting sqref="O2338 O2335:O2336">
    <cfRule type="expression" dxfId="10499" priority="86530">
      <formula>$H2335="CÉLULA CONSTRUTIVA"</formula>
    </cfRule>
  </conditionalFormatting>
  <conditionalFormatting sqref="O2340">
    <cfRule type="expression" dxfId="10498" priority="59930">
      <formula>$H2340="CÉLULA CONSTRUTIVA"</formula>
    </cfRule>
  </conditionalFormatting>
  <conditionalFormatting sqref="O2342 O2348 O2354">
    <cfRule type="expression" dxfId="10497" priority="61965">
      <formula>$H2342="SUBETAPA"</formula>
    </cfRule>
    <cfRule type="expression" dxfId="10496" priority="61966">
      <formula>$H2342="ETAPA"</formula>
    </cfRule>
  </conditionalFormatting>
  <conditionalFormatting sqref="O2343:O2344 M2343:M2344">
    <cfRule type="expression" dxfId="10495" priority="61921">
      <formula>$H2343="ETAPA"</formula>
    </cfRule>
  </conditionalFormatting>
  <conditionalFormatting sqref="O2343:O2344">
    <cfRule type="expression" dxfId="10494" priority="61920">
      <formula>$H2343="SUBETAPA"</formula>
    </cfRule>
    <cfRule type="expression" dxfId="10493" priority="61930">
      <formula>$H2343="SUBETAPA"</formula>
    </cfRule>
  </conditionalFormatting>
  <conditionalFormatting sqref="O2343:O2345">
    <cfRule type="expression" dxfId="10492" priority="61931">
      <formula>$H2343="CÉLULA CONSTRUTIVA"</formula>
    </cfRule>
  </conditionalFormatting>
  <conditionalFormatting sqref="O2345:O2346">
    <cfRule type="expression" dxfId="10491" priority="62017">
      <formula>$H2345="SUBETAPA"</formula>
    </cfRule>
    <cfRule type="expression" dxfId="10490" priority="62018">
      <formula>$H2345="CÉLULA CONSTRUTIVA"</formula>
    </cfRule>
  </conditionalFormatting>
  <conditionalFormatting sqref="O2346">
    <cfRule type="expression" dxfId="10489" priority="62019">
      <formula>$H2346="SUBETAPA"</formula>
    </cfRule>
  </conditionalFormatting>
  <conditionalFormatting sqref="O2347 K2347">
    <cfRule type="expression" dxfId="10488" priority="7135">
      <formula>$H2347="SUBETAPA"</formula>
    </cfRule>
    <cfRule type="expression" dxfId="10487" priority="7136">
      <formula>$H2347="CÉLULA CONSTRUTIVA"</formula>
    </cfRule>
  </conditionalFormatting>
  <conditionalFormatting sqref="O2347">
    <cfRule type="expression" dxfId="10486" priority="7127">
      <formula>$H2347="ETAPA"</formula>
    </cfRule>
  </conditionalFormatting>
  <conditionalFormatting sqref="O2349:O2350">
    <cfRule type="expression" dxfId="10485" priority="61803">
      <formula>$H2349="CÉLULA CONSTRUTIVA"</formula>
    </cfRule>
  </conditionalFormatting>
  <conditionalFormatting sqref="O2357:O2358">
    <cfRule type="expression" dxfId="10484" priority="61898">
      <formula>$H2357="ETAPA"</formula>
    </cfRule>
  </conditionalFormatting>
  <conditionalFormatting sqref="O2358">
    <cfRule type="expression" dxfId="10483" priority="61981">
      <formula>$H2358="SUBETAPA"</formula>
    </cfRule>
  </conditionalFormatting>
  <conditionalFormatting sqref="O2363 O2369:O2370 O2378:O2379">
    <cfRule type="expression" dxfId="10482" priority="62205">
      <formula>$H2363="ETAPA"</formula>
    </cfRule>
  </conditionalFormatting>
  <conditionalFormatting sqref="O2363 O2370 O2378">
    <cfRule type="expression" dxfId="10481" priority="62204">
      <formula>$H2363="SUBETAPA"</formula>
    </cfRule>
  </conditionalFormatting>
  <conditionalFormatting sqref="O2364:O2365 M2364:M2365">
    <cfRule type="expression" dxfId="10480" priority="62160">
      <formula>$H2364="ETAPA"</formula>
    </cfRule>
  </conditionalFormatting>
  <conditionalFormatting sqref="O2364:O2365">
    <cfRule type="expression" dxfId="10479" priority="62159">
      <formula>$H2364="SUBETAPA"</formula>
    </cfRule>
    <cfRule type="expression" dxfId="10478" priority="62169">
      <formula>$H2364="SUBETAPA"</formula>
    </cfRule>
  </conditionalFormatting>
  <conditionalFormatting sqref="O2364:O2366">
    <cfRule type="expression" dxfId="10477" priority="62170">
      <formula>$H2364="CÉLULA CONSTRUTIVA"</formula>
    </cfRule>
  </conditionalFormatting>
  <conditionalFormatting sqref="O2366:O2367">
    <cfRule type="expression" dxfId="10476" priority="62256">
      <formula>$H2366="SUBETAPA"</formula>
    </cfRule>
    <cfRule type="expression" dxfId="10475" priority="62257">
      <formula>$H2366="CÉLULA CONSTRUTIVA"</formula>
    </cfRule>
  </conditionalFormatting>
  <conditionalFormatting sqref="O2367">
    <cfRule type="expression" dxfId="10474" priority="62258">
      <formula>$H2367="SUBETAPA"</formula>
    </cfRule>
  </conditionalFormatting>
  <conditionalFormatting sqref="O2368 K2368">
    <cfRule type="expression" dxfId="10473" priority="7106">
      <formula>$H2368="SUBETAPA"</formula>
    </cfRule>
    <cfRule type="expression" dxfId="10472" priority="7107">
      <formula>$H2368="CÉLULA CONSTRUTIVA"</formula>
    </cfRule>
  </conditionalFormatting>
  <conditionalFormatting sqref="O2368">
    <cfRule type="expression" dxfId="10471" priority="7104">
      <formula>$H2368="ETAPA"</formula>
    </cfRule>
  </conditionalFormatting>
  <conditionalFormatting sqref="O2371:O2372">
    <cfRule type="expression" dxfId="10470" priority="62042">
      <formula>$H2371="CÉLULA CONSTRUTIVA"</formula>
    </cfRule>
  </conditionalFormatting>
  <conditionalFormatting sqref="O2373:O2374">
    <cfRule type="expression" dxfId="10469" priority="62020">
      <formula>$H2373="CÉLULA CONSTRUTIVA"</formula>
    </cfRule>
  </conditionalFormatting>
  <conditionalFormatting sqref="O2379 O2384 H2369 H2379 J2369:K2369 J2379:K2379 J2383:J2385">
    <cfRule type="expression" dxfId="10468" priority="62220">
      <formula>$H2369="SUBETAPA"</formula>
    </cfRule>
  </conditionalFormatting>
  <conditionalFormatting sqref="O2380 H2380 J2380:K2380">
    <cfRule type="expression" dxfId="10467" priority="7091">
      <formula>$H2380="SUBETAPA"</formula>
    </cfRule>
  </conditionalFormatting>
  <conditionalFormatting sqref="O2380 J2380:L2380">
    <cfRule type="expression" dxfId="10466" priority="7088">
      <formula>$H2380="ETAPA"</formula>
    </cfRule>
  </conditionalFormatting>
  <conditionalFormatting sqref="O2382:O2384">
    <cfRule type="expression" dxfId="10465" priority="62123">
      <formula>$H2382="ETAPA"</formula>
    </cfRule>
  </conditionalFormatting>
  <conditionalFormatting sqref="O2390 O2396:O2397 O2403:O2404">
    <cfRule type="expression" dxfId="10464" priority="62444">
      <formula>$H2390="ETAPA"</formula>
    </cfRule>
  </conditionalFormatting>
  <conditionalFormatting sqref="O2390 O2397 O2403">
    <cfRule type="expression" dxfId="10463" priority="62443">
      <formula>$H2390="SUBETAPA"</formula>
    </cfRule>
  </conditionalFormatting>
  <conditionalFormatting sqref="O2391:O2392 M2391:M2392">
    <cfRule type="expression" dxfId="10462" priority="62399">
      <formula>$H2391="ETAPA"</formula>
    </cfRule>
  </conditionalFormatting>
  <conditionalFormatting sqref="O2391:O2392">
    <cfRule type="expression" dxfId="10461" priority="62398">
      <formula>$H2391="SUBETAPA"</formula>
    </cfRule>
    <cfRule type="expression" dxfId="10460" priority="62408">
      <formula>$H2391="SUBETAPA"</formula>
    </cfRule>
  </conditionalFormatting>
  <conditionalFormatting sqref="O2391:O2393">
    <cfRule type="expression" dxfId="10459" priority="62409">
      <formula>$H2391="CÉLULA CONSTRUTIVA"</formula>
    </cfRule>
  </conditionalFormatting>
  <conditionalFormatting sqref="O2393:O2394">
    <cfRule type="expression" dxfId="10458" priority="62495">
      <formula>$H2393="SUBETAPA"</formula>
    </cfRule>
    <cfRule type="expression" dxfId="10457" priority="62496">
      <formula>$H2393="CÉLULA CONSTRUTIVA"</formula>
    </cfRule>
  </conditionalFormatting>
  <conditionalFormatting sqref="O2394">
    <cfRule type="expression" dxfId="10456" priority="62497">
      <formula>$H2394="SUBETAPA"</formula>
    </cfRule>
  </conditionalFormatting>
  <conditionalFormatting sqref="O2395 K2395">
    <cfRule type="expression" dxfId="10455" priority="7050">
      <formula>$H2395="SUBETAPA"</formula>
    </cfRule>
    <cfRule type="expression" dxfId="10454" priority="7051">
      <formula>$H2395="CÉLULA CONSTRUTIVA"</formula>
    </cfRule>
  </conditionalFormatting>
  <conditionalFormatting sqref="O2395">
    <cfRule type="expression" dxfId="10453" priority="7048">
      <formula>$H2395="ETAPA"</formula>
    </cfRule>
  </conditionalFormatting>
  <conditionalFormatting sqref="O2398:O2399">
    <cfRule type="expression" dxfId="10452" priority="62281">
      <formula>$H2398="CÉLULA CONSTRUTIVA"</formula>
    </cfRule>
  </conditionalFormatting>
  <conditionalFormatting sqref="O2404 O2409 H2396 H2404 J2396:K2396 J2404:K2404">
    <cfRule type="expression" dxfId="10451" priority="62459">
      <formula>$H2396="SUBETAPA"</formula>
    </cfRule>
  </conditionalFormatting>
  <conditionalFormatting sqref="O2405 H2405 J2405:K2405">
    <cfRule type="expression" dxfId="10450" priority="7035">
      <formula>$H2405="SUBETAPA"</formula>
    </cfRule>
  </conditionalFormatting>
  <conditionalFormatting sqref="O2405 J2405:L2405">
    <cfRule type="expression" dxfId="10449" priority="7032">
      <formula>$H2405="ETAPA"</formula>
    </cfRule>
  </conditionalFormatting>
  <conditionalFormatting sqref="O2407:O2409">
    <cfRule type="expression" dxfId="10448" priority="62362">
      <formula>$H2407="ETAPA"</formula>
    </cfRule>
  </conditionalFormatting>
  <conditionalFormatting sqref="O2414 O2419:O2420 O2426:O2427">
    <cfRule type="expression" dxfId="10447" priority="62683">
      <formula>$H2414="ETAPA"</formula>
    </cfRule>
  </conditionalFormatting>
  <conditionalFormatting sqref="O2414 O2420 O2426">
    <cfRule type="expression" dxfId="10446" priority="62682">
      <formula>$H2414="SUBETAPA"</formula>
    </cfRule>
  </conditionalFormatting>
  <conditionalFormatting sqref="O2415:O2416 M2415:M2416">
    <cfRule type="expression" dxfId="10445" priority="62638">
      <formula>$H2415="ETAPA"</formula>
    </cfRule>
  </conditionalFormatting>
  <conditionalFormatting sqref="O2415:O2416">
    <cfRule type="expression" dxfId="10444" priority="62637">
      <formula>$H2415="SUBETAPA"</formula>
    </cfRule>
    <cfRule type="expression" dxfId="10443" priority="62647">
      <formula>$H2415="SUBETAPA"</formula>
    </cfRule>
  </conditionalFormatting>
  <conditionalFormatting sqref="O2415:O2417">
    <cfRule type="expression" dxfId="10442" priority="62648">
      <formula>$H2415="CÉLULA CONSTRUTIVA"</formula>
    </cfRule>
  </conditionalFormatting>
  <conditionalFormatting sqref="O2418 K2418">
    <cfRule type="expression" dxfId="10441" priority="6994">
      <formula>$H2418="SUBETAPA"</formula>
    </cfRule>
    <cfRule type="expression" dxfId="10440" priority="6995">
      <formula>$H2418="CÉLULA CONSTRUTIVA"</formula>
    </cfRule>
  </conditionalFormatting>
  <conditionalFormatting sqref="O2418">
    <cfRule type="expression" dxfId="10439" priority="6992">
      <formula>$H2418="ETAPA"</formula>
    </cfRule>
  </conditionalFormatting>
  <conditionalFormatting sqref="O2421:O2422">
    <cfRule type="expression" dxfId="10438" priority="62520">
      <formula>$H2421="CÉLULA CONSTRUTIVA"</formula>
    </cfRule>
  </conditionalFormatting>
  <conditionalFormatting sqref="O2427 O2432 H2419 H2427 J2419:K2419 J2427:K2427">
    <cfRule type="expression" dxfId="10437" priority="62698">
      <formula>$H2419="SUBETAPA"</formula>
    </cfRule>
  </conditionalFormatting>
  <conditionalFormatting sqref="O2428 H2428 J2428:K2428">
    <cfRule type="expression" dxfId="10436" priority="6979">
      <formula>$H2428="SUBETAPA"</formula>
    </cfRule>
  </conditionalFormatting>
  <conditionalFormatting sqref="O2428 J2428:L2428">
    <cfRule type="expression" dxfId="10435" priority="6976">
      <formula>$H2428="ETAPA"</formula>
    </cfRule>
  </conditionalFormatting>
  <conditionalFormatting sqref="O2430:O2432">
    <cfRule type="expression" dxfId="10434" priority="62601">
      <formula>$H2430="ETAPA"</formula>
    </cfRule>
  </conditionalFormatting>
  <conditionalFormatting sqref="O2437 O2442:O2443 O2449:O2450">
    <cfRule type="expression" dxfId="10433" priority="62922">
      <formula>$H2437="ETAPA"</formula>
    </cfRule>
  </conditionalFormatting>
  <conditionalFormatting sqref="O2437 O2443 O2449">
    <cfRule type="expression" dxfId="10432" priority="62921">
      <formula>$H2437="SUBETAPA"</formula>
    </cfRule>
  </conditionalFormatting>
  <conditionalFormatting sqref="O2438:O2439 M2438:M2439">
    <cfRule type="expression" dxfId="10431" priority="62877">
      <formula>$H2438="ETAPA"</formula>
    </cfRule>
  </conditionalFormatting>
  <conditionalFormatting sqref="O2438:O2439">
    <cfRule type="expression" dxfId="10430" priority="62876">
      <formula>$H2438="SUBETAPA"</formula>
    </cfRule>
    <cfRule type="expression" dxfId="10429" priority="62886">
      <formula>$H2438="SUBETAPA"</formula>
    </cfRule>
  </conditionalFormatting>
  <conditionalFormatting sqref="O2438:O2440">
    <cfRule type="expression" dxfId="10428" priority="62887">
      <formula>$H2438="CÉLULA CONSTRUTIVA"</formula>
    </cfRule>
  </conditionalFormatting>
  <conditionalFormatting sqref="O2441 K2441">
    <cfRule type="expression" dxfId="10427" priority="6938">
      <formula>$H2441="SUBETAPA"</formula>
    </cfRule>
    <cfRule type="expression" dxfId="10426" priority="6939">
      <formula>$H2441="CÉLULA CONSTRUTIVA"</formula>
    </cfRule>
  </conditionalFormatting>
  <conditionalFormatting sqref="O2441">
    <cfRule type="expression" dxfId="10425" priority="6936">
      <formula>$H2441="ETAPA"</formula>
    </cfRule>
  </conditionalFormatting>
  <conditionalFormatting sqref="O2444:O2445">
    <cfRule type="expression" dxfId="10424" priority="62759">
      <formula>$H2444="CÉLULA CONSTRUTIVA"</formula>
    </cfRule>
  </conditionalFormatting>
  <conditionalFormatting sqref="O2450 O2455 H2442 H2450 J2442:K2442 J2450:K2450">
    <cfRule type="expression" dxfId="10423" priority="62937">
      <formula>$H2442="SUBETAPA"</formula>
    </cfRule>
  </conditionalFormatting>
  <conditionalFormatting sqref="O2451 H2451 J2451:K2451">
    <cfRule type="expression" dxfId="10422" priority="6923">
      <formula>$H2451="SUBETAPA"</formula>
    </cfRule>
  </conditionalFormatting>
  <conditionalFormatting sqref="O2451 J2451:L2451">
    <cfRule type="expression" dxfId="10421" priority="6920">
      <formula>$H2451="ETAPA"</formula>
    </cfRule>
  </conditionalFormatting>
  <conditionalFormatting sqref="O2453:O2455">
    <cfRule type="expression" dxfId="10420" priority="62840">
      <formula>$H2453="ETAPA"</formula>
    </cfRule>
  </conditionalFormatting>
  <conditionalFormatting sqref="O2460 O2466:O2467 O2473:O2474">
    <cfRule type="expression" dxfId="10419" priority="63161">
      <formula>$H2460="ETAPA"</formula>
    </cfRule>
  </conditionalFormatting>
  <conditionalFormatting sqref="O2460 O2467 O2473">
    <cfRule type="expression" dxfId="10418" priority="63160">
      <formula>$H2460="SUBETAPA"</formula>
    </cfRule>
  </conditionalFormatting>
  <conditionalFormatting sqref="O2461:O2462 M2461:M2462">
    <cfRule type="expression" dxfId="10417" priority="63116">
      <formula>$H2461="ETAPA"</formula>
    </cfRule>
  </conditionalFormatting>
  <conditionalFormatting sqref="O2461:O2462">
    <cfRule type="expression" dxfId="10416" priority="63115">
      <formula>$H2461="SUBETAPA"</formula>
    </cfRule>
    <cfRule type="expression" dxfId="10415" priority="63125">
      <formula>$H2461="SUBETAPA"</formula>
    </cfRule>
  </conditionalFormatting>
  <conditionalFormatting sqref="O2461:O2463">
    <cfRule type="expression" dxfId="10414" priority="63126">
      <formula>$H2461="CÉLULA CONSTRUTIVA"</formula>
    </cfRule>
  </conditionalFormatting>
  <conditionalFormatting sqref="O2463:O2464">
    <cfRule type="expression" dxfId="10413" priority="63212">
      <formula>$H2463="SUBETAPA"</formula>
    </cfRule>
    <cfRule type="expression" dxfId="10412" priority="63213">
      <formula>$H2463="CÉLULA CONSTRUTIVA"</formula>
    </cfRule>
  </conditionalFormatting>
  <conditionalFormatting sqref="O2464">
    <cfRule type="expression" dxfId="10411" priority="63214">
      <formula>$H2464="SUBETAPA"</formula>
    </cfRule>
  </conditionalFormatting>
  <conditionalFormatting sqref="O2465 K2465">
    <cfRule type="expression" dxfId="10410" priority="6882">
      <formula>$H2465="SUBETAPA"</formula>
    </cfRule>
    <cfRule type="expression" dxfId="10409" priority="6883">
      <formula>$H2465="CÉLULA CONSTRUTIVA"</formula>
    </cfRule>
  </conditionalFormatting>
  <conditionalFormatting sqref="O2465">
    <cfRule type="expression" dxfId="10408" priority="6880">
      <formula>$H2465="ETAPA"</formula>
    </cfRule>
  </conditionalFormatting>
  <conditionalFormatting sqref="O2468:O2469">
    <cfRule type="expression" dxfId="10407" priority="62998">
      <formula>$H2468="CÉLULA CONSTRUTIVA"</formula>
    </cfRule>
  </conditionalFormatting>
  <conditionalFormatting sqref="O2474 O2479 H2466 H2474 J2466:K2466 J2474:K2474">
    <cfRule type="expression" dxfId="10406" priority="63176">
      <formula>$H2466="SUBETAPA"</formula>
    </cfRule>
  </conditionalFormatting>
  <conditionalFormatting sqref="O2475 H2475 J2475:K2475">
    <cfRule type="expression" dxfId="10405" priority="6867">
      <formula>$H2475="SUBETAPA"</formula>
    </cfRule>
  </conditionalFormatting>
  <conditionalFormatting sqref="O2475 J2475:L2475">
    <cfRule type="expression" dxfId="10404" priority="6864">
      <formula>$H2475="ETAPA"</formula>
    </cfRule>
  </conditionalFormatting>
  <conditionalFormatting sqref="O2477:O2479">
    <cfRule type="expression" dxfId="10403" priority="63079">
      <formula>$H2477="ETAPA"</formula>
    </cfRule>
  </conditionalFormatting>
  <conditionalFormatting sqref="O2484 O2492:O2493 O2501:O2502">
    <cfRule type="expression" dxfId="10402" priority="63400">
      <formula>$H2484="ETAPA"</formula>
    </cfRule>
  </conditionalFormatting>
  <conditionalFormatting sqref="O2484 O2493 O2501">
    <cfRule type="expression" dxfId="10401" priority="63399">
      <formula>$H2484="SUBETAPA"</formula>
    </cfRule>
  </conditionalFormatting>
  <conditionalFormatting sqref="O2485:O2486 M2485:M2486">
    <cfRule type="expression" dxfId="10400" priority="63355">
      <formula>$H2485="ETAPA"</formula>
    </cfRule>
  </conditionalFormatting>
  <conditionalFormatting sqref="O2485:O2486">
    <cfRule type="expression" dxfId="10399" priority="63354">
      <formula>$H2485="SUBETAPA"</formula>
    </cfRule>
    <cfRule type="expression" dxfId="10398" priority="63364">
      <formula>$H2485="SUBETAPA"</formula>
    </cfRule>
  </conditionalFormatting>
  <conditionalFormatting sqref="O2485:O2487">
    <cfRule type="expression" dxfId="10397" priority="63365">
      <formula>$H2485="CÉLULA CONSTRUTIVA"</formula>
    </cfRule>
  </conditionalFormatting>
  <conditionalFormatting sqref="O2489 K2489">
    <cfRule type="expression" dxfId="10396" priority="6826">
      <formula>$H2489="SUBETAPA"</formula>
    </cfRule>
    <cfRule type="expression" dxfId="10395" priority="6827">
      <formula>$H2489="CÉLULA CONSTRUTIVA"</formula>
    </cfRule>
  </conditionalFormatting>
  <conditionalFormatting sqref="O2489">
    <cfRule type="expression" dxfId="10394" priority="6824">
      <formula>$H2489="ETAPA"</formula>
    </cfRule>
  </conditionalFormatting>
  <conditionalFormatting sqref="O2490 H2490 J2490:K2490">
    <cfRule type="expression" dxfId="10393" priority="63374">
      <formula>$H2490="SUBETAPA"</formula>
    </cfRule>
  </conditionalFormatting>
  <conditionalFormatting sqref="O2494:O2495">
    <cfRule type="expression" dxfId="10392" priority="63237">
      <formula>$H2494="CÉLULA CONSTRUTIVA"</formula>
    </cfRule>
  </conditionalFormatting>
  <conditionalFormatting sqref="O2502 O2508 H2491:H2492 H2502 J2491:K2492 J2502:K2502 J2504:K2505 H2504:H2505 O2504:O2505">
    <cfRule type="expression" dxfId="10391" priority="63415">
      <formula>$H2491="SUBETAPA"</formula>
    </cfRule>
  </conditionalFormatting>
  <conditionalFormatting sqref="O2503 H2503 J2503:K2503">
    <cfRule type="expression" dxfId="10390" priority="6811">
      <formula>$H2503="SUBETAPA"</formula>
    </cfRule>
  </conditionalFormatting>
  <conditionalFormatting sqref="O2503 J2503:L2503">
    <cfRule type="expression" dxfId="10389" priority="6808">
      <formula>$H2503="ETAPA"</formula>
    </cfRule>
  </conditionalFormatting>
  <conditionalFormatting sqref="O2504:O2508">
    <cfRule type="expression" dxfId="10388" priority="63318">
      <formula>$H2504="ETAPA"</formula>
    </cfRule>
  </conditionalFormatting>
  <conditionalFormatting sqref="O2511 O2518 O2525">
    <cfRule type="expression" dxfId="10387" priority="63638">
      <formula>$H2511="SUBETAPA"</formula>
    </cfRule>
    <cfRule type="expression" dxfId="10386" priority="63639">
      <formula>$H2511="ETAPA"</formula>
    </cfRule>
  </conditionalFormatting>
  <conditionalFormatting sqref="O2512:O2513 M2512:M2513">
    <cfRule type="expression" dxfId="10385" priority="63594">
      <formula>$H2512="ETAPA"</formula>
    </cfRule>
  </conditionalFormatting>
  <conditionalFormatting sqref="O2512:O2513">
    <cfRule type="expression" dxfId="10384" priority="63593">
      <formula>$H2512="SUBETAPA"</formula>
    </cfRule>
    <cfRule type="expression" dxfId="10383" priority="63603">
      <formula>$H2512="SUBETAPA"</formula>
    </cfRule>
  </conditionalFormatting>
  <conditionalFormatting sqref="O2512:O2514">
    <cfRule type="expression" dxfId="10382" priority="63604">
      <formula>$H2512="CÉLULA CONSTRUTIVA"</formula>
    </cfRule>
  </conditionalFormatting>
  <conditionalFormatting sqref="O2516 K2516">
    <cfRule type="expression" dxfId="10381" priority="6770">
      <formula>$H2516="SUBETAPA"</formula>
    </cfRule>
    <cfRule type="expression" dxfId="10380" priority="6771">
      <formula>$H2516="CÉLULA CONSTRUTIVA"</formula>
    </cfRule>
  </conditionalFormatting>
  <conditionalFormatting sqref="O2516">
    <cfRule type="expression" dxfId="10379" priority="6768">
      <formula>$H2516="ETAPA"</formula>
    </cfRule>
  </conditionalFormatting>
  <conditionalFormatting sqref="O2519:O2520">
    <cfRule type="expression" dxfId="10378" priority="63476">
      <formula>$H2519="CÉLULA CONSTRUTIVA"</formula>
    </cfRule>
  </conditionalFormatting>
  <conditionalFormatting sqref="O2526 H2526 J2526:K2526">
    <cfRule type="expression" dxfId="10377" priority="6727">
      <formula>$H2526="SUBETAPA"</formula>
    </cfRule>
  </conditionalFormatting>
  <conditionalFormatting sqref="O2526 J2526:L2526">
    <cfRule type="expression" dxfId="10376" priority="6734">
      <formula>$H2526="ETAPA"</formula>
    </cfRule>
  </conditionalFormatting>
  <conditionalFormatting sqref="O2527:O2530">
    <cfRule type="expression" dxfId="10375" priority="63571">
      <formula>$H2527="ETAPA"</formula>
    </cfRule>
  </conditionalFormatting>
  <conditionalFormatting sqref="O2530 H2517 J2517:K2517 J2527:K2528 H2527:H2528 O2527:O2528">
    <cfRule type="expression" dxfId="10374" priority="63654">
      <formula>$H2517="SUBETAPA"</formula>
    </cfRule>
  </conditionalFormatting>
  <conditionalFormatting sqref="O2533 O2538 O2543">
    <cfRule type="expression" dxfId="10373" priority="63877">
      <formula>$H2533="SUBETAPA"</formula>
    </cfRule>
    <cfRule type="expression" dxfId="10372" priority="63878">
      <formula>$H2533="ETAPA"</formula>
    </cfRule>
  </conditionalFormatting>
  <conditionalFormatting sqref="O2534:O2535 M2534:M2535">
    <cfRule type="expression" dxfId="10371" priority="63833">
      <formula>$H2534="ETAPA"</formula>
    </cfRule>
  </conditionalFormatting>
  <conditionalFormatting sqref="O2534:O2535">
    <cfRule type="expression" dxfId="10370" priority="63832">
      <formula>$H2534="SUBETAPA"</formula>
    </cfRule>
    <cfRule type="expression" dxfId="10369" priority="63842">
      <formula>$H2534="SUBETAPA"</formula>
    </cfRule>
  </conditionalFormatting>
  <conditionalFormatting sqref="O2534:O2536">
    <cfRule type="expression" dxfId="10368" priority="63843">
      <formula>$H2534="CÉLULA CONSTRUTIVA"</formula>
    </cfRule>
  </conditionalFormatting>
  <conditionalFormatting sqref="O2537 K2537">
    <cfRule type="expression" dxfId="10367" priority="6691">
      <formula>$H2537="SUBETAPA"</formula>
    </cfRule>
    <cfRule type="expression" dxfId="10366" priority="6692">
      <formula>$H2537="CÉLULA CONSTRUTIVA"</formula>
    </cfRule>
  </conditionalFormatting>
  <conditionalFormatting sqref="O2537">
    <cfRule type="expression" dxfId="10365" priority="6689">
      <formula>$H2537="ETAPA"</formula>
    </cfRule>
  </conditionalFormatting>
  <conditionalFormatting sqref="O2539:O2540">
    <cfRule type="expression" dxfId="10364" priority="63715">
      <formula>$H2539="CÉLULA CONSTRUTIVA"</formula>
    </cfRule>
  </conditionalFormatting>
  <conditionalFormatting sqref="O2544 H2544 J2544:K2544">
    <cfRule type="expression" dxfId="10363" priority="6669">
      <formula>$H2544="SUBETAPA"</formula>
    </cfRule>
  </conditionalFormatting>
  <conditionalFormatting sqref="O2544 J2544:L2544">
    <cfRule type="expression" dxfId="10362" priority="6670">
      <formula>$H2544="ETAPA"</formula>
    </cfRule>
  </conditionalFormatting>
  <conditionalFormatting sqref="O2549 O2554 O2559">
    <cfRule type="expression" dxfId="10361" priority="64116">
      <formula>$H2549="SUBETAPA"</formula>
    </cfRule>
    <cfRule type="expression" dxfId="10360" priority="64117">
      <formula>$H2549="ETAPA"</formula>
    </cfRule>
  </conditionalFormatting>
  <conditionalFormatting sqref="O2550:O2551 M2550:M2551">
    <cfRule type="expression" dxfId="10359" priority="64072">
      <formula>$H2550="ETAPA"</formula>
    </cfRule>
  </conditionalFormatting>
  <conditionalFormatting sqref="O2550:O2551">
    <cfRule type="expression" dxfId="10358" priority="64071">
      <formula>$H2550="SUBETAPA"</formula>
    </cfRule>
    <cfRule type="expression" dxfId="10357" priority="64081">
      <formula>$H2550="SUBETAPA"</formula>
    </cfRule>
  </conditionalFormatting>
  <conditionalFormatting sqref="O2550:O2552">
    <cfRule type="expression" dxfId="10356" priority="64082">
      <formula>$H2550="CÉLULA CONSTRUTIVA"</formula>
    </cfRule>
  </conditionalFormatting>
  <conditionalFormatting sqref="O2553 K2553">
    <cfRule type="expression" dxfId="10355" priority="6633">
      <formula>$H2553="SUBETAPA"</formula>
    </cfRule>
    <cfRule type="expression" dxfId="10354" priority="6634">
      <formula>$H2553="CÉLULA CONSTRUTIVA"</formula>
    </cfRule>
  </conditionalFormatting>
  <conditionalFormatting sqref="O2553">
    <cfRule type="expression" dxfId="10353" priority="6631">
      <formula>$H2553="ETAPA"</formula>
    </cfRule>
  </conditionalFormatting>
  <conditionalFormatting sqref="O2555:O2556">
    <cfRule type="expression" dxfId="10352" priority="63954">
      <formula>$H2555="CÉLULA CONSTRUTIVA"</formula>
    </cfRule>
  </conditionalFormatting>
  <conditionalFormatting sqref="O2560 H2560 J2560:K2560">
    <cfRule type="expression" dxfId="10351" priority="6611">
      <formula>$H2560="SUBETAPA"</formula>
    </cfRule>
  </conditionalFormatting>
  <conditionalFormatting sqref="O2560 J2560:L2560">
    <cfRule type="expression" dxfId="10350" priority="6612">
      <formula>$H2560="ETAPA"</formula>
    </cfRule>
  </conditionalFormatting>
  <conditionalFormatting sqref="O2565 O2570 O2575">
    <cfRule type="expression" dxfId="10349" priority="64355">
      <formula>$H2565="SUBETAPA"</formula>
    </cfRule>
    <cfRule type="expression" dxfId="10348" priority="64356">
      <formula>$H2565="ETAPA"</formula>
    </cfRule>
  </conditionalFormatting>
  <conditionalFormatting sqref="O2566:O2567 M2566:M2567">
    <cfRule type="expression" dxfId="10347" priority="64311">
      <formula>$H2566="ETAPA"</formula>
    </cfRule>
  </conditionalFormatting>
  <conditionalFormatting sqref="O2566:O2567">
    <cfRule type="expression" dxfId="10346" priority="64310">
      <formula>$H2566="SUBETAPA"</formula>
    </cfRule>
    <cfRule type="expression" dxfId="10345" priority="64320">
      <formula>$H2566="SUBETAPA"</formula>
    </cfRule>
  </conditionalFormatting>
  <conditionalFormatting sqref="O2566:O2568">
    <cfRule type="expression" dxfId="10344" priority="64321">
      <formula>$H2566="CÉLULA CONSTRUTIVA"</formula>
    </cfRule>
  </conditionalFormatting>
  <conditionalFormatting sqref="O2569 K2569">
    <cfRule type="expression" dxfId="10343" priority="6575">
      <formula>$H2569="SUBETAPA"</formula>
    </cfRule>
    <cfRule type="expression" dxfId="10342" priority="6576">
      <formula>$H2569="CÉLULA CONSTRUTIVA"</formula>
    </cfRule>
  </conditionalFormatting>
  <conditionalFormatting sqref="O2569">
    <cfRule type="expression" dxfId="10341" priority="6573">
      <formula>$H2569="ETAPA"</formula>
    </cfRule>
  </conditionalFormatting>
  <conditionalFormatting sqref="O2571:O2572">
    <cfRule type="expression" dxfId="10340" priority="64193">
      <formula>$H2571="CÉLULA CONSTRUTIVA"</formula>
    </cfRule>
  </conditionalFormatting>
  <conditionalFormatting sqref="O2576 H2576 J2576:K2576">
    <cfRule type="expression" dxfId="10339" priority="6553">
      <formula>$H2576="SUBETAPA"</formula>
    </cfRule>
  </conditionalFormatting>
  <conditionalFormatting sqref="O2576 J2576:L2576">
    <cfRule type="expression" dxfId="10338" priority="6554">
      <formula>$H2576="ETAPA"</formula>
    </cfRule>
  </conditionalFormatting>
  <conditionalFormatting sqref="O2581 O2586 O2591">
    <cfRule type="expression" dxfId="10337" priority="64594">
      <formula>$H2581="SUBETAPA"</formula>
    </cfRule>
    <cfRule type="expression" dxfId="10336" priority="64595">
      <formula>$H2581="ETAPA"</formula>
    </cfRule>
  </conditionalFormatting>
  <conditionalFormatting sqref="O2582:O2583 M2582:M2583">
    <cfRule type="expression" dxfId="10335" priority="64550">
      <formula>$H2582="ETAPA"</formula>
    </cfRule>
  </conditionalFormatting>
  <conditionalFormatting sqref="O2582:O2583">
    <cfRule type="expression" dxfId="10334" priority="64549">
      <formula>$H2582="SUBETAPA"</formula>
    </cfRule>
    <cfRule type="expression" dxfId="10333" priority="64559">
      <formula>$H2582="SUBETAPA"</formula>
    </cfRule>
  </conditionalFormatting>
  <conditionalFormatting sqref="O2582:O2584">
    <cfRule type="expression" dxfId="10332" priority="64560">
      <formula>$H2582="CÉLULA CONSTRUTIVA"</formula>
    </cfRule>
  </conditionalFormatting>
  <conditionalFormatting sqref="O2585 K2585">
    <cfRule type="expression" dxfId="10331" priority="6517">
      <formula>$H2585="SUBETAPA"</formula>
    </cfRule>
    <cfRule type="expression" dxfId="10330" priority="6518">
      <formula>$H2585="CÉLULA CONSTRUTIVA"</formula>
    </cfRule>
  </conditionalFormatting>
  <conditionalFormatting sqref="O2585">
    <cfRule type="expression" dxfId="10329" priority="6515">
      <formula>$H2585="ETAPA"</formula>
    </cfRule>
  </conditionalFormatting>
  <conditionalFormatting sqref="O2587:O2588">
    <cfRule type="expression" dxfId="10328" priority="64432">
      <formula>$H2587="CÉLULA CONSTRUTIVA"</formula>
    </cfRule>
  </conditionalFormatting>
  <conditionalFormatting sqref="O2592 H2592 J2592:K2592">
    <cfRule type="expression" dxfId="10327" priority="6495">
      <formula>$H2592="SUBETAPA"</formula>
    </cfRule>
  </conditionalFormatting>
  <conditionalFormatting sqref="O2592 J2592:L2592">
    <cfRule type="expression" dxfId="10326" priority="6496">
      <formula>$H2592="ETAPA"</formula>
    </cfRule>
  </conditionalFormatting>
  <conditionalFormatting sqref="O2597 O2602 O2607">
    <cfRule type="expression" dxfId="10325" priority="64833">
      <formula>$H2597="SUBETAPA"</formula>
    </cfRule>
    <cfRule type="expression" dxfId="10324" priority="64834">
      <formula>$H2597="ETAPA"</formula>
    </cfRule>
  </conditionalFormatting>
  <conditionalFormatting sqref="O2598:O2599 M2598:M2599">
    <cfRule type="expression" dxfId="10323" priority="64789">
      <formula>$H2598="ETAPA"</formula>
    </cfRule>
  </conditionalFormatting>
  <conditionalFormatting sqref="O2598:O2599">
    <cfRule type="expression" dxfId="10322" priority="64788">
      <formula>$H2598="SUBETAPA"</formula>
    </cfRule>
    <cfRule type="expression" dxfId="10321" priority="64798">
      <formula>$H2598="SUBETAPA"</formula>
    </cfRule>
  </conditionalFormatting>
  <conditionalFormatting sqref="O2598:O2600">
    <cfRule type="expression" dxfId="10320" priority="64799">
      <formula>$H2598="CÉLULA CONSTRUTIVA"</formula>
    </cfRule>
  </conditionalFormatting>
  <conditionalFormatting sqref="O2601 K2601">
    <cfRule type="expression" dxfId="10319" priority="6459">
      <formula>$H2601="SUBETAPA"</formula>
    </cfRule>
    <cfRule type="expression" dxfId="10318" priority="6460">
      <formula>$H2601="CÉLULA CONSTRUTIVA"</formula>
    </cfRule>
  </conditionalFormatting>
  <conditionalFormatting sqref="O2601">
    <cfRule type="expression" dxfId="10317" priority="6457">
      <formula>$H2601="ETAPA"</formula>
    </cfRule>
  </conditionalFormatting>
  <conditionalFormatting sqref="O2603:O2604">
    <cfRule type="expression" dxfId="10316" priority="64671">
      <formula>$H2603="CÉLULA CONSTRUTIVA"</formula>
    </cfRule>
  </conditionalFormatting>
  <conditionalFormatting sqref="O2608 H2608 J2608:K2608">
    <cfRule type="expression" dxfId="10315" priority="6437">
      <formula>$H2608="SUBETAPA"</formula>
    </cfRule>
  </conditionalFormatting>
  <conditionalFormatting sqref="O2608 J2608:L2608">
    <cfRule type="expression" dxfId="10314" priority="6438">
      <formula>$H2608="ETAPA"</formula>
    </cfRule>
  </conditionalFormatting>
  <conditionalFormatting sqref="O2613 O2618 O2622">
    <cfRule type="expression" dxfId="10313" priority="65072">
      <formula>$H2613="SUBETAPA"</formula>
    </cfRule>
    <cfRule type="expression" dxfId="10312" priority="65073">
      <formula>$H2613="ETAPA"</formula>
    </cfRule>
  </conditionalFormatting>
  <conditionalFormatting sqref="O2614:O2615 M2614:M2615">
    <cfRule type="expression" dxfId="10311" priority="65028">
      <formula>$H2614="ETAPA"</formula>
    </cfRule>
  </conditionalFormatting>
  <conditionalFormatting sqref="O2614:O2615">
    <cfRule type="expression" dxfId="10310" priority="65027">
      <formula>$H2614="SUBETAPA"</formula>
    </cfRule>
    <cfRule type="expression" dxfId="10309" priority="65037">
      <formula>$H2614="SUBETAPA"</formula>
    </cfRule>
  </conditionalFormatting>
  <conditionalFormatting sqref="O2614:O2616">
    <cfRule type="expression" dxfId="10308" priority="65038">
      <formula>$H2614="CÉLULA CONSTRUTIVA"</formula>
    </cfRule>
  </conditionalFormatting>
  <conditionalFormatting sqref="O2617 K2617">
    <cfRule type="expression" dxfId="10307" priority="6401">
      <formula>$H2617="SUBETAPA"</formula>
    </cfRule>
    <cfRule type="expression" dxfId="10306" priority="6402">
      <formula>$H2617="CÉLULA CONSTRUTIVA"</formula>
    </cfRule>
  </conditionalFormatting>
  <conditionalFormatting sqref="O2617">
    <cfRule type="expression" dxfId="10305" priority="6399">
      <formula>$H2617="ETAPA"</formula>
    </cfRule>
  </conditionalFormatting>
  <conditionalFormatting sqref="O2619:O2620">
    <cfRule type="expression" dxfId="10304" priority="64910">
      <formula>$H2619="CÉLULA CONSTRUTIVA"</formula>
    </cfRule>
  </conditionalFormatting>
  <conditionalFormatting sqref="O2623 H2623 J2623:K2623">
    <cfRule type="expression" dxfId="10303" priority="6379">
      <formula>$H2623="SUBETAPA"</formula>
    </cfRule>
  </conditionalFormatting>
  <conditionalFormatting sqref="O2623 J2623:L2623">
    <cfRule type="expression" dxfId="10302" priority="6380">
      <formula>$H2623="ETAPA"</formula>
    </cfRule>
  </conditionalFormatting>
  <conditionalFormatting sqref="O2626">
    <cfRule type="expression" dxfId="10301" priority="59927">
      <formula>$H2626="ETAPA"</formula>
    </cfRule>
    <cfRule type="expression" dxfId="10300" priority="59928">
      <formula>$H2626="SUBETAPA"</formula>
    </cfRule>
    <cfRule type="expression" dxfId="10299" priority="59929">
      <formula>$H2626="CÉLULA CONSTRUTIVA"</formula>
    </cfRule>
  </conditionalFormatting>
  <conditionalFormatting sqref="O2627:O2628">
    <cfRule type="expression" dxfId="10298" priority="1891">
      <formula>$H2627="ETAPA"</formula>
    </cfRule>
    <cfRule type="expression" dxfId="10297" priority="1920">
      <formula>$H2627="SUBETAPA"</formula>
    </cfRule>
  </conditionalFormatting>
  <conditionalFormatting sqref="O2629">
    <cfRule type="expression" dxfId="10296" priority="1917">
      <formula>$H2629="SUBETAPA"</formula>
    </cfRule>
    <cfRule type="expression" dxfId="10295" priority="1918">
      <formula>$H2629="CÉLULA CONSTRUTIVA"</formula>
    </cfRule>
    <cfRule type="expression" dxfId="10294" priority="1919">
      <formula>$H2629="ETAPA"</formula>
    </cfRule>
  </conditionalFormatting>
  <conditionalFormatting sqref="O2630">
    <cfRule type="expression" dxfId="10293" priority="1886">
      <formula>$H2630="SUBETAPA"</formula>
    </cfRule>
  </conditionalFormatting>
  <conditionalFormatting sqref="O2631">
    <cfRule type="expression" dxfId="10292" priority="1914">
      <formula>$H2631="SUBETAPA"</formula>
    </cfRule>
    <cfRule type="expression" dxfId="10291" priority="1915">
      <formula>$H2631="CÉLULA CONSTRUTIVA"</formula>
    </cfRule>
    <cfRule type="expression" dxfId="10290" priority="1916">
      <formula>$H2631="ETAPA"</formula>
    </cfRule>
  </conditionalFormatting>
  <conditionalFormatting sqref="O2632">
    <cfRule type="expression" dxfId="10289" priority="1911">
      <formula>$H2632="SUBETAPA"</formula>
    </cfRule>
    <cfRule type="expression" dxfId="10288" priority="1912">
      <formula>$H2632="CÉLULA CONSTRUTIVA"</formula>
    </cfRule>
    <cfRule type="expression" dxfId="10287" priority="1913">
      <formula>$H2632="ETAPA"</formula>
    </cfRule>
  </conditionalFormatting>
  <conditionalFormatting sqref="O2633">
    <cfRule type="expression" dxfId="10286" priority="1908">
      <formula>$H2633="SUBETAPA"</formula>
    </cfRule>
    <cfRule type="expression" dxfId="10285" priority="1909">
      <formula>$H2633="CÉLULA CONSTRUTIVA"</formula>
    </cfRule>
    <cfRule type="expression" dxfId="10284" priority="1910">
      <formula>$H2633="ETAPA"</formula>
    </cfRule>
  </conditionalFormatting>
  <conditionalFormatting sqref="O2634">
    <cfRule type="expression" dxfId="10283" priority="1905">
      <formula>$H2634="SUBETAPA"</formula>
    </cfRule>
    <cfRule type="expression" dxfId="10282" priority="1906">
      <formula>$H2634="CÉLULA CONSTRUTIVA"</formula>
    </cfRule>
    <cfRule type="expression" dxfId="10281" priority="1907">
      <formula>$H2634="ETAPA"</formula>
    </cfRule>
  </conditionalFormatting>
  <conditionalFormatting sqref="O2635">
    <cfRule type="expression" dxfId="10280" priority="1902">
      <formula>$H2635="SUBETAPA"</formula>
    </cfRule>
    <cfRule type="expression" dxfId="10279" priority="1903">
      <formula>$H2635="CÉLULA CONSTRUTIVA"</formula>
    </cfRule>
    <cfRule type="expression" dxfId="10278" priority="1904">
      <formula>$H2635="ETAPA"</formula>
    </cfRule>
  </conditionalFormatting>
  <conditionalFormatting sqref="O2636 O2630">
    <cfRule type="expression" dxfId="10277" priority="1951">
      <formula>$H2630="ETAPA"</formula>
    </cfRule>
  </conditionalFormatting>
  <conditionalFormatting sqref="O2636">
    <cfRule type="expression" dxfId="10276" priority="1949">
      <formula>$H2636="SUBETAPA"</formula>
    </cfRule>
    <cfRule type="expression" dxfId="10275" priority="1950">
      <formula>$H2636="CÉLULA CONSTRUTIVA"</formula>
    </cfRule>
  </conditionalFormatting>
  <conditionalFormatting sqref="O2637">
    <cfRule type="expression" dxfId="10274" priority="1899">
      <formula>$H2637="SUBETAPA"</formula>
    </cfRule>
    <cfRule type="expression" dxfId="10273" priority="1900">
      <formula>$H2637="CÉLULA CONSTRUTIVA"</formula>
    </cfRule>
    <cfRule type="expression" dxfId="10272" priority="1901">
      <formula>$H2637="ETAPA"</formula>
    </cfRule>
  </conditionalFormatting>
  <conditionalFormatting sqref="O2638:O2639">
    <cfRule type="expression" dxfId="10271" priority="1959">
      <formula>$H2638="ETAPA"</formula>
    </cfRule>
    <cfRule type="expression" dxfId="10270" priority="1988">
      <formula>$H2638="SUBETAPA"</formula>
    </cfRule>
  </conditionalFormatting>
  <conditionalFormatting sqref="O2640">
    <cfRule type="expression" dxfId="10269" priority="1985">
      <formula>$H2640="SUBETAPA"</formula>
    </cfRule>
    <cfRule type="expression" dxfId="10268" priority="1986">
      <formula>$H2640="CÉLULA CONSTRUTIVA"</formula>
    </cfRule>
    <cfRule type="expression" dxfId="10267" priority="1987">
      <formula>$H2640="ETAPA"</formula>
    </cfRule>
  </conditionalFormatting>
  <conditionalFormatting sqref="O2641">
    <cfRule type="expression" dxfId="10266" priority="1954">
      <formula>$H2641="SUBETAPA"</formula>
    </cfRule>
  </conditionalFormatting>
  <conditionalFormatting sqref="O2642">
    <cfRule type="expression" dxfId="10265" priority="1982">
      <formula>$H2642="SUBETAPA"</formula>
    </cfRule>
    <cfRule type="expression" dxfId="10264" priority="1983">
      <formula>$H2642="CÉLULA CONSTRUTIVA"</formula>
    </cfRule>
    <cfRule type="expression" dxfId="10263" priority="1984">
      <formula>$H2642="ETAPA"</formula>
    </cfRule>
  </conditionalFormatting>
  <conditionalFormatting sqref="O2643">
    <cfRule type="expression" dxfId="10262" priority="1979">
      <formula>$H2643="SUBETAPA"</formula>
    </cfRule>
    <cfRule type="expression" dxfId="10261" priority="1980">
      <formula>$H2643="CÉLULA CONSTRUTIVA"</formula>
    </cfRule>
    <cfRule type="expression" dxfId="10260" priority="1981">
      <formula>$H2643="ETAPA"</formula>
    </cfRule>
  </conditionalFormatting>
  <conditionalFormatting sqref="O2644 O2646 O2641">
    <cfRule type="expression" dxfId="10259" priority="2019">
      <formula>$H2641="ETAPA"</formula>
    </cfRule>
  </conditionalFormatting>
  <conditionalFormatting sqref="O2644 O2646">
    <cfRule type="expression" dxfId="10258" priority="2017">
      <formula>$H2644="SUBETAPA"</formula>
    </cfRule>
    <cfRule type="expression" dxfId="10257" priority="2018">
      <formula>$H2644="CÉLULA CONSTRUTIVA"</formula>
    </cfRule>
  </conditionalFormatting>
  <conditionalFormatting sqref="O2645 O2647">
    <cfRule type="expression" dxfId="10256" priority="1967">
      <formula>$H2645="SUBETAPA"</formula>
    </cfRule>
    <cfRule type="expression" dxfId="10255" priority="1968">
      <formula>$H2645="CÉLULA CONSTRUTIVA"</formula>
    </cfRule>
    <cfRule type="expression" dxfId="10254" priority="1969">
      <formula>$H2645="ETAPA"</formula>
    </cfRule>
  </conditionalFormatting>
  <conditionalFormatting sqref="O2648:O2649">
    <cfRule type="expression" dxfId="10253" priority="2027">
      <formula>$H2648="ETAPA"</formula>
    </cfRule>
    <cfRule type="expression" dxfId="10252" priority="2056">
      <formula>$H2648="SUBETAPA"</formula>
    </cfRule>
  </conditionalFormatting>
  <conditionalFormatting sqref="O2650">
    <cfRule type="expression" dxfId="10251" priority="2053">
      <formula>$H2650="SUBETAPA"</formula>
    </cfRule>
    <cfRule type="expression" dxfId="10250" priority="2054">
      <formula>$H2650="CÉLULA CONSTRUTIVA"</formula>
    </cfRule>
    <cfRule type="expression" dxfId="10249" priority="2055">
      <formula>$H2650="ETAPA"</formula>
    </cfRule>
  </conditionalFormatting>
  <conditionalFormatting sqref="O2651">
    <cfRule type="expression" dxfId="10248" priority="2022">
      <formula>$H2651="SUBETAPA"</formula>
    </cfRule>
  </conditionalFormatting>
  <conditionalFormatting sqref="O2652">
    <cfRule type="expression" dxfId="10247" priority="2047">
      <formula>$H2652="SUBETAPA"</formula>
    </cfRule>
    <cfRule type="expression" dxfId="10246" priority="2048">
      <formula>$H2652="CÉLULA CONSTRUTIVA"</formula>
    </cfRule>
    <cfRule type="expression" dxfId="10245" priority="2049">
      <formula>$H2652="ETAPA"</formula>
    </cfRule>
  </conditionalFormatting>
  <conditionalFormatting sqref="O2653 O2655 O2651">
    <cfRule type="expression" dxfId="10244" priority="2087">
      <formula>$H2651="ETAPA"</formula>
    </cfRule>
  </conditionalFormatting>
  <conditionalFormatting sqref="O2654">
    <cfRule type="expression" dxfId="10243" priority="2035">
      <formula>$H2654="SUBETAPA"</formula>
    </cfRule>
    <cfRule type="expression" dxfId="10242" priority="2036">
      <formula>$H2654="CÉLULA CONSTRUTIVA"</formula>
    </cfRule>
    <cfRule type="expression" dxfId="10241" priority="2037">
      <formula>$H2654="ETAPA"</formula>
    </cfRule>
  </conditionalFormatting>
  <conditionalFormatting sqref="O2655 O2653">
    <cfRule type="expression" dxfId="10240" priority="2085">
      <formula>$H2653="SUBETAPA"</formula>
    </cfRule>
    <cfRule type="expression" dxfId="10239" priority="2086">
      <formula>$H2653="CÉLULA CONSTRUTIVA"</formula>
    </cfRule>
  </conditionalFormatting>
  <conditionalFormatting sqref="O2656">
    <cfRule type="expression" dxfId="10238" priority="237">
      <formula>$H2656="SUBETAPA"</formula>
    </cfRule>
    <cfRule type="expression" dxfId="10237" priority="238">
      <formula>$H2656="CÉLULA CONSTRUTIVA"</formula>
    </cfRule>
    <cfRule type="expression" dxfId="10236" priority="239">
      <formula>$H2656="ETAPA"</formula>
    </cfRule>
  </conditionalFormatting>
  <conditionalFormatting sqref="O2657:O2658">
    <cfRule type="expression" dxfId="10235" priority="2095">
      <formula>$H2657="ETAPA"</formula>
    </cfRule>
    <cfRule type="expression" dxfId="10234" priority="2124">
      <formula>$H2657="SUBETAPA"</formula>
    </cfRule>
  </conditionalFormatting>
  <conditionalFormatting sqref="O2659">
    <cfRule type="expression" dxfId="10233" priority="2121">
      <formula>$H2659="SUBETAPA"</formula>
    </cfRule>
    <cfRule type="expression" dxfId="10232" priority="2122">
      <formula>$H2659="CÉLULA CONSTRUTIVA"</formula>
    </cfRule>
    <cfRule type="expression" dxfId="10231" priority="2123">
      <formula>$H2659="ETAPA"</formula>
    </cfRule>
  </conditionalFormatting>
  <conditionalFormatting sqref="O2660">
    <cfRule type="expression" dxfId="10230" priority="2090">
      <formula>$H2660="SUBETAPA"</formula>
    </cfRule>
  </conditionalFormatting>
  <conditionalFormatting sqref="O2661">
    <cfRule type="expression" dxfId="10229" priority="2115">
      <formula>$H2661="SUBETAPA"</formula>
    </cfRule>
    <cfRule type="expression" dxfId="10228" priority="2116">
      <formula>$H2661="CÉLULA CONSTRUTIVA"</formula>
    </cfRule>
    <cfRule type="expression" dxfId="10227" priority="2117">
      <formula>$H2661="ETAPA"</formula>
    </cfRule>
  </conditionalFormatting>
  <conditionalFormatting sqref="O2662 O2660">
    <cfRule type="expression" dxfId="10226" priority="2155">
      <formula>$H2660="ETAPA"</formula>
    </cfRule>
  </conditionalFormatting>
  <conditionalFormatting sqref="O2662">
    <cfRule type="expression" dxfId="10225" priority="2153">
      <formula>$H2662="SUBETAPA"</formula>
    </cfRule>
    <cfRule type="expression" dxfId="10224" priority="2154">
      <formula>$H2662="CÉLULA CONSTRUTIVA"</formula>
    </cfRule>
  </conditionalFormatting>
  <conditionalFormatting sqref="O2663">
    <cfRule type="expression" dxfId="10223" priority="240">
      <formula>$H2663="SUBETAPA"</formula>
    </cfRule>
    <cfRule type="expression" dxfId="10222" priority="241">
      <formula>$H2663="CÉLULA CONSTRUTIVA"</formula>
    </cfRule>
    <cfRule type="expression" dxfId="10221" priority="242">
      <formula>$H2663="ETAPA"</formula>
    </cfRule>
  </conditionalFormatting>
  <conditionalFormatting sqref="O2664:O2665">
    <cfRule type="expression" dxfId="10220" priority="2163">
      <formula>$H2664="ETAPA"</formula>
    </cfRule>
    <cfRule type="expression" dxfId="10219" priority="2192">
      <formula>$H2664="SUBETAPA"</formula>
    </cfRule>
  </conditionalFormatting>
  <conditionalFormatting sqref="O2666">
    <cfRule type="expression" dxfId="10218" priority="2189">
      <formula>$H2666="SUBETAPA"</formula>
    </cfRule>
    <cfRule type="expression" dxfId="10217" priority="2190">
      <formula>$H2666="CÉLULA CONSTRUTIVA"</formula>
    </cfRule>
    <cfRule type="expression" dxfId="10216" priority="2191">
      <formula>$H2666="ETAPA"</formula>
    </cfRule>
  </conditionalFormatting>
  <conditionalFormatting sqref="O2667">
    <cfRule type="expression" dxfId="10215" priority="2158">
      <formula>$H2667="SUBETAPA"</formula>
    </cfRule>
  </conditionalFormatting>
  <conditionalFormatting sqref="O2668">
    <cfRule type="expression" dxfId="10214" priority="2183">
      <formula>$H2668="SUBETAPA"</formula>
    </cfRule>
    <cfRule type="expression" dxfId="10213" priority="2184">
      <formula>$H2668="CÉLULA CONSTRUTIVA"</formula>
    </cfRule>
    <cfRule type="expression" dxfId="10212" priority="2185">
      <formula>$H2668="ETAPA"</formula>
    </cfRule>
  </conditionalFormatting>
  <conditionalFormatting sqref="O2669 O2667">
    <cfRule type="expression" dxfId="10211" priority="2223">
      <formula>$H2667="ETAPA"</formula>
    </cfRule>
  </conditionalFormatting>
  <conditionalFormatting sqref="O2669">
    <cfRule type="expression" dxfId="10210" priority="2221">
      <formula>$H2669="SUBETAPA"</formula>
    </cfRule>
    <cfRule type="expression" dxfId="10209" priority="2222">
      <formula>$H2669="CÉLULA CONSTRUTIVA"</formula>
    </cfRule>
  </conditionalFormatting>
  <conditionalFormatting sqref="O2670">
    <cfRule type="expression" dxfId="10208" priority="243">
      <formula>$H2670="SUBETAPA"</formula>
    </cfRule>
    <cfRule type="expression" dxfId="10207" priority="244">
      <formula>$H2670="CÉLULA CONSTRUTIVA"</formula>
    </cfRule>
    <cfRule type="expression" dxfId="10206" priority="245">
      <formula>$H2670="ETAPA"</formula>
    </cfRule>
  </conditionalFormatting>
  <conditionalFormatting sqref="O2671:O2672">
    <cfRule type="expression" dxfId="10205" priority="2231">
      <formula>$H2671="ETAPA"</formula>
    </cfRule>
    <cfRule type="expression" dxfId="10204" priority="2260">
      <formula>$H2671="SUBETAPA"</formula>
    </cfRule>
  </conditionalFormatting>
  <conditionalFormatting sqref="O2673">
    <cfRule type="expression" dxfId="10203" priority="2257">
      <formula>$H2673="SUBETAPA"</formula>
    </cfRule>
    <cfRule type="expression" dxfId="10202" priority="2258">
      <formula>$H2673="CÉLULA CONSTRUTIVA"</formula>
    </cfRule>
    <cfRule type="expression" dxfId="10201" priority="2259">
      <formula>$H2673="ETAPA"</formula>
    </cfRule>
  </conditionalFormatting>
  <conditionalFormatting sqref="O2674">
    <cfRule type="expression" dxfId="10200" priority="2226">
      <formula>$H2674="SUBETAPA"</formula>
    </cfRule>
  </conditionalFormatting>
  <conditionalFormatting sqref="O2675">
    <cfRule type="expression" dxfId="10199" priority="2254">
      <formula>$H2675="SUBETAPA"</formula>
    </cfRule>
    <cfRule type="expression" dxfId="10198" priority="2255">
      <formula>$H2675="CÉLULA CONSTRUTIVA"</formula>
    </cfRule>
    <cfRule type="expression" dxfId="10197" priority="2256">
      <formula>$H2675="ETAPA"</formula>
    </cfRule>
  </conditionalFormatting>
  <conditionalFormatting sqref="O2676">
    <cfRule type="expression" dxfId="10196" priority="2251">
      <formula>$H2676="SUBETAPA"</formula>
    </cfRule>
    <cfRule type="expression" dxfId="10195" priority="2252">
      <formula>$H2676="CÉLULA CONSTRUTIVA"</formula>
    </cfRule>
    <cfRule type="expression" dxfId="10194" priority="2253">
      <formula>$H2676="ETAPA"</formula>
    </cfRule>
  </conditionalFormatting>
  <conditionalFormatting sqref="O2677 O2674">
    <cfRule type="expression" dxfId="10193" priority="2291">
      <formula>$H2674="ETAPA"</formula>
    </cfRule>
  </conditionalFormatting>
  <conditionalFormatting sqref="O2677">
    <cfRule type="expression" dxfId="10192" priority="2289">
      <formula>$H2677="SUBETAPA"</formula>
    </cfRule>
    <cfRule type="expression" dxfId="10191" priority="2290">
      <formula>$H2677="CÉLULA CONSTRUTIVA"</formula>
    </cfRule>
  </conditionalFormatting>
  <conditionalFormatting sqref="O2678">
    <cfRule type="expression" dxfId="10190" priority="246">
      <formula>$H2678="SUBETAPA"</formula>
    </cfRule>
    <cfRule type="expression" dxfId="10189" priority="247">
      <formula>$H2678="CÉLULA CONSTRUTIVA"</formula>
    </cfRule>
    <cfRule type="expression" dxfId="10188" priority="248">
      <formula>$H2678="ETAPA"</formula>
    </cfRule>
  </conditionalFormatting>
  <conditionalFormatting sqref="O2679:O2680">
    <cfRule type="expression" dxfId="10187" priority="2299">
      <formula>$H2679="ETAPA"</formula>
    </cfRule>
    <cfRule type="expression" dxfId="10186" priority="2328">
      <formula>$H2679="SUBETAPA"</formula>
    </cfRule>
  </conditionalFormatting>
  <conditionalFormatting sqref="O2681">
    <cfRule type="expression" dxfId="10185" priority="2325">
      <formula>$H2681="SUBETAPA"</formula>
    </cfRule>
    <cfRule type="expression" dxfId="10184" priority="2326">
      <formula>$H2681="CÉLULA CONSTRUTIVA"</formula>
    </cfRule>
    <cfRule type="expression" dxfId="10183" priority="2327">
      <formula>$H2681="ETAPA"</formula>
    </cfRule>
  </conditionalFormatting>
  <conditionalFormatting sqref="O2682">
    <cfRule type="expression" dxfId="10182" priority="2294">
      <formula>$H2682="SUBETAPA"</formula>
    </cfRule>
  </conditionalFormatting>
  <conditionalFormatting sqref="O2683">
    <cfRule type="expression" dxfId="10181" priority="2322">
      <formula>$H2683="SUBETAPA"</formula>
    </cfRule>
    <cfRule type="expression" dxfId="10180" priority="2323">
      <formula>$H2683="CÉLULA CONSTRUTIVA"</formula>
    </cfRule>
    <cfRule type="expression" dxfId="10179" priority="2324">
      <formula>$H2683="ETAPA"</formula>
    </cfRule>
  </conditionalFormatting>
  <conditionalFormatting sqref="O2684">
    <cfRule type="expression" dxfId="10178" priority="2319">
      <formula>$H2684="SUBETAPA"</formula>
    </cfRule>
    <cfRule type="expression" dxfId="10177" priority="2320">
      <formula>$H2684="CÉLULA CONSTRUTIVA"</formula>
    </cfRule>
    <cfRule type="expression" dxfId="10176" priority="2321">
      <formula>$H2684="ETAPA"</formula>
    </cfRule>
  </conditionalFormatting>
  <conditionalFormatting sqref="O2685 O2687 O2682">
    <cfRule type="expression" dxfId="10175" priority="2359">
      <formula>$H2682="ETAPA"</formula>
    </cfRule>
  </conditionalFormatting>
  <conditionalFormatting sqref="O2685 O2687">
    <cfRule type="expression" dxfId="10174" priority="2357">
      <formula>$H2685="SUBETAPA"</formula>
    </cfRule>
    <cfRule type="expression" dxfId="10173" priority="2358">
      <formula>$H2685="CÉLULA CONSTRUTIVA"</formula>
    </cfRule>
  </conditionalFormatting>
  <conditionalFormatting sqref="O2686">
    <cfRule type="expression" dxfId="10172" priority="2307">
      <formula>$H2686="SUBETAPA"</formula>
    </cfRule>
    <cfRule type="expression" dxfId="10171" priority="2308">
      <formula>$H2686="CÉLULA CONSTRUTIVA"</formula>
    </cfRule>
    <cfRule type="expression" dxfId="10170" priority="2309">
      <formula>$H2686="ETAPA"</formula>
    </cfRule>
  </conditionalFormatting>
  <conditionalFormatting sqref="O2688">
    <cfRule type="expression" dxfId="10169" priority="249">
      <formula>$H2688="SUBETAPA"</formula>
    </cfRule>
    <cfRule type="expression" dxfId="10168" priority="250">
      <formula>$H2688="CÉLULA CONSTRUTIVA"</formula>
    </cfRule>
    <cfRule type="expression" dxfId="10167" priority="251">
      <formula>$H2688="ETAPA"</formula>
    </cfRule>
  </conditionalFormatting>
  <conditionalFormatting sqref="O2689:O2690">
    <cfRule type="expression" dxfId="10166" priority="2367">
      <formula>$H2689="ETAPA"</formula>
    </cfRule>
    <cfRule type="expression" dxfId="10165" priority="2396">
      <formula>$H2689="SUBETAPA"</formula>
    </cfRule>
  </conditionalFormatting>
  <conditionalFormatting sqref="O2691">
    <cfRule type="expression" dxfId="10164" priority="2393">
      <formula>$H2691="SUBETAPA"</formula>
    </cfRule>
    <cfRule type="expression" dxfId="10163" priority="2394">
      <formula>$H2691="CÉLULA CONSTRUTIVA"</formula>
    </cfRule>
    <cfRule type="expression" dxfId="10162" priority="2395">
      <formula>$H2691="ETAPA"</formula>
    </cfRule>
  </conditionalFormatting>
  <conditionalFormatting sqref="O2692">
    <cfRule type="expression" dxfId="10161" priority="2362">
      <formula>$H2692="SUBETAPA"</formula>
    </cfRule>
  </conditionalFormatting>
  <conditionalFormatting sqref="O2693">
    <cfRule type="expression" dxfId="10160" priority="2390">
      <formula>$H2693="SUBETAPA"</formula>
    </cfRule>
    <cfRule type="expression" dxfId="10159" priority="2391">
      <formula>$H2693="CÉLULA CONSTRUTIVA"</formula>
    </cfRule>
    <cfRule type="expression" dxfId="10158" priority="2392">
      <formula>$H2693="ETAPA"</formula>
    </cfRule>
  </conditionalFormatting>
  <conditionalFormatting sqref="O2694">
    <cfRule type="expression" dxfId="10157" priority="2387">
      <formula>$H2694="SUBETAPA"</formula>
    </cfRule>
    <cfRule type="expression" dxfId="10156" priority="2388">
      <formula>$H2694="CÉLULA CONSTRUTIVA"</formula>
    </cfRule>
    <cfRule type="expression" dxfId="10155" priority="2389">
      <formula>$H2694="ETAPA"</formula>
    </cfRule>
  </conditionalFormatting>
  <conditionalFormatting sqref="O2695 O2692">
    <cfRule type="expression" dxfId="10154" priority="2427">
      <formula>$H2692="ETAPA"</formula>
    </cfRule>
  </conditionalFormatting>
  <conditionalFormatting sqref="O2695">
    <cfRule type="expression" dxfId="10153" priority="2425">
      <formula>$H2695="SUBETAPA"</formula>
    </cfRule>
    <cfRule type="expression" dxfId="10152" priority="2426">
      <formula>$H2695="CÉLULA CONSTRUTIVA"</formula>
    </cfRule>
  </conditionalFormatting>
  <conditionalFormatting sqref="O2696">
    <cfRule type="expression" dxfId="10151" priority="2375">
      <formula>$H2696="SUBETAPA"</formula>
    </cfRule>
    <cfRule type="expression" dxfId="10150" priority="2376">
      <formula>$H2696="CÉLULA CONSTRUTIVA"</formula>
    </cfRule>
    <cfRule type="expression" dxfId="10149" priority="2377">
      <formula>$H2696="ETAPA"</formula>
    </cfRule>
  </conditionalFormatting>
  <conditionalFormatting sqref="O2697:O2698">
    <cfRule type="expression" dxfId="10148" priority="2435">
      <formula>$H2697="ETAPA"</formula>
    </cfRule>
    <cfRule type="expression" dxfId="10147" priority="2464">
      <formula>$H2697="SUBETAPA"</formula>
    </cfRule>
  </conditionalFormatting>
  <conditionalFormatting sqref="O2699">
    <cfRule type="expression" dxfId="10146" priority="2461">
      <formula>$H2699="SUBETAPA"</formula>
    </cfRule>
    <cfRule type="expression" dxfId="10145" priority="2462">
      <formula>$H2699="CÉLULA CONSTRUTIVA"</formula>
    </cfRule>
    <cfRule type="expression" dxfId="10144" priority="2463">
      <formula>$H2699="ETAPA"</formula>
    </cfRule>
  </conditionalFormatting>
  <conditionalFormatting sqref="O2700">
    <cfRule type="expression" dxfId="10143" priority="2430">
      <formula>$H2700="SUBETAPA"</formula>
    </cfRule>
  </conditionalFormatting>
  <conditionalFormatting sqref="O2701">
    <cfRule type="expression" dxfId="10142" priority="2458">
      <formula>$H2701="SUBETAPA"</formula>
    </cfRule>
    <cfRule type="expression" dxfId="10141" priority="2459">
      <formula>$H2701="CÉLULA CONSTRUTIVA"</formula>
    </cfRule>
    <cfRule type="expression" dxfId="10140" priority="2460">
      <formula>$H2701="ETAPA"</formula>
    </cfRule>
  </conditionalFormatting>
  <conditionalFormatting sqref="O2702">
    <cfRule type="expression" dxfId="10139" priority="2455">
      <formula>$H2702="SUBETAPA"</formula>
    </cfRule>
    <cfRule type="expression" dxfId="10138" priority="2456">
      <formula>$H2702="CÉLULA CONSTRUTIVA"</formula>
    </cfRule>
    <cfRule type="expression" dxfId="10137" priority="2457">
      <formula>$H2702="ETAPA"</formula>
    </cfRule>
  </conditionalFormatting>
  <conditionalFormatting sqref="O2703">
    <cfRule type="expression" dxfId="10136" priority="2452">
      <formula>$H2703="SUBETAPA"</formula>
    </cfRule>
    <cfRule type="expression" dxfId="10135" priority="2453">
      <formula>$H2703="CÉLULA CONSTRUTIVA"</formula>
    </cfRule>
    <cfRule type="expression" dxfId="10134" priority="2454">
      <formula>$H2703="ETAPA"</formula>
    </cfRule>
  </conditionalFormatting>
  <conditionalFormatting sqref="O2704 O2706 O2700">
    <cfRule type="expression" dxfId="10133" priority="2495">
      <formula>$H2700="ETAPA"</formula>
    </cfRule>
  </conditionalFormatting>
  <conditionalFormatting sqref="O2704 O2706">
    <cfRule type="expression" dxfId="10132" priority="2493">
      <formula>$H2704="SUBETAPA"</formula>
    </cfRule>
    <cfRule type="expression" dxfId="10131" priority="2494">
      <formula>$H2704="CÉLULA CONSTRUTIVA"</formula>
    </cfRule>
  </conditionalFormatting>
  <conditionalFormatting sqref="O2705 O2707">
    <cfRule type="expression" dxfId="10130" priority="2443">
      <formula>$H2705="SUBETAPA"</formula>
    </cfRule>
    <cfRule type="expression" dxfId="10129" priority="2444">
      <formula>$H2705="CÉLULA CONSTRUTIVA"</formula>
    </cfRule>
    <cfRule type="expression" dxfId="10128" priority="2445">
      <formula>$H2705="ETAPA"</formula>
    </cfRule>
  </conditionalFormatting>
  <conditionalFormatting sqref="O2708:O2709">
    <cfRule type="expression" dxfId="10127" priority="2503">
      <formula>$H2708="ETAPA"</formula>
    </cfRule>
    <cfRule type="expression" dxfId="10126" priority="2532">
      <formula>$H2708="SUBETAPA"</formula>
    </cfRule>
  </conditionalFormatting>
  <conditionalFormatting sqref="O2710">
    <cfRule type="expression" dxfId="10125" priority="2529">
      <formula>$H2710="SUBETAPA"</formula>
    </cfRule>
    <cfRule type="expression" dxfId="10124" priority="2530">
      <formula>$H2710="CÉLULA CONSTRUTIVA"</formula>
    </cfRule>
    <cfRule type="expression" dxfId="10123" priority="2531">
      <formula>$H2710="ETAPA"</formula>
    </cfRule>
  </conditionalFormatting>
  <conditionalFormatting sqref="O2711">
    <cfRule type="expression" dxfId="10122" priority="2498">
      <formula>$H2711="SUBETAPA"</formula>
    </cfRule>
  </conditionalFormatting>
  <conditionalFormatting sqref="O2712">
    <cfRule type="expression" dxfId="10121" priority="2526">
      <formula>$H2712="SUBETAPA"</formula>
    </cfRule>
    <cfRule type="expression" dxfId="10120" priority="2527">
      <formula>$H2712="CÉLULA CONSTRUTIVA"</formula>
    </cfRule>
    <cfRule type="expression" dxfId="10119" priority="2528">
      <formula>$H2712="ETAPA"</formula>
    </cfRule>
  </conditionalFormatting>
  <conditionalFormatting sqref="O2713">
    <cfRule type="expression" dxfId="10118" priority="2523">
      <formula>$H2713="SUBETAPA"</formula>
    </cfRule>
    <cfRule type="expression" dxfId="10117" priority="2524">
      <formula>$H2713="CÉLULA CONSTRUTIVA"</formula>
    </cfRule>
    <cfRule type="expression" dxfId="10116" priority="2525">
      <formula>$H2713="ETAPA"</formula>
    </cfRule>
  </conditionalFormatting>
  <conditionalFormatting sqref="O2714">
    <cfRule type="expression" dxfId="10115" priority="2520">
      <formula>$H2714="SUBETAPA"</formula>
    </cfRule>
    <cfRule type="expression" dxfId="10114" priority="2521">
      <formula>$H2714="CÉLULA CONSTRUTIVA"</formula>
    </cfRule>
    <cfRule type="expression" dxfId="10113" priority="2522">
      <formula>$H2714="ETAPA"</formula>
    </cfRule>
  </conditionalFormatting>
  <conditionalFormatting sqref="O2715 O2717 O2711">
    <cfRule type="expression" dxfId="10112" priority="2563">
      <formula>$H2711="ETAPA"</formula>
    </cfRule>
  </conditionalFormatting>
  <conditionalFormatting sqref="O2715 O2717">
    <cfRule type="expression" dxfId="10111" priority="2561">
      <formula>$H2715="SUBETAPA"</formula>
    </cfRule>
    <cfRule type="expression" dxfId="10110" priority="2562">
      <formula>$H2715="CÉLULA CONSTRUTIVA"</formula>
    </cfRule>
  </conditionalFormatting>
  <conditionalFormatting sqref="O2716 O2718">
    <cfRule type="expression" dxfId="10109" priority="2511">
      <formula>$H2716="SUBETAPA"</formula>
    </cfRule>
    <cfRule type="expression" dxfId="10108" priority="2512">
      <formula>$H2716="CÉLULA CONSTRUTIVA"</formula>
    </cfRule>
    <cfRule type="expression" dxfId="10107" priority="2513">
      <formula>$H2716="ETAPA"</formula>
    </cfRule>
  </conditionalFormatting>
  <conditionalFormatting sqref="O2719:O2720">
    <cfRule type="expression" dxfId="10106" priority="1746">
      <formula>$H2719="ETAPA"</formula>
    </cfRule>
    <cfRule type="expression" dxfId="10105" priority="1775">
      <formula>$H2719="SUBETAPA"</formula>
    </cfRule>
  </conditionalFormatting>
  <conditionalFormatting sqref="O2721">
    <cfRule type="expression" dxfId="10104" priority="1772">
      <formula>$H2721="SUBETAPA"</formula>
    </cfRule>
    <cfRule type="expression" dxfId="10103" priority="1773">
      <formula>$H2721="CÉLULA CONSTRUTIVA"</formula>
    </cfRule>
    <cfRule type="expression" dxfId="10102" priority="1774">
      <formula>$H2721="ETAPA"</formula>
    </cfRule>
  </conditionalFormatting>
  <conditionalFormatting sqref="O2722">
    <cfRule type="expression" dxfId="10101" priority="1741">
      <formula>$H2722="SUBETAPA"</formula>
    </cfRule>
  </conditionalFormatting>
  <conditionalFormatting sqref="O2723">
    <cfRule type="expression" dxfId="10100" priority="1769">
      <formula>$H2723="SUBETAPA"</formula>
    </cfRule>
    <cfRule type="expression" dxfId="10099" priority="1770">
      <formula>$H2723="CÉLULA CONSTRUTIVA"</formula>
    </cfRule>
    <cfRule type="expression" dxfId="10098" priority="1771">
      <formula>$H2723="ETAPA"</formula>
    </cfRule>
  </conditionalFormatting>
  <conditionalFormatting sqref="O2724">
    <cfRule type="expression" dxfId="10097" priority="1766">
      <formula>$H2724="SUBETAPA"</formula>
    </cfRule>
    <cfRule type="expression" dxfId="10096" priority="1767">
      <formula>$H2724="CÉLULA CONSTRUTIVA"</formula>
    </cfRule>
    <cfRule type="expression" dxfId="10095" priority="1768">
      <formula>$H2724="ETAPA"</formula>
    </cfRule>
  </conditionalFormatting>
  <conditionalFormatting sqref="O2725">
    <cfRule type="expression" dxfId="10094" priority="1763">
      <formula>$H2725="SUBETAPA"</formula>
    </cfRule>
    <cfRule type="expression" dxfId="10093" priority="1764">
      <formula>$H2725="CÉLULA CONSTRUTIVA"</formula>
    </cfRule>
    <cfRule type="expression" dxfId="10092" priority="1765">
      <formula>$H2725="ETAPA"</formula>
    </cfRule>
  </conditionalFormatting>
  <conditionalFormatting sqref="O2726 O2728 O2722">
    <cfRule type="expression" dxfId="10091" priority="1806">
      <formula>$H2722="ETAPA"</formula>
    </cfRule>
  </conditionalFormatting>
  <conditionalFormatting sqref="O2726 O2728">
    <cfRule type="expression" dxfId="10090" priority="1804">
      <formula>$H2726="SUBETAPA"</formula>
    </cfRule>
    <cfRule type="expression" dxfId="10089" priority="1805">
      <formula>$H2726="CÉLULA CONSTRUTIVA"</formula>
    </cfRule>
  </conditionalFormatting>
  <conditionalFormatting sqref="O2727 O2729">
    <cfRule type="expression" dxfId="10088" priority="1754">
      <formula>$H2727="SUBETAPA"</formula>
    </cfRule>
    <cfRule type="expression" dxfId="10087" priority="1755">
      <formula>$H2727="CÉLULA CONSTRUTIVA"</formula>
    </cfRule>
    <cfRule type="expression" dxfId="10086" priority="1756">
      <formula>$H2727="ETAPA"</formula>
    </cfRule>
  </conditionalFormatting>
  <conditionalFormatting sqref="O2730:O2731">
    <cfRule type="expression" dxfId="10085" priority="1815">
      <formula>$H2730="ETAPA"</formula>
    </cfRule>
    <cfRule type="expression" dxfId="10084" priority="1844">
      <formula>$H2730="SUBETAPA"</formula>
    </cfRule>
  </conditionalFormatting>
  <conditionalFormatting sqref="O2732">
    <cfRule type="expression" dxfId="10083" priority="1841">
      <formula>$H2732="SUBETAPA"</formula>
    </cfRule>
    <cfRule type="expression" dxfId="10082" priority="1842">
      <formula>$H2732="CÉLULA CONSTRUTIVA"</formula>
    </cfRule>
    <cfRule type="expression" dxfId="10081" priority="1843">
      <formula>$H2732="ETAPA"</formula>
    </cfRule>
  </conditionalFormatting>
  <conditionalFormatting sqref="O2733">
    <cfRule type="expression" dxfId="10080" priority="1810">
      <formula>$H2733="SUBETAPA"</formula>
    </cfRule>
  </conditionalFormatting>
  <conditionalFormatting sqref="O2734">
    <cfRule type="expression" dxfId="10079" priority="1838">
      <formula>$H2734="SUBETAPA"</formula>
    </cfRule>
    <cfRule type="expression" dxfId="10078" priority="1839">
      <formula>$H2734="CÉLULA CONSTRUTIVA"</formula>
    </cfRule>
    <cfRule type="expression" dxfId="10077" priority="1840">
      <formula>$H2734="ETAPA"</formula>
    </cfRule>
  </conditionalFormatting>
  <conditionalFormatting sqref="O2735">
    <cfRule type="expression" dxfId="10076" priority="1835">
      <formula>$H2735="SUBETAPA"</formula>
    </cfRule>
    <cfRule type="expression" dxfId="10075" priority="1836">
      <formula>$H2735="CÉLULA CONSTRUTIVA"</formula>
    </cfRule>
    <cfRule type="expression" dxfId="10074" priority="1837">
      <formula>$H2735="ETAPA"</formula>
    </cfRule>
  </conditionalFormatting>
  <conditionalFormatting sqref="O2736">
    <cfRule type="expression" dxfId="10073" priority="1832">
      <formula>$H2736="SUBETAPA"</formula>
    </cfRule>
    <cfRule type="expression" dxfId="10072" priority="1833">
      <formula>$H2736="CÉLULA CONSTRUTIVA"</formula>
    </cfRule>
    <cfRule type="expression" dxfId="10071" priority="1834">
      <formula>$H2736="ETAPA"</formula>
    </cfRule>
  </conditionalFormatting>
  <conditionalFormatting sqref="O2737 O2739 O2733">
    <cfRule type="expression" dxfId="10070" priority="1882">
      <formula>$H2733="ETAPA"</formula>
    </cfRule>
  </conditionalFormatting>
  <conditionalFormatting sqref="O2737 O2739">
    <cfRule type="expression" dxfId="10069" priority="1877">
      <formula>$H2737="SUBETAPA"</formula>
    </cfRule>
    <cfRule type="expression" dxfId="10068" priority="1878">
      <formula>$H2737="CÉLULA CONSTRUTIVA"</formula>
    </cfRule>
  </conditionalFormatting>
  <conditionalFormatting sqref="O2738 O2740">
    <cfRule type="expression" dxfId="10067" priority="1823">
      <formula>$H2738="SUBETAPA"</formula>
    </cfRule>
    <cfRule type="expression" dxfId="10066" priority="1824">
      <formula>$H2738="CÉLULA CONSTRUTIVA"</formula>
    </cfRule>
    <cfRule type="expression" dxfId="10065" priority="1825">
      <formula>$H2738="ETAPA"</formula>
    </cfRule>
  </conditionalFormatting>
  <conditionalFormatting sqref="O2741:O2742">
    <cfRule type="expression" dxfId="10064" priority="2571">
      <formula>$H2741="ETAPA"</formula>
    </cfRule>
    <cfRule type="expression" dxfId="10063" priority="2600">
      <formula>$H2741="SUBETAPA"</formula>
    </cfRule>
  </conditionalFormatting>
  <conditionalFormatting sqref="O2743">
    <cfRule type="expression" dxfId="10062" priority="2597">
      <formula>$H2743="SUBETAPA"</formula>
    </cfRule>
    <cfRule type="expression" dxfId="10061" priority="2598">
      <formula>$H2743="CÉLULA CONSTRUTIVA"</formula>
    </cfRule>
    <cfRule type="expression" dxfId="10060" priority="2599">
      <formula>$H2743="ETAPA"</formula>
    </cfRule>
  </conditionalFormatting>
  <conditionalFormatting sqref="O2744">
    <cfRule type="expression" dxfId="10059" priority="2566">
      <formula>$H2744="SUBETAPA"</formula>
    </cfRule>
  </conditionalFormatting>
  <conditionalFormatting sqref="O2745">
    <cfRule type="expression" dxfId="10058" priority="2594">
      <formula>$H2745="SUBETAPA"</formula>
    </cfRule>
    <cfRule type="expression" dxfId="10057" priority="2595">
      <formula>$H2745="CÉLULA CONSTRUTIVA"</formula>
    </cfRule>
    <cfRule type="expression" dxfId="10056" priority="2596">
      <formula>$H2745="ETAPA"</formula>
    </cfRule>
  </conditionalFormatting>
  <conditionalFormatting sqref="O2746">
    <cfRule type="expression" dxfId="10055" priority="2591">
      <formula>$H2746="SUBETAPA"</formula>
    </cfRule>
    <cfRule type="expression" dxfId="10054" priority="2592">
      <formula>$H2746="CÉLULA CONSTRUTIVA"</formula>
    </cfRule>
    <cfRule type="expression" dxfId="10053" priority="2593">
      <formula>$H2746="ETAPA"</formula>
    </cfRule>
  </conditionalFormatting>
  <conditionalFormatting sqref="O2747">
    <cfRule type="expression" dxfId="10052" priority="2588">
      <formula>$H2747="SUBETAPA"</formula>
    </cfRule>
    <cfRule type="expression" dxfId="10051" priority="2589">
      <formula>$H2747="CÉLULA CONSTRUTIVA"</formula>
    </cfRule>
    <cfRule type="expression" dxfId="10050" priority="2590">
      <formula>$H2747="ETAPA"</formula>
    </cfRule>
  </conditionalFormatting>
  <conditionalFormatting sqref="O2748 O2750 O2744">
    <cfRule type="expression" dxfId="10049" priority="2631">
      <formula>$H2744="ETAPA"</formula>
    </cfRule>
  </conditionalFormatting>
  <conditionalFormatting sqref="O2748 O2750">
    <cfRule type="expression" dxfId="10048" priority="2629">
      <formula>$H2748="SUBETAPA"</formula>
    </cfRule>
    <cfRule type="expression" dxfId="10047" priority="2630">
      <formula>$H2748="CÉLULA CONSTRUTIVA"</formula>
    </cfRule>
  </conditionalFormatting>
  <conditionalFormatting sqref="O2749 O2751">
    <cfRule type="expression" dxfId="10046" priority="2579">
      <formula>$H2749="SUBETAPA"</formula>
    </cfRule>
    <cfRule type="expression" dxfId="10045" priority="2580">
      <formula>$H2749="CÉLULA CONSTRUTIVA"</formula>
    </cfRule>
    <cfRule type="expression" dxfId="10044"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43" priority="116153">
      <formula>$H380="SUBETAPA"</formula>
    </cfRule>
  </conditionalFormatting>
  <conditionalFormatting sqref="O2754">
    <cfRule type="expression" dxfId="10042" priority="59973">
      <formula>$H2754="SUBETAPA"</formula>
    </cfRule>
    <cfRule type="expression" dxfId="10041" priority="59974">
      <formula>$H2754="CÉLULA CONSTRUTIVA"</formula>
    </cfRule>
    <cfRule type="expression" dxfId="10040" priority="59975">
      <formula>$H2754="ETAPA"</formula>
    </cfRule>
  </conditionalFormatting>
  <conditionalFormatting sqref="O2755">
    <cfRule type="expression" dxfId="10039" priority="116887">
      <formula>$H2755="SUBETAPA"</formula>
    </cfRule>
  </conditionalFormatting>
  <conditionalFormatting sqref="O2755:O2756">
    <cfRule type="expression" dxfId="10038" priority="60000">
      <formula>$H2755="ETAPA"</formula>
    </cfRule>
  </conditionalFormatting>
  <conditionalFormatting sqref="O2756">
    <cfRule type="expression" dxfId="10037" priority="59998">
      <formula>$H2756="SUBETAPA"</formula>
    </cfRule>
    <cfRule type="expression" dxfId="10036" priority="59999">
      <formula>$H2756="CÉLULA CONSTRUTIVA"</formula>
    </cfRule>
  </conditionalFormatting>
  <conditionalFormatting sqref="O2757">
    <cfRule type="expression" dxfId="10035" priority="59995">
      <formula>$H2757="SUBETAPA"</formula>
    </cfRule>
    <cfRule type="expression" dxfId="10034" priority="59996">
      <formula>$H2757="CÉLULA CONSTRUTIVA"</formula>
    </cfRule>
    <cfRule type="expression" dxfId="10033" priority="59997">
      <formula>$H2757="ETAPA"</formula>
    </cfRule>
  </conditionalFormatting>
  <conditionalFormatting sqref="O2760">
    <cfRule type="expression" dxfId="10032" priority="1378">
      <formula>$H2760="SUBETAPA"</formula>
    </cfRule>
    <cfRule type="expression" dxfId="10031" priority="1379">
      <formula>$H2760="CÉLULA CONSTRUTIVA"</formula>
    </cfRule>
    <cfRule type="expression" dxfId="10030" priority="1380">
      <formula>$H2760="ETAPA"</formula>
    </cfRule>
  </conditionalFormatting>
  <conditionalFormatting sqref="O2761">
    <cfRule type="expression" dxfId="10029" priority="1375">
      <formula>$H2761="SUBETAPA"</formula>
    </cfRule>
    <cfRule type="expression" dxfId="10028" priority="1376">
      <formula>$H2761="CÉLULA CONSTRUTIVA"</formula>
    </cfRule>
    <cfRule type="expression" dxfId="10027" priority="1377">
      <formula>$H2761="ETAPA"</formula>
    </cfRule>
  </conditionalFormatting>
  <conditionalFormatting sqref="O2762">
    <cfRule type="expression" dxfId="10026" priority="1371">
      <formula>$H2762="ETAPA"</formula>
    </cfRule>
    <cfRule type="expression" dxfId="10025" priority="1372">
      <formula>$H2762="CÉLULA CONSTRUTIVA"</formula>
    </cfRule>
  </conditionalFormatting>
  <conditionalFormatting sqref="O2763">
    <cfRule type="expression" dxfId="10024" priority="1368">
      <formula>$H2763="SUBETAPA"</formula>
    </cfRule>
    <cfRule type="expression" dxfId="10023" priority="1369">
      <formula>$H2763="CÉLULA CONSTRUTIVA"</formula>
    </cfRule>
    <cfRule type="expression" dxfId="10022" priority="1370">
      <formula>$H2763="ETAPA"</formula>
    </cfRule>
  </conditionalFormatting>
  <conditionalFormatting sqref="O2766">
    <cfRule type="expression" dxfId="10021" priority="1420">
      <formula>$H2766="SUBETAPA"</formula>
    </cfRule>
    <cfRule type="expression" dxfId="10020" priority="1421">
      <formula>$H2766="CÉLULA CONSTRUTIVA"</formula>
    </cfRule>
    <cfRule type="expression" dxfId="10019" priority="1422">
      <formula>$H2766="ETAPA"</formula>
    </cfRule>
  </conditionalFormatting>
  <conditionalFormatting sqref="O2767">
    <cfRule type="expression" dxfId="10018" priority="1417">
      <formula>$H2767="SUBETAPA"</formula>
    </cfRule>
    <cfRule type="expression" dxfId="10017" priority="1418">
      <formula>$H2767="CÉLULA CONSTRUTIVA"</formula>
    </cfRule>
    <cfRule type="expression" dxfId="10016" priority="1419">
      <formula>$H2767="ETAPA"</formula>
    </cfRule>
  </conditionalFormatting>
  <conditionalFormatting sqref="O2768">
    <cfRule type="expression" dxfId="10015" priority="1413">
      <formula>$H2768="ETAPA"</formula>
    </cfRule>
    <cfRule type="expression" dxfId="10014" priority="1414">
      <formula>$H2768="CÉLULA CONSTRUTIVA"</formula>
    </cfRule>
  </conditionalFormatting>
  <conditionalFormatting sqref="O2769">
    <cfRule type="expression" dxfId="10013" priority="1410">
      <formula>$H2769="SUBETAPA"</formula>
    </cfRule>
    <cfRule type="expression" dxfId="10012" priority="1411">
      <formula>$H2769="CÉLULA CONSTRUTIVA"</formula>
    </cfRule>
    <cfRule type="expression" dxfId="10011" priority="1412">
      <formula>$H2769="ETAPA"</formula>
    </cfRule>
  </conditionalFormatting>
  <conditionalFormatting sqref="O2772">
    <cfRule type="expression" dxfId="10010" priority="1462">
      <formula>$H2772="SUBETAPA"</formula>
    </cfRule>
    <cfRule type="expression" dxfId="10009" priority="1463">
      <formula>$H2772="CÉLULA CONSTRUTIVA"</formula>
    </cfRule>
    <cfRule type="expression" dxfId="10008" priority="1464">
      <formula>$H2772="ETAPA"</formula>
    </cfRule>
  </conditionalFormatting>
  <conditionalFormatting sqref="O2773">
    <cfRule type="expression" dxfId="10007" priority="1459">
      <formula>$H2773="SUBETAPA"</formula>
    </cfRule>
    <cfRule type="expression" dxfId="10006" priority="1460">
      <formula>$H2773="CÉLULA CONSTRUTIVA"</formula>
    </cfRule>
    <cfRule type="expression" dxfId="10005" priority="1461">
      <formula>$H2773="ETAPA"</formula>
    </cfRule>
  </conditionalFormatting>
  <conditionalFormatting sqref="O2774">
    <cfRule type="expression" dxfId="10004" priority="1455">
      <formula>$H2774="ETAPA"</formula>
    </cfRule>
    <cfRule type="expression" dxfId="10003" priority="1456">
      <formula>$H2774="CÉLULA CONSTRUTIVA"</formula>
    </cfRule>
  </conditionalFormatting>
  <conditionalFormatting sqref="O2775">
    <cfRule type="expression" dxfId="10002" priority="1452">
      <formula>$H2775="SUBETAPA"</formula>
    </cfRule>
    <cfRule type="expression" dxfId="10001" priority="1453">
      <formula>$H2775="CÉLULA CONSTRUTIVA"</formula>
    </cfRule>
    <cfRule type="expression" dxfId="10000" priority="1454">
      <formula>$H2775="ETAPA"</formula>
    </cfRule>
  </conditionalFormatting>
  <conditionalFormatting sqref="O2778">
    <cfRule type="expression" dxfId="9999" priority="1507">
      <formula>$H2778="SUBETAPA"</formula>
    </cfRule>
    <cfRule type="expression" dxfId="9998" priority="1508">
      <formula>$H2778="CÉLULA CONSTRUTIVA"</formula>
    </cfRule>
    <cfRule type="expression" dxfId="9997" priority="1509">
      <formula>$H2778="ETAPA"</formula>
    </cfRule>
  </conditionalFormatting>
  <conditionalFormatting sqref="O2779">
    <cfRule type="expression" dxfId="9996" priority="1504">
      <formula>$H2779="SUBETAPA"</formula>
    </cfRule>
    <cfRule type="expression" dxfId="9995" priority="1505">
      <formula>$H2779="CÉLULA CONSTRUTIVA"</formula>
    </cfRule>
    <cfRule type="expression" dxfId="9994" priority="1506">
      <formula>$H2779="ETAPA"</formula>
    </cfRule>
  </conditionalFormatting>
  <conditionalFormatting sqref="O2780">
    <cfRule type="expression" dxfId="9993" priority="1501">
      <formula>$H2780="SUBETAPA"</formula>
    </cfRule>
    <cfRule type="expression" dxfId="9992" priority="1502">
      <formula>$H2780="CÉLULA CONSTRUTIVA"</formula>
    </cfRule>
    <cfRule type="expression" dxfId="9991" priority="1503">
      <formula>$H2780="ETAPA"</formula>
    </cfRule>
  </conditionalFormatting>
  <conditionalFormatting sqref="O2781 H2781 J2781:L2781">
    <cfRule type="expression" dxfId="9990" priority="1500">
      <formula>$H2781="CÉLULA CONSTRUTIVA"</formula>
    </cfRule>
  </conditionalFormatting>
  <conditionalFormatting sqref="O2781">
    <cfRule type="expression" dxfId="9989" priority="1499">
      <formula>$H2781="SUBETAPA"</formula>
    </cfRule>
  </conditionalFormatting>
  <conditionalFormatting sqref="O2783">
    <cfRule type="expression" dxfId="9988" priority="1497">
      <formula>$H2783="ETAPA"</formula>
    </cfRule>
    <cfRule type="expression" dxfId="9987" priority="1498">
      <formula>$H2783="CÉLULA CONSTRUTIVA"</formula>
    </cfRule>
  </conditionalFormatting>
  <conditionalFormatting sqref="O2784">
    <cfRule type="expression" dxfId="9986" priority="1494">
      <formula>$H2784="SUBETAPA"</formula>
    </cfRule>
    <cfRule type="expression" dxfId="9985" priority="1495">
      <formula>$H2784="CÉLULA CONSTRUTIVA"</formula>
    </cfRule>
    <cfRule type="expression" dxfId="9984" priority="1496">
      <formula>$H2784="ETAPA"</formula>
    </cfRule>
  </conditionalFormatting>
  <conditionalFormatting sqref="O2787">
    <cfRule type="expression" dxfId="9983" priority="1549">
      <formula>$H2787="SUBETAPA"</formula>
    </cfRule>
    <cfRule type="expression" dxfId="9982" priority="1550">
      <formula>$H2787="CÉLULA CONSTRUTIVA"</formula>
    </cfRule>
    <cfRule type="expression" dxfId="9981" priority="1551">
      <formula>$H2787="ETAPA"</formula>
    </cfRule>
  </conditionalFormatting>
  <conditionalFormatting sqref="O2788">
    <cfRule type="expression" dxfId="9980" priority="1546">
      <formula>$H2788="SUBETAPA"</formula>
    </cfRule>
    <cfRule type="expression" dxfId="9979" priority="1547">
      <formula>$H2788="CÉLULA CONSTRUTIVA"</formula>
    </cfRule>
    <cfRule type="expression" dxfId="9978" priority="1548">
      <formula>$H2788="ETAPA"</formula>
    </cfRule>
  </conditionalFormatting>
  <conditionalFormatting sqref="O2789">
    <cfRule type="expression" dxfId="9977" priority="1543">
      <formula>$H2789="SUBETAPA"</formula>
    </cfRule>
    <cfRule type="expression" dxfId="9976" priority="1544">
      <formula>$H2789="CÉLULA CONSTRUTIVA"</formula>
    </cfRule>
    <cfRule type="expression" dxfId="9975" priority="1545">
      <formula>$H2789="ETAPA"</formula>
    </cfRule>
  </conditionalFormatting>
  <conditionalFormatting sqref="O2790 H2790 J2790:L2790">
    <cfRule type="expression" dxfId="9974" priority="1542">
      <formula>$H2790="CÉLULA CONSTRUTIVA"</formula>
    </cfRule>
  </conditionalFormatting>
  <conditionalFormatting sqref="O2790">
    <cfRule type="expression" dxfId="9973" priority="1541">
      <formula>$H2790="SUBETAPA"</formula>
    </cfRule>
  </conditionalFormatting>
  <conditionalFormatting sqref="O2792">
    <cfRule type="expression" dxfId="9972" priority="1539">
      <formula>$H2792="ETAPA"</formula>
    </cfRule>
    <cfRule type="expression" dxfId="9971" priority="1540">
      <formula>$H2792="CÉLULA CONSTRUTIVA"</formula>
    </cfRule>
  </conditionalFormatting>
  <conditionalFormatting sqref="O2793">
    <cfRule type="expression" dxfId="9970" priority="1536">
      <formula>$H2793="SUBETAPA"</formula>
    </cfRule>
    <cfRule type="expression" dxfId="9969" priority="1537">
      <formula>$H2793="CÉLULA CONSTRUTIVA"</formula>
    </cfRule>
    <cfRule type="expression" dxfId="9968" priority="1538">
      <formula>$H2793="ETAPA"</formula>
    </cfRule>
  </conditionalFormatting>
  <conditionalFormatting sqref="O2796">
    <cfRule type="expression" dxfId="9967" priority="1591">
      <formula>$H2796="SUBETAPA"</formula>
    </cfRule>
    <cfRule type="expression" dxfId="9966" priority="1592">
      <formula>$H2796="CÉLULA CONSTRUTIVA"</formula>
    </cfRule>
    <cfRule type="expression" dxfId="9965" priority="1593">
      <formula>$H2796="ETAPA"</formula>
    </cfRule>
  </conditionalFormatting>
  <conditionalFormatting sqref="O2797">
    <cfRule type="expression" dxfId="9964" priority="1588">
      <formula>$H2797="SUBETAPA"</formula>
    </cfRule>
    <cfRule type="expression" dxfId="9963" priority="1589">
      <formula>$H2797="CÉLULA CONSTRUTIVA"</formula>
    </cfRule>
    <cfRule type="expression" dxfId="9962" priority="1590">
      <formula>$H2797="ETAPA"</formula>
    </cfRule>
  </conditionalFormatting>
  <conditionalFormatting sqref="O2798">
    <cfRule type="expression" dxfId="9961" priority="1585">
      <formula>$H2798="SUBETAPA"</formula>
    </cfRule>
    <cfRule type="expression" dxfId="9960" priority="1586">
      <formula>$H2798="CÉLULA CONSTRUTIVA"</formula>
    </cfRule>
    <cfRule type="expression" dxfId="9959" priority="1587">
      <formula>$H2798="ETAPA"</formula>
    </cfRule>
  </conditionalFormatting>
  <conditionalFormatting sqref="O2799 H2799 J2799:L2799">
    <cfRule type="expression" dxfId="9958" priority="1584">
      <formula>$H2799="CÉLULA CONSTRUTIVA"</formula>
    </cfRule>
  </conditionalFormatting>
  <conditionalFormatting sqref="O2799">
    <cfRule type="expression" dxfId="9957" priority="1583">
      <formula>$H2799="SUBETAPA"</formula>
    </cfRule>
  </conditionalFormatting>
  <conditionalFormatting sqref="O2801">
    <cfRule type="expression" dxfId="9956" priority="1581">
      <formula>$H2801="ETAPA"</formula>
    </cfRule>
    <cfRule type="expression" dxfId="9955" priority="1582">
      <formula>$H2801="CÉLULA CONSTRUTIVA"</formula>
    </cfRule>
  </conditionalFormatting>
  <conditionalFormatting sqref="O2802">
    <cfRule type="expression" dxfId="9954" priority="1578">
      <formula>$H2802="SUBETAPA"</formula>
    </cfRule>
    <cfRule type="expression" dxfId="9953" priority="1579">
      <formula>$H2802="CÉLULA CONSTRUTIVA"</formula>
    </cfRule>
    <cfRule type="expression" dxfId="9952" priority="1580">
      <formula>$H2802="ETAPA"</formula>
    </cfRule>
  </conditionalFormatting>
  <conditionalFormatting sqref="O2805">
    <cfRule type="expression" dxfId="9951" priority="1633">
      <formula>$H2805="SUBETAPA"</formula>
    </cfRule>
    <cfRule type="expression" dxfId="9950" priority="1634">
      <formula>$H2805="CÉLULA CONSTRUTIVA"</formula>
    </cfRule>
    <cfRule type="expression" dxfId="9949" priority="1635">
      <formula>$H2805="ETAPA"</formula>
    </cfRule>
  </conditionalFormatting>
  <conditionalFormatting sqref="O2806">
    <cfRule type="expression" dxfId="9948" priority="1630">
      <formula>$H2806="SUBETAPA"</formula>
    </cfRule>
    <cfRule type="expression" dxfId="9947" priority="1631">
      <formula>$H2806="CÉLULA CONSTRUTIVA"</formula>
    </cfRule>
    <cfRule type="expression" dxfId="9946" priority="1632">
      <formula>$H2806="ETAPA"</formula>
    </cfRule>
  </conditionalFormatting>
  <conditionalFormatting sqref="O2807">
    <cfRule type="expression" dxfId="9945" priority="1627">
      <formula>$H2807="SUBETAPA"</formula>
    </cfRule>
    <cfRule type="expression" dxfId="9944" priority="1628">
      <formula>$H2807="CÉLULA CONSTRUTIVA"</formula>
    </cfRule>
    <cfRule type="expression" dxfId="9943" priority="1629">
      <formula>$H2807="ETAPA"</formula>
    </cfRule>
  </conditionalFormatting>
  <conditionalFormatting sqref="O2808 H2808 J2808:L2808">
    <cfRule type="expression" dxfId="9942" priority="1626">
      <formula>$H2808="CÉLULA CONSTRUTIVA"</formula>
    </cfRule>
  </conditionalFormatting>
  <conditionalFormatting sqref="O2808">
    <cfRule type="expression" dxfId="9941" priority="1625">
      <formula>$H2808="SUBETAPA"</formula>
    </cfRule>
  </conditionalFormatting>
  <conditionalFormatting sqref="O2810">
    <cfRule type="expression" dxfId="9940" priority="1623">
      <formula>$H2810="ETAPA"</formula>
    </cfRule>
    <cfRule type="expression" dxfId="9939" priority="1624">
      <formula>$H2810="CÉLULA CONSTRUTIVA"</formula>
    </cfRule>
  </conditionalFormatting>
  <conditionalFormatting sqref="O2811">
    <cfRule type="expression" dxfId="9938" priority="1620">
      <formula>$H2811="SUBETAPA"</formula>
    </cfRule>
    <cfRule type="expression" dxfId="9937" priority="1621">
      <formula>$H2811="CÉLULA CONSTRUTIVA"</formula>
    </cfRule>
    <cfRule type="expression" dxfId="9936" priority="1622">
      <formula>$H2811="ETAPA"</formula>
    </cfRule>
  </conditionalFormatting>
  <conditionalFormatting sqref="O2814">
    <cfRule type="expression" dxfId="9935" priority="1675">
      <formula>$H2814="SUBETAPA"</formula>
    </cfRule>
    <cfRule type="expression" dxfId="9934" priority="1676">
      <formula>$H2814="CÉLULA CONSTRUTIVA"</formula>
    </cfRule>
    <cfRule type="expression" dxfId="9933" priority="1677">
      <formula>$H2814="ETAPA"</formula>
    </cfRule>
  </conditionalFormatting>
  <conditionalFormatting sqref="O2815">
    <cfRule type="expression" dxfId="9932" priority="1672">
      <formula>$H2815="SUBETAPA"</formula>
    </cfRule>
    <cfRule type="expression" dxfId="9931" priority="1673">
      <formula>$H2815="CÉLULA CONSTRUTIVA"</formula>
    </cfRule>
    <cfRule type="expression" dxfId="9930" priority="1674">
      <formula>$H2815="ETAPA"</formula>
    </cfRule>
  </conditionalFormatting>
  <conditionalFormatting sqref="O2816">
    <cfRule type="expression" dxfId="9929" priority="1669">
      <formula>$H2816="SUBETAPA"</formula>
    </cfRule>
    <cfRule type="expression" dxfId="9928" priority="1670">
      <formula>$H2816="CÉLULA CONSTRUTIVA"</formula>
    </cfRule>
    <cfRule type="expression" dxfId="9927" priority="1671">
      <formula>$H2816="ETAPA"</formula>
    </cfRule>
  </conditionalFormatting>
  <conditionalFormatting sqref="O2817">
    <cfRule type="expression" dxfId="9926" priority="1665">
      <formula>$H2817="ETAPA"</formula>
    </cfRule>
    <cfRule type="expression" dxfId="9925" priority="1666">
      <formula>$H2817="CÉLULA CONSTRUTIVA"</formula>
    </cfRule>
  </conditionalFormatting>
  <conditionalFormatting sqref="O2818">
    <cfRule type="expression" dxfId="9924" priority="1662">
      <formula>$H2818="SUBETAPA"</formula>
    </cfRule>
    <cfRule type="expression" dxfId="9923" priority="1663">
      <formula>$H2818="CÉLULA CONSTRUTIVA"</formula>
    </cfRule>
    <cfRule type="expression" dxfId="9922" priority="1664">
      <formula>$H2818="ETAPA"</formula>
    </cfRule>
  </conditionalFormatting>
  <conditionalFormatting sqref="O2819 O2828">
    <cfRule type="expression" dxfId="9921" priority="422">
      <formula>$H2819="SUBETAPA"</formula>
    </cfRule>
  </conditionalFormatting>
  <conditionalFormatting sqref="O2819:O2820 O2828">
    <cfRule type="expression" dxfId="9920" priority="393">
      <formula>$H2819="ETAPA"</formula>
    </cfRule>
  </conditionalFormatting>
  <conditionalFormatting sqref="O2820">
    <cfRule type="expression" dxfId="9919" priority="423">
      <formula>$H2820="CÉLULA CONSTRUTIVA"</formula>
    </cfRule>
  </conditionalFormatting>
  <conditionalFormatting sqref="O2821">
    <cfRule type="expression" dxfId="9918" priority="418">
      <formula>$H2821="SUBETAPA"</formula>
    </cfRule>
    <cfRule type="expression" dxfId="9917" priority="419">
      <formula>$H2821="CÉLULA CONSTRUTIVA"</formula>
    </cfRule>
    <cfRule type="expression" dxfId="9916" priority="420">
      <formula>$H2821="ETAPA"</formula>
    </cfRule>
  </conditionalFormatting>
  <conditionalFormatting sqref="O2824">
    <cfRule type="expression" dxfId="9915" priority="412">
      <formula>$H2824="SUBETAPA"</formula>
    </cfRule>
    <cfRule type="expression" dxfId="9914" priority="413">
      <formula>$H2824="CÉLULA CONSTRUTIVA"</formula>
    </cfRule>
    <cfRule type="expression" dxfId="9913" priority="414">
      <formula>$H2824="ETAPA"</formula>
    </cfRule>
  </conditionalFormatting>
  <conditionalFormatting sqref="O2825">
    <cfRule type="expression" dxfId="9912" priority="409">
      <formula>$H2825="SUBETAPA"</formula>
    </cfRule>
    <cfRule type="expression" dxfId="9911" priority="410">
      <formula>$H2825="CÉLULA CONSTRUTIVA"</formula>
    </cfRule>
    <cfRule type="expression" dxfId="9910" priority="411">
      <formula>$H2825="ETAPA"</formula>
    </cfRule>
  </conditionalFormatting>
  <conditionalFormatting sqref="O2826">
    <cfRule type="expression" dxfId="9909" priority="406">
      <formula>$H2826="SUBETAPA"</formula>
    </cfRule>
    <cfRule type="expression" dxfId="9908" priority="407">
      <formula>$H2826="CÉLULA CONSTRUTIVA"</formula>
    </cfRule>
    <cfRule type="expression" dxfId="9907" priority="408">
      <formula>$H2826="ETAPA"</formula>
    </cfRule>
  </conditionalFormatting>
  <conditionalFormatting sqref="O2827">
    <cfRule type="expression" dxfId="9906" priority="403">
      <formula>$H2827="SUBETAPA"</formula>
    </cfRule>
    <cfRule type="expression" dxfId="9905" priority="404">
      <formula>$H2827="CÉLULA CONSTRUTIVA"</formula>
    </cfRule>
    <cfRule type="expression" dxfId="9904" priority="405">
      <formula>$H2827="ETAPA"</formula>
    </cfRule>
  </conditionalFormatting>
  <conditionalFormatting sqref="O2829">
    <cfRule type="expression" dxfId="9903" priority="395">
      <formula>$H2829="SUBETAPA"</formula>
    </cfRule>
    <cfRule type="expression" dxfId="9902" priority="396">
      <formula>$H2829="CÉLULA CONSTRUTIVA"</formula>
    </cfRule>
    <cfRule type="expression" dxfId="9901" priority="397">
      <formula>$H2829="ETAPA"</formula>
    </cfRule>
  </conditionalFormatting>
  <conditionalFormatting sqref="O2830 O2837">
    <cfRule type="expression" dxfId="9900" priority="487">
      <formula>$H2830="SUBETAPA"</formula>
    </cfRule>
  </conditionalFormatting>
  <conditionalFormatting sqref="O2830:O2831 O2837">
    <cfRule type="expression" dxfId="9899" priority="458">
      <formula>$H2830="ETAPA"</formula>
    </cfRule>
  </conditionalFormatting>
  <conditionalFormatting sqref="O2831">
    <cfRule type="expression" dxfId="9898" priority="488">
      <formula>$H2831="CÉLULA CONSTRUTIVA"</formula>
    </cfRule>
  </conditionalFormatting>
  <conditionalFormatting sqref="O2832">
    <cfRule type="expression" dxfId="9897" priority="483">
      <formula>$H2832="SUBETAPA"</formula>
    </cfRule>
    <cfRule type="expression" dxfId="9896" priority="484">
      <formula>$H2832="CÉLULA CONSTRUTIVA"</formula>
    </cfRule>
    <cfRule type="expression" dxfId="9895" priority="485">
      <formula>$H2832="ETAPA"</formula>
    </cfRule>
  </conditionalFormatting>
  <conditionalFormatting sqref="O2835">
    <cfRule type="expression" dxfId="9894" priority="477">
      <formula>$H2835="SUBETAPA"</formula>
    </cfRule>
    <cfRule type="expression" dxfId="9893" priority="478">
      <formula>$H2835="CÉLULA CONSTRUTIVA"</formula>
    </cfRule>
    <cfRule type="expression" dxfId="9892" priority="479">
      <formula>$H2835="ETAPA"</formula>
    </cfRule>
  </conditionalFormatting>
  <conditionalFormatting sqref="O2836">
    <cfRule type="expression" dxfId="9891" priority="474">
      <formula>$H2836="SUBETAPA"</formula>
    </cfRule>
    <cfRule type="expression" dxfId="9890" priority="475">
      <formula>$H2836="CÉLULA CONSTRUTIVA"</formula>
    </cfRule>
    <cfRule type="expression" dxfId="9889" priority="476">
      <formula>$H2836="ETAPA"</formula>
    </cfRule>
  </conditionalFormatting>
  <conditionalFormatting sqref="O2838">
    <cfRule type="expression" dxfId="9888" priority="460">
      <formula>$H2838="SUBETAPA"</formula>
    </cfRule>
    <cfRule type="expression" dxfId="9887" priority="461">
      <formula>$H2838="CÉLULA CONSTRUTIVA"</formula>
    </cfRule>
    <cfRule type="expression" dxfId="9886" priority="462">
      <formula>$H2838="ETAPA"</formula>
    </cfRule>
  </conditionalFormatting>
  <conditionalFormatting sqref="O2839 O2846">
    <cfRule type="expression" dxfId="9885" priority="552">
      <formula>$H2839="SUBETAPA"</formula>
    </cfRule>
  </conditionalFormatting>
  <conditionalFormatting sqref="O2839:O2840 O2846">
    <cfRule type="expression" dxfId="9884" priority="523">
      <formula>$H2839="ETAPA"</formula>
    </cfRule>
  </conditionalFormatting>
  <conditionalFormatting sqref="O2840">
    <cfRule type="expression" dxfId="9883" priority="553">
      <formula>$H2840="CÉLULA CONSTRUTIVA"</formula>
    </cfRule>
  </conditionalFormatting>
  <conditionalFormatting sqref="O2841">
    <cfRule type="expression" dxfId="9882" priority="548">
      <formula>$H2841="SUBETAPA"</formula>
    </cfRule>
    <cfRule type="expression" dxfId="9881" priority="549">
      <formula>$H2841="CÉLULA CONSTRUTIVA"</formula>
    </cfRule>
    <cfRule type="expression" dxfId="9880" priority="550">
      <formula>$H2841="ETAPA"</formula>
    </cfRule>
  </conditionalFormatting>
  <conditionalFormatting sqref="O2844">
    <cfRule type="expression" dxfId="9879" priority="542">
      <formula>$H2844="SUBETAPA"</formula>
    </cfRule>
    <cfRule type="expression" dxfId="9878" priority="543">
      <formula>$H2844="CÉLULA CONSTRUTIVA"</formula>
    </cfRule>
    <cfRule type="expression" dxfId="9877" priority="544">
      <formula>$H2844="ETAPA"</formula>
    </cfRule>
  </conditionalFormatting>
  <conditionalFormatting sqref="O2845">
    <cfRule type="expression" dxfId="9876" priority="539">
      <formula>$H2845="SUBETAPA"</formula>
    </cfRule>
    <cfRule type="expression" dxfId="9875" priority="540">
      <formula>$H2845="CÉLULA CONSTRUTIVA"</formula>
    </cfRule>
    <cfRule type="expression" dxfId="9874" priority="541">
      <formula>$H2845="ETAPA"</formula>
    </cfRule>
  </conditionalFormatting>
  <conditionalFormatting sqref="O2847">
    <cfRule type="expression" dxfId="9873" priority="525">
      <formula>$H2847="SUBETAPA"</formula>
    </cfRule>
    <cfRule type="expression" dxfId="9872" priority="526">
      <formula>$H2847="CÉLULA CONSTRUTIVA"</formula>
    </cfRule>
    <cfRule type="expression" dxfId="9871" priority="527">
      <formula>$H2847="ETAPA"</formula>
    </cfRule>
  </conditionalFormatting>
  <conditionalFormatting sqref="O2848 O2855">
    <cfRule type="expression" dxfId="9870" priority="617">
      <formula>$H2848="SUBETAPA"</formula>
    </cfRule>
  </conditionalFormatting>
  <conditionalFormatting sqref="O2848:O2849 O2855">
    <cfRule type="expression" dxfId="9869" priority="588">
      <formula>$H2848="ETAPA"</formula>
    </cfRule>
  </conditionalFormatting>
  <conditionalFormatting sqref="O2849">
    <cfRule type="expression" dxfId="9868" priority="618">
      <formula>$H2849="CÉLULA CONSTRUTIVA"</formula>
    </cfRule>
  </conditionalFormatting>
  <conditionalFormatting sqref="O2850">
    <cfRule type="expression" dxfId="9867" priority="613">
      <formula>$H2850="SUBETAPA"</formula>
    </cfRule>
    <cfRule type="expression" dxfId="9866" priority="614">
      <formula>$H2850="CÉLULA CONSTRUTIVA"</formula>
    </cfRule>
    <cfRule type="expression" dxfId="9865" priority="615">
      <formula>$H2850="ETAPA"</formula>
    </cfRule>
  </conditionalFormatting>
  <conditionalFormatting sqref="O2853">
    <cfRule type="expression" dxfId="9864" priority="607">
      <formula>$H2853="SUBETAPA"</formula>
    </cfRule>
    <cfRule type="expression" dxfId="9863" priority="608">
      <formula>$H2853="CÉLULA CONSTRUTIVA"</formula>
    </cfRule>
    <cfRule type="expression" dxfId="9862" priority="609">
      <formula>$H2853="ETAPA"</formula>
    </cfRule>
  </conditionalFormatting>
  <conditionalFormatting sqref="O2854">
    <cfRule type="expression" dxfId="9861" priority="604">
      <formula>$H2854="SUBETAPA"</formula>
    </cfRule>
    <cfRule type="expression" dxfId="9860" priority="605">
      <formula>$H2854="CÉLULA CONSTRUTIVA"</formula>
    </cfRule>
    <cfRule type="expression" dxfId="9859" priority="606">
      <formula>$H2854="ETAPA"</formula>
    </cfRule>
  </conditionalFormatting>
  <conditionalFormatting sqref="O2856">
    <cfRule type="expression" dxfId="9858" priority="590">
      <formula>$H2856="SUBETAPA"</formula>
    </cfRule>
    <cfRule type="expression" dxfId="9857" priority="591">
      <formula>$H2856="CÉLULA CONSTRUTIVA"</formula>
    </cfRule>
    <cfRule type="expression" dxfId="9856" priority="592">
      <formula>$H2856="ETAPA"</formula>
    </cfRule>
  </conditionalFormatting>
  <conditionalFormatting sqref="O2857 O2864">
    <cfRule type="expression" dxfId="9855" priority="682">
      <formula>$H2857="SUBETAPA"</formula>
    </cfRule>
  </conditionalFormatting>
  <conditionalFormatting sqref="O2857:O2858 O2864">
    <cfRule type="expression" dxfId="9854" priority="653">
      <formula>$H2857="ETAPA"</formula>
    </cfRule>
  </conditionalFormatting>
  <conditionalFormatting sqref="O2858">
    <cfRule type="expression" dxfId="9853" priority="683">
      <formula>$H2858="CÉLULA CONSTRUTIVA"</formula>
    </cfRule>
  </conditionalFormatting>
  <conditionalFormatting sqref="O2859">
    <cfRule type="expression" dxfId="9852" priority="678">
      <formula>$H2859="SUBETAPA"</formula>
    </cfRule>
    <cfRule type="expression" dxfId="9851" priority="679">
      <formula>$H2859="CÉLULA CONSTRUTIVA"</formula>
    </cfRule>
    <cfRule type="expression" dxfId="9850" priority="680">
      <formula>$H2859="ETAPA"</formula>
    </cfRule>
  </conditionalFormatting>
  <conditionalFormatting sqref="O2862">
    <cfRule type="expression" dxfId="9849" priority="672">
      <formula>$H2862="SUBETAPA"</formula>
    </cfRule>
    <cfRule type="expression" dxfId="9848" priority="673">
      <formula>$H2862="CÉLULA CONSTRUTIVA"</formula>
    </cfRule>
    <cfRule type="expression" dxfId="9847" priority="674">
      <formula>$H2862="ETAPA"</formula>
    </cfRule>
  </conditionalFormatting>
  <conditionalFormatting sqref="O2863">
    <cfRule type="expression" dxfId="9846" priority="669">
      <formula>$H2863="SUBETAPA"</formula>
    </cfRule>
    <cfRule type="expression" dxfId="9845" priority="670">
      <formula>$H2863="CÉLULA CONSTRUTIVA"</formula>
    </cfRule>
    <cfRule type="expression" dxfId="9844" priority="671">
      <formula>$H2863="ETAPA"</formula>
    </cfRule>
  </conditionalFormatting>
  <conditionalFormatting sqref="O2865">
    <cfRule type="expression" dxfId="9843" priority="655">
      <formula>$H2865="SUBETAPA"</formula>
    </cfRule>
    <cfRule type="expression" dxfId="9842" priority="656">
      <formula>$H2865="CÉLULA CONSTRUTIVA"</formula>
    </cfRule>
    <cfRule type="expression" dxfId="9841" priority="657">
      <formula>$H2865="ETAPA"</formula>
    </cfRule>
  </conditionalFormatting>
  <conditionalFormatting sqref="O2866 O2873">
    <cfRule type="expression" dxfId="9840" priority="747">
      <formula>$H2866="SUBETAPA"</formula>
    </cfRule>
  </conditionalFormatting>
  <conditionalFormatting sqref="O2866:O2867 O2873">
    <cfRule type="expression" dxfId="9839" priority="718">
      <formula>$H2866="ETAPA"</formula>
    </cfRule>
  </conditionalFormatting>
  <conditionalFormatting sqref="O2867">
    <cfRule type="expression" dxfId="9838" priority="748">
      <formula>$H2867="CÉLULA CONSTRUTIVA"</formula>
    </cfRule>
  </conditionalFormatting>
  <conditionalFormatting sqref="O2868">
    <cfRule type="expression" dxfId="9837" priority="743">
      <formula>$H2868="SUBETAPA"</formula>
    </cfRule>
    <cfRule type="expression" dxfId="9836" priority="744">
      <formula>$H2868="CÉLULA CONSTRUTIVA"</formula>
    </cfRule>
    <cfRule type="expression" dxfId="9835" priority="745">
      <formula>$H2868="ETAPA"</formula>
    </cfRule>
  </conditionalFormatting>
  <conditionalFormatting sqref="O2871">
    <cfRule type="expression" dxfId="9834" priority="737">
      <formula>$H2871="SUBETAPA"</formula>
    </cfRule>
    <cfRule type="expression" dxfId="9833" priority="738">
      <formula>$H2871="CÉLULA CONSTRUTIVA"</formula>
    </cfRule>
    <cfRule type="expression" dxfId="9832" priority="739">
      <formula>$H2871="ETAPA"</formula>
    </cfRule>
  </conditionalFormatting>
  <conditionalFormatting sqref="O2872">
    <cfRule type="expression" dxfId="9831" priority="734">
      <formula>$H2872="SUBETAPA"</formula>
    </cfRule>
    <cfRule type="expression" dxfId="9830" priority="735">
      <formula>$H2872="CÉLULA CONSTRUTIVA"</formula>
    </cfRule>
    <cfRule type="expression" dxfId="9829" priority="736">
      <formula>$H2872="ETAPA"</formula>
    </cfRule>
  </conditionalFormatting>
  <conditionalFormatting sqref="O2874">
    <cfRule type="expression" dxfId="9828" priority="720">
      <formula>$H2874="SUBETAPA"</formula>
    </cfRule>
    <cfRule type="expression" dxfId="9827" priority="721">
      <formula>$H2874="CÉLULA CONSTRUTIVA"</formula>
    </cfRule>
    <cfRule type="expression" dxfId="9826" priority="722">
      <formula>$H2874="ETAPA"</formula>
    </cfRule>
  </conditionalFormatting>
  <conditionalFormatting sqref="O2875 O2884">
    <cfRule type="expression" dxfId="9825" priority="812">
      <formula>$H2875="SUBETAPA"</formula>
    </cfRule>
  </conditionalFormatting>
  <conditionalFormatting sqref="O2875:O2876 O2884">
    <cfRule type="expression" dxfId="9824" priority="783">
      <formula>$H2875="ETAPA"</formula>
    </cfRule>
  </conditionalFormatting>
  <conditionalFormatting sqref="O2876">
    <cfRule type="expression" dxfId="9823" priority="813">
      <formula>$H2876="CÉLULA CONSTRUTIVA"</formula>
    </cfRule>
  </conditionalFormatting>
  <conditionalFormatting sqref="O2877">
    <cfRule type="expression" dxfId="9822" priority="808">
      <formula>$H2877="SUBETAPA"</formula>
    </cfRule>
    <cfRule type="expression" dxfId="9821" priority="809">
      <formula>$H2877="CÉLULA CONSTRUTIVA"</formula>
    </cfRule>
    <cfRule type="expression" dxfId="9820" priority="810">
      <formula>$H2877="ETAPA"</formula>
    </cfRule>
  </conditionalFormatting>
  <conditionalFormatting sqref="O2880">
    <cfRule type="expression" dxfId="9819" priority="802">
      <formula>$H2880="SUBETAPA"</formula>
    </cfRule>
    <cfRule type="expression" dxfId="9818" priority="803">
      <formula>$H2880="CÉLULA CONSTRUTIVA"</formula>
    </cfRule>
    <cfRule type="expression" dxfId="9817" priority="804">
      <formula>$H2880="ETAPA"</formula>
    </cfRule>
  </conditionalFormatting>
  <conditionalFormatting sqref="O2881">
    <cfRule type="expression" dxfId="9816" priority="799">
      <formula>$H2881="SUBETAPA"</formula>
    </cfRule>
    <cfRule type="expression" dxfId="9815" priority="800">
      <formula>$H2881="CÉLULA CONSTRUTIVA"</formula>
    </cfRule>
    <cfRule type="expression" dxfId="9814" priority="801">
      <formula>$H2881="ETAPA"</formula>
    </cfRule>
  </conditionalFormatting>
  <conditionalFormatting sqref="O2882">
    <cfRule type="expression" dxfId="9813" priority="796">
      <formula>$H2882="SUBETAPA"</formula>
    </cfRule>
    <cfRule type="expression" dxfId="9812" priority="797">
      <formula>$H2882="CÉLULA CONSTRUTIVA"</formula>
    </cfRule>
    <cfRule type="expression" dxfId="9811" priority="798">
      <formula>$H2882="ETAPA"</formula>
    </cfRule>
  </conditionalFormatting>
  <conditionalFormatting sqref="O2883">
    <cfRule type="expression" dxfId="9810" priority="793">
      <formula>$H2883="SUBETAPA"</formula>
    </cfRule>
    <cfRule type="expression" dxfId="9809" priority="794">
      <formula>$H2883="CÉLULA CONSTRUTIVA"</formula>
    </cfRule>
    <cfRule type="expression" dxfId="9808" priority="795">
      <formula>$H2883="ETAPA"</formula>
    </cfRule>
  </conditionalFormatting>
  <conditionalFormatting sqref="O2885">
    <cfRule type="expression" dxfId="9807" priority="785">
      <formula>$H2885="SUBETAPA"</formula>
    </cfRule>
    <cfRule type="expression" dxfId="9806" priority="786">
      <formula>$H2885="CÉLULA CONSTRUTIVA"</formula>
    </cfRule>
    <cfRule type="expression" dxfId="9805" priority="787">
      <formula>$H2885="ETAPA"</formula>
    </cfRule>
  </conditionalFormatting>
  <conditionalFormatting sqref="O2886 O2895">
    <cfRule type="expression" dxfId="9804" priority="877">
      <formula>$H2886="SUBETAPA"</formula>
    </cfRule>
  </conditionalFormatting>
  <conditionalFormatting sqref="O2886:O2887 O2895">
    <cfRule type="expression" dxfId="9803" priority="848">
      <formula>$H2886="ETAPA"</formula>
    </cfRule>
  </conditionalFormatting>
  <conditionalFormatting sqref="O2887">
    <cfRule type="expression" dxfId="9802" priority="878">
      <formula>$H2887="CÉLULA CONSTRUTIVA"</formula>
    </cfRule>
  </conditionalFormatting>
  <conditionalFormatting sqref="O2888">
    <cfRule type="expression" dxfId="9801" priority="873">
      <formula>$H2888="SUBETAPA"</formula>
    </cfRule>
    <cfRule type="expression" dxfId="9800" priority="874">
      <formula>$H2888="CÉLULA CONSTRUTIVA"</formula>
    </cfRule>
    <cfRule type="expression" dxfId="9799" priority="875">
      <formula>$H2888="ETAPA"</formula>
    </cfRule>
  </conditionalFormatting>
  <conditionalFormatting sqref="O2891">
    <cfRule type="expression" dxfId="9798" priority="867">
      <formula>$H2891="SUBETAPA"</formula>
    </cfRule>
    <cfRule type="expression" dxfId="9797" priority="868">
      <formula>$H2891="CÉLULA CONSTRUTIVA"</formula>
    </cfRule>
    <cfRule type="expression" dxfId="9796" priority="869">
      <formula>$H2891="ETAPA"</formula>
    </cfRule>
  </conditionalFormatting>
  <conditionalFormatting sqref="O2892">
    <cfRule type="expression" dxfId="9795" priority="864">
      <formula>$H2892="SUBETAPA"</formula>
    </cfRule>
    <cfRule type="expression" dxfId="9794" priority="865">
      <formula>$H2892="CÉLULA CONSTRUTIVA"</formula>
    </cfRule>
    <cfRule type="expression" dxfId="9793" priority="866">
      <formula>$H2892="ETAPA"</formula>
    </cfRule>
  </conditionalFormatting>
  <conditionalFormatting sqref="O2893">
    <cfRule type="expression" dxfId="9792" priority="861">
      <formula>$H2893="SUBETAPA"</formula>
    </cfRule>
    <cfRule type="expression" dxfId="9791" priority="862">
      <formula>$H2893="CÉLULA CONSTRUTIVA"</formula>
    </cfRule>
    <cfRule type="expression" dxfId="9790" priority="863">
      <formula>$H2893="ETAPA"</formula>
    </cfRule>
  </conditionalFormatting>
  <conditionalFormatting sqref="O2894">
    <cfRule type="expression" dxfId="9789" priority="858">
      <formula>$H2894="SUBETAPA"</formula>
    </cfRule>
    <cfRule type="expression" dxfId="9788" priority="859">
      <formula>$H2894="CÉLULA CONSTRUTIVA"</formula>
    </cfRule>
    <cfRule type="expression" dxfId="9787" priority="860">
      <formula>$H2894="ETAPA"</formula>
    </cfRule>
  </conditionalFormatting>
  <conditionalFormatting sqref="O2896">
    <cfRule type="expression" dxfId="9786" priority="850">
      <formula>$H2896="SUBETAPA"</formula>
    </cfRule>
    <cfRule type="expression" dxfId="9785" priority="851">
      <formula>$H2896="CÉLULA CONSTRUTIVA"</formula>
    </cfRule>
    <cfRule type="expression" dxfId="9784" priority="852">
      <formula>$H2896="ETAPA"</formula>
    </cfRule>
  </conditionalFormatting>
  <conditionalFormatting sqref="O2897 O2904">
    <cfRule type="expression" dxfId="9783" priority="942">
      <formula>$H2897="SUBETAPA"</formula>
    </cfRule>
  </conditionalFormatting>
  <conditionalFormatting sqref="O2897:O2898 O2904">
    <cfRule type="expression" dxfId="9782" priority="913">
      <formula>$H2897="ETAPA"</formula>
    </cfRule>
  </conditionalFormatting>
  <conditionalFormatting sqref="O2898">
    <cfRule type="expression" dxfId="9781" priority="943">
      <formula>$H2898="CÉLULA CONSTRUTIVA"</formula>
    </cfRule>
  </conditionalFormatting>
  <conditionalFormatting sqref="O2899">
    <cfRule type="expression" dxfId="9780" priority="938">
      <formula>$H2899="SUBETAPA"</formula>
    </cfRule>
    <cfRule type="expression" dxfId="9779" priority="939">
      <formula>$H2899="CÉLULA CONSTRUTIVA"</formula>
    </cfRule>
    <cfRule type="expression" dxfId="9778" priority="940">
      <formula>$H2899="ETAPA"</formula>
    </cfRule>
  </conditionalFormatting>
  <conditionalFormatting sqref="O2900">
    <cfRule type="expression" dxfId="9777" priority="935">
      <formula>$H2900="SUBETAPA"</formula>
    </cfRule>
    <cfRule type="expression" dxfId="9776" priority="936">
      <formula>$H2900="CÉLULA CONSTRUTIVA"</formula>
    </cfRule>
    <cfRule type="expression" dxfId="9775" priority="937">
      <formula>$H2900="ETAPA"</formula>
    </cfRule>
  </conditionalFormatting>
  <conditionalFormatting sqref="O2902">
    <cfRule type="expression" dxfId="9774" priority="932">
      <formula>$H2902="SUBETAPA"</formula>
    </cfRule>
    <cfRule type="expression" dxfId="9773" priority="933">
      <formula>$H2902="CÉLULA CONSTRUTIVA"</formula>
    </cfRule>
    <cfRule type="expression" dxfId="9772" priority="934">
      <formula>$H2902="ETAPA"</formula>
    </cfRule>
  </conditionalFormatting>
  <conditionalFormatting sqref="O2903">
    <cfRule type="expression" dxfId="9771" priority="929">
      <formula>$H2903="SUBETAPA"</formula>
    </cfRule>
    <cfRule type="expression" dxfId="9770" priority="930">
      <formula>$H2903="CÉLULA CONSTRUTIVA"</formula>
    </cfRule>
    <cfRule type="expression" dxfId="9769" priority="931">
      <formula>$H2903="ETAPA"</formula>
    </cfRule>
  </conditionalFormatting>
  <conditionalFormatting sqref="O2905">
    <cfRule type="expression" dxfId="9768" priority="915">
      <formula>$H2905="SUBETAPA"</formula>
    </cfRule>
    <cfRule type="expression" dxfId="9767" priority="916">
      <formula>$H2905="CÉLULA CONSTRUTIVA"</formula>
    </cfRule>
    <cfRule type="expression" dxfId="9766" priority="917">
      <formula>$H2905="ETAPA"</formula>
    </cfRule>
  </conditionalFormatting>
  <conditionalFormatting sqref="O2906 O2913">
    <cfRule type="expression" dxfId="9765" priority="1007">
      <formula>$H2906="SUBETAPA"</formula>
    </cfRule>
  </conditionalFormatting>
  <conditionalFormatting sqref="O2906:O2907 O2913">
    <cfRule type="expression" dxfId="9764" priority="978">
      <formula>$H2906="ETAPA"</formula>
    </cfRule>
  </conditionalFormatting>
  <conditionalFormatting sqref="O2907">
    <cfRule type="expression" dxfId="9763" priority="1008">
      <formula>$H2907="CÉLULA CONSTRUTIVA"</formula>
    </cfRule>
  </conditionalFormatting>
  <conditionalFormatting sqref="O2908">
    <cfRule type="expression" dxfId="9762" priority="1003">
      <formula>$H2908="SUBETAPA"</formula>
    </cfRule>
    <cfRule type="expression" dxfId="9761" priority="1004">
      <formula>$H2908="CÉLULA CONSTRUTIVA"</formula>
    </cfRule>
    <cfRule type="expression" dxfId="9760" priority="1005">
      <formula>$H2908="ETAPA"</formula>
    </cfRule>
  </conditionalFormatting>
  <conditionalFormatting sqref="O2909">
    <cfRule type="expression" dxfId="9759" priority="1000">
      <formula>$H2909="SUBETAPA"</formula>
    </cfRule>
    <cfRule type="expression" dxfId="9758" priority="1001">
      <formula>$H2909="CÉLULA CONSTRUTIVA"</formula>
    </cfRule>
    <cfRule type="expression" dxfId="9757" priority="1002">
      <formula>$H2909="ETAPA"</formula>
    </cfRule>
  </conditionalFormatting>
  <conditionalFormatting sqref="O2911">
    <cfRule type="expression" dxfId="9756" priority="997">
      <formula>$H2911="SUBETAPA"</formula>
    </cfRule>
    <cfRule type="expression" dxfId="9755" priority="998">
      <formula>$H2911="CÉLULA CONSTRUTIVA"</formula>
    </cfRule>
    <cfRule type="expression" dxfId="9754" priority="999">
      <formula>$H2911="ETAPA"</formula>
    </cfRule>
  </conditionalFormatting>
  <conditionalFormatting sqref="O2912">
    <cfRule type="expression" dxfId="9753" priority="994">
      <formula>$H2912="SUBETAPA"</formula>
    </cfRule>
    <cfRule type="expression" dxfId="9752" priority="995">
      <formula>$H2912="CÉLULA CONSTRUTIVA"</formula>
    </cfRule>
    <cfRule type="expression" dxfId="9751" priority="996">
      <formula>$H2912="ETAPA"</formula>
    </cfRule>
  </conditionalFormatting>
  <conditionalFormatting sqref="O2914">
    <cfRule type="expression" dxfId="9750" priority="980">
      <formula>$H2914="SUBETAPA"</formula>
    </cfRule>
    <cfRule type="expression" dxfId="9749" priority="981">
      <formula>$H2914="CÉLULA CONSTRUTIVA"</formula>
    </cfRule>
    <cfRule type="expression" dxfId="9748" priority="982">
      <formula>$H2914="ETAPA"</formula>
    </cfRule>
  </conditionalFormatting>
  <conditionalFormatting sqref="O2915 O2922">
    <cfRule type="expression" dxfId="9747" priority="1072">
      <formula>$H2915="SUBETAPA"</formula>
    </cfRule>
  </conditionalFormatting>
  <conditionalFormatting sqref="O2915:O2916 O2922">
    <cfRule type="expression" dxfId="9746" priority="1043">
      <formula>$H2915="ETAPA"</formula>
    </cfRule>
  </conditionalFormatting>
  <conditionalFormatting sqref="O2916">
    <cfRule type="expression" dxfId="9745" priority="1073">
      <formula>$H2916="CÉLULA CONSTRUTIVA"</formula>
    </cfRule>
  </conditionalFormatting>
  <conditionalFormatting sqref="O2917">
    <cfRule type="expression" dxfId="9744" priority="1068">
      <formula>$H2917="SUBETAPA"</formula>
    </cfRule>
    <cfRule type="expression" dxfId="9743" priority="1069">
      <formula>$H2917="CÉLULA CONSTRUTIVA"</formula>
    </cfRule>
    <cfRule type="expression" dxfId="9742" priority="1070">
      <formula>$H2917="ETAPA"</formula>
    </cfRule>
  </conditionalFormatting>
  <conditionalFormatting sqref="O2918">
    <cfRule type="expression" dxfId="9741" priority="1065">
      <formula>$H2918="SUBETAPA"</formula>
    </cfRule>
    <cfRule type="expression" dxfId="9740" priority="1066">
      <formula>$H2918="CÉLULA CONSTRUTIVA"</formula>
    </cfRule>
    <cfRule type="expression" dxfId="9739" priority="1067">
      <formula>$H2918="ETAPA"</formula>
    </cfRule>
  </conditionalFormatting>
  <conditionalFormatting sqref="O2920">
    <cfRule type="expression" dxfId="9738" priority="1062">
      <formula>$H2920="SUBETAPA"</formula>
    </cfRule>
    <cfRule type="expression" dxfId="9737" priority="1063">
      <formula>$H2920="CÉLULA CONSTRUTIVA"</formula>
    </cfRule>
    <cfRule type="expression" dxfId="9736" priority="1064">
      <formula>$H2920="ETAPA"</formula>
    </cfRule>
  </conditionalFormatting>
  <conditionalFormatting sqref="O2921">
    <cfRule type="expression" dxfId="9735" priority="1059">
      <formula>$H2921="SUBETAPA"</formula>
    </cfRule>
    <cfRule type="expression" dxfId="9734" priority="1060">
      <formula>$H2921="CÉLULA CONSTRUTIVA"</formula>
    </cfRule>
    <cfRule type="expression" dxfId="9733" priority="1061">
      <formula>$H2921="ETAPA"</formula>
    </cfRule>
  </conditionalFormatting>
  <conditionalFormatting sqref="O2923">
    <cfRule type="expression" dxfId="9732" priority="1045">
      <formula>$H2923="SUBETAPA"</formula>
    </cfRule>
    <cfRule type="expression" dxfId="9731" priority="1046">
      <formula>$H2923="CÉLULA CONSTRUTIVA"</formula>
    </cfRule>
    <cfRule type="expression" dxfId="9730" priority="1047">
      <formula>$H2923="ETAPA"</formula>
    </cfRule>
  </conditionalFormatting>
  <conditionalFormatting sqref="O2924 O2931">
    <cfRule type="expression" dxfId="9729" priority="1137">
      <formula>$H2924="SUBETAPA"</formula>
    </cfRule>
  </conditionalFormatting>
  <conditionalFormatting sqref="O2924:O2925 O2931">
    <cfRule type="expression" dxfId="9728" priority="1108">
      <formula>$H2924="ETAPA"</formula>
    </cfRule>
  </conditionalFormatting>
  <conditionalFormatting sqref="O2925">
    <cfRule type="expression" dxfId="9727" priority="1138">
      <formula>$H2925="CÉLULA CONSTRUTIVA"</formula>
    </cfRule>
  </conditionalFormatting>
  <conditionalFormatting sqref="O2926">
    <cfRule type="expression" dxfId="9726" priority="1133">
      <formula>$H2926="SUBETAPA"</formula>
    </cfRule>
    <cfRule type="expression" dxfId="9725" priority="1134">
      <formula>$H2926="CÉLULA CONSTRUTIVA"</formula>
    </cfRule>
    <cfRule type="expression" dxfId="9724" priority="1135">
      <formula>$H2926="ETAPA"</formula>
    </cfRule>
  </conditionalFormatting>
  <conditionalFormatting sqref="O2927">
    <cfRule type="expression" dxfId="9723" priority="1130">
      <formula>$H2927="SUBETAPA"</formula>
    </cfRule>
    <cfRule type="expression" dxfId="9722" priority="1131">
      <formula>$H2927="CÉLULA CONSTRUTIVA"</formula>
    </cfRule>
    <cfRule type="expression" dxfId="9721" priority="1132">
      <formula>$H2927="ETAPA"</formula>
    </cfRule>
  </conditionalFormatting>
  <conditionalFormatting sqref="O2929">
    <cfRule type="expression" dxfId="9720" priority="1127">
      <formula>$H2929="SUBETAPA"</formula>
    </cfRule>
    <cfRule type="expression" dxfId="9719" priority="1128">
      <formula>$H2929="CÉLULA CONSTRUTIVA"</formula>
    </cfRule>
    <cfRule type="expression" dxfId="9718" priority="1129">
      <formula>$H2929="ETAPA"</formula>
    </cfRule>
  </conditionalFormatting>
  <conditionalFormatting sqref="O2930">
    <cfRule type="expression" dxfId="9717" priority="1124">
      <formula>$H2930="SUBETAPA"</formula>
    </cfRule>
    <cfRule type="expression" dxfId="9716" priority="1125">
      <formula>$H2930="CÉLULA CONSTRUTIVA"</formula>
    </cfRule>
    <cfRule type="expression" dxfId="9715" priority="1126">
      <formula>$H2930="ETAPA"</formula>
    </cfRule>
  </conditionalFormatting>
  <conditionalFormatting sqref="O2932">
    <cfRule type="expression" dxfId="9714" priority="1110">
      <formula>$H2932="SUBETAPA"</formula>
    </cfRule>
    <cfRule type="expression" dxfId="9713" priority="1111">
      <formula>$H2932="CÉLULA CONSTRUTIVA"</formula>
    </cfRule>
    <cfRule type="expression" dxfId="9712" priority="1112">
      <formula>$H2932="ETAPA"</formula>
    </cfRule>
  </conditionalFormatting>
  <conditionalFormatting sqref="O2933 O2942">
    <cfRule type="expression" dxfId="9711" priority="1202">
      <formula>$H2933="SUBETAPA"</formula>
    </cfRule>
  </conditionalFormatting>
  <conditionalFormatting sqref="O2933:O2934 O2942">
    <cfRule type="expression" dxfId="9710" priority="1173">
      <formula>$H2933="ETAPA"</formula>
    </cfRule>
  </conditionalFormatting>
  <conditionalFormatting sqref="O2934">
    <cfRule type="expression" dxfId="9709" priority="1203">
      <formula>$H2934="CÉLULA CONSTRUTIVA"</formula>
    </cfRule>
  </conditionalFormatting>
  <conditionalFormatting sqref="O2935">
    <cfRule type="expression" dxfId="9708" priority="1198">
      <formula>$H2935="SUBETAPA"</formula>
    </cfRule>
    <cfRule type="expression" dxfId="9707" priority="1199">
      <formula>$H2935="CÉLULA CONSTRUTIVA"</formula>
    </cfRule>
    <cfRule type="expression" dxfId="9706" priority="1200">
      <formula>$H2935="ETAPA"</formula>
    </cfRule>
  </conditionalFormatting>
  <conditionalFormatting sqref="O2936">
    <cfRule type="expression" dxfId="9705" priority="1195">
      <formula>$H2936="SUBETAPA"</formula>
    </cfRule>
    <cfRule type="expression" dxfId="9704" priority="1196">
      <formula>$H2936="CÉLULA CONSTRUTIVA"</formula>
    </cfRule>
    <cfRule type="expression" dxfId="9703" priority="1197">
      <formula>$H2936="ETAPA"</formula>
    </cfRule>
  </conditionalFormatting>
  <conditionalFormatting sqref="O2938">
    <cfRule type="expression" dxfId="9702" priority="1192">
      <formula>$H2938="SUBETAPA"</formula>
    </cfRule>
    <cfRule type="expression" dxfId="9701" priority="1193">
      <formula>$H2938="CÉLULA CONSTRUTIVA"</formula>
    </cfRule>
    <cfRule type="expression" dxfId="9700" priority="1194">
      <formula>$H2938="ETAPA"</formula>
    </cfRule>
  </conditionalFormatting>
  <conditionalFormatting sqref="O2939">
    <cfRule type="expression" dxfId="9699" priority="1189">
      <formula>$H2939="SUBETAPA"</formula>
    </cfRule>
    <cfRule type="expression" dxfId="9698" priority="1190">
      <formula>$H2939="CÉLULA CONSTRUTIVA"</formula>
    </cfRule>
    <cfRule type="expression" dxfId="9697" priority="1191">
      <formula>$H2939="ETAPA"</formula>
    </cfRule>
  </conditionalFormatting>
  <conditionalFormatting sqref="O2940">
    <cfRule type="expression" dxfId="9696" priority="1186">
      <formula>$H2940="SUBETAPA"</formula>
    </cfRule>
    <cfRule type="expression" dxfId="9695" priority="1187">
      <formula>$H2940="CÉLULA CONSTRUTIVA"</formula>
    </cfRule>
    <cfRule type="expression" dxfId="9694" priority="1188">
      <formula>$H2940="ETAPA"</formula>
    </cfRule>
  </conditionalFormatting>
  <conditionalFormatting sqref="O2941">
    <cfRule type="expression" dxfId="9693" priority="1183">
      <formula>$H2941="SUBETAPA"</formula>
    </cfRule>
    <cfRule type="expression" dxfId="9692" priority="1184">
      <formula>$H2941="CÉLULA CONSTRUTIVA"</formula>
    </cfRule>
    <cfRule type="expression" dxfId="9691" priority="1185">
      <formula>$H2941="ETAPA"</formula>
    </cfRule>
  </conditionalFormatting>
  <conditionalFormatting sqref="O2943">
    <cfRule type="expression" dxfId="9690" priority="1175">
      <formula>$H2943="SUBETAPA"</formula>
    </cfRule>
    <cfRule type="expression" dxfId="9689" priority="1176">
      <formula>$H2943="CÉLULA CONSTRUTIVA"</formula>
    </cfRule>
    <cfRule type="expression" dxfId="9688" priority="1177">
      <formula>$H2943="ETAPA"</formula>
    </cfRule>
  </conditionalFormatting>
  <conditionalFormatting sqref="O2944 O2952">
    <cfRule type="expression" dxfId="9687" priority="1267">
      <formula>$H2944="SUBETAPA"</formula>
    </cfRule>
  </conditionalFormatting>
  <conditionalFormatting sqref="O2944:O2945 O2952">
    <cfRule type="expression" dxfId="9686" priority="1238">
      <formula>$H2944="ETAPA"</formula>
    </cfRule>
  </conditionalFormatting>
  <conditionalFormatting sqref="O2945">
    <cfRule type="expression" dxfId="9685" priority="1268">
      <formula>$H2945="CÉLULA CONSTRUTIVA"</formula>
    </cfRule>
  </conditionalFormatting>
  <conditionalFormatting sqref="O2946">
    <cfRule type="expression" dxfId="9684" priority="1263">
      <formula>$H2946="SUBETAPA"</formula>
    </cfRule>
    <cfRule type="expression" dxfId="9683" priority="1264">
      <formula>$H2946="CÉLULA CONSTRUTIVA"</formula>
    </cfRule>
    <cfRule type="expression" dxfId="9682" priority="1265">
      <formula>$H2946="ETAPA"</formula>
    </cfRule>
  </conditionalFormatting>
  <conditionalFormatting sqref="O2947">
    <cfRule type="expression" dxfId="9681" priority="1260">
      <formula>$H2947="SUBETAPA"</formula>
    </cfRule>
    <cfRule type="expression" dxfId="9680" priority="1261">
      <formula>$H2947="CÉLULA CONSTRUTIVA"</formula>
    </cfRule>
    <cfRule type="expression" dxfId="9679" priority="1262">
      <formula>$H2947="ETAPA"</formula>
    </cfRule>
  </conditionalFormatting>
  <conditionalFormatting sqref="O2948">
    <cfRule type="expression" dxfId="9678" priority="1251">
      <formula>$H2948="SUBETAPA"</formula>
    </cfRule>
    <cfRule type="expression" dxfId="9677" priority="1252">
      <formula>$H2948="CÉLULA CONSTRUTIVA"</formula>
    </cfRule>
    <cfRule type="expression" dxfId="9676" priority="1253">
      <formula>$H2948="ETAPA"</formula>
    </cfRule>
  </conditionalFormatting>
  <conditionalFormatting sqref="O2949">
    <cfRule type="expression" dxfId="9675" priority="1248">
      <formula>$H2949="SUBETAPA"</formula>
    </cfRule>
    <cfRule type="expression" dxfId="9674" priority="1249">
      <formula>$H2949="CÉLULA CONSTRUTIVA"</formula>
    </cfRule>
    <cfRule type="expression" dxfId="9673" priority="1250">
      <formula>$H2949="ETAPA"</formula>
    </cfRule>
  </conditionalFormatting>
  <conditionalFormatting sqref="O2950">
    <cfRule type="expression" dxfId="9672" priority="1245">
      <formula>$H2950="SUBETAPA"</formula>
    </cfRule>
    <cfRule type="expression" dxfId="9671" priority="1246">
      <formula>$H2950="CÉLULA CONSTRUTIVA"</formula>
    </cfRule>
    <cfRule type="expression" dxfId="9670" priority="1247">
      <formula>$H2950="ETAPA"</formula>
    </cfRule>
  </conditionalFormatting>
  <conditionalFormatting sqref="O2951">
    <cfRule type="expression" dxfId="9669" priority="1243">
      <formula>$H2951="SUBETAPA"</formula>
    </cfRule>
    <cfRule type="expression" dxfId="9668" priority="1244">
      <formula>$H2951="CÉLULA CONSTRUTIVA"</formula>
    </cfRule>
  </conditionalFormatting>
  <conditionalFormatting sqref="O2953">
    <cfRule type="expression" dxfId="9667" priority="1240">
      <formula>$H2953="SUBETAPA"</formula>
    </cfRule>
    <cfRule type="expression" dxfId="9666" priority="1241">
      <formula>$H2953="CÉLULA CONSTRUTIVA"</formula>
    </cfRule>
    <cfRule type="expression" dxfId="9665" priority="1242">
      <formula>$H2953="ETAPA"</formula>
    </cfRule>
  </conditionalFormatting>
  <conditionalFormatting sqref="O2954">
    <cfRule type="expression" dxfId="9664" priority="59924">
      <formula>$H2954="ETAPA"</formula>
    </cfRule>
    <cfRule type="expression" dxfId="9663" priority="59925">
      <formula>$H2954="SUBETAPA"</formula>
    </cfRule>
    <cfRule type="expression" dxfId="9662"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61" priority="83627">
      <formula>$H2955="ETAPA"</formula>
    </cfRule>
  </conditionalFormatting>
  <conditionalFormatting sqref="O2957">
    <cfRule type="expression" dxfId="9660" priority="66712">
      <formula>$H2957="ETAPA"</formula>
    </cfRule>
    <cfRule type="expression" dxfId="9659" priority="66713">
      <formula>$H2957="SUBETAPA"</formula>
    </cfRule>
  </conditionalFormatting>
  <conditionalFormatting sqref="O2959 O3054 O3104 O3085">
    <cfRule type="expression" dxfId="9658" priority="66714">
      <formula>$H2959="CÉLULA CONSTRUTIVA"</formula>
    </cfRule>
    <cfRule type="expression" dxfId="9657" priority="66715">
      <formula>$H2959="SUBETAPA"</formula>
    </cfRule>
  </conditionalFormatting>
  <conditionalFormatting sqref="O2959:O2960">
    <cfRule type="expression" dxfId="9656" priority="66705">
      <formula>$H2959="ETAPA"</formula>
    </cfRule>
  </conditionalFormatting>
  <conditionalFormatting sqref="O2960">
    <cfRule type="expression" dxfId="9655" priority="66704">
      <formula>$H2960="CÉLULA CONSTRUTIVA"</formula>
    </cfRule>
  </conditionalFormatting>
  <conditionalFormatting sqref="O2966">
    <cfRule type="expression" dxfId="9654" priority="65564">
      <formula>$H2966="ETAPA"</formula>
    </cfRule>
    <cfRule type="expression" dxfId="9653" priority="65570">
      <formula>$H2966="CÉLULA CONSTRUTIVA"</formula>
    </cfRule>
    <cfRule type="expression" dxfId="9652" priority="65571">
      <formula>$H2966="SUBETAPA"</formula>
    </cfRule>
  </conditionalFormatting>
  <conditionalFormatting sqref="O2971">
    <cfRule type="expression" dxfId="9651" priority="65166">
      <formula>$H2971="ETAPA"</formula>
    </cfRule>
    <cfRule type="expression" dxfId="9650" priority="65172">
      <formula>$H2971="CÉLULA CONSTRUTIVA"</formula>
    </cfRule>
    <cfRule type="expression" dxfId="9649" priority="65173">
      <formula>$H2971="SUBETAPA"</formula>
    </cfRule>
  </conditionalFormatting>
  <conditionalFormatting sqref="O2976">
    <cfRule type="expression" dxfId="9648" priority="65270">
      <formula>$H2976="ETAPA"</formula>
    </cfRule>
    <cfRule type="expression" dxfId="9647" priority="65276">
      <formula>$H2976="CÉLULA CONSTRUTIVA"</formula>
    </cfRule>
    <cfRule type="expression" dxfId="9646" priority="65277">
      <formula>$H2976="SUBETAPA"</formula>
    </cfRule>
  </conditionalFormatting>
  <conditionalFormatting sqref="O2981">
    <cfRule type="expression" dxfId="9645" priority="65365">
      <formula>$H2981="ETAPA"</formula>
    </cfRule>
    <cfRule type="expression" dxfId="9644" priority="65371">
      <formula>$H2981="CÉLULA CONSTRUTIVA"</formula>
    </cfRule>
    <cfRule type="expression" dxfId="9643" priority="65372">
      <formula>$H2981="SUBETAPA"</formula>
    </cfRule>
  </conditionalFormatting>
  <conditionalFormatting sqref="O2986">
    <cfRule type="expression" dxfId="9642" priority="65469">
      <formula>$H2986="ETAPA"</formula>
    </cfRule>
    <cfRule type="expression" dxfId="9641" priority="65475">
      <formula>$H2986="CÉLULA CONSTRUTIVA"</formula>
    </cfRule>
    <cfRule type="expression" dxfId="9640" priority="65476">
      <formula>$H2986="SUBETAPA"</formula>
    </cfRule>
  </conditionalFormatting>
  <conditionalFormatting sqref="O2991">
    <cfRule type="expression" dxfId="9639" priority="65684">
      <formula>$H2991="ETAPA"</formula>
    </cfRule>
    <cfRule type="expression" dxfId="9638" priority="65685">
      <formula>$H2991="SUBETAPA"</formula>
    </cfRule>
  </conditionalFormatting>
  <conditionalFormatting sqref="O2993">
    <cfRule type="expression" dxfId="9637" priority="65680">
      <formula>$H2993="ETAPA"</formula>
    </cfRule>
    <cfRule type="expression" dxfId="9636" priority="65686">
      <formula>$H2993="CÉLULA CONSTRUTIVA"</formula>
    </cfRule>
    <cfRule type="expression" dxfId="9635" priority="65687">
      <formula>$H2993="SUBETAPA"</formula>
    </cfRule>
  </conditionalFormatting>
  <conditionalFormatting sqref="O2998">
    <cfRule type="expression" dxfId="9634" priority="66198">
      <formula>$H2998="ETAPA"</formula>
    </cfRule>
    <cfRule type="expression" dxfId="9633" priority="66199">
      <formula>$H2998="SUBETAPA"</formula>
    </cfRule>
  </conditionalFormatting>
  <conditionalFormatting sqref="O3000">
    <cfRule type="expression" dxfId="9632" priority="66200">
      <formula>$H3000="CÉLULA CONSTRUTIVA"</formula>
    </cfRule>
    <cfRule type="expression" dxfId="9631" priority="66201">
      <formula>$H3000="SUBETAPA"</formula>
    </cfRule>
  </conditionalFormatting>
  <conditionalFormatting sqref="O3000:O3001">
    <cfRule type="expression" dxfId="9630" priority="66191">
      <formula>$H3000="ETAPA"</formula>
    </cfRule>
  </conditionalFormatting>
  <conditionalFormatting sqref="O3001">
    <cfRule type="expression" dxfId="9629" priority="66190">
      <formula>$H3001="CÉLULA CONSTRUTIVA"</formula>
    </cfRule>
  </conditionalFormatting>
  <conditionalFormatting sqref="O3007">
    <cfRule type="expression" dxfId="9628" priority="65800">
      <formula>$H3007="ETAPA"</formula>
    </cfRule>
    <cfRule type="expression" dxfId="9627" priority="65801">
      <formula>$H3007="SUBETAPA"</formula>
    </cfRule>
  </conditionalFormatting>
  <conditionalFormatting sqref="O3009">
    <cfRule type="expression" dxfId="9626" priority="65796">
      <formula>$H3009="ETAPA"</formula>
    </cfRule>
    <cfRule type="expression" dxfId="9625" priority="65802">
      <formula>$H3009="CÉLULA CONSTRUTIVA"</formula>
    </cfRule>
    <cfRule type="expression" dxfId="9624" priority="65803">
      <formula>$H3009="SUBETAPA"</formula>
    </cfRule>
  </conditionalFormatting>
  <conditionalFormatting sqref="O3014">
    <cfRule type="expression" dxfId="9623" priority="65904">
      <formula>$H3014="ETAPA"</formula>
    </cfRule>
    <cfRule type="expression" dxfId="9622" priority="65905">
      <formula>$H3014="SUBETAPA"</formula>
    </cfRule>
  </conditionalFormatting>
  <conditionalFormatting sqref="O3016">
    <cfRule type="expression" dxfId="9621" priority="65900">
      <formula>$H3016="ETAPA"</formula>
    </cfRule>
    <cfRule type="expression" dxfId="9620" priority="65906">
      <formula>$H3016="CÉLULA CONSTRUTIVA"</formula>
    </cfRule>
    <cfRule type="expression" dxfId="9619" priority="65907">
      <formula>$H3016="SUBETAPA"</formula>
    </cfRule>
  </conditionalFormatting>
  <conditionalFormatting sqref="O3021">
    <cfRule type="expression" dxfId="9618" priority="65999">
      <formula>$H3021="ETAPA"</formula>
    </cfRule>
    <cfRule type="expression" dxfId="9617" priority="66000">
      <formula>$H3021="SUBETAPA"</formula>
    </cfRule>
  </conditionalFormatting>
  <conditionalFormatting sqref="O3023">
    <cfRule type="expression" dxfId="9616" priority="65995">
      <formula>$H3023="ETAPA"</formula>
    </cfRule>
    <cfRule type="expression" dxfId="9615" priority="66001">
      <formula>$H3023="CÉLULA CONSTRUTIVA"</formula>
    </cfRule>
    <cfRule type="expression" dxfId="9614" priority="66002">
      <formula>$H3023="SUBETAPA"</formula>
    </cfRule>
  </conditionalFormatting>
  <conditionalFormatting sqref="O3028">
    <cfRule type="expression" dxfId="9613" priority="66103">
      <formula>$H3028="ETAPA"</formula>
    </cfRule>
    <cfRule type="expression" dxfId="9612" priority="66104">
      <formula>$H3028="SUBETAPA"</formula>
    </cfRule>
  </conditionalFormatting>
  <conditionalFormatting sqref="O3030">
    <cfRule type="expression" dxfId="9611" priority="66099">
      <formula>$H3030="ETAPA"</formula>
    </cfRule>
    <cfRule type="expression" dxfId="9610" priority="66105">
      <formula>$H3030="CÉLULA CONSTRUTIVA"</formula>
    </cfRule>
    <cfRule type="expression" dxfId="9609" priority="66106">
      <formula>$H3030="SUBETAPA"</formula>
    </cfRule>
  </conditionalFormatting>
  <conditionalFormatting sqref="O3035 O3048 O3125 O3135 O3142 O3149 O3155 O3162 O3170">
    <cfRule type="expression" dxfId="9608" priority="83636">
      <formula>$H3035="ETAPA"</formula>
    </cfRule>
    <cfRule type="expression" dxfId="9607" priority="83639">
      <formula>$H3035="SUBETAPA"</formula>
    </cfRule>
  </conditionalFormatting>
  <conditionalFormatting sqref="O3037 O3145 M3151 M3157 M3164 M3172 O3172 O3164 O3157 O3151">
    <cfRule type="expression" dxfId="9606" priority="83646">
      <formula>$H3037="CÉLULA CONSTRUTIVA"</formula>
    </cfRule>
  </conditionalFormatting>
  <conditionalFormatting sqref="O3037 O3145 O3151 O3157 O3164 O3172">
    <cfRule type="expression" dxfId="9605" priority="83647">
      <formula>$H3037="SUBETAPA"</formula>
    </cfRule>
  </conditionalFormatting>
  <conditionalFormatting sqref="O3042">
    <cfRule type="expression" dxfId="9604" priority="66310">
      <formula>$H3042="ETAPA"</formula>
    </cfRule>
    <cfRule type="expression" dxfId="9603" priority="66316">
      <formula>$H3042="CÉLULA CONSTRUTIVA"</formula>
    </cfRule>
    <cfRule type="expression" dxfId="9602" priority="66317">
      <formula>$H3042="SUBETAPA"</formula>
    </cfRule>
  </conditionalFormatting>
  <conditionalFormatting sqref="O3045">
    <cfRule type="expression" dxfId="9601" priority="59921">
      <formula>$H3045="ETAPA"</formula>
    </cfRule>
    <cfRule type="expression" dxfId="9600" priority="59922">
      <formula>$H3045="SUBETAPA"</formula>
    </cfRule>
    <cfRule type="expression" dxfId="9599" priority="59923">
      <formula>$H3045="CÉLULA CONSTRUTIVA"</formula>
    </cfRule>
  </conditionalFormatting>
  <conditionalFormatting sqref="O3049">
    <cfRule type="expression" dxfId="9598" priority="59918">
      <formula>$H3049="ETAPA"</formula>
    </cfRule>
    <cfRule type="expression" dxfId="9597" priority="59919">
      <formula>$H3049="SUBETAPA"</formula>
    </cfRule>
    <cfRule type="expression" dxfId="9596" priority="59920">
      <formula>$H3049="CÉLULA CONSTRUTIVA"</formula>
    </cfRule>
  </conditionalFormatting>
  <conditionalFormatting sqref="O3052 O3066 O3075">
    <cfRule type="expression" dxfId="9595" priority="61056">
      <formula>$H3052="ETAPA"</formula>
    </cfRule>
    <cfRule type="expression" dxfId="9594" priority="61057">
      <formula>$H3052="SUBETAPA"</formula>
    </cfRule>
  </conditionalFormatting>
  <conditionalFormatting sqref="O3054:O3055 O3059">
    <cfRule type="expression" dxfId="9593" priority="61049">
      <formula>$H3054="ETAPA"</formula>
    </cfRule>
  </conditionalFormatting>
  <conditionalFormatting sqref="O3055 O3059">
    <cfRule type="expression" dxfId="9592" priority="61048">
      <formula>$H3055="CÉLULA CONSTRUTIVA"</formula>
    </cfRule>
  </conditionalFormatting>
  <conditionalFormatting sqref="O3056:O3058 O3060:O3063">
    <cfRule type="expression" dxfId="9591" priority="61045">
      <formula>$H3056="ETAPA"</formula>
    </cfRule>
  </conditionalFormatting>
  <conditionalFormatting sqref="O3060:O3062 O3056:O3058">
    <cfRule type="expression" dxfId="9590" priority="61043">
      <formula>$H3056="SUBETAPA"</formula>
    </cfRule>
    <cfRule type="expression" dxfId="9589" priority="61044">
      <formula>$H3056="CÉLULA CONSTRUTIVA"</formula>
    </cfRule>
  </conditionalFormatting>
  <conditionalFormatting sqref="O3064:O3065">
    <cfRule type="expression" dxfId="9588" priority="60187">
      <formula>$H3064="SUBETAPA"</formula>
    </cfRule>
    <cfRule type="expression" dxfId="9587" priority="60188">
      <formula>$H3064="CÉLULA CONSTRUTIVA"</formula>
    </cfRule>
    <cfRule type="expression" dxfId="9586" priority="60189">
      <formula>$H3064="ETAPA"</formula>
    </cfRule>
  </conditionalFormatting>
  <conditionalFormatting sqref="O3068">
    <cfRule type="expression" dxfId="9585" priority="4084">
      <formula>$H3068="ETAPA"</formula>
    </cfRule>
    <cfRule type="expression" dxfId="9584" priority="4085">
      <formula>$H3068="CÉLULA CONSTRUTIVA"</formula>
    </cfRule>
    <cfRule type="expression" dxfId="9583" priority="4086">
      <formula>$H3068="SUBETAPA"</formula>
    </cfRule>
  </conditionalFormatting>
  <conditionalFormatting sqref="O3069 O3079:O3080">
    <cfRule type="expression" dxfId="9582" priority="61052">
      <formula>$H3069="ETAPA"</formula>
    </cfRule>
    <cfRule type="expression" dxfId="9581" priority="61058">
      <formula>$H3069="CÉLULA CONSTRUTIVA"</formula>
    </cfRule>
    <cfRule type="expression" dxfId="9580" priority="61059">
      <formula>$H3069="SUBETAPA"</formula>
    </cfRule>
  </conditionalFormatting>
  <conditionalFormatting sqref="O3083 O3097">
    <cfRule type="expression" dxfId="9579" priority="61302">
      <formula>$H3083="ETAPA"</formula>
    </cfRule>
    <cfRule type="expression" dxfId="9578" priority="61303">
      <formula>$H3083="SUBETAPA"</formula>
    </cfRule>
  </conditionalFormatting>
  <conditionalFormatting sqref="O3085:O3086">
    <cfRule type="expression" dxfId="9577" priority="61295">
      <formula>$H3085="ETAPA"</formula>
    </cfRule>
  </conditionalFormatting>
  <conditionalFormatting sqref="O3086">
    <cfRule type="expression" dxfId="9576" priority="61294">
      <formula>$H3086="CÉLULA CONSTRUTIVA"</formula>
    </cfRule>
  </conditionalFormatting>
  <conditionalFormatting sqref="O3089">
    <cfRule type="expression" dxfId="9575" priority="4173">
      <formula>$H3089="ETAPA"</formula>
    </cfRule>
    <cfRule type="expression" dxfId="9574" priority="4174">
      <formula>$H3089="SUBETAPA"</formula>
    </cfRule>
  </conditionalFormatting>
  <conditionalFormatting sqref="O3090">
    <cfRule type="expression" dxfId="9573" priority="4167">
      <formula>$H3090="SUBETAPA"</formula>
    </cfRule>
    <cfRule type="expression" dxfId="9572" priority="4168">
      <formula>$H3090="CÉLULA CONSTRUTIVA"</formula>
    </cfRule>
    <cfRule type="expression" dxfId="9571" priority="4169">
      <formula>$H3090="ETAPA"</formula>
    </cfRule>
  </conditionalFormatting>
  <conditionalFormatting sqref="O3092">
    <cfRule type="expression" dxfId="9570" priority="4087">
      <formula>$H3092="ETAPA"</formula>
    </cfRule>
    <cfRule type="expression" dxfId="9569" priority="4088">
      <formula>$H3092="CÉLULA CONSTRUTIVA"</formula>
    </cfRule>
    <cfRule type="expression" dxfId="9568" priority="4089">
      <formula>$H3092="SUBETAPA"</formula>
    </cfRule>
  </conditionalFormatting>
  <conditionalFormatting sqref="O3093">
    <cfRule type="expression" dxfId="9567" priority="4201">
      <formula>$H3093="ETAPA"</formula>
    </cfRule>
    <cfRule type="expression" dxfId="9566" priority="4202">
      <formula>$H3093="CÉLULA CONSTRUTIVA"</formula>
    </cfRule>
    <cfRule type="expression" dxfId="9565" priority="4203">
      <formula>$H3093="SUBETAPA"</formula>
    </cfRule>
  </conditionalFormatting>
  <conditionalFormatting sqref="O3102 O3119">
    <cfRule type="expression" dxfId="9564" priority="61548">
      <formula>$H3102="ETAPA"</formula>
    </cfRule>
    <cfRule type="expression" dxfId="9563" priority="61549">
      <formula>$H3102="SUBETAPA"</formula>
    </cfRule>
  </conditionalFormatting>
  <conditionalFormatting sqref="O3104:O3105 O3107">
    <cfRule type="expression" dxfId="9562" priority="61541">
      <formula>$H3104="ETAPA"</formula>
    </cfRule>
  </conditionalFormatting>
  <conditionalFormatting sqref="O3105 O3107">
    <cfRule type="expression" dxfId="9561" priority="61540">
      <formula>$H3105="CÉLULA CONSTRUTIVA"</formula>
    </cfRule>
  </conditionalFormatting>
  <conditionalFormatting sqref="O3106">
    <cfRule type="expression" dxfId="9560" priority="61535">
      <formula>$H3106="SUBETAPA"</formula>
    </cfRule>
    <cfRule type="expression" dxfId="9559" priority="61536">
      <formula>$H3106="CÉLULA CONSTRUTIVA"</formula>
    </cfRule>
    <cfRule type="expression" dxfId="9558" priority="61537">
      <formula>$H3106="ETAPA"</formula>
    </cfRule>
  </conditionalFormatting>
  <conditionalFormatting sqref="O3110">
    <cfRule type="expression" dxfId="9557" priority="4157">
      <formula>$H3110="ETAPA"</formula>
    </cfRule>
    <cfRule type="expression" dxfId="9556" priority="4158">
      <formula>$H3110="SUBETAPA"</formula>
    </cfRule>
  </conditionalFormatting>
  <conditionalFormatting sqref="O3111">
    <cfRule type="expression" dxfId="9555" priority="4151">
      <formula>$H3111="SUBETAPA"</formula>
    </cfRule>
    <cfRule type="expression" dxfId="9554" priority="4152">
      <formula>$H3111="CÉLULA CONSTRUTIVA"</formula>
    </cfRule>
    <cfRule type="expression" dxfId="9553" priority="4153">
      <formula>$H3111="ETAPA"</formula>
    </cfRule>
  </conditionalFormatting>
  <conditionalFormatting sqref="O3113">
    <cfRule type="expression" dxfId="9552" priority="4090">
      <formula>$H3113="ETAPA"</formula>
    </cfRule>
    <cfRule type="expression" dxfId="9551" priority="4091">
      <formula>$H3113="CÉLULA CONSTRUTIVA"</formula>
    </cfRule>
    <cfRule type="expression" dxfId="9550" priority="4092">
      <formula>$H3113="SUBETAPA"</formula>
    </cfRule>
  </conditionalFormatting>
  <conditionalFormatting sqref="O3114">
    <cfRule type="expression" dxfId="9549" priority="4198">
      <formula>$H3114="ETAPA"</formula>
    </cfRule>
    <cfRule type="expression" dxfId="9548" priority="4199">
      <formula>$H3114="CÉLULA CONSTRUTIVA"</formula>
    </cfRule>
    <cfRule type="expression" dxfId="9547" priority="4200">
      <formula>$H3114="SUBETAPA"</formula>
    </cfRule>
  </conditionalFormatting>
  <conditionalFormatting sqref="O3122">
    <cfRule type="expression" dxfId="9546" priority="61544">
      <formula>$H3122="ETAPA"</formula>
    </cfRule>
    <cfRule type="expression" dxfId="9545" priority="61550">
      <formula>$H3122="CÉLULA CONSTRUTIVA"</formula>
    </cfRule>
    <cfRule type="expression" dxfId="9544" priority="61551">
      <formula>$H3122="SUBETAPA"</formula>
    </cfRule>
  </conditionalFormatting>
  <conditionalFormatting sqref="O3128 O3130 M3152 M3158 M3165 O3165 O3158 O3152 O3154 M3154">
    <cfRule type="expression" dxfId="9543" priority="83615">
      <formula>$H3128="CÉLULA CONSTRUTIVA"</formula>
    </cfRule>
  </conditionalFormatting>
  <conditionalFormatting sqref="O3128 O3130 O3152 O3154 O3158 O3164:O3165">
    <cfRule type="expression" dxfId="9542" priority="83616">
      <formula>$H3128="ETAPA"</formula>
    </cfRule>
  </conditionalFormatting>
  <conditionalFormatting sqref="O3129 M1239:M1241 O3073:O3074 O3140:O3141 O3117:O3118 O3095:O3096">
    <cfRule type="expression" dxfId="9541" priority="80359">
      <formula>$H1239="SUBETAPA"</formula>
    </cfRule>
    <cfRule type="expression" dxfId="9540"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39" priority="5720">
      <formula>$H639="SUBETAPA"</formula>
    </cfRule>
    <cfRule type="expression" dxfId="9538" priority="5721">
      <formula>$H639="CÉLULA CONSTRUTIVA"</formula>
    </cfRule>
    <cfRule type="expression" dxfId="9537" priority="5722">
      <formula>$H639="ETAPA"</formula>
    </cfRule>
  </conditionalFormatting>
  <conditionalFormatting sqref="O3133">
    <cfRule type="expression" dxfId="9536" priority="4141">
      <formula>$H3133="ETAPA"</formula>
    </cfRule>
    <cfRule type="expression" dxfId="9535" priority="4142">
      <formula>$H3133="SUBETAPA"</formula>
    </cfRule>
  </conditionalFormatting>
  <conditionalFormatting sqref="O3134">
    <cfRule type="expression" dxfId="9534" priority="4135">
      <formula>$H3134="SUBETAPA"</formula>
    </cfRule>
    <cfRule type="expression" dxfId="9533" priority="4136">
      <formula>$H3134="CÉLULA CONSTRUTIVA"</formula>
    </cfRule>
    <cfRule type="expression" dxfId="9532" priority="4137">
      <formula>$H3134="ETAPA"</formula>
    </cfRule>
  </conditionalFormatting>
  <conditionalFormatting sqref="O3137:O3138">
    <cfRule type="expression" dxfId="9531" priority="4195">
      <formula>$H3137="ETAPA"</formula>
    </cfRule>
    <cfRule type="expression" dxfId="9530" priority="4196">
      <formula>$H3137="CÉLULA CONSTRUTIVA"</formula>
    </cfRule>
    <cfRule type="expression" dxfId="9529" priority="4197">
      <formula>$H3137="SUBETAPA"</formula>
    </cfRule>
  </conditionalFormatting>
  <conditionalFormatting sqref="O3146">
    <cfRule type="expression" dxfId="9528" priority="59915">
      <formula>$H3146="ETAPA"</formula>
    </cfRule>
    <cfRule type="expression" dxfId="9527" priority="59916">
      <formula>$H3146="SUBETAPA"</formula>
    </cfRule>
    <cfRule type="expression" dxfId="9526"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25" priority="83625">
      <formula>$H2955="SUBETAPA"</formula>
    </cfRule>
    <cfRule type="expression" dxfId="9524" priority="83626">
      <formula>$H2955="CÉLULA CONSTRUTIVA"</formula>
    </cfRule>
  </conditionalFormatting>
  <conditionalFormatting sqref="O3153">
    <cfRule type="expression" dxfId="9523" priority="61020">
      <formula>$H3153="ETAPA"</formula>
    </cfRule>
    <cfRule type="expression" dxfId="9522" priority="61022">
      <formula>$H3153="SUBETAPA"</formula>
    </cfRule>
  </conditionalFormatting>
  <conditionalFormatting sqref="O3163">
    <cfRule type="expression" dxfId="9521" priority="3437">
      <formula>$H3163="ETAPA"</formula>
    </cfRule>
    <cfRule type="expression" dxfId="9520" priority="3438">
      <formula>$H3163="SUBETAPA"</formula>
    </cfRule>
    <cfRule type="expression" dxfId="9519" priority="3439">
      <formula>$H3163="ETAPA"</formula>
    </cfRule>
    <cfRule type="expression" dxfId="9518" priority="3440">
      <formula>$H3163="SUBETAPA"</formula>
    </cfRule>
    <cfRule type="expression" dxfId="9517" priority="3441">
      <formula>$H3163="ETAPA"</formula>
    </cfRule>
    <cfRule type="expression" dxfId="9516" priority="3442">
      <formula>$H3163="SUBETAPA"</formula>
    </cfRule>
    <cfRule type="expression" dxfId="9515" priority="3443">
      <formula>$H3163="CÉLULA CONSTRUTIVA"</formula>
    </cfRule>
  </conditionalFormatting>
  <conditionalFormatting sqref="O3169">
    <cfRule type="expression" dxfId="9514" priority="59912">
      <formula>$H3169="ETAPA"</formula>
    </cfRule>
    <cfRule type="expression" dxfId="9513" priority="59913">
      <formula>$H3169="SUBETAPA"</formula>
    </cfRule>
    <cfRule type="expression" dxfId="9512" priority="59914">
      <formula>$H3169="CÉLULA CONSTRUTIVA"</formula>
    </cfRule>
  </conditionalFormatting>
  <conditionalFormatting sqref="P8:P3173">
    <cfRule type="expression" dxfId="9511" priority="121168">
      <formula>AND($H8="SERVIÇO",$P8="Pendente")</formula>
    </cfRule>
    <cfRule type="expression" dxfId="9510" priority="121169">
      <formula>AND($H8="SERVIÇO",$P8="Finalizado")</formula>
    </cfRule>
    <cfRule type="expression" dxfId="9509"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329" customWidth="1"/>
    <col min="2" max="2" width="7.140625" style="329" customWidth="1"/>
    <col min="3" max="3" width="31.85546875" style="329" customWidth="1"/>
    <col min="4" max="4" width="64.7109375" style="329" customWidth="1"/>
    <col min="5" max="5" width="9.140625" style="329" bestFit="1" customWidth="1"/>
    <col min="6" max="6" width="10.140625" style="329" customWidth="1"/>
    <col min="7" max="8" width="7.140625" style="331" customWidth="1"/>
    <col min="9" max="11" width="17.140625" style="329" customWidth="1"/>
    <col min="12" max="25" width="8.5703125" style="329" customWidth="1"/>
    <col min="26" max="38" width="12.5703125" style="329"/>
  </cols>
  <sheetData>
    <row r="1" spans="1:38" x14ac:dyDescent="0.25">
      <c r="A1" s="324" t="s">
        <v>57</v>
      </c>
      <c r="B1" s="324" t="s">
        <v>58</v>
      </c>
      <c r="C1" s="325" t="s">
        <v>59</v>
      </c>
      <c r="D1" s="325" t="s">
        <v>59</v>
      </c>
      <c r="E1" s="325" t="s">
        <v>60</v>
      </c>
      <c r="F1" s="326" t="s">
        <v>61</v>
      </c>
      <c r="G1" s="327" t="s">
        <v>62</v>
      </c>
      <c r="H1" s="327" t="s">
        <v>63</v>
      </c>
      <c r="I1" s="328" t="s">
        <v>61</v>
      </c>
      <c r="J1" s="328" t="s">
        <v>1598</v>
      </c>
      <c r="K1" s="328" t="s">
        <v>2056</v>
      </c>
      <c r="L1"/>
      <c r="M1"/>
      <c r="N1"/>
      <c r="O1"/>
      <c r="P1"/>
      <c r="Q1"/>
      <c r="R1"/>
      <c r="S1"/>
      <c r="T1"/>
      <c r="U1"/>
      <c r="V1"/>
      <c r="W1"/>
      <c r="X1"/>
      <c r="Y1"/>
      <c r="Z1"/>
      <c r="AA1"/>
      <c r="AB1"/>
      <c r="AC1"/>
      <c r="AD1"/>
      <c r="AE1"/>
      <c r="AF1"/>
      <c r="AG1"/>
      <c r="AH1"/>
      <c r="AI1"/>
      <c r="AJ1"/>
      <c r="AK1"/>
      <c r="AL1"/>
    </row>
    <row r="2" spans="1:38" ht="12.75" x14ac:dyDescent="0.2">
      <c r="A2" s="7">
        <v>1</v>
      </c>
      <c r="B2" s="7" t="s">
        <v>65</v>
      </c>
      <c r="C2" s="7" t="s">
        <v>59</v>
      </c>
      <c r="D2" s="7" t="s">
        <v>2058</v>
      </c>
      <c r="E2" s="8"/>
      <c r="F2" s="7"/>
      <c r="G2" s="86" t="str">
        <f t="array" ref="G2">IF(B2="insumo",_xlfn.XLOOKUP($D2,Insumos!$B$1:$B$996,Insumos!$D$1:$D$996),"")</f>
        <v/>
      </c>
      <c r="H2" s="86">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355">
        <v>1</v>
      </c>
      <c r="B3" s="355" t="s">
        <v>1227</v>
      </c>
      <c r="C3" s="355" t="s">
        <v>59</v>
      </c>
      <c r="D3" s="355" t="s">
        <v>66</v>
      </c>
      <c r="E3" s="356"/>
      <c r="F3" s="356"/>
      <c r="G3" s="356"/>
      <c r="H3" s="356">
        <v>0</v>
      </c>
      <c r="I3" s="357">
        <v>0</v>
      </c>
      <c r="J3" s="357">
        <v>0</v>
      </c>
      <c r="K3" s="357"/>
      <c r="L3"/>
      <c r="M3"/>
      <c r="N3"/>
      <c r="O3"/>
      <c r="P3"/>
      <c r="Q3"/>
      <c r="R3"/>
      <c r="S3"/>
      <c r="T3"/>
      <c r="U3"/>
      <c r="V3"/>
      <c r="W3"/>
      <c r="X3"/>
      <c r="Y3"/>
      <c r="Z3"/>
      <c r="AA3"/>
      <c r="AB3"/>
      <c r="AC3"/>
      <c r="AD3"/>
      <c r="AE3"/>
      <c r="AF3"/>
      <c r="AG3"/>
      <c r="AH3"/>
      <c r="AI3"/>
      <c r="AJ3"/>
      <c r="AK3"/>
      <c r="AL3"/>
    </row>
    <row r="4" spans="1:38" ht="12.75" outlineLevel="2" x14ac:dyDescent="0.2">
      <c r="A4" s="332">
        <v>1</v>
      </c>
      <c r="B4" s="332" t="s">
        <v>67</v>
      </c>
      <c r="C4" s="332" t="s">
        <v>68</v>
      </c>
      <c r="D4" s="332" t="s">
        <v>68</v>
      </c>
      <c r="E4" s="333" t="s">
        <v>69</v>
      </c>
      <c r="F4" s="332"/>
      <c r="G4" s="334" t="str">
        <f t="array" ref="G4">IF(B4="insumo",_xlfn.XLOOKUP($D4,Insumos!$B$1:$B$996,Insumos!$D$1:$D$996),"")</f>
        <v/>
      </c>
      <c r="H4" s="334">
        <v>118.1045</v>
      </c>
      <c r="I4" s="335">
        <v>0</v>
      </c>
      <c r="J4" s="335">
        <v>0</v>
      </c>
      <c r="K4" s="335"/>
      <c r="L4"/>
      <c r="M4"/>
      <c r="N4"/>
      <c r="O4"/>
      <c r="P4"/>
      <c r="Q4"/>
      <c r="R4"/>
      <c r="S4"/>
      <c r="T4"/>
      <c r="U4"/>
      <c r="V4"/>
      <c r="W4"/>
      <c r="X4"/>
      <c r="Y4"/>
      <c r="Z4"/>
      <c r="AA4"/>
      <c r="AB4"/>
      <c r="AC4"/>
      <c r="AD4"/>
      <c r="AE4"/>
      <c r="AF4"/>
      <c r="AG4"/>
      <c r="AH4"/>
      <c r="AI4"/>
      <c r="AJ4"/>
      <c r="AK4"/>
      <c r="AL4"/>
    </row>
    <row r="5" spans="1:38" ht="12.75" outlineLevel="3" x14ac:dyDescent="0.2">
      <c r="A5" s="10">
        <v>3</v>
      </c>
      <c r="B5" s="10" t="s">
        <v>70</v>
      </c>
      <c r="C5" s="10" t="s">
        <v>68</v>
      </c>
      <c r="D5" s="10" t="s">
        <v>71</v>
      </c>
      <c r="E5" s="11" t="str">
        <f t="array" ref="E5">_xlfn.XLOOKUP(D5,Insumos!B:B,Insumos!C:$C)</f>
        <v>M2</v>
      </c>
      <c r="F5" s="14">
        <v>1</v>
      </c>
      <c r="G5" s="87">
        <f t="array" ref="G5">IF(B5="insumo",_xlfn.XLOOKUP($D5,Insumos!$B$1:$B$996,Insumos!$D$1:$D$996),"")</f>
        <v>1.25</v>
      </c>
      <c r="H5" s="87">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70</v>
      </c>
      <c r="C6" s="10" t="s">
        <v>68</v>
      </c>
      <c r="D6" s="10" t="s">
        <v>72</v>
      </c>
      <c r="E6" s="11" t="str">
        <f t="array" ref="E6">_xlfn.XLOOKUP(D6,Insumos!B:B,Insumos!C:$C)</f>
        <v>M2</v>
      </c>
      <c r="F6" s="14">
        <v>1</v>
      </c>
      <c r="G6" s="87">
        <f t="array" ref="G6">IF(B6="insumo",_xlfn.XLOOKUP($D6,Insumos!$B$1:$B$996,Insumos!$D$1:$D$996),"")</f>
        <v>31</v>
      </c>
      <c r="H6" s="87">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70</v>
      </c>
      <c r="C7" s="10" t="s">
        <v>68</v>
      </c>
      <c r="D7" s="10" t="s">
        <v>73</v>
      </c>
      <c r="E7" s="11" t="str">
        <f t="array" ref="E7">_xlfn.XLOOKUP(D7,Insumos!B:B,Insumos!C:$C)</f>
        <v>M3</v>
      </c>
      <c r="F7" s="14">
        <v>7.3999999999999996E-2</v>
      </c>
      <c r="G7" s="87">
        <f t="array" ref="G7">IF(B7="insumo",_xlfn.XLOOKUP($D7,Insumos!$B$1:$B$996,Insumos!$D$1:$D$996),"")</f>
        <v>490</v>
      </c>
      <c r="H7" s="87">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70</v>
      </c>
      <c r="C8" s="10" t="s">
        <v>68</v>
      </c>
      <c r="D8" s="10" t="s">
        <v>74</v>
      </c>
      <c r="E8" s="11" t="str">
        <f t="array" ref="E8">_xlfn.XLOOKUP(D8,Insumos!B:B,Insumos!C:$C)</f>
        <v>KG</v>
      </c>
      <c r="F8" s="14">
        <v>0.15</v>
      </c>
      <c r="G8" s="87">
        <f t="array" ref="G8">IF(B8="insumo",_xlfn.XLOOKUP($D8,Insumos!$B$1:$B$996,Insumos!$D$1:$D$996),"")</f>
        <v>10.029999999999999</v>
      </c>
      <c r="H8" s="87">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70</v>
      </c>
      <c r="C9" s="10" t="s">
        <v>68</v>
      </c>
      <c r="D9" s="10" t="s">
        <v>75</v>
      </c>
      <c r="E9" s="11" t="str">
        <f t="array" ref="E9">_xlfn.XLOOKUP(D9,Insumos!B:B,Insumos!C:$C)</f>
        <v>UN</v>
      </c>
      <c r="F9" s="14">
        <v>9</v>
      </c>
      <c r="G9" s="87">
        <f t="array" ref="G9">IF(B9="insumo",_xlfn.XLOOKUP($D9,Insumos!$B$1:$B$996,Insumos!$D$1:$D$996),"")</f>
        <v>2.95</v>
      </c>
      <c r="H9" s="87">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70</v>
      </c>
      <c r="C10" s="10" t="s">
        <v>68</v>
      </c>
      <c r="D10" s="10" t="s">
        <v>76</v>
      </c>
      <c r="E10" s="11" t="str">
        <f t="array" ref="E10">_xlfn.XLOOKUP(D10,Insumos!B:B,Insumos!C:$C)</f>
        <v>KG</v>
      </c>
      <c r="F10" s="14">
        <v>24</v>
      </c>
      <c r="G10" s="87">
        <f t="array" ref="G10">IF(B10="insumo",_xlfn.XLOOKUP($D10,Insumos!$B$1:$B$996,Insumos!$D$1:$D$996),"")</f>
        <v>0.46</v>
      </c>
      <c r="H10" s="87">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70</v>
      </c>
      <c r="C11" s="10" t="s">
        <v>68</v>
      </c>
      <c r="D11" s="10" t="s">
        <v>77</v>
      </c>
      <c r="E11" s="11" t="str">
        <f t="array" ref="E11">_xlfn.XLOOKUP(D11,Insumos!B:B,Insumos!C:$C)</f>
        <v>M2</v>
      </c>
      <c r="F11" s="14">
        <v>1</v>
      </c>
      <c r="G11" s="87">
        <f t="array" ref="G11">IF(B11="insumo",_xlfn.XLOOKUP($D11,Insumos!$B$1:$B$996,Insumos!$D$1:$D$996),"")</f>
        <v>10.5</v>
      </c>
      <c r="H11" s="87">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332">
        <v>1</v>
      </c>
      <c r="B12" s="332" t="s">
        <v>67</v>
      </c>
      <c r="C12" s="332" t="s">
        <v>78</v>
      </c>
      <c r="D12" s="332" t="s">
        <v>78</v>
      </c>
      <c r="E12" s="333" t="s">
        <v>69</v>
      </c>
      <c r="F12" s="332"/>
      <c r="G12" s="334" t="str">
        <f t="array" ref="G12">IF(B12="insumo",_xlfn.XLOOKUP($D12,Insumos!$B$1:$B$996,Insumos!$D$1:$D$996),"")</f>
        <v/>
      </c>
      <c r="H12" s="334">
        <v>118.1045</v>
      </c>
      <c r="I12" s="335">
        <v>0</v>
      </c>
      <c r="J12" s="335">
        <v>0</v>
      </c>
      <c r="K12" s="335"/>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70</v>
      </c>
      <c r="C13" s="10" t="s">
        <v>78</v>
      </c>
      <c r="D13" s="10" t="s">
        <v>71</v>
      </c>
      <c r="E13" s="11" t="str">
        <f t="array" ref="E13">_xlfn.XLOOKUP(D13,Insumos!B:B,Insumos!C:$C)</f>
        <v>M2</v>
      </c>
      <c r="F13" s="14">
        <v>1</v>
      </c>
      <c r="G13" s="87">
        <f t="array" ref="G13">IF(B13="insumo",_xlfn.XLOOKUP($D13,Insumos!$B$1:$B$996,Insumos!$D$1:$D$996),"")</f>
        <v>1.25</v>
      </c>
      <c r="H13" s="87">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70</v>
      </c>
      <c r="C14" s="10" t="s">
        <v>78</v>
      </c>
      <c r="D14" s="10" t="s">
        <v>72</v>
      </c>
      <c r="E14" s="11" t="str">
        <f t="array" ref="E14">_xlfn.XLOOKUP(D14,Insumos!B:B,Insumos!C:$C)</f>
        <v>M2</v>
      </c>
      <c r="F14" s="14">
        <v>1</v>
      </c>
      <c r="G14" s="87">
        <f t="array" ref="G14">IF(B14="insumo",_xlfn.XLOOKUP($D14,Insumos!$B$1:$B$996,Insumos!$D$1:$D$996),"")</f>
        <v>31</v>
      </c>
      <c r="H14" s="87">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70</v>
      </c>
      <c r="C15" s="10" t="s">
        <v>78</v>
      </c>
      <c r="D15" s="10" t="s">
        <v>73</v>
      </c>
      <c r="E15" s="11" t="str">
        <f t="array" ref="E15">_xlfn.XLOOKUP(D15,Insumos!B:B,Insumos!C:$C)</f>
        <v>M3</v>
      </c>
      <c r="F15" s="14">
        <v>7.3999999999999996E-2</v>
      </c>
      <c r="G15" s="87">
        <f t="array" ref="G15">IF(B15="insumo",_xlfn.XLOOKUP($D15,Insumos!$B$1:$B$996,Insumos!$D$1:$D$996),"")</f>
        <v>490</v>
      </c>
      <c r="H15" s="87">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70</v>
      </c>
      <c r="C16" s="10" t="s">
        <v>78</v>
      </c>
      <c r="D16" s="10" t="s">
        <v>74</v>
      </c>
      <c r="E16" s="11" t="str">
        <f t="array" ref="E16">_xlfn.XLOOKUP(D16,Insumos!B:B,Insumos!C:$C)</f>
        <v>KG</v>
      </c>
      <c r="F16" s="14">
        <v>0.15</v>
      </c>
      <c r="G16" s="87">
        <f t="array" ref="G16">IF(B16="insumo",_xlfn.XLOOKUP($D16,Insumos!$B$1:$B$996,Insumos!$D$1:$D$996),"")</f>
        <v>10.029999999999999</v>
      </c>
      <c r="H16" s="87">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70</v>
      </c>
      <c r="C17" s="10" t="s">
        <v>78</v>
      </c>
      <c r="D17" s="10" t="s">
        <v>75</v>
      </c>
      <c r="E17" s="11" t="str">
        <f t="array" ref="E17">_xlfn.XLOOKUP(D17,Insumos!B:B,Insumos!C:$C)</f>
        <v>UN</v>
      </c>
      <c r="F17" s="14">
        <v>9</v>
      </c>
      <c r="G17" s="87">
        <f t="array" ref="G17">IF(B17="insumo",_xlfn.XLOOKUP($D17,Insumos!$B$1:$B$996,Insumos!$D$1:$D$996),"")</f>
        <v>2.95</v>
      </c>
      <c r="H17" s="87">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70</v>
      </c>
      <c r="C18" s="10" t="s">
        <v>78</v>
      </c>
      <c r="D18" s="10" t="s">
        <v>76</v>
      </c>
      <c r="E18" s="11" t="str">
        <f t="array" ref="E18">_xlfn.XLOOKUP(D18,Insumos!B:B,Insumos!C:$C)</f>
        <v>KG</v>
      </c>
      <c r="F18" s="14">
        <v>24</v>
      </c>
      <c r="G18" s="87">
        <f t="array" ref="G18">IF(B18="insumo",_xlfn.XLOOKUP($D18,Insumos!$B$1:$B$996,Insumos!$D$1:$D$996),"")</f>
        <v>0.46</v>
      </c>
      <c r="H18" s="87">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70</v>
      </c>
      <c r="C19" s="10" t="s">
        <v>78</v>
      </c>
      <c r="D19" s="10" t="s">
        <v>77</v>
      </c>
      <c r="E19" s="11" t="str">
        <f t="array" ref="E19">_xlfn.XLOOKUP(D19,Insumos!B:B,Insumos!C:$C)</f>
        <v>M2</v>
      </c>
      <c r="F19" s="14">
        <v>1</v>
      </c>
      <c r="G19" s="87">
        <f t="array" ref="G19">IF(B19="insumo",_xlfn.XLOOKUP($D19,Insumos!$B$1:$B$996,Insumos!$D$1:$D$996),"")</f>
        <v>10.5</v>
      </c>
      <c r="H19" s="87">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332">
        <v>1</v>
      </c>
      <c r="B20" s="332" t="s">
        <v>67</v>
      </c>
      <c r="C20" s="332" t="s">
        <v>79</v>
      </c>
      <c r="D20" s="332" t="s">
        <v>79</v>
      </c>
      <c r="E20" s="333" t="s">
        <v>69</v>
      </c>
      <c r="F20" s="332"/>
      <c r="G20" s="334" t="str">
        <f t="array" ref="G20">IF(B20="insumo",_xlfn.XLOOKUP($D20,Insumos!$B$1:$B$996,Insumos!$D$1:$D$996),"")</f>
        <v/>
      </c>
      <c r="H20" s="334">
        <v>118.1045</v>
      </c>
      <c r="I20" s="335">
        <v>0</v>
      </c>
      <c r="J20" s="335">
        <v>0</v>
      </c>
      <c r="K20" s="335"/>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70</v>
      </c>
      <c r="C21" s="10" t="s">
        <v>79</v>
      </c>
      <c r="D21" s="10" t="s">
        <v>71</v>
      </c>
      <c r="E21" s="11" t="str">
        <f t="array" ref="E21">_xlfn.XLOOKUP(D21,Insumos!B:B,Insumos!C:$C)</f>
        <v>M2</v>
      </c>
      <c r="F21" s="14">
        <v>1</v>
      </c>
      <c r="G21" s="87">
        <f t="array" ref="G21">IF(B21="insumo",_xlfn.XLOOKUP($D21,Insumos!$B$1:$B$996,Insumos!$D$1:$D$996),"")</f>
        <v>1.25</v>
      </c>
      <c r="H21" s="87">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70</v>
      </c>
      <c r="C22" s="10" t="s">
        <v>79</v>
      </c>
      <c r="D22" s="10" t="s">
        <v>72</v>
      </c>
      <c r="E22" s="11" t="str">
        <f t="array" ref="E22">_xlfn.XLOOKUP(D22,Insumos!B:B,Insumos!C:$C)</f>
        <v>M2</v>
      </c>
      <c r="F22" s="14">
        <v>1</v>
      </c>
      <c r="G22" s="87">
        <f t="array" ref="G22">IF(B22="insumo",_xlfn.XLOOKUP($D22,Insumos!$B$1:$B$996,Insumos!$D$1:$D$996),"")</f>
        <v>31</v>
      </c>
      <c r="H22" s="87">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70</v>
      </c>
      <c r="C23" s="10" t="s">
        <v>79</v>
      </c>
      <c r="D23" s="10" t="s">
        <v>73</v>
      </c>
      <c r="E23" s="11" t="str">
        <f t="array" ref="E23">_xlfn.XLOOKUP(D23,Insumos!B:B,Insumos!C:$C)</f>
        <v>M3</v>
      </c>
      <c r="F23" s="14">
        <v>7.3999999999999996E-2</v>
      </c>
      <c r="G23" s="87">
        <f t="array" ref="G23">IF(B23="insumo",_xlfn.XLOOKUP($D23,Insumos!$B$1:$B$996,Insumos!$D$1:$D$996),"")</f>
        <v>490</v>
      </c>
      <c r="H23" s="87">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70</v>
      </c>
      <c r="C24" s="10" t="s">
        <v>79</v>
      </c>
      <c r="D24" s="10" t="s">
        <v>74</v>
      </c>
      <c r="E24" s="11" t="str">
        <f t="array" ref="E24">_xlfn.XLOOKUP(D24,Insumos!B:B,Insumos!C:$C)</f>
        <v>KG</v>
      </c>
      <c r="F24" s="14">
        <v>0.15</v>
      </c>
      <c r="G24" s="87">
        <f t="array" ref="G24">IF(B24="insumo",_xlfn.XLOOKUP($D24,Insumos!$B$1:$B$996,Insumos!$D$1:$D$996),"")</f>
        <v>10.029999999999999</v>
      </c>
      <c r="H24" s="87">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70</v>
      </c>
      <c r="C25" s="10" t="s">
        <v>79</v>
      </c>
      <c r="D25" s="10" t="s">
        <v>75</v>
      </c>
      <c r="E25" s="11" t="str">
        <f t="array" ref="E25">_xlfn.XLOOKUP(D25,Insumos!B:B,Insumos!C:$C)</f>
        <v>UN</v>
      </c>
      <c r="F25" s="14">
        <v>9</v>
      </c>
      <c r="G25" s="87">
        <f t="array" ref="G25">IF(B25="insumo",_xlfn.XLOOKUP($D25,Insumos!$B$1:$B$996,Insumos!$D$1:$D$996),"")</f>
        <v>2.95</v>
      </c>
      <c r="H25" s="87">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70</v>
      </c>
      <c r="C26" s="10" t="s">
        <v>79</v>
      </c>
      <c r="D26" s="10" t="s">
        <v>76</v>
      </c>
      <c r="E26" s="11" t="str">
        <f t="array" ref="E26">_xlfn.XLOOKUP(D26,Insumos!B:B,Insumos!C:$C)</f>
        <v>KG</v>
      </c>
      <c r="F26" s="14">
        <v>24</v>
      </c>
      <c r="G26" s="87">
        <f t="array" ref="G26">IF(B26="insumo",_xlfn.XLOOKUP($D26,Insumos!$B$1:$B$996,Insumos!$D$1:$D$996),"")</f>
        <v>0.46</v>
      </c>
      <c r="H26" s="87">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70</v>
      </c>
      <c r="C27" s="10" t="s">
        <v>79</v>
      </c>
      <c r="D27" s="10" t="s">
        <v>77</v>
      </c>
      <c r="E27" s="11" t="str">
        <f t="array" ref="E27">_xlfn.XLOOKUP(D27,Insumos!B:B,Insumos!C:$C)</f>
        <v>M2</v>
      </c>
      <c r="F27" s="14">
        <v>1</v>
      </c>
      <c r="G27" s="87">
        <f t="array" ref="G27">IF(B27="insumo",_xlfn.XLOOKUP($D27,Insumos!$B$1:$B$996,Insumos!$D$1:$D$996),"")</f>
        <v>10.5</v>
      </c>
      <c r="H27" s="87">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332">
        <v>1</v>
      </c>
      <c r="B28" s="332" t="s">
        <v>67</v>
      </c>
      <c r="C28" s="332" t="s">
        <v>80</v>
      </c>
      <c r="D28" s="332" t="s">
        <v>80</v>
      </c>
      <c r="E28" s="333" t="s">
        <v>69</v>
      </c>
      <c r="F28" s="332"/>
      <c r="G28" s="334" t="str">
        <f t="array" ref="G28">IF(B28="insumo",_xlfn.XLOOKUP($D28,Insumos!$B$1:$B$996,Insumos!$D$1:$D$996),"")</f>
        <v/>
      </c>
      <c r="H28" s="334">
        <v>382.10489000000001</v>
      </c>
      <c r="I28" s="335">
        <v>0</v>
      </c>
      <c r="J28" s="335">
        <v>0</v>
      </c>
      <c r="K28" s="335"/>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70</v>
      </c>
      <c r="C29" s="10" t="s">
        <v>80</v>
      </c>
      <c r="D29" s="10" t="s">
        <v>81</v>
      </c>
      <c r="E29" s="11" t="str">
        <f t="array" ref="E29">_xlfn.XLOOKUP(D29,Insumos!B:B,Insumos!C:$C)</f>
        <v>M2</v>
      </c>
      <c r="F29" s="14">
        <v>0.59099999999999997</v>
      </c>
      <c r="G29" s="87">
        <f t="array" ref="G29">IF(B29="insumo",_xlfn.XLOOKUP($D29,Insumos!$B$1:$B$996,Insumos!$D$1:$D$996),"")</f>
        <v>46.5</v>
      </c>
      <c r="H29" s="87">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70</v>
      </c>
      <c r="C30" s="10" t="s">
        <v>80</v>
      </c>
      <c r="D30" s="10" t="s">
        <v>82</v>
      </c>
      <c r="E30" s="11" t="str">
        <f t="array" ref="E30">_xlfn.XLOOKUP(D30,Insumos!B:B,Insumos!C:$C)</f>
        <v>UN</v>
      </c>
      <c r="F30" s="14">
        <v>0.40400000000000003</v>
      </c>
      <c r="G30" s="87">
        <f t="array" ref="G30">IF(B30="insumo",_xlfn.XLOOKUP($D30,Insumos!$B$1:$B$996,Insumos!$D$1:$D$996),"")</f>
        <v>58.46</v>
      </c>
      <c r="H30" s="87">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70</v>
      </c>
      <c r="C31" s="10" t="s">
        <v>80</v>
      </c>
      <c r="D31" s="10" t="s">
        <v>83</v>
      </c>
      <c r="E31" s="11" t="str">
        <f t="array" ref="E31">_xlfn.XLOOKUP(D31,Insumos!B:B,Insumos!C:$C)</f>
        <v>M</v>
      </c>
      <c r="F31" s="14">
        <v>4.3899999999999997</v>
      </c>
      <c r="G31" s="87">
        <f t="array" ref="G31">IF(B31="insumo",_xlfn.XLOOKUP($D31,Insumos!$B$1:$B$996,Insumos!$D$1:$D$996),"")</f>
        <v>7</v>
      </c>
      <c r="H31" s="87">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70</v>
      </c>
      <c r="C32" s="10" t="s">
        <v>80</v>
      </c>
      <c r="D32" s="10" t="s">
        <v>84</v>
      </c>
      <c r="E32" s="11" t="str">
        <f t="array" ref="E32">_xlfn.XLOOKUP(D32,Insumos!B:B,Insumos!C:$C)</f>
        <v>M2</v>
      </c>
      <c r="F32" s="14">
        <v>0.15</v>
      </c>
      <c r="G32" s="87">
        <f t="array" ref="G32">IF(B32="insumo",_xlfn.XLOOKUP($D32,Insumos!$B$1:$B$996,Insumos!$D$1:$D$996),"")</f>
        <v>46.5</v>
      </c>
      <c r="H32" s="87">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70</v>
      </c>
      <c r="C33" s="10" t="s">
        <v>80</v>
      </c>
      <c r="D33" s="10" t="s">
        <v>85</v>
      </c>
      <c r="E33" s="11" t="str">
        <f t="array" ref="E33">_xlfn.XLOOKUP(D33,Insumos!B:B,Insumos!C:$C)</f>
        <v>M</v>
      </c>
      <c r="F33" s="14">
        <v>1</v>
      </c>
      <c r="G33" s="87">
        <f t="array" ref="G33">IF(B33="insumo",_xlfn.XLOOKUP($D33,Insumos!$B$1:$B$996,Insumos!$D$1:$D$996),"")</f>
        <v>7.3900000000000006</v>
      </c>
      <c r="H33" s="87">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70</v>
      </c>
      <c r="C34" s="10" t="s">
        <v>80</v>
      </c>
      <c r="D34" s="10" t="s">
        <v>86</v>
      </c>
      <c r="E34" s="11" t="str">
        <f t="array" ref="E34">_xlfn.XLOOKUP(D34,Insumos!B:B,Insumos!C:$C)</f>
        <v>KG</v>
      </c>
      <c r="F34" s="14">
        <v>1</v>
      </c>
      <c r="G34" s="87">
        <f t="array" ref="G34">IF(B34="insumo",_xlfn.XLOOKUP($D34,Insumos!$B$1:$B$996,Insumos!$D$1:$D$996),"")</f>
        <v>18.13</v>
      </c>
      <c r="H34" s="87">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70</v>
      </c>
      <c r="C35" s="10" t="s">
        <v>80</v>
      </c>
      <c r="D35" s="10" t="s">
        <v>87</v>
      </c>
      <c r="E35" s="11" t="str">
        <f t="array" ref="E35">_xlfn.XLOOKUP(D35,Insumos!B:B,Insumos!C:$C)</f>
        <v>UN</v>
      </c>
      <c r="F35" s="14">
        <v>1.4999999999999999E-2</v>
      </c>
      <c r="G35" s="87">
        <f t="array" ref="G35">IF(B35="insumo",_xlfn.XLOOKUP($D35,Insumos!$B$1:$B$996,Insumos!$D$1:$D$996),"")</f>
        <v>185.37</v>
      </c>
      <c r="H35" s="87">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70</v>
      </c>
      <c r="C36" s="10" t="s">
        <v>80</v>
      </c>
      <c r="D36" s="10" t="s">
        <v>88</v>
      </c>
      <c r="E36" s="11" t="str">
        <f t="array" ref="E36">_xlfn.XLOOKUP(D36,Insumos!B:B,Insumos!C:$C)</f>
        <v>VB</v>
      </c>
      <c r="F36" s="14">
        <v>1</v>
      </c>
      <c r="G36" s="87">
        <f t="array" ref="G36">IF(B36="insumo",_xlfn.XLOOKUP($D36,Insumos!$B$1:$B$996,Insumos!$D$1:$D$996),"")</f>
        <v>215</v>
      </c>
      <c r="H36" s="87">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70</v>
      </c>
      <c r="C37" s="10" t="s">
        <v>80</v>
      </c>
      <c r="D37" s="10" t="s">
        <v>89</v>
      </c>
      <c r="E37" s="11" t="str">
        <f t="array" ref="E37">_xlfn.XLOOKUP(D37,Insumos!B:B,Insumos!C:$C)</f>
        <v>M2</v>
      </c>
      <c r="F37" s="14">
        <v>1</v>
      </c>
      <c r="G37" s="87">
        <f t="array" ref="G37">IF(B37="insumo",_xlfn.XLOOKUP($D37,Insumos!$B$1:$B$996,Insumos!$D$1:$D$996),"")</f>
        <v>50</v>
      </c>
      <c r="H37" s="87">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332">
        <v>1</v>
      </c>
      <c r="B38" s="332" t="s">
        <v>67</v>
      </c>
      <c r="C38" s="332" t="s">
        <v>90</v>
      </c>
      <c r="D38" s="332" t="s">
        <v>90</v>
      </c>
      <c r="E38" s="333" t="s">
        <v>69</v>
      </c>
      <c r="F38" s="332"/>
      <c r="G38" s="334" t="str">
        <f t="array" ref="G38">IF(B38="insumo",_xlfn.XLOOKUP($D38,Insumos!$B$1:$B$996,Insumos!$D$1:$D$996),"")</f>
        <v/>
      </c>
      <c r="H38" s="334">
        <v>382.10489000000001</v>
      </c>
      <c r="I38" s="335">
        <v>0</v>
      </c>
      <c r="J38" s="335">
        <v>0</v>
      </c>
      <c r="K38" s="335"/>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70</v>
      </c>
      <c r="C39" s="10" t="s">
        <v>90</v>
      </c>
      <c r="D39" s="10" t="s">
        <v>81</v>
      </c>
      <c r="E39" s="11" t="str">
        <f t="array" ref="E39">_xlfn.XLOOKUP(D39,Insumos!B:B,Insumos!C:$C)</f>
        <v>M2</v>
      </c>
      <c r="F39" s="14">
        <v>0.59099999999999997</v>
      </c>
      <c r="G39" s="87">
        <f t="array" ref="G39">IF(B39="insumo",_xlfn.XLOOKUP($D39,Insumos!$B$1:$B$996,Insumos!$D$1:$D$996),"")</f>
        <v>46.5</v>
      </c>
      <c r="H39" s="87">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70</v>
      </c>
      <c r="C40" s="10" t="s">
        <v>90</v>
      </c>
      <c r="D40" s="10" t="s">
        <v>82</v>
      </c>
      <c r="E40" s="11" t="str">
        <f t="array" ref="E40">_xlfn.XLOOKUP(D40,Insumos!B:B,Insumos!C:$C)</f>
        <v>UN</v>
      </c>
      <c r="F40" s="14">
        <v>0.40400000000000003</v>
      </c>
      <c r="G40" s="87">
        <f t="array" ref="G40">IF(B40="insumo",_xlfn.XLOOKUP($D40,Insumos!$B$1:$B$996,Insumos!$D$1:$D$996),"")</f>
        <v>58.46</v>
      </c>
      <c r="H40" s="87">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70</v>
      </c>
      <c r="C41" s="10" t="s">
        <v>90</v>
      </c>
      <c r="D41" s="10" t="s">
        <v>83</v>
      </c>
      <c r="E41" s="11" t="str">
        <f t="array" ref="E41">_xlfn.XLOOKUP(D41,Insumos!B:B,Insumos!C:$C)</f>
        <v>M</v>
      </c>
      <c r="F41" s="14">
        <v>4.3899999999999997</v>
      </c>
      <c r="G41" s="87">
        <f t="array" ref="G41">IF(B41="insumo",_xlfn.XLOOKUP($D41,Insumos!$B$1:$B$996,Insumos!$D$1:$D$996),"")</f>
        <v>7</v>
      </c>
      <c r="H41" s="87">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70</v>
      </c>
      <c r="C42" s="10" t="s">
        <v>90</v>
      </c>
      <c r="D42" s="10" t="s">
        <v>84</v>
      </c>
      <c r="E42" s="11" t="str">
        <f t="array" ref="E42">_xlfn.XLOOKUP(D42,Insumos!B:B,Insumos!C:$C)</f>
        <v>M2</v>
      </c>
      <c r="F42" s="14">
        <v>0.15</v>
      </c>
      <c r="G42" s="87">
        <f t="array" ref="G42">IF(B42="insumo",_xlfn.XLOOKUP($D42,Insumos!$B$1:$B$996,Insumos!$D$1:$D$996),"")</f>
        <v>46.5</v>
      </c>
      <c r="H42" s="87">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70</v>
      </c>
      <c r="C43" s="10" t="s">
        <v>90</v>
      </c>
      <c r="D43" s="10" t="s">
        <v>85</v>
      </c>
      <c r="E43" s="11" t="str">
        <f t="array" ref="E43">_xlfn.XLOOKUP(D43,Insumos!B:B,Insumos!C:$C)</f>
        <v>M</v>
      </c>
      <c r="F43" s="14">
        <v>1</v>
      </c>
      <c r="G43" s="87">
        <f t="array" ref="G43">IF(B43="insumo",_xlfn.XLOOKUP($D43,Insumos!$B$1:$B$996,Insumos!$D$1:$D$996),"")</f>
        <v>7.3900000000000006</v>
      </c>
      <c r="H43" s="87">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70</v>
      </c>
      <c r="C44" s="10" t="s">
        <v>90</v>
      </c>
      <c r="D44" s="10" t="s">
        <v>86</v>
      </c>
      <c r="E44" s="11" t="str">
        <f t="array" ref="E44">_xlfn.XLOOKUP(D44,Insumos!B:B,Insumos!C:$C)</f>
        <v>KG</v>
      </c>
      <c r="F44" s="14">
        <v>1</v>
      </c>
      <c r="G44" s="87">
        <f t="array" ref="G44">IF(B44="insumo",_xlfn.XLOOKUP($D44,Insumos!$B$1:$B$996,Insumos!$D$1:$D$996),"")</f>
        <v>18.13</v>
      </c>
      <c r="H44" s="87">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70</v>
      </c>
      <c r="C45" s="10" t="s">
        <v>90</v>
      </c>
      <c r="D45" s="10" t="s">
        <v>87</v>
      </c>
      <c r="E45" s="11" t="str">
        <f t="array" ref="E45">_xlfn.XLOOKUP(D45,Insumos!B:B,Insumos!C:$C)</f>
        <v>UN</v>
      </c>
      <c r="F45" s="14">
        <v>1.4999999999999999E-2</v>
      </c>
      <c r="G45" s="87">
        <f t="array" ref="G45">IF(B45="insumo",_xlfn.XLOOKUP($D45,Insumos!$B$1:$B$996,Insumos!$D$1:$D$996),"")</f>
        <v>185.37</v>
      </c>
      <c r="H45" s="87">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70</v>
      </c>
      <c r="C46" s="10" t="s">
        <v>90</v>
      </c>
      <c r="D46" s="10" t="s">
        <v>88</v>
      </c>
      <c r="E46" s="11" t="str">
        <f t="array" ref="E46">_xlfn.XLOOKUP(D46,Insumos!B:B,Insumos!C:$C)</f>
        <v>VB</v>
      </c>
      <c r="F46" s="14">
        <v>1</v>
      </c>
      <c r="G46" s="87">
        <f t="array" ref="G46">IF(B46="insumo",_xlfn.XLOOKUP($D46,Insumos!$B$1:$B$996,Insumos!$D$1:$D$996),"")</f>
        <v>215</v>
      </c>
      <c r="H46" s="87">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70</v>
      </c>
      <c r="C47" s="10" t="s">
        <v>90</v>
      </c>
      <c r="D47" s="10" t="s">
        <v>89</v>
      </c>
      <c r="E47" s="11" t="str">
        <f t="array" ref="E47">_xlfn.XLOOKUP(D47,Insumos!B:B,Insumos!C:$C)</f>
        <v>M2</v>
      </c>
      <c r="F47" s="14">
        <v>1</v>
      </c>
      <c r="G47" s="87">
        <f t="array" ref="G47">IF(B47="insumo",_xlfn.XLOOKUP($D47,Insumos!$B$1:$B$996,Insumos!$D$1:$D$996),"")</f>
        <v>50</v>
      </c>
      <c r="H47" s="87">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332">
        <v>1</v>
      </c>
      <c r="B48" s="332" t="s">
        <v>67</v>
      </c>
      <c r="C48" s="332" t="s">
        <v>91</v>
      </c>
      <c r="D48" s="332" t="s">
        <v>91</v>
      </c>
      <c r="E48" s="333" t="s">
        <v>69</v>
      </c>
      <c r="F48" s="332"/>
      <c r="G48" s="334" t="str">
        <f t="array" ref="G48">IF(B48="insumo",_xlfn.XLOOKUP($D48,Insumos!$B$1:$B$996,Insumos!$D$1:$D$996),"")</f>
        <v/>
      </c>
      <c r="H48" s="334">
        <v>382.10489000000001</v>
      </c>
      <c r="I48" s="335">
        <v>0</v>
      </c>
      <c r="J48" s="335">
        <v>0</v>
      </c>
      <c r="K48" s="335"/>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70</v>
      </c>
      <c r="C49" s="10" t="s">
        <v>91</v>
      </c>
      <c r="D49" s="10" t="s">
        <v>81</v>
      </c>
      <c r="E49" s="11" t="str">
        <f t="array" ref="E49">_xlfn.XLOOKUP(D49,Insumos!B:B,Insumos!C:$C)</f>
        <v>M2</v>
      </c>
      <c r="F49" s="14">
        <v>0.59099999999999997</v>
      </c>
      <c r="G49" s="87">
        <f t="array" ref="G49">IF(B49="insumo",_xlfn.XLOOKUP($D49,Insumos!$B$1:$B$996,Insumos!$D$1:$D$996),"")</f>
        <v>46.5</v>
      </c>
      <c r="H49" s="87">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70</v>
      </c>
      <c r="C50" s="10" t="s">
        <v>91</v>
      </c>
      <c r="D50" s="10" t="s">
        <v>82</v>
      </c>
      <c r="E50" s="11" t="str">
        <f t="array" ref="E50">_xlfn.XLOOKUP(D50,Insumos!B:B,Insumos!C:$C)</f>
        <v>UN</v>
      </c>
      <c r="F50" s="14">
        <v>0.40400000000000003</v>
      </c>
      <c r="G50" s="87">
        <f t="array" ref="G50">IF(B50="insumo",_xlfn.XLOOKUP($D50,Insumos!$B$1:$B$996,Insumos!$D$1:$D$996),"")</f>
        <v>58.46</v>
      </c>
      <c r="H50" s="87">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70</v>
      </c>
      <c r="C51" s="10" t="s">
        <v>91</v>
      </c>
      <c r="D51" s="10" t="s">
        <v>83</v>
      </c>
      <c r="E51" s="11" t="str">
        <f t="array" ref="E51">_xlfn.XLOOKUP(D51,Insumos!B:B,Insumos!C:$C)</f>
        <v>M</v>
      </c>
      <c r="F51" s="14">
        <v>4.3899999999999997</v>
      </c>
      <c r="G51" s="87">
        <f t="array" ref="G51">IF(B51="insumo",_xlfn.XLOOKUP($D51,Insumos!$B$1:$B$996,Insumos!$D$1:$D$996),"")</f>
        <v>7</v>
      </c>
      <c r="H51" s="87">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70</v>
      </c>
      <c r="C52" s="10" t="s">
        <v>91</v>
      </c>
      <c r="D52" s="10" t="s">
        <v>84</v>
      </c>
      <c r="E52" s="11" t="str">
        <f t="array" ref="E52">_xlfn.XLOOKUP(D52,Insumos!B:B,Insumos!C:$C)</f>
        <v>M2</v>
      </c>
      <c r="F52" s="14">
        <v>0.15</v>
      </c>
      <c r="G52" s="87">
        <f t="array" ref="G52">IF(B52="insumo",_xlfn.XLOOKUP($D52,Insumos!$B$1:$B$996,Insumos!$D$1:$D$996),"")</f>
        <v>46.5</v>
      </c>
      <c r="H52" s="87">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70</v>
      </c>
      <c r="C53" s="10" t="s">
        <v>91</v>
      </c>
      <c r="D53" s="10" t="s">
        <v>85</v>
      </c>
      <c r="E53" s="11" t="str">
        <f t="array" ref="E53">_xlfn.XLOOKUP(D53,Insumos!B:B,Insumos!C:$C)</f>
        <v>M</v>
      </c>
      <c r="F53" s="14">
        <v>1</v>
      </c>
      <c r="G53" s="87">
        <f t="array" ref="G53">IF(B53="insumo",_xlfn.XLOOKUP($D53,Insumos!$B$1:$B$996,Insumos!$D$1:$D$996),"")</f>
        <v>7.3900000000000006</v>
      </c>
      <c r="H53" s="87">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70</v>
      </c>
      <c r="C54" s="10" t="s">
        <v>91</v>
      </c>
      <c r="D54" s="10" t="s">
        <v>86</v>
      </c>
      <c r="E54" s="11" t="str">
        <f t="array" ref="E54">_xlfn.XLOOKUP(D54,Insumos!B:B,Insumos!C:$C)</f>
        <v>KG</v>
      </c>
      <c r="F54" s="14">
        <v>1</v>
      </c>
      <c r="G54" s="87">
        <f t="array" ref="G54">IF(B54="insumo",_xlfn.XLOOKUP($D54,Insumos!$B$1:$B$996,Insumos!$D$1:$D$996),"")</f>
        <v>18.13</v>
      </c>
      <c r="H54" s="87">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70</v>
      </c>
      <c r="C55" s="10" t="s">
        <v>91</v>
      </c>
      <c r="D55" s="10" t="s">
        <v>87</v>
      </c>
      <c r="E55" s="11" t="str">
        <f t="array" ref="E55">_xlfn.XLOOKUP(D55,Insumos!B:B,Insumos!C:$C)</f>
        <v>UN</v>
      </c>
      <c r="F55" s="14">
        <v>1.4999999999999999E-2</v>
      </c>
      <c r="G55" s="87">
        <f t="array" ref="G55">IF(B55="insumo",_xlfn.XLOOKUP($D55,Insumos!$B$1:$B$996,Insumos!$D$1:$D$996),"")</f>
        <v>185.37</v>
      </c>
      <c r="H55" s="87">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70</v>
      </c>
      <c r="C56" s="10" t="s">
        <v>91</v>
      </c>
      <c r="D56" s="10" t="s">
        <v>88</v>
      </c>
      <c r="E56" s="11" t="str">
        <f t="array" ref="E56">_xlfn.XLOOKUP(D56,Insumos!B:B,Insumos!C:$C)</f>
        <v>VB</v>
      </c>
      <c r="F56" s="14">
        <v>1</v>
      </c>
      <c r="G56" s="87">
        <f t="array" ref="G56">IF(B56="insumo",_xlfn.XLOOKUP($D56,Insumos!$B$1:$B$996,Insumos!$D$1:$D$996),"")</f>
        <v>215</v>
      </c>
      <c r="H56" s="87">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70</v>
      </c>
      <c r="C57" s="10" t="s">
        <v>91</v>
      </c>
      <c r="D57" s="10" t="s">
        <v>89</v>
      </c>
      <c r="E57" s="11" t="str">
        <f t="array" ref="E57">_xlfn.XLOOKUP(D57,Insumos!B:B,Insumos!C:$C)</f>
        <v>M2</v>
      </c>
      <c r="F57" s="14">
        <v>1</v>
      </c>
      <c r="G57" s="87">
        <f t="array" ref="G57">IF(B57="insumo",_xlfn.XLOOKUP($D57,Insumos!$B$1:$B$996,Insumos!$D$1:$D$996),"")</f>
        <v>50</v>
      </c>
      <c r="H57" s="87">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332">
        <v>1</v>
      </c>
      <c r="B58" s="332" t="s">
        <v>67</v>
      </c>
      <c r="C58" s="332" t="s">
        <v>92</v>
      </c>
      <c r="D58" s="332" t="s">
        <v>92</v>
      </c>
      <c r="E58" s="333" t="s">
        <v>69</v>
      </c>
      <c r="F58" s="332"/>
      <c r="G58" s="334" t="str">
        <f t="array" ref="G58">IF(B58="insumo",_xlfn.XLOOKUP($D58,Insumos!$B$1:$B$996,Insumos!$D$1:$D$996),"")</f>
        <v/>
      </c>
      <c r="H58" s="334">
        <v>382.10489000000001</v>
      </c>
      <c r="I58" s="335">
        <v>0</v>
      </c>
      <c r="J58" s="335">
        <v>0</v>
      </c>
      <c r="K58" s="335"/>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70</v>
      </c>
      <c r="C59" s="10" t="s">
        <v>92</v>
      </c>
      <c r="D59" s="10" t="s">
        <v>81</v>
      </c>
      <c r="E59" s="11" t="str">
        <f t="array" ref="E59">_xlfn.XLOOKUP(D59,Insumos!B:B,Insumos!C:$C)</f>
        <v>M2</v>
      </c>
      <c r="F59" s="14">
        <v>0.59099999999999997</v>
      </c>
      <c r="G59" s="87">
        <f t="array" ref="G59">IF(B59="insumo",_xlfn.XLOOKUP($D59,Insumos!$B$1:$B$996,Insumos!$D$1:$D$996),"")</f>
        <v>46.5</v>
      </c>
      <c r="H59" s="87">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70</v>
      </c>
      <c r="C60" s="10" t="s">
        <v>92</v>
      </c>
      <c r="D60" s="10" t="s">
        <v>82</v>
      </c>
      <c r="E60" s="11" t="str">
        <f t="array" ref="E60">_xlfn.XLOOKUP(D60,Insumos!B:B,Insumos!C:$C)</f>
        <v>UN</v>
      </c>
      <c r="F60" s="14">
        <v>0.40400000000000003</v>
      </c>
      <c r="G60" s="87">
        <f t="array" ref="G60">IF(B60="insumo",_xlfn.XLOOKUP($D60,Insumos!$B$1:$B$996,Insumos!$D$1:$D$996),"")</f>
        <v>58.46</v>
      </c>
      <c r="H60" s="87">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70</v>
      </c>
      <c r="C61" s="10" t="s">
        <v>92</v>
      </c>
      <c r="D61" s="10" t="s">
        <v>83</v>
      </c>
      <c r="E61" s="11" t="str">
        <f t="array" ref="E61">_xlfn.XLOOKUP(D61,Insumos!B:B,Insumos!C:$C)</f>
        <v>M</v>
      </c>
      <c r="F61" s="14">
        <v>4.3899999999999997</v>
      </c>
      <c r="G61" s="87">
        <f t="array" ref="G61">IF(B61="insumo",_xlfn.XLOOKUP($D61,Insumos!$B$1:$B$996,Insumos!$D$1:$D$996),"")</f>
        <v>7</v>
      </c>
      <c r="H61" s="87">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70</v>
      </c>
      <c r="C62" s="10" t="s">
        <v>92</v>
      </c>
      <c r="D62" s="10" t="s">
        <v>84</v>
      </c>
      <c r="E62" s="11" t="str">
        <f t="array" ref="E62">_xlfn.XLOOKUP(D62,Insumos!B:B,Insumos!C:$C)</f>
        <v>M2</v>
      </c>
      <c r="F62" s="14">
        <v>0.15</v>
      </c>
      <c r="G62" s="87">
        <f t="array" ref="G62">IF(B62="insumo",_xlfn.XLOOKUP($D62,Insumos!$B$1:$B$996,Insumos!$D$1:$D$996),"")</f>
        <v>46.5</v>
      </c>
      <c r="H62" s="87">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70</v>
      </c>
      <c r="C63" s="10" t="s">
        <v>92</v>
      </c>
      <c r="D63" s="10" t="s">
        <v>85</v>
      </c>
      <c r="E63" s="11" t="str">
        <f t="array" ref="E63">_xlfn.XLOOKUP(D63,Insumos!B:B,Insumos!C:$C)</f>
        <v>M</v>
      </c>
      <c r="F63" s="14">
        <v>1</v>
      </c>
      <c r="G63" s="87">
        <f t="array" ref="G63">IF(B63="insumo",_xlfn.XLOOKUP($D63,Insumos!$B$1:$B$996,Insumos!$D$1:$D$996),"")</f>
        <v>7.3900000000000006</v>
      </c>
      <c r="H63" s="87">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70</v>
      </c>
      <c r="C64" s="10" t="s">
        <v>92</v>
      </c>
      <c r="D64" s="10" t="s">
        <v>86</v>
      </c>
      <c r="E64" s="11" t="str">
        <f t="array" ref="E64">_xlfn.XLOOKUP(D64,Insumos!B:B,Insumos!C:$C)</f>
        <v>KG</v>
      </c>
      <c r="F64" s="14">
        <v>1</v>
      </c>
      <c r="G64" s="87">
        <f t="array" ref="G64">IF(B64="insumo",_xlfn.XLOOKUP($D64,Insumos!$B$1:$B$996,Insumos!$D$1:$D$996),"")</f>
        <v>18.13</v>
      </c>
      <c r="H64" s="87">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70</v>
      </c>
      <c r="C65" s="10" t="s">
        <v>92</v>
      </c>
      <c r="D65" s="10" t="s">
        <v>87</v>
      </c>
      <c r="E65" s="11" t="str">
        <f t="array" ref="E65">_xlfn.XLOOKUP(D65,Insumos!B:B,Insumos!C:$C)</f>
        <v>UN</v>
      </c>
      <c r="F65" s="14">
        <v>1.4999999999999999E-2</v>
      </c>
      <c r="G65" s="87">
        <f t="array" ref="G65">IF(B65="insumo",_xlfn.XLOOKUP($D65,Insumos!$B$1:$B$996,Insumos!$D$1:$D$996),"")</f>
        <v>185.37</v>
      </c>
      <c r="H65" s="87">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70</v>
      </c>
      <c r="C66" s="10" t="s">
        <v>92</v>
      </c>
      <c r="D66" s="10" t="s">
        <v>88</v>
      </c>
      <c r="E66" s="11" t="str">
        <f t="array" ref="E66">_xlfn.XLOOKUP(D66,Insumos!B:B,Insumos!C:$C)</f>
        <v>VB</v>
      </c>
      <c r="F66" s="14">
        <v>1</v>
      </c>
      <c r="G66" s="87">
        <f t="array" ref="G66">IF(B66="insumo",_xlfn.XLOOKUP($D66,Insumos!$B$1:$B$996,Insumos!$D$1:$D$996),"")</f>
        <v>215</v>
      </c>
      <c r="H66" s="87">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70</v>
      </c>
      <c r="C67" s="10" t="s">
        <v>92</v>
      </c>
      <c r="D67" s="10" t="s">
        <v>89</v>
      </c>
      <c r="E67" s="11" t="str">
        <f t="array" ref="E67">_xlfn.XLOOKUP(D67,Insumos!B:B,Insumos!C:$C)</f>
        <v>M2</v>
      </c>
      <c r="F67" s="14">
        <v>1</v>
      </c>
      <c r="G67" s="87">
        <f t="array" ref="G67">IF(B67="insumo",_xlfn.XLOOKUP($D67,Insumos!$B$1:$B$996,Insumos!$D$1:$D$996),"")</f>
        <v>50</v>
      </c>
      <c r="H67" s="87">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332">
        <v>1</v>
      </c>
      <c r="B68" s="332" t="s">
        <v>67</v>
      </c>
      <c r="C68" s="332" t="s">
        <v>93</v>
      </c>
      <c r="D68" s="332" t="s">
        <v>93</v>
      </c>
      <c r="E68" s="333" t="s">
        <v>69</v>
      </c>
      <c r="F68" s="332"/>
      <c r="G68" s="334" t="str">
        <f t="array" ref="G68">IF(B68="insumo",_xlfn.XLOOKUP($D68,Insumos!$B$1:$B$996,Insumos!$D$1:$D$996),"")</f>
        <v/>
      </c>
      <c r="H68" s="334">
        <v>382.10489000000001</v>
      </c>
      <c r="I68" s="335">
        <v>0</v>
      </c>
      <c r="J68" s="335">
        <v>0</v>
      </c>
      <c r="K68" s="335"/>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70</v>
      </c>
      <c r="C69" s="10" t="s">
        <v>93</v>
      </c>
      <c r="D69" s="10" t="s">
        <v>81</v>
      </c>
      <c r="E69" s="11" t="str">
        <f t="array" ref="E69">_xlfn.XLOOKUP(D69,Insumos!B:B,Insumos!C:$C)</f>
        <v>M2</v>
      </c>
      <c r="F69" s="14">
        <v>0.59099999999999997</v>
      </c>
      <c r="G69" s="87">
        <f t="array" ref="G69">IF(B69="insumo",_xlfn.XLOOKUP($D69,Insumos!$B$1:$B$996,Insumos!$D$1:$D$996),"")</f>
        <v>46.5</v>
      </c>
      <c r="H69" s="87">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70</v>
      </c>
      <c r="C70" s="10" t="s">
        <v>93</v>
      </c>
      <c r="D70" s="10" t="s">
        <v>82</v>
      </c>
      <c r="E70" s="11" t="str">
        <f t="array" ref="E70">_xlfn.XLOOKUP(D70,Insumos!B:B,Insumos!C:$C)</f>
        <v>UN</v>
      </c>
      <c r="F70" s="14">
        <v>0.40400000000000003</v>
      </c>
      <c r="G70" s="87">
        <f t="array" ref="G70">IF(B70="insumo",_xlfn.XLOOKUP($D70,Insumos!$B$1:$B$996,Insumos!$D$1:$D$996),"")</f>
        <v>58.46</v>
      </c>
      <c r="H70" s="87">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70</v>
      </c>
      <c r="C71" s="10" t="s">
        <v>93</v>
      </c>
      <c r="D71" s="10" t="s">
        <v>83</v>
      </c>
      <c r="E71" s="11" t="str">
        <f t="array" ref="E71">_xlfn.XLOOKUP(D71,Insumos!B:B,Insumos!C:$C)</f>
        <v>M</v>
      </c>
      <c r="F71" s="14">
        <v>4.3899999999999997</v>
      </c>
      <c r="G71" s="87">
        <f t="array" ref="G71">IF(B71="insumo",_xlfn.XLOOKUP($D71,Insumos!$B$1:$B$996,Insumos!$D$1:$D$996),"")</f>
        <v>7</v>
      </c>
      <c r="H71" s="87">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70</v>
      </c>
      <c r="C72" s="10" t="s">
        <v>93</v>
      </c>
      <c r="D72" s="10" t="s">
        <v>84</v>
      </c>
      <c r="E72" s="11" t="str">
        <f t="array" ref="E72">_xlfn.XLOOKUP(D72,Insumos!B:B,Insumos!C:$C)</f>
        <v>M2</v>
      </c>
      <c r="F72" s="14">
        <v>0.15</v>
      </c>
      <c r="G72" s="87">
        <f t="array" ref="G72">IF(B72="insumo",_xlfn.XLOOKUP($D72,Insumos!$B$1:$B$996,Insumos!$D$1:$D$996),"")</f>
        <v>46.5</v>
      </c>
      <c r="H72" s="87">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70</v>
      </c>
      <c r="C73" s="10" t="s">
        <v>93</v>
      </c>
      <c r="D73" s="10" t="s">
        <v>85</v>
      </c>
      <c r="E73" s="11" t="str">
        <f t="array" ref="E73">_xlfn.XLOOKUP(D73,Insumos!B:B,Insumos!C:$C)</f>
        <v>M</v>
      </c>
      <c r="F73" s="14">
        <v>1</v>
      </c>
      <c r="G73" s="87">
        <f t="array" ref="G73">IF(B73="insumo",_xlfn.XLOOKUP($D73,Insumos!$B$1:$B$996,Insumos!$D$1:$D$996),"")</f>
        <v>7.3900000000000006</v>
      </c>
      <c r="H73" s="87">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70</v>
      </c>
      <c r="C74" s="10" t="s">
        <v>93</v>
      </c>
      <c r="D74" s="10" t="s">
        <v>86</v>
      </c>
      <c r="E74" s="11" t="str">
        <f t="array" ref="E74">_xlfn.XLOOKUP(D74,Insumos!B:B,Insumos!C:$C)</f>
        <v>KG</v>
      </c>
      <c r="F74" s="14">
        <v>1</v>
      </c>
      <c r="G74" s="87">
        <f t="array" ref="G74">IF(B74="insumo",_xlfn.XLOOKUP($D74,Insumos!$B$1:$B$996,Insumos!$D$1:$D$996),"")</f>
        <v>18.13</v>
      </c>
      <c r="H74" s="87">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70</v>
      </c>
      <c r="C75" s="10" t="s">
        <v>93</v>
      </c>
      <c r="D75" s="10" t="s">
        <v>87</v>
      </c>
      <c r="E75" s="11" t="str">
        <f t="array" ref="E75">_xlfn.XLOOKUP(D75,Insumos!B:B,Insumos!C:$C)</f>
        <v>UN</v>
      </c>
      <c r="F75" s="14">
        <v>1.4999999999999999E-2</v>
      </c>
      <c r="G75" s="87">
        <f t="array" ref="G75">IF(B75="insumo",_xlfn.XLOOKUP($D75,Insumos!$B$1:$B$996,Insumos!$D$1:$D$996),"")</f>
        <v>185.37</v>
      </c>
      <c r="H75" s="87">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70</v>
      </c>
      <c r="C76" s="10" t="s">
        <v>93</v>
      </c>
      <c r="D76" s="10" t="s">
        <v>88</v>
      </c>
      <c r="E76" s="11" t="str">
        <f t="array" ref="E76">_xlfn.XLOOKUP(D76,Insumos!B:B,Insumos!C:$C)</f>
        <v>VB</v>
      </c>
      <c r="F76" s="14">
        <v>1</v>
      </c>
      <c r="G76" s="87">
        <f t="array" ref="G76">IF(B76="insumo",_xlfn.XLOOKUP($D76,Insumos!$B$1:$B$996,Insumos!$D$1:$D$996),"")</f>
        <v>215</v>
      </c>
      <c r="H76" s="87">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70</v>
      </c>
      <c r="C77" s="10" t="s">
        <v>93</v>
      </c>
      <c r="D77" s="10" t="s">
        <v>89</v>
      </c>
      <c r="E77" s="11" t="str">
        <f t="array" ref="E77">_xlfn.XLOOKUP(D77,Insumos!B:B,Insumos!C:$C)</f>
        <v>M2</v>
      </c>
      <c r="F77" s="14">
        <v>1</v>
      </c>
      <c r="G77" s="87">
        <f t="array" ref="G77">IF(B77="insumo",_xlfn.XLOOKUP($D77,Insumos!$B$1:$B$996,Insumos!$D$1:$D$996),"")</f>
        <v>50</v>
      </c>
      <c r="H77" s="87">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332">
        <v>1</v>
      </c>
      <c r="B78" s="332" t="s">
        <v>67</v>
      </c>
      <c r="C78" s="332" t="s">
        <v>94</v>
      </c>
      <c r="D78" s="332" t="s">
        <v>94</v>
      </c>
      <c r="E78" s="333" t="s">
        <v>69</v>
      </c>
      <c r="F78" s="332"/>
      <c r="G78" s="334" t="str">
        <f t="array" ref="G78">IF(B78="insumo",_xlfn.XLOOKUP($D78,Insumos!$B$1:$B$996,Insumos!$D$1:$D$996),"")</f>
        <v/>
      </c>
      <c r="H78" s="334">
        <v>382.10489000000001</v>
      </c>
      <c r="I78" s="335">
        <v>0</v>
      </c>
      <c r="J78" s="335">
        <v>0</v>
      </c>
      <c r="K78" s="335"/>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70</v>
      </c>
      <c r="C79" s="10" t="s">
        <v>94</v>
      </c>
      <c r="D79" s="10" t="s">
        <v>81</v>
      </c>
      <c r="E79" s="11" t="str">
        <f t="array" ref="E79">_xlfn.XLOOKUP(D79,Insumos!B:B,Insumos!C:$C)</f>
        <v>M2</v>
      </c>
      <c r="F79" s="14">
        <v>0.59099999999999997</v>
      </c>
      <c r="G79" s="87">
        <f t="array" ref="G79">IF(B79="insumo",_xlfn.XLOOKUP($D79,Insumos!$B$1:$B$996,Insumos!$D$1:$D$996),"")</f>
        <v>46.5</v>
      </c>
      <c r="H79" s="87">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70</v>
      </c>
      <c r="C80" s="10" t="s">
        <v>94</v>
      </c>
      <c r="D80" s="10" t="s">
        <v>82</v>
      </c>
      <c r="E80" s="11" t="str">
        <f t="array" ref="E80">_xlfn.XLOOKUP(D80,Insumos!B:B,Insumos!C:$C)</f>
        <v>UN</v>
      </c>
      <c r="F80" s="14">
        <v>0.40400000000000003</v>
      </c>
      <c r="G80" s="87">
        <f t="array" ref="G80">IF(B80="insumo",_xlfn.XLOOKUP($D80,Insumos!$B$1:$B$996,Insumos!$D$1:$D$996),"")</f>
        <v>58.46</v>
      </c>
      <c r="H80" s="87">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70</v>
      </c>
      <c r="C81" s="10" t="s">
        <v>94</v>
      </c>
      <c r="D81" s="10" t="s">
        <v>83</v>
      </c>
      <c r="E81" s="11" t="str">
        <f t="array" ref="E81">_xlfn.XLOOKUP(D81,Insumos!B:B,Insumos!C:$C)</f>
        <v>M</v>
      </c>
      <c r="F81" s="14">
        <v>4.3899999999999997</v>
      </c>
      <c r="G81" s="87">
        <f t="array" ref="G81">IF(B81="insumo",_xlfn.XLOOKUP($D81,Insumos!$B$1:$B$996,Insumos!$D$1:$D$996),"")</f>
        <v>7</v>
      </c>
      <c r="H81" s="87">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70</v>
      </c>
      <c r="C82" s="10" t="s">
        <v>94</v>
      </c>
      <c r="D82" s="10" t="s">
        <v>84</v>
      </c>
      <c r="E82" s="11" t="str">
        <f t="array" ref="E82">_xlfn.XLOOKUP(D82,Insumos!B:B,Insumos!C:$C)</f>
        <v>M2</v>
      </c>
      <c r="F82" s="14">
        <v>0.15</v>
      </c>
      <c r="G82" s="87">
        <f t="array" ref="G82">IF(B82="insumo",_xlfn.XLOOKUP($D82,Insumos!$B$1:$B$996,Insumos!$D$1:$D$996),"")</f>
        <v>46.5</v>
      </c>
      <c r="H82" s="87">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70</v>
      </c>
      <c r="C83" s="10" t="s">
        <v>94</v>
      </c>
      <c r="D83" s="10" t="s">
        <v>85</v>
      </c>
      <c r="E83" s="11" t="str">
        <f t="array" ref="E83">_xlfn.XLOOKUP(D83,Insumos!B:B,Insumos!C:$C)</f>
        <v>M</v>
      </c>
      <c r="F83" s="14">
        <v>1</v>
      </c>
      <c r="G83" s="87">
        <f t="array" ref="G83">IF(B83="insumo",_xlfn.XLOOKUP($D83,Insumos!$B$1:$B$996,Insumos!$D$1:$D$996),"")</f>
        <v>7.3900000000000006</v>
      </c>
      <c r="H83" s="87">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70</v>
      </c>
      <c r="C84" s="10" t="s">
        <v>94</v>
      </c>
      <c r="D84" s="10" t="s">
        <v>86</v>
      </c>
      <c r="E84" s="11" t="str">
        <f t="array" ref="E84">_xlfn.XLOOKUP(D84,Insumos!B:B,Insumos!C:$C)</f>
        <v>KG</v>
      </c>
      <c r="F84" s="14">
        <v>1</v>
      </c>
      <c r="G84" s="87">
        <f t="array" ref="G84">IF(B84="insumo",_xlfn.XLOOKUP($D84,Insumos!$B$1:$B$996,Insumos!$D$1:$D$996),"")</f>
        <v>18.13</v>
      </c>
      <c r="H84" s="87">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70</v>
      </c>
      <c r="C85" s="10" t="s">
        <v>94</v>
      </c>
      <c r="D85" s="10" t="s">
        <v>87</v>
      </c>
      <c r="E85" s="11" t="str">
        <f t="array" ref="E85">_xlfn.XLOOKUP(D85,Insumos!B:B,Insumos!C:$C)</f>
        <v>UN</v>
      </c>
      <c r="F85" s="14">
        <v>1.4999999999999999E-2</v>
      </c>
      <c r="G85" s="87">
        <f t="array" ref="G85">IF(B85="insumo",_xlfn.XLOOKUP($D85,Insumos!$B$1:$B$996,Insumos!$D$1:$D$996),"")</f>
        <v>185.37</v>
      </c>
      <c r="H85" s="87">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70</v>
      </c>
      <c r="C86" s="10" t="s">
        <v>94</v>
      </c>
      <c r="D86" s="10" t="s">
        <v>88</v>
      </c>
      <c r="E86" s="11" t="str">
        <f t="array" ref="E86">_xlfn.XLOOKUP(D86,Insumos!B:B,Insumos!C:$C)</f>
        <v>VB</v>
      </c>
      <c r="F86" s="14">
        <v>1</v>
      </c>
      <c r="G86" s="87">
        <f t="array" ref="G86">IF(B86="insumo",_xlfn.XLOOKUP($D86,Insumos!$B$1:$B$996,Insumos!$D$1:$D$996),"")</f>
        <v>215</v>
      </c>
      <c r="H86" s="87">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70</v>
      </c>
      <c r="C87" s="10" t="s">
        <v>94</v>
      </c>
      <c r="D87" s="10" t="s">
        <v>89</v>
      </c>
      <c r="E87" s="11" t="str">
        <f t="array" ref="E87">_xlfn.XLOOKUP(D87,Insumos!B:B,Insumos!C:$C)</f>
        <v>M2</v>
      </c>
      <c r="F87" s="14">
        <v>1</v>
      </c>
      <c r="G87" s="87">
        <f t="array" ref="G87">IF(B87="insumo",_xlfn.XLOOKUP($D87,Insumos!$B$1:$B$996,Insumos!$D$1:$D$996),"")</f>
        <v>50</v>
      </c>
      <c r="H87" s="87">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332">
        <v>1</v>
      </c>
      <c r="B88" s="332" t="s">
        <v>67</v>
      </c>
      <c r="C88" s="332" t="s">
        <v>95</v>
      </c>
      <c r="D88" s="332" t="s">
        <v>95</v>
      </c>
      <c r="E88" s="333" t="s">
        <v>69</v>
      </c>
      <c r="F88" s="332"/>
      <c r="G88" s="334" t="str">
        <f t="array" ref="G88">IF(B88="insumo",_xlfn.XLOOKUP($D88,Insumos!$B$1:$B$996,Insumos!$D$1:$D$996),"")</f>
        <v/>
      </c>
      <c r="H88" s="334">
        <v>382.10489000000001</v>
      </c>
      <c r="I88" s="335">
        <v>0</v>
      </c>
      <c r="J88" s="335">
        <v>0</v>
      </c>
      <c r="K88" s="335"/>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70</v>
      </c>
      <c r="C89" s="10" t="s">
        <v>95</v>
      </c>
      <c r="D89" s="10" t="s">
        <v>81</v>
      </c>
      <c r="E89" s="11" t="str">
        <f t="array" ref="E89">_xlfn.XLOOKUP(D89,Insumos!B:B,Insumos!C:$C)</f>
        <v>M2</v>
      </c>
      <c r="F89" s="14">
        <v>0.59099999999999997</v>
      </c>
      <c r="G89" s="87">
        <f t="array" ref="G89">IF(B89="insumo",_xlfn.XLOOKUP($D89,Insumos!$B$1:$B$996,Insumos!$D$1:$D$996),"")</f>
        <v>46.5</v>
      </c>
      <c r="H89" s="87">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70</v>
      </c>
      <c r="C90" s="10" t="s">
        <v>95</v>
      </c>
      <c r="D90" s="10" t="s">
        <v>82</v>
      </c>
      <c r="E90" s="11" t="str">
        <f t="array" ref="E90">_xlfn.XLOOKUP(D90,Insumos!B:B,Insumos!C:$C)</f>
        <v>UN</v>
      </c>
      <c r="F90" s="14">
        <v>0.40400000000000003</v>
      </c>
      <c r="G90" s="87">
        <f t="array" ref="G90">IF(B90="insumo",_xlfn.XLOOKUP($D90,Insumos!$B$1:$B$996,Insumos!$D$1:$D$996),"")</f>
        <v>58.46</v>
      </c>
      <c r="H90" s="87">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70</v>
      </c>
      <c r="C91" s="10" t="s">
        <v>95</v>
      </c>
      <c r="D91" s="10" t="s">
        <v>83</v>
      </c>
      <c r="E91" s="11" t="str">
        <f t="array" ref="E91">_xlfn.XLOOKUP(D91,Insumos!B:B,Insumos!C:$C)</f>
        <v>M</v>
      </c>
      <c r="F91" s="14">
        <v>4.3899999999999997</v>
      </c>
      <c r="G91" s="87">
        <f t="array" ref="G91">IF(B91="insumo",_xlfn.XLOOKUP($D91,Insumos!$B$1:$B$996,Insumos!$D$1:$D$996),"")</f>
        <v>7</v>
      </c>
      <c r="H91" s="87">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70</v>
      </c>
      <c r="C92" s="10" t="s">
        <v>95</v>
      </c>
      <c r="D92" s="10" t="s">
        <v>84</v>
      </c>
      <c r="E92" s="11" t="str">
        <f t="array" ref="E92">_xlfn.XLOOKUP(D92,Insumos!B:B,Insumos!C:$C)</f>
        <v>M2</v>
      </c>
      <c r="F92" s="14">
        <v>0.15</v>
      </c>
      <c r="G92" s="87">
        <f t="array" ref="G92">IF(B92="insumo",_xlfn.XLOOKUP($D92,Insumos!$B$1:$B$996,Insumos!$D$1:$D$996),"")</f>
        <v>46.5</v>
      </c>
      <c r="H92" s="87">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70</v>
      </c>
      <c r="C93" s="10" t="s">
        <v>95</v>
      </c>
      <c r="D93" s="10" t="s">
        <v>85</v>
      </c>
      <c r="E93" s="11" t="str">
        <f t="array" ref="E93">_xlfn.XLOOKUP(D93,Insumos!B:B,Insumos!C:$C)</f>
        <v>M</v>
      </c>
      <c r="F93" s="14">
        <v>1</v>
      </c>
      <c r="G93" s="87">
        <f t="array" ref="G93">IF(B93="insumo",_xlfn.XLOOKUP($D93,Insumos!$B$1:$B$996,Insumos!$D$1:$D$996),"")</f>
        <v>7.3900000000000006</v>
      </c>
      <c r="H93" s="87">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70</v>
      </c>
      <c r="C94" s="10" t="s">
        <v>95</v>
      </c>
      <c r="D94" s="10" t="s">
        <v>86</v>
      </c>
      <c r="E94" s="11" t="str">
        <f t="array" ref="E94">_xlfn.XLOOKUP(D94,Insumos!B:B,Insumos!C:$C)</f>
        <v>KG</v>
      </c>
      <c r="F94" s="14">
        <v>1</v>
      </c>
      <c r="G94" s="87">
        <f t="array" ref="G94">IF(B94="insumo",_xlfn.XLOOKUP($D94,Insumos!$B$1:$B$996,Insumos!$D$1:$D$996),"")</f>
        <v>18.13</v>
      </c>
      <c r="H94" s="87">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70</v>
      </c>
      <c r="C95" s="10" t="s">
        <v>95</v>
      </c>
      <c r="D95" s="10" t="s">
        <v>87</v>
      </c>
      <c r="E95" s="11" t="str">
        <f t="array" ref="E95">_xlfn.XLOOKUP(D95,Insumos!B:B,Insumos!C:$C)</f>
        <v>UN</v>
      </c>
      <c r="F95" s="14">
        <v>1.4999999999999999E-2</v>
      </c>
      <c r="G95" s="87">
        <f t="array" ref="G95">IF(B95="insumo",_xlfn.XLOOKUP($D95,Insumos!$B$1:$B$996,Insumos!$D$1:$D$996),"")</f>
        <v>185.37</v>
      </c>
      <c r="H95" s="87">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70</v>
      </c>
      <c r="C96" s="10" t="s">
        <v>95</v>
      </c>
      <c r="D96" s="10" t="s">
        <v>88</v>
      </c>
      <c r="E96" s="11" t="str">
        <f t="array" ref="E96">_xlfn.XLOOKUP(D96,Insumos!B:B,Insumos!C:$C)</f>
        <v>VB</v>
      </c>
      <c r="F96" s="14">
        <v>1</v>
      </c>
      <c r="G96" s="87">
        <f t="array" ref="G96">IF(B96="insumo",_xlfn.XLOOKUP($D96,Insumos!$B$1:$B$996,Insumos!$D$1:$D$996),"")</f>
        <v>215</v>
      </c>
      <c r="H96" s="87">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70</v>
      </c>
      <c r="C97" s="10" t="s">
        <v>95</v>
      </c>
      <c r="D97" s="10" t="s">
        <v>89</v>
      </c>
      <c r="E97" s="11" t="str">
        <f t="array" ref="E97">_xlfn.XLOOKUP(D97,Insumos!B:B,Insumos!C:$C)</f>
        <v>M2</v>
      </c>
      <c r="F97" s="14">
        <v>1</v>
      </c>
      <c r="G97" s="87">
        <f t="array" ref="G97">IF(B97="insumo",_xlfn.XLOOKUP($D97,Insumos!$B$1:$B$996,Insumos!$D$1:$D$996),"")</f>
        <v>50</v>
      </c>
      <c r="H97" s="87">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332">
        <v>1</v>
      </c>
      <c r="B98" s="332" t="s">
        <v>67</v>
      </c>
      <c r="C98" s="332" t="s">
        <v>96</v>
      </c>
      <c r="D98" s="332" t="s">
        <v>96</v>
      </c>
      <c r="E98" s="333" t="s">
        <v>69</v>
      </c>
      <c r="F98" s="332"/>
      <c r="G98" s="334" t="str">
        <f t="array" ref="G98">IF(B98="insumo",_xlfn.XLOOKUP($D98,Insumos!$B$1:$B$996,Insumos!$D$1:$D$996),"")</f>
        <v/>
      </c>
      <c r="H98" s="334">
        <v>382.10489000000001</v>
      </c>
      <c r="I98" s="335">
        <v>0</v>
      </c>
      <c r="J98" s="335">
        <v>0</v>
      </c>
      <c r="K98" s="335"/>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70</v>
      </c>
      <c r="C99" s="10" t="s">
        <v>96</v>
      </c>
      <c r="D99" s="10" t="s">
        <v>81</v>
      </c>
      <c r="E99" s="11" t="str">
        <f t="array" ref="E99">_xlfn.XLOOKUP(D99,Insumos!B:B,Insumos!C:$C)</f>
        <v>M2</v>
      </c>
      <c r="F99" s="14">
        <v>0.59099999999999997</v>
      </c>
      <c r="G99" s="87">
        <f t="array" ref="G99">IF(B99="insumo",_xlfn.XLOOKUP($D99,Insumos!$B$1:$B$996,Insumos!$D$1:$D$996),"")</f>
        <v>46.5</v>
      </c>
      <c r="H99" s="87">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70</v>
      </c>
      <c r="C100" s="10" t="s">
        <v>96</v>
      </c>
      <c r="D100" s="10" t="s">
        <v>82</v>
      </c>
      <c r="E100" s="11" t="str">
        <f t="array" ref="E100">_xlfn.XLOOKUP(D100,Insumos!B:B,Insumos!C:$C)</f>
        <v>UN</v>
      </c>
      <c r="F100" s="14">
        <v>0.40400000000000003</v>
      </c>
      <c r="G100" s="87">
        <f t="array" ref="G100">IF(B100="insumo",_xlfn.XLOOKUP($D100,Insumos!$B$1:$B$996,Insumos!$D$1:$D$996),"")</f>
        <v>58.46</v>
      </c>
      <c r="H100" s="87">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70</v>
      </c>
      <c r="C101" s="10" t="s">
        <v>96</v>
      </c>
      <c r="D101" s="10" t="s">
        <v>83</v>
      </c>
      <c r="E101" s="11" t="str">
        <f t="array" ref="E101">_xlfn.XLOOKUP(D101,Insumos!B:B,Insumos!C:$C)</f>
        <v>M</v>
      </c>
      <c r="F101" s="14">
        <v>4.3899999999999997</v>
      </c>
      <c r="G101" s="87">
        <f t="array" ref="G101">IF(B101="insumo",_xlfn.XLOOKUP($D101,Insumos!$B$1:$B$996,Insumos!$D$1:$D$996),"")</f>
        <v>7</v>
      </c>
      <c r="H101" s="87">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70</v>
      </c>
      <c r="C102" s="10" t="s">
        <v>96</v>
      </c>
      <c r="D102" s="10" t="s">
        <v>84</v>
      </c>
      <c r="E102" s="11" t="str">
        <f t="array" ref="E102">_xlfn.XLOOKUP(D102,Insumos!B:B,Insumos!C:$C)</f>
        <v>M2</v>
      </c>
      <c r="F102" s="14">
        <v>0.15</v>
      </c>
      <c r="G102" s="87">
        <f t="array" ref="G102">IF(B102="insumo",_xlfn.XLOOKUP($D102,Insumos!$B$1:$B$996,Insumos!$D$1:$D$996),"")</f>
        <v>46.5</v>
      </c>
      <c r="H102" s="87">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70</v>
      </c>
      <c r="C103" s="10" t="s">
        <v>96</v>
      </c>
      <c r="D103" s="10" t="s">
        <v>85</v>
      </c>
      <c r="E103" s="11" t="str">
        <f t="array" ref="E103">_xlfn.XLOOKUP(D103,Insumos!B:B,Insumos!C:$C)</f>
        <v>M</v>
      </c>
      <c r="F103" s="14">
        <v>1</v>
      </c>
      <c r="G103" s="87">
        <f t="array" ref="G103">IF(B103="insumo",_xlfn.XLOOKUP($D103,Insumos!$B$1:$B$996,Insumos!$D$1:$D$996),"")</f>
        <v>7.3900000000000006</v>
      </c>
      <c r="H103" s="87">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70</v>
      </c>
      <c r="C104" s="10" t="s">
        <v>96</v>
      </c>
      <c r="D104" s="10" t="s">
        <v>86</v>
      </c>
      <c r="E104" s="11" t="str">
        <f t="array" ref="E104">_xlfn.XLOOKUP(D104,Insumos!B:B,Insumos!C:$C)</f>
        <v>KG</v>
      </c>
      <c r="F104" s="14">
        <v>1</v>
      </c>
      <c r="G104" s="87">
        <f t="array" ref="G104">IF(B104="insumo",_xlfn.XLOOKUP($D104,Insumos!$B$1:$B$996,Insumos!$D$1:$D$996),"")</f>
        <v>18.13</v>
      </c>
      <c r="H104" s="87">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70</v>
      </c>
      <c r="C105" s="10" t="s">
        <v>96</v>
      </c>
      <c r="D105" s="10" t="s">
        <v>87</v>
      </c>
      <c r="E105" s="11" t="str">
        <f t="array" ref="E105">_xlfn.XLOOKUP(D105,Insumos!B:B,Insumos!C:$C)</f>
        <v>UN</v>
      </c>
      <c r="F105" s="14">
        <v>1.4999999999999999E-2</v>
      </c>
      <c r="G105" s="87">
        <f t="array" ref="G105">IF(B105="insumo",_xlfn.XLOOKUP($D105,Insumos!$B$1:$B$996,Insumos!$D$1:$D$996),"")</f>
        <v>185.37</v>
      </c>
      <c r="H105" s="87">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70</v>
      </c>
      <c r="C106" s="10" t="s">
        <v>96</v>
      </c>
      <c r="D106" s="10" t="s">
        <v>88</v>
      </c>
      <c r="E106" s="11" t="str">
        <f t="array" ref="E106">_xlfn.XLOOKUP(D106,Insumos!B:B,Insumos!C:$C)</f>
        <v>VB</v>
      </c>
      <c r="F106" s="14">
        <v>1</v>
      </c>
      <c r="G106" s="87">
        <f t="array" ref="G106">IF(B106="insumo",_xlfn.XLOOKUP($D106,Insumos!$B$1:$B$996,Insumos!$D$1:$D$996),"")</f>
        <v>215</v>
      </c>
      <c r="H106" s="87">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70</v>
      </c>
      <c r="C107" s="10" t="s">
        <v>96</v>
      </c>
      <c r="D107" s="10" t="s">
        <v>89</v>
      </c>
      <c r="E107" s="11" t="str">
        <f t="array" ref="E107">_xlfn.XLOOKUP(D107,Insumos!B:B,Insumos!C:$C)</f>
        <v>M2</v>
      </c>
      <c r="F107" s="14">
        <v>1</v>
      </c>
      <c r="G107" s="87">
        <f t="array" ref="G107">IF(B107="insumo",_xlfn.XLOOKUP($D107,Insumos!$B$1:$B$996,Insumos!$D$1:$D$996),"")</f>
        <v>50</v>
      </c>
      <c r="H107" s="87">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332">
        <v>1</v>
      </c>
      <c r="B108" s="332" t="s">
        <v>67</v>
      </c>
      <c r="C108" s="332" t="s">
        <v>97</v>
      </c>
      <c r="D108" s="332" t="s">
        <v>97</v>
      </c>
      <c r="E108" s="333" t="s">
        <v>69</v>
      </c>
      <c r="F108" s="332"/>
      <c r="G108" s="334" t="str">
        <f t="array" ref="G108">IF(B108="insumo",_xlfn.XLOOKUP($D108,Insumos!$B$1:$B$996,Insumos!$D$1:$D$996),"")</f>
        <v/>
      </c>
      <c r="H108" s="334">
        <v>454.54489999999998</v>
      </c>
      <c r="I108" s="335">
        <v>0</v>
      </c>
      <c r="J108" s="335">
        <v>0</v>
      </c>
      <c r="K108" s="335"/>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70</v>
      </c>
      <c r="C109" s="10" t="s">
        <v>97</v>
      </c>
      <c r="D109" s="10" t="s">
        <v>81</v>
      </c>
      <c r="E109" s="11" t="str">
        <f t="array" ref="E109">_xlfn.XLOOKUP(D109,Insumos!B:B,Insumos!C:$C)</f>
        <v>M2</v>
      </c>
      <c r="F109" s="14">
        <v>0.59099999999999997</v>
      </c>
      <c r="G109" s="87">
        <f t="array" ref="G109">IF(B109="insumo",_xlfn.XLOOKUP($D109,Insumos!$B$1:$B$996,Insumos!$D$1:$D$996),"")</f>
        <v>46.5</v>
      </c>
      <c r="H109" s="87">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70</v>
      </c>
      <c r="C110" s="10" t="s">
        <v>97</v>
      </c>
      <c r="D110" s="10" t="s">
        <v>82</v>
      </c>
      <c r="E110" s="11" t="str">
        <f t="array" ref="E110">_xlfn.XLOOKUP(D110,Insumos!B:B,Insumos!C:$C)</f>
        <v>UN</v>
      </c>
      <c r="F110" s="14">
        <v>0.40400000000000003</v>
      </c>
      <c r="G110" s="87">
        <f t="array" ref="G110">IF(B110="insumo",_xlfn.XLOOKUP($D110,Insumos!$B$1:$B$996,Insumos!$D$1:$D$996),"")</f>
        <v>58.46</v>
      </c>
      <c r="H110" s="87">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70</v>
      </c>
      <c r="C111" s="10" t="s">
        <v>97</v>
      </c>
      <c r="D111" s="10" t="s">
        <v>83</v>
      </c>
      <c r="E111" s="11" t="str">
        <f t="array" ref="E111">_xlfn.XLOOKUP(D111,Insumos!B:B,Insumos!C:$C)</f>
        <v>M</v>
      </c>
      <c r="F111" s="14">
        <v>4.3899999999999997</v>
      </c>
      <c r="G111" s="87">
        <f t="array" ref="G111">IF(B111="insumo",_xlfn.XLOOKUP($D111,Insumos!$B$1:$B$996,Insumos!$D$1:$D$996),"")</f>
        <v>7</v>
      </c>
      <c r="H111" s="87">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70</v>
      </c>
      <c r="C112" s="10" t="s">
        <v>97</v>
      </c>
      <c r="D112" s="10" t="s">
        <v>84</v>
      </c>
      <c r="E112" s="11" t="str">
        <f t="array" ref="E112">_xlfn.XLOOKUP(D112,Insumos!B:B,Insumos!C:$C)</f>
        <v>M2</v>
      </c>
      <c r="F112" s="14">
        <v>0.15</v>
      </c>
      <c r="G112" s="87">
        <f t="array" ref="G112">IF(B112="insumo",_xlfn.XLOOKUP($D112,Insumos!$B$1:$B$996,Insumos!$D$1:$D$996),"")</f>
        <v>46.5</v>
      </c>
      <c r="H112" s="87">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70</v>
      </c>
      <c r="C113" s="10" t="s">
        <v>97</v>
      </c>
      <c r="D113" s="10" t="s">
        <v>85</v>
      </c>
      <c r="E113" s="11" t="str">
        <f t="array" ref="E113">_xlfn.XLOOKUP(D113,Insumos!B:B,Insumos!C:$C)</f>
        <v>M</v>
      </c>
      <c r="F113" s="14">
        <v>1</v>
      </c>
      <c r="G113" s="87">
        <f t="array" ref="G113">IF(B113="insumo",_xlfn.XLOOKUP($D113,Insumos!$B$1:$B$996,Insumos!$D$1:$D$996),"")</f>
        <v>7.3900000000000006</v>
      </c>
      <c r="H113" s="87">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70</v>
      </c>
      <c r="C114" s="10" t="s">
        <v>97</v>
      </c>
      <c r="D114" s="10" t="s">
        <v>86</v>
      </c>
      <c r="E114" s="11" t="str">
        <f t="array" ref="E114">_xlfn.XLOOKUP(D114,Insumos!B:B,Insumos!C:$C)</f>
        <v>KG</v>
      </c>
      <c r="F114" s="14">
        <v>1</v>
      </c>
      <c r="G114" s="87">
        <f t="array" ref="G114">IF(B114="insumo",_xlfn.XLOOKUP($D114,Insumos!$B$1:$B$996,Insumos!$D$1:$D$996),"")</f>
        <v>18.13</v>
      </c>
      <c r="H114" s="87">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70</v>
      </c>
      <c r="C115" s="10" t="s">
        <v>97</v>
      </c>
      <c r="D115" s="10" t="s">
        <v>73</v>
      </c>
      <c r="E115" s="11" t="str">
        <f t="array" ref="E115">_xlfn.XLOOKUP(D115,Insumos!B:B,Insumos!C:$C)</f>
        <v>M3</v>
      </c>
      <c r="F115" s="14">
        <v>7.3999999999999996E-2</v>
      </c>
      <c r="G115" s="87">
        <f t="array" ref="G115">IF(B115="insumo",_xlfn.XLOOKUP($D115,Insumos!$B$1:$B$996,Insumos!$D$1:$D$996),"")</f>
        <v>490</v>
      </c>
      <c r="H115" s="87">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70</v>
      </c>
      <c r="C116" s="10" t="s">
        <v>97</v>
      </c>
      <c r="D116" s="10" t="s">
        <v>98</v>
      </c>
      <c r="E116" s="11" t="str">
        <f t="array" ref="E116">_xlfn.XLOOKUP(D116,Insumos!B:B,Insumos!C:$C)</f>
        <v>KG</v>
      </c>
      <c r="F116" s="14">
        <v>1.3339999999999999</v>
      </c>
      <c r="G116" s="87">
        <f t="array" ref="G116">IF(B116="insumo",_xlfn.XLOOKUP($D116,Insumos!$B$1:$B$996,Insumos!$D$1:$D$996),"")</f>
        <v>6.1</v>
      </c>
      <c r="H116" s="87">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70</v>
      </c>
      <c r="C117" s="10" t="s">
        <v>97</v>
      </c>
      <c r="D117" s="10" t="s">
        <v>99</v>
      </c>
      <c r="E117" s="11" t="str">
        <f t="array" ref="E117">_xlfn.XLOOKUP(D117,Insumos!B:B,Insumos!C:$C)</f>
        <v>M2</v>
      </c>
      <c r="F117" s="14">
        <v>1.19</v>
      </c>
      <c r="G117" s="87">
        <f t="array" ref="G117">IF(B117="insumo",_xlfn.XLOOKUP($D117,Insumos!$B$1:$B$996,Insumos!$D$1:$D$996),"")</f>
        <v>21.31</v>
      </c>
      <c r="H117" s="87">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70</v>
      </c>
      <c r="C118" s="10" t="s">
        <v>97</v>
      </c>
      <c r="D118" s="10" t="s">
        <v>100</v>
      </c>
      <c r="E118" s="11" t="str">
        <f t="array" ref="E118">_xlfn.XLOOKUP(D118,Insumos!B:B,Insumos!C:$C)</f>
        <v>L</v>
      </c>
      <c r="F118" s="14">
        <v>0.18</v>
      </c>
      <c r="G118" s="87">
        <f t="array" ref="G118">IF(B118="insumo",_xlfn.XLOOKUP($D118,Insumos!$B$1:$B$996,Insumos!$D$1:$D$996),"")</f>
        <v>8.5</v>
      </c>
      <c r="H118" s="87">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70</v>
      </c>
      <c r="C119" s="10" t="s">
        <v>97</v>
      </c>
      <c r="D119" s="10" t="s">
        <v>101</v>
      </c>
      <c r="E119" s="11" t="str">
        <f t="array" ref="E119">_xlfn.XLOOKUP(D119,Insumos!B:B,Insumos!C:$C)</f>
        <v>KG</v>
      </c>
      <c r="F119" s="14">
        <v>0.06</v>
      </c>
      <c r="G119" s="87">
        <f t="array" ref="G119">IF(B119="insumo",_xlfn.XLOOKUP($D119,Insumos!$B$1:$B$996,Insumos!$D$1:$D$996),"")</f>
        <v>10</v>
      </c>
      <c r="H119" s="87">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70</v>
      </c>
      <c r="C120" s="10" t="s">
        <v>97</v>
      </c>
      <c r="D120" s="10" t="s">
        <v>102</v>
      </c>
      <c r="E120" s="11" t="str">
        <f t="array" ref="E120">_xlfn.XLOOKUP(D120,Insumos!B:B,Insumos!C:$C)</f>
        <v>L</v>
      </c>
      <c r="F120" s="14">
        <v>0.03</v>
      </c>
      <c r="G120" s="87">
        <f t="array" ref="G120">IF(B120="insumo",_xlfn.XLOOKUP($D120,Insumos!$B$1:$B$996,Insumos!$D$1:$D$996),"")</f>
        <v>16</v>
      </c>
      <c r="H120" s="87">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70</v>
      </c>
      <c r="C121" s="10" t="s">
        <v>97</v>
      </c>
      <c r="D121" s="10" t="s">
        <v>103</v>
      </c>
      <c r="E121" s="11" t="str">
        <f t="array" ref="E121">_xlfn.XLOOKUP(D121,Insumos!B:B,Insumos!C:$C)</f>
        <v>UN</v>
      </c>
      <c r="F121" s="14">
        <v>3.9E-2</v>
      </c>
      <c r="G121" s="87">
        <f t="array" ref="G121">IF(B121="insumo",_xlfn.XLOOKUP($D121,Insumos!$B$1:$B$996,Insumos!$D$1:$D$996),"")</f>
        <v>1.89</v>
      </c>
      <c r="H121" s="87">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70</v>
      </c>
      <c r="C122" s="10" t="s">
        <v>97</v>
      </c>
      <c r="D122" s="10" t="s">
        <v>87</v>
      </c>
      <c r="E122" s="11" t="str">
        <f t="array" ref="E122">_xlfn.XLOOKUP(D122,Insumos!B:B,Insumos!C:$C)</f>
        <v>UN</v>
      </c>
      <c r="F122" s="14">
        <v>1.4999999999999999E-2</v>
      </c>
      <c r="G122" s="87">
        <f t="array" ref="G122">IF(B122="insumo",_xlfn.XLOOKUP($D122,Insumos!$B$1:$B$996,Insumos!$D$1:$D$996),"")</f>
        <v>185.37</v>
      </c>
      <c r="H122" s="87">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70</v>
      </c>
      <c r="C123" s="10" t="s">
        <v>97</v>
      </c>
      <c r="D123" s="10" t="s">
        <v>88</v>
      </c>
      <c r="E123" s="11" t="str">
        <f t="array" ref="E123">_xlfn.XLOOKUP(D123,Insumos!B:B,Insumos!C:$C)</f>
        <v>VB</v>
      </c>
      <c r="F123" s="14">
        <v>1</v>
      </c>
      <c r="G123" s="87">
        <f t="array" ref="G123">IF(B123="insumo",_xlfn.XLOOKUP($D123,Insumos!$B$1:$B$996,Insumos!$D$1:$D$996),"")</f>
        <v>215</v>
      </c>
      <c r="H123" s="87">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70</v>
      </c>
      <c r="C124" s="10" t="s">
        <v>97</v>
      </c>
      <c r="D124" s="10" t="s">
        <v>89</v>
      </c>
      <c r="E124" s="11" t="str">
        <f t="array" ref="E124">_xlfn.XLOOKUP(D124,Insumos!B:B,Insumos!C:$C)</f>
        <v>M2</v>
      </c>
      <c r="F124" s="14">
        <v>1</v>
      </c>
      <c r="G124" s="87">
        <f t="array" ref="G124">IF(B124="insumo",_xlfn.XLOOKUP($D124,Insumos!$B$1:$B$996,Insumos!$D$1:$D$996),"")</f>
        <v>50</v>
      </c>
      <c r="H124" s="87">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332">
        <v>1</v>
      </c>
      <c r="B125" s="332" t="s">
        <v>67</v>
      </c>
      <c r="C125" s="332" t="s">
        <v>104</v>
      </c>
      <c r="D125" s="332" t="s">
        <v>104</v>
      </c>
      <c r="E125" s="333" t="s">
        <v>69</v>
      </c>
      <c r="F125" s="332"/>
      <c r="G125" s="334" t="str">
        <f t="array" ref="G125">IF(B125="insumo",_xlfn.XLOOKUP($D125,Insumos!$B$1:$B$996,Insumos!$D$1:$D$996),"")</f>
        <v/>
      </c>
      <c r="H125" s="334">
        <v>454.54489999999998</v>
      </c>
      <c r="I125" s="335">
        <v>0</v>
      </c>
      <c r="J125" s="335">
        <v>0</v>
      </c>
      <c r="K125" s="335"/>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70</v>
      </c>
      <c r="C126" s="10" t="s">
        <v>104</v>
      </c>
      <c r="D126" s="10" t="s">
        <v>81</v>
      </c>
      <c r="E126" s="11" t="str">
        <f t="array" ref="E126">_xlfn.XLOOKUP(D126,Insumos!B:B,Insumos!C:$C)</f>
        <v>M2</v>
      </c>
      <c r="F126" s="14">
        <v>0.59099999999999997</v>
      </c>
      <c r="G126" s="87">
        <f t="array" ref="G126">IF(B126="insumo",_xlfn.XLOOKUP($D126,Insumos!$B$1:$B$996,Insumos!$D$1:$D$996),"")</f>
        <v>46.5</v>
      </c>
      <c r="H126" s="87">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70</v>
      </c>
      <c r="C127" s="10" t="s">
        <v>104</v>
      </c>
      <c r="D127" s="10" t="s">
        <v>82</v>
      </c>
      <c r="E127" s="11" t="str">
        <f t="array" ref="E127">_xlfn.XLOOKUP(D127,Insumos!B:B,Insumos!C:$C)</f>
        <v>UN</v>
      </c>
      <c r="F127" s="14">
        <v>0.40400000000000003</v>
      </c>
      <c r="G127" s="87">
        <f t="array" ref="G127">IF(B127="insumo",_xlfn.XLOOKUP($D127,Insumos!$B$1:$B$996,Insumos!$D$1:$D$996),"")</f>
        <v>58.46</v>
      </c>
      <c r="H127" s="87">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70</v>
      </c>
      <c r="C128" s="10" t="s">
        <v>104</v>
      </c>
      <c r="D128" s="10" t="s">
        <v>83</v>
      </c>
      <c r="E128" s="11" t="str">
        <f t="array" ref="E128">_xlfn.XLOOKUP(D128,Insumos!B:B,Insumos!C:$C)</f>
        <v>M</v>
      </c>
      <c r="F128" s="14">
        <v>4.3899999999999997</v>
      </c>
      <c r="G128" s="87">
        <f t="array" ref="G128">IF(B128="insumo",_xlfn.XLOOKUP($D128,Insumos!$B$1:$B$996,Insumos!$D$1:$D$996),"")</f>
        <v>7</v>
      </c>
      <c r="H128" s="87">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70</v>
      </c>
      <c r="C129" s="10" t="s">
        <v>104</v>
      </c>
      <c r="D129" s="10" t="s">
        <v>84</v>
      </c>
      <c r="E129" s="11" t="str">
        <f t="array" ref="E129">_xlfn.XLOOKUP(D129,Insumos!B:B,Insumos!C:$C)</f>
        <v>M2</v>
      </c>
      <c r="F129" s="14">
        <v>0.15</v>
      </c>
      <c r="G129" s="87">
        <f t="array" ref="G129">IF(B129="insumo",_xlfn.XLOOKUP($D129,Insumos!$B$1:$B$996,Insumos!$D$1:$D$996),"")</f>
        <v>46.5</v>
      </c>
      <c r="H129" s="87">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70</v>
      </c>
      <c r="C130" s="10" t="s">
        <v>104</v>
      </c>
      <c r="D130" s="10" t="s">
        <v>85</v>
      </c>
      <c r="E130" s="11" t="str">
        <f t="array" ref="E130">_xlfn.XLOOKUP(D130,Insumos!B:B,Insumos!C:$C)</f>
        <v>M</v>
      </c>
      <c r="F130" s="14">
        <v>1</v>
      </c>
      <c r="G130" s="87">
        <f t="array" ref="G130">IF(B130="insumo",_xlfn.XLOOKUP($D130,Insumos!$B$1:$B$996,Insumos!$D$1:$D$996),"")</f>
        <v>7.3900000000000006</v>
      </c>
      <c r="H130" s="87">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70</v>
      </c>
      <c r="C131" s="10" t="s">
        <v>104</v>
      </c>
      <c r="D131" s="10" t="s">
        <v>86</v>
      </c>
      <c r="E131" s="11" t="str">
        <f t="array" ref="E131">_xlfn.XLOOKUP(D131,Insumos!B:B,Insumos!C:$C)</f>
        <v>KG</v>
      </c>
      <c r="F131" s="14">
        <v>1</v>
      </c>
      <c r="G131" s="87">
        <f t="array" ref="G131">IF(B131="insumo",_xlfn.XLOOKUP($D131,Insumos!$B$1:$B$996,Insumos!$D$1:$D$996),"")</f>
        <v>18.13</v>
      </c>
      <c r="H131" s="87">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70</v>
      </c>
      <c r="C132" s="10" t="s">
        <v>104</v>
      </c>
      <c r="D132" s="10" t="s">
        <v>73</v>
      </c>
      <c r="E132" s="11" t="str">
        <f t="array" ref="E132">_xlfn.XLOOKUP(D132,Insumos!B:B,Insumos!C:$C)</f>
        <v>M3</v>
      </c>
      <c r="F132" s="14">
        <v>7.3999999999999996E-2</v>
      </c>
      <c r="G132" s="87">
        <f t="array" ref="G132">IF(B132="insumo",_xlfn.XLOOKUP($D132,Insumos!$B$1:$B$996,Insumos!$D$1:$D$996),"")</f>
        <v>490</v>
      </c>
      <c r="H132" s="87">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70</v>
      </c>
      <c r="C133" s="10" t="s">
        <v>104</v>
      </c>
      <c r="D133" s="10" t="s">
        <v>98</v>
      </c>
      <c r="E133" s="11" t="str">
        <f t="array" ref="E133">_xlfn.XLOOKUP(D133,Insumos!B:B,Insumos!C:$C)</f>
        <v>KG</v>
      </c>
      <c r="F133" s="14">
        <v>1.3339999999999999</v>
      </c>
      <c r="G133" s="87">
        <f t="array" ref="G133">IF(B133="insumo",_xlfn.XLOOKUP($D133,Insumos!$B$1:$B$996,Insumos!$D$1:$D$996),"")</f>
        <v>6.1</v>
      </c>
      <c r="H133" s="87">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70</v>
      </c>
      <c r="C134" s="10" t="s">
        <v>104</v>
      </c>
      <c r="D134" s="10" t="s">
        <v>99</v>
      </c>
      <c r="E134" s="11" t="str">
        <f t="array" ref="E134">_xlfn.XLOOKUP(D134,Insumos!B:B,Insumos!C:$C)</f>
        <v>M2</v>
      </c>
      <c r="F134" s="14">
        <v>1.19</v>
      </c>
      <c r="G134" s="87">
        <f t="array" ref="G134">IF(B134="insumo",_xlfn.XLOOKUP($D134,Insumos!$B$1:$B$996,Insumos!$D$1:$D$996),"")</f>
        <v>21.31</v>
      </c>
      <c r="H134" s="87">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70</v>
      </c>
      <c r="C135" s="10" t="s">
        <v>104</v>
      </c>
      <c r="D135" s="10" t="s">
        <v>100</v>
      </c>
      <c r="E135" s="11" t="str">
        <f t="array" ref="E135">_xlfn.XLOOKUP(D135,Insumos!B:B,Insumos!C:$C)</f>
        <v>L</v>
      </c>
      <c r="F135" s="14">
        <v>0.18</v>
      </c>
      <c r="G135" s="87">
        <f t="array" ref="G135">IF(B135="insumo",_xlfn.XLOOKUP($D135,Insumos!$B$1:$B$996,Insumos!$D$1:$D$996),"")</f>
        <v>8.5</v>
      </c>
      <c r="H135" s="87">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70</v>
      </c>
      <c r="C136" s="10" t="s">
        <v>104</v>
      </c>
      <c r="D136" s="10" t="s">
        <v>101</v>
      </c>
      <c r="E136" s="11" t="str">
        <f t="array" ref="E136">_xlfn.XLOOKUP(D136,Insumos!B:B,Insumos!C:$C)</f>
        <v>KG</v>
      </c>
      <c r="F136" s="14">
        <v>0.06</v>
      </c>
      <c r="G136" s="87">
        <f t="array" ref="G136">IF(B136="insumo",_xlfn.XLOOKUP($D136,Insumos!$B$1:$B$996,Insumos!$D$1:$D$996),"")</f>
        <v>10</v>
      </c>
      <c r="H136" s="87">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70</v>
      </c>
      <c r="C137" s="10" t="s">
        <v>104</v>
      </c>
      <c r="D137" s="10" t="s">
        <v>102</v>
      </c>
      <c r="E137" s="11" t="str">
        <f t="array" ref="E137">_xlfn.XLOOKUP(D137,Insumos!B:B,Insumos!C:$C)</f>
        <v>L</v>
      </c>
      <c r="F137" s="14">
        <v>0.03</v>
      </c>
      <c r="G137" s="87">
        <f t="array" ref="G137">IF(B137="insumo",_xlfn.XLOOKUP($D137,Insumos!$B$1:$B$996,Insumos!$D$1:$D$996),"")</f>
        <v>16</v>
      </c>
      <c r="H137" s="87">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70</v>
      </c>
      <c r="C138" s="10" t="s">
        <v>104</v>
      </c>
      <c r="D138" s="10" t="s">
        <v>103</v>
      </c>
      <c r="E138" s="11" t="str">
        <f t="array" ref="E138">_xlfn.XLOOKUP(D138,Insumos!B:B,Insumos!C:$C)</f>
        <v>UN</v>
      </c>
      <c r="F138" s="14">
        <v>3.9E-2</v>
      </c>
      <c r="G138" s="87">
        <f t="array" ref="G138">IF(B138="insumo",_xlfn.XLOOKUP($D138,Insumos!$B$1:$B$996,Insumos!$D$1:$D$996),"")</f>
        <v>1.89</v>
      </c>
      <c r="H138" s="87">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70</v>
      </c>
      <c r="C139" s="10" t="s">
        <v>104</v>
      </c>
      <c r="D139" s="10" t="s">
        <v>87</v>
      </c>
      <c r="E139" s="11" t="str">
        <f t="array" ref="E139">_xlfn.XLOOKUP(D139,Insumos!B:B,Insumos!C:$C)</f>
        <v>UN</v>
      </c>
      <c r="F139" s="14">
        <v>1.4999999999999999E-2</v>
      </c>
      <c r="G139" s="87">
        <f t="array" ref="G139">IF(B139="insumo",_xlfn.XLOOKUP($D139,Insumos!$B$1:$B$996,Insumos!$D$1:$D$996),"")</f>
        <v>185.37</v>
      </c>
      <c r="H139" s="87">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70</v>
      </c>
      <c r="C140" s="10" t="s">
        <v>104</v>
      </c>
      <c r="D140" s="10" t="s">
        <v>88</v>
      </c>
      <c r="E140" s="11" t="str">
        <f t="array" ref="E140">_xlfn.XLOOKUP(D140,Insumos!B:B,Insumos!C:$C)</f>
        <v>VB</v>
      </c>
      <c r="F140" s="14">
        <v>1</v>
      </c>
      <c r="G140" s="87">
        <f t="array" ref="G140">IF(B140="insumo",_xlfn.XLOOKUP($D140,Insumos!$B$1:$B$996,Insumos!$D$1:$D$996),"")</f>
        <v>215</v>
      </c>
      <c r="H140" s="87">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70</v>
      </c>
      <c r="C141" s="10" t="s">
        <v>104</v>
      </c>
      <c r="D141" s="10" t="s">
        <v>89</v>
      </c>
      <c r="E141" s="11" t="str">
        <f t="array" ref="E141">_xlfn.XLOOKUP(D141,Insumos!B:B,Insumos!C:$C)</f>
        <v>M2</v>
      </c>
      <c r="F141" s="14">
        <v>1</v>
      </c>
      <c r="G141" s="87">
        <f t="array" ref="G141">IF(B141="insumo",_xlfn.XLOOKUP($D141,Insumos!$B$1:$B$996,Insumos!$D$1:$D$996),"")</f>
        <v>50</v>
      </c>
      <c r="H141" s="87">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332">
        <v>1</v>
      </c>
      <c r="B142" s="332" t="s">
        <v>67</v>
      </c>
      <c r="C142" s="332" t="s">
        <v>105</v>
      </c>
      <c r="D142" s="332" t="s">
        <v>105</v>
      </c>
      <c r="E142" s="333" t="s">
        <v>69</v>
      </c>
      <c r="F142" s="332"/>
      <c r="G142" s="334" t="str">
        <f t="array" ref="G142">IF(B142="insumo",_xlfn.XLOOKUP($D142,Insumos!$B$1:$B$996,Insumos!$D$1:$D$996),"")</f>
        <v/>
      </c>
      <c r="H142" s="334">
        <v>7891.02</v>
      </c>
      <c r="I142" s="335">
        <v>0</v>
      </c>
      <c r="J142" s="335">
        <v>0</v>
      </c>
      <c r="K142" s="335"/>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70</v>
      </c>
      <c r="C143" s="10" t="s">
        <v>105</v>
      </c>
      <c r="D143" s="10" t="s">
        <v>106</v>
      </c>
      <c r="E143" s="11" t="str">
        <f t="array" ref="E143">_xlfn.XLOOKUP(D143,Insumos!B:B,Insumos!C:$C)</f>
        <v>UN</v>
      </c>
      <c r="F143" s="14">
        <v>3</v>
      </c>
      <c r="G143" s="87">
        <f t="array" ref="G143">IF(B143="insumo",_xlfn.XLOOKUP($D143,Insumos!$B$1:$B$996,Insumos!$D$1:$D$996),"")</f>
        <v>1052.1099999999999</v>
      </c>
      <c r="H143" s="87">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70</v>
      </c>
      <c r="C144" s="10" t="s">
        <v>105</v>
      </c>
      <c r="D144" s="10" t="s">
        <v>107</v>
      </c>
      <c r="E144" s="11" t="str">
        <f t="array" ref="E144">_xlfn.XLOOKUP(D144,Insumos!B:B,Insumos!C:$C)</f>
        <v>UN</v>
      </c>
      <c r="F144" s="14">
        <v>3</v>
      </c>
      <c r="G144" s="87">
        <f t="array" ref="G144">IF(B144="insumo",_xlfn.XLOOKUP($D144,Insumos!$B$1:$B$996,Insumos!$D$1:$D$996),"")</f>
        <v>536.53</v>
      </c>
      <c r="H144" s="87">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70</v>
      </c>
      <c r="C145" s="10" t="s">
        <v>105</v>
      </c>
      <c r="D145" s="10" t="s">
        <v>108</v>
      </c>
      <c r="E145" s="11" t="str">
        <f t="array" ref="E145">_xlfn.XLOOKUP(D145,Insumos!B:B,Insumos!C:$C)</f>
        <v>UN</v>
      </c>
      <c r="F145" s="14">
        <v>6</v>
      </c>
      <c r="G145" s="87">
        <f t="array" ref="G145">IF(B145="insumo",_xlfn.XLOOKUP($D145,Insumos!$B$1:$B$996,Insumos!$D$1:$D$996),"")</f>
        <v>520.85</v>
      </c>
      <c r="H145" s="87">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332">
        <v>1</v>
      </c>
      <c r="B146" s="332" t="s">
        <v>67</v>
      </c>
      <c r="C146" s="332" t="s">
        <v>109</v>
      </c>
      <c r="D146" s="332" t="s">
        <v>109</v>
      </c>
      <c r="E146" s="333" t="s">
        <v>69</v>
      </c>
      <c r="F146" s="332"/>
      <c r="G146" s="334" t="str">
        <f t="array" ref="G146">IF(B146="insumo",_xlfn.XLOOKUP($D146,Insumos!$B$1:$B$996,Insumos!$D$1:$D$996),"")</f>
        <v/>
      </c>
      <c r="H146" s="334">
        <v>25.2262633333333</v>
      </c>
      <c r="I146" s="335">
        <v>1040</v>
      </c>
      <c r="J146" s="335">
        <v>26235.313866666598</v>
      </c>
      <c r="K146" s="335"/>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70</v>
      </c>
      <c r="C147" s="10" t="s">
        <v>109</v>
      </c>
      <c r="D147" s="10" t="s">
        <v>110</v>
      </c>
      <c r="E147" s="11" t="str">
        <f t="array" ref="E147">_xlfn.XLOOKUP(D147,Insumos!B:B,Insumos!C:$C)</f>
        <v>L</v>
      </c>
      <c r="F147" s="14">
        <v>2.5600000000000001E-2</v>
      </c>
      <c r="G147" s="87">
        <f t="array" ref="G147">IF(B147="insumo",_xlfn.XLOOKUP($D147,Insumos!$B$1:$B$996,Insumos!$D$1:$D$996),"")</f>
        <v>33.333333333333336</v>
      </c>
      <c r="H147" s="87">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70</v>
      </c>
      <c r="C148" s="10" t="s">
        <v>109</v>
      </c>
      <c r="D148" s="10" t="s">
        <v>81</v>
      </c>
      <c r="E148" s="11" t="str">
        <f t="array" ref="E148">_xlfn.XLOOKUP(D148,Insumos!B:B,Insumos!C:$C)</f>
        <v>M2</v>
      </c>
      <c r="F148" s="14">
        <v>0.11199999999999999</v>
      </c>
      <c r="G148" s="87">
        <f t="array" ref="G148">IF(B148="insumo",_xlfn.XLOOKUP($D148,Insumos!$B$1:$B$996,Insumos!$D$1:$D$996),"")</f>
        <v>46.5</v>
      </c>
      <c r="H148" s="87">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70</v>
      </c>
      <c r="C149" s="10" t="s">
        <v>109</v>
      </c>
      <c r="D149" s="10" t="s">
        <v>86</v>
      </c>
      <c r="E149" s="11" t="str">
        <f t="array" ref="E149">_xlfn.XLOOKUP(D149,Insumos!B:B,Insumos!C:$C)</f>
        <v>KG</v>
      </c>
      <c r="F149" s="14">
        <v>0.111</v>
      </c>
      <c r="G149" s="87">
        <f t="array" ref="G149">IF(B149="insumo",_xlfn.XLOOKUP($D149,Insumos!$B$1:$B$996,Insumos!$D$1:$D$996),"")</f>
        <v>18.13</v>
      </c>
      <c r="H149" s="87">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70</v>
      </c>
      <c r="C150" s="10" t="s">
        <v>109</v>
      </c>
      <c r="D150" s="10" t="s">
        <v>84</v>
      </c>
      <c r="E150" s="11" t="str">
        <f t="array" ref="E150">_xlfn.XLOOKUP(D150,Insumos!B:B,Insumos!C:$C)</f>
        <v>M2</v>
      </c>
      <c r="F150" s="14">
        <v>0.15</v>
      </c>
      <c r="G150" s="87">
        <f t="array" ref="G150">IF(B150="insumo",_xlfn.XLOOKUP($D150,Insumos!$B$1:$B$996,Insumos!$D$1:$D$996),"")</f>
        <v>46.5</v>
      </c>
      <c r="H150" s="87">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70</v>
      </c>
      <c r="C151" s="10" t="s">
        <v>109</v>
      </c>
      <c r="D151" s="10" t="s">
        <v>111</v>
      </c>
      <c r="E151" s="11" t="str">
        <f t="array" ref="E151">_xlfn.XLOOKUP(D151,Insumos!B:B,Insumos!C:$C)</f>
        <v>M</v>
      </c>
      <c r="F151" s="14">
        <v>0.34499999999999997</v>
      </c>
      <c r="G151" s="87">
        <f t="array" ref="G151">IF(B151="insumo",_xlfn.XLOOKUP($D151,Insumos!$B$1:$B$996,Insumos!$D$1:$D$996),"")</f>
        <v>29.5</v>
      </c>
      <c r="H151" s="87">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355">
        <v>1</v>
      </c>
      <c r="B152" s="355" t="s">
        <v>1227</v>
      </c>
      <c r="C152" s="355" t="s">
        <v>109</v>
      </c>
      <c r="D152" s="355" t="s">
        <v>113</v>
      </c>
      <c r="E152" s="356"/>
      <c r="F152" s="356"/>
      <c r="G152" s="356"/>
      <c r="H152" s="356">
        <v>0</v>
      </c>
      <c r="I152" s="357">
        <v>0</v>
      </c>
      <c r="J152" s="357">
        <v>0</v>
      </c>
      <c r="K152" s="357"/>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332">
        <v>1</v>
      </c>
      <c r="B153" s="332" t="s">
        <v>67</v>
      </c>
      <c r="C153" s="332" t="s">
        <v>114</v>
      </c>
      <c r="D153" s="332" t="s">
        <v>114</v>
      </c>
      <c r="E153" s="333" t="s">
        <v>112</v>
      </c>
      <c r="F153" s="332"/>
      <c r="G153" s="334" t="str">
        <f t="array" ref="G153">IF(B153="insumo",_xlfn.XLOOKUP($D153,Insumos!$B$1:$B$996,Insumos!$D$1:$D$996),"")</f>
        <v/>
      </c>
      <c r="H153" s="334">
        <v>243.95614637281901</v>
      </c>
      <c r="I153" s="335">
        <v>0</v>
      </c>
      <c r="J153" s="335">
        <v>0</v>
      </c>
      <c r="K153" s="335"/>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70</v>
      </c>
      <c r="C154" s="10" t="s">
        <v>114</v>
      </c>
      <c r="D154" s="10" t="s">
        <v>115</v>
      </c>
      <c r="E154" s="11" t="str">
        <f t="array" ref="E154">_xlfn.XLOOKUP(D154,Insumos!B:B,Insumos!C:$C)</f>
        <v>KG</v>
      </c>
      <c r="F154" s="14">
        <v>0.17</v>
      </c>
      <c r="G154" s="87">
        <f t="array" ref="G154">IF(B154="insumo",_xlfn.XLOOKUP($D154,Insumos!$B$1:$B$996,Insumos!$D$1:$D$996),"")</f>
        <v>13.08</v>
      </c>
      <c r="H154" s="87">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70</v>
      </c>
      <c r="C155" s="10" t="s">
        <v>114</v>
      </c>
      <c r="D155" s="10" t="s">
        <v>116</v>
      </c>
      <c r="E155" s="11" t="str">
        <f t="array" ref="E155">_xlfn.XLOOKUP(D155,Insumos!B:B,Insumos!C:$C)</f>
        <v>M2</v>
      </c>
      <c r="F155" s="14">
        <v>2.54</v>
      </c>
      <c r="G155" s="87">
        <f t="array" ref="G155">IF(B155="insumo",_xlfn.XLOOKUP($D155,Insumos!$B$1:$B$996,Insumos!$D$1:$D$996),"")</f>
        <v>46.120293847566572</v>
      </c>
      <c r="H155" s="87">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70</v>
      </c>
      <c r="C156" s="10" t="s">
        <v>114</v>
      </c>
      <c r="D156" s="10" t="s">
        <v>117</v>
      </c>
      <c r="E156" s="11" t="str">
        <f t="array" ref="E156">_xlfn.XLOOKUP(D156,Insumos!B:B,Insumos!C:$C)</f>
        <v>UN</v>
      </c>
      <c r="F156" s="14">
        <v>3.39</v>
      </c>
      <c r="G156" s="87">
        <f t="array" ref="G156">IF(B156="insumo",_xlfn.XLOOKUP($D156,Insumos!$B$1:$B$996,Insumos!$D$1:$D$996),"")</f>
        <v>5.3</v>
      </c>
      <c r="H156" s="87">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70</v>
      </c>
      <c r="C157" s="10" t="s">
        <v>114</v>
      </c>
      <c r="D157" s="10" t="s">
        <v>118</v>
      </c>
      <c r="E157" s="11" t="str">
        <f t="array" ref="E157">_xlfn.XLOOKUP(D157,Insumos!B:B,Insumos!C:$C)</f>
        <v>UN</v>
      </c>
      <c r="F157" s="14">
        <v>1.1299999999999999</v>
      </c>
      <c r="G157" s="87">
        <f t="array" ref="G157">IF(B157="insumo",_xlfn.XLOOKUP($D157,Insumos!$B$1:$B$996,Insumos!$D$1:$D$996),"")</f>
        <v>45</v>
      </c>
      <c r="H157" s="87">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70</v>
      </c>
      <c r="C158" s="10" t="s">
        <v>114</v>
      </c>
      <c r="D158" s="10" t="s">
        <v>119</v>
      </c>
      <c r="E158" s="11" t="str">
        <f t="array" ref="E158">_xlfn.XLOOKUP(D158,Insumos!B:B,Insumos!C:$C)</f>
        <v>M3</v>
      </c>
      <c r="F158" s="14">
        <v>5.0700000000000002E-2</v>
      </c>
      <c r="G158" s="87">
        <f t="array" ref="G158">IF(B158="insumo",_xlfn.XLOOKUP($D158,Insumos!$B$1:$B$996,Insumos!$D$1:$D$996),"")</f>
        <v>1100</v>
      </c>
      <c r="H158" s="87">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332">
        <v>1</v>
      </c>
      <c r="B159" s="332" t="s">
        <v>67</v>
      </c>
      <c r="C159" s="332" t="s">
        <v>120</v>
      </c>
      <c r="D159" s="332" t="s">
        <v>120</v>
      </c>
      <c r="E159" s="333" t="s">
        <v>112</v>
      </c>
      <c r="F159" s="332"/>
      <c r="G159" s="334" t="str">
        <f t="array" ref="G159">IF(B159="insumo",_xlfn.XLOOKUP($D159,Insumos!$B$1:$B$996,Insumos!$D$1:$D$996),"")</f>
        <v/>
      </c>
      <c r="H159" s="334">
        <v>230.09614637281899</v>
      </c>
      <c r="I159" s="335">
        <v>0</v>
      </c>
      <c r="J159" s="335">
        <v>0</v>
      </c>
      <c r="K159" s="335"/>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70</v>
      </c>
      <c r="C160" s="10" t="s">
        <v>120</v>
      </c>
      <c r="D160" s="10" t="s">
        <v>115</v>
      </c>
      <c r="E160" s="11" t="str">
        <f t="array" ref="E160">_xlfn.XLOOKUP(D160,Insumos!B:B,Insumos!C:$C)</f>
        <v>KG</v>
      </c>
      <c r="F160" s="14">
        <v>0.17</v>
      </c>
      <c r="G160" s="87">
        <f t="array" ref="G160">IF(B160="insumo",_xlfn.XLOOKUP($D160,Insumos!$B$1:$B$996,Insumos!$D$1:$D$996),"")</f>
        <v>13.08</v>
      </c>
      <c r="H160" s="87">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70</v>
      </c>
      <c r="C161" s="10" t="s">
        <v>120</v>
      </c>
      <c r="D161" s="10" t="s">
        <v>116</v>
      </c>
      <c r="E161" s="11" t="str">
        <f t="array" ref="E161">_xlfn.XLOOKUP(D161,Insumos!B:B,Insumos!C:$C)</f>
        <v>M2</v>
      </c>
      <c r="F161" s="14">
        <v>2.54</v>
      </c>
      <c r="G161" s="87">
        <f t="array" ref="G161">IF(B161="insumo",_xlfn.XLOOKUP($D161,Insumos!$B$1:$B$996,Insumos!$D$1:$D$996),"")</f>
        <v>46.120293847566572</v>
      </c>
      <c r="H161" s="87">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70</v>
      </c>
      <c r="C162" s="10" t="s">
        <v>120</v>
      </c>
      <c r="D162" s="10" t="s">
        <v>117</v>
      </c>
      <c r="E162" s="11" t="str">
        <f t="array" ref="E162">_xlfn.XLOOKUP(D162,Insumos!B:B,Insumos!C:$C)</f>
        <v>UN</v>
      </c>
      <c r="F162" s="14">
        <v>3.39</v>
      </c>
      <c r="G162" s="87">
        <f t="array" ref="G162">IF(B162="insumo",_xlfn.XLOOKUP($D162,Insumos!$B$1:$B$996,Insumos!$D$1:$D$996),"")</f>
        <v>5.3</v>
      </c>
      <c r="H162" s="87">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70</v>
      </c>
      <c r="C163" s="10" t="s">
        <v>120</v>
      </c>
      <c r="D163" s="10" t="s">
        <v>118</v>
      </c>
      <c r="E163" s="11" t="str">
        <f t="array" ref="E163">_xlfn.XLOOKUP(D163,Insumos!B:B,Insumos!C:$C)</f>
        <v>UN</v>
      </c>
      <c r="F163" s="14">
        <v>1.1299999999999999</v>
      </c>
      <c r="G163" s="87">
        <f t="array" ref="G163">IF(B163="insumo",_xlfn.XLOOKUP($D163,Insumos!$B$1:$B$996,Insumos!$D$1:$D$996),"")</f>
        <v>45</v>
      </c>
      <c r="H163" s="87">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70</v>
      </c>
      <c r="C164" s="10" t="s">
        <v>120</v>
      </c>
      <c r="D164" s="10" t="s">
        <v>119</v>
      </c>
      <c r="E164" s="11" t="str">
        <f t="array" ref="E164">_xlfn.XLOOKUP(D164,Insumos!B:B,Insumos!C:$C)</f>
        <v>M3</v>
      </c>
      <c r="F164" s="14">
        <v>3.8100000000000002E-2</v>
      </c>
      <c r="G164" s="87">
        <f t="array" ref="G164">IF(B164="insumo",_xlfn.XLOOKUP($D164,Insumos!$B$1:$B$996,Insumos!$D$1:$D$996),"")</f>
        <v>1100</v>
      </c>
      <c r="H164" s="87">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332">
        <v>1</v>
      </c>
      <c r="B165" s="332" t="s">
        <v>67</v>
      </c>
      <c r="C165" s="332" t="s">
        <v>1963</v>
      </c>
      <c r="D165" s="332" t="s">
        <v>1963</v>
      </c>
      <c r="E165" s="333" t="s">
        <v>69</v>
      </c>
      <c r="F165" s="332"/>
      <c r="G165" s="334" t="str">
        <f t="array" ref="G165">IF(B165="insumo",_xlfn.XLOOKUP($D165,Insumos!$B$1:$B$996,Insumos!$D$1:$D$996),"")</f>
        <v/>
      </c>
      <c r="H165" s="334">
        <v>38.622647000000001</v>
      </c>
      <c r="I165" s="335">
        <v>0</v>
      </c>
      <c r="J165" s="335">
        <v>0</v>
      </c>
      <c r="K165" s="335"/>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70</v>
      </c>
      <c r="C166" s="10" t="s">
        <v>1963</v>
      </c>
      <c r="D166" s="10" t="s">
        <v>86</v>
      </c>
      <c r="E166" s="11" t="str">
        <f t="array" ref="E166">_xlfn.XLOOKUP(D166,Insumos!B:B,Insumos!C:$C)</f>
        <v>KG</v>
      </c>
      <c r="F166" s="14">
        <v>3.8899999999999997E-2</v>
      </c>
      <c r="G166" s="87">
        <f t="array" ref="G166">IF(B166="insumo",_xlfn.XLOOKUP($D166,Insumos!$B$1:$B$996,Insumos!$D$1:$D$996),"")</f>
        <v>18.13</v>
      </c>
      <c r="H166" s="87">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70</v>
      </c>
      <c r="C167" s="10" t="s">
        <v>1963</v>
      </c>
      <c r="D167" s="10" t="s">
        <v>122</v>
      </c>
      <c r="E167" s="11" t="str">
        <f t="array" ref="E167">_xlfn.XLOOKUP(D167,Insumos!B:B,Insumos!C:$C)</f>
        <v>M</v>
      </c>
      <c r="F167" s="14">
        <v>1.4179999999999999</v>
      </c>
      <c r="G167" s="87">
        <f t="array" ref="G167">IF(B167="insumo",_xlfn.XLOOKUP($D167,Insumos!$B$1:$B$996,Insumos!$D$1:$D$996),"")</f>
        <v>21.23</v>
      </c>
      <c r="H167" s="87">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70</v>
      </c>
      <c r="C168" s="10" t="s">
        <v>1963</v>
      </c>
      <c r="D168" s="10" t="s">
        <v>123</v>
      </c>
      <c r="E168" s="11" t="str">
        <f t="array" ref="E168">_xlfn.XLOOKUP(D168,Insumos!B:B,Insumos!C:$C)</f>
        <v>M</v>
      </c>
      <c r="F168" s="14">
        <v>0.52500000000000002</v>
      </c>
      <c r="G168" s="87">
        <f t="array" ref="G168">IF(B168="insumo",_xlfn.XLOOKUP($D168,Insumos!$B$1:$B$996,Insumos!$D$1:$D$996),"")</f>
        <v>2.73</v>
      </c>
      <c r="H168" s="87">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70</v>
      </c>
      <c r="C169" s="10" t="s">
        <v>1963</v>
      </c>
      <c r="D169" s="10" t="s">
        <v>119</v>
      </c>
      <c r="E169" s="11" t="str">
        <f t="array" ref="E169">_xlfn.XLOOKUP(D169,Insumos!B:B,Insumos!C:$C)</f>
        <v>M3</v>
      </c>
      <c r="F169" s="14">
        <v>5.7999999999999996E-3</v>
      </c>
      <c r="G169" s="87">
        <f t="array" ref="G169">IF(B169="insumo",_xlfn.XLOOKUP($D169,Insumos!$B$1:$B$996,Insumos!$D$1:$D$996),"")</f>
        <v>1100</v>
      </c>
      <c r="H169" s="87">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332">
        <v>1</v>
      </c>
      <c r="B170" s="332" t="s">
        <v>67</v>
      </c>
      <c r="C170" s="332" t="s">
        <v>2048</v>
      </c>
      <c r="D170" s="332" t="s">
        <v>2048</v>
      </c>
      <c r="E170" s="333" t="s">
        <v>112</v>
      </c>
      <c r="F170" s="332"/>
      <c r="G170" s="334" t="str">
        <f t="array" ref="G170">IF(B170="insumo",_xlfn.XLOOKUP($D170,Insumos!$B$1:$B$996,Insumos!$D$1:$D$996),"")</f>
        <v/>
      </c>
      <c r="H170" s="334">
        <v>42.431057000000003</v>
      </c>
      <c r="I170" s="335">
        <v>0</v>
      </c>
      <c r="J170" s="335">
        <v>0</v>
      </c>
      <c r="K170" s="335"/>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70</v>
      </c>
      <c r="C171" s="10" t="s">
        <v>2048</v>
      </c>
      <c r="D171" s="10" t="s">
        <v>86</v>
      </c>
      <c r="E171" s="11" t="str">
        <f t="array" ref="E171">_xlfn.XLOOKUP(D171,Insumos!B:B,Insumos!C:$C)</f>
        <v>KG</v>
      </c>
      <c r="F171" s="14">
        <v>3.8899999999999997E-2</v>
      </c>
      <c r="G171" s="87">
        <f t="array" ref="G171">IF(B171="insumo",_xlfn.XLOOKUP($D171,Insumos!$B$1:$B$996,Insumos!$D$1:$D$996),"")</f>
        <v>18.13</v>
      </c>
      <c r="H171" s="87">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70</v>
      </c>
      <c r="C172" s="10" t="s">
        <v>2048</v>
      </c>
      <c r="D172" s="10" t="s">
        <v>122</v>
      </c>
      <c r="E172" s="11" t="str">
        <f t="array" ref="E172">_xlfn.XLOOKUP(D172,Insumos!B:B,Insumos!C:$C)</f>
        <v>M</v>
      </c>
      <c r="F172" s="14">
        <v>1.41</v>
      </c>
      <c r="G172" s="87">
        <f t="array" ref="G172">IF(B172="insumo",_xlfn.XLOOKUP($D172,Insumos!$B$1:$B$996,Insumos!$D$1:$D$996),"")</f>
        <v>21.23</v>
      </c>
      <c r="H172" s="87">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70</v>
      </c>
      <c r="C173" s="10" t="s">
        <v>2048</v>
      </c>
      <c r="D173" s="10" t="s">
        <v>125</v>
      </c>
      <c r="E173" s="11" t="str">
        <f t="array" ref="E173">_xlfn.XLOOKUP(D173,Insumos!B:B,Insumos!C:$C)</f>
        <v>UN</v>
      </c>
      <c r="F173" s="14">
        <v>0.1</v>
      </c>
      <c r="G173" s="87">
        <f t="array" ref="G173">IF(B173="insumo",_xlfn.XLOOKUP($D173,Insumos!$B$1:$B$996,Insumos!$D$1:$D$996),"")</f>
        <v>32.9</v>
      </c>
      <c r="H173" s="87">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70</v>
      </c>
      <c r="C174" s="10" t="s">
        <v>2048</v>
      </c>
      <c r="D174" s="10" t="s">
        <v>123</v>
      </c>
      <c r="E174" s="11" t="str">
        <f t="array" ref="E174">_xlfn.XLOOKUP(D174,Insumos!B:B,Insumos!C:$C)</f>
        <v>M</v>
      </c>
      <c r="F174" s="14">
        <v>0.55000000000000004</v>
      </c>
      <c r="G174" s="87">
        <f t="array" ref="G174">IF(B174="insumo",_xlfn.XLOOKUP($D174,Insumos!$B$1:$B$996,Insumos!$D$1:$D$996),"")</f>
        <v>2.73</v>
      </c>
      <c r="H174" s="87">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70</v>
      </c>
      <c r="C175" s="10" t="s">
        <v>2048</v>
      </c>
      <c r="D175" s="10" t="s">
        <v>2055</v>
      </c>
      <c r="E175" s="11" t="str">
        <f t="array" ref="E175">_xlfn.XLOOKUP(D175,Insumos!B:B,Insumos!C:$C)</f>
        <v>m</v>
      </c>
      <c r="F175" s="14">
        <v>0.35</v>
      </c>
      <c r="G175" s="87">
        <f t="array" ref="G175">IF(B175="insumo",_xlfn.XLOOKUP($D175,Insumos!$B$1:$B$996,Insumos!$D$1:$D$996),"")</f>
        <v>20</v>
      </c>
      <c r="H175" s="87">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332">
        <v>1</v>
      </c>
      <c r="B176" s="332" t="s">
        <v>67</v>
      </c>
      <c r="C176" s="332" t="s">
        <v>1964</v>
      </c>
      <c r="D176" s="332" t="s">
        <v>1964</v>
      </c>
      <c r="E176" s="333" t="s">
        <v>112</v>
      </c>
      <c r="F176" s="332"/>
      <c r="G176" s="334" t="str">
        <f t="array" ref="G176">IF(B176="insumo",_xlfn.XLOOKUP($D176,Insumos!$B$1:$B$996,Insumos!$D$1:$D$996),"")</f>
        <v/>
      </c>
      <c r="H176" s="334">
        <v>41.811056999999998</v>
      </c>
      <c r="I176" s="335">
        <v>0</v>
      </c>
      <c r="J176" s="335">
        <v>0</v>
      </c>
      <c r="K176" s="335"/>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70</v>
      </c>
      <c r="C177" s="10" t="s">
        <v>1964</v>
      </c>
      <c r="D177" s="10" t="s">
        <v>86</v>
      </c>
      <c r="E177" s="11" t="str">
        <f t="array" ref="E177">_xlfn.XLOOKUP(D177,Insumos!B:B,Insumos!C:$C)</f>
        <v>KG</v>
      </c>
      <c r="F177" s="14">
        <v>3.8899999999999997E-2</v>
      </c>
      <c r="G177" s="87">
        <f t="array" ref="G177">IF(B177="insumo",_xlfn.XLOOKUP($D177,Insumos!$B$1:$B$996,Insumos!$D$1:$D$996),"")</f>
        <v>18.13</v>
      </c>
      <c r="H177" s="87">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70</v>
      </c>
      <c r="C178" s="10" t="s">
        <v>1964</v>
      </c>
      <c r="D178" s="10" t="s">
        <v>122</v>
      </c>
      <c r="E178" s="11" t="str">
        <f t="array" ref="E178">_xlfn.XLOOKUP(D178,Insumos!B:B,Insumos!C:$C)</f>
        <v>M</v>
      </c>
      <c r="F178" s="14">
        <v>1.41</v>
      </c>
      <c r="G178" s="87">
        <f t="array" ref="G178">IF(B178="insumo",_xlfn.XLOOKUP($D178,Insumos!$B$1:$B$996,Insumos!$D$1:$D$996),"")</f>
        <v>21.23</v>
      </c>
      <c r="H178" s="87">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70</v>
      </c>
      <c r="C179" s="10" t="s">
        <v>1964</v>
      </c>
      <c r="D179" s="10" t="s">
        <v>125</v>
      </c>
      <c r="E179" s="11" t="str">
        <f t="array" ref="E179">_xlfn.XLOOKUP(D179,Insumos!B:B,Insumos!C:$C)</f>
        <v>UN</v>
      </c>
      <c r="F179" s="14">
        <v>0.1</v>
      </c>
      <c r="G179" s="87">
        <f t="array" ref="G179">IF(B179="insumo",_xlfn.XLOOKUP($D179,Insumos!$B$1:$B$996,Insumos!$D$1:$D$996),"")</f>
        <v>32.9</v>
      </c>
      <c r="H179" s="87">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70</v>
      </c>
      <c r="C180" s="10" t="s">
        <v>1964</v>
      </c>
      <c r="D180" s="10" t="s">
        <v>123</v>
      </c>
      <c r="E180" s="11" t="str">
        <f t="array" ref="E180">_xlfn.XLOOKUP(D180,Insumos!B:B,Insumos!C:$C)</f>
        <v>M</v>
      </c>
      <c r="F180" s="14">
        <v>0.55000000000000004</v>
      </c>
      <c r="G180" s="87">
        <f t="array" ref="G180">IF(B180="insumo",_xlfn.XLOOKUP($D180,Insumos!$B$1:$B$996,Insumos!$D$1:$D$996),"")</f>
        <v>2.73</v>
      </c>
      <c r="H180" s="87">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70</v>
      </c>
      <c r="C181" s="10" t="s">
        <v>1964</v>
      </c>
      <c r="D181" s="10" t="s">
        <v>119</v>
      </c>
      <c r="E181" s="11" t="str">
        <f t="array" ref="E181">_xlfn.XLOOKUP(D181,Insumos!B:B,Insumos!C:$C)</f>
        <v>M3</v>
      </c>
      <c r="F181" s="14">
        <v>5.7999999999999996E-3</v>
      </c>
      <c r="G181" s="87">
        <f t="array" ref="G181">IF(B181="insumo",_xlfn.XLOOKUP($D181,Insumos!$B$1:$B$996,Insumos!$D$1:$D$996),"")</f>
        <v>1100</v>
      </c>
      <c r="H181" s="87">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332">
        <v>1</v>
      </c>
      <c r="B182" s="332" t="s">
        <v>67</v>
      </c>
      <c r="C182" s="332" t="s">
        <v>126</v>
      </c>
      <c r="D182" s="332" t="s">
        <v>126</v>
      </c>
      <c r="E182" s="333" t="s">
        <v>69</v>
      </c>
      <c r="F182" s="332"/>
      <c r="G182" s="334" t="str">
        <f t="array" ref="G182">IF(B182="insumo",_xlfn.XLOOKUP($D182,Insumos!$B$1:$B$996,Insumos!$D$1:$D$996),"")</f>
        <v/>
      </c>
      <c r="H182" s="334">
        <v>8.5113000000000003</v>
      </c>
      <c r="I182" s="335">
        <v>0</v>
      </c>
      <c r="J182" s="335">
        <v>0</v>
      </c>
      <c r="K182" s="335"/>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70</v>
      </c>
      <c r="C183" s="10" t="s">
        <v>126</v>
      </c>
      <c r="D183" s="10" t="s">
        <v>86</v>
      </c>
      <c r="E183" s="11" t="str">
        <f t="array" ref="E183">_xlfn.XLOOKUP(D183,Insumos!B:B,Insumos!C:$C)</f>
        <v>KG</v>
      </c>
      <c r="F183" s="14">
        <v>0.01</v>
      </c>
      <c r="G183" s="87">
        <f t="array" ref="G183">IF(B183="insumo",_xlfn.XLOOKUP($D183,Insumos!$B$1:$B$996,Insumos!$D$1:$D$996),"")</f>
        <v>18.13</v>
      </c>
      <c r="H183" s="87">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70</v>
      </c>
      <c r="C184" s="10" t="s">
        <v>126</v>
      </c>
      <c r="D184" s="10" t="s">
        <v>127</v>
      </c>
      <c r="E184" s="11" t="str">
        <f t="array" ref="E184">_xlfn.XLOOKUP(D184,Insumos!B:B,Insumos!C:$C)</f>
        <v>M2</v>
      </c>
      <c r="F184" s="14">
        <v>1.05</v>
      </c>
      <c r="G184" s="87">
        <f t="array" ref="G184">IF(B184="insumo",_xlfn.XLOOKUP($D184,Insumos!$B$1:$B$996,Insumos!$D$1:$D$996),"")</f>
        <v>3.5</v>
      </c>
      <c r="H184" s="87">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70</v>
      </c>
      <c r="C185" s="10" t="s">
        <v>126</v>
      </c>
      <c r="D185" s="10" t="s">
        <v>119</v>
      </c>
      <c r="E185" s="11" t="str">
        <f t="array" ref="E185">_xlfn.XLOOKUP(D185,Insumos!B:B,Insumos!C:$C)</f>
        <v>M3</v>
      </c>
      <c r="F185" s="14">
        <v>1.9E-3</v>
      </c>
      <c r="G185" s="87">
        <f t="array" ref="G185">IF(B185="insumo",_xlfn.XLOOKUP($D185,Insumos!$B$1:$B$996,Insumos!$D$1:$D$996),"")</f>
        <v>1100</v>
      </c>
      <c r="H185" s="87">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70</v>
      </c>
      <c r="C186" s="10" t="s">
        <v>126</v>
      </c>
      <c r="D186" s="10" t="s">
        <v>128</v>
      </c>
      <c r="E186" s="11" t="str">
        <f t="array" ref="E186">_xlfn.XLOOKUP(D186,Insumos!B:B,Insumos!C:$C)</f>
        <v>M3</v>
      </c>
      <c r="F186" s="14">
        <v>1.9E-3</v>
      </c>
      <c r="G186" s="87">
        <f t="array" ref="G186">IF(B186="insumo",_xlfn.XLOOKUP($D186,Insumos!$B$1:$B$996,Insumos!$D$1:$D$996),"")</f>
        <v>1350</v>
      </c>
      <c r="H186" s="87">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332">
        <v>1</v>
      </c>
      <c r="B187" s="332" t="s">
        <v>67</v>
      </c>
      <c r="C187" s="332" t="s">
        <v>1965</v>
      </c>
      <c r="D187" s="332" t="s">
        <v>1965</v>
      </c>
      <c r="E187" s="333" t="s">
        <v>69</v>
      </c>
      <c r="F187" s="332"/>
      <c r="G187" s="334" t="str">
        <f t="array" ref="G187">IF(B187="insumo",_xlfn.XLOOKUP($D187,Insumos!$B$1:$B$996,Insumos!$D$1:$D$996),"")</f>
        <v/>
      </c>
      <c r="H187" s="334">
        <v>49.519651000000003</v>
      </c>
      <c r="I187" s="335">
        <v>0</v>
      </c>
      <c r="J187" s="335">
        <v>0</v>
      </c>
      <c r="K187" s="335"/>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70</v>
      </c>
      <c r="C188" s="10" t="s">
        <v>1965</v>
      </c>
      <c r="D188" s="10" t="s">
        <v>86</v>
      </c>
      <c r="E188" s="11" t="str">
        <f t="array" ref="E188">_xlfn.XLOOKUP(D188,Insumos!B:B,Insumos!C:$C)</f>
        <v>KG</v>
      </c>
      <c r="F188" s="14">
        <v>6.6699999999999995E-2</v>
      </c>
      <c r="G188" s="87">
        <f t="array" ref="G188">IF(B188="insumo",_xlfn.XLOOKUP($D188,Insumos!$B$1:$B$996,Insumos!$D$1:$D$996),"")</f>
        <v>18.13</v>
      </c>
      <c r="H188" s="87">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70</v>
      </c>
      <c r="C189" s="10" t="s">
        <v>1965</v>
      </c>
      <c r="D189" s="10" t="s">
        <v>130</v>
      </c>
      <c r="E189" s="11" t="str">
        <f t="array" ref="E189">_xlfn.XLOOKUP(D189,Insumos!B:B,Insumos!C:$C)</f>
        <v>M2</v>
      </c>
      <c r="F189" s="14">
        <v>1.071</v>
      </c>
      <c r="G189" s="87">
        <f t="array" ref="G189">IF(B189="insumo",_xlfn.XLOOKUP($D189,Insumos!$B$1:$B$996,Insumos!$D$1:$D$996),"")</f>
        <v>35.78</v>
      </c>
      <c r="H189" s="87">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70</v>
      </c>
      <c r="C190" s="10" t="s">
        <v>1965</v>
      </c>
      <c r="D190" s="10" t="s">
        <v>128</v>
      </c>
      <c r="E190" s="11" t="str">
        <f t="array" ref="E190">_xlfn.XLOOKUP(D190,Insumos!B:B,Insumos!C:$C)</f>
        <v>M3</v>
      </c>
      <c r="F190" s="14">
        <v>7.4000000000000003E-3</v>
      </c>
      <c r="G190" s="87">
        <f t="array" ref="G190">IF(B190="insumo",_xlfn.XLOOKUP($D190,Insumos!$B$1:$B$996,Insumos!$D$1:$D$996),"")</f>
        <v>1350</v>
      </c>
      <c r="H190" s="87">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332">
        <v>1</v>
      </c>
      <c r="B191" s="332" t="s">
        <v>67</v>
      </c>
      <c r="C191" s="332" t="s">
        <v>2049</v>
      </c>
      <c r="D191" s="332" t="s">
        <v>2049</v>
      </c>
      <c r="E191" s="333" t="s">
        <v>69</v>
      </c>
      <c r="F191" s="332"/>
      <c r="G191" s="334" t="str">
        <f t="array" ref="G191">IF(B191="insumo",_xlfn.XLOOKUP($D191,Insumos!$B$1:$B$996,Insumos!$D$1:$D$996),"")</f>
        <v/>
      </c>
      <c r="H191" s="334">
        <v>49.519651000000003</v>
      </c>
      <c r="I191" s="335">
        <v>0</v>
      </c>
      <c r="J191" s="335">
        <v>0</v>
      </c>
      <c r="K191" s="335"/>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70</v>
      </c>
      <c r="C192" s="10" t="s">
        <v>2049</v>
      </c>
      <c r="D192" s="10" t="s">
        <v>86</v>
      </c>
      <c r="E192" s="11" t="str">
        <f t="array" ref="E192">_xlfn.XLOOKUP(D192,Insumos!B:B,Insumos!C:$C)</f>
        <v>KG</v>
      </c>
      <c r="F192" s="14">
        <v>6.6699999999999995E-2</v>
      </c>
      <c r="G192" s="87">
        <f t="array" ref="G192">IF(B192="insumo",_xlfn.XLOOKUP($D192,Insumos!$B$1:$B$996,Insumos!$D$1:$D$996),"")</f>
        <v>18.13</v>
      </c>
      <c r="H192" s="87">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70</v>
      </c>
      <c r="C193" s="10" t="s">
        <v>2049</v>
      </c>
      <c r="D193" s="10" t="s">
        <v>130</v>
      </c>
      <c r="E193" s="11" t="str">
        <f t="array" ref="E193">_xlfn.XLOOKUP(D193,Insumos!B:B,Insumos!C:$C)</f>
        <v>M2</v>
      </c>
      <c r="F193" s="14">
        <v>1.071</v>
      </c>
      <c r="G193" s="87">
        <f t="array" ref="G193">IF(B193="insumo",_xlfn.XLOOKUP($D193,Insumos!$B$1:$B$996,Insumos!$D$1:$D$996),"")</f>
        <v>35.78</v>
      </c>
      <c r="H193" s="87">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70</v>
      </c>
      <c r="C194" s="10" t="s">
        <v>2049</v>
      </c>
      <c r="D194" s="10" t="s">
        <v>128</v>
      </c>
      <c r="E194" s="11" t="str">
        <f t="array" ref="E194">_xlfn.XLOOKUP(D194,Insumos!B:B,Insumos!C:$C)</f>
        <v>M3</v>
      </c>
      <c r="F194" s="14">
        <v>7.4000000000000003E-3</v>
      </c>
      <c r="G194" s="87">
        <f t="array" ref="G194">IF(B194="insumo",_xlfn.XLOOKUP($D194,Insumos!$B$1:$B$996,Insumos!$D$1:$D$996),"")</f>
        <v>1350</v>
      </c>
      <c r="H194" s="87">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332">
        <v>1</v>
      </c>
      <c r="B195" s="332" t="s">
        <v>67</v>
      </c>
      <c r="C195" s="332" t="s">
        <v>2050</v>
      </c>
      <c r="D195" s="332" t="s">
        <v>2050</v>
      </c>
      <c r="E195" s="333" t="s">
        <v>69</v>
      </c>
      <c r="F195" s="332"/>
      <c r="G195" s="334" t="str">
        <f t="array" ref="G195">IF(B195="insumo",_xlfn.XLOOKUP($D195,Insumos!$B$1:$B$996,Insumos!$D$1:$D$996),"")</f>
        <v/>
      </c>
      <c r="H195" s="334">
        <v>49.519651000000003</v>
      </c>
      <c r="I195" s="335">
        <v>0</v>
      </c>
      <c r="J195" s="335">
        <v>0</v>
      </c>
      <c r="K195" s="335"/>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70</v>
      </c>
      <c r="C196" s="10" t="s">
        <v>2050</v>
      </c>
      <c r="D196" s="10" t="s">
        <v>86</v>
      </c>
      <c r="E196" s="11" t="str">
        <f t="array" ref="E196">_xlfn.XLOOKUP(D196,Insumos!B:B,Insumos!C:$C)</f>
        <v>KG</v>
      </c>
      <c r="F196" s="14">
        <v>6.6699999999999995E-2</v>
      </c>
      <c r="G196" s="87">
        <f t="array" ref="G196">IF(B196="insumo",_xlfn.XLOOKUP($D196,Insumos!$B$1:$B$996,Insumos!$D$1:$D$996),"")</f>
        <v>18.13</v>
      </c>
      <c r="H196" s="87">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70</v>
      </c>
      <c r="C197" s="10" t="s">
        <v>2050</v>
      </c>
      <c r="D197" s="10" t="s">
        <v>130</v>
      </c>
      <c r="E197" s="11" t="str">
        <f t="array" ref="E197">_xlfn.XLOOKUP(D197,Insumos!B:B,Insumos!C:$C)</f>
        <v>M2</v>
      </c>
      <c r="F197" s="14">
        <v>1.071</v>
      </c>
      <c r="G197" s="87">
        <f t="array" ref="G197">IF(B197="insumo",_xlfn.XLOOKUP($D197,Insumos!$B$1:$B$996,Insumos!$D$1:$D$996),"")</f>
        <v>35.78</v>
      </c>
      <c r="H197" s="87">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70</v>
      </c>
      <c r="C198" s="10" t="s">
        <v>2050</v>
      </c>
      <c r="D198" s="10" t="s">
        <v>128</v>
      </c>
      <c r="E198" s="11" t="str">
        <f t="array" ref="E198">_xlfn.XLOOKUP(D198,Insumos!B:B,Insumos!C:$C)</f>
        <v>M3</v>
      </c>
      <c r="F198" s="14">
        <v>7.4000000000000003E-3</v>
      </c>
      <c r="G198" s="87">
        <f t="array" ref="G198">IF(B198="insumo",_xlfn.XLOOKUP($D198,Insumos!$B$1:$B$996,Insumos!$D$1:$D$996),"")</f>
        <v>1350</v>
      </c>
      <c r="H198" s="87">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332">
        <v>1</v>
      </c>
      <c r="B199" s="332" t="s">
        <v>67</v>
      </c>
      <c r="C199" s="332" t="s">
        <v>131</v>
      </c>
      <c r="D199" s="332" t="s">
        <v>131</v>
      </c>
      <c r="E199" s="333" t="s">
        <v>69</v>
      </c>
      <c r="F199" s="332"/>
      <c r="G199" s="334" t="str">
        <f t="array" ref="G199">IF(B199="insumo",_xlfn.XLOOKUP($D199,Insumos!$B$1:$B$996,Insumos!$D$1:$D$996),"")</f>
        <v/>
      </c>
      <c r="H199" s="334">
        <v>880</v>
      </c>
      <c r="I199" s="335">
        <v>0</v>
      </c>
      <c r="J199" s="335">
        <v>0</v>
      </c>
      <c r="K199" s="335"/>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70</v>
      </c>
      <c r="C200" s="10" t="s">
        <v>131</v>
      </c>
      <c r="D200" s="10" t="s">
        <v>132</v>
      </c>
      <c r="E200" s="11" t="str">
        <f t="array" ref="E200">_xlfn.XLOOKUP(D200,Insumos!B:B,Insumos!C:$C)</f>
        <v>m2</v>
      </c>
      <c r="F200" s="14">
        <v>1</v>
      </c>
      <c r="G200" s="87">
        <f t="array" ref="G200">IF(B200="insumo",_xlfn.XLOOKUP($D200,Insumos!$B$1:$B$996,Insumos!$D$1:$D$996),"")</f>
        <v>880</v>
      </c>
      <c r="H200" s="87">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332">
        <v>1</v>
      </c>
      <c r="B201" s="332" t="s">
        <v>67</v>
      </c>
      <c r="C201" s="332" t="s">
        <v>2001</v>
      </c>
      <c r="D201" s="332" t="s">
        <v>2001</v>
      </c>
      <c r="E201" s="333" t="s">
        <v>69</v>
      </c>
      <c r="F201" s="332"/>
      <c r="G201" s="334" t="str">
        <f t="array" ref="G201">IF(B201="insumo",_xlfn.XLOOKUP($D201,Insumos!$B$1:$B$996,Insumos!$D$1:$D$996),"")</f>
        <v/>
      </c>
      <c r="H201" s="334">
        <v>164.07660000000001</v>
      </c>
      <c r="I201" s="335">
        <v>0</v>
      </c>
      <c r="J201" s="335">
        <v>0</v>
      </c>
      <c r="K201" s="335"/>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70</v>
      </c>
      <c r="C202" s="10" t="s">
        <v>2001</v>
      </c>
      <c r="D202" s="10" t="s">
        <v>134</v>
      </c>
      <c r="E202" s="11" t="str">
        <f t="array" ref="E202">_xlfn.XLOOKUP(D202,Insumos!B:B,Insumos!C:$C)</f>
        <v>KG</v>
      </c>
      <c r="F202" s="14">
        <v>6.8000000000000005E-2</v>
      </c>
      <c r="G202" s="87">
        <f t="array" ref="G202">IF(B202="insumo",_xlfn.XLOOKUP($D202,Insumos!$B$1:$B$996,Insumos!$D$1:$D$996),"")</f>
        <v>15.65</v>
      </c>
      <c r="H202" s="87">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70</v>
      </c>
      <c r="C203" s="10" t="s">
        <v>2001</v>
      </c>
      <c r="D203" s="10" t="s">
        <v>119</v>
      </c>
      <c r="E203" s="11" t="str">
        <f t="array" ref="E203">_xlfn.XLOOKUP(D203,Insumos!B:B,Insumos!C:$C)</f>
        <v>M3</v>
      </c>
      <c r="F203" s="14">
        <v>7.7999999999999996E-3</v>
      </c>
      <c r="G203" s="87">
        <f t="array" ref="G203">IF(B203="insumo",_xlfn.XLOOKUP($D203,Insumos!$B$1:$B$996,Insumos!$D$1:$D$996),"")</f>
        <v>1100</v>
      </c>
      <c r="H203" s="87">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70</v>
      </c>
      <c r="C204" s="10" t="s">
        <v>2001</v>
      </c>
      <c r="D204" s="10" t="s">
        <v>122</v>
      </c>
      <c r="E204" s="11" t="str">
        <f t="array" ref="E204">_xlfn.XLOOKUP(D204,Insumos!B:B,Insumos!C:$C)</f>
        <v>M</v>
      </c>
      <c r="F204" s="14">
        <v>2</v>
      </c>
      <c r="G204" s="87">
        <f t="array" ref="G204">IF(B204="insumo",_xlfn.XLOOKUP($D204,Insumos!$B$1:$B$996,Insumos!$D$1:$D$996),"")</f>
        <v>21.23</v>
      </c>
      <c r="H204" s="87">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70</v>
      </c>
      <c r="C205" s="10" t="s">
        <v>2001</v>
      </c>
      <c r="D205" s="10" t="s">
        <v>135</v>
      </c>
      <c r="E205" s="11" t="str">
        <f t="array" ref="E205">_xlfn.XLOOKUP(D205,Insumos!B:B,Insumos!C:$C)</f>
        <v>M2</v>
      </c>
      <c r="F205" s="14">
        <v>1.1499999999999999</v>
      </c>
      <c r="G205" s="87">
        <f t="array" ref="G205">IF(B205="insumo",_xlfn.XLOOKUP($D205,Insumos!$B$1:$B$996,Insumos!$D$1:$D$996),"")</f>
        <v>97</v>
      </c>
      <c r="H205" s="87">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70</v>
      </c>
      <c r="C206" s="10" t="s">
        <v>2001</v>
      </c>
      <c r="D206" s="10" t="s">
        <v>136</v>
      </c>
      <c r="E206" s="11" t="str">
        <f t="array" ref="E206">_xlfn.XLOOKUP(D206,Insumos!B:B,Insumos!C:$C)</f>
        <v>M3</v>
      </c>
      <c r="F206" s="14">
        <v>1.1999999999999999E-3</v>
      </c>
      <c r="G206" s="87">
        <f t="array" ref="G206">IF(B206="insumo",_xlfn.XLOOKUP($D206,Insumos!$B$1:$B$996,Insumos!$D$1:$D$996),"")</f>
        <v>352</v>
      </c>
      <c r="H206" s="87">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332">
        <v>1</v>
      </c>
      <c r="B207" s="332" t="s">
        <v>67</v>
      </c>
      <c r="C207" s="332" t="s">
        <v>1966</v>
      </c>
      <c r="D207" s="332" t="s">
        <v>1966</v>
      </c>
      <c r="E207" s="333" t="s">
        <v>112</v>
      </c>
      <c r="F207" s="332"/>
      <c r="G207" s="334" t="str">
        <f t="array" ref="G207">IF(B207="insumo",_xlfn.XLOOKUP($D207,Insumos!$B$1:$B$996,Insumos!$D$1:$D$996),"")</f>
        <v/>
      </c>
      <c r="H207" s="334">
        <v>87.213999999999999</v>
      </c>
      <c r="I207" s="335">
        <v>0</v>
      </c>
      <c r="J207" s="335">
        <v>0</v>
      </c>
      <c r="K207" s="335"/>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70</v>
      </c>
      <c r="C208" s="10" t="s">
        <v>1966</v>
      </c>
      <c r="D208" s="10" t="s">
        <v>138</v>
      </c>
      <c r="E208" s="11" t="str">
        <f t="array" ref="E208">_xlfn.XLOOKUP(D208,Insumos!B:B,Insumos!C:$C)</f>
        <v>M</v>
      </c>
      <c r="F208" s="14">
        <v>1</v>
      </c>
      <c r="G208" s="87">
        <f t="array" ref="G208">IF(B208="insumo",_xlfn.XLOOKUP($D208,Insumos!$B$1:$B$996,Insumos!$D$1:$D$996),"")</f>
        <v>5.2</v>
      </c>
      <c r="H208" s="87">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70</v>
      </c>
      <c r="C209" s="10" t="s">
        <v>1966</v>
      </c>
      <c r="D209" s="10" t="s">
        <v>139</v>
      </c>
      <c r="E209" s="11" t="str">
        <f t="array" ref="E209">_xlfn.XLOOKUP(D209,Insumos!B:B,Insumos!C:$C)</f>
        <v>UN</v>
      </c>
      <c r="F209" s="14">
        <v>0.92</v>
      </c>
      <c r="G209" s="87">
        <f t="array" ref="G209">IF(B209="insumo",_xlfn.XLOOKUP($D209,Insumos!$B$1:$B$996,Insumos!$D$1:$D$996),"")</f>
        <v>1.7</v>
      </c>
      <c r="H209" s="87">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70</v>
      </c>
      <c r="C210" s="10" t="s">
        <v>1966</v>
      </c>
      <c r="D210" s="10" t="s">
        <v>140</v>
      </c>
      <c r="E210" s="11" t="str">
        <f t="array" ref="E210">_xlfn.XLOOKUP(D210,Insumos!B:B,Insumos!C:$C)</f>
        <v>UN</v>
      </c>
      <c r="F210" s="14">
        <v>1.609</v>
      </c>
      <c r="G210" s="87">
        <f t="array" ref="G210">IF(B210="insumo",_xlfn.XLOOKUP($D210,Insumos!$B$1:$B$996,Insumos!$D$1:$D$996),"")</f>
        <v>50</v>
      </c>
      <c r="H210" s="87">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332">
        <v>1</v>
      </c>
      <c r="B211" s="332" t="s">
        <v>67</v>
      </c>
      <c r="C211" s="332" t="s">
        <v>1967</v>
      </c>
      <c r="D211" s="332" t="s">
        <v>1967</v>
      </c>
      <c r="E211" s="333" t="s">
        <v>112</v>
      </c>
      <c r="F211" s="332"/>
      <c r="G211" s="334" t="str">
        <f t="array" ref="G211">IF(B211="insumo",_xlfn.XLOOKUP($D211,Insumos!$B$1:$B$996,Insumos!$D$1:$D$996),"")</f>
        <v/>
      </c>
      <c r="H211" s="334">
        <v>110</v>
      </c>
      <c r="I211" s="335">
        <v>0</v>
      </c>
      <c r="J211" s="335">
        <v>0</v>
      </c>
      <c r="K211" s="335"/>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70</v>
      </c>
      <c r="C212" s="10" t="s">
        <v>1967</v>
      </c>
      <c r="D212" s="10" t="s">
        <v>142</v>
      </c>
      <c r="E212" s="11" t="str">
        <f t="array" ref="E212">_xlfn.XLOOKUP(D212,Insumos!B:B,Insumos!C:$C)</f>
        <v>m</v>
      </c>
      <c r="F212" s="14">
        <v>1</v>
      </c>
      <c r="G212" s="87">
        <f t="array" ref="G212">IF(B212="insumo",_xlfn.XLOOKUP($D212,Insumos!$B$1:$B$996,Insumos!$D$1:$D$996),"")</f>
        <v>110</v>
      </c>
      <c r="H212" s="87">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65</v>
      </c>
      <c r="C213" s="7" t="s">
        <v>1967</v>
      </c>
      <c r="D213" s="7" t="s">
        <v>40</v>
      </c>
      <c r="E213" s="8"/>
      <c r="F213" s="9"/>
      <c r="G213" s="86" t="str">
        <f t="array" ref="G213">IF(B213="insumo",_xlfn.XLOOKUP($D213,Insumos!$B$1:$B$996,Insumos!$D$1:$D$996),"")</f>
        <v/>
      </c>
      <c r="H213" s="86">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355">
        <v>1</v>
      </c>
      <c r="B214" s="355" t="s">
        <v>1227</v>
      </c>
      <c r="C214" s="355" t="s">
        <v>1967</v>
      </c>
      <c r="D214" s="355" t="s">
        <v>2059</v>
      </c>
      <c r="E214" s="356"/>
      <c r="F214" s="356"/>
      <c r="G214" s="356"/>
      <c r="H214" s="356">
        <v>0</v>
      </c>
      <c r="I214" s="357">
        <v>0</v>
      </c>
      <c r="J214" s="357">
        <v>0</v>
      </c>
      <c r="K214" s="357"/>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332">
        <v>1</v>
      </c>
      <c r="B215" s="332" t="s">
        <v>67</v>
      </c>
      <c r="C215" s="332" t="s">
        <v>1293</v>
      </c>
      <c r="D215" s="332" t="s">
        <v>1293</v>
      </c>
      <c r="E215" s="333" t="s">
        <v>69</v>
      </c>
      <c r="F215" s="332"/>
      <c r="G215" s="334" t="str">
        <f t="array" ref="G215">IF(B215="insumo",_xlfn.XLOOKUP($D215,Insumos!$B$1:$B$996,Insumos!$D$1:$D$996),"")</f>
        <v/>
      </c>
      <c r="H215" s="334">
        <v>1.64</v>
      </c>
      <c r="I215" s="335">
        <v>0</v>
      </c>
      <c r="J215" s="335">
        <v>0</v>
      </c>
      <c r="K215" s="335"/>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70</v>
      </c>
      <c r="C216" s="10" t="s">
        <v>1293</v>
      </c>
      <c r="D216" s="10" t="s">
        <v>1294</v>
      </c>
      <c r="E216" s="11" t="str">
        <f t="array" ref="E216">_xlfn.XLOOKUP(D216,Insumos!B:B,Insumos!C:$C)</f>
        <v>m2</v>
      </c>
      <c r="F216" s="14">
        <v>1</v>
      </c>
      <c r="G216" s="87">
        <f t="array" ref="G216">IF(B216="insumo",_xlfn.XLOOKUP($D216,Insumos!$B$1:$B$996,Insumos!$D$1:$D$996),"")</f>
        <v>1.64</v>
      </c>
      <c r="H216" s="87">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332">
        <v>1</v>
      </c>
      <c r="B217" s="332" t="s">
        <v>67</v>
      </c>
      <c r="C217" s="332" t="s">
        <v>143</v>
      </c>
      <c r="D217" s="332" t="s">
        <v>143</v>
      </c>
      <c r="E217" s="333" t="s">
        <v>144</v>
      </c>
      <c r="F217" s="332"/>
      <c r="G217" s="334" t="str">
        <f t="array" ref="G217">IF(B217="insumo",_xlfn.XLOOKUP($D217,Insumos!$B$1:$B$996,Insumos!$D$1:$D$996),"")</f>
        <v/>
      </c>
      <c r="H217" s="334">
        <v>29600</v>
      </c>
      <c r="I217" s="335">
        <v>1</v>
      </c>
      <c r="J217" s="335">
        <v>29600</v>
      </c>
      <c r="K217" s="335"/>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70</v>
      </c>
      <c r="C218" s="10" t="s">
        <v>143</v>
      </c>
      <c r="D218" s="10" t="s">
        <v>145</v>
      </c>
      <c r="E218" s="11" t="str">
        <f t="array" ref="E218">_xlfn.XLOOKUP(D218,Insumos!B:B,Insumos!C:$C)</f>
        <v>MÊS</v>
      </c>
      <c r="F218" s="14">
        <f>ROUNDUP(0.00347*CAPA!$C$8,)</f>
        <v>4</v>
      </c>
      <c r="G218" s="87">
        <f t="array" ref="G218">IF(B218="insumo",_xlfn.XLOOKUP($D218,Insumos!$B$1:$B$996,Insumos!$D$1:$D$996),"")</f>
        <v>6500</v>
      </c>
      <c r="H218" s="87">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70</v>
      </c>
      <c r="C219" s="10" t="s">
        <v>143</v>
      </c>
      <c r="D219" s="10" t="s">
        <v>146</v>
      </c>
      <c r="E219" s="11" t="str">
        <f t="array" ref="E219">_xlfn.XLOOKUP(D219,Insumos!B:B,Insumos!C:$C)</f>
        <v>MÊS</v>
      </c>
      <c r="F219" s="14">
        <f>ROUNDUP(0.00347*CAPA!$C$8,)</f>
        <v>4</v>
      </c>
      <c r="G219" s="87">
        <f t="array" ref="G219">IF(B219="insumo",_xlfn.XLOOKUP($D219,Insumos!$B$1:$B$996,Insumos!$D$1:$D$996),"")</f>
        <v>900</v>
      </c>
      <c r="H219" s="87">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332">
        <v>1</v>
      </c>
      <c r="B220" s="332" t="s">
        <v>67</v>
      </c>
      <c r="C220" s="332" t="s">
        <v>147</v>
      </c>
      <c r="D220" s="332" t="s">
        <v>147</v>
      </c>
      <c r="E220" s="333" t="s">
        <v>148</v>
      </c>
      <c r="F220" s="332"/>
      <c r="G220" s="334" t="str">
        <f t="array" ref="G220">IF(B220="insumo",_xlfn.XLOOKUP($D220,Insumos!$B$1:$B$996,Insumos!$D$1:$D$996),"")</f>
        <v/>
      </c>
      <c r="H220" s="334">
        <v>1200</v>
      </c>
      <c r="I220" s="335">
        <v>0</v>
      </c>
      <c r="J220" s="335">
        <v>0</v>
      </c>
      <c r="K220" s="335"/>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70</v>
      </c>
      <c r="C221" s="10" t="s">
        <v>147</v>
      </c>
      <c r="D221" s="10" t="s">
        <v>149</v>
      </c>
      <c r="E221" s="11" t="str">
        <f t="array" ref="E221">_xlfn.XLOOKUP(D221,Insumos!B:B,Insumos!C:$C)</f>
        <v>VB</v>
      </c>
      <c r="F221" s="14">
        <v>1</v>
      </c>
      <c r="G221" s="87">
        <f t="array" ref="G221">IF(B221="insumo",_xlfn.XLOOKUP($D221,Insumos!$B$1:$B$996,Insumos!$D$1:$D$996),"")</f>
        <v>1200</v>
      </c>
      <c r="H221" s="87">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332">
        <v>1</v>
      </c>
      <c r="B222" s="332" t="s">
        <v>67</v>
      </c>
      <c r="C222" s="332" t="s">
        <v>150</v>
      </c>
      <c r="D222" s="332" t="s">
        <v>150</v>
      </c>
      <c r="E222" s="333" t="s">
        <v>151</v>
      </c>
      <c r="F222" s="332"/>
      <c r="G222" s="334" t="str">
        <f t="array" ref="G222">IF(B222="insumo",_xlfn.XLOOKUP($D222,Insumos!$B$1:$B$996,Insumos!$D$1:$D$996),"")</f>
        <v/>
      </c>
      <c r="H222" s="334">
        <v>320</v>
      </c>
      <c r="I222" s="335">
        <v>0</v>
      </c>
      <c r="J222" s="335">
        <v>0</v>
      </c>
      <c r="K222" s="335"/>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70</v>
      </c>
      <c r="C223" s="10" t="s">
        <v>150</v>
      </c>
      <c r="D223" s="10" t="s">
        <v>150</v>
      </c>
      <c r="E223" s="11" t="str">
        <f t="array" ref="E223">_xlfn.XLOOKUP(D223,Insumos!B:B,Insumos!C:$C)</f>
        <v>M3</v>
      </c>
      <c r="F223" s="14">
        <v>1</v>
      </c>
      <c r="G223" s="87">
        <f t="array" ref="G223">IF(B223="insumo",_xlfn.XLOOKUP($D223,Insumos!$B$1:$B$996,Insumos!$D$1:$D$996),"")</f>
        <v>320</v>
      </c>
      <c r="H223" s="87">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332">
        <v>1</v>
      </c>
      <c r="B224" s="332" t="s">
        <v>67</v>
      </c>
      <c r="C224" s="332" t="s">
        <v>163</v>
      </c>
      <c r="D224" s="332" t="s">
        <v>163</v>
      </c>
      <c r="E224" s="333" t="s">
        <v>151</v>
      </c>
      <c r="F224" s="332"/>
      <c r="G224" s="334" t="str">
        <f t="array" ref="G224">IF(B224="insumo",_xlfn.XLOOKUP($D224,Insumos!$B$1:$B$996,Insumos!$D$1:$D$996),"")</f>
        <v/>
      </c>
      <c r="H224" s="334">
        <v>2.7132000000000001</v>
      </c>
      <c r="I224" s="335">
        <v>0</v>
      </c>
      <c r="J224" s="335">
        <v>0</v>
      </c>
      <c r="K224" s="335"/>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70</v>
      </c>
      <c r="C225" s="10" t="s">
        <v>163</v>
      </c>
      <c r="D225" s="10" t="s">
        <v>164</v>
      </c>
      <c r="E225" s="11" t="str">
        <f t="array" ref="E225">_xlfn.XLOOKUP(D225,Insumos!B:B,Insumos!C:$C)</f>
        <v>M3</v>
      </c>
      <c r="F225" s="14">
        <v>1</v>
      </c>
      <c r="G225" s="87">
        <f t="array" ref="G225">IF(B225="insumo",_xlfn.XLOOKUP($D225,Insumos!$B$1:$B$996,Insumos!$D$1:$D$996),"")</f>
        <v>2.7132000000000001</v>
      </c>
      <c r="H225" s="87">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332">
        <v>1</v>
      </c>
      <c r="B226" s="332" t="s">
        <v>67</v>
      </c>
      <c r="C226" s="332" t="s">
        <v>165</v>
      </c>
      <c r="D226" s="332" t="s">
        <v>165</v>
      </c>
      <c r="E226" s="333" t="s">
        <v>151</v>
      </c>
      <c r="F226" s="332"/>
      <c r="G226" s="334" t="str">
        <f t="array" ref="G226">IF(B226="insumo",_xlfn.XLOOKUP($D226,Insumos!$B$1:$B$996,Insumos!$D$1:$D$996),"")</f>
        <v/>
      </c>
      <c r="H226" s="334">
        <v>4.4981999999999998</v>
      </c>
      <c r="I226" s="335">
        <v>0</v>
      </c>
      <c r="J226" s="335">
        <v>0</v>
      </c>
      <c r="K226" s="335"/>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70</v>
      </c>
      <c r="C227" s="10" t="s">
        <v>165</v>
      </c>
      <c r="D227" s="10" t="s">
        <v>166</v>
      </c>
      <c r="E227" s="11" t="str">
        <f t="array" ref="E227">_xlfn.XLOOKUP(D227,Insumos!B:B,Insumos!C:$C)</f>
        <v>M3</v>
      </c>
      <c r="F227" s="14">
        <v>1</v>
      </c>
      <c r="G227" s="87">
        <f t="array" ref="G227">IF(B227="insumo",_xlfn.XLOOKUP($D227,Insumos!$B$1:$B$996,Insumos!$D$1:$D$996),"")</f>
        <v>4.4982000000000006</v>
      </c>
      <c r="H227" s="87">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332">
        <v>1</v>
      </c>
      <c r="B228" s="332" t="s">
        <v>67</v>
      </c>
      <c r="C228" s="332" t="s">
        <v>167</v>
      </c>
      <c r="D228" s="332" t="s">
        <v>167</v>
      </c>
      <c r="E228" s="333" t="s">
        <v>151</v>
      </c>
      <c r="F228" s="332"/>
      <c r="G228" s="334" t="str">
        <f t="array" ref="G228">IF(B228="insumo",_xlfn.XLOOKUP($D228,Insumos!$B$1:$B$996,Insumos!$D$1:$D$996),"")</f>
        <v/>
      </c>
      <c r="H228" s="334">
        <v>9.2718000000000007</v>
      </c>
      <c r="I228" s="335">
        <v>0</v>
      </c>
      <c r="J228" s="335">
        <v>0</v>
      </c>
      <c r="K228" s="335"/>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70</v>
      </c>
      <c r="C229" s="10" t="s">
        <v>167</v>
      </c>
      <c r="D229" s="10" t="s">
        <v>168</v>
      </c>
      <c r="E229" s="11" t="str">
        <f t="array" ref="E229">_xlfn.XLOOKUP(D229,Insumos!B:B,Insumos!C:$C)</f>
        <v>M3</v>
      </c>
      <c r="F229" s="14">
        <v>1</v>
      </c>
      <c r="G229" s="87">
        <f t="array" ref="G229">IF(B229="insumo",_xlfn.XLOOKUP($D229,Insumos!$B$1:$B$996,Insumos!$D$1:$D$996),"")</f>
        <v>9.2718000000000007</v>
      </c>
      <c r="H229" s="87">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332">
        <v>1</v>
      </c>
      <c r="B230" s="332" t="s">
        <v>67</v>
      </c>
      <c r="C230" s="332" t="s">
        <v>169</v>
      </c>
      <c r="D230" s="332" t="s">
        <v>169</v>
      </c>
      <c r="E230" s="333" t="s">
        <v>151</v>
      </c>
      <c r="F230" s="332"/>
      <c r="G230" s="334" t="str">
        <f t="array" ref="G230">IF(B230="insumo",_xlfn.XLOOKUP($D230,Insumos!$B$1:$B$996,Insumos!$D$1:$D$996),"")</f>
        <v/>
      </c>
      <c r="H230" s="334">
        <v>2.9215</v>
      </c>
      <c r="I230" s="335">
        <v>0</v>
      </c>
      <c r="J230" s="335">
        <v>0</v>
      </c>
      <c r="K230" s="335"/>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70</v>
      </c>
      <c r="C231" s="10" t="s">
        <v>169</v>
      </c>
      <c r="D231" s="10" t="s">
        <v>170</v>
      </c>
      <c r="E231" s="11" t="str">
        <f t="array" ref="E231">_xlfn.XLOOKUP(D231,Insumos!B:B,Insumos!C:$C)</f>
        <v>MÊS</v>
      </c>
      <c r="F231" s="14">
        <v>1.1000000000000001E-5</v>
      </c>
      <c r="G231" s="87">
        <f t="array" ref="G231">IF(B231="insumo",_xlfn.XLOOKUP($D231,Insumos!$B$1:$B$996,Insumos!$D$1:$D$996),"")</f>
        <v>33660</v>
      </c>
      <c r="H231" s="87">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70</v>
      </c>
      <c r="C232" s="10" t="s">
        <v>169</v>
      </c>
      <c r="D232" s="10" t="s">
        <v>171</v>
      </c>
      <c r="E232" s="11" t="str">
        <f t="array" ref="E232">_xlfn.XLOOKUP(D232,Insumos!B:B,Insumos!C:$C)</f>
        <v>MÊS</v>
      </c>
      <c r="F232" s="14">
        <v>1.2E-5</v>
      </c>
      <c r="G232" s="87">
        <f t="array" ref="G232">IF(B232="insumo",_xlfn.XLOOKUP($D232,Insumos!$B$1:$B$996,Insumos!$D$1:$D$996),"")</f>
        <v>32270</v>
      </c>
      <c r="H232" s="87">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70</v>
      </c>
      <c r="C233" s="10" t="s">
        <v>169</v>
      </c>
      <c r="D233" s="10" t="s">
        <v>172</v>
      </c>
      <c r="E233" s="11" t="str">
        <f t="array" ref="E233">_xlfn.XLOOKUP(D233,Insumos!B:B,Insumos!C:$C)</f>
        <v>MÊS</v>
      </c>
      <c r="F233" s="14">
        <v>2.4000000000000001E-5</v>
      </c>
      <c r="G233" s="87">
        <f t="array" ref="G233">IF(B233="insumo",_xlfn.XLOOKUP($D233,Insumos!$B$1:$B$996,Insumos!$D$1:$D$996),"")</f>
        <v>15000</v>
      </c>
      <c r="H233" s="87">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70</v>
      </c>
      <c r="C234" s="10" t="s">
        <v>169</v>
      </c>
      <c r="D234" s="10" t="s">
        <v>173</v>
      </c>
      <c r="E234" s="11" t="str">
        <f t="array" ref="E234">_xlfn.XLOOKUP(D234,Insumos!B:B,Insumos!C:$C)</f>
        <v>MÊS</v>
      </c>
      <c r="F234" s="14">
        <v>5.1999999999999997E-5</v>
      </c>
      <c r="G234" s="87">
        <f t="array" ref="G234">IF(B234="insumo",_xlfn.XLOOKUP($D234,Insumos!$B$1:$B$996,Insumos!$D$1:$D$996),"")</f>
        <v>7000</v>
      </c>
      <c r="H234" s="87">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70</v>
      </c>
      <c r="C235" s="10" t="s">
        <v>169</v>
      </c>
      <c r="D235" s="10" t="s">
        <v>174</v>
      </c>
      <c r="E235" s="11" t="str">
        <f t="array" ref="E235">_xlfn.XLOOKUP(D235,Insumos!B:B,Insumos!C:$C)</f>
        <v>MÊS</v>
      </c>
      <c r="F235" s="14">
        <v>3.6000000000000002E-4</v>
      </c>
      <c r="G235" s="87">
        <f t="array" ref="G235">IF(B235="insumo",_xlfn.XLOOKUP($D235,Insumos!$B$1:$B$996,Insumos!$D$1:$D$996),"")</f>
        <v>4000</v>
      </c>
      <c r="H235" s="87">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332">
        <v>1</v>
      </c>
      <c r="B236" s="332" t="s">
        <v>67</v>
      </c>
      <c r="C236" s="332" t="s">
        <v>177</v>
      </c>
      <c r="D236" s="332" t="s">
        <v>177</v>
      </c>
      <c r="E236" s="333" t="s">
        <v>151</v>
      </c>
      <c r="F236" s="332"/>
      <c r="G236" s="334" t="str">
        <f t="array" ref="G236">IF(B236="insumo",_xlfn.XLOOKUP($D236,Insumos!$B$1:$B$996,Insumos!$D$1:$D$996),"")</f>
        <v/>
      </c>
      <c r="H236" s="334">
        <v>45.45</v>
      </c>
      <c r="I236" s="335">
        <v>0</v>
      </c>
      <c r="J236" s="335">
        <v>0</v>
      </c>
      <c r="K236" s="335"/>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70</v>
      </c>
      <c r="C237" s="10" t="s">
        <v>177</v>
      </c>
      <c r="D237" s="10" t="s">
        <v>175</v>
      </c>
      <c r="E237" s="11" t="str">
        <f t="array" ref="E237">_xlfn.XLOOKUP(D237,Insumos!B:B,Insumos!C:$C)</f>
        <v>M3</v>
      </c>
      <c r="F237" s="14">
        <v>1</v>
      </c>
      <c r="G237" s="87">
        <f t="array" ref="G237">IF(B237="insumo",_xlfn.XLOOKUP($D237,Insumos!$B$1:$B$996,Insumos!$D$1:$D$996),"")</f>
        <v>45.45</v>
      </c>
      <c r="H237" s="87">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355">
        <v>1</v>
      </c>
      <c r="B238" s="355" t="s">
        <v>1227</v>
      </c>
      <c r="C238" s="355" t="s">
        <v>177</v>
      </c>
      <c r="D238" s="355" t="s">
        <v>2060</v>
      </c>
      <c r="E238" s="356"/>
      <c r="F238" s="356"/>
      <c r="G238" s="356"/>
      <c r="H238" s="356">
        <v>0</v>
      </c>
      <c r="I238" s="357">
        <v>0</v>
      </c>
      <c r="J238" s="357">
        <v>0</v>
      </c>
      <c r="K238" s="357"/>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332">
        <v>1</v>
      </c>
      <c r="B239" s="332" t="s">
        <v>67</v>
      </c>
      <c r="C239" s="332" t="s">
        <v>2803</v>
      </c>
      <c r="D239" s="332" t="s">
        <v>2803</v>
      </c>
      <c r="E239" s="333" t="s">
        <v>151</v>
      </c>
      <c r="F239" s="332"/>
      <c r="G239" s="334" t="str">
        <f t="array" ref="G239">IF(B239="insumo",_xlfn.XLOOKUP($D239,Insumos!$B$1:$B$996,Insumos!$D$1:$D$996),"")</f>
        <v/>
      </c>
      <c r="H239" s="334">
        <v>36.36</v>
      </c>
      <c r="I239" s="335">
        <v>0</v>
      </c>
      <c r="J239" s="335">
        <v>0</v>
      </c>
      <c r="K239" s="335"/>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70</v>
      </c>
      <c r="C240" s="10" t="s">
        <v>2803</v>
      </c>
      <c r="D240" s="10" t="s">
        <v>152</v>
      </c>
      <c r="E240" s="11" t="str">
        <f t="array" ref="E240">_xlfn.XLOOKUP(D240,Insumos!B:B,Insumos!C:$C)</f>
        <v>M3</v>
      </c>
      <c r="F240" s="14">
        <v>1</v>
      </c>
      <c r="G240" s="87">
        <f t="array" ref="G240">IF(B240="insumo",_xlfn.XLOOKUP($D240,Insumos!$B$1:$B$996,Insumos!$D$1:$D$996),"")</f>
        <v>36.36</v>
      </c>
      <c r="H240" s="87">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332">
        <v>1</v>
      </c>
      <c r="B241" s="332" t="s">
        <v>67</v>
      </c>
      <c r="C241" s="332" t="s">
        <v>153</v>
      </c>
      <c r="D241" s="332" t="s">
        <v>153</v>
      </c>
      <c r="E241" s="333" t="s">
        <v>151</v>
      </c>
      <c r="F241" s="332"/>
      <c r="G241" s="334" t="str">
        <f t="array" ref="G241">IF(B241="insumo",_xlfn.XLOOKUP($D241,Insumos!$B$1:$B$996,Insumos!$D$1:$D$996),"")</f>
        <v/>
      </c>
      <c r="H241" s="334">
        <v>36.36</v>
      </c>
      <c r="I241" s="335">
        <v>0</v>
      </c>
      <c r="J241" s="335">
        <v>0</v>
      </c>
      <c r="K241" s="335"/>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70</v>
      </c>
      <c r="C242" s="10" t="s">
        <v>153</v>
      </c>
      <c r="D242" s="10" t="s">
        <v>152</v>
      </c>
      <c r="E242" s="11" t="str">
        <f t="array" ref="E242">_xlfn.XLOOKUP(D242,Insumos!B:B,Insumos!C:$C)</f>
        <v>M3</v>
      </c>
      <c r="F242" s="14">
        <v>1</v>
      </c>
      <c r="G242" s="87">
        <f t="array" ref="G242">IF(B242="insumo",_xlfn.XLOOKUP($D242,Insumos!$B$1:$B$996,Insumos!$D$1:$D$996),"")</f>
        <v>36.36</v>
      </c>
      <c r="H242" s="87">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332">
        <v>1</v>
      </c>
      <c r="B243" s="332" t="s">
        <v>67</v>
      </c>
      <c r="C243" s="332" t="s">
        <v>154</v>
      </c>
      <c r="D243" s="332" t="s">
        <v>154</v>
      </c>
      <c r="E243" s="333" t="s">
        <v>151</v>
      </c>
      <c r="F243" s="332"/>
      <c r="G243" s="334" t="str">
        <f t="array" ref="G243">IF(B243="insumo",_xlfn.XLOOKUP($D243,Insumos!$B$1:$B$996,Insumos!$D$1:$D$996),"")</f>
        <v/>
      </c>
      <c r="H243" s="334">
        <v>14.55</v>
      </c>
      <c r="I243" s="335">
        <v>0</v>
      </c>
      <c r="J243" s="335">
        <v>0</v>
      </c>
      <c r="K243" s="335"/>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70</v>
      </c>
      <c r="C244" s="10" t="s">
        <v>154</v>
      </c>
      <c r="D244" s="10" t="s">
        <v>155</v>
      </c>
      <c r="E244" s="11" t="str">
        <f t="array" ref="E244">_xlfn.XLOOKUP(D244,Insumos!B:B,Insumos!C:$C)</f>
        <v>M3</v>
      </c>
      <c r="F244" s="14">
        <v>1</v>
      </c>
      <c r="G244" s="87">
        <f t="array" ref="G244">IF(B244="insumo",_xlfn.XLOOKUP($D244,Insumos!$B$1:$B$996,Insumos!$D$1:$D$996),"")</f>
        <v>14.55</v>
      </c>
      <c r="H244" s="87">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332">
        <v>1</v>
      </c>
      <c r="B245" s="332" t="s">
        <v>67</v>
      </c>
      <c r="C245" s="332" t="s">
        <v>156</v>
      </c>
      <c r="D245" s="332" t="s">
        <v>156</v>
      </c>
      <c r="E245" s="333" t="s">
        <v>151</v>
      </c>
      <c r="F245" s="332"/>
      <c r="G245" s="334" t="str">
        <f t="array" ref="G245">IF(B245="insumo",_xlfn.XLOOKUP($D245,Insumos!$B$1:$B$996,Insumos!$D$1:$D$996),"")</f>
        <v/>
      </c>
      <c r="H245" s="334">
        <v>495.24700000000001</v>
      </c>
      <c r="I245" s="335">
        <v>0</v>
      </c>
      <c r="J245" s="335">
        <v>0</v>
      </c>
      <c r="K245" s="335"/>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70</v>
      </c>
      <c r="C246" s="10" t="s">
        <v>156</v>
      </c>
      <c r="D246" s="10" t="s">
        <v>157</v>
      </c>
      <c r="E246" s="11" t="str">
        <f t="array" ref="E246">_xlfn.XLOOKUP(D246,Insumos!B:B,Insumos!C:$C)</f>
        <v>M3</v>
      </c>
      <c r="F246" s="14">
        <v>1.05</v>
      </c>
      <c r="G246" s="87">
        <f t="array" ref="G246">IF(B246="insumo",_xlfn.XLOOKUP($D246,Insumos!$B$1:$B$996,Insumos!$D$1:$D$996),"")</f>
        <v>430.94</v>
      </c>
      <c r="H246" s="87">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70</v>
      </c>
      <c r="C247" s="10" t="s">
        <v>156</v>
      </c>
      <c r="D247" s="10" t="s">
        <v>158</v>
      </c>
      <c r="E247" s="11" t="str">
        <f t="array" ref="E247">_xlfn.XLOOKUP(D247,Insumos!B:B,Insumos!C:$C)</f>
        <v>M3</v>
      </c>
      <c r="F247" s="14">
        <v>1.05</v>
      </c>
      <c r="G247" s="87">
        <f t="array" ref="G247">IF(B247="insumo",_xlfn.XLOOKUP($D247,Insumos!$B$1:$B$996,Insumos!$D$1:$D$996),"")</f>
        <v>40</v>
      </c>
      <c r="H247" s="87">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70</v>
      </c>
      <c r="C248" s="10" t="s">
        <v>156</v>
      </c>
      <c r="D248" s="10" t="s">
        <v>159</v>
      </c>
      <c r="E248" s="11" t="str">
        <f t="array" ref="E248">_xlfn.XLOOKUP(D248,Insumos!B:B,Insumos!C:$C)</f>
        <v>KG</v>
      </c>
      <c r="F248" s="14">
        <v>1</v>
      </c>
      <c r="G248" s="87">
        <f t="array" ref="G248">IF(B248="insumo",_xlfn.XLOOKUP($D248,Insumos!$B$1:$B$996,Insumos!$D$1:$D$996),"")</f>
        <v>0.76</v>
      </c>
      <c r="H248" s="87">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332">
        <v>1</v>
      </c>
      <c r="B249" s="332" t="s">
        <v>67</v>
      </c>
      <c r="C249" s="332" t="s">
        <v>2822</v>
      </c>
      <c r="D249" s="332" t="s">
        <v>2822</v>
      </c>
      <c r="E249" s="333" t="s">
        <v>151</v>
      </c>
      <c r="F249" s="332"/>
      <c r="G249" s="334" t="str">
        <f t="array" ref="G249">IF(B249="insumo",_xlfn.XLOOKUP($D249,Insumos!$B$1:$B$996,Insumos!$D$1:$D$996),"")</f>
        <v/>
      </c>
      <c r="H249" s="334">
        <v>495.24700000000001</v>
      </c>
      <c r="I249" s="335">
        <v>39.228999999999999</v>
      </c>
      <c r="J249" s="335">
        <v>19428.044562999999</v>
      </c>
      <c r="K249" s="335"/>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70</v>
      </c>
      <c r="C250" s="10" t="s">
        <v>2822</v>
      </c>
      <c r="D250" s="10" t="s">
        <v>157</v>
      </c>
      <c r="E250" s="11" t="str">
        <f t="array" ref="E250">_xlfn.XLOOKUP(D250,Insumos!B:B,Insumos!C:$C)</f>
        <v>M3</v>
      </c>
      <c r="F250" s="14">
        <v>1.05</v>
      </c>
      <c r="G250" s="87">
        <f t="array" ref="G250">IF(B250="insumo",_xlfn.XLOOKUP($D250,Insumos!$B$1:$B$996,Insumos!$D$1:$D$996),"")</f>
        <v>430.94</v>
      </c>
      <c r="H250" s="87">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70</v>
      </c>
      <c r="C251" s="10" t="s">
        <v>2822</v>
      </c>
      <c r="D251" s="10" t="s">
        <v>158</v>
      </c>
      <c r="E251" s="11" t="str">
        <f t="array" ref="E251">_xlfn.XLOOKUP(D251,Insumos!B:B,Insumos!C:$C)</f>
        <v>M3</v>
      </c>
      <c r="F251" s="14">
        <v>1.05</v>
      </c>
      <c r="G251" s="87">
        <f t="array" ref="G251">IF(B251="insumo",_xlfn.XLOOKUP($D251,Insumos!$B$1:$B$996,Insumos!$D$1:$D$996),"")</f>
        <v>40</v>
      </c>
      <c r="H251" s="87">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70</v>
      </c>
      <c r="C252" s="10" t="s">
        <v>2822</v>
      </c>
      <c r="D252" s="10" t="s">
        <v>159</v>
      </c>
      <c r="E252" s="11" t="str">
        <f t="array" ref="E252">_xlfn.XLOOKUP(D252,Insumos!B:B,Insumos!C:$C)</f>
        <v>KG</v>
      </c>
      <c r="F252" s="14">
        <v>1</v>
      </c>
      <c r="G252" s="87">
        <f t="array" ref="G252">IF(B252="insumo",_xlfn.XLOOKUP($D252,Insumos!$B$1:$B$996,Insumos!$D$1:$D$996),"")</f>
        <v>0.76</v>
      </c>
      <c r="H252" s="87">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332">
        <v>1</v>
      </c>
      <c r="B253" s="332" t="s">
        <v>67</v>
      </c>
      <c r="C253" s="332" t="s">
        <v>160</v>
      </c>
      <c r="D253" s="332" t="s">
        <v>160</v>
      </c>
      <c r="E253" s="333" t="s">
        <v>151</v>
      </c>
      <c r="F253" s="332"/>
      <c r="G253" s="334" t="str">
        <f t="array" ref="G253">IF(B253="insumo",_xlfn.XLOOKUP($D253,Insumos!$B$1:$B$996,Insumos!$D$1:$D$996),"")</f>
        <v/>
      </c>
      <c r="H253" s="334">
        <v>208.65600000000001</v>
      </c>
      <c r="I253" s="335">
        <v>0</v>
      </c>
      <c r="J253" s="335">
        <v>0</v>
      </c>
      <c r="K253" s="335"/>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70</v>
      </c>
      <c r="C254" s="10" t="s">
        <v>160</v>
      </c>
      <c r="D254" s="10" t="s">
        <v>161</v>
      </c>
      <c r="E254" s="11" t="str">
        <f t="array" ref="E254">_xlfn.XLOOKUP(D254,Insumos!B:B,Insumos!C:$C)</f>
        <v>M3</v>
      </c>
      <c r="F254" s="14">
        <v>1.38</v>
      </c>
      <c r="G254" s="87">
        <f t="array" ref="G254">IF(B254="insumo",_xlfn.XLOOKUP($D254,Insumos!$B$1:$B$996,Insumos!$D$1:$D$996),"")</f>
        <v>151.20000000000002</v>
      </c>
      <c r="H254" s="87">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332">
        <v>1</v>
      </c>
      <c r="B255" s="332" t="s">
        <v>67</v>
      </c>
      <c r="C255" s="332" t="s">
        <v>162</v>
      </c>
      <c r="D255" s="332" t="s">
        <v>162</v>
      </c>
      <c r="E255" s="333" t="s">
        <v>151</v>
      </c>
      <c r="F255" s="332"/>
      <c r="G255" s="334" t="str">
        <f t="array" ref="G255">IF(B255="insumo",_xlfn.XLOOKUP($D255,Insumos!$B$1:$B$996,Insumos!$D$1:$D$996),"")</f>
        <v/>
      </c>
      <c r="H255" s="334">
        <v>208.65600000000001</v>
      </c>
      <c r="I255" s="335">
        <v>0</v>
      </c>
      <c r="J255" s="335">
        <v>0</v>
      </c>
      <c r="K255" s="335"/>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70</v>
      </c>
      <c r="C256" s="10" t="s">
        <v>162</v>
      </c>
      <c r="D256" s="10" t="s">
        <v>161</v>
      </c>
      <c r="E256" s="11" t="str">
        <f t="array" ref="E256">_xlfn.XLOOKUP(D256,Insumos!B:B,Insumos!C:$C)</f>
        <v>M3</v>
      </c>
      <c r="F256" s="14">
        <v>1.38</v>
      </c>
      <c r="G256" s="87">
        <f t="array" ref="G256">IF(B256="insumo",_xlfn.XLOOKUP($D256,Insumos!$B$1:$B$996,Insumos!$D$1:$D$996),"")</f>
        <v>151.20000000000002</v>
      </c>
      <c r="H256" s="87">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332">
        <v>1</v>
      </c>
      <c r="B257" s="332" t="s">
        <v>67</v>
      </c>
      <c r="C257" s="332" t="s">
        <v>175</v>
      </c>
      <c r="D257" s="332" t="s">
        <v>175</v>
      </c>
      <c r="E257" s="333" t="s">
        <v>151</v>
      </c>
      <c r="F257" s="332"/>
      <c r="G257" s="334" t="str">
        <f t="array" ref="G257">IF(B257="insumo",_xlfn.XLOOKUP($D257,Insumos!$B$1:$B$996,Insumos!$D$1:$D$996),"")</f>
        <v/>
      </c>
      <c r="H257" s="334">
        <v>45.45</v>
      </c>
      <c r="I257" s="335">
        <v>0</v>
      </c>
      <c r="J257" s="335">
        <v>0</v>
      </c>
      <c r="K257" s="335"/>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70</v>
      </c>
      <c r="C258" s="10" t="s">
        <v>175</v>
      </c>
      <c r="D258" s="10" t="s">
        <v>175</v>
      </c>
      <c r="E258" s="11" t="str">
        <f t="array" ref="E258">_xlfn.XLOOKUP(D258,Insumos!B:B,Insumos!C:$C)</f>
        <v>M3</v>
      </c>
      <c r="F258" s="14">
        <v>1</v>
      </c>
      <c r="G258" s="87">
        <f t="array" ref="G258">IF(B258="insumo",_xlfn.XLOOKUP($D258,Insumos!$B$1:$B$996,Insumos!$D$1:$D$996),"")</f>
        <v>45.45</v>
      </c>
      <c r="H258" s="87">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332">
        <v>1</v>
      </c>
      <c r="B259" s="332" t="s">
        <v>67</v>
      </c>
      <c r="C259" s="332" t="s">
        <v>176</v>
      </c>
      <c r="D259" s="332" t="s">
        <v>176</v>
      </c>
      <c r="E259" s="333" t="s">
        <v>151</v>
      </c>
      <c r="F259" s="332"/>
      <c r="G259" s="334" t="str">
        <f t="array" ref="G259">IF(B259="insumo",_xlfn.XLOOKUP($D259,Insumos!$B$1:$B$996,Insumos!$D$1:$D$996),"")</f>
        <v/>
      </c>
      <c r="H259" s="334">
        <v>68.180000000000007</v>
      </c>
      <c r="I259" s="335">
        <v>0</v>
      </c>
      <c r="J259" s="335">
        <v>0</v>
      </c>
      <c r="K259" s="335"/>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70</v>
      </c>
      <c r="C260" s="10" t="s">
        <v>176</v>
      </c>
      <c r="D260" s="10" t="s">
        <v>176</v>
      </c>
      <c r="E260" s="11" t="str">
        <f t="array" ref="E260">_xlfn.XLOOKUP(D260,Insumos!B:B,Insumos!C:$C)</f>
        <v>M3</v>
      </c>
      <c r="F260" s="14">
        <v>1</v>
      </c>
      <c r="G260" s="87">
        <f t="array" ref="G260">IF(B260="insumo",_xlfn.XLOOKUP($D260,Insumos!$B$1:$B$996,Insumos!$D$1:$D$996),"")</f>
        <v>68.180000000000007</v>
      </c>
      <c r="H260" s="87">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65</v>
      </c>
      <c r="C261" s="7" t="s">
        <v>176</v>
      </c>
      <c r="D261" s="7" t="s">
        <v>10</v>
      </c>
      <c r="E261" s="8"/>
      <c r="F261" s="9"/>
      <c r="G261" s="86" t="str">
        <f t="array" ref="G261">IF(B261="insumo",_xlfn.XLOOKUP($D261,Insumos!$B$1:$B$996,Insumos!$D$1:$D$996),"")</f>
        <v/>
      </c>
      <c r="H261" s="86">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355">
        <v>2</v>
      </c>
      <c r="B262" s="355" t="s">
        <v>1227</v>
      </c>
      <c r="C262" s="355" t="s">
        <v>176</v>
      </c>
      <c r="D262" s="355" t="s">
        <v>1673</v>
      </c>
      <c r="E262" s="356"/>
      <c r="F262" s="356"/>
      <c r="G262" s="356"/>
      <c r="H262" s="356">
        <v>0</v>
      </c>
      <c r="I262" s="357">
        <v>0</v>
      </c>
      <c r="J262" s="357">
        <v>0</v>
      </c>
      <c r="K262" s="357"/>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332">
        <v>1</v>
      </c>
      <c r="B263" s="332" t="s">
        <v>67</v>
      </c>
      <c r="C263" s="332" t="s">
        <v>178</v>
      </c>
      <c r="D263" s="332" t="s">
        <v>178</v>
      </c>
      <c r="E263" s="333" t="s">
        <v>112</v>
      </c>
      <c r="F263" s="332"/>
      <c r="G263" s="334" t="str">
        <f t="array" ref="G263">IF(B263="insumo",_xlfn.XLOOKUP($D263,Insumos!$B$1:$B$996,Insumos!$D$1:$D$996),"")</f>
        <v/>
      </c>
      <c r="H263" s="334">
        <v>60</v>
      </c>
      <c r="I263" s="335">
        <v>0</v>
      </c>
      <c r="J263" s="335">
        <v>0</v>
      </c>
      <c r="K263" s="335"/>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70</v>
      </c>
      <c r="C264" s="10" t="s">
        <v>178</v>
      </c>
      <c r="D264" s="10" t="s">
        <v>178</v>
      </c>
      <c r="E264" s="11" t="str">
        <f t="array" ref="E264">_xlfn.XLOOKUP(D264,Insumos!B:B,Insumos!C:$C)</f>
        <v>M</v>
      </c>
      <c r="F264" s="14">
        <v>1</v>
      </c>
      <c r="G264" s="87">
        <f t="array" ref="G264">IF(B264="insumo",_xlfn.XLOOKUP($D264,Insumos!$B$1:$B$996,Insumos!$D$1:$D$996),"")</f>
        <v>60</v>
      </c>
      <c r="H264" s="87">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332">
        <v>1</v>
      </c>
      <c r="B265" s="332" t="s">
        <v>67</v>
      </c>
      <c r="C265" s="332" t="s">
        <v>179</v>
      </c>
      <c r="D265" s="332" t="s">
        <v>179</v>
      </c>
      <c r="E265" s="333" t="s">
        <v>112</v>
      </c>
      <c r="F265" s="332"/>
      <c r="G265" s="334" t="str">
        <f t="array" ref="G265">IF(B265="insumo",_xlfn.XLOOKUP($D265,Insumos!$B$1:$B$996,Insumos!$D$1:$D$996),"")</f>
        <v/>
      </c>
      <c r="H265" s="334">
        <v>75</v>
      </c>
      <c r="I265" s="335">
        <v>0</v>
      </c>
      <c r="J265" s="335">
        <v>0</v>
      </c>
      <c r="K265" s="335"/>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70</v>
      </c>
      <c r="C266" s="10" t="s">
        <v>179</v>
      </c>
      <c r="D266" s="10" t="s">
        <v>179</v>
      </c>
      <c r="E266" s="11" t="str">
        <f t="array" ref="E266">_xlfn.XLOOKUP(D266,Insumos!B:B,Insumos!C:$C)</f>
        <v>M</v>
      </c>
      <c r="F266" s="14">
        <v>1</v>
      </c>
      <c r="G266" s="87">
        <f t="array" ref="G266">IF(B266="insumo",_xlfn.XLOOKUP($D266,Insumos!$B$1:$B$996,Insumos!$D$1:$D$996),"")</f>
        <v>75</v>
      </c>
      <c r="H266" s="87">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332">
        <v>1</v>
      </c>
      <c r="B267" s="332" t="s">
        <v>67</v>
      </c>
      <c r="C267" s="332" t="s">
        <v>180</v>
      </c>
      <c r="D267" s="332" t="s">
        <v>180</v>
      </c>
      <c r="E267" s="333" t="s">
        <v>112</v>
      </c>
      <c r="F267" s="332"/>
      <c r="G267" s="334" t="str">
        <f t="array" ref="G267">IF(B267="insumo",_xlfn.XLOOKUP($D267,Insumos!$B$1:$B$996,Insumos!$D$1:$D$996),"")</f>
        <v/>
      </c>
      <c r="H267" s="334">
        <v>150</v>
      </c>
      <c r="I267" s="335">
        <v>0</v>
      </c>
      <c r="J267" s="335">
        <v>0</v>
      </c>
      <c r="K267" s="335"/>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70</v>
      </c>
      <c r="C268" s="10" t="s">
        <v>180</v>
      </c>
      <c r="D268" s="10" t="s">
        <v>181</v>
      </c>
      <c r="E268" s="11" t="str">
        <f t="array" ref="E268">_xlfn.XLOOKUP(D268,Insumos!B:B,Insumos!C:$C)</f>
        <v>M</v>
      </c>
      <c r="F268" s="14">
        <v>1</v>
      </c>
      <c r="G268" s="87">
        <f t="array" ref="G268">IF(B268="insumo",_xlfn.XLOOKUP($D268,Insumos!$B$1:$B$996,Insumos!$D$1:$D$996),"")</f>
        <v>150</v>
      </c>
      <c r="H268" s="87">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332">
        <v>1</v>
      </c>
      <c r="B269" s="332" t="s">
        <v>67</v>
      </c>
      <c r="C269" s="332" t="s">
        <v>182</v>
      </c>
      <c r="D269" s="332" t="s">
        <v>182</v>
      </c>
      <c r="E269" s="333" t="s">
        <v>112</v>
      </c>
      <c r="F269" s="332"/>
      <c r="G269" s="334" t="str">
        <f t="array" ref="G269">IF(B269="insumo",_xlfn.XLOOKUP($D269,Insumos!$B$1:$B$996,Insumos!$D$1:$D$996),"")</f>
        <v/>
      </c>
      <c r="H269" s="334">
        <v>137.486331768187</v>
      </c>
      <c r="I269" s="335">
        <v>6732</v>
      </c>
      <c r="J269" s="335">
        <v>925557.98546343495</v>
      </c>
      <c r="K269" s="335"/>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70</v>
      </c>
      <c r="C270" s="10" t="s">
        <v>182</v>
      </c>
      <c r="D270" s="10" t="s">
        <v>183</v>
      </c>
      <c r="E270" s="11" t="str">
        <f t="array" ref="E270">_xlfn.XLOOKUP(D270,Insumos!B:B,Insumos!C:$C)</f>
        <v>M</v>
      </c>
      <c r="F270" s="14">
        <v>1</v>
      </c>
      <c r="G270" s="87">
        <f t="array" ref="G270">IF(B270="insumo",_xlfn.XLOOKUP($D270,Insumos!$B$1:$B$996,Insumos!$D$1:$D$996),"")</f>
        <v>137.48633176818674</v>
      </c>
      <c r="H270" s="87">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336">
        <v>1</v>
      </c>
      <c r="B271" s="336" t="s">
        <v>67</v>
      </c>
      <c r="C271" s="336" t="s">
        <v>1684</v>
      </c>
      <c r="D271" s="336" t="s">
        <v>1684</v>
      </c>
      <c r="E271" s="337" t="s">
        <v>112</v>
      </c>
      <c r="F271" s="336"/>
      <c r="G271" s="338" t="str">
        <f t="array" ref="G271">IF(B271="insumo",_xlfn.XLOOKUP($D271,Insumos!$B$1:$B$996,Insumos!$D$1:$D$996),"")</f>
        <v/>
      </c>
      <c r="H271" s="338">
        <v>150</v>
      </c>
      <c r="I271" s="339">
        <v>0</v>
      </c>
      <c r="J271" s="339">
        <v>0</v>
      </c>
      <c r="K271" s="339"/>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70</v>
      </c>
      <c r="C272" s="10" t="s">
        <v>1684</v>
      </c>
      <c r="D272" s="10" t="s">
        <v>1684</v>
      </c>
      <c r="E272" s="11" t="str">
        <f t="array" ref="E272">_xlfn.XLOOKUP(D272,Insumos!B:B,Insumos!C:$C)</f>
        <v>M</v>
      </c>
      <c r="F272" s="14">
        <v>1</v>
      </c>
      <c r="G272" s="87">
        <f t="array" ref="G272">IF(B272="insumo",_xlfn.XLOOKUP($D272,Insumos!$B$1:$B$996,Insumos!$D$1:$D$996),"")</f>
        <v>150</v>
      </c>
      <c r="H272" s="87">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336">
        <v>1</v>
      </c>
      <c r="B273" s="336" t="s">
        <v>67</v>
      </c>
      <c r="C273" s="336" t="s">
        <v>1685</v>
      </c>
      <c r="D273" s="336" t="s">
        <v>1685</v>
      </c>
      <c r="E273" s="337" t="s">
        <v>112</v>
      </c>
      <c r="F273" s="336"/>
      <c r="G273" s="338" t="str">
        <f t="array" ref="G273">IF(B273="insumo",_xlfn.XLOOKUP($D273,Insumos!$B$1:$B$996,Insumos!$D$1:$D$996),"")</f>
        <v/>
      </c>
      <c r="H273" s="338">
        <v>180</v>
      </c>
      <c r="I273" s="339">
        <v>0</v>
      </c>
      <c r="J273" s="339">
        <v>0</v>
      </c>
      <c r="K273" s="339"/>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70</v>
      </c>
      <c r="C274" s="10" t="s">
        <v>1685</v>
      </c>
      <c r="D274" s="10" t="s">
        <v>1685</v>
      </c>
      <c r="E274" s="11" t="str">
        <f t="array" ref="E274">_xlfn.XLOOKUP(D274,Insumos!B:B,Insumos!C:$C)</f>
        <v>M</v>
      </c>
      <c r="F274" s="14">
        <v>1</v>
      </c>
      <c r="G274" s="87">
        <f t="array" ref="G274">IF(B274="insumo",_xlfn.XLOOKUP($D274,Insumos!$B$1:$B$996,Insumos!$D$1:$D$996),"")</f>
        <v>180</v>
      </c>
      <c r="H274" s="87">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332">
        <v>1</v>
      </c>
      <c r="B275" s="332" t="s">
        <v>67</v>
      </c>
      <c r="C275" s="332" t="s">
        <v>184</v>
      </c>
      <c r="D275" s="332" t="s">
        <v>184</v>
      </c>
      <c r="E275" s="333" t="s">
        <v>112</v>
      </c>
      <c r="F275" s="332"/>
      <c r="G275" s="334" t="str">
        <f t="array" ref="G275">IF(B275="insumo",_xlfn.XLOOKUP($D275,Insumos!$B$1:$B$996,Insumos!$D$1:$D$996),"")</f>
        <v/>
      </c>
      <c r="H275" s="334">
        <v>120</v>
      </c>
      <c r="I275" s="335">
        <v>0</v>
      </c>
      <c r="J275" s="335">
        <v>0</v>
      </c>
      <c r="K275" s="335"/>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70</v>
      </c>
      <c r="C276" s="10" t="s">
        <v>184</v>
      </c>
      <c r="D276" s="10" t="s">
        <v>184</v>
      </c>
      <c r="E276" s="11" t="str">
        <f t="array" ref="E276">_xlfn.XLOOKUP(D276,Insumos!B:B,Insumos!C:$C)</f>
        <v>M</v>
      </c>
      <c r="F276" s="14">
        <v>1</v>
      </c>
      <c r="G276" s="87">
        <f t="array" ref="G276">IF(B276="insumo",_xlfn.XLOOKUP($D276,Insumos!$B$1:$B$996,Insumos!$D$1:$D$996),"")</f>
        <v>120</v>
      </c>
      <c r="H276" s="87">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332">
        <v>1</v>
      </c>
      <c r="B277" s="332" t="s">
        <v>67</v>
      </c>
      <c r="C277" s="332" t="s">
        <v>185</v>
      </c>
      <c r="D277" s="332" t="s">
        <v>185</v>
      </c>
      <c r="E277" s="333" t="s">
        <v>112</v>
      </c>
      <c r="F277" s="332"/>
      <c r="G277" s="334" t="str">
        <f t="array" ref="G277">IF(B277="insumo",_xlfn.XLOOKUP($D277,Insumos!$B$1:$B$996,Insumos!$D$1:$D$996),"")</f>
        <v/>
      </c>
      <c r="H277" s="334">
        <v>135</v>
      </c>
      <c r="I277" s="335">
        <v>0</v>
      </c>
      <c r="J277" s="335">
        <v>0</v>
      </c>
      <c r="K277" s="335"/>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70</v>
      </c>
      <c r="C278" s="10" t="s">
        <v>185</v>
      </c>
      <c r="D278" s="10" t="s">
        <v>185</v>
      </c>
      <c r="E278" s="11" t="str">
        <f t="array" ref="E278">_xlfn.XLOOKUP(D278,Insumos!B:B,Insumos!C:$C)</f>
        <v>M</v>
      </c>
      <c r="F278" s="14">
        <v>1</v>
      </c>
      <c r="G278" s="87">
        <f t="array" ref="G278">IF(B278="insumo",_xlfn.XLOOKUP($D278,Insumos!$B$1:$B$996,Insumos!$D$1:$D$996),"")</f>
        <v>135</v>
      </c>
      <c r="H278" s="87">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332">
        <v>1</v>
      </c>
      <c r="B279" s="332" t="s">
        <v>67</v>
      </c>
      <c r="C279" s="332" t="s">
        <v>186</v>
      </c>
      <c r="D279" s="332" t="s">
        <v>186</v>
      </c>
      <c r="E279" s="333" t="s">
        <v>112</v>
      </c>
      <c r="F279" s="332"/>
      <c r="G279" s="334" t="str">
        <f t="array" ref="G279">IF(B279="insumo",_xlfn.XLOOKUP($D279,Insumos!$B$1:$B$996,Insumos!$D$1:$D$996),"")</f>
        <v/>
      </c>
      <c r="H279" s="334">
        <v>150</v>
      </c>
      <c r="I279" s="335">
        <v>0</v>
      </c>
      <c r="J279" s="335">
        <v>0</v>
      </c>
      <c r="K279" s="335"/>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70</v>
      </c>
      <c r="C280" s="10" t="s">
        <v>186</v>
      </c>
      <c r="D280" s="10" t="s">
        <v>186</v>
      </c>
      <c r="E280" s="11" t="str">
        <f t="array" ref="E280">_xlfn.XLOOKUP(D280,Insumos!B:B,Insumos!C:$C)</f>
        <v>M</v>
      </c>
      <c r="F280" s="14">
        <v>1</v>
      </c>
      <c r="G280" s="87">
        <f t="array" ref="G280">IF(B280="insumo",_xlfn.XLOOKUP($D280,Insumos!$B$1:$B$996,Insumos!$D$1:$D$996),"")</f>
        <v>150</v>
      </c>
      <c r="H280" s="87">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332">
        <v>1</v>
      </c>
      <c r="B281" s="332" t="s">
        <v>67</v>
      </c>
      <c r="C281" s="332" t="s">
        <v>187</v>
      </c>
      <c r="D281" s="332" t="s">
        <v>187</v>
      </c>
      <c r="E281" s="333" t="s">
        <v>112</v>
      </c>
      <c r="F281" s="332"/>
      <c r="G281" s="334" t="str">
        <f t="array" ref="G281">IF(B281="insumo",_xlfn.XLOOKUP($D281,Insumos!$B$1:$B$996,Insumos!$D$1:$D$996),"")</f>
        <v/>
      </c>
      <c r="H281" s="334">
        <v>166.666666666667</v>
      </c>
      <c r="I281" s="335">
        <v>0</v>
      </c>
      <c r="J281" s="335">
        <v>0</v>
      </c>
      <c r="K281" s="335"/>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70</v>
      </c>
      <c r="C282" s="10" t="s">
        <v>187</v>
      </c>
      <c r="D282" s="10" t="s">
        <v>187</v>
      </c>
      <c r="E282" s="11" t="str">
        <f t="array" ref="E282">_xlfn.XLOOKUP(D282,Insumos!B:B,Insumos!C:$C)</f>
        <v>M</v>
      </c>
      <c r="F282" s="14">
        <v>1</v>
      </c>
      <c r="G282" s="87">
        <f t="array" ref="G282">IF(B282="insumo",_xlfn.XLOOKUP($D282,Insumos!$B$1:$B$996,Insumos!$D$1:$D$996),"")</f>
        <v>166.66666666666669</v>
      </c>
      <c r="H282" s="87">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332">
        <v>1</v>
      </c>
      <c r="B283" s="332" t="s">
        <v>67</v>
      </c>
      <c r="C283" s="332" t="s">
        <v>188</v>
      </c>
      <c r="D283" s="332" t="s">
        <v>188</v>
      </c>
      <c r="E283" s="333" t="s">
        <v>112</v>
      </c>
      <c r="F283" s="332"/>
      <c r="G283" s="334" t="str">
        <f t="array" ref="G283">IF(B283="insumo",_xlfn.XLOOKUP($D283,Insumos!$B$1:$B$996,Insumos!$D$1:$D$996),"")</f>
        <v/>
      </c>
      <c r="H283" s="334">
        <v>33</v>
      </c>
      <c r="I283" s="335">
        <v>0</v>
      </c>
      <c r="J283" s="335">
        <v>0</v>
      </c>
      <c r="K283" s="335"/>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70</v>
      </c>
      <c r="C284" s="10" t="s">
        <v>188</v>
      </c>
      <c r="D284" s="10" t="s">
        <v>189</v>
      </c>
      <c r="E284" s="11" t="str">
        <f t="array" ref="E284">_xlfn.XLOOKUP(D284,Insumos!B:B,Insumos!C:$C)</f>
        <v>M</v>
      </c>
      <c r="F284" s="14">
        <v>1</v>
      </c>
      <c r="G284" s="87">
        <f t="array" ref="G284">IF(B284="insumo",_xlfn.XLOOKUP($D284,Insumos!$B$1:$B$996,Insumos!$D$1:$D$996),"")</f>
        <v>33</v>
      </c>
      <c r="H284" s="87">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332">
        <v>1</v>
      </c>
      <c r="B285" s="332" t="s">
        <v>67</v>
      </c>
      <c r="C285" s="332" t="s">
        <v>190</v>
      </c>
      <c r="D285" s="332" t="s">
        <v>190</v>
      </c>
      <c r="E285" s="333" t="s">
        <v>112</v>
      </c>
      <c r="F285" s="332"/>
      <c r="G285" s="334" t="str">
        <f t="array" ref="G285">IF(B285="insumo",_xlfn.XLOOKUP($D285,Insumos!$B$1:$B$996,Insumos!$D$1:$D$996),"")</f>
        <v/>
      </c>
      <c r="H285" s="334">
        <v>39</v>
      </c>
      <c r="I285" s="335">
        <v>0</v>
      </c>
      <c r="J285" s="335">
        <v>0</v>
      </c>
      <c r="K285" s="335"/>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70</v>
      </c>
      <c r="C286" s="10" t="s">
        <v>190</v>
      </c>
      <c r="D286" s="10" t="s">
        <v>191</v>
      </c>
      <c r="E286" s="11" t="str">
        <f t="array" ref="E286">_xlfn.XLOOKUP(D286,Insumos!B:B,Insumos!C:$C)</f>
        <v>M</v>
      </c>
      <c r="F286" s="14">
        <v>1</v>
      </c>
      <c r="G286" s="87">
        <f t="array" ref="G286">IF(B286="insumo",_xlfn.XLOOKUP($D286,Insumos!$B$1:$B$996,Insumos!$D$1:$D$996),"")</f>
        <v>39</v>
      </c>
      <c r="H286" s="87">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336">
        <v>1</v>
      </c>
      <c r="B287" s="336" t="s">
        <v>67</v>
      </c>
      <c r="C287" s="336" t="s">
        <v>1674</v>
      </c>
      <c r="D287" s="336" t="s">
        <v>1674</v>
      </c>
      <c r="E287" s="337" t="s">
        <v>112</v>
      </c>
      <c r="F287" s="336"/>
      <c r="G287" s="338" t="str">
        <f t="array" ref="G287">IF(B287="insumo",_xlfn.XLOOKUP($D287,Insumos!$B$1:$B$996,Insumos!$D$1:$D$996),"")</f>
        <v/>
      </c>
      <c r="H287" s="338">
        <v>52.8</v>
      </c>
      <c r="I287" s="339">
        <v>0</v>
      </c>
      <c r="J287" s="339">
        <v>0</v>
      </c>
      <c r="K287" s="339"/>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77">
        <v>2</v>
      </c>
      <c r="B288" s="77" t="s">
        <v>70</v>
      </c>
      <c r="C288" s="77" t="s">
        <v>1674</v>
      </c>
      <c r="D288" s="77" t="s">
        <v>1675</v>
      </c>
      <c r="E288" s="11" t="str">
        <f t="array" ref="E288">_xlfn.XLOOKUP(D288,Insumos!B:B,Insumos!C:$C)</f>
        <v>M</v>
      </c>
      <c r="F288" s="81">
        <v>1</v>
      </c>
      <c r="G288" s="87">
        <f t="array" ref="G288">IF(B288="insumo",_xlfn.XLOOKUP($D288,Insumos!$B$1:$B$996,Insumos!$D$1:$D$996),"")</f>
        <v>52.800000000000004</v>
      </c>
      <c r="H288" s="87">
        <v>52.8</v>
      </c>
      <c r="I288" s="79">
        <v>0</v>
      </c>
      <c r="J288" s="79">
        <v>0</v>
      </c>
      <c r="K288" s="79"/>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336">
        <v>1</v>
      </c>
      <c r="B289" s="336" t="s">
        <v>67</v>
      </c>
      <c r="C289" s="336" t="s">
        <v>1676</v>
      </c>
      <c r="D289" s="336" t="s">
        <v>1676</v>
      </c>
      <c r="E289" s="337" t="s">
        <v>112</v>
      </c>
      <c r="F289" s="336"/>
      <c r="G289" s="338" t="str">
        <f t="array" ref="G289">IF(B289="insumo",_xlfn.XLOOKUP($D289,Insumos!$B$1:$B$996,Insumos!$D$1:$D$996),"")</f>
        <v/>
      </c>
      <c r="H289" s="338">
        <v>66</v>
      </c>
      <c r="I289" s="339">
        <v>0</v>
      </c>
      <c r="J289" s="339">
        <v>0</v>
      </c>
      <c r="K289" s="339"/>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70</v>
      </c>
      <c r="C290" s="10" t="s">
        <v>1676</v>
      </c>
      <c r="D290" s="10" t="s">
        <v>1677</v>
      </c>
      <c r="E290" s="11" t="str">
        <f t="array" ref="E290">_xlfn.XLOOKUP(D290,Insumos!B:B,Insumos!C:$C)</f>
        <v>M</v>
      </c>
      <c r="F290" s="14">
        <v>1</v>
      </c>
      <c r="G290" s="87">
        <f t="array" ref="G290">IF(B290="insumo",_xlfn.XLOOKUP($D290,Insumos!$B$1:$B$996,Insumos!$D$1:$D$996),"")</f>
        <v>66</v>
      </c>
      <c r="H290" s="87">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336">
        <v>1</v>
      </c>
      <c r="B291" s="336" t="s">
        <v>67</v>
      </c>
      <c r="C291" s="336" t="s">
        <v>1678</v>
      </c>
      <c r="D291" s="336" t="s">
        <v>1678</v>
      </c>
      <c r="E291" s="337" t="s">
        <v>112</v>
      </c>
      <c r="F291" s="336"/>
      <c r="G291" s="338" t="str">
        <f t="array" ref="G291">IF(B291="insumo",_xlfn.XLOOKUP($D291,Insumos!$B$1:$B$996,Insumos!$D$1:$D$996),"")</f>
        <v/>
      </c>
      <c r="H291" s="338">
        <v>79.2</v>
      </c>
      <c r="I291" s="339">
        <v>0</v>
      </c>
      <c r="J291" s="339">
        <v>0</v>
      </c>
      <c r="K291" s="339"/>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70</v>
      </c>
      <c r="C292" s="10" t="s">
        <v>1678</v>
      </c>
      <c r="D292" s="10" t="s">
        <v>1679</v>
      </c>
      <c r="E292" s="11" t="str">
        <f t="array" ref="E292">_xlfn.XLOOKUP(D292,Insumos!B:B,Insumos!C:$C)</f>
        <v>M</v>
      </c>
      <c r="F292" s="14">
        <v>1</v>
      </c>
      <c r="G292" s="87">
        <f t="array" ref="G292">IF(B292="insumo",_xlfn.XLOOKUP($D292,Insumos!$B$1:$B$996,Insumos!$D$1:$D$996),"")</f>
        <v>79.2</v>
      </c>
      <c r="H292" s="87">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336">
        <v>1</v>
      </c>
      <c r="B293" s="336" t="s">
        <v>67</v>
      </c>
      <c r="C293" s="336" t="s">
        <v>1680</v>
      </c>
      <c r="D293" s="336" t="s">
        <v>1680</v>
      </c>
      <c r="E293" s="337" t="s">
        <v>112</v>
      </c>
      <c r="F293" s="336"/>
      <c r="G293" s="338" t="str">
        <f t="array" ref="G293">IF(B293="insumo",_xlfn.XLOOKUP($D293,Insumos!$B$1:$B$996,Insumos!$D$1:$D$996),"")</f>
        <v/>
      </c>
      <c r="H293" s="338">
        <v>92.4</v>
      </c>
      <c r="I293" s="339">
        <v>0</v>
      </c>
      <c r="J293" s="339">
        <v>0</v>
      </c>
      <c r="K293" s="339"/>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70</v>
      </c>
      <c r="C294" s="10" t="s">
        <v>1680</v>
      </c>
      <c r="D294" s="10" t="s">
        <v>1681</v>
      </c>
      <c r="E294" s="11" t="str">
        <f t="array" ref="E294">_xlfn.XLOOKUP(D294,Insumos!B:B,Insumos!C:$C)</f>
        <v>M</v>
      </c>
      <c r="F294" s="14">
        <v>1</v>
      </c>
      <c r="G294" s="87">
        <f t="array" ref="G294">IF(B294="insumo",_xlfn.XLOOKUP($D294,Insumos!$B$1:$B$996,Insumos!$D$1:$D$996),"")</f>
        <v>92.4</v>
      </c>
      <c r="H294" s="87">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336">
        <v>1</v>
      </c>
      <c r="B295" s="336" t="s">
        <v>67</v>
      </c>
      <c r="C295" s="336" t="s">
        <v>1682</v>
      </c>
      <c r="D295" s="336" t="s">
        <v>1682</v>
      </c>
      <c r="E295" s="337" t="s">
        <v>112</v>
      </c>
      <c r="F295" s="336"/>
      <c r="G295" s="338" t="str">
        <f t="array" ref="G295">IF(B295="insumo",_xlfn.XLOOKUP($D295,Insumos!$B$1:$B$996,Insumos!$D$1:$D$996),"")</f>
        <v/>
      </c>
      <c r="H295" s="338">
        <v>105.6</v>
      </c>
      <c r="I295" s="339">
        <v>0</v>
      </c>
      <c r="J295" s="339">
        <v>0</v>
      </c>
      <c r="K295" s="339"/>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70</v>
      </c>
      <c r="C296" s="10" t="s">
        <v>1682</v>
      </c>
      <c r="D296" s="10" t="s">
        <v>1683</v>
      </c>
      <c r="E296" s="11" t="str">
        <f t="array" ref="E296">_xlfn.XLOOKUP(D296,Insumos!B:B,Insumos!C:$C)</f>
        <v>M</v>
      </c>
      <c r="F296" s="14">
        <v>1</v>
      </c>
      <c r="G296" s="87">
        <f t="array" ref="G296">IF(B296="insumo",_xlfn.XLOOKUP($D296,Insumos!$B$1:$B$996,Insumos!$D$1:$D$996),"")</f>
        <v>105.60000000000001</v>
      </c>
      <c r="H296" s="87">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336">
        <v>1</v>
      </c>
      <c r="B297" s="336" t="s">
        <v>67</v>
      </c>
      <c r="C297" s="336" t="s">
        <v>1686</v>
      </c>
      <c r="D297" s="336" t="s">
        <v>1686</v>
      </c>
      <c r="E297" s="337" t="s">
        <v>193</v>
      </c>
      <c r="F297" s="336"/>
      <c r="G297" s="338" t="str">
        <f t="array" ref="G297">IF(B297="insumo",_xlfn.XLOOKUP($D297,Insumos!$B$1:$B$996,Insumos!$D$1:$D$996),"")</f>
        <v/>
      </c>
      <c r="H297" s="338">
        <v>24442.014536566599</v>
      </c>
      <c r="I297" s="339">
        <v>1</v>
      </c>
      <c r="J297" s="339">
        <v>24442.014536566599</v>
      </c>
      <c r="K297" s="339"/>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70</v>
      </c>
      <c r="C298" s="10" t="s">
        <v>1686</v>
      </c>
      <c r="D298" s="10" t="s">
        <v>1686</v>
      </c>
      <c r="E298" s="11" t="str">
        <f t="array" ref="E298">_xlfn.XLOOKUP(D298,Insumos!B:B,Insumos!C:$C)</f>
        <v>VB</v>
      </c>
      <c r="F298" s="14">
        <v>1</v>
      </c>
      <c r="G298" s="87">
        <f t="array" ref="G298">IF(B298="insumo",_xlfn.XLOOKUP($D298,Insumos!$B$1:$B$996,Insumos!$D$1:$D$996),"")</f>
        <v>24442.014536566567</v>
      </c>
      <c r="H298" s="87">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332">
        <v>1</v>
      </c>
      <c r="B299" s="332" t="s">
        <v>67</v>
      </c>
      <c r="C299" s="332" t="s">
        <v>192</v>
      </c>
      <c r="D299" s="332" t="s">
        <v>192</v>
      </c>
      <c r="E299" s="333" t="s">
        <v>193</v>
      </c>
      <c r="F299" s="332"/>
      <c r="G299" s="334" t="str">
        <f t="array" ref="G299">IF(B299="insumo",_xlfn.XLOOKUP($D299,Insumos!$B$1:$B$996,Insumos!$D$1:$D$996),"")</f>
        <v/>
      </c>
      <c r="H299" s="334">
        <v>18500</v>
      </c>
      <c r="I299" s="335">
        <v>0</v>
      </c>
      <c r="J299" s="335">
        <v>0</v>
      </c>
      <c r="K299" s="335"/>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70</v>
      </c>
      <c r="C300" s="10" t="s">
        <v>192</v>
      </c>
      <c r="D300" s="10" t="s">
        <v>192</v>
      </c>
      <c r="E300" s="11" t="str">
        <f t="array" ref="E300">_xlfn.XLOOKUP(D300,Insumos!B:B,Insumos!C:$C)</f>
        <v>VB</v>
      </c>
      <c r="F300" s="14">
        <v>1</v>
      </c>
      <c r="G300" s="87">
        <f t="array" ref="G300">IF(B300="insumo",_xlfn.XLOOKUP($D300,Insumos!$B$1:$B$996,Insumos!$D$1:$D$996),"")</f>
        <v>18500</v>
      </c>
      <c r="H300" s="87">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332">
        <v>1</v>
      </c>
      <c r="B301" s="332" t="s">
        <v>67</v>
      </c>
      <c r="C301" s="332" t="s">
        <v>194</v>
      </c>
      <c r="D301" s="332" t="s">
        <v>194</v>
      </c>
      <c r="E301" s="333" t="s">
        <v>193</v>
      </c>
      <c r="F301" s="332"/>
      <c r="G301" s="334" t="str">
        <f t="array" ref="G301">IF(B301="insumo",_xlfn.XLOOKUP($D301,Insumos!$B$1:$B$996,Insumos!$D$1:$D$996),"")</f>
        <v/>
      </c>
      <c r="H301" s="334">
        <v>26000</v>
      </c>
      <c r="I301" s="335">
        <v>0</v>
      </c>
      <c r="J301" s="335">
        <v>0</v>
      </c>
      <c r="K301" s="335"/>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70</v>
      </c>
      <c r="C302" s="10" t="s">
        <v>194</v>
      </c>
      <c r="D302" s="10" t="s">
        <v>194</v>
      </c>
      <c r="E302" s="11" t="str">
        <f t="array" ref="E302">_xlfn.XLOOKUP(D302,Insumos!B:B,Insumos!C:$C)</f>
        <v>VB</v>
      </c>
      <c r="F302" s="14">
        <v>1</v>
      </c>
      <c r="G302" s="87">
        <f t="array" ref="G302">IF(B302="insumo",_xlfn.XLOOKUP($D302,Insumos!$B$1:$B$996,Insumos!$D$1:$D$996),"")</f>
        <v>26000</v>
      </c>
      <c r="H302" s="87">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355">
        <v>4</v>
      </c>
      <c r="B303" s="355" t="s">
        <v>1227</v>
      </c>
      <c r="C303" s="355" t="s">
        <v>194</v>
      </c>
      <c r="D303" s="355" t="s">
        <v>1671</v>
      </c>
      <c r="E303" s="356"/>
      <c r="F303" s="357"/>
      <c r="G303" s="356"/>
      <c r="H303" s="356">
        <v>0</v>
      </c>
      <c r="I303" s="357">
        <v>0</v>
      </c>
      <c r="J303" s="357">
        <v>0</v>
      </c>
      <c r="K303" s="357"/>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332">
        <v>1</v>
      </c>
      <c r="B304" s="332" t="s">
        <v>67</v>
      </c>
      <c r="C304" s="332" t="s">
        <v>195</v>
      </c>
      <c r="D304" s="332" t="s">
        <v>195</v>
      </c>
      <c r="E304" s="333" t="s">
        <v>196</v>
      </c>
      <c r="F304" s="332"/>
      <c r="G304" s="334" t="str">
        <f t="array" ref="G304">IF(B304="insumo",_xlfn.XLOOKUP($D304,Insumos!$B$1:$B$996,Insumos!$D$1:$D$996),"")</f>
        <v/>
      </c>
      <c r="H304" s="334">
        <v>302.92200000000003</v>
      </c>
      <c r="I304" s="335">
        <v>0</v>
      </c>
      <c r="J304" s="335">
        <v>0</v>
      </c>
      <c r="K304" s="335"/>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70</v>
      </c>
      <c r="C305" s="10" t="s">
        <v>195</v>
      </c>
      <c r="D305" s="10" t="s">
        <v>197</v>
      </c>
      <c r="E305" s="11" t="str">
        <f t="array" ref="E305">_xlfn.XLOOKUP(D305,Insumos!B:B,Insumos!C:$C)</f>
        <v>KG</v>
      </c>
      <c r="F305" s="14">
        <v>1</v>
      </c>
      <c r="G305" s="87">
        <f t="array" ref="G305">IF(B305="insumo",_xlfn.XLOOKUP($D305,Insumos!$B$1:$B$996,Insumos!$D$1:$D$996),"")</f>
        <v>302.92200000000003</v>
      </c>
      <c r="H305" s="87">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332">
        <v>1</v>
      </c>
      <c r="B306" s="332" t="s">
        <v>67</v>
      </c>
      <c r="C306" s="332" t="s">
        <v>198</v>
      </c>
      <c r="D306" s="332" t="s">
        <v>198</v>
      </c>
      <c r="E306" s="333" t="s">
        <v>196</v>
      </c>
      <c r="F306" s="332"/>
      <c r="G306" s="334" t="str">
        <f t="array" ref="G306">IF(B306="insumo",_xlfn.XLOOKUP($D306,Insumos!$B$1:$B$996,Insumos!$D$1:$D$996),"")</f>
        <v/>
      </c>
      <c r="H306" s="334">
        <v>466.33699999999999</v>
      </c>
      <c r="I306" s="335">
        <v>0</v>
      </c>
      <c r="J306" s="335">
        <v>0</v>
      </c>
      <c r="K306" s="335"/>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70</v>
      </c>
      <c r="C307" s="10" t="s">
        <v>198</v>
      </c>
      <c r="D307" s="10" t="s">
        <v>199</v>
      </c>
      <c r="E307" s="11" t="str">
        <f t="array" ref="E307">_xlfn.XLOOKUP(D307,Insumos!B:B,Insumos!C:$C)</f>
        <v>KG</v>
      </c>
      <c r="F307" s="14">
        <v>1</v>
      </c>
      <c r="G307" s="87">
        <f t="array" ref="G307">IF(B307="insumo",_xlfn.XLOOKUP($D307,Insumos!$B$1:$B$996,Insumos!$D$1:$D$996),"")</f>
        <v>466.33699999999999</v>
      </c>
      <c r="H307" s="87">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332">
        <v>1</v>
      </c>
      <c r="B308" s="332" t="s">
        <v>67</v>
      </c>
      <c r="C308" s="332" t="s">
        <v>200</v>
      </c>
      <c r="D308" s="332" t="s">
        <v>200</v>
      </c>
      <c r="E308" s="333" t="s">
        <v>196</v>
      </c>
      <c r="F308" s="332"/>
      <c r="G308" s="334" t="str">
        <f t="array" ref="G308">IF(B308="insumo",_xlfn.XLOOKUP($D308,Insumos!$B$1:$B$996,Insumos!$D$1:$D$996),"")</f>
        <v/>
      </c>
      <c r="H308" s="334">
        <v>937.63900000000001</v>
      </c>
      <c r="I308" s="335">
        <v>0</v>
      </c>
      <c r="J308" s="335">
        <v>0</v>
      </c>
      <c r="K308" s="335"/>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70</v>
      </c>
      <c r="C309" s="10" t="s">
        <v>200</v>
      </c>
      <c r="D309" s="10" t="s">
        <v>201</v>
      </c>
      <c r="E309" s="11" t="str">
        <f t="array" ref="E309">_xlfn.XLOOKUP(D309,Insumos!B:B,Insumos!C:$C)</f>
        <v>KG</v>
      </c>
      <c r="F309" s="14">
        <v>1</v>
      </c>
      <c r="G309" s="87">
        <f t="array" ref="G309">IF(B309="insumo",_xlfn.XLOOKUP($D309,Insumos!$B$1:$B$996,Insumos!$D$1:$D$996),"")</f>
        <v>937.63900000000001</v>
      </c>
      <c r="H309" s="87">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332">
        <v>1</v>
      </c>
      <c r="B310" s="332" t="s">
        <v>67</v>
      </c>
      <c r="C310" s="332" t="s">
        <v>202</v>
      </c>
      <c r="D310" s="332" t="s">
        <v>202</v>
      </c>
      <c r="E310" s="333" t="s">
        <v>196</v>
      </c>
      <c r="F310" s="332"/>
      <c r="G310" s="334" t="str">
        <f t="array" ref="G310">IF(B310="insumo",_xlfn.XLOOKUP($D310,Insumos!$B$1:$B$996,Insumos!$D$1:$D$996),"")</f>
        <v/>
      </c>
      <c r="H310" s="334">
        <v>1609.6659999999999</v>
      </c>
      <c r="I310" s="335">
        <v>0</v>
      </c>
      <c r="J310" s="335">
        <v>0</v>
      </c>
      <c r="K310" s="335"/>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70</v>
      </c>
      <c r="C311" s="10" t="s">
        <v>202</v>
      </c>
      <c r="D311" s="10" t="s">
        <v>203</v>
      </c>
      <c r="E311" s="11" t="str">
        <f t="array" ref="E311">_xlfn.XLOOKUP(D311,Insumos!B:B,Insumos!C:$C)</f>
        <v>KG</v>
      </c>
      <c r="F311" s="14">
        <v>1</v>
      </c>
      <c r="G311" s="87">
        <f t="array" ref="G311">IF(B311="insumo",_xlfn.XLOOKUP($D311,Insumos!$B$1:$B$996,Insumos!$D$1:$D$996),"")</f>
        <v>1609.6659999999999</v>
      </c>
      <c r="H311" s="87">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332">
        <v>1</v>
      </c>
      <c r="B312" s="332" t="s">
        <v>67</v>
      </c>
      <c r="C312" s="332" t="s">
        <v>2971</v>
      </c>
      <c r="D312" s="332" t="s">
        <v>2971</v>
      </c>
      <c r="E312" s="333" t="s">
        <v>205</v>
      </c>
      <c r="F312" s="332"/>
      <c r="G312" s="334" t="str">
        <f t="array" ref="G312">IF(B312="insumo",_xlfn.XLOOKUP($D312,Insumos!$B$1:$B$996,Insumos!$D$1:$D$996),"")</f>
        <v/>
      </c>
      <c r="H312" s="334">
        <v>8.9641450000000003</v>
      </c>
      <c r="I312" s="335">
        <v>3495</v>
      </c>
      <c r="J312" s="335">
        <v>31329.686774999998</v>
      </c>
      <c r="K312" s="335"/>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70</v>
      </c>
      <c r="C313" s="10" t="s">
        <v>2971</v>
      </c>
      <c r="D313" s="10" t="s">
        <v>2857</v>
      </c>
      <c r="E313" s="11" t="str">
        <f t="array" ref="E313">_xlfn.XLOOKUP(D313,Insumos!B:B,Insumos!C:$C)</f>
        <v>UN</v>
      </c>
      <c r="F313" s="14">
        <v>1</v>
      </c>
      <c r="G313" s="87">
        <f t="array" ref="G313">IF(B313="insumo",_xlfn.XLOOKUP($D313,Insumos!$B$1:$B$996,Insumos!$D$1:$D$996),"")</f>
        <v>8.67</v>
      </c>
      <c r="H313" s="87">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70</v>
      </c>
      <c r="C314" s="10" t="s">
        <v>2971</v>
      </c>
      <c r="D314" s="10" t="s">
        <v>207</v>
      </c>
      <c r="E314" s="11" t="str">
        <f t="array" ref="E314">_xlfn.XLOOKUP(D314,Insumos!B:B,Insumos!C:$C)</f>
        <v>KG</v>
      </c>
      <c r="F314" s="14">
        <v>2.0500000000000001E-2</v>
      </c>
      <c r="G314" s="87">
        <f t="array" ref="G314">IF(B314="insumo",_xlfn.XLOOKUP($D314,Insumos!$B$1:$B$996,Insumos!$D$1:$D$996),"")</f>
        <v>13.69</v>
      </c>
      <c r="H314" s="87">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70</v>
      </c>
      <c r="C315" s="10" t="s">
        <v>2971</v>
      </c>
      <c r="D315" s="10" t="s">
        <v>208</v>
      </c>
      <c r="E315" s="11" t="str">
        <f t="array" ref="E315">_xlfn.XLOOKUP(D315,Insumos!B:B,Insumos!C:$C)</f>
        <v>UN</v>
      </c>
      <c r="F315" s="14">
        <v>0.05</v>
      </c>
      <c r="G315" s="87">
        <f t="array" ref="G315">IF(B315="insumo",_xlfn.XLOOKUP($D315,Insumos!$B$1:$B$996,Insumos!$D$1:$D$996),"")</f>
        <v>0.27</v>
      </c>
      <c r="H315" s="87">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332">
        <v>1</v>
      </c>
      <c r="B316" s="332" t="s">
        <v>67</v>
      </c>
      <c r="C316" s="332" t="s">
        <v>2972</v>
      </c>
      <c r="D316" s="332" t="s">
        <v>2972</v>
      </c>
      <c r="E316" s="333" t="s">
        <v>205</v>
      </c>
      <c r="F316" s="332"/>
      <c r="G316" s="334" t="str">
        <f t="array" ref="G316">IF(B316="insumo",_xlfn.XLOOKUP($D316,Insumos!$B$1:$B$996,Insumos!$D$1:$D$996),"")</f>
        <v/>
      </c>
      <c r="H316" s="334">
        <v>8.4841449999999998</v>
      </c>
      <c r="I316" s="335">
        <v>31530</v>
      </c>
      <c r="J316" s="335">
        <v>267505.09185000003</v>
      </c>
      <c r="K316" s="335"/>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70</v>
      </c>
      <c r="C317" s="10" t="s">
        <v>2972</v>
      </c>
      <c r="D317" s="10" t="s">
        <v>2968</v>
      </c>
      <c r="E317" s="11" t="str">
        <f t="array" ref="E317">_xlfn.XLOOKUP(D317,Insumos!B:B,Insumos!C:$C)</f>
        <v>UN</v>
      </c>
      <c r="F317" s="14">
        <v>1</v>
      </c>
      <c r="G317" s="87">
        <f t="array" ref="G317">IF(B317="insumo",_xlfn.XLOOKUP($D317,Insumos!$B$1:$B$996,Insumos!$D$1:$D$996),"")</f>
        <v>8.19</v>
      </c>
      <c r="H317" s="87">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70</v>
      </c>
      <c r="C318" s="10" t="s">
        <v>2972</v>
      </c>
      <c r="D318" s="10" t="s">
        <v>207</v>
      </c>
      <c r="E318" s="11" t="str">
        <f t="array" ref="E318">_xlfn.XLOOKUP(D318,Insumos!B:B,Insumos!C:$C)</f>
        <v>KG</v>
      </c>
      <c r="F318" s="14">
        <v>2.0500000000000001E-2</v>
      </c>
      <c r="G318" s="87">
        <f t="array" ref="G318">IF(B318="insumo",_xlfn.XLOOKUP($D318,Insumos!$B$1:$B$996,Insumos!$D$1:$D$996),"")</f>
        <v>13.69</v>
      </c>
      <c r="H318" s="87">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70</v>
      </c>
      <c r="C319" s="10" t="s">
        <v>2972</v>
      </c>
      <c r="D319" s="10" t="s">
        <v>208</v>
      </c>
      <c r="E319" s="11" t="str">
        <f t="array" ref="E319">_xlfn.XLOOKUP(D319,Insumos!B:B,Insumos!C:$C)</f>
        <v>UN</v>
      </c>
      <c r="F319" s="14">
        <v>0.05</v>
      </c>
      <c r="G319" s="87">
        <f t="array" ref="G319">IF(B319="insumo",_xlfn.XLOOKUP($D319,Insumos!$B$1:$B$996,Insumos!$D$1:$D$996),"")</f>
        <v>0.27</v>
      </c>
      <c r="H319" s="87">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332">
        <v>1</v>
      </c>
      <c r="B320" s="332" t="s">
        <v>67</v>
      </c>
      <c r="C320" s="332" t="s">
        <v>204</v>
      </c>
      <c r="D320" s="332" t="s">
        <v>204</v>
      </c>
      <c r="E320" s="333" t="s">
        <v>205</v>
      </c>
      <c r="F320" s="332"/>
      <c r="G320" s="334" t="str">
        <f t="array" ref="G320">IF(B320="insumo",_xlfn.XLOOKUP($D320,Insumos!$B$1:$B$996,Insumos!$D$1:$D$996),"")</f>
        <v/>
      </c>
      <c r="H320" s="334">
        <v>6.0795673937957</v>
      </c>
      <c r="I320" s="335">
        <v>0</v>
      </c>
      <c r="J320" s="335">
        <v>0</v>
      </c>
      <c r="K320" s="335"/>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70</v>
      </c>
      <c r="C321" s="10" t="s">
        <v>204</v>
      </c>
      <c r="D321" s="10" t="s">
        <v>206</v>
      </c>
      <c r="E321" s="11" t="str">
        <f t="array" ref="E321">_xlfn.XLOOKUP(D321,Insumos!B:B,Insumos!C:$C)</f>
        <v>KG</v>
      </c>
      <c r="F321" s="14">
        <v>1.1000000000000001</v>
      </c>
      <c r="G321" s="87">
        <f t="array" ref="G321">IF(B321="insumo",_xlfn.XLOOKUP($D321,Insumos!$B$1:$B$996,Insumos!$D$1:$D$996),"")</f>
        <v>5.2594749034506343</v>
      </c>
      <c r="H321" s="87">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70</v>
      </c>
      <c r="C322" s="10" t="s">
        <v>204</v>
      </c>
      <c r="D322" s="10" t="s">
        <v>207</v>
      </c>
      <c r="E322" s="11" t="str">
        <f t="array" ref="E322">_xlfn.XLOOKUP(D322,Insumos!B:B,Insumos!C:$C)</f>
        <v>KG</v>
      </c>
      <c r="F322" s="14">
        <v>2.0500000000000001E-2</v>
      </c>
      <c r="G322" s="87">
        <f t="array" ref="G322">IF(B322="insumo",_xlfn.XLOOKUP($D322,Insumos!$B$1:$B$996,Insumos!$D$1:$D$996),"")</f>
        <v>13.69</v>
      </c>
      <c r="H322" s="87">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70</v>
      </c>
      <c r="C323" s="10" t="s">
        <v>204</v>
      </c>
      <c r="D323" s="10" t="s">
        <v>208</v>
      </c>
      <c r="E323" s="11" t="str">
        <f t="array" ref="E323">_xlfn.XLOOKUP(D323,Insumos!B:B,Insumos!C:$C)</f>
        <v>UN</v>
      </c>
      <c r="F323" s="14">
        <v>0.05</v>
      </c>
      <c r="G323" s="87">
        <f t="array" ref="G323">IF(B323="insumo",_xlfn.XLOOKUP($D323,Insumos!$B$1:$B$996,Insumos!$D$1:$D$996),"")</f>
        <v>0.27</v>
      </c>
      <c r="H323" s="87">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332">
        <v>1</v>
      </c>
      <c r="B324" s="332" t="s">
        <v>67</v>
      </c>
      <c r="C324" s="332" t="s">
        <v>209</v>
      </c>
      <c r="D324" s="332" t="s">
        <v>209</v>
      </c>
      <c r="E324" s="333" t="s">
        <v>205</v>
      </c>
      <c r="F324" s="332"/>
      <c r="G324" s="334" t="str">
        <f t="array" ref="G324">IF(B324="insumo",_xlfn.XLOOKUP($D324,Insumos!$B$1:$B$996,Insumos!$D$1:$D$996),"")</f>
        <v/>
      </c>
      <c r="H324" s="334">
        <v>5.7114876589046197</v>
      </c>
      <c r="I324" s="335">
        <v>0</v>
      </c>
      <c r="J324" s="335">
        <v>0</v>
      </c>
      <c r="K324" s="335"/>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70</v>
      </c>
      <c r="C325" s="10" t="s">
        <v>209</v>
      </c>
      <c r="D325" s="10" t="s">
        <v>210</v>
      </c>
      <c r="E325" s="11" t="str">
        <f t="array" ref="E325">_xlfn.XLOOKUP(D325,Insumos!B:B,Insumos!C:$C)</f>
        <v>KG</v>
      </c>
      <c r="F325" s="14">
        <v>1.1000000000000001</v>
      </c>
      <c r="G325" s="87">
        <f t="array" ref="G325">IF(B325="insumo",_xlfn.XLOOKUP($D325,Insumos!$B$1:$B$996,Insumos!$D$1:$D$996),"")</f>
        <v>4.9248569626405612</v>
      </c>
      <c r="H325" s="87">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70</v>
      </c>
      <c r="C326" s="10" t="s">
        <v>209</v>
      </c>
      <c r="D326" s="10" t="s">
        <v>207</v>
      </c>
      <c r="E326" s="11" t="str">
        <f t="array" ref="E326">_xlfn.XLOOKUP(D326,Insumos!B:B,Insumos!C:$C)</f>
        <v>KG</v>
      </c>
      <c r="F326" s="14">
        <v>2.0500000000000001E-2</v>
      </c>
      <c r="G326" s="87">
        <f t="array" ref="G326">IF(B326="insumo",_xlfn.XLOOKUP($D326,Insumos!$B$1:$B$996,Insumos!$D$1:$D$996),"")</f>
        <v>13.69</v>
      </c>
      <c r="H326" s="87">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70</v>
      </c>
      <c r="C327" s="10" t="s">
        <v>209</v>
      </c>
      <c r="D327" s="10" t="s">
        <v>208</v>
      </c>
      <c r="E327" s="11" t="str">
        <f t="array" ref="E327">_xlfn.XLOOKUP(D327,Insumos!B:B,Insumos!C:$C)</f>
        <v>UN</v>
      </c>
      <c r="F327" s="14">
        <v>0.05</v>
      </c>
      <c r="G327" s="87">
        <f t="array" ref="G327">IF(B327="insumo",_xlfn.XLOOKUP($D327,Insumos!$B$1:$B$996,Insumos!$D$1:$D$996),"")</f>
        <v>0.27</v>
      </c>
      <c r="H327" s="87">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332">
        <v>1</v>
      </c>
      <c r="B328" s="332" t="s">
        <v>67</v>
      </c>
      <c r="C328" s="332" t="s">
        <v>211</v>
      </c>
      <c r="D328" s="332" t="s">
        <v>211</v>
      </c>
      <c r="E328" s="333" t="s">
        <v>205</v>
      </c>
      <c r="F328" s="332"/>
      <c r="G328" s="334" t="str">
        <f t="array" ref="G328">IF(B328="insumo",_xlfn.XLOOKUP($D328,Insumos!$B$1:$B$996,Insumos!$D$1:$D$996),"")</f>
        <v/>
      </c>
      <c r="H328" s="334">
        <v>5.5748977193202496</v>
      </c>
      <c r="I328" s="335">
        <v>0</v>
      </c>
      <c r="J328" s="335">
        <v>0</v>
      </c>
      <c r="K328" s="335"/>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70</v>
      </c>
      <c r="C329" s="10" t="s">
        <v>211</v>
      </c>
      <c r="D329" s="10" t="s">
        <v>212</v>
      </c>
      <c r="E329" s="11" t="str">
        <f t="array" ref="E329">_xlfn.XLOOKUP(D329,Insumos!B:B,Insumos!C:$C)</f>
        <v>KG</v>
      </c>
      <c r="F329" s="14">
        <v>1.1000000000000001</v>
      </c>
      <c r="G329" s="87">
        <f t="array" ref="G329">IF(B329="insumo",_xlfn.XLOOKUP($D329,Insumos!$B$1:$B$996,Insumos!$D$1:$D$996),"")</f>
        <v>4.80068429029114</v>
      </c>
      <c r="H329" s="87">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70</v>
      </c>
      <c r="C330" s="10" t="s">
        <v>211</v>
      </c>
      <c r="D330" s="10" t="s">
        <v>207</v>
      </c>
      <c r="E330" s="11" t="str">
        <f t="array" ref="E330">_xlfn.XLOOKUP(D330,Insumos!B:B,Insumos!C:$C)</f>
        <v>KG</v>
      </c>
      <c r="F330" s="14">
        <v>2.0500000000000001E-2</v>
      </c>
      <c r="G330" s="87">
        <f t="array" ref="G330">IF(B330="insumo",_xlfn.XLOOKUP($D330,Insumos!$B$1:$B$996,Insumos!$D$1:$D$996),"")</f>
        <v>13.69</v>
      </c>
      <c r="H330" s="87">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70</v>
      </c>
      <c r="C331" s="10" t="s">
        <v>211</v>
      </c>
      <c r="D331" s="10" t="s">
        <v>208</v>
      </c>
      <c r="E331" s="11" t="str">
        <f t="array" ref="E331">_xlfn.XLOOKUP(D331,Insumos!B:B,Insumos!C:$C)</f>
        <v>UN</v>
      </c>
      <c r="F331" s="14">
        <v>0.05</v>
      </c>
      <c r="G331" s="87">
        <f t="array" ref="G331">IF(B331="insumo",_xlfn.XLOOKUP($D331,Insumos!$B$1:$B$996,Insumos!$D$1:$D$996),"")</f>
        <v>0.27</v>
      </c>
      <c r="H331" s="87">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332">
        <v>1</v>
      </c>
      <c r="B332" s="332" t="s">
        <v>67</v>
      </c>
      <c r="C332" s="332" t="s">
        <v>213</v>
      </c>
      <c r="D332" s="332" t="s">
        <v>213</v>
      </c>
      <c r="E332" s="333" t="s">
        <v>205</v>
      </c>
      <c r="F332" s="332"/>
      <c r="G332" s="334" t="str">
        <f t="array" ref="G332">IF(B332="insumo",_xlfn.XLOOKUP($D332,Insumos!$B$1:$B$996,Insumos!$D$1:$D$996),"")</f>
        <v/>
      </c>
      <c r="H332" s="334">
        <v>5.7287614493981804</v>
      </c>
      <c r="I332" s="335">
        <v>0</v>
      </c>
      <c r="J332" s="335">
        <v>0</v>
      </c>
      <c r="K332" s="335"/>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70</v>
      </c>
      <c r="C333" s="10" t="s">
        <v>213</v>
      </c>
      <c r="D333" s="10" t="s">
        <v>214</v>
      </c>
      <c r="E333" s="11" t="str">
        <f t="array" ref="E333">_xlfn.XLOOKUP(D333,Insumos!B:B,Insumos!C:$C)</f>
        <v>KG</v>
      </c>
      <c r="F333" s="14">
        <v>1.1000000000000001</v>
      </c>
      <c r="G333" s="87">
        <f t="array" ref="G333">IF(B333="insumo",_xlfn.XLOOKUP($D333,Insumos!$B$1:$B$996,Insumos!$D$1:$D$996),"")</f>
        <v>4.9405604085438029</v>
      </c>
      <c r="H333" s="87">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70</v>
      </c>
      <c r="C334" s="10" t="s">
        <v>213</v>
      </c>
      <c r="D334" s="10" t="s">
        <v>207</v>
      </c>
      <c r="E334" s="11" t="str">
        <f t="array" ref="E334">_xlfn.XLOOKUP(D334,Insumos!B:B,Insumos!C:$C)</f>
        <v>KG</v>
      </c>
      <c r="F334" s="14">
        <v>2.0500000000000001E-2</v>
      </c>
      <c r="G334" s="87">
        <f t="array" ref="G334">IF(B334="insumo",_xlfn.XLOOKUP($D334,Insumos!$B$1:$B$996,Insumos!$D$1:$D$996),"")</f>
        <v>13.69</v>
      </c>
      <c r="H334" s="87">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70</v>
      </c>
      <c r="C335" s="10" t="s">
        <v>213</v>
      </c>
      <c r="D335" s="10" t="s">
        <v>208</v>
      </c>
      <c r="E335" s="11" t="str">
        <f t="array" ref="E335">_xlfn.XLOOKUP(D335,Insumos!B:B,Insumos!C:$C)</f>
        <v>UN</v>
      </c>
      <c r="F335" s="14">
        <v>0.05</v>
      </c>
      <c r="G335" s="87">
        <f t="array" ref="G335">IF(B335="insumo",_xlfn.XLOOKUP($D335,Insumos!$B$1:$B$996,Insumos!$D$1:$D$996),"")</f>
        <v>0.27</v>
      </c>
      <c r="H335" s="87">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332">
        <v>1</v>
      </c>
      <c r="B336" s="332" t="s">
        <v>67</v>
      </c>
      <c r="C336" s="332" t="s">
        <v>215</v>
      </c>
      <c r="D336" s="332" t="s">
        <v>215</v>
      </c>
      <c r="E336" s="333" t="s">
        <v>205</v>
      </c>
      <c r="F336" s="332"/>
      <c r="G336" s="334" t="str">
        <f t="array" ref="G336">IF(B336="insumo",_xlfn.XLOOKUP($D336,Insumos!$B$1:$B$996,Insumos!$D$1:$D$996),"")</f>
        <v/>
      </c>
      <c r="H336" s="334">
        <v>5.8320238742016697</v>
      </c>
      <c r="I336" s="335">
        <v>0</v>
      </c>
      <c r="J336" s="335">
        <v>0</v>
      </c>
      <c r="K336" s="335"/>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70</v>
      </c>
      <c r="C337" s="10" t="s">
        <v>215</v>
      </c>
      <c r="D337" s="10" t="s">
        <v>216</v>
      </c>
      <c r="E337" s="11" t="str">
        <f t="array" ref="E337">_xlfn.XLOOKUP(D337,Insumos!B:B,Insumos!C:$C)</f>
        <v>KG</v>
      </c>
      <c r="F337" s="14">
        <v>1.1000000000000001</v>
      </c>
      <c r="G337" s="87">
        <f t="array" ref="G337">IF(B337="insumo",_xlfn.XLOOKUP($D337,Insumos!$B$1:$B$996,Insumos!$D$1:$D$996),"")</f>
        <v>5.0344353401833359</v>
      </c>
      <c r="H337" s="87">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70</v>
      </c>
      <c r="C338" s="10" t="s">
        <v>215</v>
      </c>
      <c r="D338" s="10" t="s">
        <v>207</v>
      </c>
      <c r="E338" s="11" t="str">
        <f t="array" ref="E338">_xlfn.XLOOKUP(D338,Insumos!B:B,Insumos!C:$C)</f>
        <v>KG</v>
      </c>
      <c r="F338" s="14">
        <v>2.0500000000000001E-2</v>
      </c>
      <c r="G338" s="87">
        <f t="array" ref="G338">IF(B338="insumo",_xlfn.XLOOKUP($D338,Insumos!$B$1:$B$996,Insumos!$D$1:$D$996),"")</f>
        <v>13.69</v>
      </c>
      <c r="H338" s="87">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70</v>
      </c>
      <c r="C339" s="10" t="s">
        <v>215</v>
      </c>
      <c r="D339" s="10" t="s">
        <v>208</v>
      </c>
      <c r="E339" s="11" t="str">
        <f t="array" ref="E339">_xlfn.XLOOKUP(D339,Insumos!B:B,Insumos!C:$C)</f>
        <v>UN</v>
      </c>
      <c r="F339" s="14">
        <v>0.05</v>
      </c>
      <c r="G339" s="87">
        <f t="array" ref="G339">IF(B339="insumo",_xlfn.XLOOKUP($D339,Insumos!$B$1:$B$996,Insumos!$D$1:$D$996),"")</f>
        <v>0.27</v>
      </c>
      <c r="H339" s="87">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332">
        <v>1</v>
      </c>
      <c r="B340" s="332" t="s">
        <v>67</v>
      </c>
      <c r="C340" s="332" t="s">
        <v>217</v>
      </c>
      <c r="D340" s="332" t="s">
        <v>217</v>
      </c>
      <c r="E340" s="333" t="s">
        <v>205</v>
      </c>
      <c r="F340" s="332"/>
      <c r="G340" s="334" t="str">
        <f t="array" ref="G340">IF(B340="insumo",_xlfn.XLOOKUP($D340,Insumos!$B$1:$B$996,Insumos!$D$1:$D$996),"")</f>
        <v/>
      </c>
      <c r="H340" s="334">
        <v>7.0532266249184001</v>
      </c>
      <c r="I340" s="335">
        <v>0</v>
      </c>
      <c r="J340" s="335">
        <v>0</v>
      </c>
      <c r="K340" s="335"/>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70</v>
      </c>
      <c r="C341" s="10" t="s">
        <v>217</v>
      </c>
      <c r="D341" s="10" t="s">
        <v>218</v>
      </c>
      <c r="E341" s="11" t="str">
        <f t="array" ref="E341">_xlfn.XLOOKUP(D341,Insumos!B:B,Insumos!C:$C)</f>
        <v>KG</v>
      </c>
      <c r="F341" s="14">
        <v>1.1000000000000001</v>
      </c>
      <c r="G341" s="87">
        <f t="array" ref="G341">IF(B341="insumo",_xlfn.XLOOKUP($D341,Insumos!$B$1:$B$996,Insumos!$D$1:$D$996),"")</f>
        <v>6.1446196590167288</v>
      </c>
      <c r="H341" s="87">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70</v>
      </c>
      <c r="C342" s="10" t="s">
        <v>217</v>
      </c>
      <c r="D342" s="10" t="s">
        <v>207</v>
      </c>
      <c r="E342" s="11" t="str">
        <f t="array" ref="E342">_xlfn.XLOOKUP(D342,Insumos!B:B,Insumos!C:$C)</f>
        <v>KG</v>
      </c>
      <c r="F342" s="14">
        <v>2.0500000000000001E-2</v>
      </c>
      <c r="G342" s="87">
        <f t="array" ref="G342">IF(B342="insumo",_xlfn.XLOOKUP($D342,Insumos!$B$1:$B$996,Insumos!$D$1:$D$996),"")</f>
        <v>13.69</v>
      </c>
      <c r="H342" s="87">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70</v>
      </c>
      <c r="C343" s="10" t="s">
        <v>217</v>
      </c>
      <c r="D343" s="10" t="s">
        <v>208</v>
      </c>
      <c r="E343" s="11" t="str">
        <f t="array" ref="E343">_xlfn.XLOOKUP(D343,Insumos!B:B,Insumos!C:$C)</f>
        <v>UN</v>
      </c>
      <c r="F343" s="14">
        <v>0.05</v>
      </c>
      <c r="G343" s="87">
        <f t="array" ref="G343">IF(B343="insumo",_xlfn.XLOOKUP($D343,Insumos!$B$1:$B$996,Insumos!$D$1:$D$996),"")</f>
        <v>0.27</v>
      </c>
      <c r="H343" s="87">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355">
        <v>5</v>
      </c>
      <c r="B344" s="355" t="s">
        <v>1227</v>
      </c>
      <c r="C344" s="355" t="s">
        <v>217</v>
      </c>
      <c r="D344" s="355" t="s">
        <v>1362</v>
      </c>
      <c r="E344" s="356"/>
      <c r="F344" s="357"/>
      <c r="G344" s="356"/>
      <c r="H344" s="356">
        <v>0</v>
      </c>
      <c r="I344" s="357">
        <v>0</v>
      </c>
      <c r="J344" s="357">
        <v>0</v>
      </c>
      <c r="K344" s="357"/>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332">
        <v>1</v>
      </c>
      <c r="B345" s="332" t="s">
        <v>67</v>
      </c>
      <c r="C345" s="332" t="s">
        <v>219</v>
      </c>
      <c r="D345" s="332" t="s">
        <v>219</v>
      </c>
      <c r="E345" s="333" t="s">
        <v>151</v>
      </c>
      <c r="F345" s="332"/>
      <c r="G345" s="334" t="str">
        <f t="array" ref="G345">IF(B345="insumo",_xlfn.XLOOKUP($D345,Insumos!$B$1:$B$996,Insumos!$D$1:$D$996),"")</f>
        <v/>
      </c>
      <c r="H345" s="334">
        <v>693.66</v>
      </c>
      <c r="I345" s="335">
        <v>0</v>
      </c>
      <c r="J345" s="335">
        <v>0</v>
      </c>
      <c r="K345" s="335"/>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70</v>
      </c>
      <c r="C346" s="10" t="s">
        <v>219</v>
      </c>
      <c r="D346" s="10" t="s">
        <v>220</v>
      </c>
      <c r="E346" s="11" t="str">
        <f t="array" ref="E346">_xlfn.XLOOKUP(D346,Insumos!B:B,Insumos!C:$C)</f>
        <v>M3</v>
      </c>
      <c r="F346" s="14">
        <v>1.3</v>
      </c>
      <c r="G346" s="87">
        <f t="array" ref="G346">IF(B346="insumo",_xlfn.XLOOKUP($D346,Insumos!$B$1:$B$996,Insumos!$D$1:$D$996),"")</f>
        <v>492.99999999999994</v>
      </c>
      <c r="H346" s="87">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70</v>
      </c>
      <c r="C347" s="10" t="s">
        <v>219</v>
      </c>
      <c r="D347" s="10" t="s">
        <v>158</v>
      </c>
      <c r="E347" s="11" t="str">
        <f t="array" ref="E347">_xlfn.XLOOKUP(D347,Insumos!B:B,Insumos!C:$C)</f>
        <v>M3</v>
      </c>
      <c r="F347" s="14">
        <v>1.3</v>
      </c>
      <c r="G347" s="87">
        <f t="array" ref="G347">IF(B347="insumo",_xlfn.XLOOKUP($D347,Insumos!$B$1:$B$996,Insumos!$D$1:$D$996),"")</f>
        <v>40</v>
      </c>
      <c r="H347" s="87">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70</v>
      </c>
      <c r="C348" s="10" t="s">
        <v>219</v>
      </c>
      <c r="D348" s="10" t="s">
        <v>159</v>
      </c>
      <c r="E348" s="11" t="str">
        <f t="array" ref="E348">_xlfn.XLOOKUP(D348,Insumos!B:B,Insumos!C:$C)</f>
        <v>KG</v>
      </c>
      <c r="F348" s="14">
        <v>1</v>
      </c>
      <c r="G348" s="87">
        <f t="array" ref="G348">IF(B348="insumo",_xlfn.XLOOKUP($D348,Insumos!$B$1:$B$996,Insumos!$D$1:$D$996),"")</f>
        <v>0.76</v>
      </c>
      <c r="H348" s="87">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332">
        <v>1</v>
      </c>
      <c r="B349" s="332" t="s">
        <v>67</v>
      </c>
      <c r="C349" s="332" t="s">
        <v>221</v>
      </c>
      <c r="D349" s="332" t="s">
        <v>221</v>
      </c>
      <c r="E349" s="333" t="s">
        <v>151</v>
      </c>
      <c r="F349" s="332"/>
      <c r="G349" s="334" t="str">
        <f t="array" ref="G349">IF(B349="insumo",_xlfn.XLOOKUP($D349,Insumos!$B$1:$B$996,Insumos!$D$1:$D$996),"")</f>
        <v/>
      </c>
      <c r="H349" s="334">
        <v>725.70500000000004</v>
      </c>
      <c r="I349" s="335">
        <v>0</v>
      </c>
      <c r="J349" s="335">
        <v>0</v>
      </c>
      <c r="K349" s="335"/>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70</v>
      </c>
      <c r="C350" s="10" t="s">
        <v>221</v>
      </c>
      <c r="D350" s="10" t="s">
        <v>222</v>
      </c>
      <c r="E350" s="11" t="str">
        <f t="array" ref="E350">_xlfn.XLOOKUP(D350,Insumos!B:B,Insumos!C:$C)</f>
        <v>M3</v>
      </c>
      <c r="F350" s="14">
        <v>1.3</v>
      </c>
      <c r="G350" s="87">
        <f t="array" ref="G350">IF(B350="insumo",_xlfn.XLOOKUP($D350,Insumos!$B$1:$B$996,Insumos!$D$1:$D$996),"")</f>
        <v>517.65</v>
      </c>
      <c r="H350" s="87">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70</v>
      </c>
      <c r="C351" s="10" t="s">
        <v>221</v>
      </c>
      <c r="D351" s="10" t="s">
        <v>158</v>
      </c>
      <c r="E351" s="11" t="str">
        <f t="array" ref="E351">_xlfn.XLOOKUP(D351,Insumos!B:B,Insumos!C:$C)</f>
        <v>M3</v>
      </c>
      <c r="F351" s="14">
        <v>1.3</v>
      </c>
      <c r="G351" s="87">
        <f t="array" ref="G351">IF(B351="insumo",_xlfn.XLOOKUP($D351,Insumos!$B$1:$B$996,Insumos!$D$1:$D$996),"")</f>
        <v>40</v>
      </c>
      <c r="H351" s="87">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70</v>
      </c>
      <c r="C352" s="10" t="s">
        <v>221</v>
      </c>
      <c r="D352" s="10" t="s">
        <v>159</v>
      </c>
      <c r="E352" s="11" t="str">
        <f t="array" ref="E352">_xlfn.XLOOKUP(D352,Insumos!B:B,Insumos!C:$C)</f>
        <v>KG</v>
      </c>
      <c r="F352" s="14">
        <v>1</v>
      </c>
      <c r="G352" s="87">
        <f t="array" ref="G352">IF(B352="insumo",_xlfn.XLOOKUP($D352,Insumos!$B$1:$B$996,Insumos!$D$1:$D$996),"")</f>
        <v>0.76</v>
      </c>
      <c r="H352" s="87">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332">
        <v>1</v>
      </c>
      <c r="B353" s="332" t="s">
        <v>67</v>
      </c>
      <c r="C353" s="332" t="s">
        <v>223</v>
      </c>
      <c r="D353" s="332" t="s">
        <v>223</v>
      </c>
      <c r="E353" s="333" t="s">
        <v>151</v>
      </c>
      <c r="F353" s="332"/>
      <c r="G353" s="334" t="str">
        <f t="array" ref="G353">IF(B353="insumo",_xlfn.XLOOKUP($D353,Insumos!$B$1:$B$996,Insumos!$D$1:$D$996),"")</f>
        <v/>
      </c>
      <c r="H353" s="334">
        <v>787.26</v>
      </c>
      <c r="I353" s="335">
        <v>0</v>
      </c>
      <c r="J353" s="335">
        <v>0</v>
      </c>
      <c r="K353" s="335"/>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70</v>
      </c>
      <c r="C354" s="10" t="s">
        <v>223</v>
      </c>
      <c r="D354" s="10" t="s">
        <v>224</v>
      </c>
      <c r="E354" s="11" t="str">
        <f t="array" ref="E354">_xlfn.XLOOKUP(D354,Insumos!B:B,Insumos!C:$C)</f>
        <v>M3</v>
      </c>
      <c r="F354" s="14">
        <v>1.3</v>
      </c>
      <c r="G354" s="87">
        <f t="array" ref="G354">IF(B354="insumo",_xlfn.XLOOKUP($D354,Insumos!$B$1:$B$996,Insumos!$D$1:$D$996),"")</f>
        <v>565</v>
      </c>
      <c r="H354" s="87">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70</v>
      </c>
      <c r="C355" s="10" t="s">
        <v>223</v>
      </c>
      <c r="D355" s="10" t="s">
        <v>158</v>
      </c>
      <c r="E355" s="11" t="str">
        <f t="array" ref="E355">_xlfn.XLOOKUP(D355,Insumos!B:B,Insumos!C:$C)</f>
        <v>M3</v>
      </c>
      <c r="F355" s="14">
        <v>1.3</v>
      </c>
      <c r="G355" s="87">
        <f t="array" ref="G355">IF(B355="insumo",_xlfn.XLOOKUP($D355,Insumos!$B$1:$B$996,Insumos!$D$1:$D$996),"")</f>
        <v>40</v>
      </c>
      <c r="H355" s="87">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70</v>
      </c>
      <c r="C356" s="10" t="s">
        <v>223</v>
      </c>
      <c r="D356" s="10" t="s">
        <v>159</v>
      </c>
      <c r="E356" s="11" t="str">
        <f t="array" ref="E356">_xlfn.XLOOKUP(D356,Insumos!B:B,Insumos!C:$C)</f>
        <v>KG</v>
      </c>
      <c r="F356" s="14">
        <v>1</v>
      </c>
      <c r="G356" s="87">
        <f t="array" ref="G356">IF(B356="insumo",_xlfn.XLOOKUP($D356,Insumos!$B$1:$B$996,Insumos!$D$1:$D$996),"")</f>
        <v>0.76</v>
      </c>
      <c r="H356" s="87">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332">
        <v>1</v>
      </c>
      <c r="B357" s="332" t="s">
        <v>67</v>
      </c>
      <c r="C357" s="332" t="s">
        <v>225</v>
      </c>
      <c r="D357" s="332" t="s">
        <v>225</v>
      </c>
      <c r="E357" s="333" t="s">
        <v>151</v>
      </c>
      <c r="F357" s="332"/>
      <c r="G357" s="334" t="str">
        <f t="array" ref="G357">IF(B357="insumo",_xlfn.XLOOKUP($D357,Insumos!$B$1:$B$996,Insumos!$D$1:$D$996),"")</f>
        <v/>
      </c>
      <c r="H357" s="334">
        <v>741.76</v>
      </c>
      <c r="I357" s="335">
        <v>0</v>
      </c>
      <c r="J357" s="335">
        <v>0</v>
      </c>
      <c r="K357" s="335"/>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70</v>
      </c>
      <c r="C358" s="10" t="s">
        <v>225</v>
      </c>
      <c r="D358" s="10" t="s">
        <v>226</v>
      </c>
      <c r="E358" s="11" t="str">
        <f t="array" ref="E358">_xlfn.XLOOKUP(D358,Insumos!B:B,Insumos!C:$C)</f>
        <v>M3</v>
      </c>
      <c r="F358" s="14">
        <v>1.3</v>
      </c>
      <c r="G358" s="87">
        <f t="array" ref="G358">IF(B358="insumo",_xlfn.XLOOKUP($D358,Insumos!$B$1:$B$996,Insumos!$D$1:$D$996),"")</f>
        <v>530</v>
      </c>
      <c r="H358" s="87">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70</v>
      </c>
      <c r="C359" s="10" t="s">
        <v>225</v>
      </c>
      <c r="D359" s="10" t="s">
        <v>158</v>
      </c>
      <c r="E359" s="11" t="str">
        <f t="array" ref="E359">_xlfn.XLOOKUP(D359,Insumos!B:B,Insumos!C:$C)</f>
        <v>M3</v>
      </c>
      <c r="F359" s="14">
        <v>1.3</v>
      </c>
      <c r="G359" s="87">
        <f t="array" ref="G359">IF(B359="insumo",_xlfn.XLOOKUP($D359,Insumos!$B$1:$B$996,Insumos!$D$1:$D$996),"")</f>
        <v>40</v>
      </c>
      <c r="H359" s="87">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70</v>
      </c>
      <c r="C360" s="10" t="s">
        <v>225</v>
      </c>
      <c r="D360" s="10" t="s">
        <v>159</v>
      </c>
      <c r="E360" s="11" t="str">
        <f t="array" ref="E360">_xlfn.XLOOKUP(D360,Insumos!B:B,Insumos!C:$C)</f>
        <v>KG</v>
      </c>
      <c r="F360" s="14">
        <v>1</v>
      </c>
      <c r="G360" s="87">
        <f t="array" ref="G360">IF(B360="insumo",_xlfn.XLOOKUP($D360,Insumos!$B$1:$B$996,Insumos!$D$1:$D$996),"")</f>
        <v>0.76</v>
      </c>
      <c r="H360" s="87">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332">
        <v>1</v>
      </c>
      <c r="B361" s="332" t="s">
        <v>67</v>
      </c>
      <c r="C361" s="332" t="s">
        <v>2816</v>
      </c>
      <c r="D361" s="332" t="s">
        <v>2816</v>
      </c>
      <c r="E361" s="333" t="s">
        <v>151</v>
      </c>
      <c r="F361" s="332"/>
      <c r="G361" s="334" t="str">
        <f t="array" ref="G361">IF(B361="insumo",_xlfn.XLOOKUP($D361,Insumos!$B$1:$B$996,Insumos!$D$1:$D$996),"")</f>
        <v/>
      </c>
      <c r="H361" s="334">
        <v>941.83</v>
      </c>
      <c r="I361" s="335">
        <v>1903.42815695698</v>
      </c>
      <c r="J361" s="335">
        <v>1792705.74106679</v>
      </c>
      <c r="K361" s="335"/>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70</v>
      </c>
      <c r="C362" s="10" t="s">
        <v>2816</v>
      </c>
      <c r="D362" s="10" t="s">
        <v>1572</v>
      </c>
      <c r="E362" s="11" t="str">
        <f t="array" ref="E362">_xlfn.XLOOKUP(D362,Insumos!B:B,Insumos!C:$C)</f>
        <v>M3</v>
      </c>
      <c r="F362" s="14">
        <v>1.3</v>
      </c>
      <c r="G362" s="87">
        <f>IF(B362="insumo",_xlfn.XLOOKUP($D362,Insumos!$B$1:$B$996,Insumos!$D$1:$D$996),"")</f>
        <v>683.9</v>
      </c>
      <c r="H362" s="87">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70</v>
      </c>
      <c r="C363" s="10" t="s">
        <v>2816</v>
      </c>
      <c r="D363" s="10" t="s">
        <v>158</v>
      </c>
      <c r="E363" s="11" t="str">
        <f t="array" ref="E363">_xlfn.XLOOKUP(D363,Insumos!B:B,Insumos!C:$C)</f>
        <v>M3</v>
      </c>
      <c r="F363" s="14">
        <v>1.3</v>
      </c>
      <c r="G363" s="87">
        <f t="array" ref="G363">IF(B363="insumo",_xlfn.XLOOKUP($D363,Insumos!$B$1:$B$996,Insumos!$D$1:$D$996),"")</f>
        <v>40</v>
      </c>
      <c r="H363" s="87">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70</v>
      </c>
      <c r="C364" s="10" t="s">
        <v>2816</v>
      </c>
      <c r="D364" s="10" t="s">
        <v>159</v>
      </c>
      <c r="E364" s="11" t="str">
        <f t="array" ref="E364">_xlfn.XLOOKUP(D364,Insumos!B:B,Insumos!C:$C)</f>
        <v>KG</v>
      </c>
      <c r="F364" s="14">
        <v>1</v>
      </c>
      <c r="G364" s="87">
        <f t="array" ref="G364">IF(B364="insumo",_xlfn.XLOOKUP($D364,Insumos!$B$1:$B$996,Insumos!$D$1:$D$996),"")</f>
        <v>0.76</v>
      </c>
      <c r="H364" s="87">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355">
        <v>6</v>
      </c>
      <c r="B365" s="355" t="s">
        <v>1227</v>
      </c>
      <c r="C365" s="355" t="s">
        <v>2816</v>
      </c>
      <c r="D365" s="355" t="s">
        <v>1423</v>
      </c>
      <c r="E365" s="356"/>
      <c r="F365" s="357"/>
      <c r="G365" s="356"/>
      <c r="H365" s="356">
        <v>0</v>
      </c>
      <c r="I365" s="357">
        <v>0</v>
      </c>
      <c r="J365" s="357">
        <v>0</v>
      </c>
      <c r="K365" s="357"/>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332">
        <v>1</v>
      </c>
      <c r="B366" s="332" t="s">
        <v>67</v>
      </c>
      <c r="C366" s="332" t="s">
        <v>227</v>
      </c>
      <c r="D366" s="332" t="s">
        <v>227</v>
      </c>
      <c r="E366" s="333" t="s">
        <v>196</v>
      </c>
      <c r="F366" s="332"/>
      <c r="G366" s="334" t="str">
        <f t="array" ref="G366">IF(B366="insumo",_xlfn.XLOOKUP($D366,Insumos!$B$1:$B$996,Insumos!$D$1:$D$996),"")</f>
        <v/>
      </c>
      <c r="H366" s="334">
        <v>300</v>
      </c>
      <c r="I366" s="335">
        <v>0</v>
      </c>
      <c r="J366" s="335">
        <v>0</v>
      </c>
      <c r="K366" s="335"/>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70</v>
      </c>
      <c r="C367" s="10" t="s">
        <v>227</v>
      </c>
      <c r="D367" s="10" t="s">
        <v>228</v>
      </c>
      <c r="E367" s="11" t="str">
        <f t="array" ref="E367">_xlfn.XLOOKUP(D367,Insumos!B:B,Insumos!C:$C)</f>
        <v>UN</v>
      </c>
      <c r="F367" s="14">
        <v>1</v>
      </c>
      <c r="G367" s="87">
        <f t="array" ref="G367">IF(B367="insumo",_xlfn.XLOOKUP($D367,Insumos!$B$1:$B$996,Insumos!$D$1:$D$996),"")</f>
        <v>300</v>
      </c>
      <c r="H367" s="87">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65</v>
      </c>
      <c r="C368" s="7" t="s">
        <v>227</v>
      </c>
      <c r="D368" s="7" t="s">
        <v>229</v>
      </c>
      <c r="E368" s="8"/>
      <c r="F368" s="9"/>
      <c r="G368" s="86" t="str">
        <f t="array" ref="G368">IF(B368="insumo",_xlfn.XLOOKUP($D368,Insumos!$B$1:$B$996,Insumos!$D$1:$D$996),"")</f>
        <v/>
      </c>
      <c r="H368" s="86">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355">
        <v>3</v>
      </c>
      <c r="B369" s="355" t="s">
        <v>1227</v>
      </c>
      <c r="C369" s="355" t="s">
        <v>227</v>
      </c>
      <c r="D369" s="355" t="s">
        <v>1670</v>
      </c>
      <c r="E369" s="356"/>
      <c r="F369" s="357"/>
      <c r="G369" s="356"/>
      <c r="H369" s="356">
        <v>0</v>
      </c>
      <c r="I369" s="357">
        <v>0</v>
      </c>
      <c r="J369" s="357">
        <v>0</v>
      </c>
      <c r="K369" s="357"/>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332">
        <v>1</v>
      </c>
      <c r="B370" s="332" t="s">
        <v>67</v>
      </c>
      <c r="C370" s="332" t="s">
        <v>230</v>
      </c>
      <c r="D370" s="332" t="s">
        <v>230</v>
      </c>
      <c r="E370" s="333" t="s">
        <v>69</v>
      </c>
      <c r="F370" s="332"/>
      <c r="G370" s="334" t="str">
        <f t="array" ref="G370">IF(B370="insumo",_xlfn.XLOOKUP($D370,Insumos!$B$1:$B$996,Insumos!$D$1:$D$996),"")</f>
        <v/>
      </c>
      <c r="H370" s="334">
        <v>59.956228571428603</v>
      </c>
      <c r="I370" s="335">
        <v>581.69560000000001</v>
      </c>
      <c r="J370" s="335">
        <v>34876.274352594301</v>
      </c>
      <c r="K370" s="335"/>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70</v>
      </c>
      <c r="C371" s="10" t="s">
        <v>230</v>
      </c>
      <c r="D371" s="10" t="s">
        <v>231</v>
      </c>
      <c r="E371" s="11" t="str">
        <f t="array" ref="E371">_xlfn.XLOOKUP(D371,Insumos!B:B,Insumos!C:$C)</f>
        <v>KG</v>
      </c>
      <c r="F371" s="14">
        <v>1.0999999999999999E-2</v>
      </c>
      <c r="G371" s="87">
        <f t="array" ref="G371">IF(B371="insumo",_xlfn.XLOOKUP($D371,Insumos!$B$1:$B$996,Insumos!$D$1:$D$996),"")</f>
        <v>18.8</v>
      </c>
      <c r="H371" s="87">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70</v>
      </c>
      <c r="C372" s="10" t="s">
        <v>230</v>
      </c>
      <c r="D372" s="10" t="s">
        <v>86</v>
      </c>
      <c r="E372" s="11" t="str">
        <f t="array" ref="E372">_xlfn.XLOOKUP(D372,Insumos!B:B,Insumos!C:$C)</f>
        <v>KG</v>
      </c>
      <c r="F372" s="14">
        <v>9.5000000000000001E-2</v>
      </c>
      <c r="G372" s="87">
        <f t="array" ref="G372">IF(B372="insumo",_xlfn.XLOOKUP($D372,Insumos!$B$1:$B$996,Insumos!$D$1:$D$996),"")</f>
        <v>18.13</v>
      </c>
      <c r="H372" s="87">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70</v>
      </c>
      <c r="C373" s="10" t="s">
        <v>230</v>
      </c>
      <c r="D373" s="10" t="s">
        <v>232</v>
      </c>
      <c r="E373" s="11" t="str">
        <f t="array" ref="E373">_xlfn.XLOOKUP(D373,Insumos!B:B,Insumos!C:$C)</f>
        <v>L</v>
      </c>
      <c r="F373" s="14">
        <v>1.7000000000000001E-2</v>
      </c>
      <c r="G373" s="87">
        <f t="array" ref="G373">IF(B373="insumo",_xlfn.XLOOKUP($D373,Insumos!$B$1:$B$996,Insumos!$D$1:$D$996),"")</f>
        <v>15.55</v>
      </c>
      <c r="H373" s="87">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70</v>
      </c>
      <c r="C374" s="10" t="s">
        <v>230</v>
      </c>
      <c r="D374" s="10" t="s">
        <v>83</v>
      </c>
      <c r="E374" s="11" t="str">
        <f t="array" ref="E374">_xlfn.XLOOKUP(D374,Insumos!B:B,Insumos!C:$C)</f>
        <v>M</v>
      </c>
      <c r="F374" s="14">
        <v>0.73714285714285721</v>
      </c>
      <c r="G374" s="87">
        <f t="array" ref="G374">IF(B374="insumo",_xlfn.XLOOKUP($D374,Insumos!$B$1:$B$996,Insumos!$D$1:$D$996),"")</f>
        <v>7</v>
      </c>
      <c r="H374" s="87">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70</v>
      </c>
      <c r="C375" s="10" t="s">
        <v>230</v>
      </c>
      <c r="D375" s="10" t="s">
        <v>128</v>
      </c>
      <c r="E375" s="11" t="str">
        <f t="array" ref="E375">_xlfn.XLOOKUP(D375,Insumos!B:B,Insumos!C:$C)</f>
        <v>M3</v>
      </c>
      <c r="F375" s="14">
        <v>2.638095238095238E-3</v>
      </c>
      <c r="G375" s="87">
        <f t="array" ref="G375">IF(B375="insumo",_xlfn.XLOOKUP($D375,Insumos!$B$1:$B$996,Insumos!$D$1:$D$996),"")</f>
        <v>1350</v>
      </c>
      <c r="H375" s="87">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70</v>
      </c>
      <c r="C376" s="10" t="s">
        <v>230</v>
      </c>
      <c r="D376" s="10" t="s">
        <v>233</v>
      </c>
      <c r="E376" s="11" t="str">
        <f t="array" ref="E376">_xlfn.XLOOKUP(D376,Insumos!B:B,Insumos!C:$C)</f>
        <v>M</v>
      </c>
      <c r="F376" s="14">
        <v>1.155</v>
      </c>
      <c r="G376" s="87">
        <f t="array" ref="G376">IF(B376="insumo",_xlfn.XLOOKUP($D376,Insumos!$B$1:$B$996,Insumos!$D$1:$D$996),"")</f>
        <v>42.46</v>
      </c>
      <c r="H376" s="87">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332">
        <v>1</v>
      </c>
      <c r="B377" s="332" t="s">
        <v>67</v>
      </c>
      <c r="C377" s="332" t="s">
        <v>234</v>
      </c>
      <c r="D377" s="332" t="s">
        <v>234</v>
      </c>
      <c r="E377" s="333" t="s">
        <v>69</v>
      </c>
      <c r="F377" s="332"/>
      <c r="G377" s="334" t="str">
        <f t="array" ref="G377">IF(B377="insumo",_xlfn.XLOOKUP($D377,Insumos!$B$1:$B$996,Insumos!$D$1:$D$996),"")</f>
        <v/>
      </c>
      <c r="H377" s="334">
        <v>59.956228571428603</v>
      </c>
      <c r="I377" s="335">
        <v>0</v>
      </c>
      <c r="J377" s="335">
        <v>0</v>
      </c>
      <c r="K377" s="335"/>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70</v>
      </c>
      <c r="C378" s="10" t="s">
        <v>234</v>
      </c>
      <c r="D378" s="10" t="s">
        <v>231</v>
      </c>
      <c r="E378" s="11" t="str">
        <f t="array" ref="E378">_xlfn.XLOOKUP(D378,Insumos!B:B,Insumos!C:$C)</f>
        <v>KG</v>
      </c>
      <c r="F378" s="14">
        <v>1.0999999999999999E-2</v>
      </c>
      <c r="G378" s="87">
        <f t="array" ref="G378">IF(B378="insumo",_xlfn.XLOOKUP($D378,Insumos!$B$1:$B$996,Insumos!$D$1:$D$996),"")</f>
        <v>18.8</v>
      </c>
      <c r="H378" s="87">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70</v>
      </c>
      <c r="C379" s="10" t="s">
        <v>234</v>
      </c>
      <c r="D379" s="10" t="s">
        <v>86</v>
      </c>
      <c r="E379" s="11" t="str">
        <f t="array" ref="E379">_xlfn.XLOOKUP(D379,Insumos!B:B,Insumos!C:$C)</f>
        <v>KG</v>
      </c>
      <c r="F379" s="14">
        <v>9.5000000000000001E-2</v>
      </c>
      <c r="G379" s="87">
        <f t="array" ref="G379">IF(B379="insumo",_xlfn.XLOOKUP($D379,Insumos!$B$1:$B$996,Insumos!$D$1:$D$996),"")</f>
        <v>18.13</v>
      </c>
      <c r="H379" s="87">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70</v>
      </c>
      <c r="C380" s="10" t="s">
        <v>234</v>
      </c>
      <c r="D380" s="10" t="s">
        <v>232</v>
      </c>
      <c r="E380" s="11" t="str">
        <f t="array" ref="E380">_xlfn.XLOOKUP(D380,Insumos!B:B,Insumos!C:$C)</f>
        <v>L</v>
      </c>
      <c r="F380" s="14">
        <v>1.7000000000000001E-2</v>
      </c>
      <c r="G380" s="87">
        <f t="array" ref="G380">IF(B380="insumo",_xlfn.XLOOKUP($D380,Insumos!$B$1:$B$996,Insumos!$D$1:$D$996),"")</f>
        <v>15.55</v>
      </c>
      <c r="H380" s="87">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70</v>
      </c>
      <c r="C381" s="10" t="s">
        <v>234</v>
      </c>
      <c r="D381" s="10" t="s">
        <v>83</v>
      </c>
      <c r="E381" s="11" t="str">
        <f t="array" ref="E381">_xlfn.XLOOKUP(D381,Insumos!B:B,Insumos!C:$C)</f>
        <v>M</v>
      </c>
      <c r="F381" s="14">
        <v>0.73714285714285721</v>
      </c>
      <c r="G381" s="87">
        <f t="array" ref="G381">IF(B381="insumo",_xlfn.XLOOKUP($D381,Insumos!$B$1:$B$996,Insumos!$D$1:$D$996),"")</f>
        <v>7</v>
      </c>
      <c r="H381" s="87">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70</v>
      </c>
      <c r="C382" s="10" t="s">
        <v>234</v>
      </c>
      <c r="D382" s="10" t="s">
        <v>128</v>
      </c>
      <c r="E382" s="11" t="str">
        <f t="array" ref="E382">_xlfn.XLOOKUP(D382,Insumos!B:B,Insumos!C:$C)</f>
        <v>M3</v>
      </c>
      <c r="F382" s="14">
        <v>2.638095238095238E-3</v>
      </c>
      <c r="G382" s="87">
        <f t="array" ref="G382">IF(B382="insumo",_xlfn.XLOOKUP($D382,Insumos!$B$1:$B$996,Insumos!$D$1:$D$996),"")</f>
        <v>1350</v>
      </c>
      <c r="H382" s="87">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70</v>
      </c>
      <c r="C383" s="10" t="s">
        <v>234</v>
      </c>
      <c r="D383" s="10" t="s">
        <v>233</v>
      </c>
      <c r="E383" s="11" t="str">
        <f t="array" ref="E383">_xlfn.XLOOKUP(D383,Insumos!B:B,Insumos!C:$C)</f>
        <v>M</v>
      </c>
      <c r="F383" s="14">
        <v>1.155</v>
      </c>
      <c r="G383" s="87">
        <f t="array" ref="G383">IF(B383="insumo",_xlfn.XLOOKUP($D383,Insumos!$B$1:$B$996,Insumos!$D$1:$D$996),"")</f>
        <v>42.46</v>
      </c>
      <c r="H383" s="87">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355">
        <v>4</v>
      </c>
      <c r="B384" s="355" t="s">
        <v>1227</v>
      </c>
      <c r="C384" s="355" t="s">
        <v>234</v>
      </c>
      <c r="D384" s="355" t="s">
        <v>1671</v>
      </c>
      <c r="E384" s="356"/>
      <c r="F384" s="357"/>
      <c r="G384" s="356"/>
      <c r="H384" s="356">
        <v>0</v>
      </c>
      <c r="I384" s="357">
        <v>0</v>
      </c>
      <c r="J384" s="357">
        <v>0</v>
      </c>
      <c r="K384" s="357"/>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332">
        <v>1</v>
      </c>
      <c r="B385" s="332" t="s">
        <v>67</v>
      </c>
      <c r="C385" s="332" t="s">
        <v>1292</v>
      </c>
      <c r="D385" s="332" t="s">
        <v>1292</v>
      </c>
      <c r="E385" s="333" t="s">
        <v>205</v>
      </c>
      <c r="F385" s="332"/>
      <c r="G385" s="334" t="str">
        <f t="array" ref="G385">IF(B385="insumo",_xlfn.XLOOKUP($D385,Insumos!$B$1:$B$996,Insumos!$D$1:$D$996),"")</f>
        <v/>
      </c>
      <c r="H385" s="334">
        <v>7.0532266249184001</v>
      </c>
      <c r="I385" s="335">
        <v>0</v>
      </c>
      <c r="J385" s="335">
        <v>0</v>
      </c>
      <c r="K385" s="335"/>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70</v>
      </c>
      <c r="C386" s="10" t="s">
        <v>1292</v>
      </c>
      <c r="D386" s="10" t="s">
        <v>218</v>
      </c>
      <c r="E386" s="11" t="str">
        <f t="array" ref="E386">_xlfn.XLOOKUP(D386,Insumos!B:B,Insumos!C:$C)</f>
        <v>KG</v>
      </c>
      <c r="F386" s="14">
        <v>1.1000000000000001</v>
      </c>
      <c r="G386" s="87">
        <f t="array" ref="G386">IF(B386="insumo",_xlfn.XLOOKUP($D386,Insumos!$B$1:$B$996,Insumos!$D$1:$D$996),"")</f>
        <v>6.1446196590167288</v>
      </c>
      <c r="H386" s="87">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70</v>
      </c>
      <c r="C387" s="10" t="s">
        <v>1292</v>
      </c>
      <c r="D387" s="10" t="s">
        <v>207</v>
      </c>
      <c r="E387" s="11" t="str">
        <f t="array" ref="E387">_xlfn.XLOOKUP(D387,Insumos!B:B,Insumos!C:$C)</f>
        <v>KG</v>
      </c>
      <c r="F387" s="14">
        <v>2.0500000000000001E-2</v>
      </c>
      <c r="G387" s="87">
        <f t="array" ref="G387">IF(B387="insumo",_xlfn.XLOOKUP($D387,Insumos!$B$1:$B$996,Insumos!$D$1:$D$996),"")</f>
        <v>13.69</v>
      </c>
      <c r="H387" s="87">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70</v>
      </c>
      <c r="C388" s="10" t="s">
        <v>1292</v>
      </c>
      <c r="D388" s="10" t="s">
        <v>208</v>
      </c>
      <c r="E388" s="11" t="str">
        <f t="array" ref="E388">_xlfn.XLOOKUP(D388,Insumos!B:B,Insumos!C:$C)</f>
        <v>UN</v>
      </c>
      <c r="F388" s="14">
        <v>0.05</v>
      </c>
      <c r="G388" s="87">
        <f t="array" ref="G388">IF(B388="insumo",_xlfn.XLOOKUP($D388,Insumos!$B$1:$B$996,Insumos!$D$1:$D$996),"")</f>
        <v>0.27</v>
      </c>
      <c r="H388" s="87">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332">
        <v>1</v>
      </c>
      <c r="B389" s="332" t="s">
        <v>67</v>
      </c>
      <c r="C389" s="332" t="s">
        <v>235</v>
      </c>
      <c r="D389" s="332" t="s">
        <v>235</v>
      </c>
      <c r="E389" s="333" t="s">
        <v>205</v>
      </c>
      <c r="F389" s="332"/>
      <c r="G389" s="334" t="str">
        <f t="array" ref="G389">IF(B389="insumo",_xlfn.XLOOKUP($D389,Insumos!$B$1:$B$996,Insumos!$D$1:$D$996),"")</f>
        <v/>
      </c>
      <c r="H389" s="334">
        <v>6.0795673937957</v>
      </c>
      <c r="I389" s="335">
        <v>0</v>
      </c>
      <c r="J389" s="335">
        <v>0</v>
      </c>
      <c r="K389" s="335"/>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70</v>
      </c>
      <c r="C390" s="10" t="s">
        <v>235</v>
      </c>
      <c r="D390" s="10" t="s">
        <v>206</v>
      </c>
      <c r="E390" s="11" t="str">
        <f t="array" ref="E390">_xlfn.XLOOKUP(D390,Insumos!B:B,Insumos!C:$C)</f>
        <v>KG</v>
      </c>
      <c r="F390" s="14">
        <v>1.1000000000000001</v>
      </c>
      <c r="G390" s="87">
        <f t="array" ref="G390">IF(B390="insumo",_xlfn.XLOOKUP($D390,Insumos!$B$1:$B$996,Insumos!$D$1:$D$996),"")</f>
        <v>5.2594749034506343</v>
      </c>
      <c r="H390" s="87">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70</v>
      </c>
      <c r="C391" s="10" t="s">
        <v>235</v>
      </c>
      <c r="D391" s="10" t="s">
        <v>207</v>
      </c>
      <c r="E391" s="11" t="str">
        <f t="array" ref="E391">_xlfn.XLOOKUP(D391,Insumos!B:B,Insumos!C:$C)</f>
        <v>KG</v>
      </c>
      <c r="F391" s="14">
        <v>2.0500000000000001E-2</v>
      </c>
      <c r="G391" s="87">
        <f t="array" ref="G391">IF(B391="insumo",_xlfn.XLOOKUP($D391,Insumos!$B$1:$B$996,Insumos!$D$1:$D$996),"")</f>
        <v>13.69</v>
      </c>
      <c r="H391" s="87">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70</v>
      </c>
      <c r="C392" s="10" t="s">
        <v>235</v>
      </c>
      <c r="D392" s="10" t="s">
        <v>208</v>
      </c>
      <c r="E392" s="11" t="str">
        <f t="array" ref="E392">_xlfn.XLOOKUP(D392,Insumos!B:B,Insumos!C:$C)</f>
        <v>UN</v>
      </c>
      <c r="F392" s="14">
        <v>0.05</v>
      </c>
      <c r="G392" s="87">
        <f t="array" ref="G392">IF(B392="insumo",_xlfn.XLOOKUP($D392,Insumos!$B$1:$B$996,Insumos!$D$1:$D$996),"")</f>
        <v>0.27</v>
      </c>
      <c r="H392" s="87">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332">
        <v>1</v>
      </c>
      <c r="B393" s="332" t="s">
        <v>67</v>
      </c>
      <c r="C393" s="332" t="s">
        <v>236</v>
      </c>
      <c r="D393" s="332" t="s">
        <v>236</v>
      </c>
      <c r="E393" s="333" t="s">
        <v>205</v>
      </c>
      <c r="F393" s="332"/>
      <c r="G393" s="334" t="str">
        <f t="array" ref="G393">IF(B393="insumo",_xlfn.XLOOKUP($D393,Insumos!$B$1:$B$996,Insumos!$D$1:$D$996),"")</f>
        <v/>
      </c>
      <c r="H393" s="334">
        <v>5.7114876589046197</v>
      </c>
      <c r="I393" s="335">
        <v>0</v>
      </c>
      <c r="J393" s="335">
        <v>0</v>
      </c>
      <c r="K393" s="335"/>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70</v>
      </c>
      <c r="C394" s="10" t="s">
        <v>236</v>
      </c>
      <c r="D394" s="10" t="s">
        <v>210</v>
      </c>
      <c r="E394" s="11" t="str">
        <f t="array" ref="E394">_xlfn.XLOOKUP(D394,Insumos!B:B,Insumos!C:$C)</f>
        <v>KG</v>
      </c>
      <c r="F394" s="14">
        <v>1.1000000000000001</v>
      </c>
      <c r="G394" s="87">
        <f t="array" ref="G394">IF(B394="insumo",_xlfn.XLOOKUP($D394,Insumos!$B$1:$B$996,Insumos!$D$1:$D$996),"")</f>
        <v>4.9248569626405612</v>
      </c>
      <c r="H394" s="87">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70</v>
      </c>
      <c r="C395" s="10" t="s">
        <v>236</v>
      </c>
      <c r="D395" s="10" t="s">
        <v>207</v>
      </c>
      <c r="E395" s="11" t="str">
        <f t="array" ref="E395">_xlfn.XLOOKUP(D395,Insumos!B:B,Insumos!C:$C)</f>
        <v>KG</v>
      </c>
      <c r="F395" s="14">
        <v>2.0500000000000001E-2</v>
      </c>
      <c r="G395" s="87">
        <f t="array" ref="G395">IF(B395="insumo",_xlfn.XLOOKUP($D395,Insumos!$B$1:$B$996,Insumos!$D$1:$D$996),"")</f>
        <v>13.69</v>
      </c>
      <c r="H395" s="87">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70</v>
      </c>
      <c r="C396" s="10" t="s">
        <v>236</v>
      </c>
      <c r="D396" s="10" t="s">
        <v>208</v>
      </c>
      <c r="E396" s="11" t="str">
        <f t="array" ref="E396">_xlfn.XLOOKUP(D396,Insumos!B:B,Insumos!C:$C)</f>
        <v>UN</v>
      </c>
      <c r="F396" s="14">
        <v>0.05</v>
      </c>
      <c r="G396" s="87">
        <f t="array" ref="G396">IF(B396="insumo",_xlfn.XLOOKUP($D396,Insumos!$B$1:$B$996,Insumos!$D$1:$D$996),"")</f>
        <v>0.27</v>
      </c>
      <c r="H396" s="87">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332">
        <v>1</v>
      </c>
      <c r="B397" s="332" t="s">
        <v>67</v>
      </c>
      <c r="C397" s="332" t="s">
        <v>237</v>
      </c>
      <c r="D397" s="332" t="s">
        <v>237</v>
      </c>
      <c r="E397" s="333" t="s">
        <v>205</v>
      </c>
      <c r="F397" s="332"/>
      <c r="G397" s="334" t="str">
        <f t="array" ref="G397">IF(B397="insumo",_xlfn.XLOOKUP($D397,Insumos!$B$1:$B$996,Insumos!$D$1:$D$996),"")</f>
        <v/>
      </c>
      <c r="H397" s="334">
        <v>5.5748977193202496</v>
      </c>
      <c r="I397" s="335">
        <v>0</v>
      </c>
      <c r="J397" s="335">
        <v>0</v>
      </c>
      <c r="K397" s="335"/>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70</v>
      </c>
      <c r="C398" s="10" t="s">
        <v>237</v>
      </c>
      <c r="D398" s="10" t="s">
        <v>212</v>
      </c>
      <c r="E398" s="11" t="str">
        <f t="array" ref="E398">_xlfn.XLOOKUP(D398,Insumos!B:B,Insumos!C:$C)</f>
        <v>KG</v>
      </c>
      <c r="F398" s="14">
        <v>1.1000000000000001</v>
      </c>
      <c r="G398" s="87">
        <f t="array" ref="G398">IF(B398="insumo",_xlfn.XLOOKUP($D398,Insumos!$B$1:$B$996,Insumos!$D$1:$D$996),"")</f>
        <v>4.80068429029114</v>
      </c>
      <c r="H398" s="87">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70</v>
      </c>
      <c r="C399" s="10" t="s">
        <v>237</v>
      </c>
      <c r="D399" s="10" t="s">
        <v>207</v>
      </c>
      <c r="E399" s="11" t="str">
        <f t="array" ref="E399">_xlfn.XLOOKUP(D399,Insumos!B:B,Insumos!C:$C)</f>
        <v>KG</v>
      </c>
      <c r="F399" s="14">
        <v>2.0500000000000001E-2</v>
      </c>
      <c r="G399" s="87">
        <f t="array" ref="G399">IF(B399="insumo",_xlfn.XLOOKUP($D399,Insumos!$B$1:$B$996,Insumos!$D$1:$D$996),"")</f>
        <v>13.69</v>
      </c>
      <c r="H399" s="87">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70</v>
      </c>
      <c r="C400" s="10" t="s">
        <v>237</v>
      </c>
      <c r="D400" s="10" t="s">
        <v>208</v>
      </c>
      <c r="E400" s="11" t="str">
        <f t="array" ref="E400">_xlfn.XLOOKUP(D400,Insumos!B:B,Insumos!C:$C)</f>
        <v>UN</v>
      </c>
      <c r="F400" s="14">
        <v>0.05</v>
      </c>
      <c r="G400" s="87">
        <f t="array" ref="G400">IF(B400="insumo",_xlfn.XLOOKUP($D400,Insumos!$B$1:$B$996,Insumos!$D$1:$D$996),"")</f>
        <v>0.27</v>
      </c>
      <c r="H400" s="87">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332">
        <v>1</v>
      </c>
      <c r="B401" s="332" t="s">
        <v>67</v>
      </c>
      <c r="C401" s="332" t="s">
        <v>238</v>
      </c>
      <c r="D401" s="332" t="s">
        <v>238</v>
      </c>
      <c r="E401" s="333" t="s">
        <v>205</v>
      </c>
      <c r="F401" s="332"/>
      <c r="G401" s="334" t="str">
        <f t="array" ref="G401">IF(B401="insumo",_xlfn.XLOOKUP($D401,Insumos!$B$1:$B$996,Insumos!$D$1:$D$996),"")</f>
        <v/>
      </c>
      <c r="H401" s="334">
        <v>5.8525390844687299</v>
      </c>
      <c r="I401" s="335">
        <v>0</v>
      </c>
      <c r="J401" s="335">
        <v>0</v>
      </c>
      <c r="K401" s="335"/>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70</v>
      </c>
      <c r="C402" s="10" t="s">
        <v>238</v>
      </c>
      <c r="D402" s="10" t="s">
        <v>239</v>
      </c>
      <c r="E402" s="11" t="str">
        <f t="array" ref="E402">_xlfn.XLOOKUP(D402,Insumos!B:B,Insumos!C:$C)</f>
        <v>KG</v>
      </c>
      <c r="F402" s="14">
        <v>1.1000000000000001</v>
      </c>
      <c r="G402" s="87">
        <f t="array" ref="G402">IF(B402="insumo",_xlfn.XLOOKUP($D402,Insumos!$B$1:$B$996,Insumos!$D$1:$D$996),"")</f>
        <v>5.0530855313352099</v>
      </c>
      <c r="H402" s="87">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70</v>
      </c>
      <c r="C403" s="10" t="s">
        <v>238</v>
      </c>
      <c r="D403" s="10" t="s">
        <v>207</v>
      </c>
      <c r="E403" s="11" t="str">
        <f t="array" ref="E403">_xlfn.XLOOKUP(D403,Insumos!B:B,Insumos!C:$C)</f>
        <v>KG</v>
      </c>
      <c r="F403" s="14">
        <v>2.0500000000000001E-2</v>
      </c>
      <c r="G403" s="87">
        <f t="array" ref="G403">IF(B403="insumo",_xlfn.XLOOKUP($D403,Insumos!$B$1:$B$996,Insumos!$D$1:$D$996),"")</f>
        <v>13.69</v>
      </c>
      <c r="H403" s="87">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70</v>
      </c>
      <c r="C404" s="10" t="s">
        <v>238</v>
      </c>
      <c r="D404" s="10" t="s">
        <v>208</v>
      </c>
      <c r="E404" s="11" t="str">
        <f t="array" ref="E404">_xlfn.XLOOKUP(D404,Insumos!B:B,Insumos!C:$C)</f>
        <v>UN</v>
      </c>
      <c r="F404" s="14">
        <v>0.05</v>
      </c>
      <c r="G404" s="87">
        <f t="array" ref="G404">IF(B404="insumo",_xlfn.XLOOKUP($D404,Insumos!$B$1:$B$996,Insumos!$D$1:$D$996),"")</f>
        <v>0.27</v>
      </c>
      <c r="H404" s="87">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332">
        <v>1</v>
      </c>
      <c r="B405" s="332" t="s">
        <v>67</v>
      </c>
      <c r="C405" s="332" t="s">
        <v>240</v>
      </c>
      <c r="D405" s="332" t="s">
        <v>240</v>
      </c>
      <c r="E405" s="333" t="s">
        <v>205</v>
      </c>
      <c r="F405" s="332"/>
      <c r="G405" s="334" t="str">
        <f t="array" ref="G405">IF(B405="insumo",_xlfn.XLOOKUP($D405,Insumos!$B$1:$B$996,Insumos!$D$1:$D$996),"")</f>
        <v/>
      </c>
      <c r="H405" s="334">
        <v>5.7287614493981804</v>
      </c>
      <c r="I405" s="335">
        <v>0</v>
      </c>
      <c r="J405" s="335">
        <v>0</v>
      </c>
      <c r="K405" s="335"/>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70</v>
      </c>
      <c r="C406" s="10" t="s">
        <v>240</v>
      </c>
      <c r="D406" s="10" t="s">
        <v>214</v>
      </c>
      <c r="E406" s="11" t="str">
        <f t="array" ref="E406">_xlfn.XLOOKUP(D406,Insumos!B:B,Insumos!C:$C)</f>
        <v>KG</v>
      </c>
      <c r="F406" s="14">
        <v>1.1000000000000001</v>
      </c>
      <c r="G406" s="87">
        <f t="array" ref="G406">IF(B406="insumo",_xlfn.XLOOKUP($D406,Insumos!$B$1:$B$996,Insumos!$D$1:$D$996),"")</f>
        <v>4.9405604085438029</v>
      </c>
      <c r="H406" s="87">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70</v>
      </c>
      <c r="C407" s="10" t="s">
        <v>240</v>
      </c>
      <c r="D407" s="10" t="s">
        <v>207</v>
      </c>
      <c r="E407" s="11" t="str">
        <f t="array" ref="E407">_xlfn.XLOOKUP(D407,Insumos!B:B,Insumos!C:$C)</f>
        <v>KG</v>
      </c>
      <c r="F407" s="14">
        <v>2.0500000000000001E-2</v>
      </c>
      <c r="G407" s="87">
        <f t="array" ref="G407">IF(B407="insumo",_xlfn.XLOOKUP($D407,Insumos!$B$1:$B$996,Insumos!$D$1:$D$996),"")</f>
        <v>13.69</v>
      </c>
      <c r="H407" s="87">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70</v>
      </c>
      <c r="C408" s="10" t="s">
        <v>240</v>
      </c>
      <c r="D408" s="10" t="s">
        <v>208</v>
      </c>
      <c r="E408" s="11" t="str">
        <f t="array" ref="E408">_xlfn.XLOOKUP(D408,Insumos!B:B,Insumos!C:$C)</f>
        <v>UN</v>
      </c>
      <c r="F408" s="14">
        <v>0.05</v>
      </c>
      <c r="G408" s="87">
        <f t="array" ref="G408">IF(B408="insumo",_xlfn.XLOOKUP($D408,Insumos!$B$1:$B$996,Insumos!$D$1:$D$996),"")</f>
        <v>0.27</v>
      </c>
      <c r="H408" s="87">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332">
        <v>1</v>
      </c>
      <c r="B409" s="332" t="s">
        <v>67</v>
      </c>
      <c r="C409" s="332" t="s">
        <v>241</v>
      </c>
      <c r="D409" s="332" t="s">
        <v>241</v>
      </c>
      <c r="E409" s="333" t="s">
        <v>205</v>
      </c>
      <c r="F409" s="332"/>
      <c r="G409" s="334" t="str">
        <f t="array" ref="G409">IF(B409="insumo",_xlfn.XLOOKUP($D409,Insumos!$B$1:$B$996,Insumos!$D$1:$D$996),"")</f>
        <v/>
      </c>
      <c r="H409" s="334">
        <v>5.8320238742016697</v>
      </c>
      <c r="I409" s="335">
        <v>0</v>
      </c>
      <c r="J409" s="335">
        <v>0</v>
      </c>
      <c r="K409" s="335"/>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70</v>
      </c>
      <c r="C410" s="10" t="s">
        <v>241</v>
      </c>
      <c r="D410" s="10" t="s">
        <v>216</v>
      </c>
      <c r="E410" s="11" t="str">
        <f t="array" ref="E410">_xlfn.XLOOKUP(D410,Insumos!B:B,Insumos!C:$C)</f>
        <v>KG</v>
      </c>
      <c r="F410" s="14">
        <v>1.1000000000000001</v>
      </c>
      <c r="G410" s="87">
        <f t="array" ref="G410">IF(B410="insumo",_xlfn.XLOOKUP($D410,Insumos!$B$1:$B$996,Insumos!$D$1:$D$996),"")</f>
        <v>5.0344353401833359</v>
      </c>
      <c r="H410" s="87">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70</v>
      </c>
      <c r="C411" s="10" t="s">
        <v>241</v>
      </c>
      <c r="D411" s="10" t="s">
        <v>207</v>
      </c>
      <c r="E411" s="11" t="str">
        <f t="array" ref="E411">_xlfn.XLOOKUP(D411,Insumos!B:B,Insumos!C:$C)</f>
        <v>KG</v>
      </c>
      <c r="F411" s="14">
        <v>2.0500000000000001E-2</v>
      </c>
      <c r="G411" s="87">
        <f t="array" ref="G411">IF(B411="insumo",_xlfn.XLOOKUP($D411,Insumos!$B$1:$B$996,Insumos!$D$1:$D$996),"")</f>
        <v>13.69</v>
      </c>
      <c r="H411" s="87">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70</v>
      </c>
      <c r="C412" s="10" t="s">
        <v>241</v>
      </c>
      <c r="D412" s="10" t="s">
        <v>208</v>
      </c>
      <c r="E412" s="11" t="str">
        <f t="array" ref="E412">_xlfn.XLOOKUP(D412,Insumos!B:B,Insumos!C:$C)</f>
        <v>UN</v>
      </c>
      <c r="F412" s="14">
        <v>0.05</v>
      </c>
      <c r="G412" s="87">
        <f t="array" ref="G412">IF(B412="insumo",_xlfn.XLOOKUP($D412,Insumos!$B$1:$B$996,Insumos!$D$1:$D$996),"")</f>
        <v>0.27</v>
      </c>
      <c r="H412" s="87">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332">
        <v>1</v>
      </c>
      <c r="B413" s="332" t="s">
        <v>67</v>
      </c>
      <c r="C413" s="332" t="s">
        <v>242</v>
      </c>
      <c r="D413" s="332" t="s">
        <v>242</v>
      </c>
      <c r="E413" s="333" t="s">
        <v>205</v>
      </c>
      <c r="F413" s="332"/>
      <c r="G413" s="334" t="str">
        <f t="array" ref="G413">IF(B413="insumo",_xlfn.XLOOKUP($D413,Insumos!$B$1:$B$996,Insumos!$D$1:$D$996),"")</f>
        <v/>
      </c>
      <c r="H413" s="334">
        <v>5.9710978475884398</v>
      </c>
      <c r="I413" s="335">
        <v>0</v>
      </c>
      <c r="J413" s="335">
        <v>0</v>
      </c>
      <c r="K413" s="335"/>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70</v>
      </c>
      <c r="C414" s="10" t="s">
        <v>242</v>
      </c>
      <c r="D414" s="10" t="s">
        <v>243</v>
      </c>
      <c r="E414" s="11" t="str">
        <f t="array" ref="E414">_xlfn.XLOOKUP(D414,Insumos!B:B,Insumos!C:$C)</f>
        <v>KG</v>
      </c>
      <c r="F414" s="14">
        <v>1.1000000000000001</v>
      </c>
      <c r="G414" s="87">
        <f t="array" ref="G414">IF(B414="insumo",_xlfn.XLOOKUP($D414,Insumos!$B$1:$B$996,Insumos!$D$1:$D$996),"")</f>
        <v>5.1608662250804</v>
      </c>
      <c r="H414" s="87">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70</v>
      </c>
      <c r="C415" s="10" t="s">
        <v>242</v>
      </c>
      <c r="D415" s="10" t="s">
        <v>207</v>
      </c>
      <c r="E415" s="11" t="str">
        <f t="array" ref="E415">_xlfn.XLOOKUP(D415,Insumos!B:B,Insumos!C:$C)</f>
        <v>KG</v>
      </c>
      <c r="F415" s="14">
        <v>2.0500000000000001E-2</v>
      </c>
      <c r="G415" s="87">
        <f t="array" ref="G415">IF(B415="insumo",_xlfn.XLOOKUP($D415,Insumos!$B$1:$B$996,Insumos!$D$1:$D$996),"")</f>
        <v>13.69</v>
      </c>
      <c r="H415" s="87">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70</v>
      </c>
      <c r="C416" s="10" t="s">
        <v>242</v>
      </c>
      <c r="D416" s="10" t="s">
        <v>208</v>
      </c>
      <c r="E416" s="11" t="str">
        <f t="array" ref="E416">_xlfn.XLOOKUP(D416,Insumos!B:B,Insumos!C:$C)</f>
        <v>UN</v>
      </c>
      <c r="F416" s="14">
        <v>0.05</v>
      </c>
      <c r="G416" s="87">
        <f t="array" ref="G416">IF(B416="insumo",_xlfn.XLOOKUP($D416,Insumos!$B$1:$B$996,Insumos!$D$1:$D$996),"")</f>
        <v>0.27</v>
      </c>
      <c r="H416" s="87">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332">
        <v>1</v>
      </c>
      <c r="B417" s="332" t="s">
        <v>67</v>
      </c>
      <c r="C417" s="332" t="s">
        <v>244</v>
      </c>
      <c r="D417" s="332" t="s">
        <v>244</v>
      </c>
      <c r="E417" s="333" t="s">
        <v>205</v>
      </c>
      <c r="F417" s="332"/>
      <c r="G417" s="334" t="str">
        <f t="array" ref="G417">IF(B417="insumo",_xlfn.XLOOKUP($D417,Insumos!$B$1:$B$996,Insumos!$D$1:$D$996),"")</f>
        <v/>
      </c>
      <c r="H417" s="334">
        <v>7.0532266249184001</v>
      </c>
      <c r="I417" s="335">
        <v>0</v>
      </c>
      <c r="J417" s="335">
        <v>0</v>
      </c>
      <c r="K417" s="335"/>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70</v>
      </c>
      <c r="C418" s="10" t="s">
        <v>244</v>
      </c>
      <c r="D418" s="10" t="s">
        <v>218</v>
      </c>
      <c r="E418" s="11" t="str">
        <f t="array" ref="E418">_xlfn.XLOOKUP(D418,Insumos!B:B,Insumos!C:$C)</f>
        <v>KG</v>
      </c>
      <c r="F418" s="14">
        <v>1.1000000000000001</v>
      </c>
      <c r="G418" s="87">
        <f t="array" ref="G418">IF(B418="insumo",_xlfn.XLOOKUP($D418,Insumos!$B$1:$B$996,Insumos!$D$1:$D$996),"")</f>
        <v>6.1446196590167288</v>
      </c>
      <c r="H418" s="87">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70</v>
      </c>
      <c r="C419" s="10" t="s">
        <v>244</v>
      </c>
      <c r="D419" s="10" t="s">
        <v>207</v>
      </c>
      <c r="E419" s="11" t="str">
        <f t="array" ref="E419">_xlfn.XLOOKUP(D419,Insumos!B:B,Insumos!C:$C)</f>
        <v>KG</v>
      </c>
      <c r="F419" s="14">
        <v>2.0500000000000001E-2</v>
      </c>
      <c r="G419" s="87">
        <f t="array" ref="G419">IF(B419="insumo",_xlfn.XLOOKUP($D419,Insumos!$B$1:$B$996,Insumos!$D$1:$D$996),"")</f>
        <v>13.69</v>
      </c>
      <c r="H419" s="87">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70</v>
      </c>
      <c r="C420" s="10" t="s">
        <v>244</v>
      </c>
      <c r="D420" s="10" t="s">
        <v>208</v>
      </c>
      <c r="E420" s="11" t="str">
        <f t="array" ref="E420">_xlfn.XLOOKUP(D420,Insumos!B:B,Insumos!C:$C)</f>
        <v>UN</v>
      </c>
      <c r="F420" s="14">
        <v>0.05</v>
      </c>
      <c r="G420" s="87">
        <f t="array" ref="G420">IF(B420="insumo",_xlfn.XLOOKUP($D420,Insumos!$B$1:$B$996,Insumos!$D$1:$D$996),"")</f>
        <v>0.27</v>
      </c>
      <c r="H420" s="87">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332">
        <v>1</v>
      </c>
      <c r="B421" s="332" t="s">
        <v>67</v>
      </c>
      <c r="C421" s="332" t="s">
        <v>245</v>
      </c>
      <c r="D421" s="332" t="s">
        <v>245</v>
      </c>
      <c r="E421" s="333" t="s">
        <v>205</v>
      </c>
      <c r="F421" s="332"/>
      <c r="G421" s="334" t="str">
        <f t="array" ref="G421">IF(B421="insumo",_xlfn.XLOOKUP($D421,Insumos!$B$1:$B$996,Insumos!$D$1:$D$996),"")</f>
        <v/>
      </c>
      <c r="H421" s="334">
        <v>7.136145</v>
      </c>
      <c r="I421" s="335">
        <v>0</v>
      </c>
      <c r="J421" s="335">
        <v>0</v>
      </c>
      <c r="K421" s="335"/>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70</v>
      </c>
      <c r="C422" s="10" t="s">
        <v>245</v>
      </c>
      <c r="D422" s="10" t="s">
        <v>246</v>
      </c>
      <c r="E422" s="11" t="str">
        <f t="array" ref="E422">_xlfn.XLOOKUP(D422,Insumos!B:B,Insumos!C:$C)</f>
        <v>KG</v>
      </c>
      <c r="F422" s="14">
        <v>1.1000000000000001</v>
      </c>
      <c r="G422" s="87">
        <f t="array" ref="G422">IF(B422="insumo",_xlfn.XLOOKUP($D422,Insumos!$B$1:$B$996,Insumos!$D$1:$D$996),"")</f>
        <v>6.22</v>
      </c>
      <c r="H422" s="87">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70</v>
      </c>
      <c r="C423" s="10" t="s">
        <v>245</v>
      </c>
      <c r="D423" s="10" t="s">
        <v>207</v>
      </c>
      <c r="E423" s="11" t="str">
        <f t="array" ref="E423">_xlfn.XLOOKUP(D423,Insumos!B:B,Insumos!C:$C)</f>
        <v>KG</v>
      </c>
      <c r="F423" s="14">
        <v>2.0500000000000001E-2</v>
      </c>
      <c r="G423" s="87">
        <f t="array" ref="G423">IF(B423="insumo",_xlfn.XLOOKUP($D423,Insumos!$B$1:$B$996,Insumos!$D$1:$D$996),"")</f>
        <v>13.69</v>
      </c>
      <c r="H423" s="87">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70</v>
      </c>
      <c r="C424" s="10" t="s">
        <v>245</v>
      </c>
      <c r="D424" s="10" t="s">
        <v>208</v>
      </c>
      <c r="E424" s="11" t="str">
        <f t="array" ref="E424">_xlfn.XLOOKUP(D424,Insumos!B:B,Insumos!C:$C)</f>
        <v>UN</v>
      </c>
      <c r="F424" s="14">
        <v>0.05</v>
      </c>
      <c r="G424" s="87">
        <f t="array" ref="G424">IF(B424="insumo",_xlfn.XLOOKUP($D424,Insumos!$B$1:$B$996,Insumos!$D$1:$D$996),"")</f>
        <v>0.27</v>
      </c>
      <c r="H424" s="87">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332">
        <v>1</v>
      </c>
      <c r="B425" s="332" t="s">
        <v>67</v>
      </c>
      <c r="C425" s="332" t="s">
        <v>2979</v>
      </c>
      <c r="D425" s="332" t="s">
        <v>2979</v>
      </c>
      <c r="E425" s="333" t="s">
        <v>205</v>
      </c>
      <c r="F425" s="332"/>
      <c r="G425" s="334" t="str">
        <f t="array" ref="G425">IF(B425="insumo",_xlfn.XLOOKUP($D425,Insumos!$B$1:$B$996,Insumos!$D$1:$D$996),"")</f>
        <v/>
      </c>
      <c r="H425" s="334">
        <v>8.9641450000000003</v>
      </c>
      <c r="I425" s="335">
        <v>52</v>
      </c>
      <c r="J425" s="335">
        <v>466.13553999999999</v>
      </c>
      <c r="K425" s="335"/>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70</v>
      </c>
      <c r="C426" s="10" t="s">
        <v>2979</v>
      </c>
      <c r="D426" s="10" t="s">
        <v>2977</v>
      </c>
      <c r="E426" s="11" t="str">
        <f t="array" ref="E426">_xlfn.XLOOKUP(D426,Insumos!B:B,Insumos!C:$C)</f>
        <v>UN</v>
      </c>
      <c r="F426" s="14">
        <v>1</v>
      </c>
      <c r="G426" s="87">
        <f t="array" ref="G426">IF(B426="insumo",_xlfn.XLOOKUP($D426,Insumos!$B$1:$B$996,Insumos!$D$1:$D$996),"")</f>
        <v>8.67</v>
      </c>
      <c r="H426" s="87">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70</v>
      </c>
      <c r="C427" s="10" t="s">
        <v>2979</v>
      </c>
      <c r="D427" s="10" t="s">
        <v>207</v>
      </c>
      <c r="E427" s="11" t="str">
        <f t="array" ref="E427">_xlfn.XLOOKUP(D427,Insumos!B:B,Insumos!C:$C)</f>
        <v>KG</v>
      </c>
      <c r="F427" s="14">
        <v>2.0500000000000001E-2</v>
      </c>
      <c r="G427" s="87">
        <f t="array" ref="G427">IF(B427="insumo",_xlfn.XLOOKUP($D427,Insumos!$B$1:$B$996,Insumos!$D$1:$D$996),"")</f>
        <v>13.69</v>
      </c>
      <c r="H427" s="87">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70</v>
      </c>
      <c r="C428" s="10" t="s">
        <v>2979</v>
      </c>
      <c r="D428" s="10" t="s">
        <v>208</v>
      </c>
      <c r="E428" s="11" t="str">
        <f t="array" ref="E428">_xlfn.XLOOKUP(D428,Insumos!B:B,Insumos!C:$C)</f>
        <v>UN</v>
      </c>
      <c r="F428" s="14">
        <v>0.05</v>
      </c>
      <c r="G428" s="87">
        <f t="array" ref="G428">IF(B428="insumo",_xlfn.XLOOKUP($D428,Insumos!$B$1:$B$996,Insumos!$D$1:$D$996),"")</f>
        <v>0.27</v>
      </c>
      <c r="H428" s="87">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332">
        <v>1</v>
      </c>
      <c r="B429" s="332" t="s">
        <v>67</v>
      </c>
      <c r="C429" s="332" t="s">
        <v>2980</v>
      </c>
      <c r="D429" s="332" t="s">
        <v>2980</v>
      </c>
      <c r="E429" s="333" t="s">
        <v>205</v>
      </c>
      <c r="F429" s="332"/>
      <c r="G429" s="334" t="str">
        <f t="array" ref="G429">IF(B429="insumo",_xlfn.XLOOKUP($D429,Insumos!$B$1:$B$996,Insumos!$D$1:$D$996),"")</f>
        <v/>
      </c>
      <c r="H429" s="334">
        <v>8.9641450000000003</v>
      </c>
      <c r="I429" s="335">
        <v>130.272727272727</v>
      </c>
      <c r="J429" s="335">
        <v>1167.78361681818</v>
      </c>
      <c r="K429" s="335"/>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70</v>
      </c>
      <c r="C430" s="10" t="s">
        <v>2980</v>
      </c>
      <c r="D430" s="10" t="s">
        <v>2857</v>
      </c>
      <c r="E430" s="11" t="str">
        <f t="array" ref="E430">_xlfn.XLOOKUP(D430,Insumos!B:B,Insumos!C:$C)</f>
        <v>UN</v>
      </c>
      <c r="F430" s="14">
        <v>1</v>
      </c>
      <c r="G430" s="87">
        <f t="array" ref="G430">IF(B430="insumo",_xlfn.XLOOKUP($D430,Insumos!$B$1:$B$996,Insumos!$D$1:$D$996),"")</f>
        <v>8.67</v>
      </c>
      <c r="H430" s="87">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70</v>
      </c>
      <c r="C431" s="10" t="s">
        <v>2980</v>
      </c>
      <c r="D431" s="10" t="s">
        <v>207</v>
      </c>
      <c r="E431" s="11" t="str">
        <f t="array" ref="E431">_xlfn.XLOOKUP(D431,Insumos!B:B,Insumos!C:$C)</f>
        <v>KG</v>
      </c>
      <c r="F431" s="14">
        <v>2.0500000000000001E-2</v>
      </c>
      <c r="G431" s="87">
        <f t="array" ref="G431">IF(B431="insumo",_xlfn.XLOOKUP($D431,Insumos!$B$1:$B$996,Insumos!$D$1:$D$996),"")</f>
        <v>13.69</v>
      </c>
      <c r="H431" s="87">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70</v>
      </c>
      <c r="C432" s="10" t="s">
        <v>2980</v>
      </c>
      <c r="D432" s="10" t="s">
        <v>208</v>
      </c>
      <c r="E432" s="11" t="str">
        <f t="array" ref="E432">_xlfn.XLOOKUP(D432,Insumos!B:B,Insumos!C:$C)</f>
        <v>UN</v>
      </c>
      <c r="F432" s="14">
        <v>0.05</v>
      </c>
      <c r="G432" s="87">
        <f t="array" ref="G432">IF(B432="insumo",_xlfn.XLOOKUP($D432,Insumos!$B$1:$B$996,Insumos!$D$1:$D$996),"")</f>
        <v>0.27</v>
      </c>
      <c r="H432" s="87">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332">
        <v>1</v>
      </c>
      <c r="B433" s="332" t="s">
        <v>67</v>
      </c>
      <c r="C433" s="332" t="s">
        <v>2981</v>
      </c>
      <c r="D433" s="332" t="s">
        <v>2981</v>
      </c>
      <c r="E433" s="333" t="s">
        <v>205</v>
      </c>
      <c r="F433" s="332"/>
      <c r="G433" s="334" t="str">
        <f t="array" ref="G433">IF(B433="insumo",_xlfn.XLOOKUP($D433,Insumos!$B$1:$B$996,Insumos!$D$1:$D$996),"")</f>
        <v/>
      </c>
      <c r="H433" s="334">
        <v>8.9641450000000003</v>
      </c>
      <c r="I433" s="335">
        <v>982.63636363636397</v>
      </c>
      <c r="J433" s="335">
        <v>8808.4948459090901</v>
      </c>
      <c r="K433" s="335"/>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70</v>
      </c>
      <c r="C434" s="10" t="s">
        <v>2981</v>
      </c>
      <c r="D434" s="10" t="s">
        <v>2858</v>
      </c>
      <c r="E434" s="11" t="str">
        <f t="array" ref="E434">_xlfn.XLOOKUP(D434,Insumos!B:B,Insumos!C:$C)</f>
        <v>UN</v>
      </c>
      <c r="F434" s="14">
        <v>1</v>
      </c>
      <c r="G434" s="87">
        <f t="array" ref="G434">IF(B434="insumo",_xlfn.XLOOKUP($D434,Insumos!$B$1:$B$996,Insumos!$D$1:$D$996),"")</f>
        <v>8.67</v>
      </c>
      <c r="H434" s="87">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70</v>
      </c>
      <c r="C435" s="10" t="s">
        <v>2981</v>
      </c>
      <c r="D435" s="10" t="s">
        <v>207</v>
      </c>
      <c r="E435" s="11" t="str">
        <f t="array" ref="E435">_xlfn.XLOOKUP(D435,Insumos!B:B,Insumos!C:$C)</f>
        <v>KG</v>
      </c>
      <c r="F435" s="14">
        <v>2.0500000000000001E-2</v>
      </c>
      <c r="G435" s="87">
        <f t="array" ref="G435">IF(B435="insumo",_xlfn.XLOOKUP($D435,Insumos!$B$1:$B$996,Insumos!$D$1:$D$996),"")</f>
        <v>13.69</v>
      </c>
      <c r="H435" s="87">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70</v>
      </c>
      <c r="C436" s="10" t="s">
        <v>2981</v>
      </c>
      <c r="D436" s="10" t="s">
        <v>208</v>
      </c>
      <c r="E436" s="11" t="str">
        <f t="array" ref="E436">_xlfn.XLOOKUP(D436,Insumos!B:B,Insumos!C:$C)</f>
        <v>UN</v>
      </c>
      <c r="F436" s="14">
        <v>0.05</v>
      </c>
      <c r="G436" s="87">
        <f t="array" ref="G436">IF(B436="insumo",_xlfn.XLOOKUP($D436,Insumos!$B$1:$B$996,Insumos!$D$1:$D$996),"")</f>
        <v>0.27</v>
      </c>
      <c r="H436" s="87">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332">
        <v>1</v>
      </c>
      <c r="B437" s="332" t="s">
        <v>67</v>
      </c>
      <c r="C437" s="332" t="s">
        <v>2982</v>
      </c>
      <c r="D437" s="332" t="s">
        <v>2982</v>
      </c>
      <c r="E437" s="333" t="s">
        <v>205</v>
      </c>
      <c r="F437" s="332"/>
      <c r="G437" s="334" t="str">
        <f t="array" ref="G437">IF(B437="insumo",_xlfn.XLOOKUP($D437,Insumos!$B$1:$B$996,Insumos!$D$1:$D$996),"")</f>
        <v/>
      </c>
      <c r="H437" s="334">
        <v>8.9641450000000003</v>
      </c>
      <c r="I437" s="335">
        <v>7011.6363636363603</v>
      </c>
      <c r="J437" s="335">
        <v>62853.325050909101</v>
      </c>
      <c r="K437" s="335"/>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70</v>
      </c>
      <c r="C438" s="10" t="s">
        <v>2982</v>
      </c>
      <c r="D438" s="10" t="s">
        <v>2978</v>
      </c>
      <c r="E438" s="11" t="str">
        <f t="array" ref="E438">_xlfn.XLOOKUP(D438,Insumos!B:B,Insumos!C:$C)</f>
        <v>UN</v>
      </c>
      <c r="F438" s="14">
        <v>1</v>
      </c>
      <c r="G438" s="87">
        <f t="array" ref="G438">IF(B438="insumo",_xlfn.XLOOKUP($D438,Insumos!$B$1:$B$996,Insumos!$D$1:$D$996),"")</f>
        <v>8.67</v>
      </c>
      <c r="H438" s="87">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70</v>
      </c>
      <c r="C439" s="10" t="s">
        <v>2982</v>
      </c>
      <c r="D439" s="10" t="s">
        <v>207</v>
      </c>
      <c r="E439" s="11" t="str">
        <f t="array" ref="E439">_xlfn.XLOOKUP(D439,Insumos!B:B,Insumos!C:$C)</f>
        <v>KG</v>
      </c>
      <c r="F439" s="14">
        <v>2.0500000000000001E-2</v>
      </c>
      <c r="G439" s="87">
        <f t="array" ref="G439">IF(B439="insumo",_xlfn.XLOOKUP($D439,Insumos!$B$1:$B$996,Insumos!$D$1:$D$996),"")</f>
        <v>13.69</v>
      </c>
      <c r="H439" s="87">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70</v>
      </c>
      <c r="C440" s="10" t="s">
        <v>2982</v>
      </c>
      <c r="D440" s="10" t="s">
        <v>208</v>
      </c>
      <c r="E440" s="11" t="str">
        <f t="array" ref="E440">_xlfn.XLOOKUP(D440,Insumos!B:B,Insumos!C:$C)</f>
        <v>UN</v>
      </c>
      <c r="F440" s="14">
        <v>0.05</v>
      </c>
      <c r="G440" s="87">
        <f t="array" ref="G440">IF(B440="insumo",_xlfn.XLOOKUP($D440,Insumos!$B$1:$B$996,Insumos!$D$1:$D$996),"")</f>
        <v>0.27</v>
      </c>
      <c r="H440" s="87">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332">
        <v>1</v>
      </c>
      <c r="B441" s="332" t="s">
        <v>67</v>
      </c>
      <c r="C441" s="332" t="s">
        <v>2973</v>
      </c>
      <c r="D441" s="332" t="s">
        <v>2973</v>
      </c>
      <c r="E441" s="333" t="s">
        <v>205</v>
      </c>
      <c r="F441" s="332"/>
      <c r="G441" s="334" t="str">
        <f t="array" ref="G441">IF(B441="insumo",_xlfn.XLOOKUP($D441,Insumos!$B$1:$B$996,Insumos!$D$1:$D$996),"")</f>
        <v/>
      </c>
      <c r="H441" s="334">
        <v>8.4841449999999998</v>
      </c>
      <c r="I441" s="335">
        <v>6536</v>
      </c>
      <c r="J441" s="335">
        <v>55452.371720000003</v>
      </c>
      <c r="K441" s="335"/>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70</v>
      </c>
      <c r="C442" s="10" t="s">
        <v>2973</v>
      </c>
      <c r="D442" s="10" t="s">
        <v>2859</v>
      </c>
      <c r="E442" s="11" t="str">
        <f t="array" ref="E442">_xlfn.XLOOKUP(D442,Insumos!B:B,Insumos!C:$C)</f>
        <v>UN</v>
      </c>
      <c r="F442" s="14">
        <v>1</v>
      </c>
      <c r="G442" s="87">
        <f t="array" ref="G442">IF(B442="insumo",_xlfn.XLOOKUP($D442,Insumos!$B$1:$B$996,Insumos!$D$1:$D$996),"")</f>
        <v>8.19</v>
      </c>
      <c r="H442" s="87">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70</v>
      </c>
      <c r="C443" s="10" t="s">
        <v>2973</v>
      </c>
      <c r="D443" s="10" t="s">
        <v>207</v>
      </c>
      <c r="E443" s="11" t="str">
        <f t="array" ref="E443">_xlfn.XLOOKUP(D443,Insumos!B:B,Insumos!C:$C)</f>
        <v>KG</v>
      </c>
      <c r="F443" s="14">
        <v>2.0500000000000001E-2</v>
      </c>
      <c r="G443" s="87">
        <f t="array" ref="G443">IF(B443="insumo",_xlfn.XLOOKUP($D443,Insumos!$B$1:$B$996,Insumos!$D$1:$D$996),"")</f>
        <v>13.69</v>
      </c>
      <c r="H443" s="87">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70</v>
      </c>
      <c r="C444" s="10" t="s">
        <v>2973</v>
      </c>
      <c r="D444" s="10" t="s">
        <v>208</v>
      </c>
      <c r="E444" s="11" t="str">
        <f t="array" ref="E444">_xlfn.XLOOKUP(D444,Insumos!B:B,Insumos!C:$C)</f>
        <v>UN</v>
      </c>
      <c r="F444" s="14">
        <v>0.05</v>
      </c>
      <c r="G444" s="87">
        <f t="array" ref="G444">IF(B444="insumo",_xlfn.XLOOKUP($D444,Insumos!$B$1:$B$996,Insumos!$D$1:$D$996),"")</f>
        <v>0.27</v>
      </c>
      <c r="H444" s="87">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332">
        <v>1</v>
      </c>
      <c r="B445" s="332" t="s">
        <v>67</v>
      </c>
      <c r="C445" s="332" t="s">
        <v>2974</v>
      </c>
      <c r="D445" s="332" t="s">
        <v>2974</v>
      </c>
      <c r="E445" s="333" t="s">
        <v>205</v>
      </c>
      <c r="F445" s="332"/>
      <c r="G445" s="334" t="str">
        <f t="array" ref="G445">IF(B445="insumo",_xlfn.XLOOKUP($D445,Insumos!$B$1:$B$996,Insumos!$D$1:$D$996),"")</f>
        <v/>
      </c>
      <c r="H445" s="334">
        <v>8.4841449999999998</v>
      </c>
      <c r="I445" s="335">
        <v>8601.5454545454504</v>
      </c>
      <c r="J445" s="335">
        <v>72976.758860454502</v>
      </c>
      <c r="K445" s="335"/>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70</v>
      </c>
      <c r="C446" s="10" t="s">
        <v>2974</v>
      </c>
      <c r="D446" s="10" t="s">
        <v>2966</v>
      </c>
      <c r="E446" s="11" t="str">
        <f t="array" ref="E446">_xlfn.XLOOKUP(D446,Insumos!B:B,Insumos!C:$C)</f>
        <v>UN</v>
      </c>
      <c r="F446" s="14">
        <v>1</v>
      </c>
      <c r="G446" s="87">
        <f t="array" ref="G446">IF(B446="insumo",_xlfn.XLOOKUP($D446,Insumos!$B$1:$B$996,Insumos!$D$1:$D$996),"")</f>
        <v>8.19</v>
      </c>
      <c r="H446" s="87">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70</v>
      </c>
      <c r="C447" s="10" t="s">
        <v>2974</v>
      </c>
      <c r="D447" s="10" t="s">
        <v>207</v>
      </c>
      <c r="E447" s="11" t="str">
        <f t="array" ref="E447">_xlfn.XLOOKUP(D447,Insumos!B:B,Insumos!C:$C)</f>
        <v>KG</v>
      </c>
      <c r="F447" s="14">
        <v>2.0500000000000001E-2</v>
      </c>
      <c r="G447" s="87">
        <f t="array" ref="G447">IF(B447="insumo",_xlfn.XLOOKUP($D447,Insumos!$B$1:$B$996,Insumos!$D$1:$D$996),"")</f>
        <v>13.69</v>
      </c>
      <c r="H447" s="87">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70</v>
      </c>
      <c r="C448" s="10" t="s">
        <v>2974</v>
      </c>
      <c r="D448" s="10" t="s">
        <v>208</v>
      </c>
      <c r="E448" s="11" t="str">
        <f t="array" ref="E448">_xlfn.XLOOKUP(D448,Insumos!B:B,Insumos!C:$C)</f>
        <v>UN</v>
      </c>
      <c r="F448" s="14">
        <v>0.05</v>
      </c>
      <c r="G448" s="87">
        <f t="array" ref="G448">IF(B448="insumo",_xlfn.XLOOKUP($D448,Insumos!$B$1:$B$996,Insumos!$D$1:$D$996),"")</f>
        <v>0.27</v>
      </c>
      <c r="H448" s="87">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332">
        <v>1</v>
      </c>
      <c r="B449" s="332" t="s">
        <v>67</v>
      </c>
      <c r="C449" s="332" t="s">
        <v>2975</v>
      </c>
      <c r="D449" s="332" t="s">
        <v>2975</v>
      </c>
      <c r="E449" s="333" t="s">
        <v>205</v>
      </c>
      <c r="F449" s="332"/>
      <c r="G449" s="334" t="str">
        <f t="array" ref="G449">IF(B449="insumo",_xlfn.XLOOKUP($D449,Insumos!$B$1:$B$996,Insumos!$D$1:$D$996),"")</f>
        <v/>
      </c>
      <c r="H449" s="334">
        <v>8.4841449999999998</v>
      </c>
      <c r="I449" s="335">
        <v>2220.1818181818198</v>
      </c>
      <c r="J449" s="335">
        <v>18836.3444718182</v>
      </c>
      <c r="K449" s="335"/>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70</v>
      </c>
      <c r="C450" s="10" t="s">
        <v>2975</v>
      </c>
      <c r="D450" s="10" t="s">
        <v>2968</v>
      </c>
      <c r="E450" s="11" t="str">
        <f t="array" ref="E450">_xlfn.XLOOKUP(D450,Insumos!B:B,Insumos!C:$C)</f>
        <v>UN</v>
      </c>
      <c r="F450" s="14">
        <v>1</v>
      </c>
      <c r="G450" s="87">
        <f t="array" ref="G450">IF(B450="insumo",_xlfn.XLOOKUP($D450,Insumos!$B$1:$B$996,Insumos!$D$1:$D$996),"")</f>
        <v>8.19</v>
      </c>
      <c r="H450" s="87">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70</v>
      </c>
      <c r="C451" s="10" t="s">
        <v>2975</v>
      </c>
      <c r="D451" s="10" t="s">
        <v>207</v>
      </c>
      <c r="E451" s="11" t="str">
        <f t="array" ref="E451">_xlfn.XLOOKUP(D451,Insumos!B:B,Insumos!C:$C)</f>
        <v>KG</v>
      </c>
      <c r="F451" s="14">
        <v>2.0500000000000001E-2</v>
      </c>
      <c r="G451" s="87">
        <f t="array" ref="G451">IF(B451="insumo",_xlfn.XLOOKUP($D451,Insumos!$B$1:$B$996,Insumos!$D$1:$D$996),"")</f>
        <v>13.69</v>
      </c>
      <c r="H451" s="87">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70</v>
      </c>
      <c r="C452" s="10" t="s">
        <v>2975</v>
      </c>
      <c r="D452" s="10" t="s">
        <v>208</v>
      </c>
      <c r="E452" s="11" t="str">
        <f t="array" ref="E452">_xlfn.XLOOKUP(D452,Insumos!B:B,Insumos!C:$C)</f>
        <v>UN</v>
      </c>
      <c r="F452" s="14">
        <v>0.05</v>
      </c>
      <c r="G452" s="87">
        <f t="array" ref="G452">IF(B452="insumo",_xlfn.XLOOKUP($D452,Insumos!$B$1:$B$996,Insumos!$D$1:$D$996),"")</f>
        <v>0.27</v>
      </c>
      <c r="H452" s="87">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332">
        <v>1</v>
      </c>
      <c r="B453" s="332" t="s">
        <v>67</v>
      </c>
      <c r="C453" s="332" t="s">
        <v>2976</v>
      </c>
      <c r="D453" s="332" t="s">
        <v>2976</v>
      </c>
      <c r="E453" s="333" t="s">
        <v>205</v>
      </c>
      <c r="F453" s="332"/>
      <c r="G453" s="334" t="str">
        <f t="array" ref="G453">IF(B453="insumo",_xlfn.XLOOKUP($D453,Insumos!$B$1:$B$996,Insumos!$D$1:$D$996),"")</f>
        <v/>
      </c>
      <c r="H453" s="334">
        <v>8.4841449999999998</v>
      </c>
      <c r="I453" s="335">
        <v>65337.272727272699</v>
      </c>
      <c r="J453" s="335">
        <v>554330.89572272694</v>
      </c>
      <c r="K453" s="335"/>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70</v>
      </c>
      <c r="C454" s="10" t="s">
        <v>2976</v>
      </c>
      <c r="D454" s="10" t="s">
        <v>2860</v>
      </c>
      <c r="E454" s="11" t="str">
        <f t="array" ref="E454">_xlfn.XLOOKUP(D454,Insumos!B:B,Insumos!C:$C)</f>
        <v>UN</v>
      </c>
      <c r="F454" s="14">
        <v>1</v>
      </c>
      <c r="G454" s="87">
        <f t="array" ref="G454">IF(B454="insumo",_xlfn.XLOOKUP($D454,Insumos!$B$1:$B$996,Insumos!$D$1:$D$996),"")</f>
        <v>8.19</v>
      </c>
      <c r="H454" s="87">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70</v>
      </c>
      <c r="C455" s="10" t="s">
        <v>2976</v>
      </c>
      <c r="D455" s="10" t="s">
        <v>207</v>
      </c>
      <c r="E455" s="11" t="str">
        <f t="array" ref="E455">_xlfn.XLOOKUP(D455,Insumos!B:B,Insumos!C:$C)</f>
        <v>KG</v>
      </c>
      <c r="F455" s="14">
        <v>2.0500000000000001E-2</v>
      </c>
      <c r="G455" s="87">
        <f t="array" ref="G455">IF(B455="insumo",_xlfn.XLOOKUP($D455,Insumos!$B$1:$B$996,Insumos!$D$1:$D$996),"")</f>
        <v>13.69</v>
      </c>
      <c r="H455" s="87">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70</v>
      </c>
      <c r="C456" s="10" t="s">
        <v>2976</v>
      </c>
      <c r="D456" s="10" t="s">
        <v>208</v>
      </c>
      <c r="E456" s="11" t="str">
        <f t="array" ref="E456">_xlfn.XLOOKUP(D456,Insumos!B:B,Insumos!C:$C)</f>
        <v>UN</v>
      </c>
      <c r="F456" s="14">
        <v>0.05</v>
      </c>
      <c r="G456" s="87">
        <f t="array" ref="G456">IF(B456="insumo",_xlfn.XLOOKUP($D456,Insumos!$B$1:$B$996,Insumos!$D$1:$D$996),"")</f>
        <v>0.27</v>
      </c>
      <c r="H456" s="87">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332">
        <v>1</v>
      </c>
      <c r="B457" s="332" t="s">
        <v>67</v>
      </c>
      <c r="C457" s="332" t="s">
        <v>2983</v>
      </c>
      <c r="D457" s="332" t="s">
        <v>2983</v>
      </c>
      <c r="E457" s="333" t="s">
        <v>205</v>
      </c>
      <c r="F457" s="332"/>
      <c r="G457" s="334" t="str">
        <f t="array" ref="G457">IF(B457="insumo",_xlfn.XLOOKUP($D457,Insumos!$B$1:$B$996,Insumos!$D$1:$D$996),"")</f>
        <v/>
      </c>
      <c r="H457" s="334">
        <v>9.0705059454436991</v>
      </c>
      <c r="I457" s="335">
        <v>27316</v>
      </c>
      <c r="J457" s="335">
        <v>247769.94040574</v>
      </c>
      <c r="K457" s="335"/>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70</v>
      </c>
      <c r="C458" s="10" t="s">
        <v>2983</v>
      </c>
      <c r="D458" s="10" t="s">
        <v>2984</v>
      </c>
      <c r="E458" s="11" t="str">
        <f t="array" ref="E458">_xlfn.XLOOKUP(D458,Insumos!B:B,Insumos!C:$C)</f>
        <v>UN</v>
      </c>
      <c r="F458" s="14">
        <v>1</v>
      </c>
      <c r="G458" s="87">
        <f t="array" ref="G458">IF(B458="insumo",_xlfn.XLOOKUP($D458,Insumos!$B$1:$B$996,Insumos!$D$1:$D$996),"")</f>
        <v>8.7763609454436988</v>
      </c>
      <c r="H458" s="87">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70</v>
      </c>
      <c r="C459" s="10" t="s">
        <v>2983</v>
      </c>
      <c r="D459" s="10" t="s">
        <v>207</v>
      </c>
      <c r="E459" s="11" t="str">
        <f t="array" ref="E459">_xlfn.XLOOKUP(D459,Insumos!B:B,Insumos!C:$C)</f>
        <v>KG</v>
      </c>
      <c r="F459" s="14">
        <v>2.0500000000000001E-2</v>
      </c>
      <c r="G459" s="87">
        <f t="array" ref="G459">IF(B459="insumo",_xlfn.XLOOKUP($D459,Insumos!$B$1:$B$996,Insumos!$D$1:$D$996),"")</f>
        <v>13.69</v>
      </c>
      <c r="H459" s="87">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70</v>
      </c>
      <c r="C460" s="10" t="s">
        <v>2983</v>
      </c>
      <c r="D460" s="10" t="s">
        <v>208</v>
      </c>
      <c r="E460" s="11" t="str">
        <f t="array" ref="E460">_xlfn.XLOOKUP(D460,Insumos!B:B,Insumos!C:$C)</f>
        <v>UN</v>
      </c>
      <c r="F460" s="14">
        <v>0.05</v>
      </c>
      <c r="G460" s="87">
        <f t="array" ref="G460">IF(B460="insumo",_xlfn.XLOOKUP($D460,Insumos!$B$1:$B$996,Insumos!$D$1:$D$996),"")</f>
        <v>0.27</v>
      </c>
      <c r="H460" s="87">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336">
        <v>1</v>
      </c>
      <c r="B461" s="336" t="s">
        <v>67</v>
      </c>
      <c r="C461" s="336" t="s">
        <v>1687</v>
      </c>
      <c r="D461" s="336" t="s">
        <v>1687</v>
      </c>
      <c r="E461" s="337" t="s">
        <v>112</v>
      </c>
      <c r="F461" s="336"/>
      <c r="G461" s="338" t="str">
        <f t="array" ref="G461">IF(B461="insumo",_xlfn.XLOOKUP($D461,Insumos!$B$1:$B$996,Insumos!$D$1:$D$996),"")</f>
        <v/>
      </c>
      <c r="H461" s="338">
        <v>3.64</v>
      </c>
      <c r="I461" s="339">
        <v>0</v>
      </c>
      <c r="J461" s="339">
        <v>0</v>
      </c>
      <c r="K461" s="339"/>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77">
        <v>1</v>
      </c>
      <c r="B462" s="77" t="s">
        <v>70</v>
      </c>
      <c r="C462" s="77" t="s">
        <v>1687</v>
      </c>
      <c r="D462" s="77" t="s">
        <v>1688</v>
      </c>
      <c r="E462" s="11" t="str">
        <f t="array" ref="E462">_xlfn.XLOOKUP(D462,Insumos!B:B,Insumos!C:$C)</f>
        <v>M</v>
      </c>
      <c r="F462" s="81">
        <v>1.1000000000000001</v>
      </c>
      <c r="G462" s="87">
        <f t="array" ref="G462">IF(B462="insumo",_xlfn.XLOOKUP($D462,Insumos!$B$1:$B$996,Insumos!$D$1:$D$996),"")</f>
        <v>0.8</v>
      </c>
      <c r="H462" s="87">
        <v>0.88</v>
      </c>
      <c r="I462" s="79">
        <v>0</v>
      </c>
      <c r="J462" s="79">
        <v>0</v>
      </c>
      <c r="K462" s="79"/>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77">
        <v>10</v>
      </c>
      <c r="B463" s="77" t="s">
        <v>70</v>
      </c>
      <c r="C463" s="77" t="s">
        <v>1687</v>
      </c>
      <c r="D463" s="77" t="s">
        <v>851</v>
      </c>
      <c r="E463" s="11" t="str">
        <f t="array" ref="E463">_xlfn.XLOOKUP(D463,Insumos!B:B,Insumos!C:$C)</f>
        <v>UN</v>
      </c>
      <c r="F463" s="81">
        <f>(1*0.004*0.01)/(0.01*0.01*3)</f>
        <v>0.13333333333333333</v>
      </c>
      <c r="G463" s="87">
        <f t="array" ref="G463">IF(B463="insumo",_xlfn.XLOOKUP($D463,Insumos!$B$1:$B$996,Insumos!$D$1:$D$996),"")</f>
        <v>20.7</v>
      </c>
      <c r="H463" s="87">
        <v>2.76</v>
      </c>
      <c r="I463" s="81">
        <v>0</v>
      </c>
      <c r="J463" s="81">
        <v>0</v>
      </c>
      <c r="K463" s="81"/>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355">
        <v>5</v>
      </c>
      <c r="B464" s="355" t="s">
        <v>1227</v>
      </c>
      <c r="C464" s="355" t="s">
        <v>1687</v>
      </c>
      <c r="D464" s="355" t="s">
        <v>1362</v>
      </c>
      <c r="E464" s="356"/>
      <c r="F464" s="357"/>
      <c r="G464" s="356"/>
      <c r="H464" s="356">
        <v>0</v>
      </c>
      <c r="I464" s="357">
        <v>0</v>
      </c>
      <c r="J464" s="357">
        <v>0</v>
      </c>
      <c r="K464" s="357"/>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332">
        <v>1</v>
      </c>
      <c r="B465" s="332" t="s">
        <v>67</v>
      </c>
      <c r="C465" s="332" t="s">
        <v>247</v>
      </c>
      <c r="D465" s="332" t="s">
        <v>247</v>
      </c>
      <c r="E465" s="333" t="s">
        <v>151</v>
      </c>
      <c r="F465" s="332"/>
      <c r="G465" s="334" t="str">
        <f t="array" ref="G465">IF(B465="insumo",_xlfn.XLOOKUP($D465,Insumos!$B$1:$B$996,Insumos!$D$1:$D$996),"")</f>
        <v/>
      </c>
      <c r="H465" s="334">
        <v>578.26</v>
      </c>
      <c r="I465" s="335">
        <v>0</v>
      </c>
      <c r="J465" s="335">
        <v>0</v>
      </c>
      <c r="K465" s="335"/>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70</v>
      </c>
      <c r="C466" s="10" t="s">
        <v>247</v>
      </c>
      <c r="D466" s="10" t="s">
        <v>248</v>
      </c>
      <c r="E466" s="11" t="str">
        <f t="array" ref="E466">_xlfn.XLOOKUP(D466,Insumos!B:B,Insumos!C:$C)</f>
        <v>M3</v>
      </c>
      <c r="F466" s="14">
        <v>1.05</v>
      </c>
      <c r="G466" s="87">
        <f t="array" ref="G466">IF(B466="insumo",_xlfn.XLOOKUP($D466,Insumos!$B$1:$B$996,Insumos!$D$1:$D$996),"")</f>
        <v>510</v>
      </c>
      <c r="H466" s="87">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70</v>
      </c>
      <c r="C467" s="10" t="s">
        <v>247</v>
      </c>
      <c r="D467" s="10" t="s">
        <v>158</v>
      </c>
      <c r="E467" s="11" t="str">
        <f t="array" ref="E467">_xlfn.XLOOKUP(D467,Insumos!B:B,Insumos!C:$C)</f>
        <v>M3</v>
      </c>
      <c r="F467" s="14">
        <v>1.05</v>
      </c>
      <c r="G467" s="87">
        <f t="array" ref="G467">IF(B467="insumo",_xlfn.XLOOKUP($D467,Insumos!$B$1:$B$996,Insumos!$D$1:$D$996),"")</f>
        <v>40</v>
      </c>
      <c r="H467" s="87">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70</v>
      </c>
      <c r="C468" s="10" t="s">
        <v>247</v>
      </c>
      <c r="D468" s="10" t="s">
        <v>159</v>
      </c>
      <c r="E468" s="11" t="str">
        <f t="array" ref="E468">_xlfn.XLOOKUP(D468,Insumos!B:B,Insumos!C:$C)</f>
        <v>KG</v>
      </c>
      <c r="F468" s="14">
        <v>1</v>
      </c>
      <c r="G468" s="87">
        <f t="array" ref="G468">IF(B468="insumo",_xlfn.XLOOKUP($D468,Insumos!$B$1:$B$996,Insumos!$D$1:$D$996),"")</f>
        <v>0.76</v>
      </c>
      <c r="H468" s="87">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332">
        <v>1</v>
      </c>
      <c r="B469" s="332" t="s">
        <v>67</v>
      </c>
      <c r="C469" s="332" t="s">
        <v>249</v>
      </c>
      <c r="D469" s="332" t="s">
        <v>249</v>
      </c>
      <c r="E469" s="333" t="s">
        <v>151</v>
      </c>
      <c r="F469" s="332"/>
      <c r="G469" s="334" t="str">
        <f t="array" ref="G469">IF(B469="insumo",_xlfn.XLOOKUP($D469,Insumos!$B$1:$B$996,Insumos!$D$1:$D$996),"")</f>
        <v/>
      </c>
      <c r="H469" s="334">
        <v>677.72649999999999</v>
      </c>
      <c r="I469" s="335">
        <v>0</v>
      </c>
      <c r="J469" s="335">
        <v>0</v>
      </c>
      <c r="K469" s="335"/>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70</v>
      </c>
      <c r="C470" s="10" t="s">
        <v>249</v>
      </c>
      <c r="D470" s="10" t="s">
        <v>250</v>
      </c>
      <c r="E470" s="11" t="str">
        <f t="array" ref="E470">_xlfn.XLOOKUP(D470,Insumos!B:B,Insumos!C:$C)</f>
        <v>M3</v>
      </c>
      <c r="F470" s="14">
        <v>1.05</v>
      </c>
      <c r="G470" s="87">
        <f t="array" ref="G470">IF(B470="insumo",_xlfn.XLOOKUP($D470,Insumos!$B$1:$B$996,Insumos!$D$1:$D$996),"")</f>
        <v>604.73</v>
      </c>
      <c r="H470" s="87">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70</v>
      </c>
      <c r="C471" s="10" t="s">
        <v>249</v>
      </c>
      <c r="D471" s="10" t="s">
        <v>158</v>
      </c>
      <c r="E471" s="11" t="str">
        <f t="array" ref="E471">_xlfn.XLOOKUP(D471,Insumos!B:B,Insumos!C:$C)</f>
        <v>M3</v>
      </c>
      <c r="F471" s="14">
        <v>1.05</v>
      </c>
      <c r="G471" s="87">
        <f t="array" ref="G471">IF(B471="insumo",_xlfn.XLOOKUP($D471,Insumos!$B$1:$B$996,Insumos!$D$1:$D$996),"")</f>
        <v>40</v>
      </c>
      <c r="H471" s="87">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70</v>
      </c>
      <c r="C472" s="10" t="s">
        <v>249</v>
      </c>
      <c r="D472" s="10" t="s">
        <v>159</v>
      </c>
      <c r="E472" s="11" t="str">
        <f t="array" ref="E472">_xlfn.XLOOKUP(D472,Insumos!B:B,Insumos!C:$C)</f>
        <v>KG</v>
      </c>
      <c r="F472" s="14">
        <v>1</v>
      </c>
      <c r="G472" s="87">
        <f t="array" ref="G472">IF(B472="insumo",_xlfn.XLOOKUP($D472,Insumos!$B$1:$B$996,Insumos!$D$1:$D$996),"")</f>
        <v>0.76</v>
      </c>
      <c r="H472" s="87">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336">
        <v>1</v>
      </c>
      <c r="B473" s="336" t="s">
        <v>67</v>
      </c>
      <c r="C473" s="336" t="s">
        <v>1689</v>
      </c>
      <c r="D473" s="336" t="s">
        <v>1689</v>
      </c>
      <c r="E473" s="337" t="s">
        <v>151</v>
      </c>
      <c r="F473" s="336"/>
      <c r="G473" s="338" t="str">
        <f t="array" ref="G473">IF(B473="insumo",_xlfn.XLOOKUP($D473,Insumos!$B$1:$B$996,Insumos!$D$1:$D$996),"")</f>
        <v/>
      </c>
      <c r="H473" s="338">
        <v>631.30600000000004</v>
      </c>
      <c r="I473" s="339">
        <v>0</v>
      </c>
      <c r="J473" s="339">
        <v>0</v>
      </c>
      <c r="K473" s="339"/>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77">
        <v>2</v>
      </c>
      <c r="B474" s="77" t="s">
        <v>70</v>
      </c>
      <c r="C474" s="77" t="s">
        <v>1689</v>
      </c>
      <c r="D474" s="77" t="s">
        <v>302</v>
      </c>
      <c r="E474" s="11" t="str">
        <f t="array" ref="E474">_xlfn.XLOOKUP(D474,Insumos!B:B,Insumos!C:$C)</f>
        <v>M3</v>
      </c>
      <c r="F474" s="81">
        <v>1.05</v>
      </c>
      <c r="G474" s="87">
        <f t="array" ref="G474">IF(B474="insumo",_xlfn.XLOOKUP($D474,Insumos!$B$1:$B$996,Insumos!$D$1:$D$996),"")</f>
        <v>560.52</v>
      </c>
      <c r="H474" s="87">
        <v>588.54600000000005</v>
      </c>
      <c r="I474" s="79">
        <v>0</v>
      </c>
      <c r="J474" s="79">
        <v>0</v>
      </c>
      <c r="K474" s="79"/>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77">
        <v>25</v>
      </c>
      <c r="B475" s="77" t="s">
        <v>70</v>
      </c>
      <c r="C475" s="77" t="s">
        <v>1689</v>
      </c>
      <c r="D475" s="77" t="s">
        <v>158</v>
      </c>
      <c r="E475" s="11" t="str">
        <f t="array" ref="E475">_xlfn.XLOOKUP(D475,Insumos!B:B,Insumos!C:$C)</f>
        <v>M3</v>
      </c>
      <c r="F475" s="81">
        <v>1.05</v>
      </c>
      <c r="G475" s="87">
        <f t="array" ref="G475">IF(B475="insumo",_xlfn.XLOOKUP($D475,Insumos!$B$1:$B$996,Insumos!$D$1:$D$996),"")</f>
        <v>40</v>
      </c>
      <c r="H475" s="87">
        <v>42</v>
      </c>
      <c r="I475" s="79">
        <v>0</v>
      </c>
      <c r="J475" s="79">
        <v>0</v>
      </c>
      <c r="K475" s="79"/>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77">
        <v>62</v>
      </c>
      <c r="B476" s="77" t="s">
        <v>70</v>
      </c>
      <c r="C476" s="77" t="s">
        <v>1689</v>
      </c>
      <c r="D476" s="77" t="s">
        <v>159</v>
      </c>
      <c r="E476" s="11" t="str">
        <f t="array" ref="E476">_xlfn.XLOOKUP(D476,Insumos!B:B,Insumos!C:$C)</f>
        <v>KG</v>
      </c>
      <c r="F476" s="81">
        <v>1</v>
      </c>
      <c r="G476" s="87">
        <f t="array" ref="G476">IF(B476="insumo",_xlfn.XLOOKUP($D476,Insumos!$B$1:$B$996,Insumos!$D$1:$D$996),"")</f>
        <v>0.76</v>
      </c>
      <c r="H476" s="87">
        <v>0.76</v>
      </c>
      <c r="I476" s="79">
        <v>0</v>
      </c>
      <c r="J476" s="79">
        <v>0</v>
      </c>
      <c r="K476" s="79"/>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332">
        <v>1</v>
      </c>
      <c r="B477" s="332" t="s">
        <v>67</v>
      </c>
      <c r="C477" s="332" t="s">
        <v>251</v>
      </c>
      <c r="D477" s="332" t="s">
        <v>251</v>
      </c>
      <c r="E477" s="333" t="s">
        <v>151</v>
      </c>
      <c r="F477" s="332"/>
      <c r="G477" s="334" t="str">
        <f t="array" ref="G477">IF(B477="insumo",_xlfn.XLOOKUP($D477,Insumos!$B$1:$B$996,Insumos!$D$1:$D$996),"")</f>
        <v/>
      </c>
      <c r="H477" s="334">
        <v>620.40700000000004</v>
      </c>
      <c r="I477" s="335">
        <v>0</v>
      </c>
      <c r="J477" s="335">
        <v>0</v>
      </c>
      <c r="K477" s="335"/>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70</v>
      </c>
      <c r="C478" s="10" t="s">
        <v>251</v>
      </c>
      <c r="D478" s="10" t="s">
        <v>252</v>
      </c>
      <c r="E478" s="11" t="str">
        <f t="array" ref="E478">_xlfn.XLOOKUP(D478,Insumos!B:B,Insumos!C:$C)</f>
        <v>M3</v>
      </c>
      <c r="F478" s="14">
        <v>1.05</v>
      </c>
      <c r="G478" s="87">
        <f t="array" ref="G478">IF(B478="insumo",_xlfn.XLOOKUP($D478,Insumos!$B$1:$B$996,Insumos!$D$1:$D$996),"")</f>
        <v>550.14</v>
      </c>
      <c r="H478" s="87">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70</v>
      </c>
      <c r="C479" s="10" t="s">
        <v>251</v>
      </c>
      <c r="D479" s="10" t="s">
        <v>158</v>
      </c>
      <c r="E479" s="11" t="str">
        <f t="array" ref="E479">_xlfn.XLOOKUP(D479,Insumos!B:B,Insumos!C:$C)</f>
        <v>M3</v>
      </c>
      <c r="F479" s="14">
        <v>1.05</v>
      </c>
      <c r="G479" s="87">
        <f t="array" ref="G479">IF(B479="insumo",_xlfn.XLOOKUP($D479,Insumos!$B$1:$B$996,Insumos!$D$1:$D$996),"")</f>
        <v>40</v>
      </c>
      <c r="H479" s="87">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70</v>
      </c>
      <c r="C480" s="10" t="s">
        <v>251</v>
      </c>
      <c r="D480" s="10" t="s">
        <v>159</v>
      </c>
      <c r="E480" s="11" t="str">
        <f t="array" ref="E480">_xlfn.XLOOKUP(D480,Insumos!B:B,Insumos!C:$C)</f>
        <v>KG</v>
      </c>
      <c r="F480" s="14">
        <v>1</v>
      </c>
      <c r="G480" s="87">
        <f t="array" ref="G480">IF(B480="insumo",_xlfn.XLOOKUP($D480,Insumos!$B$1:$B$996,Insumos!$D$1:$D$996),"")</f>
        <v>0.76</v>
      </c>
      <c r="H480" s="87">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332">
        <v>1</v>
      </c>
      <c r="B481" s="332" t="s">
        <v>67</v>
      </c>
      <c r="C481" s="332" t="s">
        <v>253</v>
      </c>
      <c r="D481" s="332" t="s">
        <v>253</v>
      </c>
      <c r="E481" s="333" t="s">
        <v>151</v>
      </c>
      <c r="F481" s="332"/>
      <c r="G481" s="334" t="str">
        <f t="array" ref="G481">IF(B481="insumo",_xlfn.XLOOKUP($D481,Insumos!$B$1:$B$996,Insumos!$D$1:$D$996),"")</f>
        <v/>
      </c>
      <c r="H481" s="334">
        <v>680.10599999999999</v>
      </c>
      <c r="I481" s="335">
        <v>738.737662</v>
      </c>
      <c r="J481" s="335">
        <v>502419.91635217197</v>
      </c>
      <c r="K481" s="335"/>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70</v>
      </c>
      <c r="C482" s="10" t="s">
        <v>253</v>
      </c>
      <c r="D482" s="10" t="s">
        <v>254</v>
      </c>
      <c r="E482" s="11" t="str">
        <f t="array" ref="E482">_xlfn.XLOOKUP(D482,Insumos!B:B,Insumos!C:$C)</f>
        <v>M3</v>
      </c>
      <c r="F482" s="14">
        <v>1.05</v>
      </c>
      <c r="G482" s="87">
        <f t="array" ref="G482">IF(B482="insumo",_xlfn.XLOOKUP($D482,Insumos!$B$1:$B$996,Insumos!$D$1:$D$996),"")</f>
        <v>607.72</v>
      </c>
      <c r="H482" s="87">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70</v>
      </c>
      <c r="C483" s="10" t="s">
        <v>253</v>
      </c>
      <c r="D483" s="10" t="s">
        <v>158</v>
      </c>
      <c r="E483" s="11" t="str">
        <f t="array" ref="E483">_xlfn.XLOOKUP(D483,Insumos!B:B,Insumos!C:$C)</f>
        <v>M3</v>
      </c>
      <c r="F483" s="14">
        <v>1.05</v>
      </c>
      <c r="G483" s="87">
        <f t="array" ref="G483">IF(B483="insumo",_xlfn.XLOOKUP($D483,Insumos!$B$1:$B$996,Insumos!$D$1:$D$996),"")</f>
        <v>40</v>
      </c>
      <c r="H483" s="87">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70</v>
      </c>
      <c r="C484" s="10" t="s">
        <v>253</v>
      </c>
      <c r="D484" s="10" t="s">
        <v>159</v>
      </c>
      <c r="E484" s="11" t="str">
        <f t="array" ref="E484">_xlfn.XLOOKUP(D484,Insumos!B:B,Insumos!C:$C)</f>
        <v>KG</v>
      </c>
      <c r="F484" s="14">
        <v>0</v>
      </c>
      <c r="G484" s="87">
        <f t="array" ref="G484">IF(B484="insumo",_xlfn.XLOOKUP($D484,Insumos!$B$1:$B$996,Insumos!$D$1:$D$996),"")</f>
        <v>0.76</v>
      </c>
      <c r="H484" s="87">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332">
        <v>1</v>
      </c>
      <c r="B485" s="332" t="s">
        <v>67</v>
      </c>
      <c r="C485" s="332" t="s">
        <v>255</v>
      </c>
      <c r="D485" s="332" t="s">
        <v>255</v>
      </c>
      <c r="E485" s="333" t="s">
        <v>151</v>
      </c>
      <c r="F485" s="332"/>
      <c r="G485" s="334" t="str">
        <f t="array" ref="G485">IF(B485="insumo",_xlfn.XLOOKUP($D485,Insumos!$B$1:$B$996,Insumos!$D$1:$D$996),"")</f>
        <v/>
      </c>
      <c r="H485" s="334">
        <v>656.29200000000003</v>
      </c>
      <c r="I485" s="335">
        <v>0</v>
      </c>
      <c r="J485" s="335">
        <v>0</v>
      </c>
      <c r="K485" s="335"/>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70</v>
      </c>
      <c r="C486" s="10" t="s">
        <v>255</v>
      </c>
      <c r="D486" s="10" t="s">
        <v>256</v>
      </c>
      <c r="E486" s="11" t="str">
        <f t="array" ref="E486">_xlfn.XLOOKUP(D486,Insumos!B:B,Insumos!C:$C)</f>
        <v>M3</v>
      </c>
      <c r="F486" s="14">
        <v>1.05</v>
      </c>
      <c r="G486" s="87">
        <f t="array" ref="G486">IF(B486="insumo",_xlfn.XLOOKUP($D486,Insumos!$B$1:$B$996,Insumos!$D$1:$D$996),"")</f>
        <v>585.04</v>
      </c>
      <c r="H486" s="87">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70</v>
      </c>
      <c r="C487" s="10" t="s">
        <v>255</v>
      </c>
      <c r="D487" s="10" t="s">
        <v>158</v>
      </c>
      <c r="E487" s="11" t="str">
        <f t="array" ref="E487">_xlfn.XLOOKUP(D487,Insumos!B:B,Insumos!C:$C)</f>
        <v>M3</v>
      </c>
      <c r="F487" s="14">
        <v>1.05</v>
      </c>
      <c r="G487" s="87">
        <f t="array" ref="G487">IF(B487="insumo",_xlfn.XLOOKUP($D487,Insumos!$B$1:$B$996,Insumos!$D$1:$D$996),"")</f>
        <v>40</v>
      </c>
      <c r="H487" s="87">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70</v>
      </c>
      <c r="C488" s="10" t="s">
        <v>255</v>
      </c>
      <c r="D488" s="10" t="s">
        <v>159</v>
      </c>
      <c r="E488" s="11" t="str">
        <f t="array" ref="E488">_xlfn.XLOOKUP(D488,Insumos!B:B,Insumos!C:$C)</f>
        <v>KG</v>
      </c>
      <c r="F488" s="14">
        <v>0</v>
      </c>
      <c r="G488" s="87">
        <f t="array" ref="G488">IF(B488="insumo",_xlfn.XLOOKUP($D488,Insumos!$B$1:$B$996,Insumos!$D$1:$D$996),"")</f>
        <v>0.76</v>
      </c>
      <c r="H488" s="87">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332">
        <v>1</v>
      </c>
      <c r="B489" s="332" t="s">
        <v>67</v>
      </c>
      <c r="C489" s="332" t="s">
        <v>2809</v>
      </c>
      <c r="D489" s="332" t="s">
        <v>2809</v>
      </c>
      <c r="E489" s="333" t="s">
        <v>151</v>
      </c>
      <c r="F489" s="332"/>
      <c r="G489" s="334" t="str">
        <f t="array" ref="G489">IF(B489="insumo",_xlfn.XLOOKUP($D489,Insumos!$B$1:$B$876,Insumos!$D$1:$D$876),"")</f>
        <v/>
      </c>
      <c r="H489" s="334">
        <v>837.60599999999999</v>
      </c>
      <c r="I489" s="335">
        <v>210</v>
      </c>
      <c r="J489" s="335">
        <v>175897.26</v>
      </c>
      <c r="K489" s="335"/>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70</v>
      </c>
      <c r="C490" s="10" t="s">
        <v>2809</v>
      </c>
      <c r="D490" s="10" t="s">
        <v>2862</v>
      </c>
      <c r="E490" s="11" t="str">
        <f t="array" ref="E490">_xlfn.XLOOKUP(D490,Insumos!B:B,Insumos!C:$C)</f>
        <v>M3</v>
      </c>
      <c r="F490" s="14">
        <v>1.05</v>
      </c>
      <c r="G490" s="87">
        <f t="array" ref="G490">IF(B490="insumo",_xlfn.XLOOKUP($D490,Insumos!$B$1:$B$996,Insumos!$D$1:$D$996),"")</f>
        <v>757.72</v>
      </c>
      <c r="H490" s="87">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70</v>
      </c>
      <c r="C491" s="10" t="s">
        <v>2809</v>
      </c>
      <c r="D491" s="10" t="s">
        <v>158</v>
      </c>
      <c r="E491" s="11" t="str">
        <f t="array" ref="E491">_xlfn.XLOOKUP(D491,Insumos!B:B,Insumos!C:$C)</f>
        <v>M3</v>
      </c>
      <c r="F491" s="14">
        <v>1.05</v>
      </c>
      <c r="G491" s="87">
        <f t="array" ref="G491">IF(B491="insumo",_xlfn.XLOOKUP($D491,Insumos!$B$1:$B$996,Insumos!$D$1:$D$996),"")</f>
        <v>40</v>
      </c>
      <c r="H491" s="87">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70</v>
      </c>
      <c r="C492" s="10" t="s">
        <v>2809</v>
      </c>
      <c r="D492" s="10" t="s">
        <v>159</v>
      </c>
      <c r="E492" s="11" t="str">
        <f t="array" ref="E492">_xlfn.XLOOKUP(D492,Insumos!B:B,Insumos!C:$C)</f>
        <v>KG</v>
      </c>
      <c r="F492" s="14">
        <v>0</v>
      </c>
      <c r="G492" s="87">
        <f t="array" ref="G492">IF(B492="insumo",_xlfn.XLOOKUP($D492,Insumos!$B$1:$B$996,Insumos!$D$1:$D$996),"")</f>
        <v>0.76</v>
      </c>
      <c r="H492" s="87">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355">
        <v>6</v>
      </c>
      <c r="B493" s="355" t="s">
        <v>1227</v>
      </c>
      <c r="C493" s="355" t="s">
        <v>2809</v>
      </c>
      <c r="D493" s="355" t="s">
        <v>1423</v>
      </c>
      <c r="E493" s="356"/>
      <c r="F493" s="357"/>
      <c r="G493" s="356"/>
      <c r="H493" s="356">
        <v>0</v>
      </c>
      <c r="I493" s="357">
        <v>0</v>
      </c>
      <c r="J493" s="357">
        <v>0</v>
      </c>
      <c r="K493" s="357"/>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332">
        <v>1</v>
      </c>
      <c r="B494" s="332" t="s">
        <v>67</v>
      </c>
      <c r="C494" s="332" t="s">
        <v>257</v>
      </c>
      <c r="D494" s="332" t="s">
        <v>257</v>
      </c>
      <c r="E494" s="333" t="s">
        <v>69</v>
      </c>
      <c r="F494" s="332"/>
      <c r="G494" s="334" t="str">
        <f t="array" ref="G494">IF(B494="insumo",_xlfn.XLOOKUP($D494,Insumos!$B$1:$B$996,Insumos!$D$1:$D$996),"")</f>
        <v/>
      </c>
      <c r="H494" s="334">
        <v>435</v>
      </c>
      <c r="I494" s="335">
        <v>0</v>
      </c>
      <c r="J494" s="335">
        <v>0</v>
      </c>
      <c r="K494" s="335"/>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70</v>
      </c>
      <c r="C495" s="10" t="s">
        <v>257</v>
      </c>
      <c r="D495" s="10" t="s">
        <v>257</v>
      </c>
      <c r="E495" s="11" t="str">
        <f t="array" ref="E495">_xlfn.XLOOKUP(D495,Insumos!B:B,Insumos!C:$C)</f>
        <v>M2</v>
      </c>
      <c r="F495" s="14">
        <v>1</v>
      </c>
      <c r="G495" s="87">
        <f t="array" ref="G495">IF(B495="insumo",_xlfn.XLOOKUP($D495,Insumos!$B$1:$B$996,Insumos!$D$1:$D$996),"")</f>
        <v>435</v>
      </c>
      <c r="H495" s="87">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65</v>
      </c>
      <c r="C496" s="7" t="s">
        <v>257</v>
      </c>
      <c r="D496" s="7" t="s">
        <v>258</v>
      </c>
      <c r="E496" s="8"/>
      <c r="F496" s="9"/>
      <c r="G496" s="86" t="str">
        <f t="array" ref="G496">IF(B496="insumo",_xlfn.XLOOKUP($D496,Insumos!$B$1:$B$996,Insumos!$D$1:$D$996),"")</f>
        <v/>
      </c>
      <c r="H496" s="86">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355">
        <v>2</v>
      </c>
      <c r="B497" s="355" t="s">
        <v>1227</v>
      </c>
      <c r="C497" s="355" t="s">
        <v>257</v>
      </c>
      <c r="D497" s="355" t="s">
        <v>1673</v>
      </c>
      <c r="E497" s="356"/>
      <c r="F497" s="357"/>
      <c r="G497" s="356"/>
      <c r="H497" s="356">
        <v>0</v>
      </c>
      <c r="I497" s="357">
        <v>0</v>
      </c>
      <c r="J497" s="357">
        <v>0</v>
      </c>
      <c r="K497" s="357"/>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332">
        <v>1</v>
      </c>
      <c r="B498" s="332" t="s">
        <v>67</v>
      </c>
      <c r="C498" s="332" t="s">
        <v>259</v>
      </c>
      <c r="D498" s="332" t="s">
        <v>259</v>
      </c>
      <c r="E498" s="333" t="s">
        <v>112</v>
      </c>
      <c r="F498" s="332"/>
      <c r="G498" s="334" t="str">
        <f t="array" ref="G498">IF(B498="insumo",_xlfn.XLOOKUP($D498,Insumos!$B$1:$B$996,Insumos!$D$1:$D$996),"")</f>
        <v/>
      </c>
      <c r="H498" s="334">
        <v>39</v>
      </c>
      <c r="I498" s="335">
        <v>0</v>
      </c>
      <c r="J498" s="335">
        <v>0</v>
      </c>
      <c r="K498" s="335"/>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70</v>
      </c>
      <c r="C499" s="10" t="s">
        <v>259</v>
      </c>
      <c r="D499" s="10" t="s">
        <v>191</v>
      </c>
      <c r="E499" s="11" t="str">
        <f t="array" ref="E499">_xlfn.XLOOKUP(D499,Insumos!B:B,Insumos!C:$C)</f>
        <v>M</v>
      </c>
      <c r="F499" s="14">
        <v>1</v>
      </c>
      <c r="G499" s="87">
        <f t="array" ref="G499">IF(B499="insumo",_xlfn.XLOOKUP($D499,Insumos!$B$1:$B$996,Insumos!$D$1:$D$996),"")</f>
        <v>39</v>
      </c>
      <c r="H499" s="87">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336">
        <v>1</v>
      </c>
      <c r="B500" s="336" t="s">
        <v>67</v>
      </c>
      <c r="C500" s="336" t="s">
        <v>1690</v>
      </c>
      <c r="D500" s="336" t="s">
        <v>1690</v>
      </c>
      <c r="E500" s="337" t="s">
        <v>112</v>
      </c>
      <c r="F500" s="336"/>
      <c r="G500" s="338" t="str">
        <f t="array" ref="G500">IF(B500="insumo",_xlfn.XLOOKUP($D500,Insumos!$B$1:$B$996,Insumos!$D$1:$D$996),"")</f>
        <v/>
      </c>
      <c r="H500" s="338">
        <v>52.8</v>
      </c>
      <c r="I500" s="339">
        <v>0</v>
      </c>
      <c r="J500" s="339">
        <v>0</v>
      </c>
      <c r="K500" s="339"/>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77">
        <v>2</v>
      </c>
      <c r="B501" s="77" t="s">
        <v>70</v>
      </c>
      <c r="C501" s="77" t="s">
        <v>1690</v>
      </c>
      <c r="D501" s="77" t="s">
        <v>1675</v>
      </c>
      <c r="E501" s="11" t="str">
        <f t="array" ref="E501">_xlfn.XLOOKUP(D501,Insumos!B:B,Insumos!C:$C)</f>
        <v>M</v>
      </c>
      <c r="F501" s="81">
        <v>1</v>
      </c>
      <c r="G501" s="87">
        <f t="array" ref="G501">IF(B501="insumo",_xlfn.XLOOKUP($D501,Insumos!$B$1:$B$996,Insumos!$D$1:$D$996),"")</f>
        <v>52.800000000000004</v>
      </c>
      <c r="H501" s="87">
        <v>52.8</v>
      </c>
      <c r="I501" s="79">
        <v>0</v>
      </c>
      <c r="J501" s="79">
        <v>0</v>
      </c>
      <c r="K501" s="79"/>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355">
        <v>3</v>
      </c>
      <c r="B502" s="355" t="s">
        <v>1227</v>
      </c>
      <c r="C502" s="355" t="s">
        <v>1690</v>
      </c>
      <c r="D502" s="355" t="s">
        <v>1670</v>
      </c>
      <c r="E502" s="356"/>
      <c r="F502" s="357"/>
      <c r="G502" s="356"/>
      <c r="H502" s="356">
        <v>0</v>
      </c>
      <c r="I502" s="357">
        <v>0</v>
      </c>
      <c r="J502" s="357">
        <v>0</v>
      </c>
      <c r="K502" s="357"/>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332">
        <v>1</v>
      </c>
      <c r="B503" s="332" t="s">
        <v>67</v>
      </c>
      <c r="C503" s="332" t="s">
        <v>261</v>
      </c>
      <c r="D503" s="332" t="s">
        <v>261</v>
      </c>
      <c r="E503" s="333" t="s">
        <v>69</v>
      </c>
      <c r="F503" s="332"/>
      <c r="G503" s="334" t="str">
        <f t="array" ref="G503">IF(B503="insumo",_xlfn.XLOOKUP($D503,Insumos!$B$1:$B$996,Insumos!$D$1:$D$996),"")</f>
        <v/>
      </c>
      <c r="H503" s="334">
        <v>59.956228571428603</v>
      </c>
      <c r="I503" s="335">
        <v>0</v>
      </c>
      <c r="J503" s="335">
        <v>0</v>
      </c>
      <c r="K503" s="335"/>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70</v>
      </c>
      <c r="C504" s="10" t="s">
        <v>261</v>
      </c>
      <c r="D504" s="10" t="s">
        <v>231</v>
      </c>
      <c r="E504" s="11" t="str">
        <f t="array" ref="E504">_xlfn.XLOOKUP(D504,Insumos!B:B,Insumos!C:$C)</f>
        <v>KG</v>
      </c>
      <c r="F504" s="14">
        <v>1.0999999999999999E-2</v>
      </c>
      <c r="G504" s="87">
        <f t="array" ref="G504">IF(B504="insumo",_xlfn.XLOOKUP($D504,Insumos!$B$1:$B$996,Insumos!$D$1:$D$996),"")</f>
        <v>18.8</v>
      </c>
      <c r="H504" s="87">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70</v>
      </c>
      <c r="C505" s="10" t="s">
        <v>261</v>
      </c>
      <c r="D505" s="10" t="s">
        <v>86</v>
      </c>
      <c r="E505" s="11" t="str">
        <f t="array" ref="E505">_xlfn.XLOOKUP(D505,Insumos!B:B,Insumos!C:$C)</f>
        <v>KG</v>
      </c>
      <c r="F505" s="14">
        <v>9.5000000000000001E-2</v>
      </c>
      <c r="G505" s="87">
        <f t="array" ref="G505">IF(B505="insumo",_xlfn.XLOOKUP($D505,Insumos!$B$1:$B$996,Insumos!$D$1:$D$996),"")</f>
        <v>18.13</v>
      </c>
      <c r="H505" s="87">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70</v>
      </c>
      <c r="C506" s="10" t="s">
        <v>261</v>
      </c>
      <c r="D506" s="10" t="s">
        <v>232</v>
      </c>
      <c r="E506" s="11" t="str">
        <f t="array" ref="E506">_xlfn.XLOOKUP(D506,Insumos!B:B,Insumos!C:$C)</f>
        <v>L</v>
      </c>
      <c r="F506" s="14">
        <v>1.7000000000000001E-2</v>
      </c>
      <c r="G506" s="87">
        <f t="array" ref="G506">IF(B506="insumo",_xlfn.XLOOKUP($D506,Insumos!$B$1:$B$996,Insumos!$D$1:$D$996),"")</f>
        <v>15.55</v>
      </c>
      <c r="H506" s="87">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70</v>
      </c>
      <c r="C507" s="10" t="s">
        <v>261</v>
      </c>
      <c r="D507" s="10" t="s">
        <v>83</v>
      </c>
      <c r="E507" s="11" t="str">
        <f t="array" ref="E507">_xlfn.XLOOKUP(D507,Insumos!B:B,Insumos!C:$C)</f>
        <v>M</v>
      </c>
      <c r="F507" s="14">
        <v>0.73714285714285721</v>
      </c>
      <c r="G507" s="87">
        <f t="array" ref="G507">IF(B507="insumo",_xlfn.XLOOKUP($D507,Insumos!$B$1:$B$996,Insumos!$D$1:$D$996),"")</f>
        <v>7</v>
      </c>
      <c r="H507" s="87">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70</v>
      </c>
      <c r="C508" s="10" t="s">
        <v>261</v>
      </c>
      <c r="D508" s="10" t="s">
        <v>128</v>
      </c>
      <c r="E508" s="11" t="str">
        <f t="array" ref="E508">_xlfn.XLOOKUP(D508,Insumos!B:B,Insumos!C:$C)</f>
        <v>M3</v>
      </c>
      <c r="F508" s="14">
        <v>2.638095238095238E-3</v>
      </c>
      <c r="G508" s="87">
        <f t="array" ref="G508">IF(B508="insumo",_xlfn.XLOOKUP($D508,Insumos!$B$1:$B$996,Insumos!$D$1:$D$996),"")</f>
        <v>1350</v>
      </c>
      <c r="H508" s="87">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70</v>
      </c>
      <c r="C509" s="10" t="s">
        <v>261</v>
      </c>
      <c r="D509" s="10" t="s">
        <v>233</v>
      </c>
      <c r="E509" s="11" t="str">
        <f t="array" ref="E509">_xlfn.XLOOKUP(D509,Insumos!B:B,Insumos!C:$C)</f>
        <v>M</v>
      </c>
      <c r="F509" s="14">
        <v>1.155</v>
      </c>
      <c r="G509" s="87">
        <f t="array" ref="G509">IF(B509="insumo",_xlfn.XLOOKUP($D509,Insumos!$B$1:$B$996,Insumos!$D$1:$D$996),"")</f>
        <v>42.46</v>
      </c>
      <c r="H509" s="87">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355">
        <v>4</v>
      </c>
      <c r="B510" s="355" t="s">
        <v>1227</v>
      </c>
      <c r="C510" s="355" t="s">
        <v>261</v>
      </c>
      <c r="D510" s="355" t="s">
        <v>1671</v>
      </c>
      <c r="E510" s="356"/>
      <c r="F510" s="357"/>
      <c r="G510" s="356"/>
      <c r="H510" s="356">
        <v>0</v>
      </c>
      <c r="I510" s="357">
        <v>0</v>
      </c>
      <c r="J510" s="357">
        <v>0</v>
      </c>
      <c r="K510" s="357"/>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332">
        <v>1</v>
      </c>
      <c r="B511" s="332" t="s">
        <v>67</v>
      </c>
      <c r="C511" s="332" t="s">
        <v>2810</v>
      </c>
      <c r="D511" s="332" t="s">
        <v>2810</v>
      </c>
      <c r="E511" s="333" t="s">
        <v>69</v>
      </c>
      <c r="F511" s="332"/>
      <c r="G511" s="334" t="str">
        <f t="array" ref="G511">IF(B511="insumo",_xlfn.XLOOKUP($D511,Insumos!$B$1:$B$996,Insumos!$D$1:$D$996),"")</f>
        <v/>
      </c>
      <c r="H511" s="334">
        <v>470.28409090909099</v>
      </c>
      <c r="I511" s="335">
        <v>492.8</v>
      </c>
      <c r="J511" s="335">
        <v>231756</v>
      </c>
      <c r="K511" s="335"/>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70</v>
      </c>
      <c r="C512" s="10" t="s">
        <v>2810</v>
      </c>
      <c r="D512" s="10" t="s">
        <v>2864</v>
      </c>
      <c r="E512" s="11" t="s">
        <v>69</v>
      </c>
      <c r="F512" s="14">
        <v>1</v>
      </c>
      <c r="G512" s="87">
        <f t="array" ref="G512">IF(B512="insumo",_xlfn.XLOOKUP($D512,Insumos!$B$1:$B$996,Insumos!$D$1:$D$996),"")</f>
        <v>470.28409090909088</v>
      </c>
      <c r="H512" s="87">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332">
        <v>1</v>
      </c>
      <c r="B513" s="332" t="s">
        <v>67</v>
      </c>
      <c r="C513" s="332" t="s">
        <v>2812</v>
      </c>
      <c r="D513" s="332" t="s">
        <v>2812</v>
      </c>
      <c r="E513" s="333" t="s">
        <v>69</v>
      </c>
      <c r="F513" s="332"/>
      <c r="G513" s="334" t="str">
        <f t="array" ref="G513">IF(B513="insumo",_xlfn.XLOOKUP($D513,Insumos!$B$1:$B$996,Insumos!$D$1:$D$996),"")</f>
        <v/>
      </c>
      <c r="H513" s="334">
        <v>12000</v>
      </c>
      <c r="I513" s="335">
        <v>1</v>
      </c>
      <c r="J513" s="335">
        <v>12000</v>
      </c>
      <c r="K513" s="335"/>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70</v>
      </c>
      <c r="C514" s="10" t="s">
        <v>2812</v>
      </c>
      <c r="D514" s="10" t="s">
        <v>2812</v>
      </c>
      <c r="E514" s="11" t="s">
        <v>69</v>
      </c>
      <c r="F514" s="14">
        <v>1</v>
      </c>
      <c r="G514" s="87">
        <f>IF(B514="insumo",_xlfn.XLOOKUP($D514,Insumos!$B$1:$B$996,Insumos!$D$1:$D$996),"")</f>
        <v>12000</v>
      </c>
      <c r="H514" s="87">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332">
        <v>1</v>
      </c>
      <c r="B515" s="332" t="s">
        <v>67</v>
      </c>
      <c r="C515" s="332" t="s">
        <v>262</v>
      </c>
      <c r="D515" s="332" t="s">
        <v>262</v>
      </c>
      <c r="E515" s="333" t="s">
        <v>205</v>
      </c>
      <c r="F515" s="332"/>
      <c r="G515" s="334" t="str">
        <f t="array" ref="G515">IF(B515="insumo",_xlfn.XLOOKUP($D515,Insumos!$B$1:$B$996,Insumos!$D$1:$D$996),"")</f>
        <v/>
      </c>
      <c r="H515" s="334">
        <v>6.0795673937957</v>
      </c>
      <c r="I515" s="335">
        <v>670.32</v>
      </c>
      <c r="J515" s="335">
        <v>4075.2556154091299</v>
      </c>
      <c r="K515" s="335"/>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70</v>
      </c>
      <c r="C516" s="10" t="s">
        <v>262</v>
      </c>
      <c r="D516" s="10" t="s">
        <v>206</v>
      </c>
      <c r="E516" s="11" t="str">
        <f t="array" ref="E516">_xlfn.XLOOKUP(D516,Insumos!B:B,Insumos!C:$C)</f>
        <v>KG</v>
      </c>
      <c r="F516" s="14">
        <v>1.1000000000000001</v>
      </c>
      <c r="G516" s="87">
        <f t="array" ref="G516">IF(B516="insumo",_xlfn.XLOOKUP($D516,Insumos!$B$1:$B$996,Insumos!$D$1:$D$996),"")</f>
        <v>5.2594749034506343</v>
      </c>
      <c r="H516" s="87">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70</v>
      </c>
      <c r="C517" s="10" t="s">
        <v>262</v>
      </c>
      <c r="D517" s="10" t="s">
        <v>207</v>
      </c>
      <c r="E517" s="11" t="str">
        <f t="array" ref="E517">_xlfn.XLOOKUP(D517,Insumos!B:B,Insumos!C:$C)</f>
        <v>KG</v>
      </c>
      <c r="F517" s="14">
        <v>2.0500000000000001E-2</v>
      </c>
      <c r="G517" s="87">
        <f t="array" ref="G517">IF(B517="insumo",_xlfn.XLOOKUP($D517,Insumos!$B$1:$B$996,Insumos!$D$1:$D$996),"")</f>
        <v>13.69</v>
      </c>
      <c r="H517" s="87">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70</v>
      </c>
      <c r="C518" s="10" t="s">
        <v>262</v>
      </c>
      <c r="D518" s="10" t="s">
        <v>208</v>
      </c>
      <c r="E518" s="11" t="str">
        <f t="array" ref="E518">_xlfn.XLOOKUP(D518,Insumos!B:B,Insumos!C:$C)</f>
        <v>UN</v>
      </c>
      <c r="F518" s="14">
        <v>0.05</v>
      </c>
      <c r="G518" s="87">
        <f t="array" ref="G518">IF(B518="insumo",_xlfn.XLOOKUP($D518,Insumos!$B$1:$B$996,Insumos!$D$1:$D$996),"")</f>
        <v>0.27</v>
      </c>
      <c r="H518" s="87">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332">
        <v>1</v>
      </c>
      <c r="B519" s="332" t="s">
        <v>67</v>
      </c>
      <c r="C519" s="332" t="s">
        <v>263</v>
      </c>
      <c r="D519" s="332" t="s">
        <v>263</v>
      </c>
      <c r="E519" s="333" t="s">
        <v>205</v>
      </c>
      <c r="F519" s="332"/>
      <c r="G519" s="334" t="str">
        <f t="array" ref="G519">IF(B519="insumo",_xlfn.XLOOKUP($D519,Insumos!$B$1:$B$996,Insumos!$D$1:$D$996),"")</f>
        <v/>
      </c>
      <c r="H519" s="334">
        <v>5.7114876589046197</v>
      </c>
      <c r="I519" s="335">
        <v>0</v>
      </c>
      <c r="J519" s="335">
        <v>0</v>
      </c>
      <c r="K519" s="335"/>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70</v>
      </c>
      <c r="C520" s="10" t="s">
        <v>263</v>
      </c>
      <c r="D520" s="10" t="s">
        <v>210</v>
      </c>
      <c r="E520" s="11" t="str">
        <f t="array" ref="E520">_xlfn.XLOOKUP(D520,Insumos!B:B,Insumos!C:$C)</f>
        <v>KG</v>
      </c>
      <c r="F520" s="14">
        <v>1.1000000000000001</v>
      </c>
      <c r="G520" s="87">
        <f t="array" ref="G520">IF(B520="insumo",_xlfn.XLOOKUP($D520,Insumos!$B$1:$B$996,Insumos!$D$1:$D$996),"")</f>
        <v>4.9248569626405612</v>
      </c>
      <c r="H520" s="87">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70</v>
      </c>
      <c r="C521" s="10" t="s">
        <v>263</v>
      </c>
      <c r="D521" s="10" t="s">
        <v>207</v>
      </c>
      <c r="E521" s="11" t="str">
        <f t="array" ref="E521">_xlfn.XLOOKUP(D521,Insumos!B:B,Insumos!C:$C)</f>
        <v>KG</v>
      </c>
      <c r="F521" s="14">
        <v>2.0500000000000001E-2</v>
      </c>
      <c r="G521" s="87">
        <f t="array" ref="G521">IF(B521="insumo",_xlfn.XLOOKUP($D521,Insumos!$B$1:$B$996,Insumos!$D$1:$D$996),"")</f>
        <v>13.69</v>
      </c>
      <c r="H521" s="87">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70</v>
      </c>
      <c r="C522" s="10" t="s">
        <v>263</v>
      </c>
      <c r="D522" s="10" t="s">
        <v>208</v>
      </c>
      <c r="E522" s="11" t="str">
        <f t="array" ref="E522">_xlfn.XLOOKUP(D522,Insumos!B:B,Insumos!C:$C)</f>
        <v>UN</v>
      </c>
      <c r="F522" s="14">
        <v>0.05</v>
      </c>
      <c r="G522" s="87">
        <f t="array" ref="G522">IF(B522="insumo",_xlfn.XLOOKUP($D522,Insumos!$B$1:$B$996,Insumos!$D$1:$D$996),"")</f>
        <v>0.27</v>
      </c>
      <c r="H522" s="87">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332">
        <v>1</v>
      </c>
      <c r="B523" s="332" t="s">
        <v>67</v>
      </c>
      <c r="C523" s="332" t="s">
        <v>264</v>
      </c>
      <c r="D523" s="332" t="s">
        <v>264</v>
      </c>
      <c r="E523" s="333" t="s">
        <v>205</v>
      </c>
      <c r="F523" s="332"/>
      <c r="G523" s="334" t="str">
        <f t="array" ref="G523">IF(B523="insumo",_xlfn.XLOOKUP($D523,Insumos!$B$1:$B$996,Insumos!$D$1:$D$996),"")</f>
        <v/>
      </c>
      <c r="H523" s="334">
        <v>5.5748977193202496</v>
      </c>
      <c r="I523" s="335">
        <v>0</v>
      </c>
      <c r="J523" s="335">
        <v>0</v>
      </c>
      <c r="K523" s="335"/>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70</v>
      </c>
      <c r="C524" s="10" t="s">
        <v>264</v>
      </c>
      <c r="D524" s="10" t="s">
        <v>212</v>
      </c>
      <c r="E524" s="11" t="str">
        <f t="array" ref="E524">_xlfn.XLOOKUP(D524,Insumos!B:B,Insumos!C:$C)</f>
        <v>KG</v>
      </c>
      <c r="F524" s="14">
        <v>1.1000000000000001</v>
      </c>
      <c r="G524" s="87">
        <f t="array" ref="G524">IF(B524="insumo",_xlfn.XLOOKUP($D524,Insumos!$B$1:$B$996,Insumos!$D$1:$D$996),"")</f>
        <v>4.80068429029114</v>
      </c>
      <c r="H524" s="87">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70</v>
      </c>
      <c r="C525" s="10" t="s">
        <v>264</v>
      </c>
      <c r="D525" s="10" t="s">
        <v>207</v>
      </c>
      <c r="E525" s="11" t="str">
        <f t="array" ref="E525">_xlfn.XLOOKUP(D525,Insumos!B:B,Insumos!C:$C)</f>
        <v>KG</v>
      </c>
      <c r="F525" s="14">
        <v>2.0500000000000001E-2</v>
      </c>
      <c r="G525" s="87">
        <f t="array" ref="G525">IF(B525="insumo",_xlfn.XLOOKUP($D525,Insumos!$B$1:$B$996,Insumos!$D$1:$D$996),"")</f>
        <v>13.69</v>
      </c>
      <c r="H525" s="87">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70</v>
      </c>
      <c r="C526" s="10" t="s">
        <v>264</v>
      </c>
      <c r="D526" s="10" t="s">
        <v>208</v>
      </c>
      <c r="E526" s="11" t="str">
        <f t="array" ref="E526">_xlfn.XLOOKUP(D526,Insumos!B:B,Insumos!C:$C)</f>
        <v>UN</v>
      </c>
      <c r="F526" s="14">
        <v>0.05</v>
      </c>
      <c r="G526" s="87">
        <f t="array" ref="G526">IF(B526="insumo",_xlfn.XLOOKUP($D526,Insumos!$B$1:$B$996,Insumos!$D$1:$D$996),"")</f>
        <v>0.27</v>
      </c>
      <c r="H526" s="87">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332">
        <v>1</v>
      </c>
      <c r="B527" s="332" t="s">
        <v>67</v>
      </c>
      <c r="C527" s="332" t="s">
        <v>265</v>
      </c>
      <c r="D527" s="332" t="s">
        <v>265</v>
      </c>
      <c r="E527" s="333" t="s">
        <v>205</v>
      </c>
      <c r="F527" s="332"/>
      <c r="G527" s="334" t="str">
        <f t="array" ref="G527">IF(B527="insumo",_xlfn.XLOOKUP($D527,Insumos!$B$1:$B$996,Insumos!$D$1:$D$996),"")</f>
        <v/>
      </c>
      <c r="H527" s="334">
        <v>5.8525390844687299</v>
      </c>
      <c r="I527" s="335">
        <v>41.601599999999998</v>
      </c>
      <c r="J527" s="335">
        <v>243.47498997643399</v>
      </c>
      <c r="K527" s="335"/>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70</v>
      </c>
      <c r="C528" s="10" t="s">
        <v>265</v>
      </c>
      <c r="D528" s="10" t="s">
        <v>239</v>
      </c>
      <c r="E528" s="11" t="str">
        <f t="array" ref="E528">_xlfn.XLOOKUP(D528,Insumos!B:B,Insumos!C:$C)</f>
        <v>KG</v>
      </c>
      <c r="F528" s="14">
        <v>1.1000000000000001</v>
      </c>
      <c r="G528" s="87">
        <f t="array" ref="G528">IF(B528="insumo",_xlfn.XLOOKUP($D528,Insumos!$B$1:$B$996,Insumos!$D$1:$D$996),"")</f>
        <v>5.0530855313352099</v>
      </c>
      <c r="H528" s="87">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70</v>
      </c>
      <c r="C529" s="10" t="s">
        <v>265</v>
      </c>
      <c r="D529" s="10" t="s">
        <v>207</v>
      </c>
      <c r="E529" s="11" t="str">
        <f t="array" ref="E529">_xlfn.XLOOKUP(D529,Insumos!B:B,Insumos!C:$C)</f>
        <v>KG</v>
      </c>
      <c r="F529" s="14">
        <v>2.0500000000000001E-2</v>
      </c>
      <c r="G529" s="87">
        <f t="array" ref="G529">IF(B529="insumo",_xlfn.XLOOKUP($D529,Insumos!$B$1:$B$996,Insumos!$D$1:$D$996),"")</f>
        <v>13.69</v>
      </c>
      <c r="H529" s="87">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70</v>
      </c>
      <c r="C530" s="10" t="s">
        <v>265</v>
      </c>
      <c r="D530" s="10" t="s">
        <v>208</v>
      </c>
      <c r="E530" s="11" t="str">
        <f t="array" ref="E530">_xlfn.XLOOKUP(D530,Insumos!B:B,Insumos!C:$C)</f>
        <v>UN</v>
      </c>
      <c r="F530" s="14">
        <v>0.05</v>
      </c>
      <c r="G530" s="87">
        <f t="array" ref="G530">IF(B530="insumo",_xlfn.XLOOKUP($D530,Insumos!$B$1:$B$996,Insumos!$D$1:$D$996),"")</f>
        <v>0.27</v>
      </c>
      <c r="H530" s="87">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332">
        <v>1</v>
      </c>
      <c r="B531" s="332" t="s">
        <v>67</v>
      </c>
      <c r="C531" s="332" t="s">
        <v>266</v>
      </c>
      <c r="D531" s="332" t="s">
        <v>266</v>
      </c>
      <c r="E531" s="333" t="s">
        <v>205</v>
      </c>
      <c r="F531" s="332"/>
      <c r="G531" s="334" t="str">
        <f t="array" ref="G531">IF(B531="insumo",_xlfn.XLOOKUP($D531,Insumos!$B$1:$B$996,Insumos!$D$1:$D$996),"")</f>
        <v/>
      </c>
      <c r="H531" s="334">
        <v>5.7287614493981804</v>
      </c>
      <c r="I531" s="335">
        <v>0</v>
      </c>
      <c r="J531" s="335">
        <v>0</v>
      </c>
      <c r="K531" s="335"/>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70</v>
      </c>
      <c r="C532" s="10" t="s">
        <v>266</v>
      </c>
      <c r="D532" s="10" t="s">
        <v>214</v>
      </c>
      <c r="E532" s="11" t="str">
        <f t="array" ref="E532">_xlfn.XLOOKUP(D532,Insumos!B:B,Insumos!C:$C)</f>
        <v>KG</v>
      </c>
      <c r="F532" s="14">
        <v>1.1000000000000001</v>
      </c>
      <c r="G532" s="87">
        <f t="array" ref="G532">IF(B532="insumo",_xlfn.XLOOKUP($D532,Insumos!$B$1:$B$996,Insumos!$D$1:$D$996),"")</f>
        <v>4.9405604085438029</v>
      </c>
      <c r="H532" s="87">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70</v>
      </c>
      <c r="C533" s="10" t="s">
        <v>266</v>
      </c>
      <c r="D533" s="10" t="s">
        <v>207</v>
      </c>
      <c r="E533" s="11" t="str">
        <f t="array" ref="E533">_xlfn.XLOOKUP(D533,Insumos!B:B,Insumos!C:$C)</f>
        <v>KG</v>
      </c>
      <c r="F533" s="14">
        <v>2.0500000000000001E-2</v>
      </c>
      <c r="G533" s="87">
        <f t="array" ref="G533">IF(B533="insumo",_xlfn.XLOOKUP($D533,Insumos!$B$1:$B$996,Insumos!$D$1:$D$996),"")</f>
        <v>13.69</v>
      </c>
      <c r="H533" s="87">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70</v>
      </c>
      <c r="C534" s="10" t="s">
        <v>266</v>
      </c>
      <c r="D534" s="10" t="s">
        <v>208</v>
      </c>
      <c r="E534" s="11" t="str">
        <f t="array" ref="E534">_xlfn.XLOOKUP(D534,Insumos!B:B,Insumos!C:$C)</f>
        <v>UN</v>
      </c>
      <c r="F534" s="14">
        <v>0.05</v>
      </c>
      <c r="G534" s="87">
        <f t="array" ref="G534">IF(B534="insumo",_xlfn.XLOOKUP($D534,Insumos!$B$1:$B$996,Insumos!$D$1:$D$996),"")</f>
        <v>0.27</v>
      </c>
      <c r="H534" s="87">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332">
        <v>1</v>
      </c>
      <c r="B535" s="332" t="s">
        <v>67</v>
      </c>
      <c r="C535" s="332" t="s">
        <v>267</v>
      </c>
      <c r="D535" s="332" t="s">
        <v>267</v>
      </c>
      <c r="E535" s="333" t="s">
        <v>205</v>
      </c>
      <c r="F535" s="332"/>
      <c r="G535" s="334" t="str">
        <f t="array" ref="G535">IF(B535="insumo",_xlfn.XLOOKUP($D535,Insumos!$B$1:$B$996,Insumos!$D$1:$D$996),"")</f>
        <v/>
      </c>
      <c r="H535" s="334">
        <v>5.8320238742016697</v>
      </c>
      <c r="I535" s="335">
        <v>0</v>
      </c>
      <c r="J535" s="335">
        <v>0</v>
      </c>
      <c r="K535" s="335"/>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70</v>
      </c>
      <c r="C536" s="10" t="s">
        <v>267</v>
      </c>
      <c r="D536" s="10" t="s">
        <v>216</v>
      </c>
      <c r="E536" s="11" t="str">
        <f t="array" ref="E536">_xlfn.XLOOKUP(D536,Insumos!B:B,Insumos!C:$C)</f>
        <v>KG</v>
      </c>
      <c r="F536" s="14">
        <v>1.1000000000000001</v>
      </c>
      <c r="G536" s="87">
        <f t="array" ref="G536">IF(B536="insumo",_xlfn.XLOOKUP($D536,Insumos!$B$1:$B$996,Insumos!$D$1:$D$996),"")</f>
        <v>5.0344353401833359</v>
      </c>
      <c r="H536" s="87">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70</v>
      </c>
      <c r="C537" s="10" t="s">
        <v>267</v>
      </c>
      <c r="D537" s="10" t="s">
        <v>207</v>
      </c>
      <c r="E537" s="11" t="str">
        <f t="array" ref="E537">_xlfn.XLOOKUP(D537,Insumos!B:B,Insumos!C:$C)</f>
        <v>KG</v>
      </c>
      <c r="F537" s="14">
        <v>2.0500000000000001E-2</v>
      </c>
      <c r="G537" s="87">
        <f t="array" ref="G537">IF(B537="insumo",_xlfn.XLOOKUP($D537,Insumos!$B$1:$B$996,Insumos!$D$1:$D$996),"")</f>
        <v>13.69</v>
      </c>
      <c r="H537" s="87">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70</v>
      </c>
      <c r="C538" s="10" t="s">
        <v>267</v>
      </c>
      <c r="D538" s="10" t="s">
        <v>208</v>
      </c>
      <c r="E538" s="11" t="str">
        <f t="array" ref="E538">_xlfn.XLOOKUP(D538,Insumos!B:B,Insumos!C:$C)</f>
        <v>UN</v>
      </c>
      <c r="F538" s="14">
        <v>0.05</v>
      </c>
      <c r="G538" s="87">
        <f t="array" ref="G538">IF(B538="insumo",_xlfn.XLOOKUP($D538,Insumos!$B$1:$B$996,Insumos!$D$1:$D$996),"")</f>
        <v>0.27</v>
      </c>
      <c r="H538" s="87">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332">
        <v>1</v>
      </c>
      <c r="B539" s="332" t="s">
        <v>67</v>
      </c>
      <c r="C539" s="332" t="s">
        <v>268</v>
      </c>
      <c r="D539" s="332" t="s">
        <v>268</v>
      </c>
      <c r="E539" s="333" t="s">
        <v>205</v>
      </c>
      <c r="F539" s="332"/>
      <c r="G539" s="334" t="str">
        <f t="array" ref="G539">IF(B539="insumo",_xlfn.XLOOKUP($D539,Insumos!$B$1:$B$996,Insumos!$D$1:$D$996),"")</f>
        <v/>
      </c>
      <c r="H539" s="334">
        <v>5.9710978475884398</v>
      </c>
      <c r="I539" s="335">
        <v>0</v>
      </c>
      <c r="J539" s="335">
        <v>0</v>
      </c>
      <c r="K539" s="335"/>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70</v>
      </c>
      <c r="C540" s="10" t="s">
        <v>268</v>
      </c>
      <c r="D540" s="10" t="s">
        <v>243</v>
      </c>
      <c r="E540" s="11" t="str">
        <f t="array" ref="E540">_xlfn.XLOOKUP(D540,Insumos!B:B,Insumos!C:$C)</f>
        <v>KG</v>
      </c>
      <c r="F540" s="14">
        <v>1.1000000000000001</v>
      </c>
      <c r="G540" s="87">
        <f t="array" ref="G540">IF(B540="insumo",_xlfn.XLOOKUP($D540,Insumos!$B$1:$B$996,Insumos!$D$1:$D$996),"")</f>
        <v>5.1608662250804</v>
      </c>
      <c r="H540" s="87">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70</v>
      </c>
      <c r="C541" s="10" t="s">
        <v>268</v>
      </c>
      <c r="D541" s="10" t="s">
        <v>207</v>
      </c>
      <c r="E541" s="11" t="str">
        <f t="array" ref="E541">_xlfn.XLOOKUP(D541,Insumos!B:B,Insumos!C:$C)</f>
        <v>KG</v>
      </c>
      <c r="F541" s="14">
        <v>2.0500000000000001E-2</v>
      </c>
      <c r="G541" s="87">
        <f t="array" ref="G541">IF(B541="insumo",_xlfn.XLOOKUP($D541,Insumos!$B$1:$B$996,Insumos!$D$1:$D$996),"")</f>
        <v>13.69</v>
      </c>
      <c r="H541" s="87">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70</v>
      </c>
      <c r="C542" s="10" t="s">
        <v>268</v>
      </c>
      <c r="D542" s="10" t="s">
        <v>208</v>
      </c>
      <c r="E542" s="11" t="str">
        <f t="array" ref="E542">_xlfn.XLOOKUP(D542,Insumos!B:B,Insumos!C:$C)</f>
        <v>UN</v>
      </c>
      <c r="F542" s="14">
        <v>0.05</v>
      </c>
      <c r="G542" s="87">
        <f t="array" ref="G542">IF(B542="insumo",_xlfn.XLOOKUP($D542,Insumos!$B$1:$B$996,Insumos!$D$1:$D$996),"")</f>
        <v>0.27</v>
      </c>
      <c r="H542" s="87">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332">
        <v>1</v>
      </c>
      <c r="B543" s="332" t="s">
        <v>67</v>
      </c>
      <c r="C543" s="332" t="s">
        <v>269</v>
      </c>
      <c r="D543" s="332" t="s">
        <v>269</v>
      </c>
      <c r="E543" s="333" t="s">
        <v>205</v>
      </c>
      <c r="F543" s="332"/>
      <c r="G543" s="334" t="str">
        <f t="array" ref="G543">IF(B543="insumo",_xlfn.XLOOKUP($D543,Insumos!$B$1:$B$996,Insumos!$D$1:$D$996),"")</f>
        <v/>
      </c>
      <c r="H543" s="334">
        <v>7.0532266249184001</v>
      </c>
      <c r="I543" s="335">
        <v>0</v>
      </c>
      <c r="J543" s="335">
        <v>0</v>
      </c>
      <c r="K543" s="335"/>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70</v>
      </c>
      <c r="C544" s="10" t="s">
        <v>269</v>
      </c>
      <c r="D544" s="10" t="s">
        <v>218</v>
      </c>
      <c r="E544" s="11" t="str">
        <f t="array" ref="E544">_xlfn.XLOOKUP(D544,Insumos!B:B,Insumos!C:$C)</f>
        <v>KG</v>
      </c>
      <c r="F544" s="14">
        <v>1.1000000000000001</v>
      </c>
      <c r="G544" s="87">
        <f t="array" ref="G544">IF(B544="insumo",_xlfn.XLOOKUP($D544,Insumos!$B$1:$B$996,Insumos!$D$1:$D$996),"")</f>
        <v>6.1446196590167288</v>
      </c>
      <c r="H544" s="87">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70</v>
      </c>
      <c r="C545" s="10" t="s">
        <v>269</v>
      </c>
      <c r="D545" s="10" t="s">
        <v>207</v>
      </c>
      <c r="E545" s="11" t="str">
        <f t="array" ref="E545">_xlfn.XLOOKUP(D545,Insumos!B:B,Insumos!C:$C)</f>
        <v>KG</v>
      </c>
      <c r="F545" s="14">
        <v>2.0500000000000001E-2</v>
      </c>
      <c r="G545" s="87">
        <f t="array" ref="G545">IF(B545="insumo",_xlfn.XLOOKUP($D545,Insumos!$B$1:$B$996,Insumos!$D$1:$D$996),"")</f>
        <v>13.69</v>
      </c>
      <c r="H545" s="87">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70</v>
      </c>
      <c r="C546" s="10" t="s">
        <v>269</v>
      </c>
      <c r="D546" s="10" t="s">
        <v>208</v>
      </c>
      <c r="E546" s="11" t="str">
        <f t="array" ref="E546">_xlfn.XLOOKUP(D546,Insumos!B:B,Insumos!C:$C)</f>
        <v>UN</v>
      </c>
      <c r="F546" s="14">
        <v>0.05</v>
      </c>
      <c r="G546" s="87">
        <f t="array" ref="G546">IF(B546="insumo",_xlfn.XLOOKUP($D546,Insumos!$B$1:$B$996,Insumos!$D$1:$D$996),"")</f>
        <v>0.27</v>
      </c>
      <c r="H546" s="87">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332">
        <v>1</v>
      </c>
      <c r="B547" s="332" t="s">
        <v>67</v>
      </c>
      <c r="C547" s="332" t="s">
        <v>2805</v>
      </c>
      <c r="D547" s="332" t="s">
        <v>2805</v>
      </c>
      <c r="E547" s="333" t="s">
        <v>205</v>
      </c>
      <c r="F547" s="332"/>
      <c r="G547" s="334" t="str">
        <f t="array" ref="G547">IF(B547="insumo",_xlfn.XLOOKUP($D547,Insumos!$B$1:$B$880,Insumos!$D$1:$D$880),"")</f>
        <v/>
      </c>
      <c r="H547" s="334">
        <v>8.9641450000000003</v>
      </c>
      <c r="I547" s="335">
        <v>2282</v>
      </c>
      <c r="J547" s="335">
        <v>20456.178889999999</v>
      </c>
      <c r="K547" s="335"/>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70</v>
      </c>
      <c r="C548" s="10" t="s">
        <v>2805</v>
      </c>
      <c r="D548" s="10" t="s">
        <v>2857</v>
      </c>
      <c r="E548" s="11" t="str">
        <f t="array" ref="E548">_xlfn.XLOOKUP(D548,Insumos!B:B,Insumos!C:$C)</f>
        <v>UN</v>
      </c>
      <c r="F548" s="14">
        <v>1</v>
      </c>
      <c r="G548" s="87">
        <f t="array" ref="G548">IF(B548="insumo",_xlfn.XLOOKUP($D548,Insumos!$B$1:$B$880,Insumos!$D$1:$D$880),"")</f>
        <v>8.67</v>
      </c>
      <c r="H548" s="87">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70</v>
      </c>
      <c r="C549" s="10" t="s">
        <v>2805</v>
      </c>
      <c r="D549" s="10" t="s">
        <v>207</v>
      </c>
      <c r="E549" s="11" t="str">
        <f t="array" ref="E549">_xlfn.XLOOKUP(D549,Insumos!B:B,Insumos!C:$C)</f>
        <v>KG</v>
      </c>
      <c r="F549" s="14">
        <v>2.0500000000000001E-2</v>
      </c>
      <c r="G549" s="87">
        <f t="array" ref="G549">IF(B549="insumo",_xlfn.XLOOKUP($D549,Insumos!$B$1:$B$880,Insumos!$D$1:$D$880),"")</f>
        <v>13.69</v>
      </c>
      <c r="H549" s="87">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70</v>
      </c>
      <c r="C550" s="10" t="s">
        <v>2805</v>
      </c>
      <c r="D550" s="10" t="s">
        <v>208</v>
      </c>
      <c r="E550" s="11" t="str">
        <f t="array" ref="E550">_xlfn.XLOOKUP(D550,Insumos!B:B,Insumos!C:$C)</f>
        <v>UN</v>
      </c>
      <c r="F550" s="14">
        <v>0.05</v>
      </c>
      <c r="G550" s="87">
        <f t="array" ref="G550">IF(B550="insumo",_xlfn.XLOOKUP($D550,Insumos!$B$1:$B$880,Insumos!$D$1:$D$880),"")</f>
        <v>0.27</v>
      </c>
      <c r="H550" s="87">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332">
        <v>1</v>
      </c>
      <c r="B551" s="332" t="s">
        <v>67</v>
      </c>
      <c r="C551" s="332" t="s">
        <v>2806</v>
      </c>
      <c r="D551" s="332" t="s">
        <v>2806</v>
      </c>
      <c r="E551" s="333" t="s">
        <v>205</v>
      </c>
      <c r="F551" s="332"/>
      <c r="G551" s="334" t="str">
        <f t="array" ref="G551">IF(B551="insumo",_xlfn.XLOOKUP($D551,Insumos!$B$1:$B$880,Insumos!$D$1:$D$880),"")</f>
        <v/>
      </c>
      <c r="H551" s="334">
        <v>8.9641450000000003</v>
      </c>
      <c r="I551" s="335">
        <v>990.36363636363603</v>
      </c>
      <c r="J551" s="335">
        <v>8877.7632390909093</v>
      </c>
      <c r="K551" s="335"/>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70</v>
      </c>
      <c r="C552" s="10" t="s">
        <v>2806</v>
      </c>
      <c r="D552" s="10" t="s">
        <v>2858</v>
      </c>
      <c r="E552" s="11" t="str">
        <f t="array" ref="E552">_xlfn.XLOOKUP(D552,Insumos!B:B,Insumos!C:$C)</f>
        <v>UN</v>
      </c>
      <c r="F552" s="14">
        <v>1</v>
      </c>
      <c r="G552" s="87">
        <f t="array" ref="G552">IF(B552="insumo",_xlfn.XLOOKUP($D552,Insumos!$B$1:$B$880,Insumos!$D$1:$D$880),"")</f>
        <v>8.67</v>
      </c>
      <c r="H552" s="87">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70</v>
      </c>
      <c r="C553" s="10" t="s">
        <v>2806</v>
      </c>
      <c r="D553" s="10" t="s">
        <v>207</v>
      </c>
      <c r="E553" s="11" t="str">
        <f t="array" ref="E553">_xlfn.XLOOKUP(D553,Insumos!B:B,Insumos!C:$C)</f>
        <v>KG</v>
      </c>
      <c r="F553" s="14">
        <v>2.0500000000000001E-2</v>
      </c>
      <c r="G553" s="87">
        <f t="array" ref="G553">IF(B553="insumo",_xlfn.XLOOKUP($D553,Insumos!$B$1:$B$880,Insumos!$D$1:$D$880),"")</f>
        <v>13.69</v>
      </c>
      <c r="H553" s="87">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70</v>
      </c>
      <c r="C554" s="10" t="s">
        <v>2806</v>
      </c>
      <c r="D554" s="10" t="s">
        <v>208</v>
      </c>
      <c r="E554" s="11" t="str">
        <f t="array" ref="E554">_xlfn.XLOOKUP(D554,Insumos!B:B,Insumos!C:$C)</f>
        <v>UN</v>
      </c>
      <c r="F554" s="14">
        <v>0.05</v>
      </c>
      <c r="G554" s="87">
        <f t="array" ref="G554">IF(B554="insumo",_xlfn.XLOOKUP($D554,Insumos!$B$1:$B$880,Insumos!$D$1:$D$880),"")</f>
        <v>0.27</v>
      </c>
      <c r="H554" s="87">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332">
        <v>1</v>
      </c>
      <c r="B555" s="332" t="s">
        <v>67</v>
      </c>
      <c r="C555" s="332" t="s">
        <v>2807</v>
      </c>
      <c r="D555" s="332" t="s">
        <v>2807</v>
      </c>
      <c r="E555" s="333" t="s">
        <v>205</v>
      </c>
      <c r="F555" s="332"/>
      <c r="G555" s="334" t="str">
        <f t="array" ref="G555">IF(B555="insumo",_xlfn.XLOOKUP($D555,Insumos!$B$1:$B$880,Insumos!$D$1:$D$880),"")</f>
        <v/>
      </c>
      <c r="H555" s="334">
        <v>8.4841449999999998</v>
      </c>
      <c r="I555" s="335">
        <v>3929.3636363636401</v>
      </c>
      <c r="J555" s="335">
        <v>33337.290848636403</v>
      </c>
      <c r="K555" s="335"/>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70</v>
      </c>
      <c r="C556" s="10" t="s">
        <v>2807</v>
      </c>
      <c r="D556" s="10" t="s">
        <v>2859</v>
      </c>
      <c r="E556" s="11" t="str">
        <f t="array" ref="E556">_xlfn.XLOOKUP(D556,Insumos!B:B,Insumos!C:$C)</f>
        <v>UN</v>
      </c>
      <c r="F556" s="14">
        <v>1</v>
      </c>
      <c r="G556" s="87">
        <f t="array" ref="G556">IF(B556="insumo",_xlfn.XLOOKUP($D556,Insumos!$B$1:$B$880,Insumos!$D$1:$D$880),"")</f>
        <v>8.19</v>
      </c>
      <c r="H556" s="87">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70</v>
      </c>
      <c r="C557" s="10" t="s">
        <v>2807</v>
      </c>
      <c r="D557" s="10" t="s">
        <v>207</v>
      </c>
      <c r="E557" s="11" t="str">
        <f t="array" ref="E557">_xlfn.XLOOKUP(D557,Insumos!B:B,Insumos!C:$C)</f>
        <v>KG</v>
      </c>
      <c r="F557" s="14">
        <v>2.0500000000000001E-2</v>
      </c>
      <c r="G557" s="87">
        <f t="array" ref="G557">IF(B557="insumo",_xlfn.XLOOKUP($D557,Insumos!$B$1:$B$880,Insumos!$D$1:$D$880),"")</f>
        <v>13.69</v>
      </c>
      <c r="H557" s="87">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70</v>
      </c>
      <c r="C558" s="10" t="s">
        <v>2807</v>
      </c>
      <c r="D558" s="10" t="s">
        <v>208</v>
      </c>
      <c r="E558" s="11" t="str">
        <f t="array" ref="E558">_xlfn.XLOOKUP(D558,Insumos!B:B,Insumos!C:$C)</f>
        <v>UN</v>
      </c>
      <c r="F558" s="14">
        <v>0.05</v>
      </c>
      <c r="G558" s="87">
        <f t="array" ref="G558">IF(B558="insumo",_xlfn.XLOOKUP($D558,Insumos!$B$1:$B$880,Insumos!$D$1:$D$880),"")</f>
        <v>0.27</v>
      </c>
      <c r="H558" s="87">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332">
        <v>1</v>
      </c>
      <c r="B559" s="332" t="s">
        <v>67</v>
      </c>
      <c r="C559" s="332" t="s">
        <v>2965</v>
      </c>
      <c r="D559" s="332" t="s">
        <v>2965</v>
      </c>
      <c r="E559" s="333" t="s">
        <v>205</v>
      </c>
      <c r="F559" s="332"/>
      <c r="G559" s="334" t="str">
        <f t="array" ref="G559">IF(B559="insumo",_xlfn.XLOOKUP($D559,Insumos!$B$1:$B$880,Insumos!$D$1:$D$880),"")</f>
        <v/>
      </c>
      <c r="H559" s="334">
        <v>8.4841449999999998</v>
      </c>
      <c r="I559" s="335">
        <v>1277.27272727273</v>
      </c>
      <c r="J559" s="335">
        <v>10836.5670227273</v>
      </c>
      <c r="K559" s="335"/>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70</v>
      </c>
      <c r="C560" s="10" t="s">
        <v>2965</v>
      </c>
      <c r="D560" s="10" t="s">
        <v>2966</v>
      </c>
      <c r="E560" s="11" t="str">
        <f t="array" ref="E560">_xlfn.XLOOKUP(D560,Insumos!B:B,Insumos!C:$C)</f>
        <v>UN</v>
      </c>
      <c r="F560" s="14">
        <v>1</v>
      </c>
      <c r="G560" s="87">
        <f t="array" ref="G560">IF(B560="insumo",_xlfn.XLOOKUP($D560,Insumos!$B$1:$B$880,Insumos!$D$1:$D$880),"")</f>
        <v>8.19</v>
      </c>
      <c r="H560" s="87">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70</v>
      </c>
      <c r="C561" s="10" t="s">
        <v>2965</v>
      </c>
      <c r="D561" s="10" t="s">
        <v>207</v>
      </c>
      <c r="E561" s="11" t="str">
        <f t="array" ref="E561">_xlfn.XLOOKUP(D561,Insumos!B:B,Insumos!C:$C)</f>
        <v>KG</v>
      </c>
      <c r="F561" s="14">
        <v>2.0500000000000001E-2</v>
      </c>
      <c r="G561" s="87">
        <f t="array" ref="G561">IF(B561="insumo",_xlfn.XLOOKUP($D561,Insumos!$B$1:$B$880,Insumos!$D$1:$D$880),"")</f>
        <v>13.69</v>
      </c>
      <c r="H561" s="87">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70</v>
      </c>
      <c r="C562" s="10" t="s">
        <v>2965</v>
      </c>
      <c r="D562" s="10" t="s">
        <v>208</v>
      </c>
      <c r="E562" s="11" t="str">
        <f t="array" ref="E562">_xlfn.XLOOKUP(D562,Insumos!B:B,Insumos!C:$C)</f>
        <v>UN</v>
      </c>
      <c r="F562" s="14">
        <v>0.05</v>
      </c>
      <c r="G562" s="87">
        <f t="array" ref="G562">IF(B562="insumo",_xlfn.XLOOKUP($D562,Insumos!$B$1:$B$880,Insumos!$D$1:$D$880),"")</f>
        <v>0.27</v>
      </c>
      <c r="H562" s="87">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332">
        <v>1</v>
      </c>
      <c r="B563" s="332" t="s">
        <v>67</v>
      </c>
      <c r="C563" s="332" t="s">
        <v>2967</v>
      </c>
      <c r="D563" s="332" t="s">
        <v>2967</v>
      </c>
      <c r="E563" s="333" t="s">
        <v>205</v>
      </c>
      <c r="F563" s="332"/>
      <c r="G563" s="334" t="str">
        <f t="array" ref="G563">IF(B563="insumo",_xlfn.XLOOKUP($D563,Insumos!$B$1:$B$880,Insumos!$D$1:$D$880),"")</f>
        <v/>
      </c>
      <c r="H563" s="334">
        <v>8.4841449999999998</v>
      </c>
      <c r="I563" s="335">
        <v>430.09090909090901</v>
      </c>
      <c r="J563" s="335">
        <v>3648.9536359090898</v>
      </c>
      <c r="K563" s="335"/>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70</v>
      </c>
      <c r="C564" s="10" t="s">
        <v>2967</v>
      </c>
      <c r="D564" s="10" t="s">
        <v>2968</v>
      </c>
      <c r="E564" s="11" t="str">
        <f t="array" ref="E564">_xlfn.XLOOKUP(D564,Insumos!B:B,Insumos!C:$C)</f>
        <v>UN</v>
      </c>
      <c r="F564" s="14">
        <v>1</v>
      </c>
      <c r="G564" s="87">
        <f t="array" ref="G564">IF(B564="insumo",_xlfn.XLOOKUP($D564,Insumos!$B$1:$B$880,Insumos!$D$1:$D$880),"")</f>
        <v>8.19</v>
      </c>
      <c r="H564" s="87">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70</v>
      </c>
      <c r="C565" s="10" t="s">
        <v>2967</v>
      </c>
      <c r="D565" s="10" t="s">
        <v>207</v>
      </c>
      <c r="E565" s="11" t="str">
        <f t="array" ref="E565">_xlfn.XLOOKUP(D565,Insumos!B:B,Insumos!C:$C)</f>
        <v>KG</v>
      </c>
      <c r="F565" s="14">
        <v>2.0500000000000001E-2</v>
      </c>
      <c r="G565" s="87">
        <f t="array" ref="G565">IF(B565="insumo",_xlfn.XLOOKUP($D565,Insumos!$B$1:$B$880,Insumos!$D$1:$D$880),"")</f>
        <v>13.69</v>
      </c>
      <c r="H565" s="87">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70</v>
      </c>
      <c r="C566" s="10" t="s">
        <v>2967</v>
      </c>
      <c r="D566" s="10" t="s">
        <v>208</v>
      </c>
      <c r="E566" s="11" t="str">
        <f t="array" ref="E566">_xlfn.XLOOKUP(D566,Insumos!B:B,Insumos!C:$C)</f>
        <v>UN</v>
      </c>
      <c r="F566" s="14">
        <v>0.05</v>
      </c>
      <c r="G566" s="87">
        <f t="array" ref="G566">IF(B566="insumo",_xlfn.XLOOKUP($D566,Insumos!$B$1:$B$880,Insumos!$D$1:$D$880),"")</f>
        <v>0.27</v>
      </c>
      <c r="H566" s="87">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332">
        <v>1</v>
      </c>
      <c r="B567" s="332" t="s">
        <v>67</v>
      </c>
      <c r="C567" s="332" t="s">
        <v>2808</v>
      </c>
      <c r="D567" s="332" t="s">
        <v>2808</v>
      </c>
      <c r="E567" s="333" t="s">
        <v>205</v>
      </c>
      <c r="F567" s="332"/>
      <c r="G567" s="334" t="str">
        <f t="array" ref="G567">IF(B567="insumo",_xlfn.XLOOKUP($D567,Insumos!$B$1:$B$880,Insumos!$D$1:$D$880),"")</f>
        <v/>
      </c>
      <c r="H567" s="334">
        <v>8.4841449999999998</v>
      </c>
      <c r="I567" s="335">
        <v>12007</v>
      </c>
      <c r="J567" s="335">
        <v>101869.129015</v>
      </c>
      <c r="K567" s="335"/>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70</v>
      </c>
      <c r="C568" s="10" t="s">
        <v>2808</v>
      </c>
      <c r="D568" s="10" t="s">
        <v>2860</v>
      </c>
      <c r="E568" s="11" t="str">
        <f t="array" ref="E568">_xlfn.XLOOKUP(D568,Insumos!B:B,Insumos!C:$C)</f>
        <v>UN</v>
      </c>
      <c r="F568" s="14">
        <v>1</v>
      </c>
      <c r="G568" s="87">
        <f t="array" ref="G568">IF(B568="insumo",_xlfn.XLOOKUP($D568,Insumos!$B$1:$B$880,Insumos!$D$1:$D$880),"")</f>
        <v>8.19</v>
      </c>
      <c r="H568" s="87">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70</v>
      </c>
      <c r="C569" s="10" t="s">
        <v>2808</v>
      </c>
      <c r="D569" s="10" t="s">
        <v>207</v>
      </c>
      <c r="E569" s="11" t="str">
        <f t="array" ref="E569">_xlfn.XLOOKUP(D569,Insumos!B:B,Insumos!C:$C)</f>
        <v>KG</v>
      </c>
      <c r="F569" s="14">
        <v>2.0500000000000001E-2</v>
      </c>
      <c r="G569" s="87">
        <f t="array" ref="G569">IF(B569="insumo",_xlfn.XLOOKUP($D569,Insumos!$B$1:$B$880,Insumos!$D$1:$D$880),"")</f>
        <v>13.69</v>
      </c>
      <c r="H569" s="87">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70</v>
      </c>
      <c r="C570" s="10" t="s">
        <v>2808</v>
      </c>
      <c r="D570" s="10" t="s">
        <v>208</v>
      </c>
      <c r="E570" s="11" t="str">
        <f t="array" ref="E570">_xlfn.XLOOKUP(D570,Insumos!B:B,Insumos!C:$C)</f>
        <v>UN</v>
      </c>
      <c r="F570" s="14">
        <v>0.05</v>
      </c>
      <c r="G570" s="87">
        <f t="array" ref="G570">IF(B570="insumo",_xlfn.XLOOKUP($D570,Insumos!$B$1:$B$880,Insumos!$D$1:$D$880),"")</f>
        <v>0.27</v>
      </c>
      <c r="H570" s="87">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355">
        <v>5</v>
      </c>
      <c r="B571" s="355" t="s">
        <v>1227</v>
      </c>
      <c r="C571" s="355" t="s">
        <v>2808</v>
      </c>
      <c r="D571" s="355" t="s">
        <v>1362</v>
      </c>
      <c r="E571" s="356"/>
      <c r="F571" s="357"/>
      <c r="G571" s="356"/>
      <c r="H571" s="356">
        <v>0</v>
      </c>
      <c r="I571" s="357">
        <v>0</v>
      </c>
      <c r="J571" s="357">
        <v>0</v>
      </c>
      <c r="K571" s="357"/>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332">
        <v>1</v>
      </c>
      <c r="B572" s="332" t="s">
        <v>67</v>
      </c>
      <c r="C572" s="332" t="s">
        <v>260</v>
      </c>
      <c r="D572" s="332" t="s">
        <v>260</v>
      </c>
      <c r="E572" s="333" t="s">
        <v>151</v>
      </c>
      <c r="F572" s="332"/>
      <c r="G572" s="334" t="str">
        <f t="array" ref="G572">IF(B572="insumo",_xlfn.XLOOKUP($D572,Insumos!$B$1:$B$996,Insumos!$D$1:$D$996),"")</f>
        <v/>
      </c>
      <c r="H572" s="334">
        <v>693.66</v>
      </c>
      <c r="I572" s="335">
        <v>0</v>
      </c>
      <c r="J572" s="335">
        <v>0</v>
      </c>
      <c r="K572" s="335"/>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70</v>
      </c>
      <c r="C573" s="10" t="s">
        <v>260</v>
      </c>
      <c r="D573" s="10" t="s">
        <v>220</v>
      </c>
      <c r="E573" s="11" t="str">
        <f t="array" ref="E573">_xlfn.XLOOKUP(D573,Insumos!B:B,Insumos!C:$C)</f>
        <v>M3</v>
      </c>
      <c r="F573" s="14">
        <v>1.3</v>
      </c>
      <c r="G573" s="87">
        <f t="array" ref="G573">IF(B573="insumo",_xlfn.XLOOKUP($D573,Insumos!$B$1:$B$996,Insumos!$D$1:$D$996),"")</f>
        <v>492.99999999999994</v>
      </c>
      <c r="H573" s="87">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70</v>
      </c>
      <c r="C574" s="10" t="s">
        <v>260</v>
      </c>
      <c r="D574" s="10" t="s">
        <v>158</v>
      </c>
      <c r="E574" s="11" t="str">
        <f t="array" ref="E574">_xlfn.XLOOKUP(D574,Insumos!B:B,Insumos!C:$C)</f>
        <v>M3</v>
      </c>
      <c r="F574" s="14">
        <v>1.3</v>
      </c>
      <c r="G574" s="87">
        <f t="array" ref="G574">IF(B574="insumo",_xlfn.XLOOKUP($D574,Insumos!$B$1:$B$996,Insumos!$D$1:$D$996),"")</f>
        <v>40</v>
      </c>
      <c r="H574" s="87">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70</v>
      </c>
      <c r="C575" s="10" t="s">
        <v>260</v>
      </c>
      <c r="D575" s="10" t="s">
        <v>159</v>
      </c>
      <c r="E575" s="11" t="str">
        <f t="array" ref="E575">_xlfn.XLOOKUP(D575,Insumos!B:B,Insumos!C:$C)</f>
        <v>KG</v>
      </c>
      <c r="F575" s="14">
        <v>1</v>
      </c>
      <c r="G575" s="87">
        <f t="array" ref="G575">IF(B575="insumo",_xlfn.XLOOKUP($D575,Insumos!$B$1:$B$996,Insumos!$D$1:$D$996),"")</f>
        <v>0.76</v>
      </c>
      <c r="H575" s="87">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332">
        <v>1</v>
      </c>
      <c r="B576" s="332" t="s">
        <v>67</v>
      </c>
      <c r="C576" s="332" t="s">
        <v>270</v>
      </c>
      <c r="D576" s="332" t="s">
        <v>270</v>
      </c>
      <c r="E576" s="333" t="s">
        <v>151</v>
      </c>
      <c r="F576" s="332"/>
      <c r="G576" s="334" t="str">
        <f t="array" ref="G576">IF(B576="insumo",_xlfn.XLOOKUP($D576,Insumos!$B$1:$B$996,Insumos!$D$1:$D$996),"")</f>
        <v/>
      </c>
      <c r="H576" s="334">
        <v>634.36</v>
      </c>
      <c r="I576" s="335">
        <v>0</v>
      </c>
      <c r="J576" s="335">
        <v>0</v>
      </c>
      <c r="K576" s="335"/>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70</v>
      </c>
      <c r="C577" s="10" t="s">
        <v>270</v>
      </c>
      <c r="D577" s="10" t="s">
        <v>220</v>
      </c>
      <c r="E577" s="11" t="str">
        <f t="array" ref="E577">_xlfn.XLOOKUP(D577,Insumos!B:B,Insumos!C:$C)</f>
        <v>M3</v>
      </c>
      <c r="F577" s="14">
        <v>1.2</v>
      </c>
      <c r="G577" s="87">
        <f t="array" ref="G577">IF(B577="insumo",_xlfn.XLOOKUP($D577,Insumos!$B$1:$B$996,Insumos!$D$1:$D$996),"")</f>
        <v>492.99999999999994</v>
      </c>
      <c r="H577" s="87">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70</v>
      </c>
      <c r="C578" s="10" t="s">
        <v>270</v>
      </c>
      <c r="D578" s="10" t="s">
        <v>158</v>
      </c>
      <c r="E578" s="11" t="str">
        <f t="array" ref="E578">_xlfn.XLOOKUP(D578,Insumos!B:B,Insumos!C:$C)</f>
        <v>M3</v>
      </c>
      <c r="F578" s="14">
        <v>1.05</v>
      </c>
      <c r="G578" s="87">
        <f t="array" ref="G578">IF(B578="insumo",_xlfn.XLOOKUP($D578,Insumos!$B$1:$B$996,Insumos!$D$1:$D$996),"")</f>
        <v>40</v>
      </c>
      <c r="H578" s="87">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70</v>
      </c>
      <c r="C579" s="10" t="s">
        <v>270</v>
      </c>
      <c r="D579" s="10" t="s">
        <v>159</v>
      </c>
      <c r="E579" s="11" t="str">
        <f t="array" ref="E579">_xlfn.XLOOKUP(D579,Insumos!B:B,Insumos!C:$C)</f>
        <v>KG</v>
      </c>
      <c r="F579" s="14">
        <v>1</v>
      </c>
      <c r="G579" s="87">
        <f t="array" ref="G579">IF(B579="insumo",_xlfn.XLOOKUP($D579,Insumos!$B$1:$B$996,Insumos!$D$1:$D$996),"")</f>
        <v>0.76</v>
      </c>
      <c r="H579" s="87">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332">
        <v>1</v>
      </c>
      <c r="B580" s="332" t="s">
        <v>67</v>
      </c>
      <c r="C580" s="332" t="s">
        <v>271</v>
      </c>
      <c r="D580" s="332" t="s">
        <v>271</v>
      </c>
      <c r="E580" s="333" t="s">
        <v>151</v>
      </c>
      <c r="F580" s="332"/>
      <c r="G580" s="334" t="str">
        <f t="array" ref="G580">IF(B580="insumo",_xlfn.XLOOKUP($D580,Insumos!$B$1:$B$996,Insumos!$D$1:$D$996),"")</f>
        <v/>
      </c>
      <c r="H580" s="334">
        <v>654.76</v>
      </c>
      <c r="I580" s="335">
        <v>0</v>
      </c>
      <c r="J580" s="335">
        <v>0</v>
      </c>
      <c r="K580" s="335"/>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70</v>
      </c>
      <c r="C581" s="10" t="s">
        <v>271</v>
      </c>
      <c r="D581" s="10" t="s">
        <v>248</v>
      </c>
      <c r="E581" s="11" t="str">
        <f t="array" ref="E581">_xlfn.XLOOKUP(D581,Insumos!B:B,Insumos!C:$C)</f>
        <v>M3</v>
      </c>
      <c r="F581" s="14">
        <v>1.2</v>
      </c>
      <c r="G581" s="87">
        <f t="array" ref="G581">IF(B581="insumo",_xlfn.XLOOKUP($D581,Insumos!$B$1:$B$996,Insumos!$D$1:$D$996),"")</f>
        <v>510</v>
      </c>
      <c r="H581" s="87">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70</v>
      </c>
      <c r="C582" s="10" t="s">
        <v>271</v>
      </c>
      <c r="D582" s="10" t="s">
        <v>158</v>
      </c>
      <c r="E582" s="11" t="str">
        <f t="array" ref="E582">_xlfn.XLOOKUP(D582,Insumos!B:B,Insumos!C:$C)</f>
        <v>M3</v>
      </c>
      <c r="F582" s="14">
        <v>1.05</v>
      </c>
      <c r="G582" s="87">
        <f t="array" ref="G582">IF(B582="insumo",_xlfn.XLOOKUP($D582,Insumos!$B$1:$B$996,Insumos!$D$1:$D$996),"")</f>
        <v>40</v>
      </c>
      <c r="H582" s="87">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70</v>
      </c>
      <c r="C583" s="10" t="s">
        <v>271</v>
      </c>
      <c r="D583" s="10" t="s">
        <v>159</v>
      </c>
      <c r="E583" s="11" t="str">
        <f t="array" ref="E583">_xlfn.XLOOKUP(D583,Insumos!B:B,Insumos!C:$C)</f>
        <v>KG</v>
      </c>
      <c r="F583" s="14">
        <v>1</v>
      </c>
      <c r="G583" s="87">
        <f t="array" ref="G583">IF(B583="insumo",_xlfn.XLOOKUP($D583,Insumos!$B$1:$B$996,Insumos!$D$1:$D$996),"")</f>
        <v>0.76</v>
      </c>
      <c r="H583" s="87">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355">
        <v>6</v>
      </c>
      <c r="B584" s="355" t="s">
        <v>1227</v>
      </c>
      <c r="C584" s="355" t="s">
        <v>271</v>
      </c>
      <c r="D584" s="355" t="s">
        <v>1423</v>
      </c>
      <c r="E584" s="356"/>
      <c r="F584" s="357"/>
      <c r="G584" s="356"/>
      <c r="H584" s="356">
        <v>0</v>
      </c>
      <c r="I584" s="357">
        <v>0</v>
      </c>
      <c r="J584" s="357">
        <v>0</v>
      </c>
      <c r="K584" s="357"/>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332">
        <v>1</v>
      </c>
      <c r="B585" s="332" t="s">
        <v>67</v>
      </c>
      <c r="C585" s="332" t="s">
        <v>272</v>
      </c>
      <c r="D585" s="332" t="s">
        <v>272</v>
      </c>
      <c r="E585" s="333" t="str">
        <f t="array" ref="E585">_xlfn.XLOOKUP(D585,Insumos!B:B,Insumos!C:$C)</f>
        <v>M2</v>
      </c>
      <c r="F585" s="332"/>
      <c r="G585" s="334" t="str">
        <f t="array" ref="G585">IF(B585="insumo",_xlfn.XLOOKUP($D585,Insumos!$B$1:$B$996,Insumos!$D$1:$D$996),"")</f>
        <v/>
      </c>
      <c r="H585" s="334">
        <v>166.34420509708701</v>
      </c>
      <c r="I585" s="335">
        <v>0</v>
      </c>
      <c r="J585" s="335">
        <v>0</v>
      </c>
      <c r="K585" s="335"/>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70</v>
      </c>
      <c r="C586" s="10" t="s">
        <v>272</v>
      </c>
      <c r="D586" s="10" t="s">
        <v>272</v>
      </c>
      <c r="E586" s="11" t="str">
        <f t="array" ref="E586">_xlfn.XLOOKUP(D586,Insumos!B:B,Insumos!C:$C)</f>
        <v>M2</v>
      </c>
      <c r="F586" s="14">
        <v>1</v>
      </c>
      <c r="G586" s="87">
        <f t="array" ref="G586">IF(B586="insumo",_xlfn.XLOOKUP($D586,Insumos!$B$1:$B$996,Insumos!$D$1:$D$996),"")</f>
        <v>166.34420509708741</v>
      </c>
      <c r="H586" s="87">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65</v>
      </c>
      <c r="C587" s="7" t="s">
        <v>272</v>
      </c>
      <c r="D587" s="7" t="s">
        <v>41</v>
      </c>
      <c r="E587" s="8"/>
      <c r="F587" s="9"/>
      <c r="G587" s="86" t="str">
        <f t="array" ref="G587">IF(B587="insumo",_xlfn.XLOOKUP($D587,Insumos!$B$1:$B$996,Insumos!$D$1:$D$996),"")</f>
        <v/>
      </c>
      <c r="H587" s="86">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355">
        <v>3</v>
      </c>
      <c r="B588" s="355" t="s">
        <v>1227</v>
      </c>
      <c r="C588" s="355" t="s">
        <v>272</v>
      </c>
      <c r="D588" s="355" t="s">
        <v>1670</v>
      </c>
      <c r="E588" s="356"/>
      <c r="F588" s="357"/>
      <c r="G588" s="356"/>
      <c r="H588" s="356">
        <v>0</v>
      </c>
      <c r="I588" s="357">
        <v>0</v>
      </c>
      <c r="J588" s="357">
        <v>0</v>
      </c>
      <c r="K588" s="357"/>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332">
        <v>1</v>
      </c>
      <c r="B589" s="332" t="s">
        <v>67</v>
      </c>
      <c r="C589" s="332" t="s">
        <v>273</v>
      </c>
      <c r="D589" s="332" t="s">
        <v>273</v>
      </c>
      <c r="E589" s="333" t="s">
        <v>69</v>
      </c>
      <c r="F589" s="332"/>
      <c r="G589" s="334" t="str">
        <f t="array" ref="G589">IF(B589="insumo",_xlfn.XLOOKUP($D589,Insumos!$B$1:$B$996,Insumos!$D$1:$D$996),"")</f>
        <v/>
      </c>
      <c r="H589" s="334">
        <v>65.418450000000007</v>
      </c>
      <c r="I589" s="335">
        <v>0</v>
      </c>
      <c r="J589" s="335">
        <v>0</v>
      </c>
      <c r="K589" s="335"/>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70</v>
      </c>
      <c r="C590" s="10" t="s">
        <v>273</v>
      </c>
      <c r="D590" s="10" t="s">
        <v>86</v>
      </c>
      <c r="E590" s="11" t="str">
        <f t="array" ref="E590">_xlfn.XLOOKUP(D590,Insumos!B:B,Insumos!C:$C)</f>
        <v>KG</v>
      </c>
      <c r="F590" s="14">
        <v>9.5000000000000001E-2</v>
      </c>
      <c r="G590" s="87">
        <f t="array" ref="G590">IF(B590="insumo",_xlfn.XLOOKUP($D590,Insumos!$B$1:$B$996,Insumos!$D$1:$D$996),"")</f>
        <v>18.13</v>
      </c>
      <c r="H590" s="87">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70</v>
      </c>
      <c r="C591" s="10" t="s">
        <v>273</v>
      </c>
      <c r="D591" s="10" t="s">
        <v>232</v>
      </c>
      <c r="E591" s="11" t="str">
        <f t="array" ref="E591">_xlfn.XLOOKUP(D591,Insumos!B:B,Insumos!C:$C)</f>
        <v>L</v>
      </c>
      <c r="F591" s="14">
        <v>1.7000000000000001E-2</v>
      </c>
      <c r="G591" s="87">
        <f t="array" ref="G591">IF(B591="insumo",_xlfn.XLOOKUP($D591,Insumos!$B$1:$B$996,Insumos!$D$1:$D$996),"")</f>
        <v>15.55</v>
      </c>
      <c r="H591" s="87">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70</v>
      </c>
      <c r="C592" s="10" t="s">
        <v>273</v>
      </c>
      <c r="D592" s="10" t="s">
        <v>83</v>
      </c>
      <c r="E592" s="11" t="str">
        <f t="array" ref="E592">_xlfn.XLOOKUP(D592,Insumos!B:B,Insumos!C:$C)</f>
        <v>M</v>
      </c>
      <c r="F592" s="14">
        <v>0.44857142857142857</v>
      </c>
      <c r="G592" s="87">
        <f t="array" ref="G592">IF(B592="insumo",_xlfn.XLOOKUP($D592,Insumos!$B$1:$B$996,Insumos!$D$1:$D$996),"")</f>
        <v>7</v>
      </c>
      <c r="H592" s="87">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70</v>
      </c>
      <c r="C593" s="10" t="s">
        <v>273</v>
      </c>
      <c r="D593" s="10" t="s">
        <v>128</v>
      </c>
      <c r="E593" s="11" t="str">
        <f t="array" ref="E593">_xlfn.XLOOKUP(D593,Insumos!B:B,Insumos!C:$C)</f>
        <v>M3</v>
      </c>
      <c r="F593" s="14">
        <v>1.2570000000000001E-3</v>
      </c>
      <c r="G593" s="87">
        <f t="array" ref="G593">IF(B593="insumo",_xlfn.XLOOKUP($D593,Insumos!$B$1:$B$996,Insumos!$D$1:$D$996),"")</f>
        <v>1350</v>
      </c>
      <c r="H593" s="87">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70</v>
      </c>
      <c r="C594" s="10" t="s">
        <v>273</v>
      </c>
      <c r="D594" s="10" t="s">
        <v>274</v>
      </c>
      <c r="E594" s="11" t="str">
        <f t="array" ref="E594">_xlfn.XLOOKUP(D594,Insumos!B:B,Insumos!C:$C)</f>
        <v>M</v>
      </c>
      <c r="F594" s="14">
        <v>1.38</v>
      </c>
      <c r="G594" s="87">
        <f t="array" ref="G594">IF(B594="insumo",_xlfn.XLOOKUP($D594,Insumos!$B$1:$B$996,Insumos!$D$1:$D$996),"")</f>
        <v>42.46</v>
      </c>
      <c r="H594" s="87">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332">
        <v>1</v>
      </c>
      <c r="B595" s="332" t="s">
        <v>67</v>
      </c>
      <c r="C595" s="332" t="s">
        <v>275</v>
      </c>
      <c r="D595" s="332" t="s">
        <v>275</v>
      </c>
      <c r="E595" s="333" t="s">
        <v>69</v>
      </c>
      <c r="F595" s="332"/>
      <c r="G595" s="334" t="str">
        <f t="array" ref="G595">IF(B595="insumo",_xlfn.XLOOKUP($D595,Insumos!$B$1:$B$996,Insumos!$D$1:$D$996),"")</f>
        <v/>
      </c>
      <c r="H595" s="334">
        <v>117.15402760330601</v>
      </c>
      <c r="I595" s="335">
        <v>0</v>
      </c>
      <c r="J595" s="335">
        <v>0</v>
      </c>
      <c r="K595" s="335"/>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70</v>
      </c>
      <c r="C596" s="10" t="s">
        <v>275</v>
      </c>
      <c r="D596" s="10" t="s">
        <v>86</v>
      </c>
      <c r="E596" s="11" t="str">
        <f t="array" ref="E596">_xlfn.XLOOKUP(D596,Insumos!B:B,Insumos!C:$C)</f>
        <v>KG</v>
      </c>
      <c r="F596" s="14">
        <v>0.20799999999999999</v>
      </c>
      <c r="G596" s="87">
        <f t="array" ref="G596">IF(B596="insumo",_xlfn.XLOOKUP($D596,Insumos!$B$1:$B$996,Insumos!$D$1:$D$996),"")</f>
        <v>18.13</v>
      </c>
      <c r="H596" s="87">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70</v>
      </c>
      <c r="C597" s="10" t="s">
        <v>275</v>
      </c>
      <c r="D597" s="10" t="s">
        <v>276</v>
      </c>
      <c r="E597" s="11" t="str">
        <f t="array" ref="E597">_xlfn.XLOOKUP(D597,Insumos!B:B,Insumos!C:$C)</f>
        <v>M2</v>
      </c>
      <c r="F597" s="14">
        <v>1.3360000000000001</v>
      </c>
      <c r="G597" s="87">
        <f t="array" ref="G597">IF(B597="insumo",_xlfn.XLOOKUP($D597,Insumos!$B$1:$B$996,Insumos!$D$1:$D$996),"")</f>
        <v>59.297520661157016</v>
      </c>
      <c r="H597" s="87">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70</v>
      </c>
      <c r="C598" s="10" t="s">
        <v>275</v>
      </c>
      <c r="D598" s="10" t="s">
        <v>83</v>
      </c>
      <c r="E598" s="11" t="str">
        <f t="array" ref="E598">_xlfn.XLOOKUP(D598,Insumos!B:B,Insumos!C:$C)</f>
        <v>M</v>
      </c>
      <c r="F598" s="14">
        <v>0.42714285714285716</v>
      </c>
      <c r="G598" s="87">
        <f t="array" ref="G598">IF(B598="insumo",_xlfn.XLOOKUP($D598,Insumos!$B$1:$B$996,Insumos!$D$1:$D$996),"")</f>
        <v>7</v>
      </c>
      <c r="H598" s="87">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70</v>
      </c>
      <c r="C599" s="10" t="s">
        <v>275</v>
      </c>
      <c r="D599" s="10" t="s">
        <v>128</v>
      </c>
      <c r="E599" s="11" t="str">
        <f t="array" ref="E599">_xlfn.XLOOKUP(D599,Insumos!B:B,Insumos!C:$C)</f>
        <v>M3</v>
      </c>
      <c r="F599" s="14">
        <v>2.3089999999999999E-2</v>
      </c>
      <c r="G599" s="87">
        <f t="array" ref="G599">IF(B599="insumo",_xlfn.XLOOKUP($D599,Insumos!$B$1:$B$996,Insumos!$D$1:$D$996),"")</f>
        <v>1350</v>
      </c>
      <c r="H599" s="87">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332">
        <v>1</v>
      </c>
      <c r="B600" s="332" t="s">
        <v>67</v>
      </c>
      <c r="C600" s="332" t="s">
        <v>277</v>
      </c>
      <c r="D600" s="332" t="s">
        <v>277</v>
      </c>
      <c r="E600" s="333" t="s">
        <v>69</v>
      </c>
      <c r="F600" s="332"/>
      <c r="G600" s="334" t="str">
        <f t="array" ref="G600">IF(B600="insumo",_xlfn.XLOOKUP($D600,Insumos!$B$1:$B$996,Insumos!$D$1:$D$996),"")</f>
        <v/>
      </c>
      <c r="H600" s="334">
        <v>81.411944285714299</v>
      </c>
      <c r="I600" s="335">
        <v>0</v>
      </c>
      <c r="J600" s="335">
        <v>0</v>
      </c>
      <c r="K600" s="335"/>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70</v>
      </c>
      <c r="C601" s="10" t="s">
        <v>277</v>
      </c>
      <c r="D601" s="10" t="s">
        <v>86</v>
      </c>
      <c r="E601" s="11" t="str">
        <f t="array" ref="E601">_xlfn.XLOOKUP(D601,Insumos!B:B,Insumos!C:$C)</f>
        <v>KG</v>
      </c>
      <c r="F601" s="14">
        <v>0.159</v>
      </c>
      <c r="G601" s="87">
        <f t="array" ref="G601">IF(B601="insumo",_xlfn.XLOOKUP($D601,Insumos!$B$1:$B$996,Insumos!$D$1:$D$996),"")</f>
        <v>18.13</v>
      </c>
      <c r="H601" s="87">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70</v>
      </c>
      <c r="C602" s="10" t="s">
        <v>277</v>
      </c>
      <c r="D602" s="10" t="s">
        <v>278</v>
      </c>
      <c r="E602" s="11" t="str">
        <f t="array" ref="E602">_xlfn.XLOOKUP(D602,Insumos!B:B,Insumos!C:$C)</f>
        <v>M2</v>
      </c>
      <c r="F602" s="14">
        <v>1.1459999999999999</v>
      </c>
      <c r="G602" s="87">
        <f t="array" ref="G602">IF(B602="insumo",_xlfn.XLOOKUP($D602,Insumos!$B$1:$B$996,Insumos!$D$1:$D$996),"")</f>
        <v>46.002857142857138</v>
      </c>
      <c r="H602" s="87">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70</v>
      </c>
      <c r="C603" s="10" t="s">
        <v>277</v>
      </c>
      <c r="D603" s="10" t="s">
        <v>83</v>
      </c>
      <c r="E603" s="11" t="str">
        <f t="array" ref="E603">_xlfn.XLOOKUP(D603,Insumos!B:B,Insumos!C:$C)</f>
        <v>M</v>
      </c>
      <c r="F603" s="14">
        <v>0.33571428571428574</v>
      </c>
      <c r="G603" s="87">
        <f t="array" ref="G603">IF(B603="insumo",_xlfn.XLOOKUP($D603,Insumos!$B$1:$B$996,Insumos!$D$1:$D$996),"")</f>
        <v>7</v>
      </c>
      <c r="H603" s="87">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70</v>
      </c>
      <c r="C604" s="10" t="s">
        <v>277</v>
      </c>
      <c r="D604" s="10" t="s">
        <v>128</v>
      </c>
      <c r="E604" s="11" t="str">
        <f t="array" ref="E604">_xlfn.XLOOKUP(D604,Insumos!B:B,Insumos!C:$C)</f>
        <v>M3</v>
      </c>
      <c r="F604" s="14">
        <v>1.737777777777778E-2</v>
      </c>
      <c r="G604" s="87">
        <f t="array" ref="G604">IF(B604="insumo",_xlfn.XLOOKUP($D604,Insumos!$B$1:$B$996,Insumos!$D$1:$D$996),"")</f>
        <v>1350</v>
      </c>
      <c r="H604" s="87">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332">
        <v>1</v>
      </c>
      <c r="B605" s="332" t="s">
        <v>67</v>
      </c>
      <c r="C605" s="332" t="s">
        <v>279</v>
      </c>
      <c r="D605" s="332" t="s">
        <v>279</v>
      </c>
      <c r="E605" s="333" t="s">
        <v>69</v>
      </c>
      <c r="F605" s="332"/>
      <c r="G605" s="334" t="str">
        <f t="array" ref="G605">IF(B605="insumo",_xlfn.XLOOKUP($D605,Insumos!$B$1:$B$996,Insumos!$D$1:$D$996),"")</f>
        <v/>
      </c>
      <c r="H605" s="334">
        <v>55.601944285714303</v>
      </c>
      <c r="I605" s="335">
        <v>0</v>
      </c>
      <c r="J605" s="335">
        <v>0</v>
      </c>
      <c r="K605" s="335"/>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70</v>
      </c>
      <c r="C606" s="10" t="s">
        <v>279</v>
      </c>
      <c r="D606" s="10" t="s">
        <v>86</v>
      </c>
      <c r="E606" s="11" t="str">
        <f t="array" ref="E606">_xlfn.XLOOKUP(D606,Insumos!B:B,Insumos!C:$C)</f>
        <v>KG</v>
      </c>
      <c r="F606" s="14">
        <v>0.159</v>
      </c>
      <c r="G606" s="87">
        <f t="array" ref="G606">IF(B606="insumo",_xlfn.XLOOKUP($D606,Insumos!$B$1:$B$996,Insumos!$D$1:$D$996),"")</f>
        <v>18.13</v>
      </c>
      <c r="H606" s="87">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70</v>
      </c>
      <c r="C607" s="10" t="s">
        <v>279</v>
      </c>
      <c r="D607" s="10" t="s">
        <v>278</v>
      </c>
      <c r="E607" s="11" t="str">
        <f t="array" ref="E607">_xlfn.XLOOKUP(D607,Insumos!B:B,Insumos!C:$C)</f>
        <v>M2</v>
      </c>
      <c r="F607" s="14">
        <v>1.1459999999999999</v>
      </c>
      <c r="G607" s="87">
        <f t="array" ref="G607">IF(B607="insumo",_xlfn.XLOOKUP($D607,Insumos!$B$1:$B$996,Insumos!$D$1:$D$996),"")</f>
        <v>46.002857142857138</v>
      </c>
      <c r="H607" s="87">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332">
        <v>1</v>
      </c>
      <c r="B608" s="332" t="s">
        <v>67</v>
      </c>
      <c r="C608" s="332" t="s">
        <v>280</v>
      </c>
      <c r="D608" s="332" t="s">
        <v>280</v>
      </c>
      <c r="E608" s="333" t="s">
        <v>69</v>
      </c>
      <c r="F608" s="332"/>
      <c r="G608" s="334" t="str">
        <f t="array" ref="G608">IF(B608="insumo",_xlfn.XLOOKUP($D608,Insumos!$B$1:$B$996,Insumos!$D$1:$D$996),"")</f>
        <v/>
      </c>
      <c r="H608" s="334">
        <v>99.392357142857094</v>
      </c>
      <c r="I608" s="335">
        <v>0</v>
      </c>
      <c r="J608" s="335">
        <v>0</v>
      </c>
      <c r="K608" s="335"/>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70</v>
      </c>
      <c r="C609" s="10" t="s">
        <v>280</v>
      </c>
      <c r="D609" s="10" t="s">
        <v>86</v>
      </c>
      <c r="E609" s="11" t="str">
        <f t="array" ref="E609">_xlfn.XLOOKUP(D609,Insumos!B:B,Insumos!C:$C)</f>
        <v>KG</v>
      </c>
      <c r="F609" s="14">
        <v>0.20799999999999999</v>
      </c>
      <c r="G609" s="87">
        <f t="array" ref="G609">IF(B609="insumo",_xlfn.XLOOKUP($D609,Insumos!$B$1:$B$996,Insumos!$D$1:$D$996),"")</f>
        <v>18.13</v>
      </c>
      <c r="H609" s="87">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70</v>
      </c>
      <c r="C610" s="10" t="s">
        <v>280</v>
      </c>
      <c r="D610" s="10" t="s">
        <v>278</v>
      </c>
      <c r="E610" s="11" t="str">
        <f t="array" ref="E610">_xlfn.XLOOKUP(D610,Insumos!B:B,Insumos!C:$C)</f>
        <v>M2</v>
      </c>
      <c r="F610" s="14">
        <v>1.3360000000000001</v>
      </c>
      <c r="G610" s="87">
        <f t="array" ref="G610">IF(B610="insumo",_xlfn.XLOOKUP($D610,Insumos!$B$1:$B$996,Insumos!$D$1:$D$996),"")</f>
        <v>46.002857142857138</v>
      </c>
      <c r="H610" s="87">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70</v>
      </c>
      <c r="C611" s="10" t="s">
        <v>280</v>
      </c>
      <c r="D611" s="10" t="s">
        <v>83</v>
      </c>
      <c r="E611" s="11" t="str">
        <f t="array" ref="E611">_xlfn.XLOOKUP(D611,Insumos!B:B,Insumos!C:$C)</f>
        <v>M</v>
      </c>
      <c r="F611" s="14">
        <v>0.42714285714285716</v>
      </c>
      <c r="G611" s="87">
        <f t="array" ref="G611">IF(B611="insumo",_xlfn.XLOOKUP($D611,Insumos!$B$1:$B$996,Insumos!$D$1:$D$996),"")</f>
        <v>7</v>
      </c>
      <c r="H611" s="87">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70</v>
      </c>
      <c r="C612" s="10" t="s">
        <v>280</v>
      </c>
      <c r="D612" s="10" t="s">
        <v>128</v>
      </c>
      <c r="E612" s="11" t="str">
        <f t="array" ref="E612">_xlfn.XLOOKUP(D612,Insumos!B:B,Insumos!C:$C)</f>
        <v>M3</v>
      </c>
      <c r="F612" s="14">
        <v>2.3089999999999999E-2</v>
      </c>
      <c r="G612" s="87">
        <f t="array" ref="G612">IF(B612="insumo",_xlfn.XLOOKUP($D612,Insumos!$B$1:$B$996,Insumos!$D$1:$D$996),"")</f>
        <v>1350</v>
      </c>
      <c r="H612" s="87">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332">
        <v>1</v>
      </c>
      <c r="B613" s="332" t="s">
        <v>67</v>
      </c>
      <c r="C613" s="332" t="s">
        <v>281</v>
      </c>
      <c r="D613" s="332" t="s">
        <v>281</v>
      </c>
      <c r="E613" s="333" t="s">
        <v>69</v>
      </c>
      <c r="F613" s="332"/>
      <c r="G613" s="334" t="str">
        <f t="array" ref="G613">IF(B613="insumo",_xlfn.XLOOKUP($D613,Insumos!$B$1:$B$996,Insumos!$D$1:$D$996),"")</f>
        <v/>
      </c>
      <c r="H613" s="334">
        <v>81.411944285714299</v>
      </c>
      <c r="I613" s="335">
        <v>0</v>
      </c>
      <c r="J613" s="335">
        <v>0</v>
      </c>
      <c r="K613" s="335"/>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70</v>
      </c>
      <c r="C614" s="10" t="s">
        <v>281</v>
      </c>
      <c r="D614" s="10" t="s">
        <v>86</v>
      </c>
      <c r="E614" s="11" t="str">
        <f t="array" ref="E614">_xlfn.XLOOKUP(D614,Insumos!B:B,Insumos!C:$C)</f>
        <v>KG</v>
      </c>
      <c r="F614" s="14">
        <v>0.159</v>
      </c>
      <c r="G614" s="87">
        <f t="array" ref="G614">IF(B614="insumo",_xlfn.XLOOKUP($D614,Insumos!$B$1:$B$996,Insumos!$D$1:$D$996),"")</f>
        <v>18.13</v>
      </c>
      <c r="H614" s="87">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70</v>
      </c>
      <c r="C615" s="10" t="s">
        <v>281</v>
      </c>
      <c r="D615" s="10" t="s">
        <v>278</v>
      </c>
      <c r="E615" s="11" t="str">
        <f t="array" ref="E615">_xlfn.XLOOKUP(D615,Insumos!B:B,Insumos!C:$C)</f>
        <v>M2</v>
      </c>
      <c r="F615" s="14">
        <v>1.1459999999999999</v>
      </c>
      <c r="G615" s="87">
        <f t="array" ref="G615">IF(B615="insumo",_xlfn.XLOOKUP($D615,Insumos!$B$1:$B$996,Insumos!$D$1:$D$996),"")</f>
        <v>46.002857142857138</v>
      </c>
      <c r="H615" s="87">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70</v>
      </c>
      <c r="C616" s="10" t="s">
        <v>281</v>
      </c>
      <c r="D616" s="10" t="s">
        <v>83</v>
      </c>
      <c r="E616" s="11" t="str">
        <f t="array" ref="E616">_xlfn.XLOOKUP(D616,Insumos!B:B,Insumos!C:$C)</f>
        <v>M</v>
      </c>
      <c r="F616" s="14">
        <v>0.33571428571428574</v>
      </c>
      <c r="G616" s="87">
        <f t="array" ref="G616">IF(B616="insumo",_xlfn.XLOOKUP($D616,Insumos!$B$1:$B$996,Insumos!$D$1:$D$996),"")</f>
        <v>7</v>
      </c>
      <c r="H616" s="87">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70</v>
      </c>
      <c r="C617" s="10" t="s">
        <v>281</v>
      </c>
      <c r="D617" s="10" t="s">
        <v>128</v>
      </c>
      <c r="E617" s="11" t="str">
        <f t="array" ref="E617">_xlfn.XLOOKUP(D617,Insumos!B:B,Insumos!C:$C)</f>
        <v>M3</v>
      </c>
      <c r="F617" s="14">
        <v>1.737777777777778E-2</v>
      </c>
      <c r="G617" s="87">
        <f t="array" ref="G617">IF(B617="insumo",_xlfn.XLOOKUP($D617,Insumos!$B$1:$B$996,Insumos!$D$1:$D$996),"")</f>
        <v>1350</v>
      </c>
      <c r="H617" s="87">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332">
        <v>1</v>
      </c>
      <c r="B618" s="332" t="s">
        <v>67</v>
      </c>
      <c r="C618" s="332" t="s">
        <v>282</v>
      </c>
      <c r="D618" s="332" t="s">
        <v>282</v>
      </c>
      <c r="E618" s="333" t="s">
        <v>69</v>
      </c>
      <c r="F618" s="332"/>
      <c r="G618" s="334" t="str">
        <f t="array" ref="G618">IF(B618="insumo",_xlfn.XLOOKUP($D618,Insumos!$B$1:$B$996,Insumos!$D$1:$D$996),"")</f>
        <v/>
      </c>
      <c r="H618" s="334">
        <v>55.601944285714303</v>
      </c>
      <c r="I618" s="335">
        <v>0</v>
      </c>
      <c r="J618" s="335">
        <v>0</v>
      </c>
      <c r="K618" s="335"/>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70</v>
      </c>
      <c r="C619" s="10" t="s">
        <v>282</v>
      </c>
      <c r="D619" s="10" t="s">
        <v>86</v>
      </c>
      <c r="E619" s="11" t="str">
        <f t="array" ref="E619">_xlfn.XLOOKUP(D619,Insumos!B:B,Insumos!C:$C)</f>
        <v>KG</v>
      </c>
      <c r="F619" s="14">
        <v>0.159</v>
      </c>
      <c r="G619" s="87">
        <f t="array" ref="G619">IF(B619="insumo",_xlfn.XLOOKUP($D619,Insumos!$B$1:$B$996,Insumos!$D$1:$D$996),"")</f>
        <v>18.13</v>
      </c>
      <c r="H619" s="87">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70</v>
      </c>
      <c r="C620" s="10" t="s">
        <v>282</v>
      </c>
      <c r="D620" s="10" t="s">
        <v>278</v>
      </c>
      <c r="E620" s="11" t="str">
        <f t="array" ref="E620">_xlfn.XLOOKUP(D620,Insumos!B:B,Insumos!C:$C)</f>
        <v>M2</v>
      </c>
      <c r="F620" s="14">
        <v>1.1459999999999999</v>
      </c>
      <c r="G620" s="87">
        <f t="array" ref="G620">IF(B620="insumo",_xlfn.XLOOKUP($D620,Insumos!$B$1:$B$996,Insumos!$D$1:$D$996),"")</f>
        <v>46.002857142857138</v>
      </c>
      <c r="H620" s="87">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336">
        <v>1</v>
      </c>
      <c r="B621" s="336" t="s">
        <v>67</v>
      </c>
      <c r="C621" s="336" t="s">
        <v>1691</v>
      </c>
      <c r="D621" s="336" t="s">
        <v>1691</v>
      </c>
      <c r="E621" s="337" t="s">
        <v>69</v>
      </c>
      <c r="F621" s="336"/>
      <c r="G621" s="338" t="str">
        <f t="array" ref="G621">IF(B621="insumo",_xlfn.XLOOKUP($D621,Insumos!$B$1:$B$996,Insumos!$D$1:$D$996),"")</f>
        <v/>
      </c>
      <c r="H621" s="338">
        <v>104.30944</v>
      </c>
      <c r="I621" s="339">
        <v>0</v>
      </c>
      <c r="J621" s="339">
        <v>0</v>
      </c>
      <c r="K621" s="339"/>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77">
        <v>2</v>
      </c>
      <c r="B622" s="77" t="s">
        <v>70</v>
      </c>
      <c r="C622" s="77" t="s">
        <v>1691</v>
      </c>
      <c r="D622" s="77" t="s">
        <v>1692</v>
      </c>
      <c r="E622" s="11" t="str">
        <f t="array" ref="E622">_xlfn.XLOOKUP(D622,Insumos!B:B,Insumos!C:$C)</f>
        <v>KG</v>
      </c>
      <c r="F622" s="81">
        <v>7.0999999999999994E-2</v>
      </c>
      <c r="G622" s="87">
        <f t="array" ref="G622">IF(B622="insumo",_xlfn.XLOOKUP($D622,Insumos!$B$1:$B$996,Insumos!$D$1:$D$996),"")</f>
        <v>15.85</v>
      </c>
      <c r="H622" s="87">
        <v>1.1253500000000001</v>
      </c>
      <c r="I622" s="79">
        <v>0</v>
      </c>
      <c r="J622" s="79">
        <v>0</v>
      </c>
      <c r="K622" s="79"/>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77">
        <v>3</v>
      </c>
      <c r="B623" s="77" t="s">
        <v>70</v>
      </c>
      <c r="C623" s="77" t="s">
        <v>1691</v>
      </c>
      <c r="D623" s="77" t="s">
        <v>1180</v>
      </c>
      <c r="E623" s="11" t="str">
        <f t="array" ref="E623">_xlfn.XLOOKUP(D623,Insumos!B:B,Insumos!C:$C)</f>
        <v>KG</v>
      </c>
      <c r="F623" s="81">
        <v>3.1E-2</v>
      </c>
      <c r="G623" s="87">
        <f t="array" ref="G623">IF(B623="insumo",_xlfn.XLOOKUP($D623,Insumos!$B$1:$B$996,Insumos!$D$1:$D$996),"")</f>
        <v>17.63</v>
      </c>
      <c r="H623" s="87">
        <v>0.54652999999999996</v>
      </c>
      <c r="I623" s="79">
        <v>0</v>
      </c>
      <c r="J623" s="79">
        <v>0</v>
      </c>
      <c r="K623" s="79"/>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77">
        <v>4</v>
      </c>
      <c r="B624" s="77" t="s">
        <v>70</v>
      </c>
      <c r="C624" s="77" t="s">
        <v>1691</v>
      </c>
      <c r="D624" s="77" t="s">
        <v>1693</v>
      </c>
      <c r="E624" s="11" t="str">
        <f t="array" ref="E624">_xlfn.XLOOKUP(D624,Insumos!B:B,Insumos!C:$C)</f>
        <v>M2</v>
      </c>
      <c r="F624" s="81">
        <v>1.3360000000000001</v>
      </c>
      <c r="G624" s="87">
        <f t="array" ref="G624">IF(B624="insumo",_xlfn.XLOOKUP($D624,Insumos!$B$1:$B$996,Insumos!$D$1:$D$996),"")</f>
        <v>37.96</v>
      </c>
      <c r="H624" s="87">
        <v>50.714559999999999</v>
      </c>
      <c r="I624" s="79">
        <v>0</v>
      </c>
      <c r="J624" s="79">
        <v>0</v>
      </c>
      <c r="K624" s="79"/>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77">
        <v>25</v>
      </c>
      <c r="B625" s="77" t="s">
        <v>70</v>
      </c>
      <c r="C625" s="77" t="s">
        <v>1691</v>
      </c>
      <c r="D625" s="77" t="s">
        <v>83</v>
      </c>
      <c r="E625" s="11" t="str">
        <f t="array" ref="E625">_xlfn.XLOOKUP(D625,Insumos!B:B,Insumos!C:$C)</f>
        <v>M</v>
      </c>
      <c r="F625" s="81">
        <v>6.7039999999999997</v>
      </c>
      <c r="G625" s="87">
        <f t="array" ref="G625">IF(B625="insumo",_xlfn.XLOOKUP($D625,Insumos!$B$1:$B$996,Insumos!$D$1:$D$996),"")</f>
        <v>7</v>
      </c>
      <c r="H625" s="87">
        <v>46.927999999999997</v>
      </c>
      <c r="I625" s="79">
        <v>0</v>
      </c>
      <c r="J625" s="79">
        <v>0</v>
      </c>
      <c r="K625" s="79"/>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77">
        <v>19</v>
      </c>
      <c r="B626" s="77" t="s">
        <v>70</v>
      </c>
      <c r="C626" s="77" t="s">
        <v>1691</v>
      </c>
      <c r="D626" s="77" t="s">
        <v>128</v>
      </c>
      <c r="E626" s="11" t="str">
        <f t="array" ref="E626">_xlfn.XLOOKUP(D626,Insumos!B:B,Insumos!C:$C)</f>
        <v>M3</v>
      </c>
      <c r="F626" s="81">
        <v>3.7000000000000002E-3</v>
      </c>
      <c r="G626" s="87">
        <f t="array" ref="G626">IF(B626="insumo",_xlfn.XLOOKUP($D626,Insumos!$B$1:$B$996,Insumos!$D$1:$D$996),"")</f>
        <v>1350</v>
      </c>
      <c r="H626" s="87">
        <v>4.9950000000000001</v>
      </c>
      <c r="I626" s="79">
        <v>0</v>
      </c>
      <c r="J626" s="79">
        <v>0</v>
      </c>
      <c r="K626" s="79"/>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336">
        <v>1</v>
      </c>
      <c r="B627" s="336" t="s">
        <v>67</v>
      </c>
      <c r="C627" s="336" t="s">
        <v>1694</v>
      </c>
      <c r="D627" s="336" t="s">
        <v>1694</v>
      </c>
      <c r="E627" s="337" t="s">
        <v>69</v>
      </c>
      <c r="F627" s="336"/>
      <c r="G627" s="338" t="str">
        <f t="array" ref="G627">IF(B627="insumo",_xlfn.XLOOKUP($D627,Insumos!$B$1:$B$996,Insumos!$D$1:$D$996),"")</f>
        <v/>
      </c>
      <c r="H627" s="338">
        <v>88.647099999999995</v>
      </c>
      <c r="I627" s="339">
        <v>0</v>
      </c>
      <c r="J627" s="339">
        <v>0</v>
      </c>
      <c r="K627" s="339"/>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77">
        <v>40</v>
      </c>
      <c r="B628" s="77" t="s">
        <v>70</v>
      </c>
      <c r="C628" s="77" t="s">
        <v>1694</v>
      </c>
      <c r="D628" s="77" t="s">
        <v>86</v>
      </c>
      <c r="E628" s="11" t="str">
        <f t="array" ref="E628">_xlfn.XLOOKUP(D628,Insumos!B:B,Insumos!C:$C)</f>
        <v>KG</v>
      </c>
      <c r="F628" s="81">
        <v>0.20799999999999999</v>
      </c>
      <c r="G628" s="87">
        <f t="array" ref="G628">IF(B628="insumo",_xlfn.XLOOKUP($D628,Insumos!$B$1:$B$996,Insumos!$D$1:$D$996),"")</f>
        <v>18.13</v>
      </c>
      <c r="H628" s="87">
        <v>3.7710400000000002</v>
      </c>
      <c r="I628" s="79">
        <v>0</v>
      </c>
      <c r="J628" s="79">
        <v>0</v>
      </c>
      <c r="K628" s="79"/>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77">
        <v>4</v>
      </c>
      <c r="B629" s="77" t="s">
        <v>70</v>
      </c>
      <c r="C629" s="77" t="s">
        <v>1694</v>
      </c>
      <c r="D629" s="77" t="s">
        <v>1693</v>
      </c>
      <c r="E629" s="11" t="str">
        <f t="array" ref="E629">_xlfn.XLOOKUP(D629,Insumos!B:B,Insumos!C:$C)</f>
        <v>M2</v>
      </c>
      <c r="F629" s="81">
        <v>1.3360000000000001</v>
      </c>
      <c r="G629" s="87">
        <f t="array" ref="G629">IF(B629="insumo",_xlfn.XLOOKUP($D629,Insumos!$B$1:$B$996,Insumos!$D$1:$D$996),"")</f>
        <v>37.96</v>
      </c>
      <c r="H629" s="87">
        <v>50.714559999999999</v>
      </c>
      <c r="I629" s="79">
        <v>0</v>
      </c>
      <c r="J629" s="79">
        <v>0</v>
      </c>
      <c r="K629" s="79"/>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77">
        <v>25</v>
      </c>
      <c r="B630" s="77" t="s">
        <v>70</v>
      </c>
      <c r="C630" s="77" t="s">
        <v>1694</v>
      </c>
      <c r="D630" s="77" t="s">
        <v>83</v>
      </c>
      <c r="E630" s="11" t="str">
        <f t="array" ref="E630">_xlfn.XLOOKUP(D630,Insumos!B:B,Insumos!C:$C)</f>
        <v>M</v>
      </c>
      <c r="F630" s="81">
        <v>0.42714285714285716</v>
      </c>
      <c r="G630" s="87">
        <f t="array" ref="G630">IF(B630="insumo",_xlfn.XLOOKUP($D630,Insumos!$B$1:$B$996,Insumos!$D$1:$D$996),"")</f>
        <v>7</v>
      </c>
      <c r="H630" s="87">
        <v>2.99</v>
      </c>
      <c r="I630" s="79">
        <v>0</v>
      </c>
      <c r="J630" s="79">
        <v>0</v>
      </c>
      <c r="K630" s="79"/>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77">
        <v>19</v>
      </c>
      <c r="B631" s="77" t="s">
        <v>70</v>
      </c>
      <c r="C631" s="77" t="s">
        <v>1694</v>
      </c>
      <c r="D631" s="77" t="s">
        <v>128</v>
      </c>
      <c r="E631" s="11" t="str">
        <f t="array" ref="E631">_xlfn.XLOOKUP(D631,Insumos!B:B,Insumos!C:$C)</f>
        <v>M3</v>
      </c>
      <c r="F631" s="81">
        <v>2.3089999999999999E-2</v>
      </c>
      <c r="G631" s="87">
        <f t="array" ref="G631">IF(B631="insumo",_xlfn.XLOOKUP($D631,Insumos!$B$1:$B$996,Insumos!$D$1:$D$996),"")</f>
        <v>1350</v>
      </c>
      <c r="H631" s="87">
        <v>31.171500000000002</v>
      </c>
      <c r="I631" s="79">
        <v>0</v>
      </c>
      <c r="J631" s="79">
        <v>0</v>
      </c>
      <c r="K631" s="79"/>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336">
        <v>1</v>
      </c>
      <c r="B632" s="336" t="s">
        <v>67</v>
      </c>
      <c r="C632" s="336" t="s">
        <v>1695</v>
      </c>
      <c r="D632" s="336" t="s">
        <v>1695</v>
      </c>
      <c r="E632" s="333" t="s">
        <v>69</v>
      </c>
      <c r="F632" s="336"/>
      <c r="G632" s="338" t="str">
        <f t="array" ref="G632">IF(B632="insumo",_xlfn.XLOOKUP($D632,Insumos!$B$1:$B$996,Insumos!$D$1:$D$996),"")</f>
        <v/>
      </c>
      <c r="H632" s="338">
        <v>72.194829999999996</v>
      </c>
      <c r="I632" s="339">
        <v>0</v>
      </c>
      <c r="J632" s="339">
        <v>0</v>
      </c>
      <c r="K632" s="339"/>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77">
        <v>40</v>
      </c>
      <c r="B633" s="77" t="s">
        <v>70</v>
      </c>
      <c r="C633" s="77" t="s">
        <v>1695</v>
      </c>
      <c r="D633" s="77" t="s">
        <v>86</v>
      </c>
      <c r="E633" s="11" t="str">
        <f t="array" ref="E633">_xlfn.XLOOKUP(D633,Insumos!B:B,Insumos!C:$C)</f>
        <v>KG</v>
      </c>
      <c r="F633" s="81">
        <v>0.159</v>
      </c>
      <c r="G633" s="87">
        <f t="array" ref="G633">IF(B633="insumo",_xlfn.XLOOKUP($D633,Insumos!$B$1:$B$996,Insumos!$D$1:$D$996),"")</f>
        <v>18.13</v>
      </c>
      <c r="H633" s="87">
        <v>2.8826700000000001</v>
      </c>
      <c r="I633" s="79">
        <v>0</v>
      </c>
      <c r="J633" s="79">
        <v>0</v>
      </c>
      <c r="K633" s="79"/>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77">
        <v>4</v>
      </c>
      <c r="B634" s="77" t="s">
        <v>70</v>
      </c>
      <c r="C634" s="77" t="s">
        <v>1695</v>
      </c>
      <c r="D634" s="77" t="s">
        <v>1693</v>
      </c>
      <c r="E634" s="11" t="str">
        <f t="array" ref="E634">_xlfn.XLOOKUP(D634,Insumos!B:B,Insumos!C:$C)</f>
        <v>M2</v>
      </c>
      <c r="F634" s="81">
        <v>1.1459999999999999</v>
      </c>
      <c r="G634" s="87">
        <f t="array" ref="G634">IF(B634="insumo",_xlfn.XLOOKUP($D634,Insumos!$B$1:$B$996,Insumos!$D$1:$D$996),"")</f>
        <v>37.96</v>
      </c>
      <c r="H634" s="87">
        <v>43.502160000000003</v>
      </c>
      <c r="I634" s="79">
        <v>0</v>
      </c>
      <c r="J634" s="79">
        <v>0</v>
      </c>
      <c r="K634" s="79"/>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77">
        <v>25</v>
      </c>
      <c r="B635" s="77" t="s">
        <v>70</v>
      </c>
      <c r="C635" s="77" t="s">
        <v>1695</v>
      </c>
      <c r="D635" s="77" t="s">
        <v>83</v>
      </c>
      <c r="E635" s="11" t="str">
        <f t="array" ref="E635">_xlfn.XLOOKUP(D635,Insumos!B:B,Insumos!C:$C)</f>
        <v>M</v>
      </c>
      <c r="F635" s="81">
        <v>0.33571428571428574</v>
      </c>
      <c r="G635" s="87">
        <f t="array" ref="G635">IF(B635="insumo",_xlfn.XLOOKUP($D635,Insumos!$B$1:$B$996,Insumos!$D$1:$D$996),"")</f>
        <v>7</v>
      </c>
      <c r="H635" s="87">
        <v>2.35</v>
      </c>
      <c r="I635" s="79">
        <v>0</v>
      </c>
      <c r="J635" s="79">
        <v>0</v>
      </c>
      <c r="K635" s="79"/>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77">
        <v>19</v>
      </c>
      <c r="B636" s="77" t="s">
        <v>70</v>
      </c>
      <c r="C636" s="77" t="s">
        <v>1695</v>
      </c>
      <c r="D636" s="77" t="s">
        <v>128</v>
      </c>
      <c r="E636" s="11" t="str">
        <f t="array" ref="E636">_xlfn.XLOOKUP(D636,Insumos!B:B,Insumos!C:$C)</f>
        <v>M3</v>
      </c>
      <c r="F636" s="81">
        <v>1.737777777777778E-2</v>
      </c>
      <c r="G636" s="87">
        <f t="array" ref="G636">IF(B636="insumo",_xlfn.XLOOKUP($D636,Insumos!$B$1:$B$996,Insumos!$D$1:$D$996),"")</f>
        <v>1350</v>
      </c>
      <c r="H636" s="87">
        <v>23.46</v>
      </c>
      <c r="I636" s="79">
        <v>0</v>
      </c>
      <c r="J636" s="79">
        <v>0</v>
      </c>
      <c r="K636" s="79"/>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336">
        <v>1</v>
      </c>
      <c r="B637" s="336" t="s">
        <v>67</v>
      </c>
      <c r="C637" s="336" t="s">
        <v>1696</v>
      </c>
      <c r="D637" s="336" t="s">
        <v>1696</v>
      </c>
      <c r="E637" s="333" t="s">
        <v>69</v>
      </c>
      <c r="F637" s="336"/>
      <c r="G637" s="338" t="str">
        <f t="array" ref="G637">IF(B637="insumo",_xlfn.XLOOKUP($D637,Insumos!$B$1:$B$996,Insumos!$D$1:$D$996),"")</f>
        <v/>
      </c>
      <c r="H637" s="338">
        <v>46.384830000000001</v>
      </c>
      <c r="I637" s="339">
        <v>0</v>
      </c>
      <c r="J637" s="339">
        <v>0</v>
      </c>
      <c r="K637" s="339"/>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77">
        <v>40</v>
      </c>
      <c r="B638" s="77" t="s">
        <v>70</v>
      </c>
      <c r="C638" s="77" t="s">
        <v>1696</v>
      </c>
      <c r="D638" s="77" t="s">
        <v>86</v>
      </c>
      <c r="E638" s="11" t="str">
        <f t="array" ref="E638">_xlfn.XLOOKUP(D638,Insumos!B:B,Insumos!C:$C)</f>
        <v>KG</v>
      </c>
      <c r="F638" s="81">
        <v>0.159</v>
      </c>
      <c r="G638" s="87">
        <f t="array" ref="G638">IF(B638="insumo",_xlfn.XLOOKUP($D638,Insumos!$B$1:$B$996,Insumos!$D$1:$D$996),"")</f>
        <v>18.13</v>
      </c>
      <c r="H638" s="87">
        <v>2.8826700000000001</v>
      </c>
      <c r="I638" s="79">
        <v>0</v>
      </c>
      <c r="J638" s="79">
        <v>0</v>
      </c>
      <c r="K638" s="79"/>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77">
        <v>4</v>
      </c>
      <c r="B639" s="77" t="s">
        <v>70</v>
      </c>
      <c r="C639" s="77" t="s">
        <v>1696</v>
      </c>
      <c r="D639" s="77" t="s">
        <v>1693</v>
      </c>
      <c r="E639" s="11" t="str">
        <f t="array" ref="E639">_xlfn.XLOOKUP(D639,Insumos!B:B,Insumos!C:$C)</f>
        <v>M2</v>
      </c>
      <c r="F639" s="81">
        <v>1.1459999999999999</v>
      </c>
      <c r="G639" s="87">
        <f t="array" ref="G639">IF(B639="insumo",_xlfn.XLOOKUP($D639,Insumos!$B$1:$B$996,Insumos!$D$1:$D$996),"")</f>
        <v>37.96</v>
      </c>
      <c r="H639" s="87">
        <v>43.502160000000003</v>
      </c>
      <c r="I639" s="79">
        <v>0</v>
      </c>
      <c r="J639" s="79">
        <v>0</v>
      </c>
      <c r="K639" s="79"/>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332">
        <v>1</v>
      </c>
      <c r="B640" s="332" t="s">
        <v>67</v>
      </c>
      <c r="C640" s="332" t="s">
        <v>1287</v>
      </c>
      <c r="D640" s="332" t="s">
        <v>1287</v>
      </c>
      <c r="E640" s="333" t="s">
        <v>69</v>
      </c>
      <c r="F640" s="332"/>
      <c r="G640" s="334" t="str">
        <f t="array" ref="G640">IF(B640="insumo",_xlfn.XLOOKUP($D640,Insumos!$B$1:$B$996,Insumos!$D$1:$D$996),"")</f>
        <v/>
      </c>
      <c r="H640" s="334">
        <v>108.03522595041299</v>
      </c>
      <c r="I640" s="335">
        <v>11715.3338181818</v>
      </c>
      <c r="J640" s="335">
        <v>1265668.7361317901</v>
      </c>
      <c r="K640" s="335"/>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70</v>
      </c>
      <c r="C641" s="10" t="s">
        <v>1287</v>
      </c>
      <c r="D641" s="10" t="s">
        <v>86</v>
      </c>
      <c r="E641" s="11" t="str">
        <f t="array" ref="E641">_xlfn.XLOOKUP(D641,Insumos!B:B,Insumos!C:$C)</f>
        <v>KG</v>
      </c>
      <c r="F641" s="14">
        <v>0.20799999999999999</v>
      </c>
      <c r="G641" s="87">
        <f t="array" ref="G641">IF(B641="insumo",_xlfn.XLOOKUP($D641,Insumos!$B$1:$B$996,Insumos!$D$1:$D$996),"")</f>
        <v>18.13</v>
      </c>
      <c r="H641" s="87">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70</v>
      </c>
      <c r="C642" s="10" t="s">
        <v>1287</v>
      </c>
      <c r="D642" s="10" t="s">
        <v>1289</v>
      </c>
      <c r="E642" s="11" t="str">
        <f t="array" ref="E642">_xlfn.XLOOKUP(D642,Insumos!B:B,Insumos!C:$C)</f>
        <v>M2</v>
      </c>
      <c r="F642" s="14">
        <v>0.755</v>
      </c>
      <c r="G642" s="87">
        <f t="array" ref="G642">IF(B642="insumo",_xlfn.XLOOKUP($D642,Insumos!$B$1:$B$996,Insumos!$D$1:$D$996),"")</f>
        <v>92.851239669421474</v>
      </c>
      <c r="H642" s="87">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70</v>
      </c>
      <c r="C643" s="10" t="s">
        <v>1287</v>
      </c>
      <c r="D643" s="10" t="s">
        <v>83</v>
      </c>
      <c r="E643" s="11" t="str">
        <f t="array" ref="E643">_xlfn.XLOOKUP(D643,Insumos!B:B,Insumos!C:$C)</f>
        <v>M</v>
      </c>
      <c r="F643" s="14">
        <v>0.42714285714285716</v>
      </c>
      <c r="G643" s="87">
        <f t="array" ref="G643">IF(B643="insumo",_xlfn.XLOOKUP($D643,Insumos!$B$1:$B$996,Insumos!$D$1:$D$996),"")</f>
        <v>7</v>
      </c>
      <c r="H643" s="87">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70</v>
      </c>
      <c r="C644" s="10" t="s">
        <v>1287</v>
      </c>
      <c r="D644" s="10" t="s">
        <v>128</v>
      </c>
      <c r="E644" s="11" t="str">
        <f t="array" ref="E644">_xlfn.XLOOKUP(D644,Insumos!B:B,Insumos!C:$C)</f>
        <v>M3</v>
      </c>
      <c r="F644" s="14">
        <v>2.3089999999999999E-2</v>
      </c>
      <c r="G644" s="87">
        <f t="array" ref="G644">IF(B644="insumo",_xlfn.XLOOKUP($D644,Insumos!$B$1:$B$996,Insumos!$D$1:$D$996),"")</f>
        <v>1350</v>
      </c>
      <c r="H644" s="87">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332">
        <v>1</v>
      </c>
      <c r="B645" s="332" t="s">
        <v>67</v>
      </c>
      <c r="C645" s="332" t="s">
        <v>1288</v>
      </c>
      <c r="D645" s="332" t="s">
        <v>1288</v>
      </c>
      <c r="E645" s="333" t="s">
        <v>69</v>
      </c>
      <c r="F645" s="332"/>
      <c r="G645" s="334" t="str">
        <f t="array" ref="G645">IF(B645="insumo",_xlfn.XLOOKUP($D645,Insumos!$B$1:$B$996,Insumos!$D$1:$D$996),"")</f>
        <v/>
      </c>
      <c r="H645" s="334">
        <v>3.9773488000000001</v>
      </c>
      <c r="I645" s="335">
        <v>42728.525999999998</v>
      </c>
      <c r="J645" s="335">
        <v>169946.251611869</v>
      </c>
      <c r="K645" s="335"/>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70</v>
      </c>
      <c r="C646" s="10" t="s">
        <v>1288</v>
      </c>
      <c r="D646" s="10" t="s">
        <v>86</v>
      </c>
      <c r="E646" s="11" t="str">
        <f t="array" ref="E646">_xlfn.XLOOKUP(D646,Insumos!B:B,Insumos!C:$C)</f>
        <v>KG</v>
      </c>
      <c r="F646" s="14">
        <v>2.7E-2</v>
      </c>
      <c r="G646" s="87">
        <f t="array" ref="G646">IF(B646="insumo",_xlfn.XLOOKUP($D646,Insumos!$B$1:$B$996,Insumos!$D$1:$D$996),"")</f>
        <v>18.13</v>
      </c>
      <c r="H646" s="87">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70</v>
      </c>
      <c r="C647" s="10" t="s">
        <v>1288</v>
      </c>
      <c r="D647" s="10" t="s">
        <v>232</v>
      </c>
      <c r="E647" s="11" t="str">
        <f t="array" ref="E647">_xlfn.XLOOKUP(D647,Insumos!B:B,Insumos!C:$C)</f>
        <v>L</v>
      </c>
      <c r="F647" s="14">
        <v>1.2999999999999999E-2</v>
      </c>
      <c r="G647" s="87">
        <f t="array" ref="G647">IF(B647="insumo",_xlfn.XLOOKUP($D647,Insumos!$B$1:$B$996,Insumos!$D$1:$D$996),"")</f>
        <v>15.55</v>
      </c>
      <c r="H647" s="87">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70</v>
      </c>
      <c r="C648" s="10" t="s">
        <v>1288</v>
      </c>
      <c r="D648" s="10" t="s">
        <v>83</v>
      </c>
      <c r="E648" s="11" t="str">
        <f t="array" ref="E648">_xlfn.XLOOKUP(D648,Insumos!B:B,Insumos!C:$C)</f>
        <v>M</v>
      </c>
      <c r="F648" s="14">
        <v>0.2857142857142857</v>
      </c>
      <c r="G648" s="87">
        <f t="array" ref="G648">IF(B648="insumo",_xlfn.XLOOKUP($D648,Insumos!$B$1:$B$996,Insumos!$D$1:$D$996),"")</f>
        <v>7</v>
      </c>
      <c r="H648" s="87">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70</v>
      </c>
      <c r="C649" s="10" t="s">
        <v>1288</v>
      </c>
      <c r="D649" s="10" t="s">
        <v>233</v>
      </c>
      <c r="E649" s="11" t="str">
        <f t="array" ref="E649">_xlfn.XLOOKUP(D649,Insumos!B:B,Insumos!C:$C)</f>
        <v>M</v>
      </c>
      <c r="F649" s="14">
        <v>3.0280000000000001E-2</v>
      </c>
      <c r="G649" s="87">
        <f t="array" ref="G649">IF(B649="insumo",_xlfn.XLOOKUP($D649,Insumos!$B$1:$B$996,Insumos!$D$1:$D$996),"")</f>
        <v>42.46</v>
      </c>
      <c r="H649" s="87">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332">
        <v>1</v>
      </c>
      <c r="B650" s="332" t="s">
        <v>67</v>
      </c>
      <c r="C650" s="332" t="s">
        <v>283</v>
      </c>
      <c r="D650" s="332" t="s">
        <v>283</v>
      </c>
      <c r="E650" s="333" t="s">
        <v>69</v>
      </c>
      <c r="F650" s="332"/>
      <c r="G650" s="334" t="str">
        <f t="array" ref="G650">IF(B650="insumo",_xlfn.XLOOKUP($D650,Insumos!$B$1:$B$996,Insumos!$D$1:$D$996),"")</f>
        <v/>
      </c>
      <c r="H650" s="334">
        <v>0.69166000000000005</v>
      </c>
      <c r="I650" s="335">
        <v>0</v>
      </c>
      <c r="J650" s="335">
        <v>0</v>
      </c>
      <c r="K650" s="335"/>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70</v>
      </c>
      <c r="C651" s="10" t="s">
        <v>283</v>
      </c>
      <c r="D651" s="10" t="s">
        <v>86</v>
      </c>
      <c r="E651" s="11" t="str">
        <f t="array" ref="E651">_xlfn.XLOOKUP(D651,Insumos!B:B,Insumos!C:$C)</f>
        <v>KG</v>
      </c>
      <c r="F651" s="14">
        <v>2.7E-2</v>
      </c>
      <c r="G651" s="87">
        <f t="array" ref="G651">IF(B651="insumo",_xlfn.XLOOKUP($D651,Insumos!$B$1:$B$996,Insumos!$D$1:$D$996),"")</f>
        <v>18.13</v>
      </c>
      <c r="H651" s="87">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70</v>
      </c>
      <c r="C652" s="10" t="s">
        <v>283</v>
      </c>
      <c r="D652" s="10" t="s">
        <v>232</v>
      </c>
      <c r="E652" s="11" t="str">
        <f t="array" ref="E652">_xlfn.XLOOKUP(D652,Insumos!B:B,Insumos!C:$C)</f>
        <v>L</v>
      </c>
      <c r="F652" s="14">
        <v>1.2999999999999999E-2</v>
      </c>
      <c r="G652" s="87">
        <f t="array" ref="G652">IF(B652="insumo",_xlfn.XLOOKUP($D652,Insumos!$B$1:$B$996,Insumos!$D$1:$D$996),"")</f>
        <v>15.55</v>
      </c>
      <c r="H652" s="87">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332">
        <v>1</v>
      </c>
      <c r="B653" s="332" t="s">
        <v>67</v>
      </c>
      <c r="C653" s="332" t="s">
        <v>284</v>
      </c>
      <c r="D653" s="332" t="s">
        <v>284</v>
      </c>
      <c r="E653" s="333" t="s">
        <v>69</v>
      </c>
      <c r="F653" s="332"/>
      <c r="G653" s="334" t="str">
        <f t="array" ref="G653">IF(B653="insumo",_xlfn.XLOOKUP($D653,Insumos!$B$1:$B$996,Insumos!$D$1:$D$996),"")</f>
        <v/>
      </c>
      <c r="H653" s="334">
        <v>4.6844188000000004</v>
      </c>
      <c r="I653" s="335">
        <v>0</v>
      </c>
      <c r="J653" s="335">
        <v>0</v>
      </c>
      <c r="K653" s="335"/>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70</v>
      </c>
      <c r="C654" s="10" t="s">
        <v>284</v>
      </c>
      <c r="D654" s="10" t="s">
        <v>86</v>
      </c>
      <c r="E654" s="11" t="str">
        <f t="array" ref="E654">_xlfn.XLOOKUP(D654,Insumos!B:B,Insumos!C:$C)</f>
        <v>KG</v>
      </c>
      <c r="F654" s="14">
        <v>6.6000000000000003E-2</v>
      </c>
      <c r="G654" s="87">
        <f t="array" ref="G654">IF(B654="insumo",_xlfn.XLOOKUP($D654,Insumos!$B$1:$B$996,Insumos!$D$1:$D$996),"")</f>
        <v>18.13</v>
      </c>
      <c r="H654" s="87">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70</v>
      </c>
      <c r="C655" s="10" t="s">
        <v>284</v>
      </c>
      <c r="D655" s="10" t="s">
        <v>232</v>
      </c>
      <c r="E655" s="11" t="str">
        <f t="array" ref="E655">_xlfn.XLOOKUP(D655,Insumos!B:B,Insumos!C:$C)</f>
        <v>L</v>
      </c>
      <c r="F655" s="14">
        <v>1.2999999999999999E-2</v>
      </c>
      <c r="G655" s="87">
        <f t="array" ref="G655">IF(B655="insumo",_xlfn.XLOOKUP($D655,Insumos!$B$1:$B$996,Insumos!$D$1:$D$996),"")</f>
        <v>15.55</v>
      </c>
      <c r="H655" s="87">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70</v>
      </c>
      <c r="C656" s="10" t="s">
        <v>284</v>
      </c>
      <c r="D656" s="10" t="s">
        <v>83</v>
      </c>
      <c r="E656" s="11" t="str">
        <f t="array" ref="E656">_xlfn.XLOOKUP(D656,Insumos!B:B,Insumos!C:$C)</f>
        <v>M</v>
      </c>
      <c r="F656" s="14">
        <v>0.2857142857142857</v>
      </c>
      <c r="G656" s="87">
        <f t="array" ref="G656">IF(B656="insumo",_xlfn.XLOOKUP($D656,Insumos!$B$1:$B$996,Insumos!$D$1:$D$996),"")</f>
        <v>7</v>
      </c>
      <c r="H656" s="87">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70</v>
      </c>
      <c r="C657" s="10" t="s">
        <v>284</v>
      </c>
      <c r="D657" s="10" t="s">
        <v>233</v>
      </c>
      <c r="E657" s="11" t="str">
        <f t="array" ref="E657">_xlfn.XLOOKUP(D657,Insumos!B:B,Insumos!C:$C)</f>
        <v>M</v>
      </c>
      <c r="F657" s="14">
        <v>3.0280000000000001E-2</v>
      </c>
      <c r="G657" s="87">
        <f t="array" ref="G657">IF(B657="insumo",_xlfn.XLOOKUP($D657,Insumos!$B$1:$B$996,Insumos!$D$1:$D$996),"")</f>
        <v>42.46</v>
      </c>
      <c r="H657" s="87">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332">
        <v>1</v>
      </c>
      <c r="B658" s="332" t="s">
        <v>67</v>
      </c>
      <c r="C658" s="332" t="s">
        <v>285</v>
      </c>
      <c r="D658" s="332" t="s">
        <v>285</v>
      </c>
      <c r="E658" s="333" t="s">
        <v>69</v>
      </c>
      <c r="F658" s="332"/>
      <c r="G658" s="334" t="str">
        <f t="array" ref="G658">IF(B658="insumo",_xlfn.XLOOKUP($D658,Insumos!$B$1:$B$996,Insumos!$D$1:$D$996),"")</f>
        <v/>
      </c>
      <c r="H658" s="334">
        <v>0.69166000000000005</v>
      </c>
      <c r="I658" s="335">
        <v>0</v>
      </c>
      <c r="J658" s="335">
        <v>0</v>
      </c>
      <c r="K658" s="335"/>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70</v>
      </c>
      <c r="C659" s="10" t="s">
        <v>285</v>
      </c>
      <c r="D659" s="10" t="s">
        <v>86</v>
      </c>
      <c r="E659" s="11" t="str">
        <f t="array" ref="E659">_xlfn.XLOOKUP(D659,Insumos!B:B,Insumos!C:$C)</f>
        <v>KG</v>
      </c>
      <c r="F659" s="14">
        <v>2.7E-2</v>
      </c>
      <c r="G659" s="87">
        <f t="array" ref="G659">IF(B659="insumo",_xlfn.XLOOKUP($D659,Insumos!$B$1:$B$996,Insumos!$D$1:$D$996),"")</f>
        <v>18.13</v>
      </c>
      <c r="H659" s="87">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70</v>
      </c>
      <c r="C660" s="10" t="s">
        <v>285</v>
      </c>
      <c r="D660" s="10" t="s">
        <v>232</v>
      </c>
      <c r="E660" s="11" t="str">
        <f t="array" ref="E660">_xlfn.XLOOKUP(D660,Insumos!B:B,Insumos!C:$C)</f>
        <v>L</v>
      </c>
      <c r="F660" s="14">
        <v>1.2999999999999999E-2</v>
      </c>
      <c r="G660" s="87">
        <f t="array" ref="G660">IF(B660="insumo",_xlfn.XLOOKUP($D660,Insumos!$B$1:$B$996,Insumos!$D$1:$D$996),"")</f>
        <v>15.55</v>
      </c>
      <c r="H660" s="87">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336">
        <v>1</v>
      </c>
      <c r="B661" s="336" t="s">
        <v>67</v>
      </c>
      <c r="C661" s="336" t="s">
        <v>1697</v>
      </c>
      <c r="D661" s="336" t="s">
        <v>1697</v>
      </c>
      <c r="E661" s="337" t="s">
        <v>69</v>
      </c>
      <c r="F661" s="336"/>
      <c r="G661" s="338" t="str">
        <f t="array" ref="G661">IF(B661="insumo",_xlfn.XLOOKUP($D661,Insumos!$B$1:$B$996,Insumos!$D$1:$D$996),"")</f>
        <v/>
      </c>
      <c r="H661" s="338">
        <v>0.98717999999999995</v>
      </c>
      <c r="I661" s="339">
        <v>0</v>
      </c>
      <c r="J661" s="339">
        <v>0</v>
      </c>
      <c r="K661" s="339"/>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77">
        <v>3</v>
      </c>
      <c r="B662" s="77" t="s">
        <v>70</v>
      </c>
      <c r="C662" s="77" t="s">
        <v>1697</v>
      </c>
      <c r="D662" s="77" t="s">
        <v>1180</v>
      </c>
      <c r="E662" s="11" t="str">
        <f t="array" ref="E662">_xlfn.XLOOKUP(D662,Insumos!B:B,Insumos!C:$C)</f>
        <v>KG</v>
      </c>
      <c r="F662" s="81">
        <v>2.1000000000000001E-2</v>
      </c>
      <c r="G662" s="87">
        <f t="array" ref="G662">IF(B662="insumo",_xlfn.XLOOKUP($D662,Insumos!$B$1:$B$996,Insumos!$D$1:$D$996),"")</f>
        <v>17.63</v>
      </c>
      <c r="H662" s="87">
        <v>0.37023</v>
      </c>
      <c r="I662" s="79">
        <v>0</v>
      </c>
      <c r="J662" s="79">
        <v>0</v>
      </c>
      <c r="K662" s="79"/>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77">
        <v>10</v>
      </c>
      <c r="B663" s="77" t="s">
        <v>70</v>
      </c>
      <c r="C663" s="77" t="s">
        <v>1697</v>
      </c>
      <c r="D663" s="77" t="s">
        <v>232</v>
      </c>
      <c r="E663" s="11" t="str">
        <f t="array" ref="E663">_xlfn.XLOOKUP(D663,Insumos!B:B,Insumos!C:$C)</f>
        <v>L</v>
      </c>
      <c r="F663" s="81">
        <v>4.0000000000000001E-3</v>
      </c>
      <c r="G663" s="87">
        <f t="array" ref="G663">IF(B663="insumo",_xlfn.XLOOKUP($D663,Insumos!$B$1:$B$996,Insumos!$D$1:$D$996),"")</f>
        <v>15.55</v>
      </c>
      <c r="H663" s="87">
        <v>6.2199999999999998E-2</v>
      </c>
      <c r="I663" s="79">
        <v>0</v>
      </c>
      <c r="J663" s="79">
        <v>0</v>
      </c>
      <c r="K663" s="79"/>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77">
        <v>2</v>
      </c>
      <c r="B664" s="77" t="s">
        <v>70</v>
      </c>
      <c r="C664" s="77" t="s">
        <v>1697</v>
      </c>
      <c r="D664" s="77" t="s">
        <v>1692</v>
      </c>
      <c r="E664" s="11" t="str">
        <f t="array" ref="E664">_xlfn.XLOOKUP(D664,Insumos!B:B,Insumos!C:$C)</f>
        <v>KG</v>
      </c>
      <c r="F664" s="81">
        <v>3.5000000000000003E-2</v>
      </c>
      <c r="G664" s="87">
        <f t="array" ref="G664">IF(B664="insumo",_xlfn.XLOOKUP($D664,Insumos!$B$1:$B$996,Insumos!$D$1:$D$996),"")</f>
        <v>15.85</v>
      </c>
      <c r="H664" s="87">
        <v>0.55474999999999997</v>
      </c>
      <c r="I664" s="79">
        <v>0</v>
      </c>
      <c r="J664" s="79">
        <v>0</v>
      </c>
      <c r="K664" s="79"/>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355">
        <v>4</v>
      </c>
      <c r="B665" s="355" t="s">
        <v>1227</v>
      </c>
      <c r="C665" s="355" t="s">
        <v>1697</v>
      </c>
      <c r="D665" s="355" t="s">
        <v>1671</v>
      </c>
      <c r="E665" s="356"/>
      <c r="F665" s="357"/>
      <c r="G665" s="356"/>
      <c r="H665" s="356">
        <v>0</v>
      </c>
      <c r="I665" s="357">
        <v>0</v>
      </c>
      <c r="J665" s="357">
        <v>0</v>
      </c>
      <c r="K665" s="357"/>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332">
        <v>1</v>
      </c>
      <c r="B666" s="332" t="s">
        <v>67</v>
      </c>
      <c r="C666" s="332" t="s">
        <v>286</v>
      </c>
      <c r="D666" s="332" t="s">
        <v>286</v>
      </c>
      <c r="E666" s="333" t="s">
        <v>205</v>
      </c>
      <c r="F666" s="332"/>
      <c r="G666" s="334" t="str">
        <f t="array" ref="G666">IF(B666="insumo",_xlfn.XLOOKUP($D666,Insumos!$B$1:$B$996,Insumos!$D$1:$D$996),"")</f>
        <v/>
      </c>
      <c r="H666" s="334">
        <v>7.0540466249184002</v>
      </c>
      <c r="I666" s="335">
        <v>0</v>
      </c>
      <c r="J666" s="335">
        <v>0</v>
      </c>
      <c r="K666" s="335"/>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70</v>
      </c>
      <c r="C667" s="10" t="s">
        <v>286</v>
      </c>
      <c r="D667" s="10" t="s">
        <v>218</v>
      </c>
      <c r="E667" s="11" t="str">
        <f t="array" ref="E667">_xlfn.XLOOKUP(D667,Insumos!B:B,Insumos!C:$C)</f>
        <v>KG</v>
      </c>
      <c r="F667" s="14">
        <v>1.1000000000000001</v>
      </c>
      <c r="G667" s="87">
        <f t="array" ref="G667">IF(B667="insumo",_xlfn.XLOOKUP($D667,Insumos!$B$1:$B$996,Insumos!$D$1:$D$996),"")</f>
        <v>6.1446196590167288</v>
      </c>
      <c r="H667" s="87">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70</v>
      </c>
      <c r="C668" s="10" t="s">
        <v>286</v>
      </c>
      <c r="D668" s="10" t="s">
        <v>287</v>
      </c>
      <c r="E668" s="11" t="str">
        <f t="array" ref="E668">_xlfn.XLOOKUP(D668,Insumos!B:B,Insumos!C:$C)</f>
        <v>KG</v>
      </c>
      <c r="F668" s="14">
        <v>2.0500000000000001E-2</v>
      </c>
      <c r="G668" s="87">
        <f t="array" ref="G668">IF(B668="insumo",_xlfn.XLOOKUP($D668,Insumos!$B$1:$B$996,Insumos!$D$1:$D$996),"")</f>
        <v>13.73</v>
      </c>
      <c r="H668" s="87">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70</v>
      </c>
      <c r="C669" s="10" t="s">
        <v>286</v>
      </c>
      <c r="D669" s="10" t="s">
        <v>208</v>
      </c>
      <c r="E669" s="11" t="str">
        <f t="array" ref="E669">_xlfn.XLOOKUP(D669,Insumos!B:B,Insumos!C:$C)</f>
        <v>UN</v>
      </c>
      <c r="F669" s="14">
        <v>0.05</v>
      </c>
      <c r="G669" s="87">
        <f t="array" ref="G669">IF(B669="insumo",_xlfn.XLOOKUP($D669,Insumos!$B$1:$B$996,Insumos!$D$1:$D$996),"")</f>
        <v>0.27</v>
      </c>
      <c r="H669" s="87">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332">
        <v>1</v>
      </c>
      <c r="B670" s="332" t="s">
        <v>67</v>
      </c>
      <c r="C670" s="332" t="s">
        <v>288</v>
      </c>
      <c r="D670" s="332" t="s">
        <v>288</v>
      </c>
      <c r="E670" s="333" t="s">
        <v>205</v>
      </c>
      <c r="F670" s="332"/>
      <c r="G670" s="334" t="str">
        <f t="array" ref="G670">IF(B670="insumo",_xlfn.XLOOKUP($D670,Insumos!$B$1:$B$996,Insumos!$D$1:$D$996),"")</f>
        <v/>
      </c>
      <c r="H670" s="334">
        <v>6.0803873937957</v>
      </c>
      <c r="I670" s="335">
        <v>0</v>
      </c>
      <c r="J670" s="335">
        <v>0</v>
      </c>
      <c r="K670" s="335"/>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70</v>
      </c>
      <c r="C671" s="10" t="s">
        <v>288</v>
      </c>
      <c r="D671" s="10" t="s">
        <v>206</v>
      </c>
      <c r="E671" s="11" t="str">
        <f t="array" ref="E671">_xlfn.XLOOKUP(D671,Insumos!B:B,Insumos!C:$C)</f>
        <v>KG</v>
      </c>
      <c r="F671" s="14">
        <v>1.1000000000000001</v>
      </c>
      <c r="G671" s="87">
        <f t="array" ref="G671">IF(B671="insumo",_xlfn.XLOOKUP($D671,Insumos!$B$1:$B$996,Insumos!$D$1:$D$996),"")</f>
        <v>5.2594749034506343</v>
      </c>
      <c r="H671" s="87">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70</v>
      </c>
      <c r="C672" s="10" t="s">
        <v>288</v>
      </c>
      <c r="D672" s="10" t="s">
        <v>287</v>
      </c>
      <c r="E672" s="11" t="str">
        <f t="array" ref="E672">_xlfn.XLOOKUP(D672,Insumos!B:B,Insumos!C:$C)</f>
        <v>KG</v>
      </c>
      <c r="F672" s="14">
        <v>2.0500000000000001E-2</v>
      </c>
      <c r="G672" s="87">
        <f t="array" ref="G672">IF(B672="insumo",_xlfn.XLOOKUP($D672,Insumos!$B$1:$B$996,Insumos!$D$1:$D$996),"")</f>
        <v>13.73</v>
      </c>
      <c r="H672" s="87">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70</v>
      </c>
      <c r="C673" s="10" t="s">
        <v>288</v>
      </c>
      <c r="D673" s="10" t="s">
        <v>208</v>
      </c>
      <c r="E673" s="11" t="str">
        <f t="array" ref="E673">_xlfn.XLOOKUP(D673,Insumos!B:B,Insumos!C:$C)</f>
        <v>UN</v>
      </c>
      <c r="F673" s="14">
        <v>0.05</v>
      </c>
      <c r="G673" s="87">
        <f t="array" ref="G673">IF(B673="insumo",_xlfn.XLOOKUP($D673,Insumos!$B$1:$B$996,Insumos!$D$1:$D$996),"")</f>
        <v>0.27</v>
      </c>
      <c r="H673" s="87">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332">
        <v>1</v>
      </c>
      <c r="B674" s="332" t="s">
        <v>67</v>
      </c>
      <c r="C674" s="332" t="s">
        <v>289</v>
      </c>
      <c r="D674" s="332" t="s">
        <v>289</v>
      </c>
      <c r="E674" s="333" t="s">
        <v>205</v>
      </c>
      <c r="F674" s="332"/>
      <c r="G674" s="334" t="str">
        <f t="array" ref="G674">IF(B674="insumo",_xlfn.XLOOKUP($D674,Insumos!$B$1:$B$996,Insumos!$D$1:$D$996),"")</f>
        <v/>
      </c>
      <c r="H674" s="334">
        <v>5.7123076589046198</v>
      </c>
      <c r="I674" s="335">
        <v>0</v>
      </c>
      <c r="J674" s="335">
        <v>0</v>
      </c>
      <c r="K674" s="335"/>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70</v>
      </c>
      <c r="C675" s="10" t="s">
        <v>289</v>
      </c>
      <c r="D675" s="10" t="s">
        <v>210</v>
      </c>
      <c r="E675" s="11" t="str">
        <f t="array" ref="E675">_xlfn.XLOOKUP(D675,Insumos!B:B,Insumos!C:$C)</f>
        <v>KG</v>
      </c>
      <c r="F675" s="14">
        <v>1.1000000000000001</v>
      </c>
      <c r="G675" s="87">
        <f t="array" ref="G675">IF(B675="insumo",_xlfn.XLOOKUP($D675,Insumos!$B$1:$B$996,Insumos!$D$1:$D$996),"")</f>
        <v>4.9248569626405612</v>
      </c>
      <c r="H675" s="87">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70</v>
      </c>
      <c r="C676" s="10" t="s">
        <v>289</v>
      </c>
      <c r="D676" s="10" t="s">
        <v>287</v>
      </c>
      <c r="E676" s="11" t="str">
        <f t="array" ref="E676">_xlfn.XLOOKUP(D676,Insumos!B:B,Insumos!C:$C)</f>
        <v>KG</v>
      </c>
      <c r="F676" s="14">
        <v>2.0500000000000001E-2</v>
      </c>
      <c r="G676" s="87">
        <f t="array" ref="G676">IF(B676="insumo",_xlfn.XLOOKUP($D676,Insumos!$B$1:$B$996,Insumos!$D$1:$D$996),"")</f>
        <v>13.73</v>
      </c>
      <c r="H676" s="87">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70</v>
      </c>
      <c r="C677" s="10" t="s">
        <v>289</v>
      </c>
      <c r="D677" s="10" t="s">
        <v>208</v>
      </c>
      <c r="E677" s="11" t="str">
        <f t="array" ref="E677">_xlfn.XLOOKUP(D677,Insumos!B:B,Insumos!C:$C)</f>
        <v>UN</v>
      </c>
      <c r="F677" s="14">
        <v>0.05</v>
      </c>
      <c r="G677" s="87">
        <f t="array" ref="G677">IF(B677="insumo",_xlfn.XLOOKUP($D677,Insumos!$B$1:$B$996,Insumos!$D$1:$D$996),"")</f>
        <v>0.27</v>
      </c>
      <c r="H677" s="87">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332">
        <v>1</v>
      </c>
      <c r="B678" s="332" t="s">
        <v>67</v>
      </c>
      <c r="C678" s="332" t="s">
        <v>290</v>
      </c>
      <c r="D678" s="332" t="s">
        <v>290</v>
      </c>
      <c r="E678" s="333" t="s">
        <v>205</v>
      </c>
      <c r="F678" s="332"/>
      <c r="G678" s="334" t="str">
        <f t="array" ref="G678">IF(B678="insumo",_xlfn.XLOOKUP($D678,Insumos!$B$1:$B$996,Insumos!$D$1:$D$996),"")</f>
        <v/>
      </c>
      <c r="H678" s="334">
        <v>5.5757177193202496</v>
      </c>
      <c r="I678" s="335">
        <v>0</v>
      </c>
      <c r="J678" s="335">
        <v>0</v>
      </c>
      <c r="K678" s="335"/>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70</v>
      </c>
      <c r="C679" s="10" t="s">
        <v>290</v>
      </c>
      <c r="D679" s="10" t="s">
        <v>212</v>
      </c>
      <c r="E679" s="11" t="str">
        <f t="array" ref="E679">_xlfn.XLOOKUP(D679,Insumos!B:B,Insumos!C:$C)</f>
        <v>KG</v>
      </c>
      <c r="F679" s="14">
        <v>1.1000000000000001</v>
      </c>
      <c r="G679" s="87">
        <f t="array" ref="G679">IF(B679="insumo",_xlfn.XLOOKUP($D679,Insumos!$B$1:$B$996,Insumos!$D$1:$D$996),"")</f>
        <v>4.80068429029114</v>
      </c>
      <c r="H679" s="87">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70</v>
      </c>
      <c r="C680" s="10" t="s">
        <v>290</v>
      </c>
      <c r="D680" s="10" t="s">
        <v>287</v>
      </c>
      <c r="E680" s="11" t="str">
        <f t="array" ref="E680">_xlfn.XLOOKUP(D680,Insumos!B:B,Insumos!C:$C)</f>
        <v>KG</v>
      </c>
      <c r="F680" s="14">
        <v>2.0500000000000001E-2</v>
      </c>
      <c r="G680" s="87">
        <f t="array" ref="G680">IF(B680="insumo",_xlfn.XLOOKUP($D680,Insumos!$B$1:$B$996,Insumos!$D$1:$D$996),"")</f>
        <v>13.73</v>
      </c>
      <c r="H680" s="87">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70</v>
      </c>
      <c r="C681" s="10" t="s">
        <v>290</v>
      </c>
      <c r="D681" s="10" t="s">
        <v>208</v>
      </c>
      <c r="E681" s="11" t="str">
        <f t="array" ref="E681">_xlfn.XLOOKUP(D681,Insumos!B:B,Insumos!C:$C)</f>
        <v>UN</v>
      </c>
      <c r="F681" s="14">
        <v>0.05</v>
      </c>
      <c r="G681" s="87">
        <f t="array" ref="G681">IF(B681="insumo",_xlfn.XLOOKUP($D681,Insumos!$B$1:$B$996,Insumos!$D$1:$D$996),"")</f>
        <v>0.27</v>
      </c>
      <c r="H681" s="87">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332">
        <v>1</v>
      </c>
      <c r="B682" s="332" t="s">
        <v>67</v>
      </c>
      <c r="C682" s="332" t="s">
        <v>291</v>
      </c>
      <c r="D682" s="332" t="s">
        <v>291</v>
      </c>
      <c r="E682" s="333" t="s">
        <v>205</v>
      </c>
      <c r="F682" s="332"/>
      <c r="G682" s="334" t="str">
        <f t="array" ref="G682">IF(B682="insumo",_xlfn.XLOOKUP($D682,Insumos!$B$1:$B$996,Insumos!$D$1:$D$996),"")</f>
        <v/>
      </c>
      <c r="H682" s="334">
        <v>5.85335908446873</v>
      </c>
      <c r="I682" s="335">
        <v>0</v>
      </c>
      <c r="J682" s="335">
        <v>0</v>
      </c>
      <c r="K682" s="335"/>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70</v>
      </c>
      <c r="C683" s="10" t="s">
        <v>291</v>
      </c>
      <c r="D683" s="10" t="s">
        <v>239</v>
      </c>
      <c r="E683" s="11" t="str">
        <f t="array" ref="E683">_xlfn.XLOOKUP(D683,Insumos!B:B,Insumos!C:$C)</f>
        <v>KG</v>
      </c>
      <c r="F683" s="14">
        <v>1.1000000000000001</v>
      </c>
      <c r="G683" s="87">
        <f t="array" ref="G683">IF(B683="insumo",_xlfn.XLOOKUP($D683,Insumos!$B$1:$B$996,Insumos!$D$1:$D$996),"")</f>
        <v>5.0530855313352099</v>
      </c>
      <c r="H683" s="87">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70</v>
      </c>
      <c r="C684" s="10" t="s">
        <v>291</v>
      </c>
      <c r="D684" s="10" t="s">
        <v>287</v>
      </c>
      <c r="E684" s="11" t="str">
        <f t="array" ref="E684">_xlfn.XLOOKUP(D684,Insumos!B:B,Insumos!C:$C)</f>
        <v>KG</v>
      </c>
      <c r="F684" s="14">
        <v>2.0500000000000001E-2</v>
      </c>
      <c r="G684" s="87">
        <f t="array" ref="G684">IF(B684="insumo",_xlfn.XLOOKUP($D684,Insumos!$B$1:$B$996,Insumos!$D$1:$D$996),"")</f>
        <v>13.73</v>
      </c>
      <c r="H684" s="87">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70</v>
      </c>
      <c r="C685" s="10" t="s">
        <v>291</v>
      </c>
      <c r="D685" s="10" t="s">
        <v>208</v>
      </c>
      <c r="E685" s="11" t="str">
        <f t="array" ref="E685">_xlfn.XLOOKUP(D685,Insumos!B:B,Insumos!C:$C)</f>
        <v>UN</v>
      </c>
      <c r="F685" s="14">
        <v>0.05</v>
      </c>
      <c r="G685" s="87">
        <f t="array" ref="G685">IF(B685="insumo",_xlfn.XLOOKUP($D685,Insumos!$B$1:$B$996,Insumos!$D$1:$D$996),"")</f>
        <v>0.27</v>
      </c>
      <c r="H685" s="87">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332">
        <v>1</v>
      </c>
      <c r="B686" s="332" t="s">
        <v>67</v>
      </c>
      <c r="C686" s="332" t="s">
        <v>292</v>
      </c>
      <c r="D686" s="332" t="s">
        <v>292</v>
      </c>
      <c r="E686" s="333" t="s">
        <v>205</v>
      </c>
      <c r="F686" s="332"/>
      <c r="G686" s="334" t="str">
        <f t="array" ref="G686">IF(B686="insumo",_xlfn.XLOOKUP($D686,Insumos!$B$1:$B$996,Insumos!$D$1:$D$996),"")</f>
        <v/>
      </c>
      <c r="H686" s="334">
        <v>5.7295814493981796</v>
      </c>
      <c r="I686" s="335">
        <v>0</v>
      </c>
      <c r="J686" s="335">
        <v>0</v>
      </c>
      <c r="K686" s="335"/>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70</v>
      </c>
      <c r="C687" s="10" t="s">
        <v>292</v>
      </c>
      <c r="D687" s="10" t="s">
        <v>214</v>
      </c>
      <c r="E687" s="11" t="str">
        <f t="array" ref="E687">_xlfn.XLOOKUP(D687,Insumos!B:B,Insumos!C:$C)</f>
        <v>KG</v>
      </c>
      <c r="F687" s="14">
        <v>1.1000000000000001</v>
      </c>
      <c r="G687" s="87">
        <f t="array" ref="G687">IF(B687="insumo",_xlfn.XLOOKUP($D687,Insumos!$B$1:$B$996,Insumos!$D$1:$D$996),"")</f>
        <v>4.9405604085438029</v>
      </c>
      <c r="H687" s="87">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70</v>
      </c>
      <c r="C688" s="10" t="s">
        <v>292</v>
      </c>
      <c r="D688" s="10" t="s">
        <v>287</v>
      </c>
      <c r="E688" s="11" t="str">
        <f t="array" ref="E688">_xlfn.XLOOKUP(D688,Insumos!B:B,Insumos!C:$C)</f>
        <v>KG</v>
      </c>
      <c r="F688" s="14">
        <v>2.0500000000000001E-2</v>
      </c>
      <c r="G688" s="87">
        <f t="array" ref="G688">IF(B688="insumo",_xlfn.XLOOKUP($D688,Insumos!$B$1:$B$996,Insumos!$D$1:$D$996),"")</f>
        <v>13.73</v>
      </c>
      <c r="H688" s="87">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70</v>
      </c>
      <c r="C689" s="10" t="s">
        <v>292</v>
      </c>
      <c r="D689" s="10" t="s">
        <v>208</v>
      </c>
      <c r="E689" s="11" t="str">
        <f t="array" ref="E689">_xlfn.XLOOKUP(D689,Insumos!B:B,Insumos!C:$C)</f>
        <v>UN</v>
      </c>
      <c r="F689" s="14">
        <v>0.05</v>
      </c>
      <c r="G689" s="87">
        <f t="array" ref="G689">IF(B689="insumo",_xlfn.XLOOKUP($D689,Insumos!$B$1:$B$996,Insumos!$D$1:$D$996),"")</f>
        <v>0.27</v>
      </c>
      <c r="H689" s="87">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332">
        <v>1</v>
      </c>
      <c r="B690" s="332" t="s">
        <v>67</v>
      </c>
      <c r="C690" s="332" t="s">
        <v>293</v>
      </c>
      <c r="D690" s="332" t="s">
        <v>293</v>
      </c>
      <c r="E690" s="333" t="s">
        <v>205</v>
      </c>
      <c r="F690" s="332"/>
      <c r="G690" s="334" t="str">
        <f t="array" ref="G690">IF(B690="insumo",_xlfn.XLOOKUP($D690,Insumos!$B$1:$B$996,Insumos!$D$1:$D$996),"")</f>
        <v/>
      </c>
      <c r="H690" s="334">
        <v>5.8328438742016697</v>
      </c>
      <c r="I690" s="335">
        <v>0</v>
      </c>
      <c r="J690" s="335">
        <v>0</v>
      </c>
      <c r="K690" s="335"/>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70</v>
      </c>
      <c r="C691" s="10" t="s">
        <v>293</v>
      </c>
      <c r="D691" s="10" t="s">
        <v>216</v>
      </c>
      <c r="E691" s="11" t="str">
        <f t="array" ref="E691">_xlfn.XLOOKUP(D691,Insumos!B:B,Insumos!C:$C)</f>
        <v>KG</v>
      </c>
      <c r="F691" s="14">
        <v>1.1000000000000001</v>
      </c>
      <c r="G691" s="87">
        <f t="array" ref="G691">IF(B691="insumo",_xlfn.XLOOKUP($D691,Insumos!$B$1:$B$996,Insumos!$D$1:$D$996),"")</f>
        <v>5.0344353401833359</v>
      </c>
      <c r="H691" s="87">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70</v>
      </c>
      <c r="C692" s="10" t="s">
        <v>293</v>
      </c>
      <c r="D692" s="10" t="s">
        <v>287</v>
      </c>
      <c r="E692" s="11" t="str">
        <f t="array" ref="E692">_xlfn.XLOOKUP(D692,Insumos!B:B,Insumos!C:$C)</f>
        <v>KG</v>
      </c>
      <c r="F692" s="14">
        <v>2.0500000000000001E-2</v>
      </c>
      <c r="G692" s="87">
        <f t="array" ref="G692">IF(B692="insumo",_xlfn.XLOOKUP($D692,Insumos!$B$1:$B$996,Insumos!$D$1:$D$996),"")</f>
        <v>13.73</v>
      </c>
      <c r="H692" s="87">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70</v>
      </c>
      <c r="C693" s="10" t="s">
        <v>293</v>
      </c>
      <c r="D693" s="10" t="s">
        <v>208</v>
      </c>
      <c r="E693" s="11" t="str">
        <f t="array" ref="E693">_xlfn.XLOOKUP(D693,Insumos!B:B,Insumos!C:$C)</f>
        <v>UN</v>
      </c>
      <c r="F693" s="14">
        <v>0.05</v>
      </c>
      <c r="G693" s="87">
        <f t="array" ref="G693">IF(B693="insumo",_xlfn.XLOOKUP($D693,Insumos!$B$1:$B$996,Insumos!$D$1:$D$996),"")</f>
        <v>0.27</v>
      </c>
      <c r="H693" s="87">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332">
        <v>1</v>
      </c>
      <c r="B694" s="332" t="s">
        <v>67</v>
      </c>
      <c r="C694" s="332" t="s">
        <v>294</v>
      </c>
      <c r="D694" s="332" t="s">
        <v>294</v>
      </c>
      <c r="E694" s="333" t="s">
        <v>205</v>
      </c>
      <c r="F694" s="332"/>
      <c r="G694" s="334" t="str">
        <f t="array" ref="G694">IF(B694="insumo",_xlfn.XLOOKUP($D694,Insumos!$B$1:$B$996,Insumos!$D$1:$D$996),"")</f>
        <v/>
      </c>
      <c r="H694" s="334">
        <v>5.9719178475884398</v>
      </c>
      <c r="I694" s="335">
        <v>0</v>
      </c>
      <c r="J694" s="335">
        <v>0</v>
      </c>
      <c r="K694" s="335"/>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70</v>
      </c>
      <c r="C695" s="10" t="s">
        <v>294</v>
      </c>
      <c r="D695" s="10" t="s">
        <v>243</v>
      </c>
      <c r="E695" s="11" t="str">
        <f t="array" ref="E695">_xlfn.XLOOKUP(D695,Insumos!B:B,Insumos!C:$C)</f>
        <v>KG</v>
      </c>
      <c r="F695" s="14">
        <v>1.1000000000000001</v>
      </c>
      <c r="G695" s="87">
        <f t="array" ref="G695">IF(B695="insumo",_xlfn.XLOOKUP($D695,Insumos!$B$1:$B$996,Insumos!$D$1:$D$996),"")</f>
        <v>5.1608662250804</v>
      </c>
      <c r="H695" s="87">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70</v>
      </c>
      <c r="C696" s="10" t="s">
        <v>294</v>
      </c>
      <c r="D696" s="10" t="s">
        <v>287</v>
      </c>
      <c r="E696" s="11" t="str">
        <f t="array" ref="E696">_xlfn.XLOOKUP(D696,Insumos!B:B,Insumos!C:$C)</f>
        <v>KG</v>
      </c>
      <c r="F696" s="14">
        <v>2.0500000000000001E-2</v>
      </c>
      <c r="G696" s="87">
        <f t="array" ref="G696">IF(B696="insumo",_xlfn.XLOOKUP($D696,Insumos!$B$1:$B$996,Insumos!$D$1:$D$996),"")</f>
        <v>13.73</v>
      </c>
      <c r="H696" s="87">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70</v>
      </c>
      <c r="C697" s="10" t="s">
        <v>294</v>
      </c>
      <c r="D697" s="10" t="s">
        <v>208</v>
      </c>
      <c r="E697" s="11" t="str">
        <f t="array" ref="E697">_xlfn.XLOOKUP(D697,Insumos!B:B,Insumos!C:$C)</f>
        <v>UN</v>
      </c>
      <c r="F697" s="14">
        <v>0.05</v>
      </c>
      <c r="G697" s="87">
        <f t="array" ref="G697">IF(B697="insumo",_xlfn.XLOOKUP($D697,Insumos!$B$1:$B$996,Insumos!$D$1:$D$996),"")</f>
        <v>0.27</v>
      </c>
      <c r="H697" s="87">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332">
        <v>1</v>
      </c>
      <c r="B698" s="332" t="s">
        <v>67</v>
      </c>
      <c r="C698" s="332" t="s">
        <v>1291</v>
      </c>
      <c r="D698" s="332" t="s">
        <v>1291</v>
      </c>
      <c r="E698" s="333" t="s">
        <v>205</v>
      </c>
      <c r="F698" s="332"/>
      <c r="G698" s="334" t="str">
        <f t="array" ref="G698">IF(B698="insumo",_xlfn.XLOOKUP($D698,Insumos!$B$1:$B$996,Insumos!$D$1:$D$996),"")</f>
        <v/>
      </c>
      <c r="H698" s="334">
        <v>7.136965</v>
      </c>
      <c r="I698" s="335">
        <v>0</v>
      </c>
      <c r="J698" s="335">
        <v>0</v>
      </c>
      <c r="K698" s="335"/>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70</v>
      </c>
      <c r="C699" s="10" t="s">
        <v>1291</v>
      </c>
      <c r="D699" s="10" t="s">
        <v>246</v>
      </c>
      <c r="E699" s="11" t="str">
        <f t="array" ref="E699">_xlfn.XLOOKUP(D699,Insumos!B:B,Insumos!C:$C)</f>
        <v>KG</v>
      </c>
      <c r="F699" s="14">
        <v>1.1000000000000001</v>
      </c>
      <c r="G699" s="87">
        <f t="array" ref="G699">IF(B699="insumo",_xlfn.XLOOKUP($D699,Insumos!$B$1:$B$996,Insumos!$D$1:$D$996),"")</f>
        <v>6.22</v>
      </c>
      <c r="H699" s="87">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70</v>
      </c>
      <c r="C700" s="10" t="s">
        <v>1291</v>
      </c>
      <c r="D700" s="10" t="s">
        <v>287</v>
      </c>
      <c r="E700" s="11" t="str">
        <f t="array" ref="E700">_xlfn.XLOOKUP(D700,Insumos!B:B,Insumos!C:$C)</f>
        <v>KG</v>
      </c>
      <c r="F700" s="14">
        <v>2.0500000000000001E-2</v>
      </c>
      <c r="G700" s="87">
        <f t="array" ref="G700">IF(B700="insumo",_xlfn.XLOOKUP($D700,Insumos!$B$1:$B$996,Insumos!$D$1:$D$996),"")</f>
        <v>13.73</v>
      </c>
      <c r="H700" s="87">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70</v>
      </c>
      <c r="C701" s="10" t="s">
        <v>1291</v>
      </c>
      <c r="D701" s="10" t="s">
        <v>208</v>
      </c>
      <c r="E701" s="11" t="str">
        <f t="array" ref="E701">_xlfn.XLOOKUP(D701,Insumos!B:B,Insumos!C:$C)</f>
        <v>UN</v>
      </c>
      <c r="F701" s="14">
        <v>0.05</v>
      </c>
      <c r="G701" s="87">
        <f t="array" ref="G701">IF(B701="insumo",_xlfn.XLOOKUP($D701,Insumos!$B$1:$B$996,Insumos!$D$1:$D$996),"")</f>
        <v>0.27</v>
      </c>
      <c r="H701" s="87">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332">
        <v>1</v>
      </c>
      <c r="B702" s="332" t="s">
        <v>67</v>
      </c>
      <c r="C702" s="332" t="s">
        <v>2985</v>
      </c>
      <c r="D702" s="332" t="s">
        <v>2985</v>
      </c>
      <c r="E702" s="333" t="s">
        <v>205</v>
      </c>
      <c r="F702" s="332"/>
      <c r="G702" s="334" t="str">
        <f t="array" ref="G702">IF(B702="insumo",_xlfn.XLOOKUP($D702,Insumos!$B$1:$B$996,Insumos!$D$1:$D$996),"")</f>
        <v/>
      </c>
      <c r="H702" s="334">
        <v>8.9649649999999994</v>
      </c>
      <c r="I702" s="335">
        <v>7253.8797761580799</v>
      </c>
      <c r="J702" s="335">
        <v>65030.778307465</v>
      </c>
      <c r="K702" s="335"/>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70</v>
      </c>
      <c r="C703" s="10" t="s">
        <v>2985</v>
      </c>
      <c r="D703" s="10" t="s">
        <v>2977</v>
      </c>
      <c r="E703" s="11" t="str">
        <f t="array" ref="E703">_xlfn.XLOOKUP(D703,Insumos!B:B,Insumos!C:$C)</f>
        <v>UN</v>
      </c>
      <c r="F703" s="14">
        <v>1</v>
      </c>
      <c r="G703" s="87">
        <f t="array" ref="G703">IF(B703="insumo",_xlfn.XLOOKUP($D703,Insumos!$B$1:$B$996,Insumos!$D$1:$D$996),"")</f>
        <v>8.67</v>
      </c>
      <c r="H703" s="87">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70</v>
      </c>
      <c r="C704" s="10" t="s">
        <v>2985</v>
      </c>
      <c r="D704" s="10" t="s">
        <v>287</v>
      </c>
      <c r="E704" s="11" t="str">
        <f t="array" ref="E704">_xlfn.XLOOKUP(D704,Insumos!B:B,Insumos!C:$C)</f>
        <v>KG</v>
      </c>
      <c r="F704" s="14">
        <v>2.0500000000000001E-2</v>
      </c>
      <c r="G704" s="87">
        <f t="array" ref="G704">IF(B704="insumo",_xlfn.XLOOKUP($D704,Insumos!$B$1:$B$996,Insumos!$D$1:$D$996),"")</f>
        <v>13.73</v>
      </c>
      <c r="H704" s="87">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70</v>
      </c>
      <c r="C705" s="10" t="s">
        <v>2985</v>
      </c>
      <c r="D705" s="10" t="s">
        <v>208</v>
      </c>
      <c r="E705" s="11" t="str">
        <f t="array" ref="E705">_xlfn.XLOOKUP(D705,Insumos!B:B,Insumos!C:$C)</f>
        <v>UN</v>
      </c>
      <c r="F705" s="14">
        <v>0.05</v>
      </c>
      <c r="G705" s="87">
        <f t="array" ref="G705">IF(B705="insumo",_xlfn.XLOOKUP($D705,Insumos!$B$1:$B$996,Insumos!$D$1:$D$996),"")</f>
        <v>0.27</v>
      </c>
      <c r="H705" s="87">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332">
        <v>1</v>
      </c>
      <c r="B706" s="332" t="s">
        <v>67</v>
      </c>
      <c r="C706" s="332" t="s">
        <v>2986</v>
      </c>
      <c r="D706" s="332" t="s">
        <v>2986</v>
      </c>
      <c r="E706" s="333" t="s">
        <v>205</v>
      </c>
      <c r="F706" s="332"/>
      <c r="G706" s="334" t="str">
        <f t="array" ref="G706">IF(B706="insumo",_xlfn.XLOOKUP($D706,Insumos!$B$1:$B$996,Insumos!$D$1:$D$996),"")</f>
        <v/>
      </c>
      <c r="H706" s="334">
        <v>8.9649649999999994</v>
      </c>
      <c r="I706" s="335">
        <v>53934.272951821396</v>
      </c>
      <c r="J706" s="335">
        <v>483518.86931352603</v>
      </c>
      <c r="K706" s="335"/>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70</v>
      </c>
      <c r="C707" s="10" t="s">
        <v>2986</v>
      </c>
      <c r="D707" s="10" t="s">
        <v>2857</v>
      </c>
      <c r="E707" s="11" t="str">
        <f t="array" ref="E707">_xlfn.XLOOKUP(D707,Insumos!B:B,Insumos!C:$C)</f>
        <v>UN</v>
      </c>
      <c r="F707" s="14">
        <v>1</v>
      </c>
      <c r="G707" s="87">
        <f t="array" ref="G707">IF(B707="insumo",_xlfn.XLOOKUP($D707,Insumos!$B$1:$B$996,Insumos!$D$1:$D$996),"")</f>
        <v>8.67</v>
      </c>
      <c r="H707" s="87">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70</v>
      </c>
      <c r="C708" s="10" t="s">
        <v>2986</v>
      </c>
      <c r="D708" s="10" t="s">
        <v>287</v>
      </c>
      <c r="E708" s="11" t="str">
        <f t="array" ref="E708">_xlfn.XLOOKUP(D708,Insumos!B:B,Insumos!C:$C)</f>
        <v>KG</v>
      </c>
      <c r="F708" s="14">
        <v>2.0500000000000001E-2</v>
      </c>
      <c r="G708" s="87">
        <f t="array" ref="G708">IF(B708="insumo",_xlfn.XLOOKUP($D708,Insumos!$B$1:$B$996,Insumos!$D$1:$D$996),"")</f>
        <v>13.73</v>
      </c>
      <c r="H708" s="87">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70</v>
      </c>
      <c r="C709" s="10" t="s">
        <v>2986</v>
      </c>
      <c r="D709" s="10" t="s">
        <v>208</v>
      </c>
      <c r="E709" s="11" t="str">
        <f t="array" ref="E709">_xlfn.XLOOKUP(D709,Insumos!B:B,Insumos!C:$C)</f>
        <v>UN</v>
      </c>
      <c r="F709" s="14">
        <v>0.05</v>
      </c>
      <c r="G709" s="87">
        <f t="array" ref="G709">IF(B709="insumo",_xlfn.XLOOKUP($D709,Insumos!$B$1:$B$996,Insumos!$D$1:$D$996),"")</f>
        <v>0.27</v>
      </c>
      <c r="H709" s="87">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332">
        <v>1</v>
      </c>
      <c r="B710" s="332" t="s">
        <v>67</v>
      </c>
      <c r="C710" s="332" t="s">
        <v>2987</v>
      </c>
      <c r="D710" s="332" t="s">
        <v>2987</v>
      </c>
      <c r="E710" s="333" t="s">
        <v>205</v>
      </c>
      <c r="F710" s="332"/>
      <c r="G710" s="334" t="str">
        <f t="array" ref="G710">IF(B710="insumo",_xlfn.XLOOKUP($D710,Insumos!$B$1:$B$996,Insumos!$D$1:$D$996),"")</f>
        <v/>
      </c>
      <c r="H710" s="334">
        <v>8.9649649999999994</v>
      </c>
      <c r="I710" s="335">
        <v>65571.514330624006</v>
      </c>
      <c r="J710" s="335">
        <v>587846.33097104297</v>
      </c>
      <c r="K710" s="335"/>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70</v>
      </c>
      <c r="C711" s="10" t="s">
        <v>2987</v>
      </c>
      <c r="D711" s="10" t="s">
        <v>2858</v>
      </c>
      <c r="E711" s="11" t="str">
        <f t="array" ref="E711">_xlfn.XLOOKUP(D711,Insumos!B:B,Insumos!C:$C)</f>
        <v>UN</v>
      </c>
      <c r="F711" s="14">
        <v>1</v>
      </c>
      <c r="G711" s="87">
        <f t="array" ref="G711">IF(B711="insumo",_xlfn.XLOOKUP($D711,Insumos!$B$1:$B$996,Insumos!$D$1:$D$996),"")</f>
        <v>8.67</v>
      </c>
      <c r="H711" s="87">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70</v>
      </c>
      <c r="C712" s="10" t="s">
        <v>2987</v>
      </c>
      <c r="D712" s="10" t="s">
        <v>287</v>
      </c>
      <c r="E712" s="11" t="str">
        <f t="array" ref="E712">_xlfn.XLOOKUP(D712,Insumos!B:B,Insumos!C:$C)</f>
        <v>KG</v>
      </c>
      <c r="F712" s="14">
        <v>2.0500000000000001E-2</v>
      </c>
      <c r="G712" s="87">
        <f t="array" ref="G712">IF(B712="insumo",_xlfn.XLOOKUP($D712,Insumos!$B$1:$B$996,Insumos!$D$1:$D$996),"")</f>
        <v>13.73</v>
      </c>
      <c r="H712" s="87">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70</v>
      </c>
      <c r="C713" s="10" t="s">
        <v>2987</v>
      </c>
      <c r="D713" s="10" t="s">
        <v>208</v>
      </c>
      <c r="E713" s="11" t="str">
        <f t="array" ref="E713">_xlfn.XLOOKUP(D713,Insumos!B:B,Insumos!C:$C)</f>
        <v>UN</v>
      </c>
      <c r="F713" s="14">
        <v>0.05</v>
      </c>
      <c r="G713" s="87">
        <f t="array" ref="G713">IF(B713="insumo",_xlfn.XLOOKUP($D713,Insumos!$B$1:$B$996,Insumos!$D$1:$D$996),"")</f>
        <v>0.27</v>
      </c>
      <c r="H713" s="87">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332">
        <v>1</v>
      </c>
      <c r="B714" s="332" t="s">
        <v>67</v>
      </c>
      <c r="C714" s="332" t="s">
        <v>2988</v>
      </c>
      <c r="D714" s="332" t="s">
        <v>2988</v>
      </c>
      <c r="E714" s="333" t="s">
        <v>205</v>
      </c>
      <c r="F714" s="332"/>
      <c r="G714" s="334" t="str">
        <f t="array" ref="G714">IF(B714="insumo",_xlfn.XLOOKUP($D714,Insumos!$B$1:$B$996,Insumos!$D$1:$D$996),"")</f>
        <v/>
      </c>
      <c r="H714" s="334">
        <v>8.9649649999999994</v>
      </c>
      <c r="I714" s="335">
        <v>81096.464230497397</v>
      </c>
      <c r="J714" s="335">
        <v>727026.96345016104</v>
      </c>
      <c r="K714" s="335"/>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70</v>
      </c>
      <c r="C715" s="10" t="s">
        <v>2988</v>
      </c>
      <c r="D715" s="10" t="s">
        <v>2978</v>
      </c>
      <c r="E715" s="11" t="str">
        <f t="array" ref="E715">_xlfn.XLOOKUP(D715,Insumos!B:B,Insumos!C:$C)</f>
        <v>UN</v>
      </c>
      <c r="F715" s="14">
        <v>1</v>
      </c>
      <c r="G715" s="87">
        <f t="array" ref="G715">IF(B715="insumo",_xlfn.XLOOKUP($D715,Insumos!$B$1:$B$996,Insumos!$D$1:$D$996),"")</f>
        <v>8.67</v>
      </c>
      <c r="H715" s="87">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70</v>
      </c>
      <c r="C716" s="10" t="s">
        <v>2988</v>
      </c>
      <c r="D716" s="10" t="s">
        <v>287</v>
      </c>
      <c r="E716" s="11" t="str">
        <f t="array" ref="E716">_xlfn.XLOOKUP(D716,Insumos!B:B,Insumos!C:$C)</f>
        <v>KG</v>
      </c>
      <c r="F716" s="14">
        <v>2.0500000000000001E-2</v>
      </c>
      <c r="G716" s="87">
        <f t="array" ref="G716">IF(B716="insumo",_xlfn.XLOOKUP($D716,Insumos!$B$1:$B$996,Insumos!$D$1:$D$996),"")</f>
        <v>13.73</v>
      </c>
      <c r="H716" s="87">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70</v>
      </c>
      <c r="C717" s="10" t="s">
        <v>2988</v>
      </c>
      <c r="D717" s="10" t="s">
        <v>208</v>
      </c>
      <c r="E717" s="11" t="str">
        <f t="array" ref="E717">_xlfn.XLOOKUP(D717,Insumos!B:B,Insumos!C:$C)</f>
        <v>UN</v>
      </c>
      <c r="F717" s="14">
        <v>0.05</v>
      </c>
      <c r="G717" s="87">
        <f t="array" ref="G717">IF(B717="insumo",_xlfn.XLOOKUP($D717,Insumos!$B$1:$B$996,Insumos!$D$1:$D$996),"")</f>
        <v>0.27</v>
      </c>
      <c r="H717" s="87">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332">
        <v>1</v>
      </c>
      <c r="B718" s="332" t="s">
        <v>67</v>
      </c>
      <c r="C718" s="332" t="s">
        <v>2989</v>
      </c>
      <c r="D718" s="332" t="s">
        <v>2989</v>
      </c>
      <c r="E718" s="333" t="s">
        <v>205</v>
      </c>
      <c r="F718" s="332"/>
      <c r="G718" s="334" t="str">
        <f t="array" ref="G718">IF(B718="insumo",_xlfn.XLOOKUP($D718,Insumos!$B$1:$B$996,Insumos!$D$1:$D$996),"")</f>
        <v/>
      </c>
      <c r="H718" s="334">
        <v>8.4849650000000008</v>
      </c>
      <c r="I718" s="335">
        <v>87261.131627970695</v>
      </c>
      <c r="J718" s="335">
        <v>740407.64772372402</v>
      </c>
      <c r="K718" s="335"/>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70</v>
      </c>
      <c r="C719" s="10" t="s">
        <v>2989</v>
      </c>
      <c r="D719" s="10" t="s">
        <v>2859</v>
      </c>
      <c r="E719" s="11" t="str">
        <f t="array" ref="E719">_xlfn.XLOOKUP(D719,Insumos!B:B,Insumos!C:$C)</f>
        <v>UN</v>
      </c>
      <c r="F719" s="14">
        <v>1</v>
      </c>
      <c r="G719" s="87">
        <f t="array" ref="G719">IF(B719="insumo",_xlfn.XLOOKUP($D719,Insumos!$B$1:$B$996,Insumos!$D$1:$D$996),"")</f>
        <v>8.19</v>
      </c>
      <c r="H719" s="87">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70</v>
      </c>
      <c r="C720" s="10" t="s">
        <v>2989</v>
      </c>
      <c r="D720" s="10" t="s">
        <v>287</v>
      </c>
      <c r="E720" s="11" t="str">
        <f t="array" ref="E720">_xlfn.XLOOKUP(D720,Insumos!B:B,Insumos!C:$C)</f>
        <v>KG</v>
      </c>
      <c r="F720" s="14">
        <v>2.0500000000000001E-2</v>
      </c>
      <c r="G720" s="87">
        <f t="array" ref="G720">IF(B720="insumo",_xlfn.XLOOKUP($D720,Insumos!$B$1:$B$996,Insumos!$D$1:$D$996),"")</f>
        <v>13.73</v>
      </c>
      <c r="H720" s="87">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70</v>
      </c>
      <c r="C721" s="10" t="s">
        <v>2989</v>
      </c>
      <c r="D721" s="10" t="s">
        <v>208</v>
      </c>
      <c r="E721" s="11" t="str">
        <f t="array" ref="E721">_xlfn.XLOOKUP(D721,Insumos!B:B,Insumos!C:$C)</f>
        <v>UN</v>
      </c>
      <c r="F721" s="14">
        <v>0.05</v>
      </c>
      <c r="G721" s="87">
        <f t="array" ref="G721">IF(B721="insumo",_xlfn.XLOOKUP($D721,Insumos!$B$1:$B$996,Insumos!$D$1:$D$996),"")</f>
        <v>0.27</v>
      </c>
      <c r="H721" s="87">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332">
        <v>1</v>
      </c>
      <c r="B722" s="332" t="s">
        <v>67</v>
      </c>
      <c r="C722" s="332" t="s">
        <v>2990</v>
      </c>
      <c r="D722" s="332" t="s">
        <v>2990</v>
      </c>
      <c r="E722" s="333" t="s">
        <v>205</v>
      </c>
      <c r="F722" s="332"/>
      <c r="G722" s="334" t="str">
        <f t="array" ref="G722">IF(B722="insumo",_xlfn.XLOOKUP($D722,Insumos!$B$1:$B$996,Insumos!$D$1:$D$996),"")</f>
        <v/>
      </c>
      <c r="H722" s="334">
        <v>8.4849650000000008</v>
      </c>
      <c r="I722" s="335">
        <v>31256.258197867901</v>
      </c>
      <c r="J722" s="335">
        <v>265208.25683987199</v>
      </c>
      <c r="K722" s="335"/>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70</v>
      </c>
      <c r="C723" s="10" t="s">
        <v>2990</v>
      </c>
      <c r="D723" s="10" t="s">
        <v>2966</v>
      </c>
      <c r="E723" s="11" t="str">
        <f t="array" ref="E723">_xlfn.XLOOKUP(D723,Insumos!B:B,Insumos!C:$C)</f>
        <v>UN</v>
      </c>
      <c r="F723" s="14">
        <v>1</v>
      </c>
      <c r="G723" s="87">
        <f t="array" ref="G723">IF(B723="insumo",_xlfn.XLOOKUP($D723,Insumos!$B$1:$B$996,Insumos!$D$1:$D$996),"")</f>
        <v>8.19</v>
      </c>
      <c r="H723" s="87">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70</v>
      </c>
      <c r="C724" s="10" t="s">
        <v>2990</v>
      </c>
      <c r="D724" s="10" t="s">
        <v>287</v>
      </c>
      <c r="E724" s="11" t="str">
        <f t="array" ref="E724">_xlfn.XLOOKUP(D724,Insumos!B:B,Insumos!C:$C)</f>
        <v>KG</v>
      </c>
      <c r="F724" s="14">
        <v>2.0500000000000001E-2</v>
      </c>
      <c r="G724" s="87">
        <f t="array" ref="G724">IF(B724="insumo",_xlfn.XLOOKUP($D724,Insumos!$B$1:$B$996,Insumos!$D$1:$D$996),"")</f>
        <v>13.73</v>
      </c>
      <c r="H724" s="87">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70</v>
      </c>
      <c r="C725" s="10" t="s">
        <v>2990</v>
      </c>
      <c r="D725" s="10" t="s">
        <v>208</v>
      </c>
      <c r="E725" s="11" t="str">
        <f t="array" ref="E725">_xlfn.XLOOKUP(D725,Insumos!B:B,Insumos!C:$C)</f>
        <v>UN</v>
      </c>
      <c r="F725" s="14">
        <v>0.05</v>
      </c>
      <c r="G725" s="87">
        <f t="array" ref="G725">IF(B725="insumo",_xlfn.XLOOKUP($D725,Insumos!$B$1:$B$996,Insumos!$D$1:$D$996),"")</f>
        <v>0.27</v>
      </c>
      <c r="H725" s="87">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332">
        <v>1</v>
      </c>
      <c r="B726" s="332" t="s">
        <v>67</v>
      </c>
      <c r="C726" s="332" t="s">
        <v>2991</v>
      </c>
      <c r="D726" s="332" t="s">
        <v>2991</v>
      </c>
      <c r="E726" s="333" t="s">
        <v>205</v>
      </c>
      <c r="F726" s="332"/>
      <c r="G726" s="334" t="str">
        <f t="array" ref="G726">IF(B726="insumo",_xlfn.XLOOKUP($D726,Insumos!$B$1:$B$996,Insumos!$D$1:$D$996),"")</f>
        <v/>
      </c>
      <c r="H726" s="334">
        <v>8.4849650000000008</v>
      </c>
      <c r="I726" s="335">
        <v>89836.899295432406</v>
      </c>
      <c r="J726" s="335">
        <v>762262.94623026904</v>
      </c>
      <c r="K726" s="335"/>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70</v>
      </c>
      <c r="C727" s="10" t="s">
        <v>2991</v>
      </c>
      <c r="D727" s="10" t="s">
        <v>2968</v>
      </c>
      <c r="E727" s="11" t="str">
        <f t="array" ref="E727">_xlfn.XLOOKUP(D727,Insumos!B:B,Insumos!C:$C)</f>
        <v>UN</v>
      </c>
      <c r="F727" s="14">
        <v>1</v>
      </c>
      <c r="G727" s="87">
        <f t="array" ref="G727">IF(B727="insumo",_xlfn.XLOOKUP($D727,Insumos!$B$1:$B$996,Insumos!$D$1:$D$996),"")</f>
        <v>8.19</v>
      </c>
      <c r="H727" s="87">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70</v>
      </c>
      <c r="C728" s="10" t="s">
        <v>2991</v>
      </c>
      <c r="D728" s="10" t="s">
        <v>287</v>
      </c>
      <c r="E728" s="11" t="str">
        <f t="array" ref="E728">_xlfn.XLOOKUP(D728,Insumos!B:B,Insumos!C:$C)</f>
        <v>KG</v>
      </c>
      <c r="F728" s="14">
        <v>2.0500000000000001E-2</v>
      </c>
      <c r="G728" s="87">
        <f t="array" ref="G728">IF(B728="insumo",_xlfn.XLOOKUP($D728,Insumos!$B$1:$B$996,Insumos!$D$1:$D$996),"")</f>
        <v>13.73</v>
      </c>
      <c r="H728" s="87">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70</v>
      </c>
      <c r="C729" s="10" t="s">
        <v>2991</v>
      </c>
      <c r="D729" s="10" t="s">
        <v>208</v>
      </c>
      <c r="E729" s="11" t="str">
        <f t="array" ref="E729">_xlfn.XLOOKUP(D729,Insumos!B:B,Insumos!C:$C)</f>
        <v>UN</v>
      </c>
      <c r="F729" s="14">
        <v>0.05</v>
      </c>
      <c r="G729" s="87">
        <f t="array" ref="G729">IF(B729="insumo",_xlfn.XLOOKUP($D729,Insumos!$B$1:$B$996,Insumos!$D$1:$D$996),"")</f>
        <v>0.27</v>
      </c>
      <c r="H729" s="87">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332">
        <v>1</v>
      </c>
      <c r="B730" s="332" t="s">
        <v>67</v>
      </c>
      <c r="C730" s="332" t="s">
        <v>2992</v>
      </c>
      <c r="D730" s="332" t="s">
        <v>2992</v>
      </c>
      <c r="E730" s="333" t="s">
        <v>205</v>
      </c>
      <c r="F730" s="332"/>
      <c r="G730" s="334" t="str">
        <f t="array" ref="G730">IF(B730="insumo",_xlfn.XLOOKUP($D730,Insumos!$B$1:$B$996,Insumos!$D$1:$D$996),"")</f>
        <v/>
      </c>
      <c r="H730" s="334">
        <v>8.4849650000000008</v>
      </c>
      <c r="I730" s="335">
        <v>415759.03413508303</v>
      </c>
      <c r="J730" s="335">
        <v>3527700.8530699899</v>
      </c>
      <c r="K730" s="335"/>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70</v>
      </c>
      <c r="C731" s="10" t="s">
        <v>2992</v>
      </c>
      <c r="D731" s="10" t="s">
        <v>2860</v>
      </c>
      <c r="E731" s="11" t="str">
        <f t="array" ref="E731">_xlfn.XLOOKUP(D731,Insumos!B:B,Insumos!C:$C)</f>
        <v>UN</v>
      </c>
      <c r="F731" s="14">
        <v>1</v>
      </c>
      <c r="G731" s="87">
        <f t="array" ref="G731">IF(B731="insumo",_xlfn.XLOOKUP($D731,Insumos!$B$1:$B$996,Insumos!$D$1:$D$996),"")</f>
        <v>8.19</v>
      </c>
      <c r="H731" s="87">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70</v>
      </c>
      <c r="C732" s="10" t="s">
        <v>2992</v>
      </c>
      <c r="D732" s="10" t="s">
        <v>287</v>
      </c>
      <c r="E732" s="11" t="str">
        <f t="array" ref="E732">_xlfn.XLOOKUP(D732,Insumos!B:B,Insumos!C:$C)</f>
        <v>KG</v>
      </c>
      <c r="F732" s="14">
        <v>2.0500000000000001E-2</v>
      </c>
      <c r="G732" s="87">
        <f t="array" ref="G732">IF(B732="insumo",_xlfn.XLOOKUP($D732,Insumos!$B$1:$B$996,Insumos!$D$1:$D$996),"")</f>
        <v>13.73</v>
      </c>
      <c r="H732" s="87">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70</v>
      </c>
      <c r="C733" s="10" t="s">
        <v>2992</v>
      </c>
      <c r="D733" s="10" t="s">
        <v>208</v>
      </c>
      <c r="E733" s="11" t="str">
        <f t="array" ref="E733">_xlfn.XLOOKUP(D733,Insumos!B:B,Insumos!C:$C)</f>
        <v>UN</v>
      </c>
      <c r="F733" s="14">
        <v>0.05</v>
      </c>
      <c r="G733" s="87">
        <f t="array" ref="G733">IF(B733="insumo",_xlfn.XLOOKUP($D733,Insumos!$B$1:$B$996,Insumos!$D$1:$D$996),"")</f>
        <v>0.27</v>
      </c>
      <c r="H733" s="87">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332">
        <v>1</v>
      </c>
      <c r="B734" s="332" t="s">
        <v>67</v>
      </c>
      <c r="C734" s="332" t="s">
        <v>2993</v>
      </c>
      <c r="D734" s="332" t="s">
        <v>2993</v>
      </c>
      <c r="E734" s="333" t="s">
        <v>205</v>
      </c>
      <c r="F734" s="332"/>
      <c r="G734" s="334" t="str">
        <f t="array" ref="G734">IF(B734="insumo",_xlfn.XLOOKUP($D734,Insumos!$B$1:$B$996,Insumos!$D$1:$D$996),"")</f>
        <v/>
      </c>
      <c r="H734" s="334">
        <v>9.9489620399880696</v>
      </c>
      <c r="I734" s="335">
        <v>34044</v>
      </c>
      <c r="J734" s="335">
        <v>338702.46368935402</v>
      </c>
      <c r="K734" s="335"/>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70</v>
      </c>
      <c r="C735" s="10" t="s">
        <v>2993</v>
      </c>
      <c r="D735" s="10" t="s">
        <v>2984</v>
      </c>
      <c r="E735" s="11" t="str">
        <f t="array" ref="E735">_xlfn.XLOOKUP(D735,Insumos!B:B,Insumos!C:$C)</f>
        <v>UN</v>
      </c>
      <c r="F735" s="14">
        <v>1.1000000000000001</v>
      </c>
      <c r="G735" s="87">
        <f t="array" ref="G735">IF(B735="insumo",_xlfn.XLOOKUP($D735,Insumos!$B$1:$B$996,Insumos!$D$1:$D$996),"")</f>
        <v>8.7763609454436988</v>
      </c>
      <c r="H735" s="87">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70</v>
      </c>
      <c r="C736" s="10" t="s">
        <v>2993</v>
      </c>
      <c r="D736" s="10" t="s">
        <v>287</v>
      </c>
      <c r="E736" s="11" t="str">
        <f t="array" ref="E736">_xlfn.XLOOKUP(D736,Insumos!B:B,Insumos!C:$C)</f>
        <v>KG</v>
      </c>
      <c r="F736" s="14">
        <v>2.0500000000000001E-2</v>
      </c>
      <c r="G736" s="87">
        <f t="array" ref="G736">IF(B736="insumo",_xlfn.XLOOKUP($D736,Insumos!$B$1:$B$996,Insumos!$D$1:$D$996),"")</f>
        <v>13.73</v>
      </c>
      <c r="H736" s="87">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70</v>
      </c>
      <c r="C737" s="10" t="s">
        <v>2993</v>
      </c>
      <c r="D737" s="10" t="s">
        <v>208</v>
      </c>
      <c r="E737" s="11" t="str">
        <f t="array" ref="E737">_xlfn.XLOOKUP(D737,Insumos!B:B,Insumos!C:$C)</f>
        <v>UN</v>
      </c>
      <c r="F737" s="14">
        <v>0.05</v>
      </c>
      <c r="G737" s="87">
        <f t="array" ref="G737">IF(B737="insumo",_xlfn.XLOOKUP($D737,Insumos!$B$1:$B$996,Insumos!$D$1:$D$996),"")</f>
        <v>0.27</v>
      </c>
      <c r="H737" s="87">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336">
        <v>1</v>
      </c>
      <c r="B738" s="336" t="s">
        <v>67</v>
      </c>
      <c r="C738" s="336" t="s">
        <v>1698</v>
      </c>
      <c r="D738" s="336" t="s">
        <v>1698</v>
      </c>
      <c r="E738" s="337" t="s">
        <v>205</v>
      </c>
      <c r="F738" s="336"/>
      <c r="G738" s="338" t="str">
        <f t="array" ref="G738">IF(B738="insumo",_xlfn.XLOOKUP($D738,Insumos!$B$1:$B$996,Insumos!$D$1:$D$996),"")</f>
        <v/>
      </c>
      <c r="H738" s="338">
        <v>9.6857057407407403</v>
      </c>
      <c r="I738" s="339">
        <v>0</v>
      </c>
      <c r="J738" s="339">
        <v>0</v>
      </c>
      <c r="K738" s="339"/>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77">
        <v>2</v>
      </c>
      <c r="B739" s="77" t="s">
        <v>70</v>
      </c>
      <c r="C739" s="77" t="s">
        <v>1698</v>
      </c>
      <c r="D739" s="77" t="s">
        <v>1665</v>
      </c>
      <c r="E739" s="11" t="str">
        <f t="array" ref="E739">_xlfn.XLOOKUP(D739,Insumos!B:B,Insumos!C:$C)</f>
        <v>KG</v>
      </c>
      <c r="F739" s="81">
        <v>1.1000000000000001</v>
      </c>
      <c r="G739" s="87">
        <f t="array" ref="G739">IF(B739="insumo",_xlfn.XLOOKUP($D739,Insumos!$B$1:$B$996,Insumos!$D$1:$D$996),"")</f>
        <v>8.5370370370370363</v>
      </c>
      <c r="H739" s="87">
        <v>9.3907407407407408</v>
      </c>
      <c r="I739" s="79">
        <v>0</v>
      </c>
      <c r="J739" s="79">
        <v>0</v>
      </c>
      <c r="K739" s="79"/>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77">
        <v>21</v>
      </c>
      <c r="B740" s="77" t="s">
        <v>70</v>
      </c>
      <c r="C740" s="77" t="s">
        <v>1698</v>
      </c>
      <c r="D740" s="77" t="s">
        <v>287</v>
      </c>
      <c r="E740" s="11" t="str">
        <f t="array" ref="E740">_xlfn.XLOOKUP(D740,Insumos!B:B,Insumos!C:$C)</f>
        <v>KG</v>
      </c>
      <c r="F740" s="81">
        <v>2.0500000000000001E-2</v>
      </c>
      <c r="G740" s="87">
        <f t="array" ref="G740">IF(B740="insumo",_xlfn.XLOOKUP($D740,Insumos!$B$1:$B$996,Insumos!$D$1:$D$996),"")</f>
        <v>13.73</v>
      </c>
      <c r="H740" s="87">
        <v>0.28146500000000002</v>
      </c>
      <c r="I740" s="79">
        <v>0</v>
      </c>
      <c r="J740" s="79">
        <v>0</v>
      </c>
      <c r="K740" s="79"/>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77">
        <v>62</v>
      </c>
      <c r="B741" s="77" t="s">
        <v>70</v>
      </c>
      <c r="C741" s="77" t="s">
        <v>1698</v>
      </c>
      <c r="D741" s="77" t="s">
        <v>208</v>
      </c>
      <c r="E741" s="11" t="str">
        <f t="array" ref="E741">_xlfn.XLOOKUP(D741,Insumos!B:B,Insumos!C:$C)</f>
        <v>UN</v>
      </c>
      <c r="F741" s="81">
        <v>0.05</v>
      </c>
      <c r="G741" s="87">
        <f t="array" ref="G741">IF(B741="insumo",_xlfn.XLOOKUP($D741,Insumos!$B$1:$B$996,Insumos!$D$1:$D$996),"")</f>
        <v>0.27</v>
      </c>
      <c r="H741" s="87">
        <v>1.35E-2</v>
      </c>
      <c r="I741" s="79">
        <v>0</v>
      </c>
      <c r="J741" s="79">
        <v>0</v>
      </c>
      <c r="K741" s="79"/>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332">
        <v>1</v>
      </c>
      <c r="B742" s="332" t="s">
        <v>67</v>
      </c>
      <c r="C742" s="332" t="s">
        <v>295</v>
      </c>
      <c r="D742" s="332" t="s">
        <v>295</v>
      </c>
      <c r="E742" s="333" t="s">
        <v>205</v>
      </c>
      <c r="F742" s="332"/>
      <c r="G742" s="334" t="str">
        <f t="array" ref="G742">IF(B742="insumo",_xlfn.XLOOKUP($D742,Insumos!$B$1:$B$996,Insumos!$D$1:$D$996),"")</f>
        <v/>
      </c>
      <c r="H742" s="334">
        <v>10.3541486734694</v>
      </c>
      <c r="I742" s="335">
        <v>0</v>
      </c>
      <c r="J742" s="335">
        <v>0</v>
      </c>
      <c r="K742" s="335"/>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70</v>
      </c>
      <c r="C743" s="10" t="s">
        <v>295</v>
      </c>
      <c r="D743" s="10" t="s">
        <v>296</v>
      </c>
      <c r="E743" s="11" t="str">
        <f t="array" ref="E743">_xlfn.XLOOKUP(D743,Insumos!B:B,Insumos!C:$C)</f>
        <v>KG</v>
      </c>
      <c r="F743" s="14">
        <v>1.1000000000000001</v>
      </c>
      <c r="G743" s="87">
        <f t="array" ref="G743">IF(B743="insumo",_xlfn.XLOOKUP($D743,Insumos!$B$1:$B$996,Insumos!$D$1:$D$996),"")</f>
        <v>9.1447124304267149</v>
      </c>
      <c r="H743" s="87">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70</v>
      </c>
      <c r="C744" s="10" t="s">
        <v>295</v>
      </c>
      <c r="D744" s="10" t="s">
        <v>287</v>
      </c>
      <c r="E744" s="11" t="str">
        <f t="array" ref="E744">_xlfn.XLOOKUP(D744,Insumos!B:B,Insumos!C:$C)</f>
        <v>KG</v>
      </c>
      <c r="F744" s="14">
        <v>2.0500000000000001E-2</v>
      </c>
      <c r="G744" s="87">
        <f t="array" ref="G744">IF(B744="insumo",_xlfn.XLOOKUP($D744,Insumos!$B$1:$B$996,Insumos!$D$1:$D$996),"")</f>
        <v>13.73</v>
      </c>
      <c r="H744" s="87">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70</v>
      </c>
      <c r="C745" s="10" t="s">
        <v>295</v>
      </c>
      <c r="D745" s="10" t="s">
        <v>208</v>
      </c>
      <c r="E745" s="11" t="str">
        <f t="array" ref="E745">_xlfn.XLOOKUP(D745,Insumos!B:B,Insumos!C:$C)</f>
        <v>UN</v>
      </c>
      <c r="F745" s="14">
        <v>0.05</v>
      </c>
      <c r="G745" s="87">
        <f t="array" ref="G745">IF(B745="insumo",_xlfn.XLOOKUP($D745,Insumos!$B$1:$B$996,Insumos!$D$1:$D$996),"")</f>
        <v>0.27</v>
      </c>
      <c r="H745" s="87">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332">
        <v>1</v>
      </c>
      <c r="B746" s="332" t="s">
        <v>67</v>
      </c>
      <c r="C746" s="332" t="s">
        <v>297</v>
      </c>
      <c r="D746" s="332" t="s">
        <v>297</v>
      </c>
      <c r="E746" s="333" t="s">
        <v>205</v>
      </c>
      <c r="F746" s="332"/>
      <c r="G746" s="334" t="str">
        <f t="array" ref="G746">IF(B746="insumo",_xlfn.XLOOKUP($D746,Insumos!$B$1:$B$996,Insumos!$D$1:$D$996),"")</f>
        <v/>
      </c>
      <c r="H746" s="334">
        <v>5.6629649999999998</v>
      </c>
      <c r="I746" s="335">
        <v>0</v>
      </c>
      <c r="J746" s="335">
        <v>0</v>
      </c>
      <c r="K746" s="335"/>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70</v>
      </c>
      <c r="C747" s="10" t="s">
        <v>297</v>
      </c>
      <c r="D747" s="10" t="s">
        <v>298</v>
      </c>
      <c r="E747" s="11" t="str">
        <f t="array" ref="E747">_xlfn.XLOOKUP(D747,Insumos!B:B,Insumos!C:$C)</f>
        <v>KG</v>
      </c>
      <c r="F747" s="14">
        <v>1.1000000000000001</v>
      </c>
      <c r="G747" s="87">
        <f t="array" ref="G747">IF(B747="insumo",_xlfn.XLOOKUP($D747,Insumos!$B$1:$B$996,Insumos!$D$1:$D$996),"")</f>
        <v>4.88</v>
      </c>
      <c r="H747" s="87">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70</v>
      </c>
      <c r="C748" s="10" t="s">
        <v>297</v>
      </c>
      <c r="D748" s="10" t="s">
        <v>287</v>
      </c>
      <c r="E748" s="11" t="str">
        <f t="array" ref="E748">_xlfn.XLOOKUP(D748,Insumos!B:B,Insumos!C:$C)</f>
        <v>KG</v>
      </c>
      <c r="F748" s="14">
        <v>2.0500000000000001E-2</v>
      </c>
      <c r="G748" s="87">
        <f t="array" ref="G748">IF(B748="insumo",_xlfn.XLOOKUP($D748,Insumos!$B$1:$B$996,Insumos!$D$1:$D$996),"")</f>
        <v>13.73</v>
      </c>
      <c r="H748" s="87">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70</v>
      </c>
      <c r="C749" s="10" t="s">
        <v>297</v>
      </c>
      <c r="D749" s="10" t="s">
        <v>208</v>
      </c>
      <c r="E749" s="11" t="str">
        <f t="array" ref="E749">_xlfn.XLOOKUP(D749,Insumos!B:B,Insumos!C:$C)</f>
        <v>UN</v>
      </c>
      <c r="F749" s="14">
        <v>0.05</v>
      </c>
      <c r="G749" s="87">
        <f t="array" ref="G749">IF(B749="insumo",_xlfn.XLOOKUP($D749,Insumos!$B$1:$B$996,Insumos!$D$1:$D$996),"")</f>
        <v>0.27</v>
      </c>
      <c r="H749" s="87">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355">
        <v>5</v>
      </c>
      <c r="B750" s="355" t="s">
        <v>1227</v>
      </c>
      <c r="C750" s="355" t="s">
        <v>297</v>
      </c>
      <c r="D750" s="355" t="s">
        <v>1362</v>
      </c>
      <c r="E750" s="356"/>
      <c r="F750" s="357"/>
      <c r="G750" s="356"/>
      <c r="H750" s="356">
        <v>0</v>
      </c>
      <c r="I750" s="357">
        <v>0</v>
      </c>
      <c r="J750" s="357">
        <v>0</v>
      </c>
      <c r="K750" s="357"/>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332">
        <v>1</v>
      </c>
      <c r="B751" s="332" t="s">
        <v>67</v>
      </c>
      <c r="C751" s="332" t="s">
        <v>299</v>
      </c>
      <c r="D751" s="332" t="s">
        <v>299</v>
      </c>
      <c r="E751" s="333" t="s">
        <v>151</v>
      </c>
      <c r="F751" s="332"/>
      <c r="G751" s="334" t="str">
        <f t="array" ref="G751">IF(B751="insumo",_xlfn.XLOOKUP($D751,Insumos!$B$1:$B$996,Insumos!$D$1:$D$996),"")</f>
        <v/>
      </c>
      <c r="H751" s="334">
        <v>557.26</v>
      </c>
      <c r="I751" s="335">
        <v>0</v>
      </c>
      <c r="J751" s="335">
        <v>0</v>
      </c>
      <c r="K751" s="335"/>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70</v>
      </c>
      <c r="C752" s="10" t="s">
        <v>299</v>
      </c>
      <c r="D752" s="10" t="s">
        <v>73</v>
      </c>
      <c r="E752" s="11" t="str">
        <f t="array" ref="E752">_xlfn.XLOOKUP(D752,Insumos!B:B,Insumos!C:$C)</f>
        <v>M3</v>
      </c>
      <c r="F752" s="14">
        <v>1.05</v>
      </c>
      <c r="G752" s="87">
        <f t="array" ref="G752">IF(B752="insumo",_xlfn.XLOOKUP($D752,Insumos!$B$1:$B$996,Insumos!$D$1:$D$996),"")</f>
        <v>490</v>
      </c>
      <c r="H752" s="87">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70</v>
      </c>
      <c r="C753" s="10" t="s">
        <v>299</v>
      </c>
      <c r="D753" s="10" t="s">
        <v>158</v>
      </c>
      <c r="E753" s="11" t="str">
        <f t="array" ref="E753">_xlfn.XLOOKUP(D753,Insumos!B:B,Insumos!C:$C)</f>
        <v>M3</v>
      </c>
      <c r="F753" s="14">
        <v>1.05</v>
      </c>
      <c r="G753" s="87">
        <f t="array" ref="G753">IF(B753="insumo",_xlfn.XLOOKUP($D753,Insumos!$B$1:$B$996,Insumos!$D$1:$D$996),"")</f>
        <v>40</v>
      </c>
      <c r="H753" s="87">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70</v>
      </c>
      <c r="C754" s="10" t="s">
        <v>299</v>
      </c>
      <c r="D754" s="10" t="s">
        <v>159</v>
      </c>
      <c r="E754" s="11" t="str">
        <f t="array" ref="E754">_xlfn.XLOOKUP(D754,Insumos!B:B,Insumos!C:$C)</f>
        <v>KG</v>
      </c>
      <c r="F754" s="14">
        <v>1</v>
      </c>
      <c r="G754" s="87">
        <f t="array" ref="G754">IF(B754="insumo",_xlfn.XLOOKUP($D754,Insumos!$B$1:$B$996,Insumos!$D$1:$D$996),"")</f>
        <v>0.76</v>
      </c>
      <c r="H754" s="87">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332">
        <v>1</v>
      </c>
      <c r="B755" s="332" t="s">
        <v>67</v>
      </c>
      <c r="C755" s="332" t="s">
        <v>300</v>
      </c>
      <c r="D755" s="332" t="s">
        <v>300</v>
      </c>
      <c r="E755" s="333" t="s">
        <v>151</v>
      </c>
      <c r="F755" s="332"/>
      <c r="G755" s="334" t="str">
        <f t="array" ref="G755">IF(B755="insumo",_xlfn.XLOOKUP($D755,Insumos!$B$1:$B$996,Insumos!$D$1:$D$996),"")</f>
        <v/>
      </c>
      <c r="H755" s="334">
        <v>578.26</v>
      </c>
      <c r="I755" s="335">
        <v>0</v>
      </c>
      <c r="J755" s="335">
        <v>0</v>
      </c>
      <c r="K755" s="335"/>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70</v>
      </c>
      <c r="C756" s="10" t="s">
        <v>300</v>
      </c>
      <c r="D756" s="10" t="s">
        <v>248</v>
      </c>
      <c r="E756" s="11" t="str">
        <f t="array" ref="E756">_xlfn.XLOOKUP(D756,Insumos!B:B,Insumos!C:$C)</f>
        <v>M3</v>
      </c>
      <c r="F756" s="14">
        <v>1.05</v>
      </c>
      <c r="G756" s="87">
        <f t="array" ref="G756">IF(B756="insumo",_xlfn.XLOOKUP($D756,Insumos!$B$1:$B$996,Insumos!$D$1:$D$996),"")</f>
        <v>510</v>
      </c>
      <c r="H756" s="87">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70</v>
      </c>
      <c r="C757" s="10" t="s">
        <v>300</v>
      </c>
      <c r="D757" s="10" t="s">
        <v>158</v>
      </c>
      <c r="E757" s="11" t="str">
        <f t="array" ref="E757">_xlfn.XLOOKUP(D757,Insumos!B:B,Insumos!C:$C)</f>
        <v>M3</v>
      </c>
      <c r="F757" s="14">
        <v>1.05</v>
      </c>
      <c r="G757" s="87">
        <f t="array" ref="G757">IF(B757="insumo",_xlfn.XLOOKUP($D757,Insumos!$B$1:$B$996,Insumos!$D$1:$D$996),"")</f>
        <v>40</v>
      </c>
      <c r="H757" s="87">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70</v>
      </c>
      <c r="C758" s="10" t="s">
        <v>300</v>
      </c>
      <c r="D758" s="10" t="s">
        <v>159</v>
      </c>
      <c r="E758" s="11" t="str">
        <f t="array" ref="E758">_xlfn.XLOOKUP(D758,Insumos!B:B,Insumos!C:$C)</f>
        <v>KG</v>
      </c>
      <c r="F758" s="14">
        <v>1</v>
      </c>
      <c r="G758" s="87">
        <f t="array" ref="G758">IF(B758="insumo",_xlfn.XLOOKUP($D758,Insumos!$B$1:$B$996,Insumos!$D$1:$D$996),"")</f>
        <v>0.76</v>
      </c>
      <c r="H758" s="87">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336">
        <v>1</v>
      </c>
      <c r="B759" s="336" t="s">
        <v>67</v>
      </c>
      <c r="C759" s="336" t="s">
        <v>1699</v>
      </c>
      <c r="D759" s="336" t="s">
        <v>1699</v>
      </c>
      <c r="E759" s="337" t="s">
        <v>151</v>
      </c>
      <c r="F759" s="336"/>
      <c r="G759" s="338" t="str">
        <f t="array" ref="G759">IF(B759="insumo",_xlfn.XLOOKUP($D759,Insumos!$B$1:$B$996,Insumos!$D$1:$D$996),"")</f>
        <v/>
      </c>
      <c r="H759" s="338">
        <v>677.72649999999999</v>
      </c>
      <c r="I759" s="339">
        <v>195.521784</v>
      </c>
      <c r="J759" s="339">
        <v>132510.29434407601</v>
      </c>
      <c r="K759" s="339"/>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77">
        <v>6</v>
      </c>
      <c r="B760" s="77" t="s">
        <v>70</v>
      </c>
      <c r="C760" s="77" t="s">
        <v>1699</v>
      </c>
      <c r="D760" s="77" t="s">
        <v>250</v>
      </c>
      <c r="E760" s="11" t="str">
        <f t="array" ref="E760">_xlfn.XLOOKUP(D760,Insumos!B:B,Insumos!C:$C)</f>
        <v>M3</v>
      </c>
      <c r="F760" s="81">
        <v>1.05</v>
      </c>
      <c r="G760" s="87">
        <f t="array" ref="G760">IF(B760="insumo",_xlfn.XLOOKUP($D760,Insumos!$B$1:$B$996,Insumos!$D$1:$D$996),"")</f>
        <v>604.73</v>
      </c>
      <c r="H760" s="87">
        <v>634.9665</v>
      </c>
      <c r="I760" s="79">
        <v>195.521784</v>
      </c>
      <c r="J760" s="79">
        <v>124149.782860236</v>
      </c>
      <c r="K760" s="79"/>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77">
        <v>25</v>
      </c>
      <c r="B761" s="77" t="s">
        <v>70</v>
      </c>
      <c r="C761" s="77" t="s">
        <v>1699</v>
      </c>
      <c r="D761" s="77" t="s">
        <v>158</v>
      </c>
      <c r="E761" s="11" t="str">
        <f t="array" ref="E761">_xlfn.XLOOKUP(D761,Insumos!B:B,Insumos!C:$C)</f>
        <v>M3</v>
      </c>
      <c r="F761" s="81">
        <v>1.05</v>
      </c>
      <c r="G761" s="87">
        <f t="array" ref="G761">IF(B761="insumo",_xlfn.XLOOKUP($D761,Insumos!$B$1:$B$996,Insumos!$D$1:$D$996),"")</f>
        <v>40</v>
      </c>
      <c r="H761" s="87">
        <v>42</v>
      </c>
      <c r="I761" s="79">
        <v>195.521784</v>
      </c>
      <c r="J761" s="79">
        <v>8211.9149280000001</v>
      </c>
      <c r="K761" s="79"/>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77">
        <v>62</v>
      </c>
      <c r="B762" s="77" t="s">
        <v>70</v>
      </c>
      <c r="C762" s="77" t="s">
        <v>1699</v>
      </c>
      <c r="D762" s="77" t="s">
        <v>159</v>
      </c>
      <c r="E762" s="11" t="str">
        <f t="array" ref="E762">_xlfn.XLOOKUP(D762,Insumos!B:B,Insumos!C:$C)</f>
        <v>KG</v>
      </c>
      <c r="F762" s="81">
        <v>1</v>
      </c>
      <c r="G762" s="87">
        <f t="array" ref="G762">IF(B762="insumo",_xlfn.XLOOKUP($D762,Insumos!$B$1:$B$996,Insumos!$D$1:$D$996),"")</f>
        <v>0.76</v>
      </c>
      <c r="H762" s="87">
        <v>0.76</v>
      </c>
      <c r="I762" s="79">
        <v>195.521784</v>
      </c>
      <c r="J762" s="79">
        <v>148.59655584000001</v>
      </c>
      <c r="K762" s="79"/>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332">
        <v>1</v>
      </c>
      <c r="B763" s="332" t="s">
        <v>67</v>
      </c>
      <c r="C763" s="332" t="s">
        <v>301</v>
      </c>
      <c r="D763" s="332" t="s">
        <v>301</v>
      </c>
      <c r="E763" s="333" t="s">
        <v>151</v>
      </c>
      <c r="F763" s="332"/>
      <c r="G763" s="334" t="str">
        <f t="array" ref="G763">IF(B763="insumo",_xlfn.XLOOKUP($D763,Insumos!$B$1:$B$996,Insumos!$D$1:$D$996),"")</f>
        <v/>
      </c>
      <c r="H763" s="334">
        <v>631.30600000000004</v>
      </c>
      <c r="I763" s="335">
        <v>237.663568</v>
      </c>
      <c r="J763" s="335">
        <v>150038.436459808</v>
      </c>
      <c r="K763" s="335"/>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70</v>
      </c>
      <c r="C764" s="10" t="s">
        <v>301</v>
      </c>
      <c r="D764" s="10" t="s">
        <v>302</v>
      </c>
      <c r="E764" s="11" t="str">
        <f t="array" ref="E764">_xlfn.XLOOKUP(D764,Insumos!B:B,Insumos!C:$C)</f>
        <v>M3</v>
      </c>
      <c r="F764" s="14">
        <v>1.05</v>
      </c>
      <c r="G764" s="87">
        <f t="array" ref="G764">IF(B764="insumo",_xlfn.XLOOKUP($D764,Insumos!$B$1:$B$996,Insumos!$D$1:$D$996),"")</f>
        <v>560.52</v>
      </c>
      <c r="H764" s="87">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70</v>
      </c>
      <c r="C765" s="10" t="s">
        <v>301</v>
      </c>
      <c r="D765" s="10" t="s">
        <v>158</v>
      </c>
      <c r="E765" s="11" t="str">
        <f t="array" ref="E765">_xlfn.XLOOKUP(D765,Insumos!B:B,Insumos!C:$C)</f>
        <v>M3</v>
      </c>
      <c r="F765" s="14">
        <v>1.05</v>
      </c>
      <c r="G765" s="87">
        <f t="array" ref="G765">IF(B765="insumo",_xlfn.XLOOKUP($D765,Insumos!$B$1:$B$996,Insumos!$D$1:$D$996),"")</f>
        <v>40</v>
      </c>
      <c r="H765" s="87">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70</v>
      </c>
      <c r="C766" s="10" t="s">
        <v>301</v>
      </c>
      <c r="D766" s="10" t="s">
        <v>159</v>
      </c>
      <c r="E766" s="11" t="str">
        <f t="array" ref="E766">_xlfn.XLOOKUP(D766,Insumos!B:B,Insumos!C:$C)</f>
        <v>KG</v>
      </c>
      <c r="F766" s="14">
        <v>1</v>
      </c>
      <c r="G766" s="87">
        <f t="array" ref="G766">IF(B766="insumo",_xlfn.XLOOKUP($D766,Insumos!$B$1:$B$996,Insumos!$D$1:$D$996),"")</f>
        <v>0.76</v>
      </c>
      <c r="H766" s="87">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332">
        <v>1</v>
      </c>
      <c r="B767" s="332" t="s">
        <v>67</v>
      </c>
      <c r="C767" s="332" t="s">
        <v>2844</v>
      </c>
      <c r="D767" s="332" t="s">
        <v>2844</v>
      </c>
      <c r="E767" s="333" t="s">
        <v>151</v>
      </c>
      <c r="F767" s="332"/>
      <c r="G767" s="334" t="str">
        <f t="array" ref="G767">IF(B767="insumo",_xlfn.XLOOKUP($D767,Insumos!$B$1:$B$996,Insumos!$D$1:$D$996),"")</f>
        <v/>
      </c>
      <c r="H767" s="334">
        <v>620.40700000000004</v>
      </c>
      <c r="I767" s="335">
        <v>3803.1510320000002</v>
      </c>
      <c r="J767" s="335">
        <v>2359501.5223100199</v>
      </c>
      <c r="K767" s="335"/>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70</v>
      </c>
      <c r="C768" s="10" t="s">
        <v>2844</v>
      </c>
      <c r="D768" s="10" t="s">
        <v>252</v>
      </c>
      <c r="E768" s="11" t="str">
        <f t="array" ref="E768">_xlfn.XLOOKUP(D768,Insumos!B:B,Insumos!C:$C)</f>
        <v>M3</v>
      </c>
      <c r="F768" s="14">
        <v>1.05</v>
      </c>
      <c r="G768" s="87">
        <f t="array" ref="G768">IF(B768="insumo",_xlfn.XLOOKUP($D768,Insumos!$B$1:$B$996,Insumos!$D$1:$D$996),"")</f>
        <v>550.14</v>
      </c>
      <c r="H768" s="87">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70</v>
      </c>
      <c r="C769" s="10" t="s">
        <v>2844</v>
      </c>
      <c r="D769" s="10" t="s">
        <v>158</v>
      </c>
      <c r="E769" s="11" t="str">
        <f t="array" ref="E769">_xlfn.XLOOKUP(D769,Insumos!B:B,Insumos!C:$C)</f>
        <v>M3</v>
      </c>
      <c r="F769" s="14">
        <v>1.05</v>
      </c>
      <c r="G769" s="87">
        <f t="array" ref="G769">IF(B769="insumo",_xlfn.XLOOKUP($D769,Insumos!$B$1:$B$996,Insumos!$D$1:$D$996),"")</f>
        <v>40</v>
      </c>
      <c r="H769" s="87">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70</v>
      </c>
      <c r="C770" s="10" t="s">
        <v>2844</v>
      </c>
      <c r="D770" s="10" t="s">
        <v>159</v>
      </c>
      <c r="E770" s="11" t="str">
        <f t="array" ref="E770">_xlfn.XLOOKUP(D770,Insumos!B:B,Insumos!C:$C)</f>
        <v>KG</v>
      </c>
      <c r="F770" s="14">
        <v>1</v>
      </c>
      <c r="G770" s="87">
        <f t="array" ref="G770">IF(B770="insumo",_xlfn.XLOOKUP($D770,Insumos!$B$1:$B$996,Insumos!$D$1:$D$996),"")</f>
        <v>0.76</v>
      </c>
      <c r="H770" s="87">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332">
        <v>1</v>
      </c>
      <c r="B771" s="332" t="s">
        <v>67</v>
      </c>
      <c r="C771" s="332" t="s">
        <v>303</v>
      </c>
      <c r="D771" s="332" t="s">
        <v>303</v>
      </c>
      <c r="E771" s="333" t="s">
        <v>151</v>
      </c>
      <c r="F771" s="332"/>
      <c r="G771" s="334" t="str">
        <f t="array" ref="G771">IF(B771="insumo",_xlfn.XLOOKUP($D771,Insumos!$B$1:$B$996,Insumos!$D$1:$D$996),"")</f>
        <v/>
      </c>
      <c r="H771" s="334">
        <v>680.86599999999999</v>
      </c>
      <c r="I771" s="335">
        <v>2329.4707039999998</v>
      </c>
      <c r="J771" s="335">
        <v>1586057.4003496601</v>
      </c>
      <c r="K771" s="335"/>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70</v>
      </c>
      <c r="C772" s="10" t="s">
        <v>303</v>
      </c>
      <c r="D772" s="10" t="s">
        <v>254</v>
      </c>
      <c r="E772" s="11" t="str">
        <f t="array" ref="E772">_xlfn.XLOOKUP(D772,Insumos!B:B,Insumos!C:$C)</f>
        <v>M3</v>
      </c>
      <c r="F772" s="14">
        <v>1.05</v>
      </c>
      <c r="G772" s="87">
        <f t="array" ref="G772">IF(B772="insumo",_xlfn.XLOOKUP($D772,Insumos!$B$1:$B$996,Insumos!$D$1:$D$996),"")</f>
        <v>607.72</v>
      </c>
      <c r="H772" s="87">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70</v>
      </c>
      <c r="C773" s="10" t="s">
        <v>303</v>
      </c>
      <c r="D773" s="10" t="s">
        <v>158</v>
      </c>
      <c r="E773" s="11" t="str">
        <f t="array" ref="E773">_xlfn.XLOOKUP(D773,Insumos!B:B,Insumos!C:$C)</f>
        <v>M3</v>
      </c>
      <c r="F773" s="14">
        <v>1.05</v>
      </c>
      <c r="G773" s="87">
        <f t="array" ref="G773">IF(B773="insumo",_xlfn.XLOOKUP($D773,Insumos!$B$1:$B$996,Insumos!$D$1:$D$996),"")</f>
        <v>40</v>
      </c>
      <c r="H773" s="87">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70</v>
      </c>
      <c r="C774" s="10" t="s">
        <v>303</v>
      </c>
      <c r="D774" s="10" t="s">
        <v>159</v>
      </c>
      <c r="E774" s="11" t="str">
        <f t="array" ref="E774">_xlfn.XLOOKUP(D774,Insumos!B:B,Insumos!C:$C)</f>
        <v>KG</v>
      </c>
      <c r="F774" s="14">
        <v>1</v>
      </c>
      <c r="G774" s="87">
        <f t="array" ref="G774">IF(B774="insumo",_xlfn.XLOOKUP($D774,Insumos!$B$1:$B$996,Insumos!$D$1:$D$996),"")</f>
        <v>0.76</v>
      </c>
      <c r="H774" s="87">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332">
        <v>1</v>
      </c>
      <c r="B775" s="332" t="s">
        <v>67</v>
      </c>
      <c r="C775" s="332" t="s">
        <v>304</v>
      </c>
      <c r="D775" s="332" t="s">
        <v>304</v>
      </c>
      <c r="E775" s="333" t="s">
        <v>151</v>
      </c>
      <c r="F775" s="332"/>
      <c r="G775" s="334" t="str">
        <f t="array" ref="G775">IF(B775="insumo",_xlfn.XLOOKUP($D775,Insumos!$B$1:$B$996,Insumos!$D$1:$D$996),"")</f>
        <v/>
      </c>
      <c r="H775" s="334">
        <v>680.86599999999999</v>
      </c>
      <c r="I775" s="335">
        <v>0</v>
      </c>
      <c r="J775" s="335">
        <v>0</v>
      </c>
      <c r="K775" s="335"/>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70</v>
      </c>
      <c r="C776" s="10" t="s">
        <v>304</v>
      </c>
      <c r="D776" s="10" t="s">
        <v>1573</v>
      </c>
      <c r="E776" s="11" t="str">
        <f t="array" ref="E776">_xlfn.XLOOKUP(D776,Insumos!B:B,Insumos!C:$C)</f>
        <v>M3</v>
      </c>
      <c r="F776" s="14">
        <v>1.05</v>
      </c>
      <c r="G776" s="87">
        <f t="array" ref="G776">IF(B776="insumo",_xlfn.XLOOKUP($D776,Insumos!$B$1:$B$996,Insumos!$D$1:$D$996),"")</f>
        <v>607.72</v>
      </c>
      <c r="H776" s="87">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70</v>
      </c>
      <c r="C777" s="10" t="s">
        <v>304</v>
      </c>
      <c r="D777" s="10" t="s">
        <v>158</v>
      </c>
      <c r="E777" s="11" t="str">
        <f t="array" ref="E777">_xlfn.XLOOKUP(D777,Insumos!B:B,Insumos!C:$C)</f>
        <v>M3</v>
      </c>
      <c r="F777" s="14">
        <v>1.05</v>
      </c>
      <c r="G777" s="87">
        <f t="array" ref="G777">IF(B777="insumo",_xlfn.XLOOKUP($D777,Insumos!$B$1:$B$996,Insumos!$D$1:$D$996),"")</f>
        <v>40</v>
      </c>
      <c r="H777" s="87">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70</v>
      </c>
      <c r="C778" s="10" t="s">
        <v>304</v>
      </c>
      <c r="D778" s="10" t="s">
        <v>159</v>
      </c>
      <c r="E778" s="11" t="str">
        <f t="array" ref="E778">_xlfn.XLOOKUP(D778,Insumos!B:B,Insumos!C:$C)</f>
        <v>KG</v>
      </c>
      <c r="F778" s="14">
        <v>1</v>
      </c>
      <c r="G778" s="87">
        <f t="array" ref="G778">IF(B778="insumo",_xlfn.XLOOKUP($D778,Insumos!$B$1:$B$996,Insumos!$D$1:$D$996),"")</f>
        <v>0.76</v>
      </c>
      <c r="H778" s="87">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336">
        <v>1</v>
      </c>
      <c r="B779" s="336" t="s">
        <v>67</v>
      </c>
      <c r="C779" s="336" t="s">
        <v>1663</v>
      </c>
      <c r="D779" s="336" t="s">
        <v>1663</v>
      </c>
      <c r="E779" s="337" t="s">
        <v>151</v>
      </c>
      <c r="F779" s="336"/>
      <c r="G779" s="338" t="str">
        <f t="array" ref="G779">IF(B779="insumo",_xlfn.XLOOKUP($D779,Insumos!$B$1:$B$996,Insumos!$D$1:$D$996),"")</f>
        <v/>
      </c>
      <c r="H779" s="338">
        <v>132.622633613793</v>
      </c>
      <c r="I779" s="339">
        <v>0</v>
      </c>
      <c r="J779" s="339">
        <v>0</v>
      </c>
      <c r="K779" s="339"/>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77">
        <v>9</v>
      </c>
      <c r="B780" s="77" t="s">
        <v>70</v>
      </c>
      <c r="C780" s="77" t="s">
        <v>1663</v>
      </c>
      <c r="D780" s="77" t="s">
        <v>310</v>
      </c>
      <c r="E780" s="11" t="str">
        <f t="array" ref="E780">_xlfn.XLOOKUP(D780,Insumos!B:B,Insumos!C:$C)</f>
        <v>M2</v>
      </c>
      <c r="F780" s="81">
        <v>1.1000000000000001</v>
      </c>
      <c r="G780" s="87">
        <f t="array" ref="G780">IF(B780="insumo",_xlfn.XLOOKUP($D780,Insumos!$B$1:$B$996,Insumos!$D$1:$D$996),"")</f>
        <v>2.3025000000000002</v>
      </c>
      <c r="H780" s="87">
        <v>2.5327500000000001</v>
      </c>
      <c r="I780" s="79">
        <v>0</v>
      </c>
      <c r="J780" s="79">
        <v>0</v>
      </c>
      <c r="K780" s="79"/>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77">
        <v>40</v>
      </c>
      <c r="B781" s="77" t="s">
        <v>70</v>
      </c>
      <c r="C781" s="77" t="s">
        <v>1663</v>
      </c>
      <c r="D781" s="77" t="s">
        <v>86</v>
      </c>
      <c r="E781" s="11" t="str">
        <f t="array" ref="E781">_xlfn.XLOOKUP(D781,Insumos!B:B,Insumos!C:$C)</f>
        <v>KG</v>
      </c>
      <c r="F781" s="81">
        <v>0.02</v>
      </c>
      <c r="G781" s="87">
        <f t="array" ref="G781">IF(B781="insumo",_xlfn.XLOOKUP($D781,Insumos!$B$1:$B$996,Insumos!$D$1:$D$996),"")</f>
        <v>18.13</v>
      </c>
      <c r="H781" s="87">
        <v>0.36259999999999998</v>
      </c>
      <c r="I781" s="79">
        <v>0</v>
      </c>
      <c r="J781" s="79">
        <v>0</v>
      </c>
      <c r="K781" s="79"/>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77">
        <v>1</v>
      </c>
      <c r="B782" s="77" t="s">
        <v>70</v>
      </c>
      <c r="C782" s="77" t="s">
        <v>1663</v>
      </c>
      <c r="D782" s="77" t="s">
        <v>1664</v>
      </c>
      <c r="E782" s="11" t="str">
        <f t="array" ref="E782">_xlfn.XLOOKUP(D782,Insumos!B:B,Insumos!C:$C)</f>
        <v>pc</v>
      </c>
      <c r="F782" s="81">
        <f>(546*0.5)/113.5</f>
        <v>2.4052863436123348</v>
      </c>
      <c r="G782" s="87">
        <f t="array" ref="G782">IF(B782="insumo",_xlfn.XLOOKUP($D782,Insumos!$B$1:$B$996,Insumos!$D$1:$D$996),"")</f>
        <v>3.82</v>
      </c>
      <c r="H782" s="87">
        <v>9.1881938325991204</v>
      </c>
      <c r="I782" s="79">
        <v>0</v>
      </c>
      <c r="J782" s="79">
        <v>0</v>
      </c>
      <c r="K782" s="79"/>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77">
        <v>2</v>
      </c>
      <c r="B783" s="77" t="s">
        <v>70</v>
      </c>
      <c r="C783" s="77" t="s">
        <v>1663</v>
      </c>
      <c r="D783" s="77" t="s">
        <v>1665</v>
      </c>
      <c r="E783" s="11" t="str">
        <f t="array" ref="E783">_xlfn.XLOOKUP(D783,Insumos!B:B,Insumos!C:$C)</f>
        <v>KG</v>
      </c>
      <c r="F783" s="81">
        <v>5.0039845810509238</v>
      </c>
      <c r="G783" s="87">
        <f t="array" ref="G783">IF(B783="insumo",_xlfn.XLOOKUP($D783,Insumos!$B$1:$B$996,Insumos!$D$1:$D$996),"")</f>
        <v>8.5370370370370363</v>
      </c>
      <c r="H783" s="87">
        <v>42.719201701194002</v>
      </c>
      <c r="I783" s="79">
        <v>0</v>
      </c>
      <c r="J783" s="79">
        <v>0</v>
      </c>
      <c r="K783" s="79"/>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77">
        <v>1</v>
      </c>
      <c r="B784" s="77" t="s">
        <v>70</v>
      </c>
      <c r="C784" s="77" t="s">
        <v>1663</v>
      </c>
      <c r="D784" s="77" t="s">
        <v>1666</v>
      </c>
      <c r="E784" s="11" t="str">
        <f t="array" ref="E784">_xlfn.XLOOKUP(D784,Insumos!B:B,Insumos!C:$C)</f>
        <v>un</v>
      </c>
      <c r="F784" s="81">
        <v>3.4E-5</v>
      </c>
      <c r="G784" s="87">
        <f t="array" ref="G784">IF(B784="insumo",_xlfn.XLOOKUP($D784,Insumos!$B$1:$B$996,Insumos!$D$1:$D$996),"")</f>
        <v>21.12</v>
      </c>
      <c r="H784" s="87">
        <v>7.1807999999999996E-4</v>
      </c>
      <c r="I784" s="79">
        <v>0</v>
      </c>
      <c r="J784" s="79">
        <v>0</v>
      </c>
      <c r="K784" s="79"/>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77">
        <v>6</v>
      </c>
      <c r="B785" s="77" t="s">
        <v>70</v>
      </c>
      <c r="C785" s="77" t="s">
        <v>1663</v>
      </c>
      <c r="D785" s="77" t="s">
        <v>250</v>
      </c>
      <c r="E785" s="11" t="str">
        <f t="array" ref="E785">_xlfn.XLOOKUP(D785,Insumos!B:B,Insumos!C:$C)</f>
        <v>M3</v>
      </c>
      <c r="F785" s="81">
        <v>0.11</v>
      </c>
      <c r="G785" s="87">
        <f t="array" ref="G785">IF(B785="insumo",_xlfn.XLOOKUP($D785,Insumos!$B$1:$B$996,Insumos!$D$1:$D$996),"")</f>
        <v>604.73</v>
      </c>
      <c r="H785" s="87">
        <v>66.520300000000006</v>
      </c>
      <c r="I785" s="79">
        <v>0</v>
      </c>
      <c r="J785" s="79">
        <v>0</v>
      </c>
      <c r="K785" s="79"/>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77">
        <v>1</v>
      </c>
      <c r="B786" s="77" t="s">
        <v>70</v>
      </c>
      <c r="C786" s="77" t="s">
        <v>1663</v>
      </c>
      <c r="D786" s="77" t="s">
        <v>1667</v>
      </c>
      <c r="E786" s="11" t="str">
        <f t="array" ref="E786">_xlfn.XLOOKUP(D786,Insumos!B:B,Insumos!C:$C)</f>
        <v>UN</v>
      </c>
      <c r="F786" s="81">
        <v>0.33329999999999999</v>
      </c>
      <c r="G786" s="87">
        <f t="array" ref="G786">IF(B786="insumo",_xlfn.XLOOKUP($D786,Insumos!$B$1:$B$996,Insumos!$D$1:$D$996),"")</f>
        <v>33.9</v>
      </c>
      <c r="H786" s="87">
        <v>11.298870000000001</v>
      </c>
      <c r="I786" s="79">
        <v>0</v>
      </c>
      <c r="J786" s="79">
        <v>0</v>
      </c>
      <c r="K786" s="79"/>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332">
        <v>1</v>
      </c>
      <c r="B787" s="332" t="s">
        <v>67</v>
      </c>
      <c r="C787" s="332" t="s">
        <v>305</v>
      </c>
      <c r="D787" s="332" t="s">
        <v>305</v>
      </c>
      <c r="E787" s="333" t="s">
        <v>69</v>
      </c>
      <c r="F787" s="332"/>
      <c r="G787" s="334" t="str">
        <f t="array" ref="G787">IF(B787="insumo",_xlfn.XLOOKUP($D787,Insumos!$B$1:$B$996,Insumos!$D$1:$D$996),"")</f>
        <v/>
      </c>
      <c r="H787" s="334">
        <v>169.3082</v>
      </c>
      <c r="I787" s="335">
        <v>0</v>
      </c>
      <c r="J787" s="335">
        <v>0</v>
      </c>
      <c r="K787" s="335"/>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70</v>
      </c>
      <c r="C788" s="10" t="s">
        <v>305</v>
      </c>
      <c r="D788" s="10" t="s">
        <v>306</v>
      </c>
      <c r="E788" s="11" t="str">
        <f t="array" ref="E788">_xlfn.XLOOKUP(D788,Insumos!B:B,Insumos!C:$C)</f>
        <v>M2</v>
      </c>
      <c r="F788" s="14">
        <v>1</v>
      </c>
      <c r="G788" s="87">
        <f t="array" ref="G788">IF(B788="insumo",_xlfn.XLOOKUP($D788,Insumos!$B$1:$B$996,Insumos!$D$1:$D$996),"")</f>
        <v>59.4</v>
      </c>
      <c r="H788" s="87">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70</v>
      </c>
      <c r="C789" s="10" t="s">
        <v>305</v>
      </c>
      <c r="D789" s="10" t="s">
        <v>274</v>
      </c>
      <c r="E789" s="11" t="str">
        <f t="array" ref="E789">_xlfn.XLOOKUP(D789,Insumos!B:B,Insumos!C:$C)</f>
        <v>M</v>
      </c>
      <c r="F789" s="14">
        <v>1.87</v>
      </c>
      <c r="G789" s="87">
        <f t="array" ref="G789">IF(B789="insumo",_xlfn.XLOOKUP($D789,Insumos!$B$1:$B$996,Insumos!$D$1:$D$996),"")</f>
        <v>42.46</v>
      </c>
      <c r="H789" s="87">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70</v>
      </c>
      <c r="C790" s="10" t="s">
        <v>305</v>
      </c>
      <c r="D790" s="10" t="s">
        <v>307</v>
      </c>
      <c r="E790" s="11" t="str">
        <f t="array" ref="E790">_xlfn.XLOOKUP(D790,Insumos!B:B,Insumos!C:$C)</f>
        <v>KG</v>
      </c>
      <c r="F790" s="14">
        <v>0.04</v>
      </c>
      <c r="G790" s="87">
        <f t="array" ref="G790">IF(B790="insumo",_xlfn.XLOOKUP($D790,Insumos!$B$1:$B$996,Insumos!$D$1:$D$996),"")</f>
        <v>12.7</v>
      </c>
      <c r="H790" s="87">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70</v>
      </c>
      <c r="C791" s="10" t="s">
        <v>305</v>
      </c>
      <c r="D791" s="10" t="s">
        <v>308</v>
      </c>
      <c r="E791" s="11" t="str">
        <f t="array" ref="E791">_xlfn.XLOOKUP(D791,Insumos!B:B,Insumos!C:$C)</f>
        <v>M2</v>
      </c>
      <c r="F791" s="14">
        <v>1</v>
      </c>
      <c r="G791" s="87">
        <f t="array" ref="G791">IF(B791="insumo",_xlfn.XLOOKUP($D791,Insumos!$B$1:$B$996,Insumos!$D$1:$D$996),"")</f>
        <v>30</v>
      </c>
      <c r="H791" s="87">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355">
        <v>1</v>
      </c>
      <c r="B792" s="355" t="s">
        <v>1227</v>
      </c>
      <c r="C792" s="355" t="s">
        <v>305</v>
      </c>
      <c r="D792" s="355" t="s">
        <v>1672</v>
      </c>
      <c r="E792" s="356"/>
      <c r="F792" s="357"/>
      <c r="G792" s="356"/>
      <c r="H792" s="356">
        <v>0</v>
      </c>
      <c r="I792" s="357">
        <v>0</v>
      </c>
      <c r="J792" s="357">
        <v>0</v>
      </c>
      <c r="K792" s="357"/>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332">
        <v>1</v>
      </c>
      <c r="B793" s="332" t="s">
        <v>67</v>
      </c>
      <c r="C793" s="332" t="s">
        <v>309</v>
      </c>
      <c r="D793" s="332" t="s">
        <v>309</v>
      </c>
      <c r="E793" s="333" t="s">
        <v>69</v>
      </c>
      <c r="F793" s="332"/>
      <c r="G793" s="334" t="str">
        <f t="array" ref="G793">IF(B793="insumo",_xlfn.XLOOKUP($D793,Insumos!$B$1:$B$996,Insumos!$D$1:$D$996),"")</f>
        <v/>
      </c>
      <c r="H793" s="334">
        <v>2.7629999999999999</v>
      </c>
      <c r="I793" s="335">
        <v>0</v>
      </c>
      <c r="J793" s="335">
        <v>0</v>
      </c>
      <c r="K793" s="335"/>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70</v>
      </c>
      <c r="C794" s="10" t="s">
        <v>309</v>
      </c>
      <c r="D794" s="10" t="s">
        <v>310</v>
      </c>
      <c r="E794" s="11" t="str">
        <f t="array" ref="E794">_xlfn.XLOOKUP(D794,Insumos!B:B,Insumos!C:$C)</f>
        <v>M2</v>
      </c>
      <c r="F794" s="14">
        <v>1.2</v>
      </c>
      <c r="G794" s="87">
        <f t="array" ref="G794">IF(B794="insumo",_xlfn.XLOOKUP($D794,Insumos!$B$1:$B$996,Insumos!$D$1:$D$996),"")</f>
        <v>2.3025000000000002</v>
      </c>
      <c r="H794" s="87">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332">
        <v>1</v>
      </c>
      <c r="B795" s="332" t="s">
        <v>67</v>
      </c>
      <c r="C795" s="332" t="s">
        <v>311</v>
      </c>
      <c r="D795" s="332" t="s">
        <v>311</v>
      </c>
      <c r="E795" s="333" t="s">
        <v>69</v>
      </c>
      <c r="F795" s="332"/>
      <c r="G795" s="334" t="str">
        <f t="array" ref="G795">IF(B795="insumo",_xlfn.XLOOKUP($D795,Insumos!$B$1:$B$996,Insumos!$D$1:$D$996),"")</f>
        <v/>
      </c>
      <c r="H795" s="334">
        <v>11.499840000000001</v>
      </c>
      <c r="I795" s="335">
        <v>0</v>
      </c>
      <c r="J795" s="335">
        <v>0</v>
      </c>
      <c r="K795" s="335"/>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70</v>
      </c>
      <c r="C796" s="10" t="s">
        <v>311</v>
      </c>
      <c r="D796" s="10" t="s">
        <v>312</v>
      </c>
      <c r="E796" s="11" t="str">
        <f t="array" ref="E796">_xlfn.XLOOKUP(D796,Insumos!B:B,Insumos!C:$C)</f>
        <v>KG</v>
      </c>
      <c r="F796" s="14">
        <v>1.9359999999999999</v>
      </c>
      <c r="G796" s="87">
        <f t="array" ref="G796">IF(B796="insumo",_xlfn.XLOOKUP($D796,Insumos!$B$1:$B$996,Insumos!$D$1:$D$996),"")</f>
        <v>4.4400000000000004</v>
      </c>
      <c r="H796" s="87">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70</v>
      </c>
      <c r="C797" s="10" t="s">
        <v>311</v>
      </c>
      <c r="D797" s="10" t="s">
        <v>313</v>
      </c>
      <c r="E797" s="11" t="str">
        <f t="array" ref="E797">_xlfn.XLOOKUP(D797,Insumos!B:B,Insumos!C:$C)</f>
        <v>KG</v>
      </c>
      <c r="F797" s="14">
        <v>1.9359999999999999</v>
      </c>
      <c r="G797" s="87">
        <f t="array" ref="G797">IF(B797="insumo",_xlfn.XLOOKUP($D797,Insumos!$B$1:$B$996,Insumos!$D$1:$D$996),"")</f>
        <v>0.4</v>
      </c>
      <c r="H797" s="87">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70</v>
      </c>
      <c r="C798" s="10" t="s">
        <v>311</v>
      </c>
      <c r="D798" s="10" t="s">
        <v>314</v>
      </c>
      <c r="E798" s="11" t="str">
        <f t="array" ref="E798">_xlfn.XLOOKUP(D798,Insumos!B:B,Insumos!C:$C)</f>
        <v>KG</v>
      </c>
      <c r="F798" s="14">
        <v>1.9359999999999999</v>
      </c>
      <c r="G798" s="87">
        <f t="array" ref="G798">IF(B798="insumo",_xlfn.XLOOKUP($D798,Insumos!$B$1:$B$996,Insumos!$D$1:$D$996),"")</f>
        <v>0.4</v>
      </c>
      <c r="H798" s="87">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70</v>
      </c>
      <c r="C799" s="10" t="s">
        <v>311</v>
      </c>
      <c r="D799" s="10" t="s">
        <v>315</v>
      </c>
      <c r="E799" s="11" t="str">
        <f t="array" ref="E799">_xlfn.XLOOKUP(D799,Insumos!B:B,Insumos!C:$C)</f>
        <v>KG</v>
      </c>
      <c r="F799" s="14">
        <v>1.9359999999999999</v>
      </c>
      <c r="G799" s="87">
        <f t="array" ref="G799">IF(B799="insumo",_xlfn.XLOOKUP($D799,Insumos!$B$1:$B$996,Insumos!$D$1:$D$996),"")</f>
        <v>0.2</v>
      </c>
      <c r="H799" s="87">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70</v>
      </c>
      <c r="C800" s="10" t="s">
        <v>311</v>
      </c>
      <c r="D800" s="10" t="s">
        <v>316</v>
      </c>
      <c r="E800" s="11" t="str">
        <f t="array" ref="E800">_xlfn.XLOOKUP(D800,Insumos!B:B,Insumos!C:$C)</f>
        <v>UN</v>
      </c>
      <c r="F800" s="14">
        <v>1.9359999999999999</v>
      </c>
      <c r="G800" s="87">
        <f t="array" ref="G800">IF(B800="insumo",_xlfn.XLOOKUP($D800,Insumos!$B$1:$B$996,Insumos!$D$1:$D$996),"")</f>
        <v>0.5</v>
      </c>
      <c r="H800" s="87">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332">
        <v>1</v>
      </c>
      <c r="B801" s="332" t="s">
        <v>67</v>
      </c>
      <c r="C801" s="332" t="s">
        <v>317</v>
      </c>
      <c r="D801" s="332" t="s">
        <v>317</v>
      </c>
      <c r="E801" s="333" t="s">
        <v>69</v>
      </c>
      <c r="F801" s="332"/>
      <c r="G801" s="334" t="str">
        <f t="array" ref="G801">IF(B801="insumo",_xlfn.XLOOKUP($D801,Insumos!$B$1:$B$996,Insumos!$D$1:$D$996),"")</f>
        <v/>
      </c>
      <c r="H801" s="334">
        <v>11.47875</v>
      </c>
      <c r="I801" s="335">
        <v>0</v>
      </c>
      <c r="J801" s="335">
        <v>0</v>
      </c>
      <c r="K801" s="335"/>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70</v>
      </c>
      <c r="C802" s="10" t="s">
        <v>317</v>
      </c>
      <c r="D802" s="10" t="s">
        <v>318</v>
      </c>
      <c r="E802" s="11" t="str">
        <f t="array" ref="E802">_xlfn.XLOOKUP(D802,Insumos!B:B,Insumos!C:$C)</f>
        <v>UN</v>
      </c>
      <c r="F802" s="14">
        <v>0.253</v>
      </c>
      <c r="G802" s="87">
        <f t="array" ref="G802">IF(B802="insumo",_xlfn.XLOOKUP($D802,Insumos!$B$1:$B$996,Insumos!$D$1:$D$996),"")</f>
        <v>12.5</v>
      </c>
      <c r="H802" s="87">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70</v>
      </c>
      <c r="C803" s="10" t="s">
        <v>317</v>
      </c>
      <c r="D803" s="10" t="s">
        <v>319</v>
      </c>
      <c r="E803" s="11" t="str">
        <f t="array" ref="E803">_xlfn.XLOOKUP(D803,Insumos!B:B,Insumos!C:$C)</f>
        <v>PAR</v>
      </c>
      <c r="F803" s="14">
        <v>0.25</v>
      </c>
      <c r="G803" s="87">
        <f t="array" ref="G803">IF(B803="insumo",_xlfn.XLOOKUP($D803,Insumos!$B$1:$B$996,Insumos!$D$1:$D$996),"")</f>
        <v>9.1300000000000008</v>
      </c>
      <c r="H803" s="87">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70</v>
      </c>
      <c r="C804" s="10" t="s">
        <v>317</v>
      </c>
      <c r="D804" s="10" t="s">
        <v>320</v>
      </c>
      <c r="E804" s="11" t="str">
        <f t="array" ref="E804">_xlfn.XLOOKUP(D804,Insumos!B:B,Insumos!C:$C)</f>
        <v>UN</v>
      </c>
      <c r="F804" s="14">
        <v>1.4999999999999999E-2</v>
      </c>
      <c r="G804" s="87">
        <f t="array" ref="G804">IF(B804="insumo",_xlfn.XLOOKUP($D804,Insumos!$B$1:$B$996,Insumos!$D$1:$D$996),"")</f>
        <v>2.85</v>
      </c>
      <c r="H804" s="87">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70</v>
      </c>
      <c r="C805" s="10" t="s">
        <v>317</v>
      </c>
      <c r="D805" s="10" t="s">
        <v>321</v>
      </c>
      <c r="E805" s="11" t="str">
        <f t="array" ref="E805">_xlfn.XLOOKUP(D805,Insumos!B:B,Insumos!C:$C)</f>
        <v>UN</v>
      </c>
      <c r="F805" s="14">
        <v>1.4999999999999999E-2</v>
      </c>
      <c r="G805" s="87">
        <f t="array" ref="G805">IF(B805="insumo",_xlfn.XLOOKUP($D805,Insumos!$B$1:$B$996,Insumos!$D$1:$D$996),"")</f>
        <v>1.42</v>
      </c>
      <c r="H805" s="87">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70</v>
      </c>
      <c r="C806" s="10" t="s">
        <v>317</v>
      </c>
      <c r="D806" s="10" t="s">
        <v>322</v>
      </c>
      <c r="E806" s="11" t="str">
        <f t="array" ref="E806">_xlfn.XLOOKUP(D806,Insumos!B:B,Insumos!C:$C)</f>
        <v>UN</v>
      </c>
      <c r="F806" s="14">
        <v>1.4999999999999999E-2</v>
      </c>
      <c r="G806" s="87">
        <f t="array" ref="G806">IF(B806="insumo",_xlfn.XLOOKUP($D806,Insumos!$B$1:$B$996,Insumos!$D$1:$D$996),"")</f>
        <v>5.68</v>
      </c>
      <c r="H806" s="87">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70</v>
      </c>
      <c r="C807" s="10" t="s">
        <v>317</v>
      </c>
      <c r="D807" s="10" t="s">
        <v>323</v>
      </c>
      <c r="E807" s="11" t="str">
        <f t="array" ref="E807">_xlfn.XLOOKUP(D807,Insumos!B:B,Insumos!C:$C)</f>
        <v>PAR</v>
      </c>
      <c r="F807" s="14">
        <v>1.4999999999999999E-2</v>
      </c>
      <c r="G807" s="87">
        <f t="array" ref="G807">IF(B807="insumo",_xlfn.XLOOKUP($D807,Insumos!$B$1:$B$996,Insumos!$D$1:$D$996),"")</f>
        <v>2.2999999999999998</v>
      </c>
      <c r="H807" s="87">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70</v>
      </c>
      <c r="C808" s="10" t="s">
        <v>317</v>
      </c>
      <c r="D808" s="10" t="s">
        <v>324</v>
      </c>
      <c r="E808" s="11" t="str">
        <f t="array" ref="E808">_xlfn.XLOOKUP(D808,Insumos!B:B,Insumos!C:$C)</f>
        <v>PAR</v>
      </c>
      <c r="F808" s="14">
        <v>1.3</v>
      </c>
      <c r="G808" s="87">
        <f t="array" ref="G808">IF(B808="insumo",_xlfn.XLOOKUP($D808,Insumos!$B$1:$B$996,Insumos!$D$1:$D$996),"")</f>
        <v>3.4</v>
      </c>
      <c r="H808" s="87">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70</v>
      </c>
      <c r="C809" s="10" t="s">
        <v>317</v>
      </c>
      <c r="D809" s="10" t="s">
        <v>325</v>
      </c>
      <c r="E809" s="11" t="str">
        <f t="array" ref="E809">_xlfn.XLOOKUP(D809,Insumos!B:B,Insumos!C:$C)</f>
        <v>PAR</v>
      </c>
      <c r="F809" s="14">
        <v>1.3</v>
      </c>
      <c r="G809" s="87">
        <f t="array" ref="G809">IF(B809="insumo",_xlfn.XLOOKUP($D809,Insumos!$B$1:$B$996,Insumos!$D$1:$D$996),"")</f>
        <v>1.1000000000000001</v>
      </c>
      <c r="H809" s="87">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332">
        <v>2</v>
      </c>
      <c r="B810" s="332" t="s">
        <v>67</v>
      </c>
      <c r="C810" s="332" t="s">
        <v>326</v>
      </c>
      <c r="D810" s="332" t="s">
        <v>326</v>
      </c>
      <c r="E810" s="333" t="s">
        <v>151</v>
      </c>
      <c r="F810" s="332"/>
      <c r="G810" s="334" t="str">
        <f t="array" ref="G810">IF(B810="insumo",_xlfn.XLOOKUP($D810,Insumos!$B$1:$B$996,Insumos!$D$1:$D$996),"")</f>
        <v/>
      </c>
      <c r="H810" s="334">
        <v>44.255375999999998</v>
      </c>
      <c r="I810" s="335">
        <v>0</v>
      </c>
      <c r="J810" s="335">
        <v>0</v>
      </c>
      <c r="K810" s="335"/>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70</v>
      </c>
      <c r="C811" s="10" t="s">
        <v>326</v>
      </c>
      <c r="D811" s="10" t="s">
        <v>327</v>
      </c>
      <c r="E811" s="11" t="str">
        <f t="array" ref="E811">_xlfn.XLOOKUP(D811,Insumos!B:B,Insumos!C:$C)</f>
        <v>UN/MÊS</v>
      </c>
      <c r="F811" s="14">
        <f>ROUNDUP(1/(0.6*0.6),2)</f>
        <v>2.78</v>
      </c>
      <c r="G811" s="87">
        <f t="array" ref="G811">IF(B811="insumo",_xlfn.XLOOKUP($D811,Insumos!$B$1:$B$996,Insumos!$D$1:$D$996),"")</f>
        <v>5.3064</v>
      </c>
      <c r="H811" s="87">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332">
        <v>2</v>
      </c>
      <c r="B812" s="332" t="s">
        <v>67</v>
      </c>
      <c r="C812" s="332" t="s">
        <v>328</v>
      </c>
      <c r="D812" s="332" t="s">
        <v>328</v>
      </c>
      <c r="E812" s="333" t="s">
        <v>151</v>
      </c>
      <c r="F812" s="332"/>
      <c r="G812" s="334" t="str">
        <f t="array" ref="G812">IF(B812="insumo",_xlfn.XLOOKUP($D812,Insumos!$B$1:$B$996,Insumos!$D$1:$D$996),"")</f>
        <v/>
      </c>
      <c r="H812" s="334">
        <v>118298.43</v>
      </c>
      <c r="I812" s="335">
        <v>0</v>
      </c>
      <c r="J812" s="335">
        <v>0</v>
      </c>
      <c r="K812" s="335"/>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70</v>
      </c>
      <c r="C813" s="10" t="s">
        <v>328</v>
      </c>
      <c r="D813" s="10" t="str">
        <f>D812</f>
        <v>Manutenção de cubetas proprias</v>
      </c>
      <c r="E813" s="11" t="str">
        <f t="array" ref="E813">_xlfn.XLOOKUP(D813,Insumos!B:B,Insumos!C:$C)</f>
        <v>VB</v>
      </c>
      <c r="F813" s="14">
        <v>1</v>
      </c>
      <c r="G813" s="87">
        <f t="array" ref="G813">IF(B813="insumo",_xlfn.XLOOKUP($D813,Insumos!$B$1:$B$996,Insumos!$D$1:$D$996),"")</f>
        <v>39432.81</v>
      </c>
      <c r="H813" s="87">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336">
        <v>1</v>
      </c>
      <c r="B814" s="336" t="s">
        <v>67</v>
      </c>
      <c r="C814" s="336" t="s">
        <v>1700</v>
      </c>
      <c r="D814" s="336" t="s">
        <v>1700</v>
      </c>
      <c r="E814" s="337" t="s">
        <v>1701</v>
      </c>
      <c r="F814" s="336"/>
      <c r="G814" s="338" t="str">
        <f t="array" ref="G814">IF(B814="insumo",_xlfn.XLOOKUP($D814,Insumos!$B$1:$B$996,Insumos!$D$1:$D$996),"")</f>
        <v/>
      </c>
      <c r="H814" s="338">
        <v>125.072312252964</v>
      </c>
      <c r="I814" s="339">
        <v>0</v>
      </c>
      <c r="J814" s="339">
        <v>0</v>
      </c>
      <c r="K814" s="339"/>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77">
        <v>3</v>
      </c>
      <c r="B815" s="77" t="s">
        <v>70</v>
      </c>
      <c r="C815" s="77" t="s">
        <v>1700</v>
      </c>
      <c r="D815" s="77" t="s">
        <v>318</v>
      </c>
      <c r="E815" s="11" t="str">
        <f t="array" ref="E815">_xlfn.XLOOKUP(D815,Insumos!B:B,Insumos!C:$C)</f>
        <v>UN</v>
      </c>
      <c r="F815" s="81">
        <v>1</v>
      </c>
      <c r="G815" s="87">
        <f t="array" ref="G815">IF(B815="insumo",_xlfn.XLOOKUP($D815,Insumos!$B$1:$B$996,Insumos!$D$1:$D$996),"")</f>
        <v>12.5</v>
      </c>
      <c r="H815" s="87">
        <v>12.5</v>
      </c>
      <c r="I815" s="79">
        <v>0</v>
      </c>
      <c r="J815" s="79">
        <v>0</v>
      </c>
      <c r="K815" s="79"/>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77">
        <v>3</v>
      </c>
      <c r="B816" s="77" t="s">
        <v>70</v>
      </c>
      <c r="C816" s="77" t="s">
        <v>1700</v>
      </c>
      <c r="D816" s="77" t="s">
        <v>319</v>
      </c>
      <c r="E816" s="11" t="str">
        <f t="array" ref="E816">_xlfn.XLOOKUP(D816,Insumos!B:B,Insumos!C:$C)</f>
        <v>PAR</v>
      </c>
      <c r="F816" s="81">
        <v>1</v>
      </c>
      <c r="G816" s="87">
        <f t="array" ref="G816">IF(B816="insumo",_xlfn.XLOOKUP($D816,Insumos!$B$1:$B$996,Insumos!$D$1:$D$996),"")</f>
        <v>9.1300000000000008</v>
      </c>
      <c r="H816" s="87">
        <v>9.1300000000000008</v>
      </c>
      <c r="I816" s="79">
        <v>0</v>
      </c>
      <c r="J816" s="79">
        <v>0</v>
      </c>
      <c r="K816" s="79"/>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77">
        <v>3</v>
      </c>
      <c r="B817" s="77" t="s">
        <v>70</v>
      </c>
      <c r="C817" s="77" t="s">
        <v>1700</v>
      </c>
      <c r="D817" s="77" t="s">
        <v>320</v>
      </c>
      <c r="E817" s="11" t="str">
        <f t="array" ref="E817">_xlfn.XLOOKUP(D817,Insumos!B:B,Insumos!C:$C)</f>
        <v>UN</v>
      </c>
      <c r="F817" s="81">
        <v>4.7430830039525684</v>
      </c>
      <c r="G817" s="87">
        <f t="array" ref="G817">IF(B817="insumo",_xlfn.XLOOKUP($D817,Insumos!$B$1:$B$996,Insumos!$D$1:$D$996),"")</f>
        <v>2.85</v>
      </c>
      <c r="H817" s="87">
        <v>13.517786561264799</v>
      </c>
      <c r="I817" s="79">
        <v>0</v>
      </c>
      <c r="J817" s="79">
        <v>0</v>
      </c>
      <c r="K817" s="79"/>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77">
        <v>3</v>
      </c>
      <c r="B818" s="77" t="s">
        <v>70</v>
      </c>
      <c r="C818" s="77" t="s">
        <v>1700</v>
      </c>
      <c r="D818" s="77" t="s">
        <v>321</v>
      </c>
      <c r="E818" s="11" t="str">
        <f t="array" ref="E818">_xlfn.XLOOKUP(D818,Insumos!B:B,Insumos!C:$C)</f>
        <v>UN</v>
      </c>
      <c r="F818" s="81">
        <v>4.7430830039525684</v>
      </c>
      <c r="G818" s="87">
        <f t="array" ref="G818">IF(B818="insumo",_xlfn.XLOOKUP($D818,Insumos!$B$1:$B$996,Insumos!$D$1:$D$996),"")</f>
        <v>1.42</v>
      </c>
      <c r="H818" s="87">
        <v>6.7351778656126502</v>
      </c>
      <c r="I818" s="79">
        <v>0</v>
      </c>
      <c r="J818" s="79">
        <v>0</v>
      </c>
      <c r="K818" s="79"/>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77">
        <v>2</v>
      </c>
      <c r="B819" s="77" t="s">
        <v>70</v>
      </c>
      <c r="C819" s="77" t="s">
        <v>1700</v>
      </c>
      <c r="D819" s="77" t="s">
        <v>1669</v>
      </c>
      <c r="E819" s="11" t="str">
        <f t="array" ref="E819">_xlfn.XLOOKUP(D819,Insumos!B:B,Insumos!C:$C)</f>
        <v>KG</v>
      </c>
      <c r="F819" s="81">
        <v>1.05</v>
      </c>
      <c r="G819" s="87">
        <f t="array" ref="G819">IF(B819="insumo",_xlfn.XLOOKUP($D819,Insumos!$B$1:$B$996,Insumos!$D$1:$D$996),"")</f>
        <v>15.5</v>
      </c>
      <c r="H819" s="87">
        <v>16.274999999999999</v>
      </c>
      <c r="I819" s="79">
        <v>0</v>
      </c>
      <c r="J819" s="79">
        <v>0</v>
      </c>
      <c r="K819" s="79"/>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77">
        <v>3</v>
      </c>
      <c r="B820" s="77" t="s">
        <v>70</v>
      </c>
      <c r="C820" s="77" t="s">
        <v>1700</v>
      </c>
      <c r="D820" s="77" t="s">
        <v>322</v>
      </c>
      <c r="E820" s="11" t="str">
        <f t="array" ref="E820">_xlfn.XLOOKUP(D820,Insumos!B:B,Insumos!C:$C)</f>
        <v>UN</v>
      </c>
      <c r="F820" s="81">
        <v>7.6521739130434776</v>
      </c>
      <c r="G820" s="87">
        <f t="array" ref="G820">IF(B820="insumo",_xlfn.XLOOKUP($D820,Insumos!$B$1:$B$996,Insumos!$D$1:$D$996),"")</f>
        <v>5.68</v>
      </c>
      <c r="H820" s="87">
        <v>43.464347826087</v>
      </c>
      <c r="I820" s="79">
        <v>0</v>
      </c>
      <c r="J820" s="79">
        <v>0</v>
      </c>
      <c r="K820" s="79"/>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77">
        <v>3</v>
      </c>
      <c r="B821" s="77" t="s">
        <v>70</v>
      </c>
      <c r="C821" s="77" t="s">
        <v>1700</v>
      </c>
      <c r="D821" s="77" t="s">
        <v>323</v>
      </c>
      <c r="E821" s="11" t="str">
        <f t="array" ref="E821">_xlfn.XLOOKUP(D821,Insumos!B:B,Insumos!C:$C)</f>
        <v>PAR</v>
      </c>
      <c r="F821" s="81">
        <v>7.6521739130434776</v>
      </c>
      <c r="G821" s="87">
        <f t="array" ref="G821">IF(B821="insumo",_xlfn.XLOOKUP($D821,Insumos!$B$1:$B$996,Insumos!$D$1:$D$996),"")</f>
        <v>2.2999999999999998</v>
      </c>
      <c r="H821" s="87">
        <v>17.600000000000001</v>
      </c>
      <c r="I821" s="79">
        <v>0</v>
      </c>
      <c r="J821" s="79">
        <v>0</v>
      </c>
      <c r="K821" s="79"/>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77">
        <v>3</v>
      </c>
      <c r="B822" s="77" t="s">
        <v>70</v>
      </c>
      <c r="C822" s="77" t="s">
        <v>1700</v>
      </c>
      <c r="D822" s="77" t="s">
        <v>324</v>
      </c>
      <c r="E822" s="11" t="str">
        <f t="array" ref="E822">_xlfn.XLOOKUP(D822,Insumos!B:B,Insumos!C:$C)</f>
        <v>PAR</v>
      </c>
      <c r="F822" s="81">
        <v>1.3</v>
      </c>
      <c r="G822" s="87">
        <f t="array" ref="G822">IF(B822="insumo",_xlfn.XLOOKUP($D822,Insumos!$B$1:$B$996,Insumos!$D$1:$D$996),"")</f>
        <v>3.4</v>
      </c>
      <c r="H822" s="87">
        <v>4.42</v>
      </c>
      <c r="I822" s="79">
        <v>0</v>
      </c>
      <c r="J822" s="79">
        <v>0</v>
      </c>
      <c r="K822" s="79"/>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77">
        <v>3</v>
      </c>
      <c r="B823" s="77" t="s">
        <v>70</v>
      </c>
      <c r="C823" s="77" t="s">
        <v>1700</v>
      </c>
      <c r="D823" s="77" t="s">
        <v>325</v>
      </c>
      <c r="E823" s="11" t="str">
        <f t="array" ref="E823">_xlfn.XLOOKUP(D823,Insumos!B:B,Insumos!C:$C)</f>
        <v>PAR</v>
      </c>
      <c r="F823" s="81">
        <v>1.3</v>
      </c>
      <c r="G823" s="87">
        <f t="array" ref="G823">IF(B823="insumo",_xlfn.XLOOKUP($D823,Insumos!$B$1:$B$996,Insumos!$D$1:$D$996),"")</f>
        <v>1.1000000000000001</v>
      </c>
      <c r="H823" s="87">
        <v>1.43</v>
      </c>
      <c r="I823" s="79">
        <v>0</v>
      </c>
      <c r="J823" s="79">
        <v>0</v>
      </c>
      <c r="K823" s="79"/>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336">
        <v>1</v>
      </c>
      <c r="B824" s="336" t="s">
        <v>67</v>
      </c>
      <c r="C824" s="336" t="s">
        <v>1669</v>
      </c>
      <c r="D824" s="336" t="s">
        <v>1669</v>
      </c>
      <c r="E824" s="337" t="s">
        <v>1701</v>
      </c>
      <c r="F824" s="336"/>
      <c r="G824" s="338" t="str">
        <f t="array" ref="G824">IF(B824="insumo",_xlfn.XLOOKUP($D824,Insumos!$B$1:$B$996,Insumos!$D$1:$D$996),"")</f>
        <v/>
      </c>
      <c r="H824" s="338">
        <v>16.274999999999999</v>
      </c>
      <c r="I824" s="339">
        <v>0</v>
      </c>
      <c r="J824" s="339">
        <v>0</v>
      </c>
      <c r="K824" s="339"/>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77">
        <v>2</v>
      </c>
      <c r="B825" s="77" t="s">
        <v>70</v>
      </c>
      <c r="C825" s="77" t="s">
        <v>1669</v>
      </c>
      <c r="D825" s="77" t="s">
        <v>1669</v>
      </c>
      <c r="E825" s="11" t="str">
        <f t="array" ref="E825">_xlfn.XLOOKUP(D825,Insumos!B:B,Insumos!C:$C)</f>
        <v>KG</v>
      </c>
      <c r="F825" s="81">
        <v>1.05</v>
      </c>
      <c r="G825" s="87">
        <f t="array" ref="G825">IF(B825="insumo",_xlfn.XLOOKUP($D825,Insumos!$B$1:$B$996,Insumos!$D$1:$D$996),"")</f>
        <v>15.5</v>
      </c>
      <c r="H825" s="87">
        <v>16.274999999999999</v>
      </c>
      <c r="I825" s="79">
        <v>0</v>
      </c>
      <c r="J825" s="79">
        <v>0</v>
      </c>
      <c r="K825" s="79"/>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336">
        <v>1</v>
      </c>
      <c r="B826" s="336" t="s">
        <v>67</v>
      </c>
      <c r="C826" s="336" t="s">
        <v>1702</v>
      </c>
      <c r="D826" s="336" t="s">
        <v>1702</v>
      </c>
      <c r="E826" s="337" t="s">
        <v>1703</v>
      </c>
      <c r="F826" s="336"/>
      <c r="G826" s="338" t="str">
        <f t="array" ref="G826">IF(B826="insumo",_xlfn.XLOOKUP($D826,Insumos!$B$1:$B$996,Insumos!$D$1:$D$996),"")</f>
        <v/>
      </c>
      <c r="H826" s="338">
        <v>57.725000000000001</v>
      </c>
      <c r="I826" s="339">
        <v>0</v>
      </c>
      <c r="J826" s="339">
        <v>0</v>
      </c>
      <c r="K826" s="339"/>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77">
        <v>3</v>
      </c>
      <c r="B827" s="77" t="s">
        <v>70</v>
      </c>
      <c r="C827" s="77" t="s">
        <v>1702</v>
      </c>
      <c r="D827" s="77" t="s">
        <v>318</v>
      </c>
      <c r="E827" s="11" t="str">
        <f t="array" ref="E827">_xlfn.XLOOKUP(D827,Insumos!B:B,Insumos!C:$C)</f>
        <v>UN</v>
      </c>
      <c r="F827" s="81">
        <v>1</v>
      </c>
      <c r="G827" s="87">
        <f t="array" ref="G827">IF(B827="insumo",_xlfn.XLOOKUP($D827,Insumos!$B$1:$B$996,Insumos!$D$1:$D$996),"")</f>
        <v>12.5</v>
      </c>
      <c r="H827" s="87">
        <v>12.5</v>
      </c>
      <c r="I827" s="79">
        <v>0</v>
      </c>
      <c r="J827" s="79">
        <v>0</v>
      </c>
      <c r="K827" s="79"/>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77">
        <v>3</v>
      </c>
      <c r="B828" s="77" t="s">
        <v>70</v>
      </c>
      <c r="C828" s="77" t="s">
        <v>1702</v>
      </c>
      <c r="D828" s="77" t="s">
        <v>319</v>
      </c>
      <c r="E828" s="11" t="str">
        <f t="array" ref="E828">_xlfn.XLOOKUP(D828,Insumos!B:B,Insumos!C:$C)</f>
        <v>PAR</v>
      </c>
      <c r="F828" s="81">
        <v>1</v>
      </c>
      <c r="G828" s="87">
        <f t="array" ref="G828">IF(B828="insumo",_xlfn.XLOOKUP($D828,Insumos!$B$1:$B$996,Insumos!$D$1:$D$996),"")</f>
        <v>9.1300000000000008</v>
      </c>
      <c r="H828" s="87">
        <v>9.1300000000000008</v>
      </c>
      <c r="I828" s="79">
        <v>0</v>
      </c>
      <c r="J828" s="79">
        <v>0</v>
      </c>
      <c r="K828" s="79"/>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77">
        <v>3</v>
      </c>
      <c r="B829" s="77" t="s">
        <v>70</v>
      </c>
      <c r="C829" s="77" t="s">
        <v>1702</v>
      </c>
      <c r="D829" s="77" t="s">
        <v>320</v>
      </c>
      <c r="E829" s="11" t="str">
        <f t="array" ref="E829">_xlfn.XLOOKUP(D829,Insumos!B:B,Insumos!C:$C)</f>
        <v>UN</v>
      </c>
      <c r="F829" s="81">
        <v>0.5</v>
      </c>
      <c r="G829" s="87">
        <f t="array" ref="G829">IF(B829="insumo",_xlfn.XLOOKUP($D829,Insumos!$B$1:$B$996,Insumos!$D$1:$D$996),"")</f>
        <v>2.85</v>
      </c>
      <c r="H829" s="87">
        <v>1.425</v>
      </c>
      <c r="I829" s="79">
        <v>0</v>
      </c>
      <c r="J829" s="79">
        <v>0</v>
      </c>
      <c r="K829" s="79"/>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77">
        <v>3</v>
      </c>
      <c r="B830" s="77" t="s">
        <v>70</v>
      </c>
      <c r="C830" s="77" t="s">
        <v>1702</v>
      </c>
      <c r="D830" s="77" t="s">
        <v>321</v>
      </c>
      <c r="E830" s="11" t="str">
        <f t="array" ref="E830">_xlfn.XLOOKUP(D830,Insumos!B:B,Insumos!C:$C)</f>
        <v>UN</v>
      </c>
      <c r="F830" s="81">
        <v>0.5</v>
      </c>
      <c r="G830" s="87">
        <f t="array" ref="G830">IF(B830="insumo",_xlfn.XLOOKUP($D830,Insumos!$B$1:$B$996,Insumos!$D$1:$D$996),"")</f>
        <v>1.42</v>
      </c>
      <c r="H830" s="87">
        <v>0.71</v>
      </c>
      <c r="I830" s="79">
        <v>0</v>
      </c>
      <c r="J830" s="79">
        <v>0</v>
      </c>
      <c r="K830" s="79"/>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77">
        <v>3</v>
      </c>
      <c r="B831" s="77" t="s">
        <v>70</v>
      </c>
      <c r="C831" s="77" t="s">
        <v>1702</v>
      </c>
      <c r="D831" s="77" t="s">
        <v>322</v>
      </c>
      <c r="E831" s="11" t="str">
        <f t="array" ref="E831">_xlfn.XLOOKUP(D831,Insumos!B:B,Insumos!C:$C)</f>
        <v>UN</v>
      </c>
      <c r="F831" s="81">
        <v>0.5</v>
      </c>
      <c r="G831" s="87">
        <f t="array" ref="G831">IF(B831="insumo",_xlfn.XLOOKUP($D831,Insumos!$B$1:$B$996,Insumos!$D$1:$D$996),"")</f>
        <v>5.68</v>
      </c>
      <c r="H831" s="87">
        <v>2.84</v>
      </c>
      <c r="I831" s="79">
        <v>0</v>
      </c>
      <c r="J831" s="79">
        <v>0</v>
      </c>
      <c r="K831" s="79"/>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77">
        <v>3</v>
      </c>
      <c r="B832" s="77" t="s">
        <v>70</v>
      </c>
      <c r="C832" s="77" t="s">
        <v>1702</v>
      </c>
      <c r="D832" s="77" t="s">
        <v>323</v>
      </c>
      <c r="E832" s="11" t="str">
        <f t="array" ref="E832">_xlfn.XLOOKUP(D832,Insumos!B:B,Insumos!C:$C)</f>
        <v>PAR</v>
      </c>
      <c r="F832" s="81">
        <v>0.5</v>
      </c>
      <c r="G832" s="87">
        <f t="array" ref="G832">IF(B832="insumo",_xlfn.XLOOKUP($D832,Insumos!$B$1:$B$996,Insumos!$D$1:$D$996),"")</f>
        <v>2.2999999999999998</v>
      </c>
      <c r="H832" s="87">
        <v>1.1499999999999999</v>
      </c>
      <c r="I832" s="79">
        <v>0</v>
      </c>
      <c r="J832" s="79">
        <v>0</v>
      </c>
      <c r="K832" s="79"/>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77">
        <v>3</v>
      </c>
      <c r="B833" s="77" t="s">
        <v>70</v>
      </c>
      <c r="C833" s="77" t="s">
        <v>1702</v>
      </c>
      <c r="D833" s="77" t="s">
        <v>324</v>
      </c>
      <c r="E833" s="11" t="str">
        <f t="array" ref="E833">_xlfn.XLOOKUP(D833,Insumos!B:B,Insumos!C:$C)</f>
        <v>PAR</v>
      </c>
      <c r="F833" s="81">
        <v>6.66</v>
      </c>
      <c r="G833" s="87">
        <f t="array" ref="G833">IF(B833="insumo",_xlfn.XLOOKUP($D833,Insumos!$B$1:$B$996,Insumos!$D$1:$D$996),"")</f>
        <v>3.4</v>
      </c>
      <c r="H833" s="87">
        <v>22.643999999999998</v>
      </c>
      <c r="I833" s="79">
        <v>0</v>
      </c>
      <c r="J833" s="79">
        <v>0</v>
      </c>
      <c r="K833" s="79"/>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77">
        <v>3</v>
      </c>
      <c r="B834" s="77" t="s">
        <v>70</v>
      </c>
      <c r="C834" s="77" t="s">
        <v>1702</v>
      </c>
      <c r="D834" s="77" t="s">
        <v>325</v>
      </c>
      <c r="E834" s="11" t="str">
        <f t="array" ref="E834">_xlfn.XLOOKUP(D834,Insumos!B:B,Insumos!C:$C)</f>
        <v>PAR</v>
      </c>
      <c r="F834" s="81">
        <v>6.66</v>
      </c>
      <c r="G834" s="87">
        <f t="array" ref="G834">IF(B834="insumo",_xlfn.XLOOKUP($D834,Insumos!$B$1:$B$996,Insumos!$D$1:$D$996),"")</f>
        <v>1.1000000000000001</v>
      </c>
      <c r="H834" s="87">
        <v>7.3259999999999996</v>
      </c>
      <c r="I834" s="79">
        <v>0</v>
      </c>
      <c r="J834" s="79">
        <v>0</v>
      </c>
      <c r="K834" s="79"/>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336">
        <v>2</v>
      </c>
      <c r="B835" s="336" t="s">
        <v>67</v>
      </c>
      <c r="C835" s="336" t="s">
        <v>326</v>
      </c>
      <c r="D835" s="336" t="s">
        <v>326</v>
      </c>
      <c r="E835" s="337" t="s">
        <v>1703</v>
      </c>
      <c r="F835" s="336"/>
      <c r="G835" s="338" t="str">
        <f t="array" ref="G835">IF(B835="insumo",_xlfn.XLOOKUP($D835,Insumos!$B$1:$B$996,Insumos!$D$1:$D$996),"")</f>
        <v/>
      </c>
      <c r="H835" s="338">
        <v>14.751792</v>
      </c>
      <c r="I835" s="339">
        <v>0</v>
      </c>
      <c r="J835" s="339">
        <v>0</v>
      </c>
      <c r="K835" s="339"/>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77">
        <v>2</v>
      </c>
      <c r="B836" s="77" t="s">
        <v>70</v>
      </c>
      <c r="C836" s="77" t="s">
        <v>326</v>
      </c>
      <c r="D836" s="77" t="s">
        <v>327</v>
      </c>
      <c r="E836" s="11" t="str">
        <f t="array" ref="E836">_xlfn.XLOOKUP(D836,Insumos!B:B,Insumos!C:$C)</f>
        <v>UN/MÊS</v>
      </c>
      <c r="F836" s="81">
        <f>ROUNDUP(1/(0.6*0.6),2)</f>
        <v>2.78</v>
      </c>
      <c r="G836" s="87">
        <f t="array" ref="G836">IF(B836="insumo",_xlfn.XLOOKUP($D836,Insumos!$B$1:$B$996,Insumos!$D$1:$D$996),"")</f>
        <v>5.3064</v>
      </c>
      <c r="H836" s="87">
        <v>14.751792</v>
      </c>
      <c r="I836" s="79">
        <v>0</v>
      </c>
      <c r="J836" s="79">
        <v>0</v>
      </c>
      <c r="K836" s="79"/>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336">
        <v>2</v>
      </c>
      <c r="B837" s="336" t="s">
        <v>67</v>
      </c>
      <c r="C837" s="336" t="s">
        <v>328</v>
      </c>
      <c r="D837" s="336" t="s">
        <v>328</v>
      </c>
      <c r="E837" s="337" t="s">
        <v>151</v>
      </c>
      <c r="F837" s="336"/>
      <c r="G837" s="338" t="str">
        <f t="array" ref="G837">IF(B837="insumo",_xlfn.XLOOKUP($D837,Insumos!$B$1:$B$996,Insumos!$D$1:$D$996),"")</f>
        <v/>
      </c>
      <c r="H837" s="338">
        <v>39432.81</v>
      </c>
      <c r="I837" s="339">
        <v>0</v>
      </c>
      <c r="J837" s="339">
        <v>0</v>
      </c>
      <c r="K837" s="339"/>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77">
        <v>2</v>
      </c>
      <c r="B838" s="77" t="s">
        <v>70</v>
      </c>
      <c r="C838" s="77" t="s">
        <v>328</v>
      </c>
      <c r="D838" s="77" t="str">
        <f>D837</f>
        <v>Manutenção de cubetas proprias</v>
      </c>
      <c r="E838" s="11" t="str">
        <f t="array" ref="E838">_xlfn.XLOOKUP(D838,Insumos!B:B,Insumos!C:$C)</f>
        <v>VB</v>
      </c>
      <c r="F838" s="81">
        <v>1</v>
      </c>
      <c r="G838" s="87">
        <f t="array" ref="G838">IF(B838="insumo",_xlfn.XLOOKUP($D838,Insumos!$B$1:$B$996,Insumos!$D$1:$D$996),"")</f>
        <v>39432.81</v>
      </c>
      <c r="H838" s="87">
        <v>39432.81</v>
      </c>
      <c r="I838" s="79">
        <v>0</v>
      </c>
      <c r="J838" s="79">
        <v>0</v>
      </c>
      <c r="K838" s="79"/>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332">
        <v>1</v>
      </c>
      <c r="B839" s="332" t="s">
        <v>67</v>
      </c>
      <c r="C839" s="332" t="s">
        <v>329</v>
      </c>
      <c r="D839" s="332" t="s">
        <v>329</v>
      </c>
      <c r="E839" s="333" t="s">
        <v>69</v>
      </c>
      <c r="F839" s="340"/>
      <c r="G839" s="334" t="str">
        <f t="array" ref="G839">IF(B839="insumo",_xlfn.XLOOKUP($D839,Insumos!$B$1:$B$996,Insumos!$D$1:$D$996),"")</f>
        <v/>
      </c>
      <c r="H839" s="334">
        <v>36.425026506170703</v>
      </c>
      <c r="I839" s="335">
        <v>16241.65</v>
      </c>
      <c r="J839" s="335">
        <v>591602.53175394703</v>
      </c>
      <c r="K839" s="335"/>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70</v>
      </c>
      <c r="C840" s="10" t="s">
        <v>329</v>
      </c>
      <c r="D840" s="10" t="s">
        <v>330</v>
      </c>
      <c r="E840" s="11" t="str">
        <f t="array" ref="E840">_xlfn.XLOOKUP(D840,Insumos!B:B,Insumos!C:$C)</f>
        <v>UN</v>
      </c>
      <c r="F840" s="14">
        <v>1</v>
      </c>
      <c r="G840" s="87">
        <f t="array" ref="G840">IF(B840="insumo",_xlfn.XLOOKUP($D840,Insumos!$B$1:$B$996,Insumos!$D$1:$D$996),"")</f>
        <v>36.425026506170724</v>
      </c>
      <c r="H840" s="87">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332">
        <v>1</v>
      </c>
      <c r="B841" s="332" t="s">
        <v>67</v>
      </c>
      <c r="C841" s="332" t="s">
        <v>331</v>
      </c>
      <c r="D841" s="332" t="s">
        <v>331</v>
      </c>
      <c r="E841" s="333" t="s">
        <v>332</v>
      </c>
      <c r="F841" s="332"/>
      <c r="G841" s="334" t="str">
        <f t="array" ref="G841">IF(B841="insumo",_xlfn.XLOOKUP($D841,Insumos!$B$1:$B$996,Insumos!$D$1:$D$996),"")</f>
        <v/>
      </c>
      <c r="H841" s="334">
        <v>1300</v>
      </c>
      <c r="I841" s="335">
        <v>0</v>
      </c>
      <c r="J841" s="335">
        <v>0</v>
      </c>
      <c r="K841" s="335"/>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70</v>
      </c>
      <c r="C842" s="10" t="s">
        <v>331</v>
      </c>
      <c r="D842" s="10" t="s">
        <v>333</v>
      </c>
      <c r="E842" s="11" t="str">
        <f t="array" ref="E842">_xlfn.XLOOKUP(D842,Insumos!B:B,Insumos!C:$C)</f>
        <v>DIA</v>
      </c>
      <c r="F842" s="14">
        <v>1</v>
      </c>
      <c r="G842" s="87">
        <f t="array" ref="G842">IF(B842="insumo",_xlfn.XLOOKUP($D842,Insumos!$B$1:$B$996,Insumos!$D$1:$D$996),"")</f>
        <v>1300</v>
      </c>
      <c r="H842" s="87">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332">
        <v>1</v>
      </c>
      <c r="B843" s="332" t="s">
        <v>67</v>
      </c>
      <c r="C843" s="332" t="s">
        <v>334</v>
      </c>
      <c r="D843" s="332" t="s">
        <v>334</v>
      </c>
      <c r="E843" s="333" t="s">
        <v>193</v>
      </c>
      <c r="F843" s="332"/>
      <c r="G843" s="334" t="str">
        <f t="array" ref="G843">IF(B843="insumo",_xlfn.XLOOKUP($D843,Insumos!$B$1:$B$996,Insumos!$D$1:$D$996),"")</f>
        <v/>
      </c>
      <c r="H843" s="334">
        <v>15000</v>
      </c>
      <c r="I843" s="335">
        <v>0</v>
      </c>
      <c r="J843" s="335">
        <v>0</v>
      </c>
      <c r="K843" s="335"/>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70</v>
      </c>
      <c r="C844" s="10" t="s">
        <v>334</v>
      </c>
      <c r="D844" s="10" t="s">
        <v>334</v>
      </c>
      <c r="E844" s="11" t="str">
        <f t="array" ref="E844">_xlfn.XLOOKUP(D844,Insumos!B:B,Insumos!C:$C)</f>
        <v>vb</v>
      </c>
      <c r="F844" s="14">
        <v>1</v>
      </c>
      <c r="G844" s="87">
        <f t="array" ref="G844">IF(B844="insumo",_xlfn.XLOOKUP($D844,Insumos!$B$1:$B$996,Insumos!$D$1:$D$996),"")</f>
        <v>15000</v>
      </c>
      <c r="H844" s="87">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332">
        <v>1</v>
      </c>
      <c r="B845" s="332" t="s">
        <v>67</v>
      </c>
      <c r="C845" s="332" t="s">
        <v>335</v>
      </c>
      <c r="D845" s="332" t="s">
        <v>335</v>
      </c>
      <c r="E845" s="333" t="s">
        <v>193</v>
      </c>
      <c r="F845" s="340"/>
      <c r="G845" s="334" t="str">
        <f t="array" ref="G845">IF(B845="insumo",_xlfn.XLOOKUP($D845,Insumos!$B$1:$B$996,Insumos!$D$1:$D$996),"")</f>
        <v/>
      </c>
      <c r="H845" s="334">
        <v>93981.530499999993</v>
      </c>
      <c r="I845" s="335">
        <v>0</v>
      </c>
      <c r="J845" s="335">
        <v>0</v>
      </c>
      <c r="K845" s="335"/>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70</v>
      </c>
      <c r="C846" s="10" t="s">
        <v>335</v>
      </c>
      <c r="D846" s="10" t="s">
        <v>335</v>
      </c>
      <c r="E846" s="11" t="str">
        <f t="array" ref="E846">_xlfn.XLOOKUP(D846,Insumos!B:B,Insumos!C:$C)</f>
        <v>VB</v>
      </c>
      <c r="F846" s="14">
        <v>1</v>
      </c>
      <c r="G846" s="87">
        <f t="array" ref="G846">IF(B846="insumo",_xlfn.XLOOKUP($D846,Insumos!$B$1:$B$996,Insumos!$D$1:$D$996),"")</f>
        <v>93981.530500000008</v>
      </c>
      <c r="H846" s="87">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332">
        <v>1</v>
      </c>
      <c r="B847" s="332" t="s">
        <v>67</v>
      </c>
      <c r="C847" s="332" t="s">
        <v>336</v>
      </c>
      <c r="D847" s="332" t="s">
        <v>336</v>
      </c>
      <c r="E847" s="333" t="s">
        <v>151</v>
      </c>
      <c r="F847" s="332"/>
      <c r="G847" s="334" t="str">
        <f t="array" ref="G847">IF(B847="insumo",_xlfn.XLOOKUP($D847,Insumos!$B$1:$B$996,Insumos!$D$1:$D$996),"")</f>
        <v/>
      </c>
      <c r="H847" s="334">
        <v>11.49611955</v>
      </c>
      <c r="I847" s="335">
        <v>0</v>
      </c>
      <c r="J847" s="335">
        <v>0</v>
      </c>
      <c r="K847" s="335"/>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70</v>
      </c>
      <c r="C848" s="10" t="s">
        <v>336</v>
      </c>
      <c r="D848" s="10" t="s">
        <v>86</v>
      </c>
      <c r="E848" s="11" t="str">
        <f t="array" ref="E848">_xlfn.XLOOKUP(D848,Insumos!B:B,Insumos!C:$C)</f>
        <v>KG</v>
      </c>
      <c r="F848" s="14">
        <v>2.3535E-2</v>
      </c>
      <c r="G848" s="87">
        <f t="array" ref="G848">IF(B848="insumo",_xlfn.XLOOKUP($D848,Insumos!$B$1:$B$996,Insumos!$D$1:$D$996),"")</f>
        <v>18.13</v>
      </c>
      <c r="H848" s="87">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70</v>
      </c>
      <c r="C849" s="10" t="s">
        <v>336</v>
      </c>
      <c r="D849" s="10" t="s">
        <v>274</v>
      </c>
      <c r="E849" s="11" t="str">
        <f t="array" ref="E849">_xlfn.XLOOKUP(D849,Insumos!B:B,Insumos!C:$C)</f>
        <v>M</v>
      </c>
      <c r="F849" s="14">
        <v>0.14299999999999999</v>
      </c>
      <c r="G849" s="87">
        <f t="array" ref="G849">IF(B849="insumo",_xlfn.XLOOKUP($D849,Insumos!$B$1:$B$996,Insumos!$D$1:$D$996),"")</f>
        <v>42.46</v>
      </c>
      <c r="H849" s="87">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70</v>
      </c>
      <c r="C850" s="10" t="s">
        <v>336</v>
      </c>
      <c r="D850" s="10" t="s">
        <v>83</v>
      </c>
      <c r="E850" s="11" t="str">
        <f t="array" ref="E850">_xlfn.XLOOKUP(D850,Insumos!B:B,Insumos!C:$C)</f>
        <v>M</v>
      </c>
      <c r="F850" s="14">
        <v>0.71395000000000008</v>
      </c>
      <c r="G850" s="87">
        <f t="array" ref="G850">IF(B850="insumo",_xlfn.XLOOKUP($D850,Insumos!$B$1:$B$996,Insumos!$D$1:$D$996),"")</f>
        <v>7</v>
      </c>
      <c r="H850" s="87">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355">
        <v>6</v>
      </c>
      <c r="B851" s="355" t="s">
        <v>1227</v>
      </c>
      <c r="C851" s="355" t="s">
        <v>336</v>
      </c>
      <c r="D851" s="355" t="s">
        <v>1423</v>
      </c>
      <c r="E851" s="356"/>
      <c r="F851" s="357"/>
      <c r="G851" s="356"/>
      <c r="H851" s="356">
        <v>0</v>
      </c>
      <c r="I851" s="357">
        <v>0</v>
      </c>
      <c r="J851" s="357">
        <v>0</v>
      </c>
      <c r="K851" s="357"/>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332">
        <v>1</v>
      </c>
      <c r="B852" s="332" t="s">
        <v>67</v>
      </c>
      <c r="C852" s="332" t="s">
        <v>337</v>
      </c>
      <c r="D852" s="332" t="s">
        <v>337</v>
      </c>
      <c r="E852" s="333" t="s">
        <v>69</v>
      </c>
      <c r="F852" s="332"/>
      <c r="G852" s="334" t="str">
        <f t="array" ref="G852">IF(B852="insumo",_xlfn.XLOOKUP($D852,Insumos!$B$1:$B$996,Insumos!$D$1:$D$996),"")</f>
        <v/>
      </c>
      <c r="H852" s="334">
        <v>290</v>
      </c>
      <c r="I852" s="335">
        <v>16</v>
      </c>
      <c r="J852" s="335">
        <v>4640</v>
      </c>
      <c r="K852" s="335"/>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70</v>
      </c>
      <c r="C853" s="10" t="s">
        <v>337</v>
      </c>
      <c r="D853" s="10" t="s">
        <v>337</v>
      </c>
      <c r="E853" s="11" t="str">
        <f t="array" ref="E853">_xlfn.XLOOKUP(D853,Insumos!B:B,Insumos!C:$C)</f>
        <v>m2</v>
      </c>
      <c r="F853" s="14">
        <v>1</v>
      </c>
      <c r="G853" s="87">
        <f t="array" ref="G853">IF(B853="insumo",_xlfn.XLOOKUP($D853,Insumos!$B$1:$B$996,Insumos!$D$1:$D$996),"")</f>
        <v>290</v>
      </c>
      <c r="H853" s="87">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332">
        <v>1</v>
      </c>
      <c r="B854" s="332" t="s">
        <v>67</v>
      </c>
      <c r="C854" s="332" t="s">
        <v>338</v>
      </c>
      <c r="D854" s="332" t="s">
        <v>338</v>
      </c>
      <c r="E854" s="333" t="s">
        <v>69</v>
      </c>
      <c r="F854" s="332"/>
      <c r="G854" s="334" t="str">
        <f t="array" ref="G854">IF(B854="insumo",_xlfn.XLOOKUP($D854,Insumos!$B$1:$B$996,Insumos!$D$1:$D$996),"")</f>
        <v/>
      </c>
      <c r="H854" s="334">
        <v>25</v>
      </c>
      <c r="I854" s="335">
        <v>0</v>
      </c>
      <c r="J854" s="335">
        <v>0</v>
      </c>
      <c r="K854" s="335"/>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70</v>
      </c>
      <c r="C855" s="10" t="s">
        <v>338</v>
      </c>
      <c r="D855" s="10" t="s">
        <v>338</v>
      </c>
      <c r="E855" s="11" t="str">
        <f t="array" ref="E855">_xlfn.XLOOKUP(D855,Insumos!B:B,Insumos!C:$C)</f>
        <v>m2</v>
      </c>
      <c r="F855" s="14">
        <v>1</v>
      </c>
      <c r="G855" s="87">
        <f t="array" ref="G855">IF(B855="insumo",_xlfn.XLOOKUP($D855,Insumos!$B$1:$B$996,Insumos!$D$1:$D$996),"")</f>
        <v>25</v>
      </c>
      <c r="H855" s="87">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65</v>
      </c>
      <c r="C856" s="7" t="s">
        <v>338</v>
      </c>
      <c r="D856" s="7" t="s">
        <v>339</v>
      </c>
      <c r="E856" s="8"/>
      <c r="F856" s="9"/>
      <c r="G856" s="86" t="str">
        <f t="array" ref="G856">IF(B856="insumo",_xlfn.XLOOKUP($D856,Insumos!$B$1:$B$996,Insumos!$D$1:$D$996),"")</f>
        <v/>
      </c>
      <c r="H856" s="86">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355">
        <v>1</v>
      </c>
      <c r="B857" s="355" t="s">
        <v>1227</v>
      </c>
      <c r="C857" s="355" t="s">
        <v>338</v>
      </c>
      <c r="D857" s="355" t="s">
        <v>1361</v>
      </c>
      <c r="E857" s="356"/>
      <c r="F857" s="357"/>
      <c r="G857" s="356"/>
      <c r="H857" s="356">
        <v>0</v>
      </c>
      <c r="I857" s="357">
        <v>0</v>
      </c>
      <c r="J857" s="357">
        <v>0</v>
      </c>
      <c r="K857" s="357"/>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332">
        <v>1</v>
      </c>
      <c r="B858" s="332" t="s">
        <v>67</v>
      </c>
      <c r="C858" s="332" t="s">
        <v>1296</v>
      </c>
      <c r="D858" s="332" t="s">
        <v>1296</v>
      </c>
      <c r="E858" s="333" t="s">
        <v>69</v>
      </c>
      <c r="F858" s="332"/>
      <c r="G858" s="334" t="str">
        <f t="array" ref="G858">IF(B858="insumo",_xlfn.XLOOKUP($D858,Insumos!$B$1:$B$996,Insumos!$D$1:$D$996),"")</f>
        <v/>
      </c>
      <c r="H858" s="334">
        <v>36.22</v>
      </c>
      <c r="I858" s="335">
        <v>0</v>
      </c>
      <c r="J858" s="335">
        <v>0</v>
      </c>
      <c r="K858" s="335"/>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70</v>
      </c>
      <c r="C859" s="10" t="s">
        <v>1296</v>
      </c>
      <c r="D859" s="10" t="s">
        <v>340</v>
      </c>
      <c r="E859" s="11" t="str">
        <f t="array" ref="E859">_xlfn.XLOOKUP(D859,Insumos!B:B,Insumos!C:$C)</f>
        <v>UN</v>
      </c>
      <c r="F859" s="14">
        <f>ROUNDUP(1/(0.19*0.19),)</f>
        <v>28</v>
      </c>
      <c r="G859" s="87">
        <f t="array" ref="G859">IF(B859="insumo",_xlfn.XLOOKUP($D859,Insumos!$B$1:$B$996,Insumos!$D$1:$D$996),"")</f>
        <v>0.99</v>
      </c>
      <c r="H859" s="87">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70</v>
      </c>
      <c r="C860" s="10" t="s">
        <v>1296</v>
      </c>
      <c r="D860" s="10" t="s">
        <v>341</v>
      </c>
      <c r="E860" s="11" t="str">
        <f t="array" ref="E860">_xlfn.XLOOKUP(D860,Insumos!B:B,Insumos!C:$C)</f>
        <v>M3</v>
      </c>
      <c r="F860" s="14">
        <v>0.02</v>
      </c>
      <c r="G860" s="87">
        <f t="array" ref="G860">IF(B860="insumo",_xlfn.XLOOKUP($D860,Insumos!$B$1:$B$996,Insumos!$D$1:$D$996),"")</f>
        <v>425</v>
      </c>
      <c r="H860" s="87">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332">
        <v>1</v>
      </c>
      <c r="B861" s="332" t="s">
        <v>67</v>
      </c>
      <c r="C861" s="332" t="s">
        <v>1298</v>
      </c>
      <c r="D861" s="332" t="s">
        <v>1298</v>
      </c>
      <c r="E861" s="333" t="s">
        <v>69</v>
      </c>
      <c r="F861" s="332"/>
      <c r="G861" s="334" t="str">
        <f t="array" ref="G861">IF(B861="insumo",_xlfn.XLOOKUP($D861,Insumos!$B$1:$B$996,Insumos!$D$1:$D$996),"")</f>
        <v/>
      </c>
      <c r="H861" s="334">
        <v>43.22</v>
      </c>
      <c r="I861" s="335">
        <v>0</v>
      </c>
      <c r="J861" s="335">
        <v>0</v>
      </c>
      <c r="K861" s="335"/>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70</v>
      </c>
      <c r="C862" s="10" t="s">
        <v>1298</v>
      </c>
      <c r="D862" s="10" t="s">
        <v>342</v>
      </c>
      <c r="E862" s="11" t="str">
        <f t="array" ref="E862">_xlfn.XLOOKUP(D862,Insumos!B:B,Insumos!C:$C)</f>
        <v>UN</v>
      </c>
      <c r="F862" s="14">
        <f>ROUNDUP(1/(0.19*0.19),)</f>
        <v>28</v>
      </c>
      <c r="G862" s="87">
        <f t="array" ref="G862">IF(B862="insumo",_xlfn.XLOOKUP($D862,Insumos!$B$1:$B$996,Insumos!$D$1:$D$996),"")</f>
        <v>1.24</v>
      </c>
      <c r="H862" s="87">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70</v>
      </c>
      <c r="C863" s="10" t="s">
        <v>1298</v>
      </c>
      <c r="D863" s="10" t="s">
        <v>341</v>
      </c>
      <c r="E863" s="11" t="str">
        <f t="array" ref="E863">_xlfn.XLOOKUP(D863,Insumos!B:B,Insumos!C:$C)</f>
        <v>M3</v>
      </c>
      <c r="F863" s="14">
        <v>0.02</v>
      </c>
      <c r="G863" s="87">
        <f t="array" ref="G863">IF(B863="insumo",_xlfn.XLOOKUP($D863,Insumos!$B$1:$B$996,Insumos!$D$1:$D$996),"")</f>
        <v>425</v>
      </c>
      <c r="H863" s="87">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332">
        <v>1</v>
      </c>
      <c r="B864" s="332" t="s">
        <v>67</v>
      </c>
      <c r="C864" s="332" t="s">
        <v>1297</v>
      </c>
      <c r="D864" s="332" t="s">
        <v>1297</v>
      </c>
      <c r="E864" s="333" t="s">
        <v>69</v>
      </c>
      <c r="F864" s="332"/>
      <c r="G864" s="334" t="str">
        <f t="array" ref="G864">IF(B864="insumo",_xlfn.XLOOKUP($D864,Insumos!$B$1:$B$996,Insumos!$D$1:$D$996),"")</f>
        <v/>
      </c>
      <c r="H864" s="334">
        <v>81.3</v>
      </c>
      <c r="I864" s="335">
        <v>0</v>
      </c>
      <c r="J864" s="335">
        <v>0</v>
      </c>
      <c r="K864" s="335"/>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70</v>
      </c>
      <c r="C865" s="10" t="s">
        <v>1297</v>
      </c>
      <c r="D865" s="10" t="s">
        <v>344</v>
      </c>
      <c r="E865" s="11" t="str">
        <f t="array" ref="E865">_xlfn.XLOOKUP(D865,Insumos!B:B,Insumos!C:$C)</f>
        <v>UN</v>
      </c>
      <c r="F865" s="14">
        <f>ROUNDUP(1/(0.19*0.19),)</f>
        <v>28</v>
      </c>
      <c r="G865" s="87">
        <f t="array" ref="G865">IF(B865="insumo",_xlfn.XLOOKUP($D865,Insumos!$B$1:$B$996,Insumos!$D$1:$D$996),"")</f>
        <v>2.6</v>
      </c>
      <c r="H865" s="87">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70</v>
      </c>
      <c r="C866" s="10" t="s">
        <v>1297</v>
      </c>
      <c r="D866" s="10" t="s">
        <v>341</v>
      </c>
      <c r="E866" s="11" t="str">
        <f t="array" ref="E866">_xlfn.XLOOKUP(D866,Insumos!B:B,Insumos!C:$C)</f>
        <v>M3</v>
      </c>
      <c r="F866" s="14">
        <v>0.02</v>
      </c>
      <c r="G866" s="87">
        <f t="array" ref="G866">IF(B866="insumo",_xlfn.XLOOKUP($D866,Insumos!$B$1:$B$996,Insumos!$D$1:$D$996),"")</f>
        <v>425</v>
      </c>
      <c r="H866" s="87">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332">
        <v>1</v>
      </c>
      <c r="B867" s="332" t="s">
        <v>67</v>
      </c>
      <c r="C867" s="332" t="s">
        <v>345</v>
      </c>
      <c r="D867" s="332" t="s">
        <v>345</v>
      </c>
      <c r="E867" s="333" t="s">
        <v>69</v>
      </c>
      <c r="F867" s="332"/>
      <c r="G867" s="334" t="str">
        <f t="array" ref="G867">IF(B867="insumo",_xlfn.XLOOKUP($D867,Insumos!$B$1:$B$996,Insumos!$D$1:$D$996),"")</f>
        <v/>
      </c>
      <c r="H867" s="334">
        <v>28.1</v>
      </c>
      <c r="I867" s="335">
        <v>0</v>
      </c>
      <c r="J867" s="335">
        <v>0</v>
      </c>
      <c r="K867" s="335"/>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70</v>
      </c>
      <c r="C868" s="10" t="s">
        <v>345</v>
      </c>
      <c r="D868" s="10" t="s">
        <v>346</v>
      </c>
      <c r="E868" s="11" t="str">
        <f t="array" ref="E868">_xlfn.XLOOKUP(D868,Insumos!B:B,Insumos!C:$C)</f>
        <v>UN</v>
      </c>
      <c r="F868" s="14">
        <f>ROUNDUP(1/(0.19*0.39),)</f>
        <v>14</v>
      </c>
      <c r="G868" s="87">
        <f t="array" ref="G868">IF(B868="insumo",_xlfn.XLOOKUP($D868,Insumos!$B$1:$B$996,Insumos!$D$1:$D$996),"")</f>
        <v>1.4</v>
      </c>
      <c r="H868" s="87">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70</v>
      </c>
      <c r="C869" s="10" t="s">
        <v>345</v>
      </c>
      <c r="D869" s="10" t="s">
        <v>341</v>
      </c>
      <c r="E869" s="11" t="str">
        <f t="array" ref="E869">_xlfn.XLOOKUP(D869,Insumos!B:B,Insumos!C:$C)</f>
        <v>M3</v>
      </c>
      <c r="F869" s="14">
        <v>0.02</v>
      </c>
      <c r="G869" s="87">
        <f t="array" ref="G869">IF(B869="insumo",_xlfn.XLOOKUP($D869,Insumos!$B$1:$B$996,Insumos!$D$1:$D$996),"")</f>
        <v>425</v>
      </c>
      <c r="H869" s="87">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332">
        <v>1</v>
      </c>
      <c r="B870" s="332" t="s">
        <v>67</v>
      </c>
      <c r="C870" s="332" t="s">
        <v>1301</v>
      </c>
      <c r="D870" s="332" t="s">
        <v>1301</v>
      </c>
      <c r="E870" s="333" t="s">
        <v>69</v>
      </c>
      <c r="F870" s="332"/>
      <c r="G870" s="334" t="str">
        <f t="array" ref="G870">IF(B870="insumo",_xlfn.XLOOKUP($D870,Insumos!$B$1:$B$996,Insumos!$D$1:$D$996),"")</f>
        <v/>
      </c>
      <c r="H870" s="334">
        <v>30.92</v>
      </c>
      <c r="I870" s="335">
        <v>0</v>
      </c>
      <c r="J870" s="335">
        <v>0</v>
      </c>
      <c r="K870" s="335"/>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70</v>
      </c>
      <c r="C871" s="10" t="s">
        <v>1301</v>
      </c>
      <c r="D871" s="10" t="s">
        <v>351</v>
      </c>
      <c r="E871" s="11" t="str">
        <f t="array" ref="E871">_xlfn.XLOOKUP(D871,Insumos!B:B,Insumos!C:$C)</f>
        <v>UN</v>
      </c>
      <c r="F871" s="14">
        <f>ROUNDUP(1/(0.19*0.29),)</f>
        <v>19</v>
      </c>
      <c r="G871" s="87">
        <f t="array" ref="G871">IF(B871="insumo",_xlfn.XLOOKUP($D871,Insumos!$B$1:$B$996,Insumos!$D$1:$D$996),"")</f>
        <v>1.18</v>
      </c>
      <c r="H871" s="87">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70</v>
      </c>
      <c r="C872" s="10" t="s">
        <v>1301</v>
      </c>
      <c r="D872" s="10" t="s">
        <v>341</v>
      </c>
      <c r="E872" s="11" t="str">
        <f t="array" ref="E872">_xlfn.XLOOKUP(D872,Insumos!B:B,Insumos!C:$C)</f>
        <v>M3</v>
      </c>
      <c r="F872" s="14">
        <v>0.02</v>
      </c>
      <c r="G872" s="87">
        <f t="array" ref="G872">IF(B872="insumo",_xlfn.XLOOKUP($D872,Insumos!$B$1:$B$996,Insumos!$D$1:$D$996),"")</f>
        <v>425</v>
      </c>
      <c r="H872" s="87">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332">
        <v>1</v>
      </c>
      <c r="B873" s="332" t="s">
        <v>67</v>
      </c>
      <c r="C873" s="332" t="s">
        <v>1300</v>
      </c>
      <c r="D873" s="332" t="s">
        <v>1300</v>
      </c>
      <c r="E873" s="333" t="s">
        <v>69</v>
      </c>
      <c r="F873" s="332"/>
      <c r="G873" s="334" t="str">
        <f t="array" ref="G873">IF(B873="insumo",_xlfn.XLOOKUP($D873,Insumos!$B$1:$B$996,Insumos!$D$1:$D$996),"")</f>
        <v/>
      </c>
      <c r="H873" s="334">
        <v>35.67</v>
      </c>
      <c r="I873" s="335">
        <v>0</v>
      </c>
      <c r="J873" s="335">
        <v>0</v>
      </c>
      <c r="K873" s="335"/>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70</v>
      </c>
      <c r="C874" s="10" t="s">
        <v>1300</v>
      </c>
      <c r="D874" s="10" t="s">
        <v>352</v>
      </c>
      <c r="E874" s="11" t="str">
        <f t="array" ref="E874">_xlfn.XLOOKUP(D874,Insumos!B:B,Insumos!C:$C)</f>
        <v>UN</v>
      </c>
      <c r="F874" s="14">
        <f>ROUNDUP(1/(0.19*0.29),)</f>
        <v>19</v>
      </c>
      <c r="G874" s="87">
        <f t="array" ref="G874">IF(B874="insumo",_xlfn.XLOOKUP($D874,Insumos!$B$1:$B$996,Insumos!$D$1:$D$996),"")</f>
        <v>1.43</v>
      </c>
      <c r="H874" s="87">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70</v>
      </c>
      <c r="C875" s="10" t="s">
        <v>1300</v>
      </c>
      <c r="D875" s="10" t="s">
        <v>341</v>
      </c>
      <c r="E875" s="11" t="str">
        <f t="array" ref="E875">_xlfn.XLOOKUP(D875,Insumos!B:B,Insumos!C:$C)</f>
        <v>M3</v>
      </c>
      <c r="F875" s="14">
        <v>0.02</v>
      </c>
      <c r="G875" s="87">
        <f t="array" ref="G875">IF(B875="insumo",_xlfn.XLOOKUP($D875,Insumos!$B$1:$B$996,Insumos!$D$1:$D$996),"")</f>
        <v>425</v>
      </c>
      <c r="H875" s="87">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332">
        <v>1</v>
      </c>
      <c r="B876" s="332" t="s">
        <v>67</v>
      </c>
      <c r="C876" s="332" t="s">
        <v>1299</v>
      </c>
      <c r="D876" s="332" t="s">
        <v>1299</v>
      </c>
      <c r="E876" s="333" t="s">
        <v>69</v>
      </c>
      <c r="F876" s="332"/>
      <c r="G876" s="334" t="str">
        <f t="array" ref="G876">IF(B876="insumo",_xlfn.XLOOKUP($D876,Insumos!$B$1:$B$996,Insumos!$D$1:$D$996),"")</f>
        <v/>
      </c>
      <c r="H876" s="334">
        <v>41.18</v>
      </c>
      <c r="I876" s="335">
        <v>0</v>
      </c>
      <c r="J876" s="335">
        <v>0</v>
      </c>
      <c r="K876" s="335"/>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70</v>
      </c>
      <c r="C877" s="10" t="s">
        <v>1299</v>
      </c>
      <c r="D877" s="10" t="s">
        <v>353</v>
      </c>
      <c r="E877" s="11" t="str">
        <f t="array" ref="E877">_xlfn.XLOOKUP(D877,Insumos!B:B,Insumos!C:$C)</f>
        <v>UN</v>
      </c>
      <c r="F877" s="14">
        <f>ROUNDUP(1/(0.19*0.29),)</f>
        <v>19</v>
      </c>
      <c r="G877" s="87">
        <f t="array" ref="G877">IF(B877="insumo",_xlfn.XLOOKUP($D877,Insumos!$B$1:$B$996,Insumos!$D$1:$D$996),"")</f>
        <v>1.72</v>
      </c>
      <c r="H877" s="87">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70</v>
      </c>
      <c r="C878" s="10" t="s">
        <v>1299</v>
      </c>
      <c r="D878" s="10" t="s">
        <v>341</v>
      </c>
      <c r="E878" s="11" t="str">
        <f t="array" ref="E878">_xlfn.XLOOKUP(D878,Insumos!B:B,Insumos!C:$C)</f>
        <v>M3</v>
      </c>
      <c r="F878" s="14">
        <v>0.02</v>
      </c>
      <c r="G878" s="87">
        <f t="array" ref="G878">IF(B878="insumo",_xlfn.XLOOKUP($D878,Insumos!$B$1:$B$996,Insumos!$D$1:$D$996),"")</f>
        <v>425</v>
      </c>
      <c r="H878" s="87">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336">
        <v>1</v>
      </c>
      <c r="B879" s="336" t="s">
        <v>67</v>
      </c>
      <c r="C879" s="336" t="s">
        <v>1705</v>
      </c>
      <c r="D879" s="336" t="s">
        <v>1705</v>
      </c>
      <c r="E879" s="337" t="s">
        <v>69</v>
      </c>
      <c r="F879" s="336"/>
      <c r="G879" s="338" t="str">
        <f t="array" ref="G879">IF(B879="insumo",_xlfn.XLOOKUP($D879,Insumos!$B$1:$B$996,Insumos!$D$1:$D$996),"")</f>
        <v/>
      </c>
      <c r="H879" s="338">
        <v>53.02</v>
      </c>
      <c r="I879" s="339">
        <v>0</v>
      </c>
      <c r="J879" s="339">
        <v>0</v>
      </c>
      <c r="K879" s="339"/>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77">
        <v>2</v>
      </c>
      <c r="B880" s="77" t="s">
        <v>70</v>
      </c>
      <c r="C880" s="77" t="s">
        <v>1705</v>
      </c>
      <c r="D880" s="77" t="s">
        <v>1574</v>
      </c>
      <c r="E880" s="11" t="str">
        <f t="array" ref="E880">_xlfn.XLOOKUP(D880,Insumos!B:B,Insumos!C:$C)</f>
        <v>UN</v>
      </c>
      <c r="F880" s="81">
        <f>ROUNDUP(1/(0.19*0.19),)</f>
        <v>28</v>
      </c>
      <c r="G880" s="87">
        <f t="array" ref="G880">IF(B880="insumo",_xlfn.XLOOKUP($D880,Insumos!$B$1:$B$996,Insumos!$D$1:$D$996),"")</f>
        <v>1.59</v>
      </c>
      <c r="H880" s="87">
        <v>44.52</v>
      </c>
      <c r="I880" s="79">
        <v>0</v>
      </c>
      <c r="J880" s="79">
        <v>0</v>
      </c>
      <c r="K880" s="79"/>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77">
        <v>27</v>
      </c>
      <c r="B881" s="77" t="s">
        <v>70</v>
      </c>
      <c r="C881" s="77" t="s">
        <v>1705</v>
      </c>
      <c r="D881" s="77" t="s">
        <v>341</v>
      </c>
      <c r="E881" s="11" t="str">
        <f t="array" ref="E881">_xlfn.XLOOKUP(D881,Insumos!B:B,Insumos!C:$C)</f>
        <v>M3</v>
      </c>
      <c r="F881" s="81">
        <v>0.02</v>
      </c>
      <c r="G881" s="87">
        <f t="array" ref="G881">IF(B881="insumo",_xlfn.XLOOKUP($D881,Insumos!$B$1:$B$996,Insumos!$D$1:$D$996),"")</f>
        <v>425</v>
      </c>
      <c r="H881" s="87">
        <v>8.5</v>
      </c>
      <c r="I881" s="79">
        <v>0</v>
      </c>
      <c r="J881" s="79">
        <v>0</v>
      </c>
      <c r="K881" s="79"/>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336">
        <v>1</v>
      </c>
      <c r="B882" s="336" t="s">
        <v>67</v>
      </c>
      <c r="C882" s="336" t="s">
        <v>1706</v>
      </c>
      <c r="D882" s="336" t="s">
        <v>1706</v>
      </c>
      <c r="E882" s="337" t="s">
        <v>69</v>
      </c>
      <c r="F882" s="336"/>
      <c r="G882" s="338" t="str">
        <f t="array" ref="G882">IF(B882="insumo",_xlfn.XLOOKUP($D882,Insumos!$B$1:$B$996,Insumos!$D$1:$D$996),"")</f>
        <v/>
      </c>
      <c r="H882" s="338">
        <v>52.851428571428599</v>
      </c>
      <c r="I882" s="339">
        <v>0</v>
      </c>
      <c r="J882" s="339">
        <v>0</v>
      </c>
      <c r="K882" s="339"/>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77">
        <v>1</v>
      </c>
      <c r="B883" s="77" t="s">
        <v>70</v>
      </c>
      <c r="C883" s="77" t="s">
        <v>1706</v>
      </c>
      <c r="D883" s="77" t="s">
        <v>1302</v>
      </c>
      <c r="E883" s="11" t="str">
        <f t="array" ref="E883">_xlfn.XLOOKUP(D883,Insumos!B:B,Insumos!C:$C)</f>
        <v>UN</v>
      </c>
      <c r="F883" s="81">
        <f>ROUNDUP(1/(0.19*0.29),)</f>
        <v>19</v>
      </c>
      <c r="G883" s="87">
        <f t="array" ref="G883">IF(B883="insumo",_xlfn.XLOOKUP($D883,Insumos!$B$1:$B$996,Insumos!$D$1:$D$996),"")</f>
        <v>2.3342857142857145</v>
      </c>
      <c r="H883" s="87">
        <v>44.351428571428599</v>
      </c>
      <c r="I883" s="79">
        <v>0</v>
      </c>
      <c r="J883" s="79">
        <v>0</v>
      </c>
      <c r="K883" s="79"/>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77">
        <v>27</v>
      </c>
      <c r="B884" s="77" t="s">
        <v>70</v>
      </c>
      <c r="C884" s="77" t="s">
        <v>1706</v>
      </c>
      <c r="D884" s="77" t="s">
        <v>341</v>
      </c>
      <c r="E884" s="11" t="str">
        <f t="array" ref="E884">_xlfn.XLOOKUP(D884,Insumos!B:B,Insumos!C:$C)</f>
        <v>M3</v>
      </c>
      <c r="F884" s="81">
        <v>0.02</v>
      </c>
      <c r="G884" s="87">
        <f t="array" ref="G884">IF(B884="insumo",_xlfn.XLOOKUP($D884,Insumos!$B$1:$B$996,Insumos!$D$1:$D$996),"")</f>
        <v>425</v>
      </c>
      <c r="H884" s="87">
        <v>8.5</v>
      </c>
      <c r="I884" s="79">
        <v>0</v>
      </c>
      <c r="J884" s="79">
        <v>0</v>
      </c>
      <c r="K884" s="79"/>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336">
        <v>1</v>
      </c>
      <c r="B885" s="336" t="s">
        <v>67</v>
      </c>
      <c r="C885" s="336" t="s">
        <v>2285</v>
      </c>
      <c r="D885" s="336" t="s">
        <v>2285</v>
      </c>
      <c r="E885" s="337" t="s">
        <v>69</v>
      </c>
      <c r="F885" s="336"/>
      <c r="G885" s="338" t="str">
        <f t="array" ref="G885">IF(B885="insumo",_xlfn.XLOOKUP($D885,Insumos!$B$1:$B$996,Insumos!$D$1:$D$996),"")</f>
        <v/>
      </c>
      <c r="H885" s="338">
        <v>22.36</v>
      </c>
      <c r="I885" s="339" t="e">
        <v>#REF!</v>
      </c>
      <c r="J885" s="339" t="e">
        <v>#REF!</v>
      </c>
      <c r="K885" s="339"/>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77">
        <v>1</v>
      </c>
      <c r="B886" s="77" t="s">
        <v>70</v>
      </c>
      <c r="C886" s="77" t="s">
        <v>2285</v>
      </c>
      <c r="D886" s="77" t="s">
        <v>1100</v>
      </c>
      <c r="E886" s="11" t="str">
        <f t="array" ref="E886">_xlfn.XLOOKUP(D886,Insumos!B:B,Insumos!C:$C)</f>
        <v>UN</v>
      </c>
      <c r="F886" s="81">
        <f>ROUNDUP(1/(0.19*0.39),)</f>
        <v>14</v>
      </c>
      <c r="G886" s="87">
        <f t="array" ref="G886">IF(B886="insumo",_xlfn.XLOOKUP($D886,Insumos!$B$1:$B$996,Insumos!$D$1:$D$996),"")</f>
        <v>0.99</v>
      </c>
      <c r="H886" s="87">
        <v>13.86</v>
      </c>
      <c r="I886" s="79" t="e">
        <v>#REF!</v>
      </c>
      <c r="J886" s="79" t="e">
        <v>#REF!</v>
      </c>
      <c r="K886" s="79"/>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77">
        <v>27</v>
      </c>
      <c r="B887" s="77" t="s">
        <v>70</v>
      </c>
      <c r="C887" s="77" t="s">
        <v>2285</v>
      </c>
      <c r="D887" s="77" t="s">
        <v>341</v>
      </c>
      <c r="E887" s="11" t="str">
        <f t="array" ref="E887">_xlfn.XLOOKUP(D887,Insumos!B:B,Insumos!C:$C)</f>
        <v>M3</v>
      </c>
      <c r="F887" s="81">
        <v>0.02</v>
      </c>
      <c r="G887" s="87">
        <f t="array" ref="G887">IF(B887="insumo",_xlfn.XLOOKUP($D887,Insumos!$B$1:$B$996,Insumos!$D$1:$D$996),"")</f>
        <v>425</v>
      </c>
      <c r="H887" s="87">
        <v>8.5</v>
      </c>
      <c r="I887" s="79" t="e">
        <v>#REF!</v>
      </c>
      <c r="J887" s="79" t="e">
        <v>#REF!</v>
      </c>
      <c r="K887" s="79"/>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336">
        <v>1</v>
      </c>
      <c r="B888" s="336" t="s">
        <v>67</v>
      </c>
      <c r="C888" s="336" t="s">
        <v>2284</v>
      </c>
      <c r="D888" s="336" t="s">
        <v>2284</v>
      </c>
      <c r="E888" s="337" t="s">
        <v>69</v>
      </c>
      <c r="F888" s="336"/>
      <c r="G888" s="338" t="str">
        <f t="array" ref="G888">IF(B888="insumo",_xlfn.XLOOKUP($D888,Insumos!$B$1:$B$996,Insumos!$D$1:$D$996),"")</f>
        <v/>
      </c>
      <c r="H888" s="338">
        <v>24.6</v>
      </c>
      <c r="I888" s="339" t="e">
        <v>#REF!</v>
      </c>
      <c r="J888" s="339" t="e">
        <v>#REF!</v>
      </c>
      <c r="K888" s="339"/>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77">
        <v>1</v>
      </c>
      <c r="B889" s="77" t="s">
        <v>70</v>
      </c>
      <c r="C889" s="77" t="s">
        <v>2284</v>
      </c>
      <c r="D889" s="77" t="s">
        <v>2286</v>
      </c>
      <c r="E889" s="11" t="str">
        <f t="array" ref="E889">_xlfn.XLOOKUP(D889,Insumos!B:B,Insumos!C:$C)</f>
        <v>UN</v>
      </c>
      <c r="F889" s="81">
        <f>ROUNDUP(1/(0.19*0.39),)</f>
        <v>14</v>
      </c>
      <c r="G889" s="87">
        <f t="array" ref="G889">IF(B889="insumo",_xlfn.XLOOKUP($D889,Insumos!$B$1:$B$996,Insumos!$D$1:$D$996),"")</f>
        <v>1.1499999999999999</v>
      </c>
      <c r="H889" s="87">
        <v>16.100000000000001</v>
      </c>
      <c r="I889" s="79" t="e">
        <v>#REF!</v>
      </c>
      <c r="J889" s="79" t="e">
        <v>#REF!</v>
      </c>
      <c r="K889" s="79"/>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77">
        <v>27</v>
      </c>
      <c r="B890" s="77" t="s">
        <v>70</v>
      </c>
      <c r="C890" s="77" t="s">
        <v>2284</v>
      </c>
      <c r="D890" s="77" t="s">
        <v>341</v>
      </c>
      <c r="E890" s="11" t="str">
        <f t="array" ref="E890">_xlfn.XLOOKUP(D890,Insumos!B:B,Insumos!C:$C)</f>
        <v>M3</v>
      </c>
      <c r="F890" s="81">
        <v>0.02</v>
      </c>
      <c r="G890" s="87">
        <f t="array" ref="G890">IF(B890="insumo",_xlfn.XLOOKUP($D890,Insumos!$B$1:$B$996,Insumos!$D$1:$D$996),"")</f>
        <v>425</v>
      </c>
      <c r="H890" s="87">
        <v>8.5</v>
      </c>
      <c r="I890" s="79" t="e">
        <v>#REF!</v>
      </c>
      <c r="J890" s="79" t="e">
        <v>#REF!</v>
      </c>
      <c r="K890" s="79"/>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336">
        <v>1</v>
      </c>
      <c r="B891" s="336" t="s">
        <v>67</v>
      </c>
      <c r="C891" s="336" t="s">
        <v>1704</v>
      </c>
      <c r="D891" s="336" t="s">
        <v>1704</v>
      </c>
      <c r="E891" s="337" t="s">
        <v>69</v>
      </c>
      <c r="F891" s="336"/>
      <c r="G891" s="338" t="str">
        <f t="array" ref="G891">IF(B891="insumo",_xlfn.XLOOKUP($D891,Insumos!$B$1:$B$996,Insumos!$D$1:$D$996),"")</f>
        <v/>
      </c>
      <c r="H891" s="338">
        <v>28.1</v>
      </c>
      <c r="I891" s="339">
        <v>0</v>
      </c>
      <c r="J891" s="339">
        <v>0</v>
      </c>
      <c r="K891" s="339"/>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77">
        <v>2</v>
      </c>
      <c r="B892" s="77" t="s">
        <v>70</v>
      </c>
      <c r="C892" s="77" t="s">
        <v>1704</v>
      </c>
      <c r="D892" s="77" t="s">
        <v>346</v>
      </c>
      <c r="E892" s="11" t="str">
        <f t="array" ref="E892">_xlfn.XLOOKUP(D892,Insumos!B:B,Insumos!C:$C)</f>
        <v>UN</v>
      </c>
      <c r="F892" s="81">
        <f>ROUNDUP(1/(0.19*0.39),)</f>
        <v>14</v>
      </c>
      <c r="G892" s="87">
        <f t="array" ref="G892">IF(B892="insumo",_xlfn.XLOOKUP($D892,Insumos!$B$1:$B$996,Insumos!$D$1:$D$996),"")</f>
        <v>1.4</v>
      </c>
      <c r="H892" s="87">
        <v>19.600000000000001</v>
      </c>
      <c r="I892" s="79">
        <v>0</v>
      </c>
      <c r="J892" s="79">
        <v>0</v>
      </c>
      <c r="K892" s="79"/>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77">
        <v>27</v>
      </c>
      <c r="B893" s="77" t="s">
        <v>70</v>
      </c>
      <c r="C893" s="77" t="s">
        <v>1704</v>
      </c>
      <c r="D893" s="77" t="s">
        <v>341</v>
      </c>
      <c r="E893" s="11" t="str">
        <f t="array" ref="E893">_xlfn.XLOOKUP(D893,Insumos!B:B,Insumos!C:$C)</f>
        <v>M3</v>
      </c>
      <c r="F893" s="81">
        <v>0.02</v>
      </c>
      <c r="G893" s="87">
        <f t="array" ref="G893">IF(B893="insumo",_xlfn.XLOOKUP($D893,Insumos!$B$1:$B$996,Insumos!$D$1:$D$996),"")</f>
        <v>425</v>
      </c>
      <c r="H893" s="87">
        <v>8.5</v>
      </c>
      <c r="I893" s="79">
        <v>0</v>
      </c>
      <c r="J893" s="79">
        <v>0</v>
      </c>
      <c r="K893" s="79"/>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336">
        <v>1</v>
      </c>
      <c r="B894" s="336" t="s">
        <v>67</v>
      </c>
      <c r="C894" s="336" t="s">
        <v>2283</v>
      </c>
      <c r="D894" s="336" t="s">
        <v>2283</v>
      </c>
      <c r="E894" s="337" t="s">
        <v>69</v>
      </c>
      <c r="F894" s="336"/>
      <c r="G894" s="338" t="str">
        <f t="array" ref="G894">IF(B894="insumo",_xlfn.XLOOKUP($D894,Insumos!$B$1:$B$996,Insumos!$D$1:$D$996),"")</f>
        <v/>
      </c>
      <c r="H894" s="338">
        <v>35.1</v>
      </c>
      <c r="I894" s="339" t="e">
        <v>#REF!</v>
      </c>
      <c r="J894" s="339" t="e">
        <v>#REF!</v>
      </c>
      <c r="K894" s="339"/>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77">
        <v>1</v>
      </c>
      <c r="B895" s="77" t="s">
        <v>70</v>
      </c>
      <c r="C895" s="77" t="s">
        <v>2283</v>
      </c>
      <c r="D895" s="77" t="s">
        <v>2287</v>
      </c>
      <c r="E895" s="11" t="str">
        <f t="array" ref="E895">_xlfn.XLOOKUP(D895,Insumos!B:B,Insumos!C:$C)</f>
        <v>UN</v>
      </c>
      <c r="F895" s="81">
        <f>ROUNDUP(1/(0.19*0.39),)</f>
        <v>14</v>
      </c>
      <c r="G895" s="87">
        <f t="array" ref="G895">IF(B895="insumo",_xlfn.XLOOKUP($D895,Insumos!$B$1:$B$996,Insumos!$D$1:$D$996),"")</f>
        <v>1.9</v>
      </c>
      <c r="H895" s="87">
        <v>26.6</v>
      </c>
      <c r="I895" s="79" t="e">
        <v>#REF!</v>
      </c>
      <c r="J895" s="79" t="e">
        <v>#REF!</v>
      </c>
      <c r="K895" s="79"/>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77">
        <v>27</v>
      </c>
      <c r="B896" s="77" t="s">
        <v>70</v>
      </c>
      <c r="C896" s="77" t="s">
        <v>2283</v>
      </c>
      <c r="D896" s="77" t="s">
        <v>341</v>
      </c>
      <c r="E896" s="11" t="str">
        <f t="array" ref="E896">_xlfn.XLOOKUP(D896,Insumos!B:B,Insumos!C:$C)</f>
        <v>M3</v>
      </c>
      <c r="F896" s="81">
        <v>0.02</v>
      </c>
      <c r="G896" s="87">
        <f t="array" ref="G896">IF(B896="insumo",_xlfn.XLOOKUP($D896,Insumos!$B$1:$B$996,Insumos!$D$1:$D$996),"")</f>
        <v>425</v>
      </c>
      <c r="H896" s="87">
        <v>8.5</v>
      </c>
      <c r="I896" s="79" t="e">
        <v>#REF!</v>
      </c>
      <c r="J896" s="79" t="e">
        <v>#REF!</v>
      </c>
      <c r="K896" s="79"/>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332">
        <v>1</v>
      </c>
      <c r="B897" s="332" t="s">
        <v>67</v>
      </c>
      <c r="C897" s="332" t="s">
        <v>349</v>
      </c>
      <c r="D897" s="332" t="s">
        <v>349</v>
      </c>
      <c r="E897" s="333" t="s">
        <v>69</v>
      </c>
      <c r="F897" s="332"/>
      <c r="G897" s="334" t="str">
        <f t="array" ref="G897">IF(B897="insumo",_xlfn.XLOOKUP($D897,Insumos!$B$1:$B$996,Insumos!$D$1:$D$996),"")</f>
        <v/>
      </c>
      <c r="H897" s="334">
        <v>47.35</v>
      </c>
      <c r="I897" s="335">
        <v>0</v>
      </c>
      <c r="J897" s="335">
        <v>0</v>
      </c>
      <c r="K897" s="335"/>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70</v>
      </c>
      <c r="C898" s="10" t="s">
        <v>349</v>
      </c>
      <c r="D898" s="10" t="s">
        <v>350</v>
      </c>
      <c r="E898" s="11" t="str">
        <f t="array" ref="E898">_xlfn.XLOOKUP(D898,Insumos!B:B,Insumos!C:$C)</f>
        <v>UN</v>
      </c>
      <c r="F898" s="14">
        <f>ROUNDUP(1/(0.115*0.24),)</f>
        <v>37</v>
      </c>
      <c r="G898" s="87">
        <f t="array" ref="G898">IF(B898="insumo",_xlfn.XLOOKUP($D898,Insumos!$B$1:$B$996,Insumos!$D$1:$D$996),"")</f>
        <v>1.05</v>
      </c>
      <c r="H898" s="87">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70</v>
      </c>
      <c r="C899" s="10" t="s">
        <v>349</v>
      </c>
      <c r="D899" s="10" t="s">
        <v>341</v>
      </c>
      <c r="E899" s="11" t="str">
        <f t="array" ref="E899">_xlfn.XLOOKUP(D899,Insumos!B:B,Insumos!C:$C)</f>
        <v>M3</v>
      </c>
      <c r="F899" s="14">
        <v>0.02</v>
      </c>
      <c r="G899" s="87">
        <f t="array" ref="G899">IF(B899="insumo",_xlfn.XLOOKUP($D899,Insumos!$B$1:$B$996,Insumos!$D$1:$D$996),"")</f>
        <v>425</v>
      </c>
      <c r="H899" s="87">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332">
        <v>1</v>
      </c>
      <c r="B900" s="332" t="s">
        <v>67</v>
      </c>
      <c r="C900" s="332" t="s">
        <v>1575</v>
      </c>
      <c r="D900" s="332" t="s">
        <v>1575</v>
      </c>
      <c r="E900" s="333" t="s">
        <v>69</v>
      </c>
      <c r="F900" s="332"/>
      <c r="G900" s="334" t="str">
        <f t="array" ref="G900">IF(B900="insumo",_xlfn.XLOOKUP($D900,Insumos!$B$1:$B$996,Insumos!$D$1:$D$996),"")</f>
        <v/>
      </c>
      <c r="H900" s="334">
        <v>53.02</v>
      </c>
      <c r="I900" s="335">
        <v>0</v>
      </c>
      <c r="J900" s="335">
        <v>0</v>
      </c>
      <c r="K900" s="335"/>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70</v>
      </c>
      <c r="C901" s="10" t="s">
        <v>1575</v>
      </c>
      <c r="D901" s="10" t="s">
        <v>1574</v>
      </c>
      <c r="E901" s="11" t="str">
        <f t="array" ref="E901">_xlfn.XLOOKUP(D901,Insumos!B:B,Insumos!C:$C)</f>
        <v>UN</v>
      </c>
      <c r="F901" s="14">
        <f>ROUNDUP(1/(0.19*0.19),)</f>
        <v>28</v>
      </c>
      <c r="G901" s="87">
        <f t="array" ref="G901">IF(B901="insumo",_xlfn.XLOOKUP($D901,Insumos!$B$1:$B$996,Insumos!$D$1:$D$996),"")</f>
        <v>1.59</v>
      </c>
      <c r="H901" s="87">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70</v>
      </c>
      <c r="C902" s="10" t="s">
        <v>1575</v>
      </c>
      <c r="D902" s="10" t="s">
        <v>355</v>
      </c>
      <c r="E902" s="11" t="str">
        <f t="array" ref="E902">_xlfn.XLOOKUP(D902,Insumos!B:B,Insumos!C:$C)</f>
        <v>M3</v>
      </c>
      <c r="F902" s="14">
        <v>0.02</v>
      </c>
      <c r="G902" s="87">
        <f t="array" ref="G902">IF(B902="insumo",_xlfn.XLOOKUP($D902,Insumos!$B$1:$B$996,Insumos!$D$1:$D$996),"")</f>
        <v>425</v>
      </c>
      <c r="H902" s="87">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332">
        <v>1</v>
      </c>
      <c r="B903" s="332" t="s">
        <v>67</v>
      </c>
      <c r="C903" s="332" t="s">
        <v>403</v>
      </c>
      <c r="D903" s="332" t="s">
        <v>403</v>
      </c>
      <c r="E903" s="333" t="s">
        <v>69</v>
      </c>
      <c r="F903" s="332"/>
      <c r="G903" s="334" t="str">
        <f t="array" ref="G903">IF(B903="insumo",_xlfn.XLOOKUP($D903,Insumos!$B$1:$B$996,Insumos!$D$1:$D$996),"")</f>
        <v/>
      </c>
      <c r="H903" s="334">
        <v>39.985453999999997</v>
      </c>
      <c r="I903" s="335">
        <v>0</v>
      </c>
      <c r="J903" s="335">
        <v>0</v>
      </c>
      <c r="K903" s="335"/>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70</v>
      </c>
      <c r="C904" s="10" t="s">
        <v>403</v>
      </c>
      <c r="D904" s="10" t="s">
        <v>340</v>
      </c>
      <c r="E904" s="11" t="str">
        <f t="array" ref="E904">_xlfn.XLOOKUP(D904,Insumos!B:B,Insumos!C:$C)</f>
        <v>UN</v>
      </c>
      <c r="F904" s="14">
        <f>ROUNDUP(1/(0.19*0.19),)</f>
        <v>28</v>
      </c>
      <c r="G904" s="87">
        <f t="array" ref="G904">IF(B904="insumo",_xlfn.XLOOKUP($D904,Insumos!$B$1:$B$996,Insumos!$D$1:$D$996),"")</f>
        <v>0.99</v>
      </c>
      <c r="H904" s="87">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70</v>
      </c>
      <c r="C905" s="10" t="s">
        <v>403</v>
      </c>
      <c r="D905" s="10" t="s">
        <v>341</v>
      </c>
      <c r="E905" s="11" t="str">
        <f t="array" ref="E905">_xlfn.XLOOKUP(D905,Insumos!B:B,Insumos!C:$C)</f>
        <v>M3</v>
      </c>
      <c r="F905" s="14">
        <v>0.02</v>
      </c>
      <c r="G905" s="87">
        <f t="array" ref="G905">IF(B905="insumo",_xlfn.XLOOKUP($D905,Insumos!$B$1:$B$996,Insumos!$D$1:$D$996),"")</f>
        <v>425</v>
      </c>
      <c r="H905" s="87">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70</v>
      </c>
      <c r="C906" s="10" t="s">
        <v>403</v>
      </c>
      <c r="D906" s="10" t="s">
        <v>404</v>
      </c>
      <c r="E906" s="11" t="str">
        <f t="array" ref="E906">_xlfn.XLOOKUP(D906,Insumos!B:B,Insumos!C:$C)</f>
        <v>KG</v>
      </c>
      <c r="F906" s="14">
        <v>1.0978000000000001</v>
      </c>
      <c r="G906" s="87">
        <f t="array" ref="G906">IF(B906="insumo",_xlfn.XLOOKUP($D906,Insumos!$B$1:$B$996,Insumos!$D$1:$D$996),"")</f>
        <v>3.43</v>
      </c>
      <c r="H906" s="87">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355">
        <v>5</v>
      </c>
      <c r="B907" s="355" t="s">
        <v>1227</v>
      </c>
      <c r="C907" s="355" t="s">
        <v>403</v>
      </c>
      <c r="D907" s="355" t="s">
        <v>1362</v>
      </c>
      <c r="E907" s="356"/>
      <c r="F907" s="357"/>
      <c r="G907" s="356"/>
      <c r="H907" s="356">
        <v>0</v>
      </c>
      <c r="I907" s="357">
        <v>0</v>
      </c>
      <c r="J907" s="357">
        <v>0</v>
      </c>
      <c r="K907" s="357"/>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332">
        <v>1</v>
      </c>
      <c r="B908" s="332" t="s">
        <v>67</v>
      </c>
      <c r="C908" s="332" t="s">
        <v>347</v>
      </c>
      <c r="D908" s="332" t="s">
        <v>347</v>
      </c>
      <c r="E908" s="333" t="s">
        <v>69</v>
      </c>
      <c r="F908" s="332"/>
      <c r="G908" s="334" t="str">
        <f t="array" ref="G908">IF(B908="insumo",_xlfn.XLOOKUP($D908,Insumos!$B$1:$B$996,Insumos!$D$1:$D$996),"")</f>
        <v/>
      </c>
      <c r="H908" s="334">
        <v>46.3</v>
      </c>
      <c r="I908" s="335">
        <v>0</v>
      </c>
      <c r="J908" s="335">
        <v>0</v>
      </c>
      <c r="K908" s="335"/>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70</v>
      </c>
      <c r="C909" s="10" t="s">
        <v>347</v>
      </c>
      <c r="D909" s="10" t="s">
        <v>348</v>
      </c>
      <c r="E909" s="11" t="str">
        <f t="array" ref="E909">_xlfn.XLOOKUP(D909,Insumos!B:B,Insumos!C:$C)</f>
        <v>UN</v>
      </c>
      <c r="F909" s="14">
        <f>ROUNDUP(1/(0.19*0.39),)</f>
        <v>14</v>
      </c>
      <c r="G909" s="87">
        <f t="array" ref="G909">IF(B909="insumo",_xlfn.XLOOKUP($D909,Insumos!$B$1:$B$996,Insumos!$D$1:$D$996),"")</f>
        <v>2.7</v>
      </c>
      <c r="H909" s="87">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70</v>
      </c>
      <c r="C910" s="10" t="s">
        <v>347</v>
      </c>
      <c r="D910" s="10" t="s">
        <v>341</v>
      </c>
      <c r="E910" s="11" t="str">
        <f t="array" ref="E910">_xlfn.XLOOKUP(D910,Insumos!B:B,Insumos!C:$C)</f>
        <v>M3</v>
      </c>
      <c r="F910" s="14">
        <v>0.02</v>
      </c>
      <c r="G910" s="87">
        <f t="array" ref="G910">IF(B910="insumo",_xlfn.XLOOKUP($D910,Insumos!$B$1:$B$996,Insumos!$D$1:$D$996),"")</f>
        <v>425</v>
      </c>
      <c r="H910" s="87">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332">
        <v>1</v>
      </c>
      <c r="B911" s="332" t="s">
        <v>67</v>
      </c>
      <c r="C911" s="332" t="s">
        <v>1303</v>
      </c>
      <c r="D911" s="332" t="s">
        <v>1303</v>
      </c>
      <c r="E911" s="333" t="s">
        <v>69</v>
      </c>
      <c r="F911" s="332"/>
      <c r="G911" s="334" t="str">
        <f t="array" ref="G911">IF(B911="insumo",_xlfn.XLOOKUP($D911,Insumos!$B$1:$B$996,Insumos!$D$1:$D$996),"")</f>
        <v/>
      </c>
      <c r="H911" s="334">
        <v>56.8</v>
      </c>
      <c r="I911" s="335">
        <v>0</v>
      </c>
      <c r="J911" s="335">
        <v>0</v>
      </c>
      <c r="K911" s="335"/>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70</v>
      </c>
      <c r="C912" s="10" t="s">
        <v>1303</v>
      </c>
      <c r="D912" s="10" t="s">
        <v>1305</v>
      </c>
      <c r="E912" s="11" t="str">
        <f t="array" ref="E912">_xlfn.XLOOKUP(D912,Insumos!B:B,Insumos!C:$C)</f>
        <v>UN</v>
      </c>
      <c r="F912" s="14">
        <f>ROUNDUP(1/(0.19*0.39),)</f>
        <v>14</v>
      </c>
      <c r="G912" s="87">
        <f t="array" ref="G912">IF(B912="insumo",_xlfn.XLOOKUP($D912,Insumos!$B$1:$B$996,Insumos!$D$1:$D$996),"")</f>
        <v>3.4500000000000006</v>
      </c>
      <c r="H912" s="87">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70</v>
      </c>
      <c r="C913" s="10" t="s">
        <v>1303</v>
      </c>
      <c r="D913" s="10" t="s">
        <v>341</v>
      </c>
      <c r="E913" s="11" t="str">
        <f t="array" ref="E913">_xlfn.XLOOKUP(D913,Insumos!B:B,Insumos!C:$C)</f>
        <v>M3</v>
      </c>
      <c r="F913" s="14">
        <v>0.02</v>
      </c>
      <c r="G913" s="87">
        <f t="array" ref="G913">IF(B913="insumo",_xlfn.XLOOKUP($D913,Insumos!$B$1:$B$996,Insumos!$D$1:$D$996),"")</f>
        <v>425</v>
      </c>
      <c r="H913" s="87">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332">
        <v>1</v>
      </c>
      <c r="B914" s="332" t="s">
        <v>67</v>
      </c>
      <c r="C914" s="332" t="s">
        <v>1304</v>
      </c>
      <c r="D914" s="332" t="s">
        <v>1304</v>
      </c>
      <c r="E914" s="333" t="s">
        <v>69</v>
      </c>
      <c r="F914" s="332"/>
      <c r="G914" s="334" t="str">
        <f t="array" ref="G914">IF(B914="insumo",_xlfn.XLOOKUP($D914,Insumos!$B$1:$B$996,Insumos!$D$1:$D$996),"")</f>
        <v/>
      </c>
      <c r="H914" s="334">
        <v>88.3</v>
      </c>
      <c r="I914" s="335">
        <v>0</v>
      </c>
      <c r="J914" s="335">
        <v>0</v>
      </c>
      <c r="K914" s="335"/>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70</v>
      </c>
      <c r="C915" s="10" t="s">
        <v>1304</v>
      </c>
      <c r="D915" s="10" t="s">
        <v>1306</v>
      </c>
      <c r="E915" s="11" t="str">
        <f t="array" ref="E915">_xlfn.XLOOKUP(D915,Insumos!B:B,Insumos!C:$C)</f>
        <v>UN</v>
      </c>
      <c r="F915" s="14">
        <f>ROUNDUP(1/(0.19*0.39),)</f>
        <v>14</v>
      </c>
      <c r="G915" s="87">
        <f t="array" ref="G915">IF(B915="insumo",_xlfn.XLOOKUP($D915,Insumos!$B$1:$B$996,Insumos!$D$1:$D$996),"")</f>
        <v>5.7000000000000011</v>
      </c>
      <c r="H915" s="87">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70</v>
      </c>
      <c r="C916" s="10" t="s">
        <v>1304</v>
      </c>
      <c r="D916" s="10" t="s">
        <v>341</v>
      </c>
      <c r="E916" s="11" t="str">
        <f t="array" ref="E916">_xlfn.XLOOKUP(D916,Insumos!B:B,Insumos!C:$C)</f>
        <v>M3</v>
      </c>
      <c r="F916" s="14">
        <v>0.02</v>
      </c>
      <c r="G916" s="87">
        <f t="array" ref="G916">IF(B916="insumo",_xlfn.XLOOKUP($D916,Insumos!$B$1:$B$996,Insumos!$D$1:$D$996),"")</f>
        <v>425</v>
      </c>
      <c r="H916" s="87">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355">
        <v>1</v>
      </c>
      <c r="B917" s="355" t="s">
        <v>1227</v>
      </c>
      <c r="C917" s="355" t="s">
        <v>1304</v>
      </c>
      <c r="D917" s="355" t="s">
        <v>1653</v>
      </c>
      <c r="E917" s="356"/>
      <c r="F917" s="357"/>
      <c r="G917" s="356"/>
      <c r="H917" s="356">
        <v>0</v>
      </c>
      <c r="I917" s="357">
        <v>0</v>
      </c>
      <c r="J917" s="357">
        <v>0</v>
      </c>
      <c r="K917" s="357"/>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336">
        <v>1</v>
      </c>
      <c r="B918" s="336" t="s">
        <v>67</v>
      </c>
      <c r="C918" s="336" t="s">
        <v>1654</v>
      </c>
      <c r="D918" s="336" t="s">
        <v>1654</v>
      </c>
      <c r="E918" s="337" t="s">
        <v>69</v>
      </c>
      <c r="F918" s="336"/>
      <c r="G918" s="338" t="str">
        <f t="array" ref="G918">IF(B918="insumo",_xlfn.XLOOKUP($D918,Insumos!$B$1:$B$996,Insumos!$D$1:$D$996),"")</f>
        <v/>
      </c>
      <c r="H918" s="338">
        <v>75.7</v>
      </c>
      <c r="I918" s="339">
        <v>0</v>
      </c>
      <c r="J918" s="339">
        <v>0</v>
      </c>
      <c r="K918" s="339"/>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77">
        <v>1</v>
      </c>
      <c r="B919" s="77" t="s">
        <v>70</v>
      </c>
      <c r="C919" s="77" t="s">
        <v>1654</v>
      </c>
      <c r="D919" s="77" t="s">
        <v>1655</v>
      </c>
      <c r="E919" s="11" t="str">
        <f t="array" ref="E919">_xlfn.XLOOKUP(D919,Insumos!B:B,Insumos!C:$C)</f>
        <v>UN</v>
      </c>
      <c r="F919" s="81">
        <f>ROUNDUP(1/(0.19*0.39),)</f>
        <v>14</v>
      </c>
      <c r="G919" s="87">
        <f t="array" ref="G919">IF(B919="insumo",_xlfn.XLOOKUP($D919,Insumos!$B$1:$B$996,Insumos!$D$1:$D$996),"")</f>
        <v>4.8</v>
      </c>
      <c r="H919" s="87">
        <v>67.2</v>
      </c>
      <c r="I919" s="79">
        <v>0</v>
      </c>
      <c r="J919" s="79">
        <v>0</v>
      </c>
      <c r="K919" s="79"/>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77">
        <v>27</v>
      </c>
      <c r="B920" s="77" t="s">
        <v>70</v>
      </c>
      <c r="C920" s="77" t="s">
        <v>1654</v>
      </c>
      <c r="D920" s="77" t="s">
        <v>341</v>
      </c>
      <c r="E920" s="11" t="str">
        <f t="array" ref="E920">_xlfn.XLOOKUP(D920,Insumos!B:B,Insumos!C:$C)</f>
        <v>M3</v>
      </c>
      <c r="F920" s="81">
        <v>0.02</v>
      </c>
      <c r="G920" s="87">
        <f t="array" ref="G920">IF(B920="insumo",_xlfn.XLOOKUP($D920,Insumos!$B$1:$B$996,Insumos!$D$1:$D$996),"")</f>
        <v>425</v>
      </c>
      <c r="H920" s="87">
        <v>8.5</v>
      </c>
      <c r="I920" s="79">
        <v>0</v>
      </c>
      <c r="J920" s="79">
        <v>0</v>
      </c>
      <c r="K920" s="79"/>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336">
        <v>1</v>
      </c>
      <c r="B921" s="336" t="s">
        <v>67</v>
      </c>
      <c r="C921" s="336" t="s">
        <v>1656</v>
      </c>
      <c r="D921" s="336" t="s">
        <v>1656</v>
      </c>
      <c r="E921" s="337" t="s">
        <v>69</v>
      </c>
      <c r="F921" s="336"/>
      <c r="G921" s="338" t="str">
        <f t="array" ref="G921">IF(B921="insumo",_xlfn.XLOOKUP($D921,Insumos!$B$1:$B$996,Insumos!$D$1:$D$996),"")</f>
        <v/>
      </c>
      <c r="H921" s="338">
        <v>103.7</v>
      </c>
      <c r="I921" s="339">
        <v>0</v>
      </c>
      <c r="J921" s="339">
        <v>0</v>
      </c>
      <c r="K921" s="339"/>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77">
        <v>1</v>
      </c>
      <c r="B922" s="77" t="s">
        <v>70</v>
      </c>
      <c r="C922" s="77" t="s">
        <v>1656</v>
      </c>
      <c r="D922" s="77" t="s">
        <v>1657</v>
      </c>
      <c r="E922" s="11" t="str">
        <f t="array" ref="E922">_xlfn.XLOOKUP(D922,Insumos!B:B,Insumos!C:$C)</f>
        <v>UN</v>
      </c>
      <c r="F922" s="81">
        <f>ROUNDUP(1/(0.19*0.39),)</f>
        <v>14</v>
      </c>
      <c r="G922" s="87">
        <f t="array" ref="G922">IF(B922="insumo",_xlfn.XLOOKUP($D922,Insumos!$B$1:$B$996,Insumos!$D$1:$D$996),"")</f>
        <v>6.8</v>
      </c>
      <c r="H922" s="87">
        <v>95.2</v>
      </c>
      <c r="I922" s="79">
        <v>0</v>
      </c>
      <c r="J922" s="79">
        <v>0</v>
      </c>
      <c r="K922" s="79"/>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77">
        <v>27</v>
      </c>
      <c r="B923" s="77" t="s">
        <v>70</v>
      </c>
      <c r="C923" s="77" t="s">
        <v>1656</v>
      </c>
      <c r="D923" s="77" t="s">
        <v>341</v>
      </c>
      <c r="E923" s="11" t="str">
        <f t="array" ref="E923">_xlfn.XLOOKUP(D923,Insumos!B:B,Insumos!C:$C)</f>
        <v>M3</v>
      </c>
      <c r="F923" s="81">
        <v>0.02</v>
      </c>
      <c r="G923" s="87">
        <f t="array" ref="G923">IF(B923="insumo",_xlfn.XLOOKUP($D923,Insumos!$B$1:$B$996,Insumos!$D$1:$D$996),"")</f>
        <v>425</v>
      </c>
      <c r="H923" s="87">
        <v>8.5</v>
      </c>
      <c r="I923" s="79">
        <v>0</v>
      </c>
      <c r="J923" s="79">
        <v>0</v>
      </c>
      <c r="K923" s="79"/>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336">
        <v>1</v>
      </c>
      <c r="B924" s="336" t="s">
        <v>67</v>
      </c>
      <c r="C924" s="336" t="s">
        <v>1658</v>
      </c>
      <c r="D924" s="336" t="s">
        <v>1658</v>
      </c>
      <c r="E924" s="337" t="s">
        <v>69</v>
      </c>
      <c r="F924" s="336"/>
      <c r="G924" s="338" t="str">
        <f t="array" ref="G924">IF(B924="insumo",_xlfn.XLOOKUP($D924,Insumos!$B$1:$B$996,Insumos!$D$1:$D$996),"")</f>
        <v/>
      </c>
      <c r="H924" s="338">
        <v>145.69999999999999</v>
      </c>
      <c r="I924" s="339">
        <v>0</v>
      </c>
      <c r="J924" s="339">
        <v>0</v>
      </c>
      <c r="K924" s="339"/>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77">
        <v>1</v>
      </c>
      <c r="B925" s="77" t="s">
        <v>70</v>
      </c>
      <c r="C925" s="77" t="s">
        <v>1658</v>
      </c>
      <c r="D925" s="77" t="s">
        <v>1659</v>
      </c>
      <c r="E925" s="11" t="str">
        <f t="array" ref="E925">_xlfn.XLOOKUP(D925,Insumos!B:B,Insumos!C:$C)</f>
        <v>UN</v>
      </c>
      <c r="F925" s="81">
        <f>ROUNDUP(1/(0.19*0.39),)</f>
        <v>14</v>
      </c>
      <c r="G925" s="87">
        <f t="array" ref="G925">IF(B925="insumo",_xlfn.XLOOKUP($D925,Insumos!$B$1:$B$996,Insumos!$D$1:$D$996),"")</f>
        <v>9.8000000000000007</v>
      </c>
      <c r="H925" s="87">
        <v>137.19999999999999</v>
      </c>
      <c r="I925" s="79">
        <v>0</v>
      </c>
      <c r="J925" s="79">
        <v>0</v>
      </c>
      <c r="K925" s="79"/>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77">
        <v>27</v>
      </c>
      <c r="B926" s="77" t="s">
        <v>70</v>
      </c>
      <c r="C926" s="77" t="s">
        <v>1658</v>
      </c>
      <c r="D926" s="77" t="s">
        <v>341</v>
      </c>
      <c r="E926" s="11" t="str">
        <f t="array" ref="E926">_xlfn.XLOOKUP(D926,Insumos!B:B,Insumos!C:$C)</f>
        <v>M3</v>
      </c>
      <c r="F926" s="81">
        <v>0.02</v>
      </c>
      <c r="G926" s="87">
        <f t="array" ref="G926">IF(B926="insumo",_xlfn.XLOOKUP($D926,Insumos!$B$1:$B$996,Insumos!$D$1:$D$996),"")</f>
        <v>425</v>
      </c>
      <c r="H926" s="87">
        <v>8.5</v>
      </c>
      <c r="I926" s="79">
        <v>0</v>
      </c>
      <c r="J926" s="79">
        <v>0</v>
      </c>
      <c r="K926" s="79"/>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336">
        <v>1</v>
      </c>
      <c r="B927" s="336" t="s">
        <v>67</v>
      </c>
      <c r="C927" s="336" t="s">
        <v>1660</v>
      </c>
      <c r="D927" s="336" t="s">
        <v>1660</v>
      </c>
      <c r="E927" s="337" t="s">
        <v>69</v>
      </c>
      <c r="F927" s="336"/>
      <c r="G927" s="338" t="str">
        <f t="array" ref="G927">IF(B927="insumo",_xlfn.XLOOKUP($D927,Insumos!$B$1:$B$996,Insumos!$D$1:$D$996),"")</f>
        <v/>
      </c>
      <c r="H927" s="338">
        <v>127.5</v>
      </c>
      <c r="I927" s="339" t="e">
        <v>#REF!</v>
      </c>
      <c r="J927" s="339" t="e">
        <v>#REF!</v>
      </c>
      <c r="K927" s="339"/>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77">
        <v>1</v>
      </c>
      <c r="B928" s="77" t="s">
        <v>70</v>
      </c>
      <c r="C928" s="77" t="s">
        <v>1660</v>
      </c>
      <c r="D928" s="77" t="s">
        <v>1661</v>
      </c>
      <c r="E928" s="11" t="str">
        <f t="array" ref="E928">_xlfn.XLOOKUP(D928,Insumos!B:B,Insumos!C:$C)</f>
        <v>UN</v>
      </c>
      <c r="F928" s="81">
        <f>ROUNDUP(1/(0.19*0.39),)</f>
        <v>14</v>
      </c>
      <c r="G928" s="87">
        <f t="array" ref="G928">IF(B928="insumo",_xlfn.XLOOKUP($D928,Insumos!$B$1:$B$996,Insumos!$D$1:$D$996),"")</f>
        <v>8.5</v>
      </c>
      <c r="H928" s="87">
        <v>119</v>
      </c>
      <c r="I928" s="79" t="e">
        <v>#REF!</v>
      </c>
      <c r="J928" s="79" t="e">
        <v>#REF!</v>
      </c>
      <c r="K928" s="79"/>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77">
        <v>27</v>
      </c>
      <c r="B929" s="77" t="s">
        <v>70</v>
      </c>
      <c r="C929" s="77" t="s">
        <v>1660</v>
      </c>
      <c r="D929" s="77" t="s">
        <v>341</v>
      </c>
      <c r="E929" s="11" t="str">
        <f t="array" ref="E929">_xlfn.XLOOKUP(D929,Insumos!B:B,Insumos!C:$C)</f>
        <v>M3</v>
      </c>
      <c r="F929" s="81">
        <v>0.02</v>
      </c>
      <c r="G929" s="87">
        <f t="array" ref="G929">IF(B929="insumo",_xlfn.XLOOKUP($D929,Insumos!$B$1:$B$996,Insumos!$D$1:$D$996),"")</f>
        <v>425</v>
      </c>
      <c r="H929" s="87">
        <v>8.5</v>
      </c>
      <c r="I929" s="79" t="e">
        <v>#REF!</v>
      </c>
      <c r="J929" s="79" t="e">
        <v>#REF!</v>
      </c>
      <c r="K929" s="79"/>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355">
        <v>1</v>
      </c>
      <c r="B930" s="355" t="s">
        <v>1227</v>
      </c>
      <c r="C930" s="355" t="s">
        <v>1660</v>
      </c>
      <c r="D930" s="355" t="s">
        <v>1644</v>
      </c>
      <c r="E930" s="356"/>
      <c r="F930" s="357"/>
      <c r="G930" s="356"/>
      <c r="H930" s="356">
        <v>0</v>
      </c>
      <c r="I930" s="357">
        <v>0</v>
      </c>
      <c r="J930" s="357">
        <v>0</v>
      </c>
      <c r="K930" s="357"/>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336">
        <v>1</v>
      </c>
      <c r="B931" s="336" t="s">
        <v>67</v>
      </c>
      <c r="C931" s="336" t="s">
        <v>1645</v>
      </c>
      <c r="D931" s="336" t="s">
        <v>1645</v>
      </c>
      <c r="E931" s="337" t="s">
        <v>69</v>
      </c>
      <c r="F931" s="336"/>
      <c r="G931" s="338" t="str">
        <f t="array" ref="G931">IF(B931="insumo",_xlfn.XLOOKUP($D931,Insumos!$B$1:$B$996,Insumos!$D$1:$D$996),"")</f>
        <v/>
      </c>
      <c r="H931" s="338">
        <v>71.5</v>
      </c>
      <c r="I931" s="339">
        <v>0</v>
      </c>
      <c r="J931" s="339">
        <v>0</v>
      </c>
      <c r="K931" s="339"/>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77">
        <v>1</v>
      </c>
      <c r="B932" s="77" t="s">
        <v>70</v>
      </c>
      <c r="C932" s="77" t="s">
        <v>1645</v>
      </c>
      <c r="D932" s="77" t="s">
        <v>1646</v>
      </c>
      <c r="E932" s="11" t="str">
        <f t="array" ref="E932">_xlfn.XLOOKUP(D932,Insumos!B:B,Insumos!C:$C)</f>
        <v>UN</v>
      </c>
      <c r="F932" s="81">
        <f>ROUNDUP(1/(0.19*0.39),)</f>
        <v>14</v>
      </c>
      <c r="G932" s="87">
        <f t="array" ref="G932">IF(B932="insumo",_xlfn.XLOOKUP($D932,Insumos!$B$1:$B$996,Insumos!$D$1:$D$996),"")</f>
        <v>4.5</v>
      </c>
      <c r="H932" s="87">
        <v>63</v>
      </c>
      <c r="I932" s="79">
        <v>0</v>
      </c>
      <c r="J932" s="79">
        <v>0</v>
      </c>
      <c r="K932" s="79"/>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77">
        <v>27</v>
      </c>
      <c r="B933" s="77" t="s">
        <v>70</v>
      </c>
      <c r="C933" s="77" t="s">
        <v>1645</v>
      </c>
      <c r="D933" s="77" t="s">
        <v>341</v>
      </c>
      <c r="E933" s="11" t="str">
        <f t="array" ref="E933">_xlfn.XLOOKUP(D933,Insumos!B:B,Insumos!C:$C)</f>
        <v>M3</v>
      </c>
      <c r="F933" s="81">
        <v>0.02</v>
      </c>
      <c r="G933" s="87">
        <f t="array" ref="G933">IF(B933="insumo",_xlfn.XLOOKUP($D933,Insumos!$B$1:$B$996,Insumos!$D$1:$D$996),"")</f>
        <v>425</v>
      </c>
      <c r="H933" s="87">
        <v>8.5</v>
      </c>
      <c r="I933" s="79">
        <v>0</v>
      </c>
      <c r="J933" s="79">
        <v>0</v>
      </c>
      <c r="K933" s="79"/>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336">
        <v>1</v>
      </c>
      <c r="B934" s="336" t="s">
        <v>67</v>
      </c>
      <c r="C934" s="336" t="s">
        <v>1647</v>
      </c>
      <c r="D934" s="336" t="s">
        <v>1647</v>
      </c>
      <c r="E934" s="337" t="s">
        <v>69</v>
      </c>
      <c r="F934" s="336"/>
      <c r="G934" s="338" t="str">
        <f t="array" ref="G934">IF(B934="insumo",_xlfn.XLOOKUP($D934,Insumos!$B$1:$B$996,Insumos!$D$1:$D$996),"")</f>
        <v/>
      </c>
      <c r="H934" s="338">
        <v>99.5</v>
      </c>
      <c r="I934" s="339">
        <v>0</v>
      </c>
      <c r="J934" s="339">
        <v>0</v>
      </c>
      <c r="K934" s="339"/>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77">
        <v>1</v>
      </c>
      <c r="B935" s="77" t="s">
        <v>70</v>
      </c>
      <c r="C935" s="77" t="s">
        <v>1647</v>
      </c>
      <c r="D935" s="77" t="s">
        <v>1648</v>
      </c>
      <c r="E935" s="11" t="str">
        <f t="array" ref="E935">_xlfn.XLOOKUP(D935,Insumos!B:B,Insumos!C:$C)</f>
        <v>UN</v>
      </c>
      <c r="F935" s="81">
        <f>ROUNDUP(1/(0.19*0.39),)</f>
        <v>14</v>
      </c>
      <c r="G935" s="87">
        <f t="array" ref="G935">IF(B935="insumo",_xlfn.XLOOKUP($D935,Insumos!$B$1:$B$996,Insumos!$D$1:$D$996),"")</f>
        <v>6.5</v>
      </c>
      <c r="H935" s="87">
        <v>91</v>
      </c>
      <c r="I935" s="79">
        <v>0</v>
      </c>
      <c r="J935" s="79">
        <v>0</v>
      </c>
      <c r="K935" s="79"/>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77">
        <v>27</v>
      </c>
      <c r="B936" s="77" t="s">
        <v>70</v>
      </c>
      <c r="C936" s="77" t="s">
        <v>1647</v>
      </c>
      <c r="D936" s="77" t="s">
        <v>341</v>
      </c>
      <c r="E936" s="11" t="str">
        <f t="array" ref="E936">_xlfn.XLOOKUP(D936,Insumos!B:B,Insumos!C:$C)</f>
        <v>M3</v>
      </c>
      <c r="F936" s="81">
        <v>0.02</v>
      </c>
      <c r="G936" s="87">
        <f t="array" ref="G936">IF(B936="insumo",_xlfn.XLOOKUP($D936,Insumos!$B$1:$B$996,Insumos!$D$1:$D$996),"")</f>
        <v>425</v>
      </c>
      <c r="H936" s="87">
        <v>8.5</v>
      </c>
      <c r="I936" s="79">
        <v>0</v>
      </c>
      <c r="J936" s="79">
        <v>0</v>
      </c>
      <c r="K936" s="79"/>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336">
        <v>1</v>
      </c>
      <c r="B937" s="336" t="s">
        <v>67</v>
      </c>
      <c r="C937" s="336" t="s">
        <v>1649</v>
      </c>
      <c r="D937" s="336" t="s">
        <v>1649</v>
      </c>
      <c r="E937" s="337" t="s">
        <v>69</v>
      </c>
      <c r="F937" s="336"/>
      <c r="G937" s="338" t="str">
        <f t="array" ref="G937">IF(B937="insumo",_xlfn.XLOOKUP($D937,Insumos!$B$1:$B$996,Insumos!$D$1:$D$996),"")</f>
        <v/>
      </c>
      <c r="H937" s="338">
        <v>148.5</v>
      </c>
      <c r="I937" s="339">
        <v>0</v>
      </c>
      <c r="J937" s="339">
        <v>0</v>
      </c>
      <c r="K937" s="339"/>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77">
        <v>1</v>
      </c>
      <c r="B938" s="77" t="s">
        <v>70</v>
      </c>
      <c r="C938" s="77" t="s">
        <v>1649</v>
      </c>
      <c r="D938" s="77" t="s">
        <v>1650</v>
      </c>
      <c r="E938" s="11" t="str">
        <f t="array" ref="E938">_xlfn.XLOOKUP(D938,Insumos!B:B,Insumos!C:$C)</f>
        <v>UN</v>
      </c>
      <c r="F938" s="81">
        <f>ROUNDUP(1/(0.19*0.39),)</f>
        <v>14</v>
      </c>
      <c r="G938" s="87">
        <f t="array" ref="G938">IF(B938="insumo",_xlfn.XLOOKUP($D938,Insumos!$B$1:$B$996,Insumos!$D$1:$D$996),"")</f>
        <v>10</v>
      </c>
      <c r="H938" s="87">
        <v>140</v>
      </c>
      <c r="I938" s="79">
        <v>0</v>
      </c>
      <c r="J938" s="79">
        <v>0</v>
      </c>
      <c r="K938" s="79"/>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77">
        <v>27</v>
      </c>
      <c r="B939" s="77" t="s">
        <v>70</v>
      </c>
      <c r="C939" s="77" t="s">
        <v>1649</v>
      </c>
      <c r="D939" s="77" t="s">
        <v>341</v>
      </c>
      <c r="E939" s="11" t="str">
        <f t="array" ref="E939">_xlfn.XLOOKUP(D939,Insumos!B:B,Insumos!C:$C)</f>
        <v>M3</v>
      </c>
      <c r="F939" s="81">
        <v>0.02</v>
      </c>
      <c r="G939" s="87">
        <f t="array" ref="G939">IF(B939="insumo",_xlfn.XLOOKUP($D939,Insumos!$B$1:$B$996,Insumos!$D$1:$D$996),"")</f>
        <v>425</v>
      </c>
      <c r="H939" s="87">
        <v>8.5</v>
      </c>
      <c r="I939" s="79">
        <v>0</v>
      </c>
      <c r="J939" s="79">
        <v>0</v>
      </c>
      <c r="K939" s="79"/>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336">
        <v>1</v>
      </c>
      <c r="B940" s="336" t="s">
        <v>67</v>
      </c>
      <c r="C940" s="336" t="s">
        <v>1651</v>
      </c>
      <c r="D940" s="336" t="s">
        <v>1651</v>
      </c>
      <c r="E940" s="337" t="s">
        <v>69</v>
      </c>
      <c r="F940" s="336"/>
      <c r="G940" s="338" t="str">
        <f t="array" ref="G940">IF(B940="insumo",_xlfn.XLOOKUP($D940,Insumos!$B$1:$B$996,Insumos!$D$1:$D$996),"")</f>
        <v/>
      </c>
      <c r="H940" s="338">
        <v>141.5</v>
      </c>
      <c r="I940" s="339">
        <v>0</v>
      </c>
      <c r="J940" s="339">
        <v>0</v>
      </c>
      <c r="K940" s="339"/>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77">
        <v>1</v>
      </c>
      <c r="B941" s="77" t="s">
        <v>70</v>
      </c>
      <c r="C941" s="77" t="s">
        <v>1651</v>
      </c>
      <c r="D941" s="77" t="s">
        <v>1652</v>
      </c>
      <c r="E941" s="11" t="str">
        <f t="array" ref="E941">_xlfn.XLOOKUP(D941,Insumos!B:B,Insumos!C:$C)</f>
        <v>UN</v>
      </c>
      <c r="F941" s="81">
        <f>ROUNDUP(1/(0.19*0.39),)</f>
        <v>14</v>
      </c>
      <c r="G941" s="87">
        <f t="array" ref="G941">IF(B941="insumo",_xlfn.XLOOKUP($D941,Insumos!$B$1:$B$996,Insumos!$D$1:$D$996),"")</f>
        <v>9.5</v>
      </c>
      <c r="H941" s="87">
        <v>133</v>
      </c>
      <c r="I941" s="79">
        <v>0</v>
      </c>
      <c r="J941" s="79">
        <v>0</v>
      </c>
      <c r="K941" s="79"/>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77">
        <v>27</v>
      </c>
      <c r="B942" s="77" t="s">
        <v>70</v>
      </c>
      <c r="C942" s="77" t="s">
        <v>1651</v>
      </c>
      <c r="D942" s="77" t="s">
        <v>341</v>
      </c>
      <c r="E942" s="11" t="str">
        <f t="array" ref="E942">_xlfn.XLOOKUP(D942,Insumos!B:B,Insumos!C:$C)</f>
        <v>M3</v>
      </c>
      <c r="F942" s="81">
        <v>0.02</v>
      </c>
      <c r="G942" s="87">
        <f t="array" ref="G942">IF(B942="insumo",_xlfn.XLOOKUP($D942,Insumos!$B$1:$B$996,Insumos!$D$1:$D$996),"")</f>
        <v>425</v>
      </c>
      <c r="H942" s="87">
        <v>8.5</v>
      </c>
      <c r="I942" s="79">
        <v>0</v>
      </c>
      <c r="J942" s="79">
        <v>0</v>
      </c>
      <c r="K942" s="79"/>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355">
        <v>1</v>
      </c>
      <c r="B943" s="355" t="s">
        <v>1227</v>
      </c>
      <c r="C943" s="355" t="s">
        <v>1651</v>
      </c>
      <c r="D943" s="355" t="s">
        <v>1363</v>
      </c>
      <c r="E943" s="356"/>
      <c r="F943" s="357"/>
      <c r="G943" s="356"/>
      <c r="H943" s="356">
        <v>0</v>
      </c>
      <c r="I943" s="357">
        <v>0</v>
      </c>
      <c r="J943" s="357">
        <v>0</v>
      </c>
      <c r="K943" s="357"/>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332">
        <v>1</v>
      </c>
      <c r="B944" s="332" t="s">
        <v>67</v>
      </c>
      <c r="C944" s="332" t="s">
        <v>1309</v>
      </c>
      <c r="D944" s="332" t="s">
        <v>1309</v>
      </c>
      <c r="E944" s="333" t="s">
        <v>69</v>
      </c>
      <c r="F944" s="332"/>
      <c r="G944" s="334" t="str">
        <f t="array" ref="G944">IF(B944="insumo",_xlfn.XLOOKUP($D944,Insumos!$B$1:$B$996,Insumos!$D$1:$D$996),"")</f>
        <v/>
      </c>
      <c r="H944" s="334">
        <v>107.14</v>
      </c>
      <c r="I944" s="335">
        <v>0</v>
      </c>
      <c r="J944" s="335">
        <v>0</v>
      </c>
      <c r="K944" s="335"/>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70</v>
      </c>
      <c r="C945" s="10" t="s">
        <v>1309</v>
      </c>
      <c r="D945" s="10" t="s">
        <v>1311</v>
      </c>
      <c r="E945" s="11" t="str">
        <f t="array" ref="E945">_xlfn.XLOOKUP(D945,Insumos!B:B,Insumos!C:$C)</f>
        <v>M3</v>
      </c>
      <c r="F945" s="14">
        <f>ROUNDUP(1/(0.3*0.6),)</f>
        <v>6</v>
      </c>
      <c r="G945" s="87">
        <f t="array" ref="G945">IF(B945="insumo",_xlfn.XLOOKUP($D945,Insumos!$B$1:$B$996,Insumos!$D$1:$D$996),"")</f>
        <v>16.440000000000001</v>
      </c>
      <c r="H945" s="87">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70</v>
      </c>
      <c r="C946" s="10" t="s">
        <v>1309</v>
      </c>
      <c r="D946" s="10" t="s">
        <v>355</v>
      </c>
      <c r="E946" s="11" t="str">
        <f t="array" ref="E946">_xlfn.XLOOKUP(D946,Insumos!B:B,Insumos!C:$C)</f>
        <v>M3</v>
      </c>
      <c r="F946" s="14">
        <v>0.02</v>
      </c>
      <c r="G946" s="87">
        <f t="array" ref="G946">IF(B946="insumo",_xlfn.XLOOKUP($D946,Insumos!$B$1:$B$996,Insumos!$D$1:$D$996),"")</f>
        <v>425</v>
      </c>
      <c r="H946" s="87">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332">
        <v>1</v>
      </c>
      <c r="B947" s="332" t="s">
        <v>67</v>
      </c>
      <c r="C947" s="332" t="s">
        <v>1307</v>
      </c>
      <c r="D947" s="332" t="s">
        <v>1307</v>
      </c>
      <c r="E947" s="333" t="s">
        <v>69</v>
      </c>
      <c r="F947" s="332"/>
      <c r="G947" s="334" t="str">
        <f t="array" ref="G947">IF(B947="insumo",_xlfn.XLOOKUP($D947,Insumos!$B$1:$B$996,Insumos!$D$1:$D$996),"")</f>
        <v/>
      </c>
      <c r="H947" s="334">
        <v>115.96</v>
      </c>
      <c r="I947" s="335">
        <v>0</v>
      </c>
      <c r="J947" s="335">
        <v>0</v>
      </c>
      <c r="K947" s="335"/>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70</v>
      </c>
      <c r="C948" s="10" t="s">
        <v>1307</v>
      </c>
      <c r="D948" s="10" t="s">
        <v>360</v>
      </c>
      <c r="E948" s="11" t="str">
        <f t="array" ref="E948">_xlfn.XLOOKUP(D948,Insumos!B:B,Insumos!C:$C)</f>
        <v>M3</v>
      </c>
      <c r="F948" s="14">
        <f>ROUNDUP(1/(0.3*0.6),)</f>
        <v>6</v>
      </c>
      <c r="G948" s="87">
        <f t="array" ref="G948">IF(B948="insumo",_xlfn.XLOOKUP($D948,Insumos!$B$1:$B$996,Insumos!$D$1:$D$996),"")</f>
        <v>17.91</v>
      </c>
      <c r="H948" s="87">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70</v>
      </c>
      <c r="C949" s="10" t="s">
        <v>1307</v>
      </c>
      <c r="D949" s="10" t="s">
        <v>355</v>
      </c>
      <c r="E949" s="11" t="str">
        <f t="array" ref="E949">_xlfn.XLOOKUP(D949,Insumos!B:B,Insumos!C:$C)</f>
        <v>M3</v>
      </c>
      <c r="F949" s="14">
        <v>0.02</v>
      </c>
      <c r="G949" s="87">
        <f t="array" ref="G949">IF(B949="insumo",_xlfn.XLOOKUP($D949,Insumos!$B$1:$B$996,Insumos!$D$1:$D$996),"")</f>
        <v>425</v>
      </c>
      <c r="H949" s="87">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332">
        <v>1</v>
      </c>
      <c r="B950" s="332" t="s">
        <v>67</v>
      </c>
      <c r="C950" s="332" t="s">
        <v>1308</v>
      </c>
      <c r="D950" s="332" t="s">
        <v>1308</v>
      </c>
      <c r="E950" s="333" t="s">
        <v>69</v>
      </c>
      <c r="F950" s="332"/>
      <c r="G950" s="334" t="str">
        <f t="array" ref="G950">IF(B950="insumo",_xlfn.XLOOKUP($D950,Insumos!$B$1:$B$996,Insumos!$D$1:$D$996),"")</f>
        <v/>
      </c>
      <c r="H950" s="334">
        <v>82.96</v>
      </c>
      <c r="I950" s="335" t="e">
        <v>#REF!</v>
      </c>
      <c r="J950" s="335" t="e">
        <v>#REF!</v>
      </c>
      <c r="K950" s="335"/>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70</v>
      </c>
      <c r="C951" s="10" t="s">
        <v>1308</v>
      </c>
      <c r="D951" s="10" t="s">
        <v>359</v>
      </c>
      <c r="E951" s="11" t="str">
        <f t="array" ref="E951">_xlfn.XLOOKUP(D951,Insumos!B:B,Insumos!C:$C)</f>
        <v>M3</v>
      </c>
      <c r="F951" s="14">
        <f>ROUNDUP(1/(0.3*0.6),)</f>
        <v>6</v>
      </c>
      <c r="G951" s="87">
        <f t="array" ref="G951">IF(B951="insumo",_xlfn.XLOOKUP($D951,Insumos!$B$1:$B$996,Insumos!$D$1:$D$996),"")</f>
        <v>12.41</v>
      </c>
      <c r="H951" s="87">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70</v>
      </c>
      <c r="C952" s="10" t="s">
        <v>1308</v>
      </c>
      <c r="D952" s="10" t="s">
        <v>355</v>
      </c>
      <c r="E952" s="11" t="str">
        <f t="array" ref="E952">_xlfn.XLOOKUP(D952,Insumos!B:B,Insumos!C:$C)</f>
        <v>M3</v>
      </c>
      <c r="F952" s="14">
        <v>0.02</v>
      </c>
      <c r="G952" s="87">
        <f t="array" ref="G952">IF(B952="insumo",_xlfn.XLOOKUP($D952,Insumos!$B$1:$B$996,Insumos!$D$1:$D$996),"")</f>
        <v>425</v>
      </c>
      <c r="H952" s="87">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332">
        <v>1</v>
      </c>
      <c r="B953" s="332" t="s">
        <v>67</v>
      </c>
      <c r="C953" s="332" t="s">
        <v>1310</v>
      </c>
      <c r="D953" s="332" t="s">
        <v>1310</v>
      </c>
      <c r="E953" s="333" t="s">
        <v>69</v>
      </c>
      <c r="F953" s="332"/>
      <c r="G953" s="334" t="str">
        <f t="array" ref="G953">IF(B953="insumo",_xlfn.XLOOKUP($D953,Insumos!$B$1:$B$996,Insumos!$D$1:$D$996),"")</f>
        <v/>
      </c>
      <c r="H953" s="334">
        <v>72.760000000000005</v>
      </c>
      <c r="I953" s="335">
        <v>0</v>
      </c>
      <c r="J953" s="335">
        <v>0</v>
      </c>
      <c r="K953" s="335"/>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70</v>
      </c>
      <c r="C954" s="10" t="s">
        <v>1310</v>
      </c>
      <c r="D954" s="10" t="s">
        <v>358</v>
      </c>
      <c r="E954" s="11" t="str">
        <f t="array" ref="E954">_xlfn.XLOOKUP(D954,Insumos!B:B,Insumos!C:$C)</f>
        <v>M3</v>
      </c>
      <c r="F954" s="14">
        <f>ROUNDUP(1/(0.3*0.6),)</f>
        <v>6</v>
      </c>
      <c r="G954" s="87">
        <f t="array" ref="G954">IF(B954="insumo",_xlfn.XLOOKUP($D954,Insumos!$B$1:$B$996,Insumos!$D$1:$D$996),"")</f>
        <v>10.71</v>
      </c>
      <c r="H954" s="87">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70</v>
      </c>
      <c r="C955" s="10" t="s">
        <v>1310</v>
      </c>
      <c r="D955" s="10" t="s">
        <v>355</v>
      </c>
      <c r="E955" s="11" t="str">
        <f t="array" ref="E955">_xlfn.XLOOKUP(D955,Insumos!B:B,Insumos!C:$C)</f>
        <v>M3</v>
      </c>
      <c r="F955" s="14">
        <v>0.02</v>
      </c>
      <c r="G955" s="87">
        <f t="array" ref="G955">IF(B955="insumo",_xlfn.XLOOKUP($D955,Insumos!$B$1:$B$996,Insumos!$D$1:$D$996),"")</f>
        <v>425</v>
      </c>
      <c r="H955" s="87">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355">
        <v>1</v>
      </c>
      <c r="B956" s="355" t="s">
        <v>1227</v>
      </c>
      <c r="C956" s="355" t="s">
        <v>1310</v>
      </c>
      <c r="D956" s="355" t="s">
        <v>1366</v>
      </c>
      <c r="E956" s="356"/>
      <c r="F956" s="357"/>
      <c r="G956" s="356"/>
      <c r="H956" s="356">
        <v>0</v>
      </c>
      <c r="I956" s="357">
        <v>0</v>
      </c>
      <c r="J956" s="357">
        <v>0</v>
      </c>
      <c r="K956" s="357"/>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332">
        <v>1</v>
      </c>
      <c r="B957" s="332" t="s">
        <v>67</v>
      </c>
      <c r="C957" s="332" t="s">
        <v>379</v>
      </c>
      <c r="D957" s="332" t="s">
        <v>379</v>
      </c>
      <c r="E957" s="333" t="s">
        <v>69</v>
      </c>
      <c r="F957" s="332"/>
      <c r="G957" s="334" t="str">
        <f t="array" ref="G957">IF(B957="insumo",_xlfn.XLOOKUP($D957,Insumos!$B$1:$B$996,Insumos!$D$1:$D$996),"")</f>
        <v/>
      </c>
      <c r="H957" s="334">
        <v>309.52499999999998</v>
      </c>
      <c r="I957" s="335">
        <v>0</v>
      </c>
      <c r="J957" s="335">
        <v>0</v>
      </c>
      <c r="K957" s="335"/>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70</v>
      </c>
      <c r="C958" s="10" t="s">
        <v>379</v>
      </c>
      <c r="D958" s="10" t="s">
        <v>355</v>
      </c>
      <c r="E958" s="11" t="str">
        <f t="array" ref="E958">_xlfn.XLOOKUP(D958,Insumos!B:B,Insumos!C:$C)</f>
        <v>M3</v>
      </c>
      <c r="F958" s="14">
        <v>2.3E-2</v>
      </c>
      <c r="G958" s="87">
        <f t="array" ref="G958">IF(B958="insumo",_xlfn.XLOOKUP($D958,Insumos!$B$1:$B$996,Insumos!$D$1:$D$996),"")</f>
        <v>425</v>
      </c>
      <c r="H958" s="87">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70</v>
      </c>
      <c r="C959" s="10" t="s">
        <v>379</v>
      </c>
      <c r="D959" s="10" t="s">
        <v>380</v>
      </c>
      <c r="E959" s="11" t="str">
        <f t="array" ref="E959">_xlfn.XLOOKUP(D959,Insumos!B:B,Insumos!C:$C)</f>
        <v>UN</v>
      </c>
      <c r="F959" s="14">
        <v>25</v>
      </c>
      <c r="G959" s="87">
        <f t="array" ref="G959">IF(B959="insumo",_xlfn.XLOOKUP($D959,Insumos!$B$1:$B$996,Insumos!$D$1:$D$996),"")</f>
        <v>11.99</v>
      </c>
      <c r="H959" s="87">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332">
        <v>1</v>
      </c>
      <c r="B960" s="332" t="s">
        <v>67</v>
      </c>
      <c r="C960" s="332" t="s">
        <v>381</v>
      </c>
      <c r="D960" s="332" t="s">
        <v>381</v>
      </c>
      <c r="E960" s="333" t="s">
        <v>69</v>
      </c>
      <c r="F960" s="332"/>
      <c r="G960" s="334" t="str">
        <f t="array" ref="G960">IF(B960="insumo",_xlfn.XLOOKUP($D960,Insumos!$B$1:$B$996,Insumos!$D$1:$D$996),"")</f>
        <v/>
      </c>
      <c r="H960" s="334">
        <v>384.77499999999998</v>
      </c>
      <c r="I960" s="335">
        <v>0</v>
      </c>
      <c r="J960" s="335">
        <v>0</v>
      </c>
      <c r="K960" s="335"/>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70</v>
      </c>
      <c r="C961" s="10" t="s">
        <v>381</v>
      </c>
      <c r="D961" s="10" t="s">
        <v>355</v>
      </c>
      <c r="E961" s="11" t="str">
        <f t="array" ref="E961">_xlfn.XLOOKUP(D961,Insumos!B:B,Insumos!C:$C)</f>
        <v>M3</v>
      </c>
      <c r="F961" s="14">
        <v>2.3E-2</v>
      </c>
      <c r="G961" s="87">
        <f t="array" ref="G961">IF(B961="insumo",_xlfn.XLOOKUP($D961,Insumos!$B$1:$B$996,Insumos!$D$1:$D$996),"")</f>
        <v>425</v>
      </c>
      <c r="H961" s="87">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70</v>
      </c>
      <c r="C962" s="10" t="s">
        <v>381</v>
      </c>
      <c r="D962" s="10" t="s">
        <v>382</v>
      </c>
      <c r="E962" s="11" t="str">
        <f t="array" ref="E962">_xlfn.XLOOKUP(D962,Insumos!B:B,Insumos!C:$C)</f>
        <v>UN</v>
      </c>
      <c r="F962" s="14">
        <v>25</v>
      </c>
      <c r="G962" s="87">
        <f t="array" ref="G962">IF(B962="insumo",_xlfn.XLOOKUP($D962,Insumos!$B$1:$B$996,Insumos!$D$1:$D$996),"")</f>
        <v>15</v>
      </c>
      <c r="H962" s="87">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355">
        <v>1</v>
      </c>
      <c r="B963" s="355" t="s">
        <v>1227</v>
      </c>
      <c r="C963" s="355" t="s">
        <v>381</v>
      </c>
      <c r="D963" s="355" t="s">
        <v>1367</v>
      </c>
      <c r="E963" s="356"/>
      <c r="F963" s="357"/>
      <c r="G963" s="356"/>
      <c r="H963" s="356">
        <v>0</v>
      </c>
      <c r="I963" s="357">
        <v>0</v>
      </c>
      <c r="J963" s="357">
        <v>0</v>
      </c>
      <c r="K963" s="357"/>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332">
        <v>1</v>
      </c>
      <c r="B964" s="332" t="s">
        <v>67</v>
      </c>
      <c r="C964" s="332" t="s">
        <v>383</v>
      </c>
      <c r="D964" s="332" t="s">
        <v>383</v>
      </c>
      <c r="E964" s="333" t="s">
        <v>69</v>
      </c>
      <c r="F964" s="332"/>
      <c r="G964" s="334" t="str">
        <f t="array" ref="G964">IF(B964="insumo",_xlfn.XLOOKUP($D964,Insumos!$B$1:$B$996,Insumos!$D$1:$D$996),"")</f>
        <v/>
      </c>
      <c r="H964" s="334">
        <v>266.02625</v>
      </c>
      <c r="I964" s="335">
        <v>0</v>
      </c>
      <c r="J964" s="335">
        <v>0</v>
      </c>
      <c r="K964" s="335"/>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70</v>
      </c>
      <c r="C965" s="10" t="s">
        <v>383</v>
      </c>
      <c r="D965" s="10" t="s">
        <v>384</v>
      </c>
      <c r="E965" s="11" t="str">
        <f t="array" ref="E965">_xlfn.XLOOKUP(D965,Insumos!B:B,Insumos!C:$C)</f>
        <v>UN</v>
      </c>
      <c r="F965" s="14">
        <v>38</v>
      </c>
      <c r="G965" s="87">
        <f t="array" ref="G965">IF(B965="insumo",_xlfn.XLOOKUP($D965,Insumos!$B$1:$B$996,Insumos!$D$1:$D$996),"")</f>
        <v>7</v>
      </c>
      <c r="H965" s="87">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70</v>
      </c>
      <c r="C966" s="10" t="s">
        <v>383</v>
      </c>
      <c r="D966" s="10" t="s">
        <v>385</v>
      </c>
      <c r="E966" s="11" t="str">
        <f t="array" ref="E966">_xlfn.XLOOKUP(D966,Insumos!B:B,Insumos!C:$C)</f>
        <v>M3</v>
      </c>
      <c r="F966" s="14">
        <v>1.4999999999999999E-2</v>
      </c>
      <c r="G966" s="87">
        <f t="array" ref="G966">IF(B966="insumo",_xlfn.XLOOKUP($D966,Insumos!$B$1:$B$996,Insumos!$D$1:$D$996),"")</f>
        <v>1.75</v>
      </c>
      <c r="H966" s="87">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332">
        <v>1</v>
      </c>
      <c r="B967" s="332" t="s">
        <v>67</v>
      </c>
      <c r="C967" s="332" t="s">
        <v>386</v>
      </c>
      <c r="D967" s="332" t="s">
        <v>386</v>
      </c>
      <c r="E967" s="333" t="s">
        <v>69</v>
      </c>
      <c r="F967" s="332"/>
      <c r="G967" s="334" t="str">
        <f t="array" ref="G967">IF(B967="insumo",_xlfn.XLOOKUP($D967,Insumos!$B$1:$B$996,Insumos!$D$1:$D$996),"")</f>
        <v/>
      </c>
      <c r="H967" s="334">
        <v>226.113125</v>
      </c>
      <c r="I967" s="335">
        <v>0</v>
      </c>
      <c r="J967" s="335">
        <v>0</v>
      </c>
      <c r="K967" s="335"/>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70</v>
      </c>
      <c r="C968" s="10" t="s">
        <v>386</v>
      </c>
      <c r="D968" s="10" t="s">
        <v>387</v>
      </c>
      <c r="E968" s="11" t="str">
        <f t="array" ref="E968">_xlfn.XLOOKUP(D968,Insumos!B:B,Insumos!C:$C)</f>
        <v>UN</v>
      </c>
      <c r="F968" s="14">
        <v>38</v>
      </c>
      <c r="G968" s="87">
        <f t="array" ref="G968">IF(B968="insumo",_xlfn.XLOOKUP($D968,Insumos!$B$1:$B$996,Insumos!$D$1:$D$996),"")</f>
        <v>5.95</v>
      </c>
      <c r="H968" s="87">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70</v>
      </c>
      <c r="C969" s="10" t="s">
        <v>386</v>
      </c>
      <c r="D969" s="10" t="s">
        <v>385</v>
      </c>
      <c r="E969" s="11" t="str">
        <f t="array" ref="E969">_xlfn.XLOOKUP(D969,Insumos!B:B,Insumos!C:$C)</f>
        <v>M3</v>
      </c>
      <c r="F969" s="14">
        <v>7.4999999999999997E-3</v>
      </c>
      <c r="G969" s="87">
        <f t="array" ref="G969">IF(B969="insumo",_xlfn.XLOOKUP($D969,Insumos!$B$1:$B$996,Insumos!$D$1:$D$996),"")</f>
        <v>1.75</v>
      </c>
      <c r="H969" s="87">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355">
        <v>1</v>
      </c>
      <c r="B970" s="355" t="s">
        <v>1227</v>
      </c>
      <c r="C970" s="355" t="s">
        <v>386</v>
      </c>
      <c r="D970" s="355" t="s">
        <v>1368</v>
      </c>
      <c r="E970" s="356"/>
      <c r="F970" s="357"/>
      <c r="G970" s="356"/>
      <c r="H970" s="356">
        <v>0</v>
      </c>
      <c r="I970" s="357">
        <v>0</v>
      </c>
      <c r="J970" s="357">
        <v>0</v>
      </c>
      <c r="K970" s="357"/>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332">
        <v>1</v>
      </c>
      <c r="B971" s="332" t="s">
        <v>67</v>
      </c>
      <c r="C971" s="332" t="s">
        <v>388</v>
      </c>
      <c r="D971" s="332" t="s">
        <v>388</v>
      </c>
      <c r="E971" s="333" t="s">
        <v>112</v>
      </c>
      <c r="F971" s="332"/>
      <c r="G971" s="334" t="str">
        <f t="array" ref="G971">IF(B971="insumo",_xlfn.XLOOKUP($D971,Insumos!$B$1:$B$996,Insumos!$D$1:$D$996),"")</f>
        <v/>
      </c>
      <c r="H971" s="334">
        <v>14.7875</v>
      </c>
      <c r="I971" s="335" t="e">
        <v>#REF!</v>
      </c>
      <c r="J971" s="335" t="e">
        <v>#REF!</v>
      </c>
      <c r="K971" s="335"/>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70</v>
      </c>
      <c r="C972" s="10" t="s">
        <v>388</v>
      </c>
      <c r="D972" s="10" t="s">
        <v>355</v>
      </c>
      <c r="E972" s="11" t="str">
        <f t="array" ref="E972">_xlfn.XLOOKUP(D972,Insumos!B:B,Insumos!C:$C)</f>
        <v>M3</v>
      </c>
      <c r="F972" s="14">
        <v>3.5000000000000001E-3</v>
      </c>
      <c r="G972" s="87">
        <f t="array" ref="G972">IF(B972="insumo",_xlfn.XLOOKUP($D972,Insumos!$B$1:$B$996,Insumos!$D$1:$D$996),"")</f>
        <v>425</v>
      </c>
      <c r="H972" s="87">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70</v>
      </c>
      <c r="C973" s="10" t="s">
        <v>388</v>
      </c>
      <c r="D973" s="10" t="s">
        <v>389</v>
      </c>
      <c r="E973" s="11" t="str">
        <f t="array" ref="E973">_xlfn.XLOOKUP(D973,Insumos!B:B,Insumos!C:$C)</f>
        <v>KG</v>
      </c>
      <c r="F973" s="14">
        <v>7.0000000000000007E-2</v>
      </c>
      <c r="G973" s="87">
        <f t="array" ref="G973">IF(B973="insumo",_xlfn.XLOOKUP($D973,Insumos!$B$1:$B$996,Insumos!$D$1:$D$996),"")</f>
        <v>190</v>
      </c>
      <c r="H973" s="87">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332">
        <v>1</v>
      </c>
      <c r="B974" s="332" t="s">
        <v>67</v>
      </c>
      <c r="C974" s="332" t="s">
        <v>390</v>
      </c>
      <c r="D974" s="332" t="s">
        <v>390</v>
      </c>
      <c r="E974" s="333" t="s">
        <v>112</v>
      </c>
      <c r="F974" s="332"/>
      <c r="G974" s="334" t="str">
        <f t="array" ref="G974">IF(B974="insumo",_xlfn.XLOOKUP($D974,Insumos!$B$1:$B$996,Insumos!$D$1:$D$996),"")</f>
        <v/>
      </c>
      <c r="H974" s="334">
        <v>15.265566400000001</v>
      </c>
      <c r="I974" s="335">
        <v>0</v>
      </c>
      <c r="J974" s="335">
        <v>0</v>
      </c>
      <c r="K974" s="335"/>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70</v>
      </c>
      <c r="C975" s="10" t="s">
        <v>390</v>
      </c>
      <c r="D975" s="10" t="s">
        <v>391</v>
      </c>
      <c r="E975" s="11" t="str">
        <f t="array" ref="E975">_xlfn.XLOOKUP(D975,Insumos!B:B,Insumos!C:$C)</f>
        <v>kg</v>
      </c>
      <c r="F975" s="14">
        <v>0.76719999999999999</v>
      </c>
      <c r="G975" s="87">
        <f t="array" ref="G975">IF(B975="insumo",_xlfn.XLOOKUP($D975,Insumos!$B$1:$B$996,Insumos!$D$1:$D$996),"")</f>
        <v>2.5619999999999998</v>
      </c>
      <c r="H975" s="87">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70</v>
      </c>
      <c r="C976" s="10" t="s">
        <v>390</v>
      </c>
      <c r="D976" s="10" t="s">
        <v>389</v>
      </c>
      <c r="E976" s="11" t="str">
        <f t="array" ref="E976">_xlfn.XLOOKUP(D976,Insumos!B:B,Insumos!C:$C)</f>
        <v>KG</v>
      </c>
      <c r="F976" s="14">
        <v>7.0000000000000007E-2</v>
      </c>
      <c r="G976" s="87">
        <f t="array" ref="G976">IF(B976="insumo",_xlfn.XLOOKUP($D976,Insumos!$B$1:$B$996,Insumos!$D$1:$D$996),"")</f>
        <v>190</v>
      </c>
      <c r="H976" s="87">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332">
        <v>1</v>
      </c>
      <c r="B977" s="332" t="s">
        <v>67</v>
      </c>
      <c r="C977" s="332" t="s">
        <v>392</v>
      </c>
      <c r="D977" s="332" t="s">
        <v>392</v>
      </c>
      <c r="E977" s="333" t="s">
        <v>196</v>
      </c>
      <c r="F977" s="332"/>
      <c r="G977" s="334" t="str">
        <f t="array" ref="G977">IF(B977="insumo",_xlfn.XLOOKUP($D977,Insumos!$B$1:$B$996,Insumos!$D$1:$D$996),"")</f>
        <v/>
      </c>
      <c r="H977" s="334">
        <v>4.1071999999999997</v>
      </c>
      <c r="I977" s="335" t="e">
        <v>#REF!</v>
      </c>
      <c r="J977" s="335" t="e">
        <v>#REF!</v>
      </c>
      <c r="K977" s="335"/>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70</v>
      </c>
      <c r="C978" s="10" t="s">
        <v>392</v>
      </c>
      <c r="D978" s="10" t="s">
        <v>393</v>
      </c>
      <c r="E978" s="11" t="str">
        <f t="array" ref="E978">_xlfn.XLOOKUP(D978,Insumos!B:B,Insumos!C:$C)</f>
        <v>UN</v>
      </c>
      <c r="F978" s="14">
        <v>2</v>
      </c>
      <c r="G978" s="87">
        <f t="array" ref="G978">IF(B978="insumo",_xlfn.XLOOKUP($D978,Insumos!$B$1:$B$996,Insumos!$D$1:$D$996),"")</f>
        <v>0.43359999999999999</v>
      </c>
      <c r="H978" s="87">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70</v>
      </c>
      <c r="C979" s="10" t="s">
        <v>392</v>
      </c>
      <c r="D979" s="10" t="s">
        <v>394</v>
      </c>
      <c r="E979" s="11" t="str">
        <f t="array" ref="E979">_xlfn.XLOOKUP(D979,Insumos!B:B,Insumos!C:$C)</f>
        <v>UN</v>
      </c>
      <c r="F979" s="14">
        <v>1</v>
      </c>
      <c r="G979" s="87">
        <f t="array" ref="G979">IF(B979="insumo",_xlfn.XLOOKUP($D979,Insumos!$B$1:$B$996,Insumos!$D$1:$D$996),"")</f>
        <v>2.5</v>
      </c>
      <c r="H979" s="87">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70</v>
      </c>
      <c r="C980" s="10" t="s">
        <v>392</v>
      </c>
      <c r="D980" s="10" t="s">
        <v>395</v>
      </c>
      <c r="E980" s="11" t="str">
        <f t="array" ref="E980">_xlfn.XLOOKUP(D980,Insumos!B:B,Insumos!C:$C)</f>
        <v>UN</v>
      </c>
      <c r="F980" s="14">
        <v>2</v>
      </c>
      <c r="G980" s="87">
        <f t="array" ref="G980">IF(B980="insumo",_xlfn.XLOOKUP($D980,Insumos!$B$1:$B$996,Insumos!$D$1:$D$996),"")</f>
        <v>0.37</v>
      </c>
      <c r="H980" s="87">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332">
        <v>1</v>
      </c>
      <c r="B981" s="332" t="s">
        <v>67</v>
      </c>
      <c r="C981" s="332" t="s">
        <v>396</v>
      </c>
      <c r="D981" s="332" t="s">
        <v>396</v>
      </c>
      <c r="E981" s="333" t="s">
        <v>196</v>
      </c>
      <c r="F981" s="332"/>
      <c r="G981" s="334" t="str">
        <f t="array" ref="G981">IF(B981="insumo",_xlfn.XLOOKUP($D981,Insumos!$B$1:$B$996,Insumos!$D$1:$D$996),"")</f>
        <v/>
      </c>
      <c r="H981" s="334">
        <v>79.403675710539503</v>
      </c>
      <c r="I981" s="335" t="e">
        <v>#REF!</v>
      </c>
      <c r="J981" s="335" t="e">
        <v>#REF!</v>
      </c>
      <c r="K981" s="335"/>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70</v>
      </c>
      <c r="C982" s="10" t="s">
        <v>396</v>
      </c>
      <c r="D982" s="10" t="s">
        <v>210</v>
      </c>
      <c r="E982" s="11" t="str">
        <f t="array" ref="E982">_xlfn.XLOOKUP(D982,Insumos!B:B,Insumos!C:$C)</f>
        <v>KG</v>
      </c>
      <c r="F982" s="14">
        <v>0.87690000000000001</v>
      </c>
      <c r="G982" s="87">
        <f t="array" ref="G982">IF(B982="insumo",_xlfn.XLOOKUP($D982,Insumos!$B$1:$B$996,Insumos!$D$1:$D$996),"")</f>
        <v>4.9248569626405612</v>
      </c>
      <c r="H982" s="87">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70</v>
      </c>
      <c r="C983" s="10" t="s">
        <v>396</v>
      </c>
      <c r="D983" s="10" t="s">
        <v>86</v>
      </c>
      <c r="E983" s="11" t="str">
        <f t="array" ref="E983">_xlfn.XLOOKUP(D983,Insumos!B:B,Insumos!C:$C)</f>
        <v>KG</v>
      </c>
      <c r="F983" s="14">
        <v>9.7280000000000005E-3</v>
      </c>
      <c r="G983" s="87">
        <f t="array" ref="G983">IF(B983="insumo",_xlfn.XLOOKUP($D983,Insumos!$B$1:$B$996,Insumos!$D$1:$D$996),"")</f>
        <v>18.13</v>
      </c>
      <c r="H983" s="87">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70</v>
      </c>
      <c r="C984" s="10" t="s">
        <v>396</v>
      </c>
      <c r="D984" s="10" t="s">
        <v>397</v>
      </c>
      <c r="E984" s="11" t="str">
        <f t="array" ref="E984">_xlfn.XLOOKUP(D984,Insumos!B:B,Insumos!C:$C)</f>
        <v>M2</v>
      </c>
      <c r="F984" s="14">
        <v>6</v>
      </c>
      <c r="G984" s="87">
        <f t="array" ref="G984">IF(B984="insumo",_xlfn.XLOOKUP($D984,Insumos!$B$1:$B$996,Insumos!$D$1:$D$996),"")</f>
        <v>0.43</v>
      </c>
      <c r="H984" s="87">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70</v>
      </c>
      <c r="C985" s="10" t="s">
        <v>396</v>
      </c>
      <c r="D985" s="10" t="s">
        <v>248</v>
      </c>
      <c r="E985" s="11" t="str">
        <f t="array" ref="E985">_xlfn.XLOOKUP(D985,Insumos!B:B,Insumos!C:$C)</f>
        <v>M3</v>
      </c>
      <c r="F985" s="14">
        <v>3.2000000000000001E-2</v>
      </c>
      <c r="G985" s="87">
        <f t="array" ref="G985">IF(B985="insumo",_xlfn.XLOOKUP($D985,Insumos!$B$1:$B$996,Insumos!$D$1:$D$996),"")</f>
        <v>510</v>
      </c>
      <c r="H985" s="87">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70</v>
      </c>
      <c r="C986" s="10" t="s">
        <v>396</v>
      </c>
      <c r="D986" s="10" t="s">
        <v>232</v>
      </c>
      <c r="E986" s="11" t="str">
        <f t="array" ref="E986">_xlfn.XLOOKUP(D986,Insumos!B:B,Insumos!C:$C)</f>
        <v>L</v>
      </c>
      <c r="F986" s="14">
        <v>8.9999999999999993E-3</v>
      </c>
      <c r="G986" s="87">
        <f t="array" ref="G986">IF(B986="insumo",_xlfn.XLOOKUP($D986,Insumos!$B$1:$B$996,Insumos!$D$1:$D$996),"")</f>
        <v>15.55</v>
      </c>
      <c r="H986" s="87">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70</v>
      </c>
      <c r="C987" s="10" t="s">
        <v>396</v>
      </c>
      <c r="D987" s="10" t="s">
        <v>119</v>
      </c>
      <c r="E987" s="11" t="str">
        <f t="array" ref="E987">_xlfn.XLOOKUP(D987,Insumos!B:B,Insumos!C:$C)</f>
        <v>M3</v>
      </c>
      <c r="F987" s="14">
        <v>1.5225000000000001E-2</v>
      </c>
      <c r="G987" s="87">
        <f t="array" ref="G987">IF(B987="insumo",_xlfn.XLOOKUP($D987,Insumos!$B$1:$B$996,Insumos!$D$1:$D$996),"")</f>
        <v>1100</v>
      </c>
      <c r="H987" s="87">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70</v>
      </c>
      <c r="C988" s="10" t="s">
        <v>396</v>
      </c>
      <c r="D988" s="10" t="s">
        <v>128</v>
      </c>
      <c r="E988" s="11" t="str">
        <f t="array" ref="E988">_xlfn.XLOOKUP(D988,Insumos!B:B,Insumos!C:$C)</f>
        <v>M3</v>
      </c>
      <c r="F988" s="14">
        <v>1.8749999999999999E-3</v>
      </c>
      <c r="G988" s="87">
        <f t="array" ref="G988">IF(B988="insumo",_xlfn.XLOOKUP($D988,Insumos!$B$1:$B$996,Insumos!$D$1:$D$996),"")</f>
        <v>1350</v>
      </c>
      <c r="H988" s="87">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70</v>
      </c>
      <c r="C989" s="10" t="s">
        <v>396</v>
      </c>
      <c r="D989" s="10" t="s">
        <v>233</v>
      </c>
      <c r="E989" s="11" t="str">
        <f t="array" ref="E989">_xlfn.XLOOKUP(D989,Insumos!B:B,Insumos!C:$C)</f>
        <v>M</v>
      </c>
      <c r="F989" s="14">
        <v>0.86175223739990581</v>
      </c>
      <c r="G989" s="87">
        <f t="array" ref="G989">IF(B989="insumo",_xlfn.XLOOKUP($D989,Insumos!$B$1:$B$996,Insumos!$D$1:$D$996),"")</f>
        <v>42.46</v>
      </c>
      <c r="H989" s="87">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355">
        <v>1</v>
      </c>
      <c r="B990" s="355" t="s">
        <v>1227</v>
      </c>
      <c r="C990" s="355" t="s">
        <v>396</v>
      </c>
      <c r="D990" s="355" t="s">
        <v>1364</v>
      </c>
      <c r="E990" s="356"/>
      <c r="F990" s="357"/>
      <c r="G990" s="356"/>
      <c r="H990" s="356">
        <v>0</v>
      </c>
      <c r="I990" s="357">
        <v>0</v>
      </c>
      <c r="J990" s="357">
        <v>0</v>
      </c>
      <c r="K990" s="357"/>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332">
        <v>1</v>
      </c>
      <c r="B991" s="332" t="s">
        <v>67</v>
      </c>
      <c r="C991" s="332" t="s">
        <v>356</v>
      </c>
      <c r="D991" s="332" t="s">
        <v>356</v>
      </c>
      <c r="E991" s="333" t="s">
        <v>69</v>
      </c>
      <c r="F991" s="332"/>
      <c r="G991" s="334" t="str">
        <f t="array" ref="G991">IF(B991="insumo",_xlfn.XLOOKUP($D991,Insumos!$B$1:$B$996,Insumos!$D$1:$D$996),"")</f>
        <v/>
      </c>
      <c r="H991" s="334">
        <v>60.94</v>
      </c>
      <c r="I991" s="335">
        <v>0</v>
      </c>
      <c r="J991" s="335">
        <v>0</v>
      </c>
      <c r="K991" s="335"/>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70</v>
      </c>
      <c r="C992" s="10" t="s">
        <v>356</v>
      </c>
      <c r="D992" s="10" t="s">
        <v>357</v>
      </c>
      <c r="E992" s="11" t="str">
        <f t="array" ref="E992">_xlfn.XLOOKUP(D992,Insumos!B:B,Insumos!C:$C)</f>
        <v>UN</v>
      </c>
      <c r="F992" s="14">
        <f>ROUNDUP(1/(0.19*0.29),)</f>
        <v>19</v>
      </c>
      <c r="G992" s="87">
        <f t="array" ref="G992">IF(B992="insumo",_xlfn.XLOOKUP($D992,Insumos!$B$1:$B$996,Insumos!$D$1:$D$996),"")</f>
        <v>2.76</v>
      </c>
      <c r="H992" s="87">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70</v>
      </c>
      <c r="C993" s="10" t="s">
        <v>356</v>
      </c>
      <c r="D993" s="10" t="s">
        <v>355</v>
      </c>
      <c r="E993" s="11" t="str">
        <f t="array" ref="E993">_xlfn.XLOOKUP(D993,Insumos!B:B,Insumos!C:$C)</f>
        <v>M3</v>
      </c>
      <c r="F993" s="14">
        <v>0.02</v>
      </c>
      <c r="G993" s="87">
        <f t="array" ref="G993">IF(B993="insumo",_xlfn.XLOOKUP($D993,Insumos!$B$1:$B$996,Insumos!$D$1:$D$996),"")</f>
        <v>425</v>
      </c>
      <c r="H993" s="87">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355">
        <v>1</v>
      </c>
      <c r="B994" s="355" t="s">
        <v>1227</v>
      </c>
      <c r="C994" s="355" t="s">
        <v>356</v>
      </c>
      <c r="D994" s="355" t="s">
        <v>1365</v>
      </c>
      <c r="E994" s="356"/>
      <c r="F994" s="357"/>
      <c r="G994" s="356"/>
      <c r="H994" s="356">
        <v>0</v>
      </c>
      <c r="I994" s="357">
        <v>0</v>
      </c>
      <c r="J994" s="357">
        <v>0</v>
      </c>
      <c r="K994" s="357"/>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332">
        <v>1</v>
      </c>
      <c r="B995" s="332" t="s">
        <v>67</v>
      </c>
      <c r="C995" s="332" t="s">
        <v>361</v>
      </c>
      <c r="D995" s="332" t="s">
        <v>361</v>
      </c>
      <c r="E995" s="333" t="s">
        <v>69</v>
      </c>
      <c r="F995" s="332"/>
      <c r="G995" s="334" t="str">
        <f t="array" ref="G995">IF(B995="insumo",_xlfn.XLOOKUP($D995,Insumos!$B$1:$B$996,Insumos!$D$1:$D$996),"")</f>
        <v/>
      </c>
      <c r="H995" s="334">
        <v>12.290469464289201</v>
      </c>
      <c r="I995" s="335">
        <v>0</v>
      </c>
      <c r="J995" s="335">
        <v>0</v>
      </c>
      <c r="K995" s="335"/>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70</v>
      </c>
      <c r="C996" s="10" t="s">
        <v>361</v>
      </c>
      <c r="D996" s="10" t="s">
        <v>362</v>
      </c>
      <c r="E996" s="11" t="str">
        <f t="array" ref="E996">_xlfn.XLOOKUP(D996,Insumos!B:B,Insumos!C:$C)</f>
        <v>UN</v>
      </c>
      <c r="F996" s="14">
        <v>3.8590172369436584E-2</v>
      </c>
      <c r="G996" s="87">
        <f t="array" ref="G996">IF(B996="insumo",_xlfn.XLOOKUP($D996,Insumos!$B$1:$B$996,Insumos!$D$1:$D$996),"")</f>
        <v>4.0199999999999996</v>
      </c>
      <c r="H996" s="87">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70</v>
      </c>
      <c r="C997" s="10" t="s">
        <v>361</v>
      </c>
      <c r="D997" s="10" t="s">
        <v>363</v>
      </c>
      <c r="E997" s="11" t="str">
        <f t="array" ref="E997">_xlfn.XLOOKUP(D997,Insumos!B:B,Insumos!C:$C)</f>
        <v>UN</v>
      </c>
      <c r="F997" s="14">
        <v>1.6063159248777978</v>
      </c>
      <c r="G997" s="87">
        <f t="array" ref="G997">IF(B997="insumo",_xlfn.XLOOKUP($D997,Insumos!$B$1:$B$996,Insumos!$D$1:$D$996),"")</f>
        <v>1.998</v>
      </c>
      <c r="H997" s="87">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70</v>
      </c>
      <c r="C998" s="10" t="s">
        <v>361</v>
      </c>
      <c r="D998" s="10" t="s">
        <v>364</v>
      </c>
      <c r="E998" s="11" t="str">
        <f t="array" ref="E998">_xlfn.XLOOKUP(D998,Insumos!B:B,Insumos!C:$C)</f>
        <v>UN</v>
      </c>
      <c r="F998" s="14">
        <v>9.0043735528685373E-2</v>
      </c>
      <c r="G998" s="87">
        <f t="array" ref="G998">IF(B998="insumo",_xlfn.XLOOKUP($D998,Insumos!$B$1:$B$996,Insumos!$D$1:$D$996),"")</f>
        <v>1.3760000000000001</v>
      </c>
      <c r="H998" s="87">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70</v>
      </c>
      <c r="C999" s="10" t="s">
        <v>361</v>
      </c>
      <c r="D999" s="10" t="s">
        <v>365</v>
      </c>
      <c r="E999" s="11" t="str">
        <f t="array" ref="E999">_xlfn.XLOOKUP(D999,Insumos!B:B,Insumos!C:$C)</f>
        <v>UN</v>
      </c>
      <c r="F999" s="14">
        <v>3.8590172369436584E-2</v>
      </c>
      <c r="G999" s="87">
        <f t="array" ref="G999">IF(B999="insumo",_xlfn.XLOOKUP($D999,Insumos!$B$1:$B$996,Insumos!$D$1:$D$996),"")</f>
        <v>3.9889743589743589</v>
      </c>
      <c r="H999" s="87">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70</v>
      </c>
      <c r="C1000" s="10" t="s">
        <v>361</v>
      </c>
      <c r="D1000" s="10" t="s">
        <v>366</v>
      </c>
      <c r="E1000" s="11" t="str">
        <f t="array" ref="E1000">_xlfn.XLOOKUP(D1000,Insumos!B:B,Insumos!C:$C)</f>
        <v>UN</v>
      </c>
      <c r="F1000" s="14">
        <v>3.5374324671983537E-2</v>
      </c>
      <c r="G1000" s="87">
        <f t="array" ref="G1000">IF(B1000="insumo",_xlfn.XLOOKUP($D1000,Insumos!$B$1:$B$996,Insumos!$D$1:$D$996),"")</f>
        <v>4.1861538461538466</v>
      </c>
      <c r="H1000" s="87">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70</v>
      </c>
      <c r="C1001" s="10" t="s">
        <v>361</v>
      </c>
      <c r="D1001" s="10" t="s">
        <v>355</v>
      </c>
      <c r="E1001" s="11" t="str">
        <f t="array" ref="E1001">_xlfn.XLOOKUP(D1001,Insumos!B:B,Insumos!C:$C)</f>
        <v>M3</v>
      </c>
      <c r="F1001" s="14">
        <v>0.02</v>
      </c>
      <c r="G1001" s="87">
        <f t="array" ref="G1001">IF(B1001="insumo",_xlfn.XLOOKUP($D1001,Insumos!$B$1:$B$996,Insumos!$D$1:$D$996),"")</f>
        <v>425</v>
      </c>
      <c r="H1001" s="87">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332">
        <v>1</v>
      </c>
      <c r="B1002" s="332" t="s">
        <v>67</v>
      </c>
      <c r="C1002" s="332" t="s">
        <v>367</v>
      </c>
      <c r="D1002" s="332" t="s">
        <v>367</v>
      </c>
      <c r="E1002" s="333" t="s">
        <v>69</v>
      </c>
      <c r="F1002" s="332"/>
      <c r="G1002" s="334" t="str">
        <f t="array" ref="G1002">IF(B1002="insumo",_xlfn.XLOOKUP($D1002,Insumos!$B$1:$B$996,Insumos!$D$1:$D$996),"")</f>
        <v/>
      </c>
      <c r="H1002" s="334">
        <v>45.9660876018064</v>
      </c>
      <c r="I1002" s="335">
        <v>0</v>
      </c>
      <c r="J1002" s="335">
        <v>0</v>
      </c>
      <c r="K1002" s="335"/>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70</v>
      </c>
      <c r="C1003" s="10" t="s">
        <v>367</v>
      </c>
      <c r="D1003" s="10" t="s">
        <v>368</v>
      </c>
      <c r="E1003" s="11" t="str">
        <f t="array" ref="E1003">_xlfn.XLOOKUP(D1003,Insumos!B:B,Insumos!C:$C)</f>
        <v>UN</v>
      </c>
      <c r="F1003" s="14">
        <v>0.15200739173199007</v>
      </c>
      <c r="G1003" s="87">
        <f t="array" ref="G1003">IF(B1003="insumo",_xlfn.XLOOKUP($D1003,Insumos!$B$1:$B$996,Insumos!$D$1:$D$996),"")</f>
        <v>4.1890000000000001</v>
      </c>
      <c r="H1003" s="87">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70</v>
      </c>
      <c r="C1004" s="10" t="s">
        <v>367</v>
      </c>
      <c r="D1004" s="10" t="s">
        <v>369</v>
      </c>
      <c r="E1004" s="11" t="str">
        <f t="array" ref="E1004">_xlfn.XLOOKUP(D1004,Insumos!B:B,Insumos!C:$C)</f>
        <v>UN</v>
      </c>
      <c r="F1004" s="14">
        <v>11.710530237548804</v>
      </c>
      <c r="G1004" s="87">
        <f t="array" ref="G1004">IF(B1004="insumo",_xlfn.XLOOKUP($D1004,Insumos!$B$1:$B$996,Insumos!$D$1:$D$996),"")</f>
        <v>2.0979999999999999</v>
      </c>
      <c r="H1004" s="87">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70</v>
      </c>
      <c r="C1005" s="10" t="s">
        <v>367</v>
      </c>
      <c r="D1005" s="10" t="s">
        <v>370</v>
      </c>
      <c r="E1005" s="11" t="str">
        <f t="array" ref="E1005">_xlfn.XLOOKUP(D1005,Insumos!B:B,Insumos!C:$C)</f>
        <v>UN</v>
      </c>
      <c r="F1005" s="14">
        <v>0.75705642156716635</v>
      </c>
      <c r="G1005" s="87">
        <f t="array" ref="G1005">IF(B1005="insumo",_xlfn.XLOOKUP($D1005,Insumos!$B$1:$B$996,Insumos!$D$1:$D$996),"")</f>
        <v>1.4359999999999999</v>
      </c>
      <c r="H1005" s="87">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70</v>
      </c>
      <c r="C1006" s="10" t="s">
        <v>367</v>
      </c>
      <c r="D1006" s="10" t="s">
        <v>371</v>
      </c>
      <c r="E1006" s="11" t="str">
        <f t="array" ref="E1006">_xlfn.XLOOKUP(D1006,Insumos!B:B,Insumos!C:$C)</f>
        <v>UN</v>
      </c>
      <c r="F1006" s="14">
        <v>0.4142946558969926</v>
      </c>
      <c r="G1006" s="87">
        <f t="array" ref="G1006">IF(B1006="insumo",_xlfn.XLOOKUP($D1006,Insumos!$B$1:$B$996,Insumos!$D$1:$D$996),"")</f>
        <v>3.9889743589743589</v>
      </c>
      <c r="H1006" s="87">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70</v>
      </c>
      <c r="C1007" s="10" t="s">
        <v>367</v>
      </c>
      <c r="D1007" s="10" t="s">
        <v>372</v>
      </c>
      <c r="E1007" s="11" t="str">
        <f t="array" ref="E1007">_xlfn.XLOOKUP(D1007,Insumos!B:B,Insumos!C:$C)</f>
        <v>UN</v>
      </c>
      <c r="F1007" s="14">
        <v>0.63187386367023324</v>
      </c>
      <c r="G1007" s="87">
        <f t="array" ref="G1007">IF(B1007="insumo",_xlfn.XLOOKUP($D1007,Insumos!$B$1:$B$996,Insumos!$D$1:$D$996),"")</f>
        <v>4.1861538461538466</v>
      </c>
      <c r="H1007" s="87">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70</v>
      </c>
      <c r="C1008" s="10" t="s">
        <v>367</v>
      </c>
      <c r="D1008" s="10" t="s">
        <v>373</v>
      </c>
      <c r="E1008" s="11" t="str">
        <f t="array" ref="E1008">_xlfn.XLOOKUP(D1008,Insumos!B:B,Insumos!C:$C)</f>
        <v>UN</v>
      </c>
      <c r="F1008" s="14">
        <v>2.0804148907633153</v>
      </c>
      <c r="G1008" s="87">
        <f t="array" ref="G1008">IF(B1008="insumo",_xlfn.XLOOKUP($D1008,Insumos!$B$1:$B$996,Insumos!$D$1:$D$996),"")</f>
        <v>3.3050000000000002</v>
      </c>
      <c r="H1008" s="87">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70</v>
      </c>
      <c r="C1009" s="10" t="s">
        <v>367</v>
      </c>
      <c r="D1009" s="10" t="s">
        <v>355</v>
      </c>
      <c r="E1009" s="11" t="str">
        <f t="array" ref="E1009">_xlfn.XLOOKUP(D1009,Insumos!B:B,Insumos!C:$C)</f>
        <v>M3</v>
      </c>
      <c r="F1009" s="14">
        <v>0.02</v>
      </c>
      <c r="G1009" s="87">
        <f t="array" ref="G1009">IF(B1009="insumo",_xlfn.XLOOKUP($D1009,Insumos!$B$1:$B$996,Insumos!$D$1:$D$996),"")</f>
        <v>425</v>
      </c>
      <c r="H1009" s="87">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332">
        <v>1</v>
      </c>
      <c r="B1010" s="332" t="s">
        <v>67</v>
      </c>
      <c r="C1010" s="332" t="s">
        <v>374</v>
      </c>
      <c r="D1010" s="332" t="s">
        <v>374</v>
      </c>
      <c r="E1010" s="333" t="s">
        <v>69</v>
      </c>
      <c r="F1010" s="332"/>
      <c r="G1010" s="334" t="str">
        <f t="array" ref="G1010">IF(B1010="insumo",_xlfn.XLOOKUP($D1010,Insumos!$B$1:$B$996,Insumos!$D$1:$D$996),"")</f>
        <v/>
      </c>
      <c r="H1010" s="334">
        <v>58.163310258023898</v>
      </c>
      <c r="I1010" s="335">
        <v>0</v>
      </c>
      <c r="J1010" s="335">
        <v>0</v>
      </c>
      <c r="K1010" s="335"/>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70</v>
      </c>
      <c r="C1011" s="10" t="s">
        <v>374</v>
      </c>
      <c r="D1011" s="10" t="s">
        <v>375</v>
      </c>
      <c r="E1011" s="11" t="str">
        <f t="array" ref="E1011">_xlfn.XLOOKUP(D1011,Insumos!B:B,Insumos!C:$C)</f>
        <v>UN</v>
      </c>
      <c r="F1011" s="14">
        <v>12.146003775959723</v>
      </c>
      <c r="G1011" s="87">
        <f t="array" ref="G1011">IF(B1011="insumo",_xlfn.XLOOKUP($D1011,Insumos!$B$1:$B$996,Insumos!$D$1:$D$996),"")</f>
        <v>3.22</v>
      </c>
      <c r="H1011" s="87">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70</v>
      </c>
      <c r="C1012" s="10" t="s">
        <v>374</v>
      </c>
      <c r="D1012" s="10" t="s">
        <v>376</v>
      </c>
      <c r="E1012" s="11" t="str">
        <f t="array" ref="E1012">_xlfn.XLOOKUP(D1012,Insumos!B:B,Insumos!C:$C)</f>
        <v>UN</v>
      </c>
      <c r="F1012" s="14">
        <v>2.5802391441157959</v>
      </c>
      <c r="G1012" s="87">
        <f t="array" ref="G1012">IF(B1012="insumo",_xlfn.XLOOKUP($D1012,Insumos!$B$1:$B$996,Insumos!$D$1:$D$996),"")</f>
        <v>4.09</v>
      </c>
      <c r="H1012" s="87">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70</v>
      </c>
      <c r="C1013" s="10" t="s">
        <v>374</v>
      </c>
      <c r="D1013" s="10" t="s">
        <v>355</v>
      </c>
      <c r="E1013" s="11" t="str">
        <f t="array" ref="E1013">_xlfn.XLOOKUP(D1013,Insumos!B:B,Insumos!C:$C)</f>
        <v>M3</v>
      </c>
      <c r="F1013" s="14">
        <v>0.02</v>
      </c>
      <c r="G1013" s="87">
        <f t="array" ref="G1013">IF(B1013="insumo",_xlfn.XLOOKUP($D1013,Insumos!$B$1:$B$996,Insumos!$D$1:$D$996),"")</f>
        <v>425</v>
      </c>
      <c r="H1013" s="87">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355">
        <v>1</v>
      </c>
      <c r="B1014" s="355" t="s">
        <v>1227</v>
      </c>
      <c r="C1014" s="355" t="s">
        <v>374</v>
      </c>
      <c r="D1014" s="355" t="s">
        <v>1370</v>
      </c>
      <c r="E1014" s="356"/>
      <c r="F1014" s="357"/>
      <c r="G1014" s="356"/>
      <c r="H1014" s="356">
        <v>0</v>
      </c>
      <c r="I1014" s="357">
        <v>0</v>
      </c>
      <c r="J1014" s="357">
        <v>0</v>
      </c>
      <c r="K1014" s="357"/>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332">
        <v>1</v>
      </c>
      <c r="B1015" s="332" t="s">
        <v>67</v>
      </c>
      <c r="C1015" s="332" t="s">
        <v>377</v>
      </c>
      <c r="D1015" s="332" t="s">
        <v>377</v>
      </c>
      <c r="E1015" s="333" t="s">
        <v>151</v>
      </c>
      <c r="F1015" s="332"/>
      <c r="G1015" s="334" t="str">
        <f t="array" ref="G1015">IF(B1015="insumo",_xlfn.XLOOKUP($D1015,Insumos!$B$1:$B$996,Insumos!$D$1:$D$996),"")</f>
        <v/>
      </c>
      <c r="H1015" s="334">
        <v>492.303</v>
      </c>
      <c r="I1015" s="335">
        <v>0</v>
      </c>
      <c r="J1015" s="335">
        <v>0</v>
      </c>
      <c r="K1015" s="335"/>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70</v>
      </c>
      <c r="C1016" s="10" t="s">
        <v>377</v>
      </c>
      <c r="D1016" s="10" t="s">
        <v>377</v>
      </c>
      <c r="E1016" s="11" t="str">
        <f t="array" ref="E1016">_xlfn.XLOOKUP(D1016,Insumos!B:B,Insumos!C:$C)</f>
        <v>M3</v>
      </c>
      <c r="F1016" s="14">
        <v>1.05</v>
      </c>
      <c r="G1016" s="87">
        <f t="array" ref="G1016">IF(B1016="insumo",_xlfn.XLOOKUP($D1016,Insumos!$B$1:$B$996,Insumos!$D$1:$D$996),"")</f>
        <v>468.86</v>
      </c>
      <c r="H1016" s="87">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332">
        <v>1</v>
      </c>
      <c r="B1017" s="332" t="s">
        <v>67</v>
      </c>
      <c r="C1017" s="332" t="s">
        <v>378</v>
      </c>
      <c r="D1017" s="332" t="s">
        <v>378</v>
      </c>
      <c r="E1017" s="333" t="s">
        <v>151</v>
      </c>
      <c r="F1017" s="332"/>
      <c r="G1017" s="334" t="str">
        <f t="array" ref="G1017">IF(B1017="insumo",_xlfn.XLOOKUP($D1017,Insumos!$B$1:$B$996,Insumos!$D$1:$D$996),"")</f>
        <v/>
      </c>
      <c r="H1017" s="334">
        <v>518.17499999999995</v>
      </c>
      <c r="I1017" s="335">
        <v>0</v>
      </c>
      <c r="J1017" s="335">
        <v>0</v>
      </c>
      <c r="K1017" s="335"/>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70</v>
      </c>
      <c r="C1018" s="10" t="s">
        <v>378</v>
      </c>
      <c r="D1018" s="10" t="s">
        <v>378</v>
      </c>
      <c r="E1018" s="11" t="str">
        <f t="array" ref="E1018">_xlfn.XLOOKUP(D1018,Insumos!B:B,Insumos!C:$C)</f>
        <v>M3</v>
      </c>
      <c r="F1018" s="14">
        <v>1.05</v>
      </c>
      <c r="G1018" s="87">
        <f t="array" ref="G1018">IF(B1018="insumo",_xlfn.XLOOKUP($D1018,Insumos!$B$1:$B$996,Insumos!$D$1:$D$996),"")</f>
        <v>493.5</v>
      </c>
      <c r="H1018" s="87">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355">
        <v>1</v>
      </c>
      <c r="B1019" s="355" t="s">
        <v>1227</v>
      </c>
      <c r="C1019" s="355" t="s">
        <v>378</v>
      </c>
      <c r="D1019" s="355" t="s">
        <v>2886</v>
      </c>
      <c r="E1019" s="356"/>
      <c r="F1019" s="357"/>
      <c r="G1019" s="356"/>
      <c r="H1019" s="356">
        <v>0</v>
      </c>
      <c r="I1019" s="357">
        <v>0</v>
      </c>
      <c r="J1019" s="357">
        <v>0</v>
      </c>
      <c r="K1019" s="357"/>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341">
        <v>1</v>
      </c>
      <c r="B1020" s="341" t="s">
        <v>67</v>
      </c>
      <c r="C1020" s="342" t="s">
        <v>2874</v>
      </c>
      <c r="D1020" s="342" t="s">
        <v>2874</v>
      </c>
      <c r="E1020" s="343" t="s">
        <v>69</v>
      </c>
      <c r="F1020" s="341"/>
      <c r="G1020" s="334" t="str">
        <f t="array" ref="G1020">IF(B1020="insumo",_xlfn.XLOOKUP($D1020,Insumos!$B$1:$B$993,Insumos!$D$1:$D$993),"")</f>
        <v/>
      </c>
      <c r="H1020" s="334">
        <v>103.175377</v>
      </c>
      <c r="I1020" s="344" t="e">
        <v>#REF!</v>
      </c>
      <c r="J1020" s="344" t="e">
        <v>#REF!</v>
      </c>
      <c r="K1020" s="344"/>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235">
        <v>49</v>
      </c>
      <c r="B1021" s="235" t="s">
        <v>70</v>
      </c>
      <c r="C1021" s="322" t="s">
        <v>2874</v>
      </c>
      <c r="D1021" s="322" t="s">
        <v>417</v>
      </c>
      <c r="E1021" s="11" t="str">
        <f t="array" ref="E1021">_xlfn.XLOOKUP(D1021,Insumos!B:B,Insumos!C:$C)</f>
        <v>M2</v>
      </c>
      <c r="F1021" s="81">
        <f>1.053</f>
        <v>1.0529999999999999</v>
      </c>
      <c r="G1021" s="87">
        <f t="array" ref="G1021">IF(B1021="insumo",_xlfn.XLOOKUP($D1021,Insumos!$B$1:$B$993,Insumos!$D$1:$D$993),"")</f>
        <v>27.1</v>
      </c>
      <c r="H1021" s="87">
        <v>28.536300000000001</v>
      </c>
      <c r="I1021" s="79" t="e">
        <v>#REF!</v>
      </c>
      <c r="J1021" s="79" t="e">
        <v>#REF!</v>
      </c>
      <c r="K1021" s="79"/>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235">
        <v>10</v>
      </c>
      <c r="B1022" s="235" t="s">
        <v>70</v>
      </c>
      <c r="C1022" s="10" t="s">
        <v>2874</v>
      </c>
      <c r="D1022" s="10" t="s">
        <v>2887</v>
      </c>
      <c r="E1022" s="11" t="str">
        <f t="array" ref="E1022">_xlfn.XLOOKUP(D1022,Insumos!B:B,Insumos!C:$C)</f>
        <v>M2</v>
      </c>
      <c r="F1022" s="81">
        <f>1.053</f>
        <v>1.0529999999999999</v>
      </c>
      <c r="G1022" s="87">
        <f t="array" ref="G1022">IF(B1022="insumo",_xlfn.XLOOKUP($D1022,Insumos!$B$1:$B$993,Insumos!$D$1:$D$993),"")</f>
        <v>34.513888888888893</v>
      </c>
      <c r="H1022" s="87">
        <v>36.343125000000001</v>
      </c>
      <c r="I1022" s="79" t="e">
        <v>#REF!</v>
      </c>
      <c r="J1022" s="79" t="e">
        <v>#REF!</v>
      </c>
      <c r="K1022" s="79"/>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235">
        <v>95</v>
      </c>
      <c r="B1023" s="235" t="s">
        <v>70</v>
      </c>
      <c r="C1023" s="322" t="s">
        <v>2874</v>
      </c>
      <c r="D1023" s="322" t="s">
        <v>408</v>
      </c>
      <c r="E1023" s="11" t="str">
        <f t="array" ref="E1023">_xlfn.XLOOKUP(D1023,Insumos!B:B,Insumos!C:$C)</f>
        <v>UN</v>
      </c>
      <c r="F1023" s="81">
        <v>4.95</v>
      </c>
      <c r="G1023" s="87">
        <f t="array" ref="G1023">IF(B1023="insumo",_xlfn.XLOOKUP($D1023,Insumos!$B$1:$B$993,Insumos!$D$1:$D$993),"")</f>
        <v>0.504</v>
      </c>
      <c r="H1023" s="87">
        <v>2.4948000000000001</v>
      </c>
      <c r="I1023" s="79" t="e">
        <v>#REF!</v>
      </c>
      <c r="J1023" s="79" t="e">
        <v>#REF!</v>
      </c>
      <c r="K1023" s="79"/>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235">
        <v>26</v>
      </c>
      <c r="B1024" s="235" t="s">
        <v>70</v>
      </c>
      <c r="C1024" s="322" t="s">
        <v>2874</v>
      </c>
      <c r="D1024" s="322" t="s">
        <v>409</v>
      </c>
      <c r="E1024" s="11" t="str">
        <f t="array" ref="E1024">_xlfn.XLOOKUP(D1024,Insumos!B:B,Insumos!C:$C)</f>
        <v>M</v>
      </c>
      <c r="F1024" s="81">
        <v>1.5247999999999999</v>
      </c>
      <c r="G1024" s="87">
        <f t="array" ref="G1024">IF(B1024="insumo",_xlfn.XLOOKUP($D1024,Insumos!$B$1:$B$993,Insumos!$D$1:$D$993),"")</f>
        <v>7.03</v>
      </c>
      <c r="H1024" s="87">
        <v>10.719344</v>
      </c>
      <c r="I1024" s="79" t="e">
        <v>#REF!</v>
      </c>
      <c r="J1024" s="79" t="e">
        <v>#REF!</v>
      </c>
      <c r="K1024" s="79"/>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235">
        <v>26</v>
      </c>
      <c r="B1025" s="235" t="s">
        <v>70</v>
      </c>
      <c r="C1025" s="322" t="s">
        <v>2874</v>
      </c>
      <c r="D1025" s="322" t="s">
        <v>410</v>
      </c>
      <c r="E1025" s="11" t="str">
        <f t="array" ref="E1025">_xlfn.XLOOKUP(D1025,Insumos!B:B,Insumos!C:$C)</f>
        <v>M</v>
      </c>
      <c r="F1025" s="81">
        <v>2.0005999999999999</v>
      </c>
      <c r="G1025" s="87">
        <f t="array" ref="G1025">IF(B1025="insumo",_xlfn.XLOOKUP($D1025,Insumos!$B$1:$B$993,Insumos!$D$1:$D$993),"")</f>
        <v>7.98</v>
      </c>
      <c r="H1025" s="87">
        <v>15.964788</v>
      </c>
      <c r="I1025" s="79" t="e">
        <v>#REF!</v>
      </c>
      <c r="J1025" s="79" t="e">
        <v>#REF!</v>
      </c>
      <c r="K1025" s="79"/>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235">
        <v>95</v>
      </c>
      <c r="B1026" s="235" t="s">
        <v>70</v>
      </c>
      <c r="C1026" s="322" t="s">
        <v>2874</v>
      </c>
      <c r="D1026" s="322" t="s">
        <v>404</v>
      </c>
      <c r="E1026" s="11" t="str">
        <f t="array" ref="E1026">_xlfn.XLOOKUP(D1026,Insumos!B:B,Insumos!C:$C)</f>
        <v>KG</v>
      </c>
      <c r="F1026" s="81">
        <v>0.54890000000000005</v>
      </c>
      <c r="G1026" s="87">
        <f t="array" ref="G1026">IF(B1026="insumo",_xlfn.XLOOKUP($D1026,Insumos!$B$1:$B$993,Insumos!$D$1:$D$993),"")</f>
        <v>3.43</v>
      </c>
      <c r="H1026" s="87">
        <v>1.882727</v>
      </c>
      <c r="I1026" s="79" t="e">
        <v>#REF!</v>
      </c>
      <c r="J1026" s="79" t="e">
        <v>#REF!</v>
      </c>
      <c r="K1026" s="79"/>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235">
        <v>94</v>
      </c>
      <c r="B1027" s="235" t="s">
        <v>70</v>
      </c>
      <c r="C1027" s="322" t="s">
        <v>2874</v>
      </c>
      <c r="D1027" s="322" t="s">
        <v>411</v>
      </c>
      <c r="E1027" s="11" t="str">
        <f t="array" ref="E1027">_xlfn.XLOOKUP(D1027,Insumos!B:B,Insumos!C:$C)</f>
        <v>M</v>
      </c>
      <c r="F1027" s="81">
        <v>1.2513000000000001</v>
      </c>
      <c r="G1027" s="87">
        <f t="array" ref="G1027">IF(B1027="insumo",_xlfn.XLOOKUP($D1027,Insumos!$B$1:$B$993,Insumos!$D$1:$D$993),"")</f>
        <v>0.31</v>
      </c>
      <c r="H1027" s="87">
        <v>0.387903</v>
      </c>
      <c r="I1027" s="79" t="e">
        <v>#REF!</v>
      </c>
      <c r="J1027" s="79" t="e">
        <v>#REF!</v>
      </c>
      <c r="K1027" s="79"/>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235">
        <v>94</v>
      </c>
      <c r="B1028" s="235" t="s">
        <v>70</v>
      </c>
      <c r="C1028" s="322" t="s">
        <v>2874</v>
      </c>
      <c r="D1028" s="322" t="s">
        <v>412</v>
      </c>
      <c r="E1028" s="11" t="str">
        <f t="array" ref="E1028">_xlfn.XLOOKUP(D1028,Insumos!B:B,Insumos!C:$C)</f>
        <v>M</v>
      </c>
      <c r="F1028" s="81">
        <v>0.74070000000000003</v>
      </c>
      <c r="G1028" s="87">
        <f t="array" ref="G1028">IF(B1028="insumo",_xlfn.XLOOKUP($D1028,Insumos!$B$1:$B$993,Insumos!$D$1:$D$993),"")</f>
        <v>2.74</v>
      </c>
      <c r="H1028" s="87">
        <v>2.0295179999999999</v>
      </c>
      <c r="I1028" s="79" t="e">
        <v>#REF!</v>
      </c>
      <c r="J1028" s="79" t="e">
        <v>#REF!</v>
      </c>
      <c r="K1028" s="79"/>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235">
        <v>11</v>
      </c>
      <c r="B1029" s="235" t="s">
        <v>70</v>
      </c>
      <c r="C1029" s="322" t="s">
        <v>2874</v>
      </c>
      <c r="D1029" s="322" t="s">
        <v>2888</v>
      </c>
      <c r="E1029" s="11" t="str">
        <f t="array" ref="E1029">_xlfn.XLOOKUP(D1029,Insumos!B:B,Insumos!C:$C)</f>
        <v>M</v>
      </c>
      <c r="F1029" s="81">
        <v>0.8</v>
      </c>
      <c r="G1029" s="87">
        <f t="array" ref="G1029">IF(B1029="insumo",_xlfn.XLOOKUP($D1029,Insumos!$B$1:$B$993,Insumos!$D$1:$D$993),"")</f>
        <v>3</v>
      </c>
      <c r="H1029" s="87">
        <v>2.4</v>
      </c>
      <c r="I1029" s="79" t="e">
        <v>#REF!</v>
      </c>
      <c r="J1029" s="79" t="e">
        <v>#REF!</v>
      </c>
      <c r="K1029" s="79"/>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235">
        <v>11</v>
      </c>
      <c r="B1030" s="235" t="s">
        <v>70</v>
      </c>
      <c r="C1030" s="322" t="s">
        <v>2874</v>
      </c>
      <c r="D1030" s="322" t="s">
        <v>2889</v>
      </c>
      <c r="E1030" s="11" t="str">
        <f t="array" ref="E1030">_xlfn.XLOOKUP(D1030,Insumos!B:B,Insumos!C:$C)</f>
        <v>M</v>
      </c>
      <c r="F1030" s="81">
        <v>0.84</v>
      </c>
      <c r="G1030" s="87">
        <f t="array" ref="G1030">IF(B1030="insumo",_xlfn.XLOOKUP($D1030,Insumos!$B$1:$B$993,Insumos!$D$1:$D$993),"")</f>
        <v>0.6</v>
      </c>
      <c r="H1030" s="87">
        <v>0.504</v>
      </c>
      <c r="I1030" s="79" t="e">
        <v>#REF!</v>
      </c>
      <c r="J1030" s="79" t="e">
        <v>#REF!</v>
      </c>
      <c r="K1030" s="79"/>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235">
        <v>97</v>
      </c>
      <c r="B1031" s="235" t="s">
        <v>70</v>
      </c>
      <c r="C1031" s="322" t="s">
        <v>2874</v>
      </c>
      <c r="D1031" s="322" t="s">
        <v>413</v>
      </c>
      <c r="E1031" s="11" t="str">
        <f t="array" ref="E1031">_xlfn.XLOOKUP(D1031,Insumos!B:B,Insumos!C:$C)</f>
        <v>UN</v>
      </c>
      <c r="F1031" s="81">
        <v>20.186800000000002</v>
      </c>
      <c r="G1031" s="87">
        <f t="array" ref="G1031">IF(B1031="insumo",_xlfn.XLOOKUP($D1031,Insumos!$B$1:$B$993,Insumos!$D$1:$D$993),"")</f>
        <v>0.09</v>
      </c>
      <c r="H1031" s="87">
        <v>1.8168120000000001</v>
      </c>
      <c r="I1031" s="79" t="e">
        <v>#REF!</v>
      </c>
      <c r="J1031" s="79" t="e">
        <v>#REF!</v>
      </c>
      <c r="K1031" s="79"/>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235">
        <v>95</v>
      </c>
      <c r="B1032" s="235" t="s">
        <v>70</v>
      </c>
      <c r="C1032" s="322" t="s">
        <v>2874</v>
      </c>
      <c r="D1032" s="322" t="s">
        <v>414</v>
      </c>
      <c r="E1032" s="11" t="str">
        <f t="array" ref="E1032">_xlfn.XLOOKUP(D1032,Insumos!B:B,Insumos!C:$C)</f>
        <v>UN</v>
      </c>
      <c r="F1032" s="81">
        <v>0.4803</v>
      </c>
      <c r="G1032" s="87">
        <f t="array" ref="G1032">IF(B1032="insumo",_xlfn.XLOOKUP($D1032,Insumos!$B$1:$B$993,Insumos!$D$1:$D$993),"")</f>
        <v>0.2</v>
      </c>
      <c r="H1032" s="87">
        <v>9.6060000000000006E-2</v>
      </c>
      <c r="I1032" s="79" t="e">
        <v>#REF!</v>
      </c>
      <c r="J1032" s="79" t="e">
        <v>#REF!</v>
      </c>
      <c r="K1032" s="79"/>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341">
        <v>1</v>
      </c>
      <c r="B1033" s="341" t="s">
        <v>67</v>
      </c>
      <c r="C1033" s="342" t="s">
        <v>2875</v>
      </c>
      <c r="D1033" s="342" t="s">
        <v>2875</v>
      </c>
      <c r="E1033" s="343" t="s">
        <v>69</v>
      </c>
      <c r="F1033" s="341"/>
      <c r="G1033" s="334" t="str">
        <f t="array" ref="G1033">IF(B1033="insumo",_xlfn.XLOOKUP($D1033,Insumos!$B$1:$B$993,Insumos!$D$1:$D$993),"")</f>
        <v/>
      </c>
      <c r="H1033" s="334">
        <v>95.867557000000005</v>
      </c>
      <c r="I1033" s="344" t="e">
        <v>#REF!</v>
      </c>
      <c r="J1033" s="344" t="e">
        <v>#REF!</v>
      </c>
      <c r="K1033" s="344"/>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235">
        <v>47</v>
      </c>
      <c r="B1034" s="235" t="s">
        <v>70</v>
      </c>
      <c r="C1034" s="322" t="s">
        <v>2875</v>
      </c>
      <c r="D1034" s="322" t="s">
        <v>407</v>
      </c>
      <c r="E1034" s="11" t="str">
        <f t="array" ref="E1034">_xlfn.XLOOKUP(D1034,Insumos!B:B,Insumos!C:$C)</f>
        <v>M2</v>
      </c>
      <c r="F1034" s="81">
        <f>1.053</f>
        <v>1.0529999999999999</v>
      </c>
      <c r="G1034" s="87">
        <f t="array" ref="G1034">IF(B1034="insumo",_xlfn.XLOOKUP($D1034,Insumos!$B$1:$B$993,Insumos!$D$1:$D$993),"")</f>
        <v>20.16</v>
      </c>
      <c r="H1034" s="87">
        <v>21.228480000000001</v>
      </c>
      <c r="I1034" s="79" t="e">
        <v>#REF!</v>
      </c>
      <c r="J1034" s="79" t="e">
        <v>#REF!</v>
      </c>
      <c r="K1034" s="79"/>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235">
        <v>10</v>
      </c>
      <c r="B1035" s="235" t="s">
        <v>70</v>
      </c>
      <c r="C1035" s="10" t="s">
        <v>2875</v>
      </c>
      <c r="D1035" s="10" t="s">
        <v>2887</v>
      </c>
      <c r="E1035" s="11" t="str">
        <f t="array" ref="E1035">_xlfn.XLOOKUP(D1035,Insumos!B:B,Insumos!C:$C)</f>
        <v>M2</v>
      </c>
      <c r="F1035" s="81">
        <f>1.053</f>
        <v>1.0529999999999999</v>
      </c>
      <c r="G1035" s="87">
        <f t="array" ref="G1035">IF(B1035="insumo",_xlfn.XLOOKUP($D1035,Insumos!$B$1:$B$993,Insumos!$D$1:$D$993),"")</f>
        <v>34.513888888888893</v>
      </c>
      <c r="H1035" s="87">
        <v>36.343125000000001</v>
      </c>
      <c r="I1035" s="79" t="e">
        <v>#REF!</v>
      </c>
      <c r="J1035" s="79" t="e">
        <v>#REF!</v>
      </c>
      <c r="K1035" s="79"/>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235">
        <v>95</v>
      </c>
      <c r="B1036" s="235" t="s">
        <v>70</v>
      </c>
      <c r="C1036" s="322" t="s">
        <v>2875</v>
      </c>
      <c r="D1036" s="322" t="s">
        <v>408</v>
      </c>
      <c r="E1036" s="11" t="str">
        <f t="array" ref="E1036">_xlfn.XLOOKUP(D1036,Insumos!B:B,Insumos!C:$C)</f>
        <v>UN</v>
      </c>
      <c r="F1036" s="81">
        <v>4.95</v>
      </c>
      <c r="G1036" s="87">
        <f t="array" ref="G1036">IF(B1036="insumo",_xlfn.XLOOKUP($D1036,Insumos!$B$1:$B$993,Insumos!$D$1:$D$993),"")</f>
        <v>0.504</v>
      </c>
      <c r="H1036" s="87">
        <v>2.4948000000000001</v>
      </c>
      <c r="I1036" s="79" t="e">
        <v>#REF!</v>
      </c>
      <c r="J1036" s="79" t="e">
        <v>#REF!</v>
      </c>
      <c r="K1036" s="79"/>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235">
        <v>26</v>
      </c>
      <c r="B1037" s="235" t="s">
        <v>70</v>
      </c>
      <c r="C1037" s="322" t="s">
        <v>2875</v>
      </c>
      <c r="D1037" s="322" t="s">
        <v>409</v>
      </c>
      <c r="E1037" s="11" t="str">
        <f t="array" ref="E1037">_xlfn.XLOOKUP(D1037,Insumos!B:B,Insumos!C:$C)</f>
        <v>M</v>
      </c>
      <c r="F1037" s="81">
        <v>1.5247999999999999</v>
      </c>
      <c r="G1037" s="87">
        <f t="array" ref="G1037">IF(B1037="insumo",_xlfn.XLOOKUP($D1037,Insumos!$B$1:$B$993,Insumos!$D$1:$D$993),"")</f>
        <v>7.03</v>
      </c>
      <c r="H1037" s="87">
        <v>10.719344</v>
      </c>
      <c r="I1037" s="79" t="e">
        <v>#REF!</v>
      </c>
      <c r="J1037" s="79" t="e">
        <v>#REF!</v>
      </c>
      <c r="K1037" s="79"/>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235">
        <v>26</v>
      </c>
      <c r="B1038" s="235" t="s">
        <v>70</v>
      </c>
      <c r="C1038" s="322" t="s">
        <v>2875</v>
      </c>
      <c r="D1038" s="322" t="s">
        <v>410</v>
      </c>
      <c r="E1038" s="11" t="str">
        <f t="array" ref="E1038">_xlfn.XLOOKUP(D1038,Insumos!B:B,Insumos!C:$C)</f>
        <v>M</v>
      </c>
      <c r="F1038" s="81">
        <v>2.0005999999999999</v>
      </c>
      <c r="G1038" s="87">
        <f t="array" ref="G1038">IF(B1038="insumo",_xlfn.XLOOKUP($D1038,Insumos!$B$1:$B$993,Insumos!$D$1:$D$993),"")</f>
        <v>7.98</v>
      </c>
      <c r="H1038" s="87">
        <v>15.964788</v>
      </c>
      <c r="I1038" s="79" t="e">
        <v>#REF!</v>
      </c>
      <c r="J1038" s="79" t="e">
        <v>#REF!</v>
      </c>
      <c r="K1038" s="79"/>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235">
        <v>95</v>
      </c>
      <c r="B1039" s="235" t="s">
        <v>70</v>
      </c>
      <c r="C1039" s="322" t="s">
        <v>2875</v>
      </c>
      <c r="D1039" s="322" t="s">
        <v>404</v>
      </c>
      <c r="E1039" s="11" t="str">
        <f t="array" ref="E1039">_xlfn.XLOOKUP(D1039,Insumos!B:B,Insumos!C:$C)</f>
        <v>KG</v>
      </c>
      <c r="F1039" s="81">
        <v>0.54890000000000005</v>
      </c>
      <c r="G1039" s="87">
        <f t="array" ref="G1039">IF(B1039="insumo",_xlfn.XLOOKUP($D1039,Insumos!$B$1:$B$993,Insumos!$D$1:$D$993),"")</f>
        <v>3.43</v>
      </c>
      <c r="H1039" s="87">
        <v>1.882727</v>
      </c>
      <c r="I1039" s="79" t="e">
        <v>#REF!</v>
      </c>
      <c r="J1039" s="79" t="e">
        <v>#REF!</v>
      </c>
      <c r="K1039" s="79"/>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235">
        <v>94</v>
      </c>
      <c r="B1040" s="235" t="s">
        <v>70</v>
      </c>
      <c r="C1040" s="322" t="s">
        <v>2875</v>
      </c>
      <c r="D1040" s="322" t="s">
        <v>411</v>
      </c>
      <c r="E1040" s="11" t="str">
        <f t="array" ref="E1040">_xlfn.XLOOKUP(D1040,Insumos!B:B,Insumos!C:$C)</f>
        <v>M</v>
      </c>
      <c r="F1040" s="81">
        <v>1.2513000000000001</v>
      </c>
      <c r="G1040" s="87">
        <f t="array" ref="G1040">IF(B1040="insumo",_xlfn.XLOOKUP($D1040,Insumos!$B$1:$B$993,Insumos!$D$1:$D$993),"")</f>
        <v>0.31</v>
      </c>
      <c r="H1040" s="87">
        <v>0.387903</v>
      </c>
      <c r="I1040" s="79" t="e">
        <v>#REF!</v>
      </c>
      <c r="J1040" s="79" t="e">
        <v>#REF!</v>
      </c>
      <c r="K1040" s="79"/>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235">
        <v>94</v>
      </c>
      <c r="B1041" s="235" t="s">
        <v>70</v>
      </c>
      <c r="C1041" s="322" t="s">
        <v>2875</v>
      </c>
      <c r="D1041" s="322" t="s">
        <v>412</v>
      </c>
      <c r="E1041" s="11" t="str">
        <f t="array" ref="E1041">_xlfn.XLOOKUP(D1041,Insumos!B:B,Insumos!C:$C)</f>
        <v>M</v>
      </c>
      <c r="F1041" s="81">
        <v>0.74070000000000003</v>
      </c>
      <c r="G1041" s="87">
        <f t="array" ref="G1041">IF(B1041="insumo",_xlfn.XLOOKUP($D1041,Insumos!$B$1:$B$993,Insumos!$D$1:$D$993),"")</f>
        <v>2.74</v>
      </c>
      <c r="H1041" s="87">
        <v>2.0295179999999999</v>
      </c>
      <c r="I1041" s="79" t="e">
        <v>#REF!</v>
      </c>
      <c r="J1041" s="79" t="e">
        <v>#REF!</v>
      </c>
      <c r="K1041" s="79"/>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235">
        <v>11</v>
      </c>
      <c r="B1042" s="235" t="s">
        <v>70</v>
      </c>
      <c r="C1042" s="322" t="s">
        <v>2875</v>
      </c>
      <c r="D1042" s="322" t="s">
        <v>2888</v>
      </c>
      <c r="E1042" s="11" t="str">
        <f t="array" ref="E1042">_xlfn.XLOOKUP(D1042,Insumos!B:B,Insumos!C:$C)</f>
        <v>M</v>
      </c>
      <c r="F1042" s="81">
        <v>0.8</v>
      </c>
      <c r="G1042" s="87">
        <f t="array" ref="G1042">IF(B1042="insumo",_xlfn.XLOOKUP($D1042,Insumos!$B$1:$B$993,Insumos!$D$1:$D$993),"")</f>
        <v>3</v>
      </c>
      <c r="H1042" s="87">
        <v>2.4</v>
      </c>
      <c r="I1042" s="79" t="e">
        <v>#REF!</v>
      </c>
      <c r="J1042" s="79" t="e">
        <v>#REF!</v>
      </c>
      <c r="K1042" s="79"/>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235">
        <v>11</v>
      </c>
      <c r="B1043" s="235" t="s">
        <v>70</v>
      </c>
      <c r="C1043" s="322" t="s">
        <v>2875</v>
      </c>
      <c r="D1043" s="322" t="s">
        <v>2889</v>
      </c>
      <c r="E1043" s="11" t="str">
        <f t="array" ref="E1043">_xlfn.XLOOKUP(D1043,Insumos!B:B,Insumos!C:$C)</f>
        <v>M</v>
      </c>
      <c r="F1043" s="81">
        <v>0.84</v>
      </c>
      <c r="G1043" s="87">
        <f t="array" ref="G1043">IF(B1043="insumo",_xlfn.XLOOKUP($D1043,Insumos!$B$1:$B$993,Insumos!$D$1:$D$993),"")</f>
        <v>0.6</v>
      </c>
      <c r="H1043" s="87">
        <v>0.504</v>
      </c>
      <c r="I1043" s="79" t="e">
        <v>#REF!</v>
      </c>
      <c r="J1043" s="79" t="e">
        <v>#REF!</v>
      </c>
      <c r="K1043" s="79"/>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235">
        <v>97</v>
      </c>
      <c r="B1044" s="235" t="s">
        <v>70</v>
      </c>
      <c r="C1044" s="322" t="s">
        <v>2875</v>
      </c>
      <c r="D1044" s="322" t="s">
        <v>413</v>
      </c>
      <c r="E1044" s="11" t="str">
        <f t="array" ref="E1044">_xlfn.XLOOKUP(D1044,Insumos!B:B,Insumos!C:$C)</f>
        <v>UN</v>
      </c>
      <c r="F1044" s="81">
        <v>20.186800000000002</v>
      </c>
      <c r="G1044" s="87">
        <f t="array" ref="G1044">IF(B1044="insumo",_xlfn.XLOOKUP($D1044,Insumos!$B$1:$B$993,Insumos!$D$1:$D$993),"")</f>
        <v>0.09</v>
      </c>
      <c r="H1044" s="87">
        <v>1.8168120000000001</v>
      </c>
      <c r="I1044" s="79" t="e">
        <v>#REF!</v>
      </c>
      <c r="J1044" s="79" t="e">
        <v>#REF!</v>
      </c>
      <c r="K1044" s="79"/>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235">
        <v>95</v>
      </c>
      <c r="B1045" s="235" t="s">
        <v>70</v>
      </c>
      <c r="C1045" s="322" t="s">
        <v>2875</v>
      </c>
      <c r="D1045" s="322" t="s">
        <v>414</v>
      </c>
      <c r="E1045" s="11" t="str">
        <f t="array" ref="E1045">_xlfn.XLOOKUP(D1045,Insumos!B:B,Insumos!C:$C)</f>
        <v>UN</v>
      </c>
      <c r="F1045" s="81">
        <v>0.4803</v>
      </c>
      <c r="G1045" s="87">
        <f t="array" ref="G1045">IF(B1045="insumo",_xlfn.XLOOKUP($D1045,Insumos!$B$1:$B$993,Insumos!$D$1:$D$993),"")</f>
        <v>0.2</v>
      </c>
      <c r="H1045" s="87">
        <v>9.6060000000000006E-2</v>
      </c>
      <c r="I1045" s="79" t="e">
        <v>#REF!</v>
      </c>
      <c r="J1045" s="79" t="e">
        <v>#REF!</v>
      </c>
      <c r="K1045" s="79"/>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341">
        <v>1</v>
      </c>
      <c r="B1046" s="341" t="s">
        <v>67</v>
      </c>
      <c r="C1046" s="342" t="s">
        <v>2876</v>
      </c>
      <c r="D1046" s="342" t="s">
        <v>2876</v>
      </c>
      <c r="E1046" s="343" t="s">
        <v>69</v>
      </c>
      <c r="F1046" s="341"/>
      <c r="G1046" s="334" t="str">
        <f t="array" ref="G1046">IF(B1046="insumo",_xlfn.XLOOKUP($D1046,Insumos!$B$1:$B$993,Insumos!$D$1:$D$993),"")</f>
        <v/>
      </c>
      <c r="H1046" s="334">
        <v>96.523221000000007</v>
      </c>
      <c r="I1046" s="344" t="e">
        <v>#REF!</v>
      </c>
      <c r="J1046" s="344" t="e">
        <v>#REF!</v>
      </c>
      <c r="K1046" s="344"/>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235">
        <v>47</v>
      </c>
      <c r="B1047" s="235" t="s">
        <v>70</v>
      </c>
      <c r="C1047" s="322" t="s">
        <v>2876</v>
      </c>
      <c r="D1047" s="322" t="s">
        <v>407</v>
      </c>
      <c r="E1047" s="11" t="str">
        <f t="array" ref="E1047">_xlfn.XLOOKUP(D1047,Insumos!B:B,Insumos!C:$C)</f>
        <v>M2</v>
      </c>
      <c r="F1047" s="81">
        <f>1.053</f>
        <v>1.0529999999999999</v>
      </c>
      <c r="G1047" s="87">
        <f t="array" ref="G1047">IF(B1047="insumo",_xlfn.XLOOKUP($D1047,Insumos!$B$1:$B$993,Insumos!$D$1:$D$993),"")</f>
        <v>20.16</v>
      </c>
      <c r="H1047" s="87">
        <v>21.228480000000001</v>
      </c>
      <c r="I1047" s="79" t="e">
        <v>#REF!</v>
      </c>
      <c r="J1047" s="79" t="e">
        <v>#REF!</v>
      </c>
      <c r="K1047" s="79"/>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235">
        <v>10</v>
      </c>
      <c r="B1048" s="235" t="s">
        <v>70</v>
      </c>
      <c r="C1048" s="10" t="s">
        <v>2876</v>
      </c>
      <c r="D1048" s="10" t="s">
        <v>2887</v>
      </c>
      <c r="E1048" s="11" t="str">
        <f t="array" ref="E1048">_xlfn.XLOOKUP(D1048,Insumos!B:B,Insumos!C:$C)</f>
        <v>M2</v>
      </c>
      <c r="F1048" s="81">
        <f>1.053</f>
        <v>1.0529999999999999</v>
      </c>
      <c r="G1048" s="87">
        <f t="array" ref="G1048">IF(B1048="insumo",_xlfn.XLOOKUP($D1048,Insumos!$B$1:$B$993,Insumos!$D$1:$D$993),"")</f>
        <v>34.513888888888893</v>
      </c>
      <c r="H1048" s="87">
        <v>36.343125000000001</v>
      </c>
      <c r="I1048" s="79" t="e">
        <v>#REF!</v>
      </c>
      <c r="J1048" s="79" t="e">
        <v>#REF!</v>
      </c>
      <c r="K1048" s="79"/>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235">
        <v>95</v>
      </c>
      <c r="B1049" s="235" t="s">
        <v>70</v>
      </c>
      <c r="C1049" s="322" t="s">
        <v>2876</v>
      </c>
      <c r="D1049" s="322" t="s">
        <v>408</v>
      </c>
      <c r="E1049" s="11" t="str">
        <f t="array" ref="E1049">_xlfn.XLOOKUP(D1049,Insumos!B:B,Insumos!C:$C)</f>
        <v>UN</v>
      </c>
      <c r="F1049" s="81">
        <v>4.95</v>
      </c>
      <c r="G1049" s="87">
        <f t="array" ref="G1049">IF(B1049="insumo",_xlfn.XLOOKUP($D1049,Insumos!$B$1:$B$993,Insumos!$D$1:$D$993),"")</f>
        <v>0.504</v>
      </c>
      <c r="H1049" s="87">
        <v>2.4948000000000001</v>
      </c>
      <c r="I1049" s="79" t="e">
        <v>#REF!</v>
      </c>
      <c r="J1049" s="79" t="e">
        <v>#REF!</v>
      </c>
      <c r="K1049" s="79"/>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235">
        <v>43</v>
      </c>
      <c r="B1050" s="235" t="s">
        <v>70</v>
      </c>
      <c r="C1050" s="322" t="s">
        <v>2876</v>
      </c>
      <c r="D1050" s="322" t="s">
        <v>422</v>
      </c>
      <c r="E1050" s="11" t="str">
        <f t="array" ref="E1050">_xlfn.XLOOKUP(D1050,Insumos!B:B,Insumos!C:$C)</f>
        <v>M</v>
      </c>
      <c r="F1050" s="81">
        <v>1.5247999999999999</v>
      </c>
      <c r="G1050" s="87">
        <f t="array" ref="G1050">IF(B1050="insumo",_xlfn.XLOOKUP($D1050,Insumos!$B$1:$B$993,Insumos!$D$1:$D$993),"")</f>
        <v>7.46</v>
      </c>
      <c r="H1050" s="87">
        <v>11.375007999999999</v>
      </c>
      <c r="I1050" s="79" t="e">
        <v>#REF!</v>
      </c>
      <c r="J1050" s="79" t="e">
        <v>#REF!</v>
      </c>
      <c r="K1050" s="79"/>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235">
        <v>43</v>
      </c>
      <c r="B1051" s="235" t="s">
        <v>70</v>
      </c>
      <c r="C1051" s="322" t="s">
        <v>2876</v>
      </c>
      <c r="D1051" s="322" t="s">
        <v>423</v>
      </c>
      <c r="E1051" s="11" t="str">
        <f t="array" ref="E1051">_xlfn.XLOOKUP(D1051,Insumos!B:B,Insumos!C:$C)</f>
        <v>M</v>
      </c>
      <c r="F1051" s="81">
        <v>2.0005999999999999</v>
      </c>
      <c r="G1051" s="87">
        <f t="array" ref="G1051">IF(B1051="insumo",_xlfn.XLOOKUP($D1051,Insumos!$B$1:$B$993,Insumos!$D$1:$D$993),"")</f>
        <v>7.98</v>
      </c>
      <c r="H1051" s="87">
        <v>15.964788</v>
      </c>
      <c r="I1051" s="79" t="e">
        <v>#REF!</v>
      </c>
      <c r="J1051" s="79" t="e">
        <v>#REF!</v>
      </c>
      <c r="K1051" s="79"/>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235">
        <v>95</v>
      </c>
      <c r="B1052" s="235" t="s">
        <v>70</v>
      </c>
      <c r="C1052" s="322" t="s">
        <v>2876</v>
      </c>
      <c r="D1052" s="322" t="s">
        <v>404</v>
      </c>
      <c r="E1052" s="11" t="str">
        <f t="array" ref="E1052">_xlfn.XLOOKUP(D1052,Insumos!B:B,Insumos!C:$C)</f>
        <v>KG</v>
      </c>
      <c r="F1052" s="81">
        <v>0.54890000000000005</v>
      </c>
      <c r="G1052" s="87">
        <f t="array" ref="G1052">IF(B1052="insumo",_xlfn.XLOOKUP($D1052,Insumos!$B$1:$B$993,Insumos!$D$1:$D$993),"")</f>
        <v>3.43</v>
      </c>
      <c r="H1052" s="87">
        <v>1.882727</v>
      </c>
      <c r="I1052" s="79" t="e">
        <v>#REF!</v>
      </c>
      <c r="J1052" s="79" t="e">
        <v>#REF!</v>
      </c>
      <c r="K1052" s="79"/>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235">
        <v>94</v>
      </c>
      <c r="B1053" s="235" t="s">
        <v>70</v>
      </c>
      <c r="C1053" s="322" t="s">
        <v>2876</v>
      </c>
      <c r="D1053" s="322" t="s">
        <v>411</v>
      </c>
      <c r="E1053" s="11" t="str">
        <f t="array" ref="E1053">_xlfn.XLOOKUP(D1053,Insumos!B:B,Insumos!C:$C)</f>
        <v>M</v>
      </c>
      <c r="F1053" s="81">
        <v>1.2513000000000001</v>
      </c>
      <c r="G1053" s="87">
        <f t="array" ref="G1053">IF(B1053="insumo",_xlfn.XLOOKUP($D1053,Insumos!$B$1:$B$993,Insumos!$D$1:$D$993),"")</f>
        <v>0.31</v>
      </c>
      <c r="H1053" s="87">
        <v>0.387903</v>
      </c>
      <c r="I1053" s="79" t="e">
        <v>#REF!</v>
      </c>
      <c r="J1053" s="79" t="e">
        <v>#REF!</v>
      </c>
      <c r="K1053" s="79"/>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235">
        <v>94</v>
      </c>
      <c r="B1054" s="235" t="s">
        <v>70</v>
      </c>
      <c r="C1054" s="322" t="s">
        <v>2876</v>
      </c>
      <c r="D1054" s="322" t="s">
        <v>412</v>
      </c>
      <c r="E1054" s="11" t="str">
        <f t="array" ref="E1054">_xlfn.XLOOKUP(D1054,Insumos!B:B,Insumos!C:$C)</f>
        <v>M</v>
      </c>
      <c r="F1054" s="81">
        <v>0.74070000000000003</v>
      </c>
      <c r="G1054" s="87">
        <f t="array" ref="G1054">IF(B1054="insumo",_xlfn.XLOOKUP($D1054,Insumos!$B$1:$B$993,Insumos!$D$1:$D$993),"")</f>
        <v>2.74</v>
      </c>
      <c r="H1054" s="87">
        <v>2.0295179999999999</v>
      </c>
      <c r="I1054" s="79" t="e">
        <v>#REF!</v>
      </c>
      <c r="J1054" s="79" t="e">
        <v>#REF!</v>
      </c>
      <c r="K1054" s="79"/>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235">
        <v>11</v>
      </c>
      <c r="B1055" s="235" t="s">
        <v>70</v>
      </c>
      <c r="C1055" s="322" t="s">
        <v>2876</v>
      </c>
      <c r="D1055" s="322" t="s">
        <v>2888</v>
      </c>
      <c r="E1055" s="11" t="str">
        <f t="array" ref="E1055">_xlfn.XLOOKUP(D1055,Insumos!B:B,Insumos!C:$C)</f>
        <v>M</v>
      </c>
      <c r="F1055" s="81">
        <v>0.8</v>
      </c>
      <c r="G1055" s="87">
        <f t="array" ref="G1055">IF(B1055="insumo",_xlfn.XLOOKUP($D1055,Insumos!$B$1:$B$993,Insumos!$D$1:$D$993),"")</f>
        <v>3</v>
      </c>
      <c r="H1055" s="87">
        <v>2.4</v>
      </c>
      <c r="I1055" s="79" t="e">
        <v>#REF!</v>
      </c>
      <c r="J1055" s="79" t="e">
        <v>#REF!</v>
      </c>
      <c r="K1055" s="79"/>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235">
        <v>11</v>
      </c>
      <c r="B1056" s="235" t="s">
        <v>70</v>
      </c>
      <c r="C1056" s="322" t="s">
        <v>2876</v>
      </c>
      <c r="D1056" s="322" t="s">
        <v>2889</v>
      </c>
      <c r="E1056" s="11" t="str">
        <f t="array" ref="E1056">_xlfn.XLOOKUP(D1056,Insumos!B:B,Insumos!C:$C)</f>
        <v>M</v>
      </c>
      <c r="F1056" s="81">
        <v>0.84</v>
      </c>
      <c r="G1056" s="87">
        <f t="array" ref="G1056">IF(B1056="insumo",_xlfn.XLOOKUP($D1056,Insumos!$B$1:$B$993,Insumos!$D$1:$D$993),"")</f>
        <v>0.6</v>
      </c>
      <c r="H1056" s="87">
        <v>0.504</v>
      </c>
      <c r="I1056" s="79" t="e">
        <v>#REF!</v>
      </c>
      <c r="J1056" s="79" t="e">
        <v>#REF!</v>
      </c>
      <c r="K1056" s="79"/>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235">
        <v>97</v>
      </c>
      <c r="B1057" s="235" t="s">
        <v>70</v>
      </c>
      <c r="C1057" s="322" t="s">
        <v>2876</v>
      </c>
      <c r="D1057" s="322" t="s">
        <v>413</v>
      </c>
      <c r="E1057" s="11" t="str">
        <f t="array" ref="E1057">_xlfn.XLOOKUP(D1057,Insumos!B:B,Insumos!C:$C)</f>
        <v>UN</v>
      </c>
      <c r="F1057" s="81">
        <v>20.186800000000002</v>
      </c>
      <c r="G1057" s="87">
        <f t="array" ref="G1057">IF(B1057="insumo",_xlfn.XLOOKUP($D1057,Insumos!$B$1:$B$993,Insumos!$D$1:$D$993),"")</f>
        <v>0.09</v>
      </c>
      <c r="H1057" s="87">
        <v>1.8168120000000001</v>
      </c>
      <c r="I1057" s="79" t="e">
        <v>#REF!</v>
      </c>
      <c r="J1057" s="79" t="e">
        <v>#REF!</v>
      </c>
      <c r="K1057" s="79"/>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235">
        <v>95</v>
      </c>
      <c r="B1058" s="235" t="s">
        <v>70</v>
      </c>
      <c r="C1058" s="322" t="s">
        <v>2876</v>
      </c>
      <c r="D1058" s="322" t="s">
        <v>414</v>
      </c>
      <c r="E1058" s="11" t="str">
        <f t="array" ref="E1058">_xlfn.XLOOKUP(D1058,Insumos!B:B,Insumos!C:$C)</f>
        <v>UN</v>
      </c>
      <c r="F1058" s="81">
        <v>0.4803</v>
      </c>
      <c r="G1058" s="87">
        <f t="array" ref="G1058">IF(B1058="insumo",_xlfn.XLOOKUP($D1058,Insumos!$B$1:$B$993,Insumos!$D$1:$D$993),"")</f>
        <v>0.2</v>
      </c>
      <c r="H1058" s="87">
        <v>9.6060000000000006E-2</v>
      </c>
      <c r="I1058" s="79" t="e">
        <v>#REF!</v>
      </c>
      <c r="J1058" s="79" t="e">
        <v>#REF!</v>
      </c>
      <c r="K1058" s="79"/>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341">
        <v>1</v>
      </c>
      <c r="B1059" s="341" t="s">
        <v>67</v>
      </c>
      <c r="C1059" s="342" t="s">
        <v>2877</v>
      </c>
      <c r="D1059" s="342" t="s">
        <v>2877</v>
      </c>
      <c r="E1059" s="343" t="s">
        <v>69</v>
      </c>
      <c r="F1059" s="341"/>
      <c r="G1059" s="334" t="str">
        <f t="array" ref="G1059">IF(B1059="insumo",_xlfn.XLOOKUP($D1059,Insumos!$B$1:$B$993,Insumos!$D$1:$D$993),"")</f>
        <v/>
      </c>
      <c r="H1059" s="334">
        <v>103.831041</v>
      </c>
      <c r="I1059" s="344">
        <v>0</v>
      </c>
      <c r="J1059" s="344">
        <v>0</v>
      </c>
      <c r="K1059" s="344"/>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235">
        <v>49</v>
      </c>
      <c r="B1060" s="235" t="s">
        <v>70</v>
      </c>
      <c r="C1060" s="322" t="s">
        <v>2877</v>
      </c>
      <c r="D1060" s="322" t="s">
        <v>417</v>
      </c>
      <c r="E1060" s="11" t="str">
        <f t="array" ref="E1060">_xlfn.XLOOKUP(D1060,Insumos!B:B,Insumos!C:$C)</f>
        <v>M2</v>
      </c>
      <c r="F1060" s="81">
        <f>1.053</f>
        <v>1.0529999999999999</v>
      </c>
      <c r="G1060" s="87">
        <f t="array" ref="G1060">IF(B1060="insumo",_xlfn.XLOOKUP($D1060,Insumos!$B$1:$B$993,Insumos!$D$1:$D$993),"")</f>
        <v>27.1</v>
      </c>
      <c r="H1060" s="87">
        <v>28.536300000000001</v>
      </c>
      <c r="I1060" s="79">
        <v>0</v>
      </c>
      <c r="J1060" s="79">
        <v>0</v>
      </c>
      <c r="K1060" s="79"/>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235">
        <v>10</v>
      </c>
      <c r="B1061" s="235" t="s">
        <v>70</v>
      </c>
      <c r="C1061" s="10" t="s">
        <v>2877</v>
      </c>
      <c r="D1061" s="10" t="s">
        <v>2887</v>
      </c>
      <c r="E1061" s="11" t="str">
        <f t="array" ref="E1061">_xlfn.XLOOKUP(D1061,Insumos!B:B,Insumos!C:$C)</f>
        <v>M2</v>
      </c>
      <c r="F1061" s="81">
        <f>1.053</f>
        <v>1.0529999999999999</v>
      </c>
      <c r="G1061" s="87">
        <f t="array" ref="G1061">IF(B1061="insumo",_xlfn.XLOOKUP($D1061,Insumos!$B$1:$B$993,Insumos!$D$1:$D$993),"")</f>
        <v>34.513888888888893</v>
      </c>
      <c r="H1061" s="87">
        <v>36.343125000000001</v>
      </c>
      <c r="I1061" s="79">
        <v>0</v>
      </c>
      <c r="J1061" s="79">
        <v>0</v>
      </c>
      <c r="K1061" s="79"/>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235">
        <v>95</v>
      </c>
      <c r="B1062" s="235" t="s">
        <v>70</v>
      </c>
      <c r="C1062" s="322" t="s">
        <v>2877</v>
      </c>
      <c r="D1062" s="322" t="s">
        <v>408</v>
      </c>
      <c r="E1062" s="11" t="str">
        <f t="array" ref="E1062">_xlfn.XLOOKUP(D1062,Insumos!B:B,Insumos!C:$C)</f>
        <v>UN</v>
      </c>
      <c r="F1062" s="81">
        <v>4.95</v>
      </c>
      <c r="G1062" s="87">
        <f t="array" ref="G1062">IF(B1062="insumo",_xlfn.XLOOKUP($D1062,Insumos!$B$1:$B$993,Insumos!$D$1:$D$993),"")</f>
        <v>0.504</v>
      </c>
      <c r="H1062" s="87">
        <v>2.4948000000000001</v>
      </c>
      <c r="I1062" s="79">
        <v>0</v>
      </c>
      <c r="J1062" s="79">
        <v>0</v>
      </c>
      <c r="K1062" s="79"/>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235">
        <v>43</v>
      </c>
      <c r="B1063" s="235" t="s">
        <v>70</v>
      </c>
      <c r="C1063" s="322" t="s">
        <v>2877</v>
      </c>
      <c r="D1063" s="322" t="s">
        <v>422</v>
      </c>
      <c r="E1063" s="11" t="str">
        <f t="array" ref="E1063">_xlfn.XLOOKUP(D1063,Insumos!B:B,Insumos!C:$C)</f>
        <v>M</v>
      </c>
      <c r="F1063" s="81">
        <v>1.5247999999999999</v>
      </c>
      <c r="G1063" s="87">
        <f t="array" ref="G1063">IF(B1063="insumo",_xlfn.XLOOKUP($D1063,Insumos!$B$1:$B$993,Insumos!$D$1:$D$993),"")</f>
        <v>7.46</v>
      </c>
      <c r="H1063" s="87">
        <v>11.375007999999999</v>
      </c>
      <c r="I1063" s="79">
        <v>0</v>
      </c>
      <c r="J1063" s="79">
        <v>0</v>
      </c>
      <c r="K1063" s="79"/>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235">
        <v>43</v>
      </c>
      <c r="B1064" s="235" t="s">
        <v>70</v>
      </c>
      <c r="C1064" s="322" t="s">
        <v>2877</v>
      </c>
      <c r="D1064" s="322" t="s">
        <v>423</v>
      </c>
      <c r="E1064" s="11" t="str">
        <f t="array" ref="E1064">_xlfn.XLOOKUP(D1064,Insumos!B:B,Insumos!C:$C)</f>
        <v>M</v>
      </c>
      <c r="F1064" s="81">
        <v>2.0005999999999999</v>
      </c>
      <c r="G1064" s="87">
        <f t="array" ref="G1064">IF(B1064="insumo",_xlfn.XLOOKUP($D1064,Insumos!$B$1:$B$993,Insumos!$D$1:$D$993),"")</f>
        <v>7.98</v>
      </c>
      <c r="H1064" s="87">
        <v>15.964788</v>
      </c>
      <c r="I1064" s="79">
        <v>0</v>
      </c>
      <c r="J1064" s="79">
        <v>0</v>
      </c>
      <c r="K1064" s="79"/>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235">
        <v>95</v>
      </c>
      <c r="B1065" s="235" t="s">
        <v>70</v>
      </c>
      <c r="C1065" s="322" t="s">
        <v>2877</v>
      </c>
      <c r="D1065" s="322" t="s">
        <v>404</v>
      </c>
      <c r="E1065" s="11" t="str">
        <f t="array" ref="E1065">_xlfn.XLOOKUP(D1065,Insumos!B:B,Insumos!C:$C)</f>
        <v>KG</v>
      </c>
      <c r="F1065" s="81">
        <v>0.54890000000000005</v>
      </c>
      <c r="G1065" s="87">
        <f t="array" ref="G1065">IF(B1065="insumo",_xlfn.XLOOKUP($D1065,Insumos!$B$1:$B$993,Insumos!$D$1:$D$993),"")</f>
        <v>3.43</v>
      </c>
      <c r="H1065" s="87">
        <v>1.882727</v>
      </c>
      <c r="I1065" s="79">
        <v>0</v>
      </c>
      <c r="J1065" s="79">
        <v>0</v>
      </c>
      <c r="K1065" s="79"/>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235">
        <v>94</v>
      </c>
      <c r="B1066" s="235" t="s">
        <v>70</v>
      </c>
      <c r="C1066" s="322" t="s">
        <v>2877</v>
      </c>
      <c r="D1066" s="322" t="s">
        <v>411</v>
      </c>
      <c r="E1066" s="11" t="str">
        <f t="array" ref="E1066">_xlfn.XLOOKUP(D1066,Insumos!B:B,Insumos!C:$C)</f>
        <v>M</v>
      </c>
      <c r="F1066" s="81">
        <v>1.2513000000000001</v>
      </c>
      <c r="G1066" s="87">
        <f t="array" ref="G1066">IF(B1066="insumo",_xlfn.XLOOKUP($D1066,Insumos!$B$1:$B$993,Insumos!$D$1:$D$993),"")</f>
        <v>0.31</v>
      </c>
      <c r="H1066" s="87">
        <v>0.387903</v>
      </c>
      <c r="I1066" s="79">
        <v>0</v>
      </c>
      <c r="J1066" s="79">
        <v>0</v>
      </c>
      <c r="K1066" s="79"/>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235">
        <v>94</v>
      </c>
      <c r="B1067" s="235" t="s">
        <v>70</v>
      </c>
      <c r="C1067" s="322" t="s">
        <v>2877</v>
      </c>
      <c r="D1067" s="322" t="s">
        <v>412</v>
      </c>
      <c r="E1067" s="11" t="str">
        <f t="array" ref="E1067">_xlfn.XLOOKUP(D1067,Insumos!B:B,Insumos!C:$C)</f>
        <v>M</v>
      </c>
      <c r="F1067" s="81">
        <v>0.74070000000000003</v>
      </c>
      <c r="G1067" s="87">
        <f t="array" ref="G1067">IF(B1067="insumo",_xlfn.XLOOKUP($D1067,Insumos!$B$1:$B$993,Insumos!$D$1:$D$993),"")</f>
        <v>2.74</v>
      </c>
      <c r="H1067" s="87">
        <v>2.0295179999999999</v>
      </c>
      <c r="I1067" s="79">
        <v>0</v>
      </c>
      <c r="J1067" s="79">
        <v>0</v>
      </c>
      <c r="K1067" s="79"/>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235">
        <v>11</v>
      </c>
      <c r="B1068" s="235" t="s">
        <v>70</v>
      </c>
      <c r="C1068" s="322" t="s">
        <v>2877</v>
      </c>
      <c r="D1068" s="322" t="s">
        <v>2888</v>
      </c>
      <c r="E1068" s="11" t="str">
        <f t="array" ref="E1068">_xlfn.XLOOKUP(D1068,Insumos!B:B,Insumos!C:$C)</f>
        <v>M</v>
      </c>
      <c r="F1068" s="81">
        <v>0.8</v>
      </c>
      <c r="G1068" s="87">
        <f t="array" ref="G1068">IF(B1068="insumo",_xlfn.XLOOKUP($D1068,Insumos!$B$1:$B$993,Insumos!$D$1:$D$993),"")</f>
        <v>3</v>
      </c>
      <c r="H1068" s="87">
        <v>2.4</v>
      </c>
      <c r="I1068" s="79">
        <v>0</v>
      </c>
      <c r="J1068" s="79">
        <v>0</v>
      </c>
      <c r="K1068" s="79"/>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235">
        <v>11</v>
      </c>
      <c r="B1069" s="235" t="s">
        <v>70</v>
      </c>
      <c r="C1069" s="322" t="s">
        <v>2877</v>
      </c>
      <c r="D1069" s="322" t="s">
        <v>2889</v>
      </c>
      <c r="E1069" s="11" t="str">
        <f t="array" ref="E1069">_xlfn.XLOOKUP(D1069,Insumos!B:B,Insumos!C:$C)</f>
        <v>M</v>
      </c>
      <c r="F1069" s="81">
        <v>0.84</v>
      </c>
      <c r="G1069" s="87">
        <f t="array" ref="G1069">IF(B1069="insumo",_xlfn.XLOOKUP($D1069,Insumos!$B$1:$B$993,Insumos!$D$1:$D$993),"")</f>
        <v>0.6</v>
      </c>
      <c r="H1069" s="87">
        <v>0.504</v>
      </c>
      <c r="I1069" s="79">
        <v>0</v>
      </c>
      <c r="J1069" s="79">
        <v>0</v>
      </c>
      <c r="K1069" s="79"/>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235">
        <v>97</v>
      </c>
      <c r="B1070" s="235" t="s">
        <v>70</v>
      </c>
      <c r="C1070" s="322" t="s">
        <v>2877</v>
      </c>
      <c r="D1070" s="322" t="s">
        <v>413</v>
      </c>
      <c r="E1070" s="11" t="str">
        <f t="array" ref="E1070">_xlfn.XLOOKUP(D1070,Insumos!B:B,Insumos!C:$C)</f>
        <v>UN</v>
      </c>
      <c r="F1070" s="81">
        <v>20.186800000000002</v>
      </c>
      <c r="G1070" s="87">
        <f t="array" ref="G1070">IF(B1070="insumo",_xlfn.XLOOKUP($D1070,Insumos!$B$1:$B$993,Insumos!$D$1:$D$993),"")</f>
        <v>0.09</v>
      </c>
      <c r="H1070" s="87">
        <v>1.8168120000000001</v>
      </c>
      <c r="I1070" s="79">
        <v>0</v>
      </c>
      <c r="J1070" s="79">
        <v>0</v>
      </c>
      <c r="K1070" s="79"/>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235">
        <v>95</v>
      </c>
      <c r="B1071" s="235" t="s">
        <v>70</v>
      </c>
      <c r="C1071" s="322" t="s">
        <v>2877</v>
      </c>
      <c r="D1071" s="322" t="s">
        <v>414</v>
      </c>
      <c r="E1071" s="11" t="str">
        <f t="array" ref="E1071">_xlfn.XLOOKUP(D1071,Insumos!B:B,Insumos!C:$C)</f>
        <v>UN</v>
      </c>
      <c r="F1071" s="81">
        <v>0.4803</v>
      </c>
      <c r="G1071" s="87">
        <f t="array" ref="G1071">IF(B1071="insumo",_xlfn.XLOOKUP($D1071,Insumos!$B$1:$B$993,Insumos!$D$1:$D$993),"")</f>
        <v>0.2</v>
      </c>
      <c r="H1071" s="87">
        <v>9.6060000000000006E-2</v>
      </c>
      <c r="I1071" s="79">
        <v>0</v>
      </c>
      <c r="J1071" s="79">
        <v>0</v>
      </c>
      <c r="K1071" s="79"/>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341">
        <v>1</v>
      </c>
      <c r="B1072" s="341" t="s">
        <v>67</v>
      </c>
      <c r="C1072" s="342" t="s">
        <v>2878</v>
      </c>
      <c r="D1072" s="342" t="s">
        <v>2878</v>
      </c>
      <c r="E1072" s="343" t="s">
        <v>69</v>
      </c>
      <c r="F1072" s="341"/>
      <c r="G1072" s="334" t="str">
        <f t="array" ref="G1072">IF(B1072="insumo",_xlfn.XLOOKUP($D1072,Insumos!$B$1:$B$993,Insumos!$D$1:$D$993),"")</f>
        <v/>
      </c>
      <c r="H1072" s="334">
        <v>158.39527899999999</v>
      </c>
      <c r="I1072" s="344">
        <v>0</v>
      </c>
      <c r="J1072" s="344">
        <v>0</v>
      </c>
      <c r="K1072" s="344"/>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235">
        <v>47</v>
      </c>
      <c r="B1073" s="235" t="s">
        <v>70</v>
      </c>
      <c r="C1073" s="322" t="s">
        <v>2878</v>
      </c>
      <c r="D1073" s="322" t="s">
        <v>407</v>
      </c>
      <c r="E1073" s="11" t="str">
        <f t="array" ref="E1073">_xlfn.XLOOKUP(D1073,Insumos!B:B,Insumos!C:$C)</f>
        <v>M2</v>
      </c>
      <c r="F1073" s="81">
        <f>1.053*2</f>
        <v>2.1059999999999999</v>
      </c>
      <c r="G1073" s="87">
        <f t="array" ref="G1073">IF(B1073="insumo",_xlfn.XLOOKUP($D1073,Insumos!$B$1:$B$993,Insumos!$D$1:$D$993),"")</f>
        <v>20.16</v>
      </c>
      <c r="H1073" s="87">
        <v>42.456960000000002</v>
      </c>
      <c r="I1073" s="79">
        <v>0</v>
      </c>
      <c r="J1073" s="79">
        <v>0</v>
      </c>
      <c r="K1073" s="79"/>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235">
        <v>10</v>
      </c>
      <c r="B1074" s="235" t="s">
        <v>70</v>
      </c>
      <c r="C1074" s="10" t="s">
        <v>2878</v>
      </c>
      <c r="D1074" s="10" t="s">
        <v>2887</v>
      </c>
      <c r="E1074" s="11" t="str">
        <f t="array" ref="E1074">_xlfn.XLOOKUP(D1074,Insumos!B:B,Insumos!C:$C)</f>
        <v>M2</v>
      </c>
      <c r="F1074" s="81">
        <f>1.053*2</f>
        <v>2.1059999999999999</v>
      </c>
      <c r="G1074" s="87">
        <f t="array" ref="G1074">IF(B1074="insumo",_xlfn.XLOOKUP($D1074,Insumos!$B$1:$B$993,Insumos!$D$1:$D$993),"")</f>
        <v>34.513888888888893</v>
      </c>
      <c r="H1074" s="87">
        <v>72.686250000000001</v>
      </c>
      <c r="I1074" s="79">
        <v>0</v>
      </c>
      <c r="J1074" s="79">
        <v>0</v>
      </c>
      <c r="K1074" s="79"/>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235">
        <v>95</v>
      </c>
      <c r="B1075" s="235" t="s">
        <v>70</v>
      </c>
      <c r="C1075" s="322" t="s">
        <v>2878</v>
      </c>
      <c r="D1075" s="322" t="s">
        <v>408</v>
      </c>
      <c r="E1075" s="11" t="str">
        <f t="array" ref="E1075">_xlfn.XLOOKUP(D1075,Insumos!B:B,Insumos!C:$C)</f>
        <v>UN</v>
      </c>
      <c r="F1075" s="81">
        <v>4.95</v>
      </c>
      <c r="G1075" s="87">
        <f t="array" ref="G1075">IF(B1075="insumo",_xlfn.XLOOKUP($D1075,Insumos!$B$1:$B$993,Insumos!$D$1:$D$993),"")</f>
        <v>0.504</v>
      </c>
      <c r="H1075" s="87">
        <v>2.4948000000000001</v>
      </c>
      <c r="I1075" s="79">
        <v>0</v>
      </c>
      <c r="J1075" s="79">
        <v>0</v>
      </c>
      <c r="K1075" s="79"/>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235">
        <v>43</v>
      </c>
      <c r="B1076" s="235" t="s">
        <v>70</v>
      </c>
      <c r="C1076" s="322" t="s">
        <v>2878</v>
      </c>
      <c r="D1076" s="322" t="s">
        <v>422</v>
      </c>
      <c r="E1076" s="11" t="str">
        <f t="array" ref="E1076">_xlfn.XLOOKUP(D1076,Insumos!B:B,Insumos!C:$C)</f>
        <v>M</v>
      </c>
      <c r="F1076" s="81">
        <v>1.5247999999999999</v>
      </c>
      <c r="G1076" s="87">
        <f t="array" ref="G1076">IF(B1076="insumo",_xlfn.XLOOKUP($D1076,Insumos!$B$1:$B$993,Insumos!$D$1:$D$993),"")</f>
        <v>7.46</v>
      </c>
      <c r="H1076" s="87">
        <v>11.375007999999999</v>
      </c>
      <c r="I1076" s="79">
        <v>0</v>
      </c>
      <c r="J1076" s="79">
        <v>0</v>
      </c>
      <c r="K1076" s="79"/>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235">
        <v>43</v>
      </c>
      <c r="B1077" s="235" t="s">
        <v>70</v>
      </c>
      <c r="C1077" s="322" t="s">
        <v>2878</v>
      </c>
      <c r="D1077" s="322" t="s">
        <v>423</v>
      </c>
      <c r="E1077" s="11" t="str">
        <f t="array" ref="E1077">_xlfn.XLOOKUP(D1077,Insumos!B:B,Insumos!C:$C)</f>
        <v>M</v>
      </c>
      <c r="F1077" s="81">
        <v>2.0005999999999999</v>
      </c>
      <c r="G1077" s="87">
        <f t="array" ref="G1077">IF(B1077="insumo",_xlfn.XLOOKUP($D1077,Insumos!$B$1:$B$993,Insumos!$D$1:$D$993),"")</f>
        <v>7.98</v>
      </c>
      <c r="H1077" s="87">
        <v>15.964788</v>
      </c>
      <c r="I1077" s="79">
        <v>0</v>
      </c>
      <c r="J1077" s="79">
        <v>0</v>
      </c>
      <c r="K1077" s="79"/>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235">
        <v>95</v>
      </c>
      <c r="B1078" s="235" t="s">
        <v>70</v>
      </c>
      <c r="C1078" s="322" t="s">
        <v>2878</v>
      </c>
      <c r="D1078" s="322" t="s">
        <v>404</v>
      </c>
      <c r="E1078" s="11" t="str">
        <f t="array" ref="E1078">_xlfn.XLOOKUP(D1078,Insumos!B:B,Insumos!C:$C)</f>
        <v>KG</v>
      </c>
      <c r="F1078" s="81">
        <v>1.0978000000000001</v>
      </c>
      <c r="G1078" s="87">
        <f t="array" ref="G1078">IF(B1078="insumo",_xlfn.XLOOKUP($D1078,Insumos!$B$1:$B$993,Insumos!$D$1:$D$993),"")</f>
        <v>3.43</v>
      </c>
      <c r="H1078" s="87">
        <v>3.7654540000000001</v>
      </c>
      <c r="I1078" s="79">
        <v>0</v>
      </c>
      <c r="J1078" s="79">
        <v>0</v>
      </c>
      <c r="K1078" s="79"/>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235">
        <v>94</v>
      </c>
      <c r="B1079" s="235" t="s">
        <v>70</v>
      </c>
      <c r="C1079" s="322" t="s">
        <v>2878</v>
      </c>
      <c r="D1079" s="322" t="s">
        <v>411</v>
      </c>
      <c r="E1079" s="11" t="str">
        <f t="array" ref="E1079">_xlfn.XLOOKUP(D1079,Insumos!B:B,Insumos!C:$C)</f>
        <v>M</v>
      </c>
      <c r="F1079" s="81">
        <v>2.5026999999999999</v>
      </c>
      <c r="G1079" s="87">
        <f t="array" ref="G1079">IF(B1079="insumo",_xlfn.XLOOKUP($D1079,Insumos!$B$1:$B$993,Insumos!$D$1:$D$993),"")</f>
        <v>0.31</v>
      </c>
      <c r="H1079" s="87">
        <v>0.775837</v>
      </c>
      <c r="I1079" s="79">
        <v>0</v>
      </c>
      <c r="J1079" s="79">
        <v>0</v>
      </c>
      <c r="K1079" s="79"/>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235">
        <v>94</v>
      </c>
      <c r="B1080" s="235" t="s">
        <v>70</v>
      </c>
      <c r="C1080" s="322" t="s">
        <v>2878</v>
      </c>
      <c r="D1080" s="322" t="s">
        <v>412</v>
      </c>
      <c r="E1080" s="11" t="str">
        <f t="array" ref="E1080">_xlfn.XLOOKUP(D1080,Insumos!B:B,Insumos!C:$C)</f>
        <v>M</v>
      </c>
      <c r="F1080" s="81">
        <v>1.4815</v>
      </c>
      <c r="G1080" s="87">
        <f t="array" ref="G1080">IF(B1080="insumo",_xlfn.XLOOKUP($D1080,Insumos!$B$1:$B$993,Insumos!$D$1:$D$993),"")</f>
        <v>2.74</v>
      </c>
      <c r="H1080" s="87">
        <v>4.05931</v>
      </c>
      <c r="I1080" s="79">
        <v>0</v>
      </c>
      <c r="J1080" s="79">
        <v>0</v>
      </c>
      <c r="K1080" s="79"/>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235">
        <v>11</v>
      </c>
      <c r="B1081" s="235" t="s">
        <v>70</v>
      </c>
      <c r="C1081" s="322" t="s">
        <v>2878</v>
      </c>
      <c r="D1081" s="322" t="s">
        <v>2888</v>
      </c>
      <c r="E1081" s="11" t="str">
        <f t="array" ref="E1081">_xlfn.XLOOKUP(D1081,Insumos!B:B,Insumos!C:$C)</f>
        <v>M</v>
      </c>
      <c r="F1081" s="81">
        <v>0.8</v>
      </c>
      <c r="G1081" s="87">
        <f t="array" ref="G1081">IF(B1081="insumo",_xlfn.XLOOKUP($D1081,Insumos!$B$1:$B$993,Insumos!$D$1:$D$993),"")</f>
        <v>3</v>
      </c>
      <c r="H1081" s="87">
        <v>2.4</v>
      </c>
      <c r="I1081" s="79">
        <v>0</v>
      </c>
      <c r="J1081" s="79">
        <v>0</v>
      </c>
      <c r="K1081" s="79"/>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235">
        <v>11</v>
      </c>
      <c r="B1082" s="235" t="s">
        <v>70</v>
      </c>
      <c r="C1082" s="322" t="s">
        <v>2878</v>
      </c>
      <c r="D1082" s="322" t="s">
        <v>2889</v>
      </c>
      <c r="E1082" s="11" t="str">
        <f t="array" ref="E1082">_xlfn.XLOOKUP(D1082,Insumos!B:B,Insumos!C:$C)</f>
        <v>M</v>
      </c>
      <c r="F1082" s="81">
        <v>0.84</v>
      </c>
      <c r="G1082" s="87">
        <f t="array" ref="G1082">IF(B1082="insumo",_xlfn.XLOOKUP($D1082,Insumos!$B$1:$B$993,Insumos!$D$1:$D$993),"")</f>
        <v>0.6</v>
      </c>
      <c r="H1082" s="87">
        <v>0.504</v>
      </c>
      <c r="I1082" s="79">
        <v>0</v>
      </c>
      <c r="J1082" s="79">
        <v>0</v>
      </c>
      <c r="K1082" s="79"/>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235">
        <v>97</v>
      </c>
      <c r="B1083" s="235" t="s">
        <v>70</v>
      </c>
      <c r="C1083" s="322" t="s">
        <v>2878</v>
      </c>
      <c r="D1083" s="322" t="s">
        <v>413</v>
      </c>
      <c r="E1083" s="11" t="str">
        <f t="array" ref="E1083">_xlfn.XLOOKUP(D1083,Insumos!B:B,Insumos!C:$C)</f>
        <v>UN</v>
      </c>
      <c r="F1083" s="81">
        <v>20.186800000000002</v>
      </c>
      <c r="G1083" s="87">
        <f t="array" ref="G1083">IF(B1083="insumo",_xlfn.XLOOKUP($D1083,Insumos!$B$1:$B$993,Insumos!$D$1:$D$993),"")</f>
        <v>0.09</v>
      </c>
      <c r="H1083" s="87">
        <v>1.8168120000000001</v>
      </c>
      <c r="I1083" s="79">
        <v>0</v>
      </c>
      <c r="J1083" s="79">
        <v>0</v>
      </c>
      <c r="K1083" s="79"/>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235">
        <v>95</v>
      </c>
      <c r="B1084" s="235" t="s">
        <v>70</v>
      </c>
      <c r="C1084" s="322" t="s">
        <v>2878</v>
      </c>
      <c r="D1084" s="322" t="s">
        <v>414</v>
      </c>
      <c r="E1084" s="11" t="str">
        <f t="array" ref="E1084">_xlfn.XLOOKUP(D1084,Insumos!B:B,Insumos!C:$C)</f>
        <v>UN</v>
      </c>
      <c r="F1084" s="81">
        <v>0.4803</v>
      </c>
      <c r="G1084" s="87">
        <f t="array" ref="G1084">IF(B1084="insumo",_xlfn.XLOOKUP($D1084,Insumos!$B$1:$B$993,Insumos!$D$1:$D$993),"")</f>
        <v>0.2</v>
      </c>
      <c r="H1084" s="87">
        <v>9.6060000000000006E-2</v>
      </c>
      <c r="I1084" s="79">
        <v>0</v>
      </c>
      <c r="J1084" s="79">
        <v>0</v>
      </c>
      <c r="K1084" s="79"/>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341">
        <v>1</v>
      </c>
      <c r="B1085" s="341" t="s">
        <v>67</v>
      </c>
      <c r="C1085" s="342" t="s">
        <v>2880</v>
      </c>
      <c r="D1085" s="342" t="s">
        <v>2880</v>
      </c>
      <c r="E1085" s="343" t="s">
        <v>69</v>
      </c>
      <c r="F1085" s="341"/>
      <c r="G1085" s="334" t="str">
        <f t="array" ref="G1085">IF(B1085="insumo",_xlfn.XLOOKUP($D1085,Insumos!$B$1:$B$993,Insumos!$D$1:$D$993),"")</f>
        <v/>
      </c>
      <c r="H1085" s="334">
        <v>173.010919</v>
      </c>
      <c r="I1085" s="344">
        <v>0</v>
      </c>
      <c r="J1085" s="344">
        <v>0</v>
      </c>
      <c r="K1085" s="344"/>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235">
        <v>49</v>
      </c>
      <c r="B1086" s="235" t="s">
        <v>70</v>
      </c>
      <c r="C1086" s="322" t="s">
        <v>2880</v>
      </c>
      <c r="D1086" s="322" t="s">
        <v>417</v>
      </c>
      <c r="E1086" s="11" t="str">
        <f t="array" ref="E1086">_xlfn.XLOOKUP(D1086,Insumos!B:B,Insumos!C:$C)</f>
        <v>M2</v>
      </c>
      <c r="F1086" s="81">
        <f>1.053*2</f>
        <v>2.1059999999999999</v>
      </c>
      <c r="G1086" s="87">
        <f t="array" ref="G1086">IF(B1086="insumo",_xlfn.XLOOKUP($D1086,Insumos!$B$1:$B$993,Insumos!$D$1:$D$993),"")</f>
        <v>27.1</v>
      </c>
      <c r="H1086" s="87">
        <v>57.072600000000001</v>
      </c>
      <c r="I1086" s="79">
        <v>0</v>
      </c>
      <c r="J1086" s="79">
        <v>0</v>
      </c>
      <c r="K1086" s="79"/>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235">
        <v>10</v>
      </c>
      <c r="B1087" s="235" t="s">
        <v>70</v>
      </c>
      <c r="C1087" s="10" t="s">
        <v>2880</v>
      </c>
      <c r="D1087" s="10" t="s">
        <v>2887</v>
      </c>
      <c r="E1087" s="11" t="str">
        <f t="array" ref="E1087">_xlfn.XLOOKUP(D1087,Insumos!B:B,Insumos!C:$C)</f>
        <v>M2</v>
      </c>
      <c r="F1087" s="81">
        <f>1.053*2</f>
        <v>2.1059999999999999</v>
      </c>
      <c r="G1087" s="87">
        <f t="array" ref="G1087">IF(B1087="insumo",_xlfn.XLOOKUP($D1087,Insumos!$B$1:$B$993,Insumos!$D$1:$D$993),"")</f>
        <v>34.513888888888893</v>
      </c>
      <c r="H1087" s="87">
        <v>72.686250000000001</v>
      </c>
      <c r="I1087" s="79">
        <v>0</v>
      </c>
      <c r="J1087" s="79">
        <v>0</v>
      </c>
      <c r="K1087" s="79"/>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235">
        <v>95</v>
      </c>
      <c r="B1088" s="235" t="s">
        <v>70</v>
      </c>
      <c r="C1088" s="322" t="s">
        <v>2880</v>
      </c>
      <c r="D1088" s="322" t="s">
        <v>408</v>
      </c>
      <c r="E1088" s="11" t="str">
        <f t="array" ref="E1088">_xlfn.XLOOKUP(D1088,Insumos!B:B,Insumos!C:$C)</f>
        <v>UN</v>
      </c>
      <c r="F1088" s="81">
        <v>4.95</v>
      </c>
      <c r="G1088" s="87">
        <f t="array" ref="G1088">IF(B1088="insumo",_xlfn.XLOOKUP($D1088,Insumos!$B$1:$B$993,Insumos!$D$1:$D$993),"")</f>
        <v>0.504</v>
      </c>
      <c r="H1088" s="87">
        <v>2.4948000000000001</v>
      </c>
      <c r="I1088" s="79">
        <v>0</v>
      </c>
      <c r="J1088" s="79">
        <v>0</v>
      </c>
      <c r="K1088" s="79"/>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235">
        <v>43</v>
      </c>
      <c r="B1089" s="235" t="s">
        <v>70</v>
      </c>
      <c r="C1089" s="322" t="s">
        <v>2880</v>
      </c>
      <c r="D1089" s="322" t="s">
        <v>422</v>
      </c>
      <c r="E1089" s="11" t="str">
        <f t="array" ref="E1089">_xlfn.XLOOKUP(D1089,Insumos!B:B,Insumos!C:$C)</f>
        <v>M</v>
      </c>
      <c r="F1089" s="81">
        <v>1.5247999999999999</v>
      </c>
      <c r="G1089" s="87">
        <f t="array" ref="G1089">IF(B1089="insumo",_xlfn.XLOOKUP($D1089,Insumos!$B$1:$B$993,Insumos!$D$1:$D$993),"")</f>
        <v>7.46</v>
      </c>
      <c r="H1089" s="87">
        <v>11.375007999999999</v>
      </c>
      <c r="I1089" s="79">
        <v>0</v>
      </c>
      <c r="J1089" s="79">
        <v>0</v>
      </c>
      <c r="K1089" s="79"/>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235">
        <v>43</v>
      </c>
      <c r="B1090" s="235" t="s">
        <v>70</v>
      </c>
      <c r="C1090" s="322" t="s">
        <v>2880</v>
      </c>
      <c r="D1090" s="322" t="s">
        <v>423</v>
      </c>
      <c r="E1090" s="11" t="str">
        <f t="array" ref="E1090">_xlfn.XLOOKUP(D1090,Insumos!B:B,Insumos!C:$C)</f>
        <v>M</v>
      </c>
      <c r="F1090" s="81">
        <v>2.0005999999999999</v>
      </c>
      <c r="G1090" s="87">
        <f t="array" ref="G1090">IF(B1090="insumo",_xlfn.XLOOKUP($D1090,Insumos!$B$1:$B$993,Insumos!$D$1:$D$993),"")</f>
        <v>7.98</v>
      </c>
      <c r="H1090" s="87">
        <v>15.964788</v>
      </c>
      <c r="I1090" s="79">
        <v>0</v>
      </c>
      <c r="J1090" s="79">
        <v>0</v>
      </c>
      <c r="K1090" s="79"/>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235">
        <v>95</v>
      </c>
      <c r="B1091" s="235" t="s">
        <v>70</v>
      </c>
      <c r="C1091" s="322" t="s">
        <v>2880</v>
      </c>
      <c r="D1091" s="322" t="s">
        <v>404</v>
      </c>
      <c r="E1091" s="11" t="str">
        <f t="array" ref="E1091">_xlfn.XLOOKUP(D1091,Insumos!B:B,Insumos!C:$C)</f>
        <v>KG</v>
      </c>
      <c r="F1091" s="81">
        <v>1.0978000000000001</v>
      </c>
      <c r="G1091" s="87">
        <f t="array" ref="G1091">IF(B1091="insumo",_xlfn.XLOOKUP($D1091,Insumos!$B$1:$B$993,Insumos!$D$1:$D$993),"")</f>
        <v>3.43</v>
      </c>
      <c r="H1091" s="87">
        <v>3.7654540000000001</v>
      </c>
      <c r="I1091" s="79">
        <v>0</v>
      </c>
      <c r="J1091" s="79">
        <v>0</v>
      </c>
      <c r="K1091" s="79"/>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235">
        <v>94</v>
      </c>
      <c r="B1092" s="235" t="s">
        <v>70</v>
      </c>
      <c r="C1092" s="322" t="s">
        <v>2880</v>
      </c>
      <c r="D1092" s="322" t="s">
        <v>411</v>
      </c>
      <c r="E1092" s="11" t="str">
        <f t="array" ref="E1092">_xlfn.XLOOKUP(D1092,Insumos!B:B,Insumos!C:$C)</f>
        <v>M</v>
      </c>
      <c r="F1092" s="81">
        <v>2.5026999999999999</v>
      </c>
      <c r="G1092" s="87">
        <f t="array" ref="G1092">IF(B1092="insumo",_xlfn.XLOOKUP($D1092,Insumos!$B$1:$B$993,Insumos!$D$1:$D$993),"")</f>
        <v>0.31</v>
      </c>
      <c r="H1092" s="87">
        <v>0.775837</v>
      </c>
      <c r="I1092" s="79">
        <v>0</v>
      </c>
      <c r="J1092" s="79">
        <v>0</v>
      </c>
      <c r="K1092" s="79"/>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235">
        <v>94</v>
      </c>
      <c r="B1093" s="235" t="s">
        <v>70</v>
      </c>
      <c r="C1093" s="322" t="s">
        <v>2880</v>
      </c>
      <c r="D1093" s="322" t="s">
        <v>412</v>
      </c>
      <c r="E1093" s="11" t="str">
        <f t="array" ref="E1093">_xlfn.XLOOKUP(D1093,Insumos!B:B,Insumos!C:$C)</f>
        <v>M</v>
      </c>
      <c r="F1093" s="81">
        <v>1.4815</v>
      </c>
      <c r="G1093" s="87">
        <f t="array" ref="G1093">IF(B1093="insumo",_xlfn.XLOOKUP($D1093,Insumos!$B$1:$B$993,Insumos!$D$1:$D$993),"")</f>
        <v>2.74</v>
      </c>
      <c r="H1093" s="87">
        <v>4.05931</v>
      </c>
      <c r="I1093" s="79">
        <v>0</v>
      </c>
      <c r="J1093" s="79">
        <v>0</v>
      </c>
      <c r="K1093" s="79"/>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235">
        <v>11</v>
      </c>
      <c r="B1094" s="235" t="s">
        <v>70</v>
      </c>
      <c r="C1094" s="322" t="s">
        <v>2880</v>
      </c>
      <c r="D1094" s="322" t="s">
        <v>2888</v>
      </c>
      <c r="E1094" s="11" t="str">
        <f t="array" ref="E1094">_xlfn.XLOOKUP(D1094,Insumos!B:B,Insumos!C:$C)</f>
        <v>M</v>
      </c>
      <c r="F1094" s="81">
        <v>0.8</v>
      </c>
      <c r="G1094" s="87">
        <f t="array" ref="G1094">IF(B1094="insumo",_xlfn.XLOOKUP($D1094,Insumos!$B$1:$B$993,Insumos!$D$1:$D$993),"")</f>
        <v>3</v>
      </c>
      <c r="H1094" s="87">
        <v>2.4</v>
      </c>
      <c r="I1094" s="79">
        <v>0</v>
      </c>
      <c r="J1094" s="79">
        <v>0</v>
      </c>
      <c r="K1094" s="79"/>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235">
        <v>11</v>
      </c>
      <c r="B1095" s="235" t="s">
        <v>70</v>
      </c>
      <c r="C1095" s="322" t="s">
        <v>2880</v>
      </c>
      <c r="D1095" s="322" t="s">
        <v>2889</v>
      </c>
      <c r="E1095" s="11" t="str">
        <f t="array" ref="E1095">_xlfn.XLOOKUP(D1095,Insumos!B:B,Insumos!C:$C)</f>
        <v>M</v>
      </c>
      <c r="F1095" s="81">
        <v>0.84</v>
      </c>
      <c r="G1095" s="87">
        <f t="array" ref="G1095">IF(B1095="insumo",_xlfn.XLOOKUP($D1095,Insumos!$B$1:$B$993,Insumos!$D$1:$D$993),"")</f>
        <v>0.6</v>
      </c>
      <c r="H1095" s="87">
        <v>0.504</v>
      </c>
      <c r="I1095" s="79">
        <v>0</v>
      </c>
      <c r="J1095" s="79">
        <v>0</v>
      </c>
      <c r="K1095" s="79"/>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235">
        <v>97</v>
      </c>
      <c r="B1096" s="235" t="s">
        <v>70</v>
      </c>
      <c r="C1096" s="322" t="s">
        <v>2880</v>
      </c>
      <c r="D1096" s="322" t="s">
        <v>413</v>
      </c>
      <c r="E1096" s="11" t="str">
        <f t="array" ref="E1096">_xlfn.XLOOKUP(D1096,Insumos!B:B,Insumos!C:$C)</f>
        <v>UN</v>
      </c>
      <c r="F1096" s="81">
        <v>20.186800000000002</v>
      </c>
      <c r="G1096" s="87">
        <f t="array" ref="G1096">IF(B1096="insumo",_xlfn.XLOOKUP($D1096,Insumos!$B$1:$B$993,Insumos!$D$1:$D$993),"")</f>
        <v>0.09</v>
      </c>
      <c r="H1096" s="87">
        <v>1.8168120000000001</v>
      </c>
      <c r="I1096" s="79">
        <v>0</v>
      </c>
      <c r="J1096" s="79">
        <v>0</v>
      </c>
      <c r="K1096" s="79"/>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235">
        <v>95</v>
      </c>
      <c r="B1097" s="235" t="s">
        <v>70</v>
      </c>
      <c r="C1097" s="322" t="s">
        <v>2880</v>
      </c>
      <c r="D1097" s="322" t="s">
        <v>414</v>
      </c>
      <c r="E1097" s="11" t="str">
        <f t="array" ref="E1097">_xlfn.XLOOKUP(D1097,Insumos!B:B,Insumos!C:$C)</f>
        <v>UN</v>
      </c>
      <c r="F1097" s="81">
        <v>0.4803</v>
      </c>
      <c r="G1097" s="87">
        <f t="array" ref="G1097">IF(B1097="insumo",_xlfn.XLOOKUP($D1097,Insumos!$B$1:$B$993,Insumos!$D$1:$D$993),"")</f>
        <v>0.2</v>
      </c>
      <c r="H1097" s="87">
        <v>9.6060000000000006E-2</v>
      </c>
      <c r="I1097" s="79">
        <v>0</v>
      </c>
      <c r="J1097" s="79">
        <v>0</v>
      </c>
      <c r="K1097" s="79"/>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341">
        <v>1</v>
      </c>
      <c r="B1098" s="341" t="s">
        <v>67</v>
      </c>
      <c r="C1098" s="342" t="s">
        <v>2879</v>
      </c>
      <c r="D1098" s="342" t="s">
        <v>2879</v>
      </c>
      <c r="E1098" s="343" t="s">
        <v>69</v>
      </c>
      <c r="F1098" s="341"/>
      <c r="G1098" s="334" t="str">
        <f t="array" ref="G1098">IF(B1098="insumo",_xlfn.XLOOKUP($D1098,Insumos!$B$1:$B$993,Insumos!$D$1:$D$993),"")</f>
        <v/>
      </c>
      <c r="H1098" s="334">
        <v>165.70309900000001</v>
      </c>
      <c r="I1098" s="344" t="e">
        <v>#REF!</v>
      </c>
      <c r="J1098" s="344" t="e">
        <v>#REF!</v>
      </c>
      <c r="K1098" s="344"/>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235">
        <v>49</v>
      </c>
      <c r="B1099" s="235" t="s">
        <v>70</v>
      </c>
      <c r="C1099" s="322" t="s">
        <v>2879</v>
      </c>
      <c r="D1099" s="322" t="s">
        <v>417</v>
      </c>
      <c r="E1099" s="11" t="str">
        <f t="array" ref="E1099">_xlfn.XLOOKUP(D1099,Insumos!B:B,Insumos!C:$C)</f>
        <v>M2</v>
      </c>
      <c r="F1099" s="81">
        <f>1.053</f>
        <v>1.0529999999999999</v>
      </c>
      <c r="G1099" s="87">
        <f t="array" ref="G1099">IF(B1099="insumo",_xlfn.XLOOKUP($D1099,Insumos!$B$1:$B$993,Insumos!$D$1:$D$993),"")</f>
        <v>27.1</v>
      </c>
      <c r="H1099" s="87">
        <v>28.536300000000001</v>
      </c>
      <c r="I1099" s="79" t="e">
        <v>#REF!</v>
      </c>
      <c r="J1099" s="79" t="e">
        <v>#REF!</v>
      </c>
      <c r="K1099" s="79"/>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235">
        <v>47</v>
      </c>
      <c r="B1100" s="235" t="s">
        <v>70</v>
      </c>
      <c r="C1100" s="322" t="s">
        <v>2879</v>
      </c>
      <c r="D1100" s="322" t="s">
        <v>407</v>
      </c>
      <c r="E1100" s="11" t="str">
        <f t="array" ref="E1100">_xlfn.XLOOKUP(D1100,Insumos!B:B,Insumos!C:$C)</f>
        <v>M2</v>
      </c>
      <c r="F1100" s="81">
        <f>1.053</f>
        <v>1.0529999999999999</v>
      </c>
      <c r="G1100" s="87">
        <f t="array" ref="G1100">IF(B1100="insumo",_xlfn.XLOOKUP($D1100,Insumos!$B$1:$B$993,Insumos!$D$1:$D$993),"")</f>
        <v>20.16</v>
      </c>
      <c r="H1100" s="87">
        <v>21.228480000000001</v>
      </c>
      <c r="I1100" s="79" t="e">
        <v>#REF!</v>
      </c>
      <c r="J1100" s="79" t="e">
        <v>#REF!</v>
      </c>
      <c r="K1100" s="79"/>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235">
        <v>10</v>
      </c>
      <c r="B1101" s="235" t="s">
        <v>70</v>
      </c>
      <c r="C1101" s="10" t="s">
        <v>2879</v>
      </c>
      <c r="D1101" s="10" t="s">
        <v>2887</v>
      </c>
      <c r="E1101" s="11" t="str">
        <f t="array" ref="E1101">_xlfn.XLOOKUP(D1101,Insumos!B:B,Insumos!C:$C)</f>
        <v>M2</v>
      </c>
      <c r="F1101" s="81">
        <f>1.053*2</f>
        <v>2.1059999999999999</v>
      </c>
      <c r="G1101" s="87">
        <f t="array" ref="G1101">IF(B1101="insumo",_xlfn.XLOOKUP($D1101,Insumos!$B$1:$B$993,Insumos!$D$1:$D$993),"")</f>
        <v>34.513888888888893</v>
      </c>
      <c r="H1101" s="87">
        <v>72.686250000000001</v>
      </c>
      <c r="I1101" s="79" t="e">
        <v>#REF!</v>
      </c>
      <c r="J1101" s="79" t="e">
        <v>#REF!</v>
      </c>
      <c r="K1101" s="79"/>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235">
        <v>95</v>
      </c>
      <c r="B1102" s="235" t="s">
        <v>70</v>
      </c>
      <c r="C1102" s="322" t="s">
        <v>2879</v>
      </c>
      <c r="D1102" s="322" t="s">
        <v>408</v>
      </c>
      <c r="E1102" s="11" t="str">
        <f t="array" ref="E1102">_xlfn.XLOOKUP(D1102,Insumos!B:B,Insumos!C:$C)</f>
        <v>UN</v>
      </c>
      <c r="F1102" s="81">
        <v>4.95</v>
      </c>
      <c r="G1102" s="87">
        <f t="array" ref="G1102">IF(B1102="insumo",_xlfn.XLOOKUP($D1102,Insumos!$B$1:$B$993,Insumos!$D$1:$D$993),"")</f>
        <v>0.504</v>
      </c>
      <c r="H1102" s="87">
        <v>2.4948000000000001</v>
      </c>
      <c r="I1102" s="79" t="e">
        <v>#REF!</v>
      </c>
      <c r="J1102" s="79" t="e">
        <v>#REF!</v>
      </c>
      <c r="K1102" s="79"/>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235">
        <v>43</v>
      </c>
      <c r="B1103" s="235" t="s">
        <v>70</v>
      </c>
      <c r="C1103" s="322" t="s">
        <v>2879</v>
      </c>
      <c r="D1103" s="322" t="s">
        <v>422</v>
      </c>
      <c r="E1103" s="11" t="str">
        <f t="array" ref="E1103">_xlfn.XLOOKUP(D1103,Insumos!B:B,Insumos!C:$C)</f>
        <v>M</v>
      </c>
      <c r="F1103" s="81">
        <v>1.5247999999999999</v>
      </c>
      <c r="G1103" s="87">
        <f t="array" ref="G1103">IF(B1103="insumo",_xlfn.XLOOKUP($D1103,Insumos!$B$1:$B$993,Insumos!$D$1:$D$993),"")</f>
        <v>7.46</v>
      </c>
      <c r="H1103" s="87">
        <v>11.375007999999999</v>
      </c>
      <c r="I1103" s="79" t="e">
        <v>#REF!</v>
      </c>
      <c r="J1103" s="79" t="e">
        <v>#REF!</v>
      </c>
      <c r="K1103" s="79"/>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235">
        <v>43</v>
      </c>
      <c r="B1104" s="235" t="s">
        <v>70</v>
      </c>
      <c r="C1104" s="322" t="s">
        <v>2879</v>
      </c>
      <c r="D1104" s="322" t="s">
        <v>423</v>
      </c>
      <c r="E1104" s="11" t="str">
        <f t="array" ref="E1104">_xlfn.XLOOKUP(D1104,Insumos!B:B,Insumos!C:$C)</f>
        <v>M</v>
      </c>
      <c r="F1104" s="81">
        <v>2.0005999999999999</v>
      </c>
      <c r="G1104" s="87">
        <f t="array" ref="G1104">IF(B1104="insumo",_xlfn.XLOOKUP($D1104,Insumos!$B$1:$B$993,Insumos!$D$1:$D$993),"")</f>
        <v>7.98</v>
      </c>
      <c r="H1104" s="87">
        <v>15.964788</v>
      </c>
      <c r="I1104" s="79" t="e">
        <v>#REF!</v>
      </c>
      <c r="J1104" s="79" t="e">
        <v>#REF!</v>
      </c>
      <c r="K1104" s="79"/>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235">
        <v>95</v>
      </c>
      <c r="B1105" s="235" t="s">
        <v>70</v>
      </c>
      <c r="C1105" s="322" t="s">
        <v>2879</v>
      </c>
      <c r="D1105" s="322" t="s">
        <v>404</v>
      </c>
      <c r="E1105" s="11" t="str">
        <f t="array" ref="E1105">_xlfn.XLOOKUP(D1105,Insumos!B:B,Insumos!C:$C)</f>
        <v>KG</v>
      </c>
      <c r="F1105" s="81">
        <v>1.0978000000000001</v>
      </c>
      <c r="G1105" s="87">
        <f t="array" ref="G1105">IF(B1105="insumo",_xlfn.XLOOKUP($D1105,Insumos!$B$1:$B$993,Insumos!$D$1:$D$993),"")</f>
        <v>3.43</v>
      </c>
      <c r="H1105" s="87">
        <v>3.7654540000000001</v>
      </c>
      <c r="I1105" s="79" t="e">
        <v>#REF!</v>
      </c>
      <c r="J1105" s="79" t="e">
        <v>#REF!</v>
      </c>
      <c r="K1105" s="79"/>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235">
        <v>94</v>
      </c>
      <c r="B1106" s="235" t="s">
        <v>70</v>
      </c>
      <c r="C1106" s="322" t="s">
        <v>2879</v>
      </c>
      <c r="D1106" s="322" t="s">
        <v>411</v>
      </c>
      <c r="E1106" s="11" t="str">
        <f t="array" ref="E1106">_xlfn.XLOOKUP(D1106,Insumos!B:B,Insumos!C:$C)</f>
        <v>M</v>
      </c>
      <c r="F1106" s="81">
        <v>2.5026999999999999</v>
      </c>
      <c r="G1106" s="87">
        <f t="array" ref="G1106">IF(B1106="insumo",_xlfn.XLOOKUP($D1106,Insumos!$B$1:$B$993,Insumos!$D$1:$D$993),"")</f>
        <v>0.31</v>
      </c>
      <c r="H1106" s="87">
        <v>0.775837</v>
      </c>
      <c r="I1106" s="79" t="e">
        <v>#REF!</v>
      </c>
      <c r="J1106" s="79" t="e">
        <v>#REF!</v>
      </c>
      <c r="K1106" s="79"/>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235">
        <v>94</v>
      </c>
      <c r="B1107" s="235" t="s">
        <v>70</v>
      </c>
      <c r="C1107" s="322" t="s">
        <v>2879</v>
      </c>
      <c r="D1107" s="322" t="s">
        <v>412</v>
      </c>
      <c r="E1107" s="11" t="str">
        <f t="array" ref="E1107">_xlfn.XLOOKUP(D1107,Insumos!B:B,Insumos!C:$C)</f>
        <v>M</v>
      </c>
      <c r="F1107" s="81">
        <v>1.4815</v>
      </c>
      <c r="G1107" s="87">
        <f t="array" ref="G1107">IF(B1107="insumo",_xlfn.XLOOKUP($D1107,Insumos!$B$1:$B$993,Insumos!$D$1:$D$993),"")</f>
        <v>2.74</v>
      </c>
      <c r="H1107" s="87">
        <v>4.05931</v>
      </c>
      <c r="I1107" s="79" t="e">
        <v>#REF!</v>
      </c>
      <c r="J1107" s="79" t="e">
        <v>#REF!</v>
      </c>
      <c r="K1107" s="79"/>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235">
        <v>11</v>
      </c>
      <c r="B1108" s="235" t="s">
        <v>70</v>
      </c>
      <c r="C1108" s="322" t="s">
        <v>2879</v>
      </c>
      <c r="D1108" s="322" t="s">
        <v>2888</v>
      </c>
      <c r="E1108" s="11" t="str">
        <f t="array" ref="E1108">_xlfn.XLOOKUP(D1108,Insumos!B:B,Insumos!C:$C)</f>
        <v>M</v>
      </c>
      <c r="F1108" s="81">
        <v>0.8</v>
      </c>
      <c r="G1108" s="87">
        <f t="array" ref="G1108">IF(B1108="insumo",_xlfn.XLOOKUP($D1108,Insumos!$B$1:$B$993,Insumos!$D$1:$D$993),"")</f>
        <v>3</v>
      </c>
      <c r="H1108" s="87">
        <v>2.4</v>
      </c>
      <c r="I1108" s="79" t="e">
        <v>#REF!</v>
      </c>
      <c r="J1108" s="79" t="e">
        <v>#REF!</v>
      </c>
      <c r="K1108" s="79"/>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235">
        <v>11</v>
      </c>
      <c r="B1109" s="235" t="s">
        <v>70</v>
      </c>
      <c r="C1109" s="322" t="s">
        <v>2879</v>
      </c>
      <c r="D1109" s="322" t="s">
        <v>2889</v>
      </c>
      <c r="E1109" s="11" t="str">
        <f t="array" ref="E1109">_xlfn.XLOOKUP(D1109,Insumos!B:B,Insumos!C:$C)</f>
        <v>M</v>
      </c>
      <c r="F1109" s="81">
        <v>0.84</v>
      </c>
      <c r="G1109" s="87">
        <f t="array" ref="G1109">IF(B1109="insumo",_xlfn.XLOOKUP($D1109,Insumos!$B$1:$B$993,Insumos!$D$1:$D$993),"")</f>
        <v>0.6</v>
      </c>
      <c r="H1109" s="87">
        <v>0.504</v>
      </c>
      <c r="I1109" s="79" t="e">
        <v>#REF!</v>
      </c>
      <c r="J1109" s="79" t="e">
        <v>#REF!</v>
      </c>
      <c r="K1109" s="79"/>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235">
        <v>97</v>
      </c>
      <c r="B1110" s="235" t="s">
        <v>70</v>
      </c>
      <c r="C1110" s="322" t="s">
        <v>2879</v>
      </c>
      <c r="D1110" s="322" t="s">
        <v>413</v>
      </c>
      <c r="E1110" s="11" t="str">
        <f t="array" ref="E1110">_xlfn.XLOOKUP(D1110,Insumos!B:B,Insumos!C:$C)</f>
        <v>UN</v>
      </c>
      <c r="F1110" s="81">
        <v>20.186800000000002</v>
      </c>
      <c r="G1110" s="87">
        <f t="array" ref="G1110">IF(B1110="insumo",_xlfn.XLOOKUP($D1110,Insumos!$B$1:$B$993,Insumos!$D$1:$D$993),"")</f>
        <v>0.09</v>
      </c>
      <c r="H1110" s="87">
        <v>1.8168120000000001</v>
      </c>
      <c r="I1110" s="79" t="e">
        <v>#REF!</v>
      </c>
      <c r="J1110" s="79" t="e">
        <v>#REF!</v>
      </c>
      <c r="K1110" s="79"/>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235">
        <v>95</v>
      </c>
      <c r="B1111" s="235" t="s">
        <v>70</v>
      </c>
      <c r="C1111" s="322" t="s">
        <v>2879</v>
      </c>
      <c r="D1111" s="322" t="s">
        <v>414</v>
      </c>
      <c r="E1111" s="11" t="str">
        <f t="array" ref="E1111">_xlfn.XLOOKUP(D1111,Insumos!B:B,Insumos!C:$C)</f>
        <v>UN</v>
      </c>
      <c r="F1111" s="81">
        <v>0.4803</v>
      </c>
      <c r="G1111" s="87">
        <f t="array" ref="G1111">IF(B1111="insumo",_xlfn.XLOOKUP($D1111,Insumos!$B$1:$B$993,Insumos!$D$1:$D$993),"")</f>
        <v>0.2</v>
      </c>
      <c r="H1111" s="87">
        <v>9.6060000000000006E-2</v>
      </c>
      <c r="I1111" s="79" t="e">
        <v>#REF!</v>
      </c>
      <c r="J1111" s="79" t="e">
        <v>#REF!</v>
      </c>
      <c r="K1111" s="79"/>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341">
        <v>1</v>
      </c>
      <c r="B1112" s="341" t="s">
        <v>67</v>
      </c>
      <c r="C1112" s="342" t="s">
        <v>2881</v>
      </c>
      <c r="D1112" s="342" t="s">
        <v>2881</v>
      </c>
      <c r="E1112" s="343" t="s">
        <v>69</v>
      </c>
      <c r="F1112" s="341"/>
      <c r="G1112" s="334" t="str">
        <f t="array" ref="G1112">IF(B1112="insumo",_xlfn.XLOOKUP($D1112,Insumos!$B$1:$B$993,Insumos!$D$1:$D$993),"")</f>
        <v/>
      </c>
      <c r="H1112" s="334">
        <v>172.95653075000001</v>
      </c>
      <c r="I1112" s="344">
        <v>0</v>
      </c>
      <c r="J1112" s="344">
        <v>0</v>
      </c>
      <c r="K1112" s="344"/>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235">
        <v>11</v>
      </c>
      <c r="B1113" s="235" t="s">
        <v>70</v>
      </c>
      <c r="C1113" s="10" t="s">
        <v>2881</v>
      </c>
      <c r="D1113" s="10" t="s">
        <v>1372</v>
      </c>
      <c r="E1113" s="11" t="str">
        <f t="array" ref="E1113">_xlfn.XLOOKUP(D1113,Insumos!B:B,Insumos!C:$C)</f>
        <v>M2</v>
      </c>
      <c r="F1113" s="81">
        <f>1.053*3</f>
        <v>3.1589999999999998</v>
      </c>
      <c r="G1113" s="87">
        <f t="array" ref="G1113">IF(B1113="insumo",_xlfn.XLOOKUP($D1113,Insumos!$B$1:$B$993,Insumos!$D$1:$D$993),"")</f>
        <v>30.089583333333337</v>
      </c>
      <c r="H1113" s="87">
        <v>95.052993749999999</v>
      </c>
      <c r="I1113" s="79">
        <v>0</v>
      </c>
      <c r="J1113" s="79">
        <v>0</v>
      </c>
      <c r="K1113" s="79"/>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235">
        <v>95</v>
      </c>
      <c r="B1114" s="235" t="s">
        <v>70</v>
      </c>
      <c r="C1114" s="322" t="s">
        <v>2881</v>
      </c>
      <c r="D1114" s="322" t="s">
        <v>408</v>
      </c>
      <c r="E1114" s="11" t="str">
        <f t="array" ref="E1114">_xlfn.XLOOKUP(D1114,Insumos!B:B,Insumos!C:$C)</f>
        <v>UN</v>
      </c>
      <c r="F1114" s="81">
        <f>4.95*2</f>
        <v>9.9</v>
      </c>
      <c r="G1114" s="87">
        <f t="array" ref="G1114">IF(B1114="insumo",_xlfn.XLOOKUP($D1114,Insumos!$B$1:$B$993,Insumos!$D$1:$D$993),"")</f>
        <v>0.504</v>
      </c>
      <c r="H1114" s="87">
        <v>4.9896000000000003</v>
      </c>
      <c r="I1114" s="79">
        <v>0</v>
      </c>
      <c r="J1114" s="79">
        <v>0</v>
      </c>
      <c r="K1114" s="79"/>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235">
        <v>43</v>
      </c>
      <c r="B1115" s="235" t="s">
        <v>70</v>
      </c>
      <c r="C1115" s="322" t="s">
        <v>2881</v>
      </c>
      <c r="D1115" s="322" t="s">
        <v>422</v>
      </c>
      <c r="E1115" s="11" t="str">
        <f t="array" ref="E1115">_xlfn.XLOOKUP(D1115,Insumos!B:B,Insumos!C:$C)</f>
        <v>M</v>
      </c>
      <c r="F1115" s="81">
        <f>1.5248*2</f>
        <v>3.0495999999999999</v>
      </c>
      <c r="G1115" s="87">
        <f t="array" ref="G1115">IF(B1115="insumo",_xlfn.XLOOKUP($D1115,Insumos!$B$1:$B$993,Insumos!$D$1:$D$993),"")</f>
        <v>7.46</v>
      </c>
      <c r="H1115" s="87">
        <v>22.750015999999999</v>
      </c>
      <c r="I1115" s="79">
        <v>0</v>
      </c>
      <c r="J1115" s="79">
        <v>0</v>
      </c>
      <c r="K1115" s="79"/>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235">
        <v>43</v>
      </c>
      <c r="B1116" s="235" t="s">
        <v>70</v>
      </c>
      <c r="C1116" s="322" t="s">
        <v>2881</v>
      </c>
      <c r="D1116" s="322" t="s">
        <v>423</v>
      </c>
      <c r="E1116" s="11" t="str">
        <f t="array" ref="E1116">_xlfn.XLOOKUP(D1116,Insumos!B:B,Insumos!C:$C)</f>
        <v>M</v>
      </c>
      <c r="F1116" s="81">
        <f>2.0006*2</f>
        <v>4.0011999999999999</v>
      </c>
      <c r="G1116" s="87">
        <f t="array" ref="G1116">IF(B1116="insumo",_xlfn.XLOOKUP($D1116,Insumos!$B$1:$B$993,Insumos!$D$1:$D$993),"")</f>
        <v>7.98</v>
      </c>
      <c r="H1116" s="87">
        <v>31.929576000000001</v>
      </c>
      <c r="I1116" s="79">
        <v>0</v>
      </c>
      <c r="J1116" s="79">
        <v>0</v>
      </c>
      <c r="K1116" s="79"/>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235">
        <v>95</v>
      </c>
      <c r="B1117" s="235" t="s">
        <v>70</v>
      </c>
      <c r="C1117" s="322" t="s">
        <v>2881</v>
      </c>
      <c r="D1117" s="322" t="s">
        <v>404</v>
      </c>
      <c r="E1117" s="11" t="str">
        <f t="array" ref="E1117">_xlfn.XLOOKUP(D1117,Insumos!B:B,Insumos!C:$C)</f>
        <v>KG</v>
      </c>
      <c r="F1117" s="81">
        <v>1.0978000000000001</v>
      </c>
      <c r="G1117" s="87">
        <f t="array" ref="G1117">IF(B1117="insumo",_xlfn.XLOOKUP($D1117,Insumos!$B$1:$B$993,Insumos!$D$1:$D$993),"")</f>
        <v>3.43</v>
      </c>
      <c r="H1117" s="87">
        <v>3.7654540000000001</v>
      </c>
      <c r="I1117" s="79">
        <v>0</v>
      </c>
      <c r="J1117" s="79">
        <v>0</v>
      </c>
      <c r="K1117" s="79"/>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235">
        <v>94</v>
      </c>
      <c r="B1118" s="235" t="s">
        <v>70</v>
      </c>
      <c r="C1118" s="322" t="s">
        <v>2881</v>
      </c>
      <c r="D1118" s="322" t="s">
        <v>411</v>
      </c>
      <c r="E1118" s="11" t="str">
        <f t="array" ref="E1118">_xlfn.XLOOKUP(D1118,Insumos!B:B,Insumos!C:$C)</f>
        <v>M</v>
      </c>
      <c r="F1118" s="81">
        <v>2.5026999999999999</v>
      </c>
      <c r="G1118" s="87">
        <f t="array" ref="G1118">IF(B1118="insumo",_xlfn.XLOOKUP($D1118,Insumos!$B$1:$B$993,Insumos!$D$1:$D$993),"")</f>
        <v>0.31</v>
      </c>
      <c r="H1118" s="87">
        <v>0.775837</v>
      </c>
      <c r="I1118" s="79">
        <v>0</v>
      </c>
      <c r="J1118" s="79">
        <v>0</v>
      </c>
      <c r="K1118" s="79"/>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235">
        <v>94</v>
      </c>
      <c r="B1119" s="235" t="s">
        <v>70</v>
      </c>
      <c r="C1119" s="322" t="s">
        <v>2881</v>
      </c>
      <c r="D1119" s="322" t="s">
        <v>412</v>
      </c>
      <c r="E1119" s="11" t="str">
        <f t="array" ref="E1119">_xlfn.XLOOKUP(D1119,Insumos!B:B,Insumos!C:$C)</f>
        <v>M</v>
      </c>
      <c r="F1119" s="81">
        <v>1.4815</v>
      </c>
      <c r="G1119" s="87">
        <f t="array" ref="G1119">IF(B1119="insumo",_xlfn.XLOOKUP($D1119,Insumos!$B$1:$B$993,Insumos!$D$1:$D$993),"")</f>
        <v>2.74</v>
      </c>
      <c r="H1119" s="87">
        <v>4.05931</v>
      </c>
      <c r="I1119" s="79">
        <v>0</v>
      </c>
      <c r="J1119" s="79">
        <v>0</v>
      </c>
      <c r="K1119" s="79"/>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235">
        <v>11</v>
      </c>
      <c r="B1120" s="235" t="s">
        <v>70</v>
      </c>
      <c r="C1120" s="322" t="s">
        <v>2881</v>
      </c>
      <c r="D1120" s="322" t="s">
        <v>2888</v>
      </c>
      <c r="E1120" s="11" t="str">
        <f t="array" ref="E1120">_xlfn.XLOOKUP(D1120,Insumos!B:B,Insumos!C:$C)</f>
        <v>M</v>
      </c>
      <c r="F1120" s="81">
        <f>0.8*2</f>
        <v>1.6</v>
      </c>
      <c r="G1120" s="87">
        <f t="array" ref="G1120">IF(B1120="insumo",_xlfn.XLOOKUP($D1120,Insumos!$B$1:$B$993,Insumos!$D$1:$D$993),"")</f>
        <v>3</v>
      </c>
      <c r="H1120" s="87">
        <v>4.8</v>
      </c>
      <c r="I1120" s="79">
        <v>0</v>
      </c>
      <c r="J1120" s="79">
        <v>0</v>
      </c>
      <c r="K1120" s="79"/>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235">
        <v>11</v>
      </c>
      <c r="B1121" s="235" t="s">
        <v>70</v>
      </c>
      <c r="C1121" s="322" t="s">
        <v>2881</v>
      </c>
      <c r="D1121" s="322" t="s">
        <v>2889</v>
      </c>
      <c r="E1121" s="11" t="str">
        <f t="array" ref="E1121">_xlfn.XLOOKUP(D1121,Insumos!B:B,Insumos!C:$C)</f>
        <v>M</v>
      </c>
      <c r="F1121" s="81">
        <f>0.84*2</f>
        <v>1.68</v>
      </c>
      <c r="G1121" s="87">
        <f t="array" ref="G1121">IF(B1121="insumo",_xlfn.XLOOKUP($D1121,Insumos!$B$1:$B$993,Insumos!$D$1:$D$993),"")</f>
        <v>0.6</v>
      </c>
      <c r="H1121" s="87">
        <v>1.008</v>
      </c>
      <c r="I1121" s="79">
        <v>0</v>
      </c>
      <c r="J1121" s="79">
        <v>0</v>
      </c>
      <c r="K1121" s="79"/>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235">
        <v>97</v>
      </c>
      <c r="B1122" s="235" t="s">
        <v>70</v>
      </c>
      <c r="C1122" s="322" t="s">
        <v>2881</v>
      </c>
      <c r="D1122" s="322" t="s">
        <v>413</v>
      </c>
      <c r="E1122" s="11" t="str">
        <f t="array" ref="E1122">_xlfn.XLOOKUP(D1122,Insumos!B:B,Insumos!C:$C)</f>
        <v>UN</v>
      </c>
      <c r="F1122" s="81">
        <f>20.1868*2</f>
        <v>40.373600000000003</v>
      </c>
      <c r="G1122" s="87">
        <f t="array" ref="G1122">IF(B1122="insumo",_xlfn.XLOOKUP($D1122,Insumos!$B$1:$B$993,Insumos!$D$1:$D$993),"")</f>
        <v>0.09</v>
      </c>
      <c r="H1122" s="87">
        <v>3.6336240000000002</v>
      </c>
      <c r="I1122" s="79">
        <v>0</v>
      </c>
      <c r="J1122" s="79">
        <v>0</v>
      </c>
      <c r="K1122" s="79"/>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235">
        <v>95</v>
      </c>
      <c r="B1123" s="235" t="s">
        <v>70</v>
      </c>
      <c r="C1123" s="322" t="s">
        <v>2881</v>
      </c>
      <c r="D1123" s="322" t="s">
        <v>414</v>
      </c>
      <c r="E1123" s="11" t="str">
        <f t="array" ref="E1123">_xlfn.XLOOKUP(D1123,Insumos!B:B,Insumos!C:$C)</f>
        <v>UN</v>
      </c>
      <c r="F1123" s="81">
        <f>0.4803*2</f>
        <v>0.96060000000000001</v>
      </c>
      <c r="G1123" s="87">
        <f t="array" ref="G1123">IF(B1123="insumo",_xlfn.XLOOKUP($D1123,Insumos!$B$1:$B$993,Insumos!$D$1:$D$993),"")</f>
        <v>0.2</v>
      </c>
      <c r="H1123" s="87">
        <v>0.19212000000000001</v>
      </c>
      <c r="I1123" s="79">
        <v>0</v>
      </c>
      <c r="J1123" s="79">
        <v>0</v>
      </c>
      <c r="K1123" s="79"/>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341">
        <v>1</v>
      </c>
      <c r="B1124" s="341" t="s">
        <v>67</v>
      </c>
      <c r="C1124" s="342" t="s">
        <v>2884</v>
      </c>
      <c r="D1124" s="342" t="s">
        <v>2884</v>
      </c>
      <c r="E1124" s="343" t="s">
        <v>69</v>
      </c>
      <c r="F1124" s="341"/>
      <c r="G1124" s="334" t="str">
        <f t="array" ref="G1124">IF(B1124="insumo",_xlfn.XLOOKUP($D1124,Insumos!$B$1:$B$993,Insumos!$D$1:$D$993),"")</f>
        <v/>
      </c>
      <c r="H1124" s="334">
        <v>232.03889824999999</v>
      </c>
      <c r="I1124" s="344">
        <v>0</v>
      </c>
      <c r="J1124" s="344">
        <v>0</v>
      </c>
      <c r="K1124" s="344"/>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235">
        <v>11</v>
      </c>
      <c r="B1125" s="235" t="s">
        <v>70</v>
      </c>
      <c r="C1125" s="10" t="s">
        <v>2884</v>
      </c>
      <c r="D1125" s="10" t="s">
        <v>1372</v>
      </c>
      <c r="E1125" s="11" t="str">
        <f t="array" ref="E1125">_xlfn.XLOOKUP(D1125,Insumos!B:B,Insumos!C:$C)</f>
        <v>M2</v>
      </c>
      <c r="F1125" s="81">
        <f>1.053</f>
        <v>1.0529999999999999</v>
      </c>
      <c r="G1125" s="87">
        <f t="array" ref="G1125">IF(B1125="insumo",_xlfn.XLOOKUP($D1125,Insumos!$B$1:$B$993,Insumos!$D$1:$D$993),"")</f>
        <v>30.089583333333337</v>
      </c>
      <c r="H1125" s="87">
        <v>31.68433125</v>
      </c>
      <c r="I1125" s="79">
        <v>0</v>
      </c>
      <c r="J1125" s="79">
        <v>0</v>
      </c>
      <c r="K1125" s="79"/>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235">
        <v>47</v>
      </c>
      <c r="B1126" s="235" t="s">
        <v>70</v>
      </c>
      <c r="C1126" s="322" t="s">
        <v>2884</v>
      </c>
      <c r="D1126" s="322" t="s">
        <v>407</v>
      </c>
      <c r="E1126" s="11" t="str">
        <f t="array" ref="E1126">_xlfn.XLOOKUP(D1126,Insumos!B:B,Insumos!C:$C)</f>
        <v>M2</v>
      </c>
      <c r="F1126" s="81">
        <f>1.053</f>
        <v>1.0529999999999999</v>
      </c>
      <c r="G1126" s="87">
        <f t="array" ref="G1126">IF(B1126="insumo",_xlfn.XLOOKUP($D1126,Insumos!$B$1:$B$993,Insumos!$D$1:$D$993),"")</f>
        <v>20.16</v>
      </c>
      <c r="H1126" s="87">
        <v>21.228480000000001</v>
      </c>
      <c r="I1126" s="79">
        <v>0</v>
      </c>
      <c r="J1126" s="79">
        <v>0</v>
      </c>
      <c r="K1126" s="79"/>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235">
        <v>49</v>
      </c>
      <c r="B1127" s="235" t="s">
        <v>70</v>
      </c>
      <c r="C1127" s="322" t="s">
        <v>2884</v>
      </c>
      <c r="D1127" s="322" t="s">
        <v>417</v>
      </c>
      <c r="E1127" s="11" t="str">
        <f t="array" ref="E1127">_xlfn.XLOOKUP(D1127,Insumos!B:B,Insumos!C:$C)</f>
        <v>M2</v>
      </c>
      <c r="F1127" s="81">
        <f>1.053</f>
        <v>1.0529999999999999</v>
      </c>
      <c r="G1127" s="87">
        <f t="array" ref="G1127">IF(B1127="insumo",_xlfn.XLOOKUP($D1127,Insumos!$B$1:$B$993,Insumos!$D$1:$D$993),"")</f>
        <v>27.1</v>
      </c>
      <c r="H1127" s="87">
        <v>28.536300000000001</v>
      </c>
      <c r="I1127" s="79">
        <v>0</v>
      </c>
      <c r="J1127" s="79">
        <v>0</v>
      </c>
      <c r="K1127" s="79"/>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235">
        <v>10</v>
      </c>
      <c r="B1128" s="235" t="s">
        <v>70</v>
      </c>
      <c r="C1128" s="10" t="s">
        <v>2884</v>
      </c>
      <c r="D1128" s="10" t="s">
        <v>2887</v>
      </c>
      <c r="E1128" s="11" t="str">
        <f t="array" ref="E1128">_xlfn.XLOOKUP(D1128,Insumos!B:B,Insumos!C:$C)</f>
        <v>M2</v>
      </c>
      <c r="F1128" s="81">
        <f>1.053*2</f>
        <v>2.1059999999999999</v>
      </c>
      <c r="G1128" s="87">
        <f t="array" ref="G1128">IF(B1128="insumo",_xlfn.XLOOKUP($D1128,Insumos!$B$1:$B$993,Insumos!$D$1:$D$993),"")</f>
        <v>34.513888888888893</v>
      </c>
      <c r="H1128" s="87">
        <v>72.686250000000001</v>
      </c>
      <c r="I1128" s="79">
        <v>0</v>
      </c>
      <c r="J1128" s="79">
        <v>0</v>
      </c>
      <c r="K1128" s="79"/>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235">
        <v>95</v>
      </c>
      <c r="B1129" s="235" t="s">
        <v>70</v>
      </c>
      <c r="C1129" s="322" t="s">
        <v>2884</v>
      </c>
      <c r="D1129" s="322" t="s">
        <v>408</v>
      </c>
      <c r="E1129" s="11" t="str">
        <f t="array" ref="E1129">_xlfn.XLOOKUP(D1129,Insumos!B:B,Insumos!C:$C)</f>
        <v>UN</v>
      </c>
      <c r="F1129" s="81">
        <f>4.95*2</f>
        <v>9.9</v>
      </c>
      <c r="G1129" s="87">
        <f t="array" ref="G1129">IF(B1129="insumo",_xlfn.XLOOKUP($D1129,Insumos!$B$1:$B$993,Insumos!$D$1:$D$993),"")</f>
        <v>0.504</v>
      </c>
      <c r="H1129" s="87">
        <v>4.9896000000000003</v>
      </c>
      <c r="I1129" s="79">
        <v>0</v>
      </c>
      <c r="J1129" s="79">
        <v>0</v>
      </c>
      <c r="K1129" s="79"/>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235">
        <v>43</v>
      </c>
      <c r="B1130" s="235" t="s">
        <v>70</v>
      </c>
      <c r="C1130" s="322" t="s">
        <v>2884</v>
      </c>
      <c r="D1130" s="322" t="s">
        <v>422</v>
      </c>
      <c r="E1130" s="11" t="str">
        <f t="array" ref="E1130">_xlfn.XLOOKUP(D1130,Insumos!B:B,Insumos!C:$C)</f>
        <v>M</v>
      </c>
      <c r="F1130" s="81">
        <f>1.5248*2</f>
        <v>3.0495999999999999</v>
      </c>
      <c r="G1130" s="87">
        <f t="array" ref="G1130">IF(B1130="insumo",_xlfn.XLOOKUP($D1130,Insumos!$B$1:$B$993,Insumos!$D$1:$D$993),"")</f>
        <v>7.46</v>
      </c>
      <c r="H1130" s="87">
        <v>22.750015999999999</v>
      </c>
      <c r="I1130" s="79">
        <v>0</v>
      </c>
      <c r="J1130" s="79">
        <v>0</v>
      </c>
      <c r="K1130" s="79"/>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235">
        <v>43</v>
      </c>
      <c r="B1131" s="235" t="s">
        <v>70</v>
      </c>
      <c r="C1131" s="322" t="s">
        <v>2884</v>
      </c>
      <c r="D1131" s="322" t="s">
        <v>423</v>
      </c>
      <c r="E1131" s="11" t="str">
        <f t="array" ref="E1131">_xlfn.XLOOKUP(D1131,Insumos!B:B,Insumos!C:$C)</f>
        <v>M</v>
      </c>
      <c r="F1131" s="81">
        <f>2.0006*2</f>
        <v>4.0011999999999999</v>
      </c>
      <c r="G1131" s="87">
        <f t="array" ref="G1131">IF(B1131="insumo",_xlfn.XLOOKUP($D1131,Insumos!$B$1:$B$993,Insumos!$D$1:$D$993),"")</f>
        <v>7.98</v>
      </c>
      <c r="H1131" s="87">
        <v>31.929576000000001</v>
      </c>
      <c r="I1131" s="79">
        <v>0</v>
      </c>
      <c r="J1131" s="79">
        <v>0</v>
      </c>
      <c r="K1131" s="79"/>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235">
        <v>95</v>
      </c>
      <c r="B1132" s="235" t="s">
        <v>70</v>
      </c>
      <c r="C1132" s="322" t="s">
        <v>2884</v>
      </c>
      <c r="D1132" s="322" t="s">
        <v>404</v>
      </c>
      <c r="E1132" s="11" t="str">
        <f t="array" ref="E1132">_xlfn.XLOOKUP(D1132,Insumos!B:B,Insumos!C:$C)</f>
        <v>KG</v>
      </c>
      <c r="F1132" s="81">
        <v>1.0978000000000001</v>
      </c>
      <c r="G1132" s="87">
        <f t="array" ref="G1132">IF(B1132="insumo",_xlfn.XLOOKUP($D1132,Insumos!$B$1:$B$993,Insumos!$D$1:$D$993),"")</f>
        <v>3.43</v>
      </c>
      <c r="H1132" s="87">
        <v>3.7654540000000001</v>
      </c>
      <c r="I1132" s="79">
        <v>0</v>
      </c>
      <c r="J1132" s="79">
        <v>0</v>
      </c>
      <c r="K1132" s="79"/>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235">
        <v>94</v>
      </c>
      <c r="B1133" s="235" t="s">
        <v>70</v>
      </c>
      <c r="C1133" s="322" t="s">
        <v>2884</v>
      </c>
      <c r="D1133" s="322" t="s">
        <v>411</v>
      </c>
      <c r="E1133" s="11" t="str">
        <f t="array" ref="E1133">_xlfn.XLOOKUP(D1133,Insumos!B:B,Insumos!C:$C)</f>
        <v>M</v>
      </c>
      <c r="F1133" s="81">
        <v>2.5026999999999999</v>
      </c>
      <c r="G1133" s="87">
        <f t="array" ref="G1133">IF(B1133="insumo",_xlfn.XLOOKUP($D1133,Insumos!$B$1:$B$993,Insumos!$D$1:$D$993),"")</f>
        <v>0.31</v>
      </c>
      <c r="H1133" s="87">
        <v>0.775837</v>
      </c>
      <c r="I1133" s="79">
        <v>0</v>
      </c>
      <c r="J1133" s="79">
        <v>0</v>
      </c>
      <c r="K1133" s="79"/>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235">
        <v>94</v>
      </c>
      <c r="B1134" s="235" t="s">
        <v>70</v>
      </c>
      <c r="C1134" s="322" t="s">
        <v>2884</v>
      </c>
      <c r="D1134" s="322" t="s">
        <v>412</v>
      </c>
      <c r="E1134" s="11" t="str">
        <f t="array" ref="E1134">_xlfn.XLOOKUP(D1134,Insumos!B:B,Insumos!C:$C)</f>
        <v>M</v>
      </c>
      <c r="F1134" s="81">
        <v>1.4815</v>
      </c>
      <c r="G1134" s="87">
        <f t="array" ref="G1134">IF(B1134="insumo",_xlfn.XLOOKUP($D1134,Insumos!$B$1:$B$993,Insumos!$D$1:$D$993),"")</f>
        <v>2.74</v>
      </c>
      <c r="H1134" s="87">
        <v>4.05931</v>
      </c>
      <c r="I1134" s="79">
        <v>0</v>
      </c>
      <c r="J1134" s="79">
        <v>0</v>
      </c>
      <c r="K1134" s="79"/>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235">
        <v>11</v>
      </c>
      <c r="B1135" s="235" t="s">
        <v>70</v>
      </c>
      <c r="C1135" s="322" t="s">
        <v>2884</v>
      </c>
      <c r="D1135" s="322" t="s">
        <v>2888</v>
      </c>
      <c r="E1135" s="11" t="str">
        <f t="array" ref="E1135">_xlfn.XLOOKUP(D1135,Insumos!B:B,Insumos!C:$C)</f>
        <v>M</v>
      </c>
      <c r="F1135" s="81">
        <f>0.8*2</f>
        <v>1.6</v>
      </c>
      <c r="G1135" s="87">
        <f t="array" ref="G1135">IF(B1135="insumo",_xlfn.XLOOKUP($D1135,Insumos!$B$1:$B$993,Insumos!$D$1:$D$993),"")</f>
        <v>3</v>
      </c>
      <c r="H1135" s="87">
        <v>4.8</v>
      </c>
      <c r="I1135" s="79">
        <v>0</v>
      </c>
      <c r="J1135" s="79">
        <v>0</v>
      </c>
      <c r="K1135" s="79"/>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235">
        <v>11</v>
      </c>
      <c r="B1136" s="235" t="s">
        <v>70</v>
      </c>
      <c r="C1136" s="322" t="s">
        <v>2884</v>
      </c>
      <c r="D1136" s="322" t="s">
        <v>2889</v>
      </c>
      <c r="E1136" s="11" t="str">
        <f t="array" ref="E1136">_xlfn.XLOOKUP(D1136,Insumos!B:B,Insumos!C:$C)</f>
        <v>M</v>
      </c>
      <c r="F1136" s="81">
        <f>0.84*2</f>
        <v>1.68</v>
      </c>
      <c r="G1136" s="87">
        <f t="array" ref="G1136">IF(B1136="insumo",_xlfn.XLOOKUP($D1136,Insumos!$B$1:$B$993,Insumos!$D$1:$D$993),"")</f>
        <v>0.6</v>
      </c>
      <c r="H1136" s="87">
        <v>1.008</v>
      </c>
      <c r="I1136" s="79">
        <v>0</v>
      </c>
      <c r="J1136" s="79">
        <v>0</v>
      </c>
      <c r="K1136" s="79"/>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235">
        <v>97</v>
      </c>
      <c r="B1137" s="235" t="s">
        <v>70</v>
      </c>
      <c r="C1137" s="322" t="s">
        <v>2884</v>
      </c>
      <c r="D1137" s="322" t="s">
        <v>413</v>
      </c>
      <c r="E1137" s="11" t="str">
        <f t="array" ref="E1137">_xlfn.XLOOKUP(D1137,Insumos!B:B,Insumos!C:$C)</f>
        <v>UN</v>
      </c>
      <c r="F1137" s="81">
        <f>20.1868*2</f>
        <v>40.373600000000003</v>
      </c>
      <c r="G1137" s="87">
        <f t="array" ref="G1137">IF(B1137="insumo",_xlfn.XLOOKUP($D1137,Insumos!$B$1:$B$993,Insumos!$D$1:$D$993),"")</f>
        <v>0.09</v>
      </c>
      <c r="H1137" s="87">
        <v>3.6336240000000002</v>
      </c>
      <c r="I1137" s="79">
        <v>0</v>
      </c>
      <c r="J1137" s="79">
        <v>0</v>
      </c>
      <c r="K1137" s="79"/>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235">
        <v>95</v>
      </c>
      <c r="B1138" s="235" t="s">
        <v>70</v>
      </c>
      <c r="C1138" s="322" t="s">
        <v>2884</v>
      </c>
      <c r="D1138" s="322" t="s">
        <v>414</v>
      </c>
      <c r="E1138" s="11" t="str">
        <f t="array" ref="E1138">_xlfn.XLOOKUP(D1138,Insumos!B:B,Insumos!C:$C)</f>
        <v>UN</v>
      </c>
      <c r="F1138" s="81">
        <f>0.4803*2</f>
        <v>0.96060000000000001</v>
      </c>
      <c r="G1138" s="87">
        <f t="array" ref="G1138">IF(B1138="insumo",_xlfn.XLOOKUP($D1138,Insumos!$B$1:$B$993,Insumos!$D$1:$D$993),"")</f>
        <v>0.2</v>
      </c>
      <c r="H1138" s="87">
        <v>0.19212000000000001</v>
      </c>
      <c r="I1138" s="79">
        <v>0</v>
      </c>
      <c r="J1138" s="79">
        <v>0</v>
      </c>
      <c r="K1138" s="79"/>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341">
        <v>1</v>
      </c>
      <c r="B1139" s="341" t="s">
        <v>67</v>
      </c>
      <c r="C1139" s="342" t="s">
        <v>2882</v>
      </c>
      <c r="D1139" s="342" t="s">
        <v>2882</v>
      </c>
      <c r="E1139" s="343" t="s">
        <v>69</v>
      </c>
      <c r="F1139" s="341"/>
      <c r="G1139" s="334" t="str">
        <f t="array" ref="G1139">IF(B1139="insumo",_xlfn.XLOOKUP($D1139,Insumos!$B$1:$B$993,Insumos!$D$1:$D$993),"")</f>
        <v/>
      </c>
      <c r="H1139" s="334">
        <v>138.48250899999999</v>
      </c>
      <c r="I1139" s="344">
        <v>0</v>
      </c>
      <c r="J1139" s="344">
        <v>0</v>
      </c>
      <c r="K1139" s="344"/>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235">
        <v>11</v>
      </c>
      <c r="B1140" s="235" t="s">
        <v>70</v>
      </c>
      <c r="C1140" s="10" t="s">
        <v>2882</v>
      </c>
      <c r="D1140" s="10" t="s">
        <v>1372</v>
      </c>
      <c r="E1140" s="11" t="str">
        <f t="array" ref="E1140">_xlfn.XLOOKUP(D1140,Insumos!B:B,Insumos!C:$C)</f>
        <v>M2</v>
      </c>
      <c r="F1140" s="81">
        <f>1.053*1</f>
        <v>1.0529999999999999</v>
      </c>
      <c r="G1140" s="87">
        <f t="array" ref="G1140">IF(B1140="insumo",_xlfn.XLOOKUP($D1140,Insumos!$B$1:$B$993,Insumos!$D$1:$D$993),"")</f>
        <v>30.089583333333337</v>
      </c>
      <c r="H1140" s="87">
        <v>31.68433125</v>
      </c>
      <c r="I1140" s="79">
        <v>0</v>
      </c>
      <c r="J1140" s="79">
        <v>0</v>
      </c>
      <c r="K1140" s="79"/>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235">
        <v>49</v>
      </c>
      <c r="B1141" s="235" t="s">
        <v>70</v>
      </c>
      <c r="C1141" s="322" t="s">
        <v>2882</v>
      </c>
      <c r="D1141" s="322" t="s">
        <v>417</v>
      </c>
      <c r="E1141" s="11" t="str">
        <f t="array" ref="E1141">_xlfn.XLOOKUP(D1141,Insumos!B:B,Insumos!C:$C)</f>
        <v>M2</v>
      </c>
      <c r="F1141" s="81">
        <f>1.053</f>
        <v>1.0529999999999999</v>
      </c>
      <c r="G1141" s="87">
        <f t="array" ref="G1141">IF(B1141="insumo",_xlfn.XLOOKUP($D1141,Insumos!$B$1:$B$993,Insumos!$D$1:$D$993),"")</f>
        <v>27.1</v>
      </c>
      <c r="H1141" s="87">
        <v>28.536300000000001</v>
      </c>
      <c r="I1141" s="79">
        <v>0</v>
      </c>
      <c r="J1141" s="79">
        <v>0</v>
      </c>
      <c r="K1141" s="79"/>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235">
        <v>10</v>
      </c>
      <c r="B1142" s="235" t="s">
        <v>70</v>
      </c>
      <c r="C1142" s="10" t="s">
        <v>2882</v>
      </c>
      <c r="D1142" s="10" t="s">
        <v>2887</v>
      </c>
      <c r="E1142" s="11" t="str">
        <f t="array" ref="E1142">_xlfn.XLOOKUP(D1142,Insumos!B:B,Insumos!C:$C)</f>
        <v>M2</v>
      </c>
      <c r="F1142" s="81">
        <f>1.053</f>
        <v>1.0529999999999999</v>
      </c>
      <c r="G1142" s="87">
        <f t="array" ref="G1142">IF(B1142="insumo",_xlfn.XLOOKUP($D1142,Insumos!$B$1:$B$993,Insumos!$D$1:$D$993),"")</f>
        <v>34.513888888888893</v>
      </c>
      <c r="H1142" s="87">
        <v>36.343125000000001</v>
      </c>
      <c r="I1142" s="79">
        <v>0</v>
      </c>
      <c r="J1142" s="79">
        <v>0</v>
      </c>
      <c r="K1142" s="79"/>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235">
        <v>95</v>
      </c>
      <c r="B1143" s="235" t="s">
        <v>70</v>
      </c>
      <c r="C1143" s="322" t="s">
        <v>2882</v>
      </c>
      <c r="D1143" s="322" t="s">
        <v>408</v>
      </c>
      <c r="E1143" s="11" t="str">
        <f t="array" ref="E1143">_xlfn.XLOOKUP(D1143,Insumos!B:B,Insumos!C:$C)</f>
        <v>UN</v>
      </c>
      <c r="F1143" s="81">
        <f>4.95*2</f>
        <v>9.9</v>
      </c>
      <c r="G1143" s="87">
        <f t="array" ref="G1143">IF(B1143="insumo",_xlfn.XLOOKUP($D1143,Insumos!$B$1:$B$993,Insumos!$D$1:$D$993),"")</f>
        <v>0.504</v>
      </c>
      <c r="H1143" s="87">
        <v>4.9896000000000003</v>
      </c>
      <c r="I1143" s="79">
        <v>0</v>
      </c>
      <c r="J1143" s="79">
        <v>0</v>
      </c>
      <c r="K1143" s="79"/>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235">
        <v>43</v>
      </c>
      <c r="B1144" s="235" t="s">
        <v>70</v>
      </c>
      <c r="C1144" s="322" t="s">
        <v>2882</v>
      </c>
      <c r="D1144" s="322" t="s">
        <v>422</v>
      </c>
      <c r="E1144" s="11" t="str">
        <f t="array" ref="E1144">_xlfn.XLOOKUP(D1144,Insumos!B:B,Insumos!C:$C)</f>
        <v>M</v>
      </c>
      <c r="F1144" s="81">
        <f>1.5248*2</f>
        <v>3.0495999999999999</v>
      </c>
      <c r="G1144" s="87">
        <f t="array" ref="G1144">IF(B1144="insumo",_xlfn.XLOOKUP($D1144,Insumos!$B$1:$B$993,Insumos!$D$1:$D$993),"")</f>
        <v>7.46</v>
      </c>
      <c r="H1144" s="87">
        <v>22.750015999999999</v>
      </c>
      <c r="I1144" s="79">
        <v>0</v>
      </c>
      <c r="J1144" s="79">
        <v>0</v>
      </c>
      <c r="K1144" s="79"/>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235">
        <v>43</v>
      </c>
      <c r="B1145" s="235" t="s">
        <v>70</v>
      </c>
      <c r="C1145" s="322" t="s">
        <v>2882</v>
      </c>
      <c r="D1145" s="322" t="s">
        <v>423</v>
      </c>
      <c r="E1145" s="11" t="str">
        <f t="array" ref="E1145">_xlfn.XLOOKUP(D1145,Insumos!B:B,Insumos!C:$C)</f>
        <v>M</v>
      </c>
      <c r="F1145" s="81">
        <f>2.0006*2</f>
        <v>4.0011999999999999</v>
      </c>
      <c r="G1145" s="87">
        <f t="array" ref="G1145">IF(B1145="insumo",_xlfn.XLOOKUP($D1145,Insumos!$B$1:$B$993,Insumos!$D$1:$D$993),"")</f>
        <v>7.98</v>
      </c>
      <c r="H1145" s="87">
        <v>31.929576000000001</v>
      </c>
      <c r="I1145" s="79">
        <v>0</v>
      </c>
      <c r="J1145" s="79">
        <v>0</v>
      </c>
      <c r="K1145" s="79"/>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235">
        <v>95</v>
      </c>
      <c r="B1146" s="235" t="s">
        <v>70</v>
      </c>
      <c r="C1146" s="322" t="s">
        <v>2882</v>
      </c>
      <c r="D1146" s="322" t="s">
        <v>404</v>
      </c>
      <c r="E1146" s="11" t="str">
        <f t="array" ref="E1146">_xlfn.XLOOKUP(D1146,Insumos!B:B,Insumos!C:$C)</f>
        <v>KG</v>
      </c>
      <c r="F1146" s="81">
        <v>0.54890000000000005</v>
      </c>
      <c r="G1146" s="87">
        <f t="array" ref="G1146">IF(B1146="insumo",_xlfn.XLOOKUP($D1146,Insumos!$B$1:$B$993,Insumos!$D$1:$D$993),"")</f>
        <v>3.43</v>
      </c>
      <c r="H1146" s="87">
        <v>1.882727</v>
      </c>
      <c r="I1146" s="79">
        <v>0</v>
      </c>
      <c r="J1146" s="79">
        <v>0</v>
      </c>
      <c r="K1146" s="79"/>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235">
        <v>94</v>
      </c>
      <c r="B1147" s="235" t="s">
        <v>70</v>
      </c>
      <c r="C1147" s="322" t="s">
        <v>2882</v>
      </c>
      <c r="D1147" s="322" t="s">
        <v>411</v>
      </c>
      <c r="E1147" s="11" t="str">
        <f t="array" ref="E1147">_xlfn.XLOOKUP(D1147,Insumos!B:B,Insumos!C:$C)</f>
        <v>M</v>
      </c>
      <c r="F1147" s="81">
        <v>1.2513000000000001</v>
      </c>
      <c r="G1147" s="87">
        <f t="array" ref="G1147">IF(B1147="insumo",_xlfn.XLOOKUP($D1147,Insumos!$B$1:$B$993,Insumos!$D$1:$D$993),"")</f>
        <v>0.31</v>
      </c>
      <c r="H1147" s="87">
        <v>0.387903</v>
      </c>
      <c r="I1147" s="79">
        <v>0</v>
      </c>
      <c r="J1147" s="79">
        <v>0</v>
      </c>
      <c r="K1147" s="79"/>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235">
        <v>94</v>
      </c>
      <c r="B1148" s="235" t="s">
        <v>70</v>
      </c>
      <c r="C1148" s="322" t="s">
        <v>2882</v>
      </c>
      <c r="D1148" s="322" t="s">
        <v>412</v>
      </c>
      <c r="E1148" s="11" t="str">
        <f t="array" ref="E1148">_xlfn.XLOOKUP(D1148,Insumos!B:B,Insumos!C:$C)</f>
        <v>M</v>
      </c>
      <c r="F1148" s="81">
        <v>0.74070000000000003</v>
      </c>
      <c r="G1148" s="87">
        <f t="array" ref="G1148">IF(B1148="insumo",_xlfn.XLOOKUP($D1148,Insumos!$B$1:$B$993,Insumos!$D$1:$D$993),"")</f>
        <v>2.74</v>
      </c>
      <c r="H1148" s="87">
        <v>2.0295179999999999</v>
      </c>
      <c r="I1148" s="79">
        <v>0</v>
      </c>
      <c r="J1148" s="79">
        <v>0</v>
      </c>
      <c r="K1148" s="79"/>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235">
        <v>11</v>
      </c>
      <c r="B1149" s="235" t="s">
        <v>70</v>
      </c>
      <c r="C1149" s="322" t="s">
        <v>2882</v>
      </c>
      <c r="D1149" s="322" t="s">
        <v>2888</v>
      </c>
      <c r="E1149" s="11" t="str">
        <f t="array" ref="E1149">_xlfn.XLOOKUP(D1149,Insumos!B:B,Insumos!C:$C)</f>
        <v>M</v>
      </c>
      <c r="F1149" s="81">
        <f>0.8*2</f>
        <v>1.6</v>
      </c>
      <c r="G1149" s="87">
        <f t="array" ref="G1149">IF(B1149="insumo",_xlfn.XLOOKUP($D1149,Insumos!$B$1:$B$993,Insumos!$D$1:$D$993),"")</f>
        <v>3</v>
      </c>
      <c r="H1149" s="87">
        <v>4.8</v>
      </c>
      <c r="I1149" s="79">
        <v>0</v>
      </c>
      <c r="J1149" s="79">
        <v>0</v>
      </c>
      <c r="K1149" s="79"/>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235">
        <v>11</v>
      </c>
      <c r="B1150" s="235" t="s">
        <v>70</v>
      </c>
      <c r="C1150" s="322" t="s">
        <v>2882</v>
      </c>
      <c r="D1150" s="322" t="s">
        <v>2889</v>
      </c>
      <c r="E1150" s="11" t="str">
        <f t="array" ref="E1150">_xlfn.XLOOKUP(D1150,Insumos!B:B,Insumos!C:$C)</f>
        <v>M</v>
      </c>
      <c r="F1150" s="81">
        <f>0.84*2</f>
        <v>1.68</v>
      </c>
      <c r="G1150" s="87">
        <f t="array" ref="G1150">IF(B1150="insumo",_xlfn.XLOOKUP($D1150,Insumos!$B$1:$B$993,Insumos!$D$1:$D$993),"")</f>
        <v>0.6</v>
      </c>
      <c r="H1150" s="87">
        <v>1.008</v>
      </c>
      <c r="I1150" s="79">
        <v>0</v>
      </c>
      <c r="J1150" s="79">
        <v>0</v>
      </c>
      <c r="K1150" s="79"/>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235">
        <v>97</v>
      </c>
      <c r="B1151" s="235" t="s">
        <v>70</v>
      </c>
      <c r="C1151" s="322" t="s">
        <v>2882</v>
      </c>
      <c r="D1151" s="322" t="s">
        <v>413</v>
      </c>
      <c r="E1151" s="11" t="str">
        <f t="array" ref="E1151">_xlfn.XLOOKUP(D1151,Insumos!B:B,Insumos!C:$C)</f>
        <v>UN</v>
      </c>
      <c r="F1151" s="81">
        <f>20.1868*2</f>
        <v>40.373600000000003</v>
      </c>
      <c r="G1151" s="87">
        <f t="array" ref="G1151">IF(B1151="insumo",_xlfn.XLOOKUP($D1151,Insumos!$B$1:$B$993,Insumos!$D$1:$D$993),"")</f>
        <v>0.09</v>
      </c>
      <c r="H1151" s="87">
        <v>3.6336240000000002</v>
      </c>
      <c r="I1151" s="79">
        <v>0</v>
      </c>
      <c r="J1151" s="79">
        <v>0</v>
      </c>
      <c r="K1151" s="79"/>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235">
        <v>95</v>
      </c>
      <c r="B1152" s="235" t="s">
        <v>70</v>
      </c>
      <c r="C1152" s="322" t="s">
        <v>2882</v>
      </c>
      <c r="D1152" s="322" t="s">
        <v>414</v>
      </c>
      <c r="E1152" s="11" t="str">
        <f t="array" ref="E1152">_xlfn.XLOOKUP(D1152,Insumos!B:B,Insumos!C:$C)</f>
        <v>UN</v>
      </c>
      <c r="F1152" s="81">
        <f>0.4803*2</f>
        <v>0.96060000000000001</v>
      </c>
      <c r="G1152" s="87">
        <f t="array" ref="G1152">IF(B1152="insumo",_xlfn.XLOOKUP($D1152,Insumos!$B$1:$B$993,Insumos!$D$1:$D$993),"")</f>
        <v>0.2</v>
      </c>
      <c r="H1152" s="87">
        <v>0.19212000000000001</v>
      </c>
      <c r="I1152" s="79">
        <v>0</v>
      </c>
      <c r="J1152" s="79">
        <v>0</v>
      </c>
      <c r="K1152" s="79"/>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341">
        <v>1</v>
      </c>
      <c r="B1153" s="341" t="s">
        <v>67</v>
      </c>
      <c r="C1153" s="342" t="s">
        <v>2883</v>
      </c>
      <c r="D1153" s="342" t="s">
        <v>2883</v>
      </c>
      <c r="E1153" s="343" t="s">
        <v>69</v>
      </c>
      <c r="F1153" s="341"/>
      <c r="G1153" s="334" t="str">
        <f t="array" ref="G1153">IF(B1153="insumo",_xlfn.XLOOKUP($D1153,Insumos!$B$1:$B$993,Insumos!$D$1:$D$993),"")</f>
        <v/>
      </c>
      <c r="H1153" s="334">
        <v>159.23865225</v>
      </c>
      <c r="I1153" s="344">
        <v>0</v>
      </c>
      <c r="J1153" s="344">
        <v>0</v>
      </c>
      <c r="K1153" s="344"/>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235">
        <v>11</v>
      </c>
      <c r="B1154" s="235" t="s">
        <v>70</v>
      </c>
      <c r="C1154" s="10" t="s">
        <v>2883</v>
      </c>
      <c r="D1154" s="10" t="s">
        <v>1372</v>
      </c>
      <c r="E1154" s="11" t="str">
        <f t="array" ref="E1154">_xlfn.XLOOKUP(D1154,Insumos!B:B,Insumos!C:$C)</f>
        <v>M2</v>
      </c>
      <c r="F1154" s="81">
        <f>1.053*1</f>
        <v>1.0529999999999999</v>
      </c>
      <c r="G1154" s="87">
        <f t="array" ref="G1154">IF(B1154="insumo",_xlfn.XLOOKUP($D1154,Insumos!$B$1:$B$993,Insumos!$D$1:$D$993),"")</f>
        <v>30.089583333333337</v>
      </c>
      <c r="H1154" s="87">
        <v>31.68433125</v>
      </c>
      <c r="I1154" s="79">
        <v>0</v>
      </c>
      <c r="J1154" s="79">
        <v>0</v>
      </c>
      <c r="K1154" s="79"/>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235">
        <v>47</v>
      </c>
      <c r="B1155" s="235" t="s">
        <v>70</v>
      </c>
      <c r="C1155" s="322" t="s">
        <v>2883</v>
      </c>
      <c r="D1155" s="322" t="s">
        <v>407</v>
      </c>
      <c r="E1155" s="11" t="str">
        <f t="array" ref="E1155">_xlfn.XLOOKUP(D1155,Insumos!B:B,Insumos!C:$C)</f>
        <v>M2</v>
      </c>
      <c r="F1155" s="81">
        <f>1.053</f>
        <v>1.0529999999999999</v>
      </c>
      <c r="G1155" s="87">
        <f t="array" ref="G1155">IF(B1155="insumo",_xlfn.XLOOKUP($D1155,Insumos!$B$1:$B$993,Insumos!$D$1:$D$993),"")</f>
        <v>20.16</v>
      </c>
      <c r="H1155" s="87">
        <v>21.228480000000001</v>
      </c>
      <c r="I1155" s="79">
        <v>0</v>
      </c>
      <c r="J1155" s="79">
        <v>0</v>
      </c>
      <c r="K1155" s="79"/>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235">
        <v>49</v>
      </c>
      <c r="B1156" s="235" t="s">
        <v>70</v>
      </c>
      <c r="C1156" s="322" t="s">
        <v>2883</v>
      </c>
      <c r="D1156" s="322" t="s">
        <v>417</v>
      </c>
      <c r="E1156" s="11" t="str">
        <f t="array" ref="E1156">_xlfn.XLOOKUP(D1156,Insumos!B:B,Insumos!C:$C)</f>
        <v>M2</v>
      </c>
      <c r="F1156" s="81">
        <f>1.053</f>
        <v>1.0529999999999999</v>
      </c>
      <c r="G1156" s="87">
        <f t="array" ref="G1156">IF(B1156="insumo",_xlfn.XLOOKUP($D1156,Insumos!$B$1:$B$993,Insumos!$D$1:$D$993),"")</f>
        <v>27.1</v>
      </c>
      <c r="H1156" s="87">
        <v>28.536300000000001</v>
      </c>
      <c r="I1156" s="79">
        <v>0</v>
      </c>
      <c r="J1156" s="79">
        <v>0</v>
      </c>
      <c r="K1156" s="79"/>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235">
        <v>10</v>
      </c>
      <c r="B1157" s="235" t="s">
        <v>70</v>
      </c>
      <c r="C1157" s="10" t="s">
        <v>2883</v>
      </c>
      <c r="D1157" s="10" t="s">
        <v>2887</v>
      </c>
      <c r="E1157" s="11" t="str">
        <f t="array" ref="E1157">_xlfn.XLOOKUP(D1157,Insumos!B:B,Insumos!C:$C)</f>
        <v>M2</v>
      </c>
      <c r="F1157" s="81">
        <f>1.053</f>
        <v>1.0529999999999999</v>
      </c>
      <c r="G1157" s="87">
        <f t="array" ref="G1157">IF(B1157="insumo",_xlfn.XLOOKUP($D1157,Insumos!$B$1:$B$993,Insumos!$D$1:$D$993),"")</f>
        <v>34.513888888888893</v>
      </c>
      <c r="H1157" s="87">
        <v>36.343125000000001</v>
      </c>
      <c r="I1157" s="79">
        <v>0</v>
      </c>
      <c r="J1157" s="79">
        <v>0</v>
      </c>
      <c r="K1157" s="79"/>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235">
        <v>95</v>
      </c>
      <c r="B1158" s="235" t="s">
        <v>70</v>
      </c>
      <c r="C1158" s="322" t="s">
        <v>2883</v>
      </c>
      <c r="D1158" s="322" t="s">
        <v>408</v>
      </c>
      <c r="E1158" s="11" t="str">
        <f t="array" ref="E1158">_xlfn.XLOOKUP(D1158,Insumos!B:B,Insumos!C:$C)</f>
        <v>UN</v>
      </c>
      <c r="F1158" s="81">
        <f>4.95*2</f>
        <v>9.9</v>
      </c>
      <c r="G1158" s="87">
        <f t="array" ref="G1158">IF(B1158="insumo",_xlfn.XLOOKUP($D1158,Insumos!$B$1:$B$993,Insumos!$D$1:$D$993),"")</f>
        <v>0.504</v>
      </c>
      <c r="H1158" s="87">
        <v>4.9896000000000003</v>
      </c>
      <c r="I1158" s="79">
        <v>0</v>
      </c>
      <c r="J1158" s="79">
        <v>0</v>
      </c>
      <c r="K1158" s="79"/>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235">
        <v>43</v>
      </c>
      <c r="B1159" s="235" t="s">
        <v>70</v>
      </c>
      <c r="C1159" s="322" t="s">
        <v>2883</v>
      </c>
      <c r="D1159" s="322" t="s">
        <v>422</v>
      </c>
      <c r="E1159" s="11" t="str">
        <f t="array" ref="E1159">_xlfn.XLOOKUP(D1159,Insumos!B:B,Insumos!C:$C)</f>
        <v>M</v>
      </c>
      <c r="F1159" s="81">
        <f>1.5248</f>
        <v>1.5247999999999999</v>
      </c>
      <c r="G1159" s="87">
        <f t="array" ref="G1159">IF(B1159="insumo",_xlfn.XLOOKUP($D1159,Insumos!$B$1:$B$993,Insumos!$D$1:$D$993),"")</f>
        <v>7.46</v>
      </c>
      <c r="H1159" s="87">
        <v>11.375007999999999</v>
      </c>
      <c r="I1159" s="79">
        <v>0</v>
      </c>
      <c r="J1159" s="79">
        <v>0</v>
      </c>
      <c r="K1159" s="79"/>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235">
        <v>43</v>
      </c>
      <c r="B1160" s="235" t="s">
        <v>70</v>
      </c>
      <c r="C1160" s="322" t="s">
        <v>2883</v>
      </c>
      <c r="D1160" s="322" t="s">
        <v>423</v>
      </c>
      <c r="E1160" s="11" t="str">
        <f t="array" ref="E1160">_xlfn.XLOOKUP(D1160,Insumos!B:B,Insumos!C:$C)</f>
        <v>M</v>
      </c>
      <c r="F1160" s="81">
        <f>2.0006</f>
        <v>2.0005999999999999</v>
      </c>
      <c r="G1160" s="87">
        <f t="array" ref="G1160">IF(B1160="insumo",_xlfn.XLOOKUP($D1160,Insumos!$B$1:$B$993,Insumos!$D$1:$D$993),"")</f>
        <v>7.98</v>
      </c>
      <c r="H1160" s="87">
        <v>15.964788</v>
      </c>
      <c r="I1160" s="79">
        <v>0</v>
      </c>
      <c r="J1160" s="79">
        <v>0</v>
      </c>
      <c r="K1160" s="79"/>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235">
        <v>95</v>
      </c>
      <c r="B1161" s="235" t="s">
        <v>70</v>
      </c>
      <c r="C1161" s="322" t="s">
        <v>2883</v>
      </c>
      <c r="D1161" s="322" t="s">
        <v>404</v>
      </c>
      <c r="E1161" s="11" t="str">
        <f t="array" ref="E1161">_xlfn.XLOOKUP(D1161,Insumos!B:B,Insumos!C:$C)</f>
        <v>KG</v>
      </c>
      <c r="F1161" s="81">
        <v>0.54890000000000005</v>
      </c>
      <c r="G1161" s="87">
        <f t="array" ref="G1161">IF(B1161="insumo",_xlfn.XLOOKUP($D1161,Insumos!$B$1:$B$993,Insumos!$D$1:$D$993),"")</f>
        <v>3.43</v>
      </c>
      <c r="H1161" s="87">
        <v>1.882727</v>
      </c>
      <c r="I1161" s="79">
        <v>0</v>
      </c>
      <c r="J1161" s="79">
        <v>0</v>
      </c>
      <c r="K1161" s="79"/>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235">
        <v>94</v>
      </c>
      <c r="B1162" s="235" t="s">
        <v>70</v>
      </c>
      <c r="C1162" s="322" t="s">
        <v>2883</v>
      </c>
      <c r="D1162" s="322" t="s">
        <v>411</v>
      </c>
      <c r="E1162" s="11" t="str">
        <f t="array" ref="E1162">_xlfn.XLOOKUP(D1162,Insumos!B:B,Insumos!C:$C)</f>
        <v>M</v>
      </c>
      <c r="F1162" s="81">
        <v>1.2513000000000001</v>
      </c>
      <c r="G1162" s="87">
        <f t="array" ref="G1162">IF(B1162="insumo",_xlfn.XLOOKUP($D1162,Insumos!$B$1:$B$993,Insumos!$D$1:$D$993),"")</f>
        <v>0.31</v>
      </c>
      <c r="H1162" s="87">
        <v>0.387903</v>
      </c>
      <c r="I1162" s="79">
        <v>0</v>
      </c>
      <c r="J1162" s="79">
        <v>0</v>
      </c>
      <c r="K1162" s="79"/>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235">
        <v>94</v>
      </c>
      <c r="B1163" s="235" t="s">
        <v>70</v>
      </c>
      <c r="C1163" s="322" t="s">
        <v>2883</v>
      </c>
      <c r="D1163" s="322" t="s">
        <v>412</v>
      </c>
      <c r="E1163" s="11" t="str">
        <f t="array" ref="E1163">_xlfn.XLOOKUP(D1163,Insumos!B:B,Insumos!C:$C)</f>
        <v>M</v>
      </c>
      <c r="F1163" s="81">
        <v>0.74070000000000003</v>
      </c>
      <c r="G1163" s="87">
        <f t="array" ref="G1163">IF(B1163="insumo",_xlfn.XLOOKUP($D1163,Insumos!$B$1:$B$993,Insumos!$D$1:$D$993),"")</f>
        <v>2.74</v>
      </c>
      <c r="H1163" s="87">
        <v>2.0295179999999999</v>
      </c>
      <c r="I1163" s="79">
        <v>0</v>
      </c>
      <c r="J1163" s="79">
        <v>0</v>
      </c>
      <c r="K1163" s="79"/>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235">
        <v>11</v>
      </c>
      <c r="B1164" s="235" t="s">
        <v>70</v>
      </c>
      <c r="C1164" s="322" t="s">
        <v>2883</v>
      </c>
      <c r="D1164" s="322" t="s">
        <v>2888</v>
      </c>
      <c r="E1164" s="11" t="str">
        <f t="array" ref="E1164">_xlfn.XLOOKUP(D1164,Insumos!B:B,Insumos!C:$C)</f>
        <v>M</v>
      </c>
      <c r="F1164" s="81">
        <f>0.8</f>
        <v>0.8</v>
      </c>
      <c r="G1164" s="87">
        <f t="array" ref="G1164">IF(B1164="insumo",_xlfn.XLOOKUP($D1164,Insumos!$B$1:$B$993,Insumos!$D$1:$D$993),"")</f>
        <v>3</v>
      </c>
      <c r="H1164" s="87">
        <v>2.4</v>
      </c>
      <c r="I1164" s="79">
        <v>0</v>
      </c>
      <c r="J1164" s="79">
        <v>0</v>
      </c>
      <c r="K1164" s="79"/>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235">
        <v>11</v>
      </c>
      <c r="B1165" s="235" t="s">
        <v>70</v>
      </c>
      <c r="C1165" s="322" t="s">
        <v>2883</v>
      </c>
      <c r="D1165" s="322" t="s">
        <v>2889</v>
      </c>
      <c r="E1165" s="11" t="str">
        <f t="array" ref="E1165">_xlfn.XLOOKUP(D1165,Insumos!B:B,Insumos!C:$C)</f>
        <v>M</v>
      </c>
      <c r="F1165" s="81">
        <f>0.84</f>
        <v>0.84</v>
      </c>
      <c r="G1165" s="87">
        <f t="array" ref="G1165">IF(B1165="insumo",_xlfn.XLOOKUP($D1165,Insumos!$B$1:$B$993,Insumos!$D$1:$D$993),"")</f>
        <v>0.6</v>
      </c>
      <c r="H1165" s="87">
        <v>0.504</v>
      </c>
      <c r="I1165" s="79">
        <v>0</v>
      </c>
      <c r="J1165" s="79">
        <v>0</v>
      </c>
      <c r="K1165" s="79"/>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235">
        <v>97</v>
      </c>
      <c r="B1166" s="235" t="s">
        <v>70</v>
      </c>
      <c r="C1166" s="322" t="s">
        <v>2883</v>
      </c>
      <c r="D1166" s="322" t="s">
        <v>413</v>
      </c>
      <c r="E1166" s="11" t="str">
        <f t="array" ref="E1166">_xlfn.XLOOKUP(D1166,Insumos!B:B,Insumos!C:$C)</f>
        <v>UN</v>
      </c>
      <c r="F1166" s="81">
        <f>20.1868</f>
        <v>20.186800000000002</v>
      </c>
      <c r="G1166" s="87">
        <f t="array" ref="G1166">IF(B1166="insumo",_xlfn.XLOOKUP($D1166,Insumos!$B$1:$B$993,Insumos!$D$1:$D$993),"")</f>
        <v>0.09</v>
      </c>
      <c r="H1166" s="87">
        <v>1.8168120000000001</v>
      </c>
      <c r="I1166" s="79">
        <v>0</v>
      </c>
      <c r="J1166" s="79">
        <v>0</v>
      </c>
      <c r="K1166" s="79"/>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235">
        <v>95</v>
      </c>
      <c r="B1167" s="235" t="s">
        <v>70</v>
      </c>
      <c r="C1167" s="322" t="s">
        <v>2883</v>
      </c>
      <c r="D1167" s="322" t="s">
        <v>414</v>
      </c>
      <c r="E1167" s="11" t="str">
        <f t="array" ref="E1167">_xlfn.XLOOKUP(D1167,Insumos!B:B,Insumos!C:$C)</f>
        <v>UN</v>
      </c>
      <c r="F1167" s="81">
        <f>0.4803</f>
        <v>0.4803</v>
      </c>
      <c r="G1167" s="87">
        <f t="array" ref="G1167">IF(B1167="insumo",_xlfn.XLOOKUP($D1167,Insumos!$B$1:$B$993,Insumos!$D$1:$D$993),"")</f>
        <v>0.2</v>
      </c>
      <c r="H1167" s="87">
        <v>9.6060000000000006E-2</v>
      </c>
      <c r="I1167" s="79">
        <v>0</v>
      </c>
      <c r="J1167" s="79">
        <v>0</v>
      </c>
      <c r="K1167" s="79"/>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355">
        <v>1</v>
      </c>
      <c r="B1168" s="355" t="s">
        <v>1227</v>
      </c>
      <c r="C1168" s="355" t="s">
        <v>2883</v>
      </c>
      <c r="D1168" s="355" t="s">
        <v>1369</v>
      </c>
      <c r="E1168" s="356"/>
      <c r="F1168" s="357"/>
      <c r="G1168" s="356"/>
      <c r="H1168" s="356">
        <v>0</v>
      </c>
      <c r="I1168" s="357">
        <v>0</v>
      </c>
      <c r="J1168" s="357">
        <v>0</v>
      </c>
      <c r="K1168" s="357"/>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332">
        <v>1</v>
      </c>
      <c r="B1169" s="332" t="s">
        <v>67</v>
      </c>
      <c r="C1169" s="332" t="s">
        <v>398</v>
      </c>
      <c r="D1169" s="332" t="s">
        <v>398</v>
      </c>
      <c r="E1169" s="333" t="s">
        <v>69</v>
      </c>
      <c r="F1169" s="332"/>
      <c r="G1169" s="334" t="str">
        <f t="array" ref="G1169">IF(B1169="insumo",_xlfn.XLOOKUP($D1169,Insumos!$B$1:$B$996,Insumos!$D$1:$D$996),"")</f>
        <v/>
      </c>
      <c r="H1169" s="334">
        <v>377.83639008151602</v>
      </c>
      <c r="I1169" s="335">
        <v>0</v>
      </c>
      <c r="J1169" s="335">
        <v>0</v>
      </c>
      <c r="K1169" s="335"/>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70</v>
      </c>
      <c r="C1170" s="10" t="s">
        <v>398</v>
      </c>
      <c r="D1170" s="10" t="s">
        <v>400</v>
      </c>
      <c r="E1170" s="11" t="str">
        <f t="array" ref="E1170">_xlfn.XLOOKUP(D1170,Insumos!B:B,Insumos!C:$C)</f>
        <v>UN</v>
      </c>
      <c r="F1170" s="14">
        <v>1</v>
      </c>
      <c r="G1170" s="87">
        <f t="array" ref="G1170">IF(B1170="insumo",_xlfn.XLOOKUP($D1170,Insumos!$B$1:$B$996,Insumos!$D$1:$D$996),"")</f>
        <v>377.8363900815155</v>
      </c>
      <c r="H1170" s="87">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332">
        <v>1</v>
      </c>
      <c r="B1171" s="332" t="s">
        <v>67</v>
      </c>
      <c r="C1171" s="332" t="s">
        <v>401</v>
      </c>
      <c r="D1171" s="332" t="s">
        <v>401</v>
      </c>
      <c r="E1171" s="333" t="s">
        <v>69</v>
      </c>
      <c r="F1171" s="332"/>
      <c r="G1171" s="334" t="str">
        <f t="array" ref="G1171">IF(B1171="insumo",_xlfn.XLOOKUP($D1171,Insumos!$B$1:$B$996,Insumos!$D$1:$D$996),"")</f>
        <v/>
      </c>
      <c r="H1171" s="334">
        <v>377.83639008151602</v>
      </c>
      <c r="I1171" s="335">
        <v>0</v>
      </c>
      <c r="J1171" s="335">
        <v>0</v>
      </c>
      <c r="K1171" s="335"/>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70</v>
      </c>
      <c r="C1172" s="10" t="s">
        <v>401</v>
      </c>
      <c r="D1172" s="10" t="s">
        <v>400</v>
      </c>
      <c r="E1172" s="11" t="str">
        <f t="array" ref="E1172">_xlfn.XLOOKUP(D1172,Insumos!B:B,Insumos!C:$C)</f>
        <v>UN</v>
      </c>
      <c r="F1172" s="14">
        <v>1</v>
      </c>
      <c r="G1172" s="87">
        <f t="array" ref="G1172">IF(B1172="insumo",_xlfn.XLOOKUP($D1172,Insumos!$B$1:$B$996,Insumos!$D$1:$D$996),"")</f>
        <v>377.8363900815155</v>
      </c>
      <c r="H1172" s="87">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332">
        <v>1</v>
      </c>
      <c r="B1173" s="332" t="s">
        <v>67</v>
      </c>
      <c r="C1173" s="332" t="s">
        <v>402</v>
      </c>
      <c r="D1173" s="332" t="s">
        <v>402</v>
      </c>
      <c r="E1173" s="333" t="s">
        <v>69</v>
      </c>
      <c r="F1173" s="332"/>
      <c r="G1173" s="334" t="str">
        <f t="array" ref="G1173">IF(B1173="insumo",_xlfn.XLOOKUP($D1173,Insumos!$B$1:$B$996,Insumos!$D$1:$D$996),"")</f>
        <v/>
      </c>
      <c r="H1173" s="334">
        <v>58.988734923708698</v>
      </c>
      <c r="I1173" s="335">
        <v>0</v>
      </c>
      <c r="J1173" s="335">
        <v>0</v>
      </c>
      <c r="K1173" s="335"/>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70</v>
      </c>
      <c r="C1174" s="10" t="s">
        <v>402</v>
      </c>
      <c r="D1174" s="10" t="s">
        <v>402</v>
      </c>
      <c r="E1174" s="11" t="str">
        <f t="array" ref="E1174">_xlfn.XLOOKUP(D1174,Insumos!B:B,Insumos!C:$C)</f>
        <v>UN</v>
      </c>
      <c r="F1174" s="14">
        <v>1</v>
      </c>
      <c r="G1174" s="87">
        <f t="array" ref="G1174">IF(B1174="insumo",_xlfn.XLOOKUP($D1174,Insumos!$B$1:$B$996,Insumos!$D$1:$D$996),"")</f>
        <v>58.988734923708691</v>
      </c>
      <c r="H1174" s="87">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336">
        <v>2</v>
      </c>
      <c r="B1175" s="336" t="s">
        <v>67</v>
      </c>
      <c r="C1175" s="336" t="s">
        <v>1707</v>
      </c>
      <c r="D1175" s="336" t="s">
        <v>1707</v>
      </c>
      <c r="E1175" s="337" t="s">
        <v>69</v>
      </c>
      <c r="F1175" s="336"/>
      <c r="G1175" s="338" t="str">
        <f t="array" ref="G1175">IF(B1175="insumo",_xlfn.XLOOKUP($D1175,Insumos!$B$1:$B$996,Insumos!$D$1:$D$996),"")</f>
        <v/>
      </c>
      <c r="H1175" s="338">
        <v>357.32242200000002</v>
      </c>
      <c r="I1175" s="339">
        <v>0</v>
      </c>
      <c r="J1175" s="339">
        <v>0</v>
      </c>
      <c r="K1175" s="339"/>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77">
        <v>86</v>
      </c>
      <c r="B1176" s="77" t="s">
        <v>70</v>
      </c>
      <c r="C1176" s="77" t="s">
        <v>1707</v>
      </c>
      <c r="D1176" s="77" t="s">
        <v>406</v>
      </c>
      <c r="E1176" s="11" t="str">
        <f t="array" ref="E1176">_xlfn.XLOOKUP(D1176,Insumos!B:B,Insumos!C:$C)</f>
        <v>M2</v>
      </c>
      <c r="F1176" s="81">
        <v>1</v>
      </c>
      <c r="G1176" s="87">
        <f t="array" ref="G1176">IF(B1176="insumo",_xlfn.XLOOKUP($D1176,Insumos!$B$1:$B$996,Insumos!$D$1:$D$996),"")</f>
        <v>70</v>
      </c>
      <c r="H1176" s="87">
        <v>70</v>
      </c>
      <c r="I1176" s="79">
        <v>0</v>
      </c>
      <c r="J1176" s="79">
        <v>0</v>
      </c>
      <c r="K1176" s="79"/>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77">
        <v>47</v>
      </c>
      <c r="B1177" s="77" t="s">
        <v>70</v>
      </c>
      <c r="C1177" s="77" t="s">
        <v>1707</v>
      </c>
      <c r="D1177" s="77" t="s">
        <v>407</v>
      </c>
      <c r="E1177" s="11" t="str">
        <f t="array" ref="E1177">_xlfn.XLOOKUP(D1177,Insumos!B:B,Insumos!C:$C)</f>
        <v>M2</v>
      </c>
      <c r="F1177" s="81">
        <v>1.0529999999999999</v>
      </c>
      <c r="G1177" s="87">
        <f t="array" ref="G1177">IF(B1177="insumo",_xlfn.XLOOKUP($D1177,Insumos!$B$1:$B$996,Insumos!$D$1:$D$996),"")</f>
        <v>20.16</v>
      </c>
      <c r="H1177" s="87">
        <v>21.228480000000001</v>
      </c>
      <c r="I1177" s="79">
        <v>0</v>
      </c>
      <c r="J1177" s="79">
        <v>0</v>
      </c>
      <c r="K1177" s="79"/>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77">
        <v>95</v>
      </c>
      <c r="B1178" s="77" t="s">
        <v>70</v>
      </c>
      <c r="C1178" s="77" t="s">
        <v>1707</v>
      </c>
      <c r="D1178" s="77" t="s">
        <v>408</v>
      </c>
      <c r="E1178" s="11" t="str">
        <f t="array" ref="E1178">_xlfn.XLOOKUP(D1178,Insumos!B:B,Insumos!C:$C)</f>
        <v>UN</v>
      </c>
      <c r="F1178" s="81">
        <v>2.48</v>
      </c>
      <c r="G1178" s="87">
        <f t="array" ref="G1178">IF(B1178="insumo",_xlfn.XLOOKUP($D1178,Insumos!$B$1:$B$996,Insumos!$D$1:$D$996),"")</f>
        <v>0.504</v>
      </c>
      <c r="H1178" s="87">
        <v>1.2499199999999999</v>
      </c>
      <c r="I1178" s="79">
        <v>0</v>
      </c>
      <c r="J1178" s="79">
        <v>0</v>
      </c>
      <c r="K1178" s="79"/>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77">
        <v>26</v>
      </c>
      <c r="B1179" s="77" t="s">
        <v>70</v>
      </c>
      <c r="C1179" s="77" t="s">
        <v>1707</v>
      </c>
      <c r="D1179" s="77" t="s">
        <v>409</v>
      </c>
      <c r="E1179" s="11" t="str">
        <f t="array" ref="E1179">_xlfn.XLOOKUP(D1179,Insumos!B:B,Insumos!C:$C)</f>
        <v>M</v>
      </c>
      <c r="F1179" s="81">
        <v>0.76239999999999997</v>
      </c>
      <c r="G1179" s="87">
        <f t="array" ref="G1179">IF(B1179="insumo",_xlfn.XLOOKUP($D1179,Insumos!$B$1:$B$996,Insumos!$D$1:$D$996),"")</f>
        <v>7.03</v>
      </c>
      <c r="H1179" s="87">
        <v>5.3596719999999998</v>
      </c>
      <c r="I1179" s="79">
        <v>0</v>
      </c>
      <c r="J1179" s="79">
        <v>0</v>
      </c>
      <c r="K1179" s="79"/>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77">
        <v>26</v>
      </c>
      <c r="B1180" s="77" t="s">
        <v>70</v>
      </c>
      <c r="C1180" s="77" t="s">
        <v>1707</v>
      </c>
      <c r="D1180" s="77" t="s">
        <v>410</v>
      </c>
      <c r="E1180" s="11" t="str">
        <f t="array" ref="E1180">_xlfn.XLOOKUP(D1180,Insumos!B:B,Insumos!C:$C)</f>
        <v>M</v>
      </c>
      <c r="F1180" s="81">
        <v>2.0005999999999999</v>
      </c>
      <c r="G1180" s="87">
        <f t="array" ref="G1180">IF(B1180="insumo",_xlfn.XLOOKUP($D1180,Insumos!$B$1:$B$996,Insumos!$D$1:$D$996),"")</f>
        <v>7.98</v>
      </c>
      <c r="H1180" s="87">
        <v>15.964788</v>
      </c>
      <c r="I1180" s="79">
        <v>0</v>
      </c>
      <c r="J1180" s="79">
        <v>0</v>
      </c>
      <c r="K1180" s="79"/>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77">
        <v>95</v>
      </c>
      <c r="B1181" s="77" t="s">
        <v>70</v>
      </c>
      <c r="C1181" s="77" t="s">
        <v>1707</v>
      </c>
      <c r="D1181" s="77" t="s">
        <v>404</v>
      </c>
      <c r="E1181" s="11" t="str">
        <f t="array" ref="E1181">_xlfn.XLOOKUP(D1181,Insumos!B:B,Insumos!C:$C)</f>
        <v>KG</v>
      </c>
      <c r="F1181" s="81">
        <v>0.54890000000000005</v>
      </c>
      <c r="G1181" s="87">
        <f t="array" ref="G1181">IF(B1181="insumo",_xlfn.XLOOKUP($D1181,Insumos!$B$1:$B$996,Insumos!$D$1:$D$996),"")</f>
        <v>3.43</v>
      </c>
      <c r="H1181" s="87">
        <v>1.882727</v>
      </c>
      <c r="I1181" s="79">
        <v>0</v>
      </c>
      <c r="J1181" s="79">
        <v>0</v>
      </c>
      <c r="K1181" s="79"/>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77">
        <v>94</v>
      </c>
      <c r="B1182" s="77" t="s">
        <v>70</v>
      </c>
      <c r="C1182" s="77" t="s">
        <v>1707</v>
      </c>
      <c r="D1182" s="77" t="s">
        <v>411</v>
      </c>
      <c r="E1182" s="11" t="str">
        <f t="array" ref="E1182">_xlfn.XLOOKUP(D1182,Insumos!B:B,Insumos!C:$C)</f>
        <v>M</v>
      </c>
      <c r="F1182" s="81">
        <v>1.2513000000000001</v>
      </c>
      <c r="G1182" s="87">
        <f t="array" ref="G1182">IF(B1182="insumo",_xlfn.XLOOKUP($D1182,Insumos!$B$1:$B$996,Insumos!$D$1:$D$996),"")</f>
        <v>0.31</v>
      </c>
      <c r="H1182" s="87">
        <v>0.387903</v>
      </c>
      <c r="I1182" s="79">
        <v>0</v>
      </c>
      <c r="J1182" s="79">
        <v>0</v>
      </c>
      <c r="K1182" s="79"/>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77">
        <v>94</v>
      </c>
      <c r="B1183" s="77" t="s">
        <v>70</v>
      </c>
      <c r="C1183" s="77" t="s">
        <v>1707</v>
      </c>
      <c r="D1183" s="77" t="s">
        <v>412</v>
      </c>
      <c r="E1183" s="11" t="str">
        <f t="array" ref="E1183">_xlfn.XLOOKUP(D1183,Insumos!B:B,Insumos!C:$C)</f>
        <v>M</v>
      </c>
      <c r="F1183" s="81">
        <v>0.74070000000000003</v>
      </c>
      <c r="G1183" s="87">
        <f t="array" ref="G1183">IF(B1183="insumo",_xlfn.XLOOKUP($D1183,Insumos!$B$1:$B$996,Insumos!$D$1:$D$996),"")</f>
        <v>2.74</v>
      </c>
      <c r="H1183" s="87">
        <v>2.0295179999999999</v>
      </c>
      <c r="I1183" s="79">
        <v>0</v>
      </c>
      <c r="J1183" s="79">
        <v>0</v>
      </c>
      <c r="K1183" s="79"/>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77">
        <v>97</v>
      </c>
      <c r="B1184" s="77" t="s">
        <v>70</v>
      </c>
      <c r="C1184" s="77" t="s">
        <v>1707</v>
      </c>
      <c r="D1184" s="77" t="s">
        <v>413</v>
      </c>
      <c r="E1184" s="11" t="str">
        <f t="array" ref="E1184">_xlfn.XLOOKUP(D1184,Insumos!B:B,Insumos!C:$C)</f>
        <v>UN</v>
      </c>
      <c r="F1184" s="81">
        <v>10.093400000000001</v>
      </c>
      <c r="G1184" s="87">
        <f t="array" ref="G1184">IF(B1184="insumo",_xlfn.XLOOKUP($D1184,Insumos!$B$1:$B$996,Insumos!$D$1:$D$996),"")</f>
        <v>0.09</v>
      </c>
      <c r="H1184" s="87">
        <v>0.90840600000000005</v>
      </c>
      <c r="I1184" s="79">
        <v>0</v>
      </c>
      <c r="J1184" s="79">
        <v>0</v>
      </c>
      <c r="K1184" s="79"/>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77">
        <v>95</v>
      </c>
      <c r="B1185" s="77" t="s">
        <v>70</v>
      </c>
      <c r="C1185" s="77" t="s">
        <v>1707</v>
      </c>
      <c r="D1185" s="77" t="s">
        <v>414</v>
      </c>
      <c r="E1185" s="11" t="str">
        <f t="array" ref="E1185">_xlfn.XLOOKUP(D1185,Insumos!B:B,Insumos!C:$C)</f>
        <v>UN</v>
      </c>
      <c r="F1185" s="81">
        <v>0.4803</v>
      </c>
      <c r="G1185" s="87">
        <f t="array" ref="G1185">IF(B1185="insumo",_xlfn.XLOOKUP($D1185,Insumos!$B$1:$B$996,Insumos!$D$1:$D$996),"")</f>
        <v>0.2</v>
      </c>
      <c r="H1185" s="87">
        <v>9.6060000000000006E-2</v>
      </c>
      <c r="I1185" s="79">
        <v>0</v>
      </c>
      <c r="J1185" s="79">
        <v>0</v>
      </c>
      <c r="K1185" s="79"/>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332">
        <v>1</v>
      </c>
      <c r="B1186" s="332" t="s">
        <v>67</v>
      </c>
      <c r="C1186" s="332" t="s">
        <v>405</v>
      </c>
      <c r="D1186" s="332" t="s">
        <v>405</v>
      </c>
      <c r="E1186" s="333" t="s">
        <v>69</v>
      </c>
      <c r="F1186" s="332"/>
      <c r="G1186" s="334" t="str">
        <f t="array" ref="G1186">IF(B1186="insumo",_xlfn.XLOOKUP($D1186,Insumos!$B$1:$B$996,Insumos!$D$1:$D$996),"")</f>
        <v/>
      </c>
      <c r="H1186" s="334">
        <v>199.68661633333301</v>
      </c>
      <c r="I1186" s="335">
        <v>0</v>
      </c>
      <c r="J1186" s="335">
        <v>0</v>
      </c>
      <c r="K1186" s="335"/>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70</v>
      </c>
      <c r="C1187" s="10" t="s">
        <v>405</v>
      </c>
      <c r="D1187" s="10" t="s">
        <v>406</v>
      </c>
      <c r="E1187" s="11" t="str">
        <f t="array" ref="E1187">_xlfn.XLOOKUP(D1187,Insumos!B:B,Insumos!C:$C)</f>
        <v>M2</v>
      </c>
      <c r="F1187" s="14">
        <v>1</v>
      </c>
      <c r="G1187" s="87">
        <f t="array" ref="G1187">IF(B1187="insumo",_xlfn.XLOOKUP($D1187,Insumos!$B$1:$B$996,Insumos!$D$1:$D$996),"")</f>
        <v>70</v>
      </c>
      <c r="H1187" s="87">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70</v>
      </c>
      <c r="C1188" s="10" t="s">
        <v>405</v>
      </c>
      <c r="D1188" s="10" t="s">
        <v>407</v>
      </c>
      <c r="E1188" s="11" t="str">
        <f t="array" ref="E1188">_xlfn.XLOOKUP(D1188,Insumos!B:B,Insumos!C:$C)</f>
        <v>M2</v>
      </c>
      <c r="F1188" s="14">
        <v>2.1059999999999999</v>
      </c>
      <c r="G1188" s="87">
        <f t="array" ref="G1188">IF(B1188="insumo",_xlfn.XLOOKUP($D1188,Insumos!$B$1:$B$996,Insumos!$D$1:$D$996),"")</f>
        <v>20.16</v>
      </c>
      <c r="H1188" s="87">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70</v>
      </c>
      <c r="C1189" s="10" t="s">
        <v>405</v>
      </c>
      <c r="D1189" s="10" t="s">
        <v>408</v>
      </c>
      <c r="E1189" s="11" t="str">
        <f t="array" ref="E1189">_xlfn.XLOOKUP(D1189,Insumos!B:B,Insumos!C:$C)</f>
        <v>UN</v>
      </c>
      <c r="F1189" s="14">
        <v>5.92</v>
      </c>
      <c r="G1189" s="87">
        <f t="array" ref="G1189">IF(B1189="insumo",_xlfn.XLOOKUP($D1189,Insumos!$B$1:$B$996,Insumos!$D$1:$D$996),"")</f>
        <v>0.504</v>
      </c>
      <c r="H1189" s="87">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70</v>
      </c>
      <c r="C1190" s="10" t="s">
        <v>405</v>
      </c>
      <c r="D1190" s="10" t="s">
        <v>409</v>
      </c>
      <c r="E1190" s="11" t="str">
        <f t="array" ref="E1190">_xlfn.XLOOKUP(D1190,Insumos!B:B,Insumos!C:$C)</f>
        <v>M</v>
      </c>
      <c r="F1190" s="14">
        <v>1.8233999999999999</v>
      </c>
      <c r="G1190" s="87">
        <f t="array" ref="G1190">IF(B1190="insumo",_xlfn.XLOOKUP($D1190,Insumos!$B$1:$B$996,Insumos!$D$1:$D$996),"")</f>
        <v>7.03</v>
      </c>
      <c r="H1190" s="87">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70</v>
      </c>
      <c r="C1191" s="10" t="s">
        <v>405</v>
      </c>
      <c r="D1191" s="10" t="s">
        <v>410</v>
      </c>
      <c r="E1191" s="11" t="str">
        <f t="array" ref="E1191">_xlfn.XLOOKUP(D1191,Insumos!B:B,Insumos!C:$C)</f>
        <v>M</v>
      </c>
      <c r="F1191" s="14">
        <v>5.8277999999999999</v>
      </c>
      <c r="G1191" s="87">
        <f t="array" ref="G1191">IF(B1191="insumo",_xlfn.XLOOKUP($D1191,Insumos!$B$1:$B$996,Insumos!$D$1:$D$996),"")</f>
        <v>7.98</v>
      </c>
      <c r="H1191" s="87">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70</v>
      </c>
      <c r="C1192" s="10" t="s">
        <v>405</v>
      </c>
      <c r="D1192" s="10" t="s">
        <v>404</v>
      </c>
      <c r="E1192" s="11" t="str">
        <f t="array" ref="E1192">_xlfn.XLOOKUP(D1192,Insumos!B:B,Insumos!C:$C)</f>
        <v>KG</v>
      </c>
      <c r="F1192" s="14">
        <v>1.0978000000000001</v>
      </c>
      <c r="G1192" s="87">
        <f t="array" ref="G1192">IF(B1192="insumo",_xlfn.XLOOKUP($D1192,Insumos!$B$1:$B$996,Insumos!$D$1:$D$996),"")</f>
        <v>3.43</v>
      </c>
      <c r="H1192" s="87">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70</v>
      </c>
      <c r="C1193" s="10" t="s">
        <v>405</v>
      </c>
      <c r="D1193" s="10" t="s">
        <v>411</v>
      </c>
      <c r="E1193" s="11" t="str">
        <f t="array" ref="E1193">_xlfn.XLOOKUP(D1193,Insumos!B:B,Insumos!C:$C)</f>
        <v>M</v>
      </c>
      <c r="F1193" s="14">
        <v>2.5026999999999999</v>
      </c>
      <c r="G1193" s="87">
        <f t="array" ref="G1193">IF(B1193="insumo",_xlfn.XLOOKUP($D1193,Insumos!$B$1:$B$996,Insumos!$D$1:$D$996),"")</f>
        <v>0.31</v>
      </c>
      <c r="H1193" s="87">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70</v>
      </c>
      <c r="C1194" s="10" t="s">
        <v>405</v>
      </c>
      <c r="D1194" s="10" t="s">
        <v>412</v>
      </c>
      <c r="E1194" s="11" t="str">
        <f t="array" ref="E1194">_xlfn.XLOOKUP(D1194,Insumos!B:B,Insumos!C:$C)</f>
        <v>M</v>
      </c>
      <c r="F1194" s="14">
        <v>1.5851</v>
      </c>
      <c r="G1194" s="87">
        <f t="array" ref="G1194">IF(B1194="insumo",_xlfn.XLOOKUP($D1194,Insumos!$B$1:$B$996,Insumos!$D$1:$D$996),"")</f>
        <v>2.74</v>
      </c>
      <c r="H1194" s="87">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70</v>
      </c>
      <c r="C1195" s="10" t="s">
        <v>405</v>
      </c>
      <c r="D1195" s="10" t="s">
        <v>413</v>
      </c>
      <c r="E1195" s="11" t="str">
        <f t="array" ref="E1195">_xlfn.XLOOKUP(D1195,Insumos!B:B,Insumos!C:$C)</f>
        <v>UN</v>
      </c>
      <c r="F1195" s="14">
        <v>20.186800000000002</v>
      </c>
      <c r="G1195" s="87">
        <f t="array" ref="G1195">IF(B1195="insumo",_xlfn.XLOOKUP($D1195,Insumos!$B$1:$B$996,Insumos!$D$1:$D$996),"")</f>
        <v>0.09</v>
      </c>
      <c r="H1195" s="87">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70</v>
      </c>
      <c r="C1196" s="10" t="s">
        <v>405</v>
      </c>
      <c r="D1196" s="10" t="s">
        <v>414</v>
      </c>
      <c r="E1196" s="11" t="str">
        <f t="array" ref="E1196">_xlfn.XLOOKUP(D1196,Insumos!B:B,Insumos!C:$C)</f>
        <v>UN</v>
      </c>
      <c r="F1196" s="14">
        <v>0.54410000000000003</v>
      </c>
      <c r="G1196" s="87">
        <f t="array" ref="G1196">IF(B1196="insumo",_xlfn.XLOOKUP($D1196,Insumos!$B$1:$B$996,Insumos!$D$1:$D$996),"")</f>
        <v>0.2</v>
      </c>
      <c r="H1196" s="87">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70</v>
      </c>
      <c r="C1197" s="10" t="s">
        <v>405</v>
      </c>
      <c r="D1197" s="10" t="s">
        <v>415</v>
      </c>
      <c r="E1197" s="11" t="str">
        <f t="array" ref="E1197">_xlfn.XLOOKUP(D1197,Insumos!B:B,Insumos!C:$C)</f>
        <v>M2</v>
      </c>
      <c r="F1197" s="14">
        <v>1.1000000000000001</v>
      </c>
      <c r="G1197" s="87">
        <f t="array" ref="G1197">IF(B1197="insumo",_xlfn.XLOOKUP($D1197,Insumos!$B$1:$B$996,Insumos!$D$1:$D$996),"")</f>
        <v>12.828666666666667</v>
      </c>
      <c r="H1197" s="87">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336">
        <v>2</v>
      </c>
      <c r="B1198" s="336" t="s">
        <v>67</v>
      </c>
      <c r="C1198" s="336" t="s">
        <v>1707</v>
      </c>
      <c r="D1198" s="336" t="s">
        <v>1707</v>
      </c>
      <c r="E1198" s="337" t="s">
        <v>69</v>
      </c>
      <c r="F1198" s="336"/>
      <c r="G1198" s="338" t="str">
        <f t="array" ref="G1198">IF(B1198="insumo",_xlfn.XLOOKUP($D1198,Insumos!$B$1:$B$996,Insumos!$D$1:$D$996),"")</f>
        <v/>
      </c>
      <c r="H1198" s="338">
        <v>119.107474</v>
      </c>
      <c r="I1198" s="339">
        <v>0</v>
      </c>
      <c r="J1198" s="339">
        <v>0</v>
      </c>
      <c r="K1198" s="339"/>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77">
        <v>86</v>
      </c>
      <c r="B1199" s="77" t="s">
        <v>70</v>
      </c>
      <c r="C1199" s="77" t="s">
        <v>1707</v>
      </c>
      <c r="D1199" s="77" t="s">
        <v>406</v>
      </c>
      <c r="E1199" s="11" t="str">
        <f t="array" ref="E1199">_xlfn.XLOOKUP(D1199,Insumos!B:B,Insumos!C:$C)</f>
        <v>M2</v>
      </c>
      <c r="F1199" s="81">
        <v>1</v>
      </c>
      <c r="G1199" s="87">
        <f t="array" ref="G1199">IF(B1199="insumo",_xlfn.XLOOKUP($D1199,Insumos!$B$1:$B$996,Insumos!$D$1:$D$996),"")</f>
        <v>70</v>
      </c>
      <c r="H1199" s="87">
        <v>70</v>
      </c>
      <c r="I1199" s="79">
        <v>0</v>
      </c>
      <c r="J1199" s="79">
        <v>0</v>
      </c>
      <c r="K1199" s="79"/>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77">
        <v>47</v>
      </c>
      <c r="B1200" s="77" t="s">
        <v>70</v>
      </c>
      <c r="C1200" s="77" t="s">
        <v>1707</v>
      </c>
      <c r="D1200" s="77" t="s">
        <v>407</v>
      </c>
      <c r="E1200" s="11" t="str">
        <f t="array" ref="E1200">_xlfn.XLOOKUP(D1200,Insumos!B:B,Insumos!C:$C)</f>
        <v>M2</v>
      </c>
      <c r="F1200" s="81">
        <v>1.0529999999999999</v>
      </c>
      <c r="G1200" s="87">
        <f t="array" ref="G1200">IF(B1200="insumo",_xlfn.XLOOKUP($D1200,Insumos!$B$1:$B$996,Insumos!$D$1:$D$996),"")</f>
        <v>20.16</v>
      </c>
      <c r="H1200" s="87">
        <v>21.228480000000001</v>
      </c>
      <c r="I1200" s="79">
        <v>0</v>
      </c>
      <c r="J1200" s="79">
        <v>0</v>
      </c>
      <c r="K1200" s="79"/>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77">
        <v>95</v>
      </c>
      <c r="B1201" s="77" t="s">
        <v>70</v>
      </c>
      <c r="C1201" s="77" t="s">
        <v>1707</v>
      </c>
      <c r="D1201" s="77" t="s">
        <v>408</v>
      </c>
      <c r="E1201" s="11" t="str">
        <f t="array" ref="E1201">_xlfn.XLOOKUP(D1201,Insumos!B:B,Insumos!C:$C)</f>
        <v>UN</v>
      </c>
      <c r="F1201" s="81">
        <v>2.48</v>
      </c>
      <c r="G1201" s="87">
        <f t="array" ref="G1201">IF(B1201="insumo",_xlfn.XLOOKUP($D1201,Insumos!$B$1:$B$996,Insumos!$D$1:$D$996),"")</f>
        <v>0.504</v>
      </c>
      <c r="H1201" s="87">
        <v>1.2499199999999999</v>
      </c>
      <c r="I1201" s="79">
        <v>0</v>
      </c>
      <c r="J1201" s="79">
        <v>0</v>
      </c>
      <c r="K1201" s="79"/>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77">
        <v>26</v>
      </c>
      <c r="B1202" s="77" t="s">
        <v>70</v>
      </c>
      <c r="C1202" s="77" t="s">
        <v>1707</v>
      </c>
      <c r="D1202" s="77" t="s">
        <v>409</v>
      </c>
      <c r="E1202" s="11" t="str">
        <f t="array" ref="E1202">_xlfn.XLOOKUP(D1202,Insumos!B:B,Insumos!C:$C)</f>
        <v>M</v>
      </c>
      <c r="F1202" s="81">
        <v>0.76239999999999997</v>
      </c>
      <c r="G1202" s="87">
        <f t="array" ref="G1202">IF(B1202="insumo",_xlfn.XLOOKUP($D1202,Insumos!$B$1:$B$996,Insumos!$D$1:$D$996),"")</f>
        <v>7.03</v>
      </c>
      <c r="H1202" s="87">
        <v>5.3596719999999998</v>
      </c>
      <c r="I1202" s="79">
        <v>0</v>
      </c>
      <c r="J1202" s="79">
        <v>0</v>
      </c>
      <c r="K1202" s="79"/>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77">
        <v>26</v>
      </c>
      <c r="B1203" s="77" t="s">
        <v>70</v>
      </c>
      <c r="C1203" s="77" t="s">
        <v>1707</v>
      </c>
      <c r="D1203" s="77" t="s">
        <v>410</v>
      </c>
      <c r="E1203" s="11" t="str">
        <f t="array" ref="E1203">_xlfn.XLOOKUP(D1203,Insumos!B:B,Insumos!C:$C)</f>
        <v>M</v>
      </c>
      <c r="F1203" s="81">
        <v>2.0005999999999999</v>
      </c>
      <c r="G1203" s="87">
        <f t="array" ref="G1203">IF(B1203="insumo",_xlfn.XLOOKUP($D1203,Insumos!$B$1:$B$996,Insumos!$D$1:$D$996),"")</f>
        <v>7.98</v>
      </c>
      <c r="H1203" s="87">
        <v>15.964788</v>
      </c>
      <c r="I1203" s="79">
        <v>0</v>
      </c>
      <c r="J1203" s="79">
        <v>0</v>
      </c>
      <c r="K1203" s="79"/>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77">
        <v>95</v>
      </c>
      <c r="B1204" s="77" t="s">
        <v>70</v>
      </c>
      <c r="C1204" s="77" t="s">
        <v>1707</v>
      </c>
      <c r="D1204" s="77" t="s">
        <v>404</v>
      </c>
      <c r="E1204" s="11" t="str">
        <f t="array" ref="E1204">_xlfn.XLOOKUP(D1204,Insumos!B:B,Insumos!C:$C)</f>
        <v>KG</v>
      </c>
      <c r="F1204" s="81">
        <v>0.54890000000000005</v>
      </c>
      <c r="G1204" s="87">
        <f t="array" ref="G1204">IF(B1204="insumo",_xlfn.XLOOKUP($D1204,Insumos!$B$1:$B$996,Insumos!$D$1:$D$996),"")</f>
        <v>3.43</v>
      </c>
      <c r="H1204" s="87">
        <v>1.882727</v>
      </c>
      <c r="I1204" s="79">
        <v>0</v>
      </c>
      <c r="J1204" s="79">
        <v>0</v>
      </c>
      <c r="K1204" s="79"/>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77">
        <v>94</v>
      </c>
      <c r="B1205" s="77" t="s">
        <v>70</v>
      </c>
      <c r="C1205" s="77" t="s">
        <v>1707</v>
      </c>
      <c r="D1205" s="77" t="s">
        <v>411</v>
      </c>
      <c r="E1205" s="11" t="str">
        <f t="array" ref="E1205">_xlfn.XLOOKUP(D1205,Insumos!B:B,Insumos!C:$C)</f>
        <v>M</v>
      </c>
      <c r="F1205" s="81">
        <v>1.2513000000000001</v>
      </c>
      <c r="G1205" s="87">
        <f t="array" ref="G1205">IF(B1205="insumo",_xlfn.XLOOKUP($D1205,Insumos!$B$1:$B$996,Insumos!$D$1:$D$996),"")</f>
        <v>0.31</v>
      </c>
      <c r="H1205" s="87">
        <v>0.387903</v>
      </c>
      <c r="I1205" s="79">
        <v>0</v>
      </c>
      <c r="J1205" s="79">
        <v>0</v>
      </c>
      <c r="K1205" s="79"/>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77">
        <v>94</v>
      </c>
      <c r="B1206" s="77" t="s">
        <v>70</v>
      </c>
      <c r="C1206" s="77" t="s">
        <v>1707</v>
      </c>
      <c r="D1206" s="77" t="s">
        <v>412</v>
      </c>
      <c r="E1206" s="11" t="str">
        <f t="array" ref="E1206">_xlfn.XLOOKUP(D1206,Insumos!B:B,Insumos!C:$C)</f>
        <v>M</v>
      </c>
      <c r="F1206" s="81">
        <v>0.74070000000000003</v>
      </c>
      <c r="G1206" s="87">
        <f t="array" ref="G1206">IF(B1206="insumo",_xlfn.XLOOKUP($D1206,Insumos!$B$1:$B$996,Insumos!$D$1:$D$996),"")</f>
        <v>2.74</v>
      </c>
      <c r="H1206" s="87">
        <v>2.0295179999999999</v>
      </c>
      <c r="I1206" s="79">
        <v>0</v>
      </c>
      <c r="J1206" s="79">
        <v>0</v>
      </c>
      <c r="K1206" s="79"/>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77">
        <v>97</v>
      </c>
      <c r="B1207" s="77" t="s">
        <v>70</v>
      </c>
      <c r="C1207" s="77" t="s">
        <v>1707</v>
      </c>
      <c r="D1207" s="77" t="s">
        <v>413</v>
      </c>
      <c r="E1207" s="11" t="str">
        <f t="array" ref="E1207">_xlfn.XLOOKUP(D1207,Insumos!B:B,Insumos!C:$C)</f>
        <v>UN</v>
      </c>
      <c r="F1207" s="81">
        <v>10.093400000000001</v>
      </c>
      <c r="G1207" s="87">
        <f t="array" ref="G1207">IF(B1207="insumo",_xlfn.XLOOKUP($D1207,Insumos!$B$1:$B$996,Insumos!$D$1:$D$996),"")</f>
        <v>0.09</v>
      </c>
      <c r="H1207" s="87">
        <v>0.90840600000000005</v>
      </c>
      <c r="I1207" s="79">
        <v>0</v>
      </c>
      <c r="J1207" s="79">
        <v>0</v>
      </c>
      <c r="K1207" s="79"/>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77">
        <v>95</v>
      </c>
      <c r="B1208" s="77" t="s">
        <v>70</v>
      </c>
      <c r="C1208" s="77" t="s">
        <v>1707</v>
      </c>
      <c r="D1208" s="77" t="s">
        <v>414</v>
      </c>
      <c r="E1208" s="11" t="str">
        <f t="array" ref="E1208">_xlfn.XLOOKUP(D1208,Insumos!B:B,Insumos!C:$C)</f>
        <v>UN</v>
      </c>
      <c r="F1208" s="81">
        <v>0.4803</v>
      </c>
      <c r="G1208" s="87">
        <f t="array" ref="G1208">IF(B1208="insumo",_xlfn.XLOOKUP($D1208,Insumos!$B$1:$B$996,Insumos!$D$1:$D$996),"")</f>
        <v>0.2</v>
      </c>
      <c r="H1208" s="87">
        <v>9.6060000000000006E-2</v>
      </c>
      <c r="I1208" s="79">
        <v>0</v>
      </c>
      <c r="J1208" s="79">
        <v>0</v>
      </c>
      <c r="K1208" s="79"/>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336">
        <v>1</v>
      </c>
      <c r="B1209" s="336" t="s">
        <v>67</v>
      </c>
      <c r="C1209" s="336" t="s">
        <v>1708</v>
      </c>
      <c r="D1209" s="336" t="s">
        <v>1708</v>
      </c>
      <c r="E1209" s="337" t="s">
        <v>69</v>
      </c>
      <c r="F1209" s="336"/>
      <c r="G1209" s="338" t="str">
        <f t="array" ref="G1209">IF(B1209="insumo",_xlfn.XLOOKUP($D1209,Insumos!$B$1:$B$996,Insumos!$D$1:$D$996),"")</f>
        <v/>
      </c>
      <c r="H1209" s="338">
        <v>126.415294</v>
      </c>
      <c r="I1209" s="339">
        <v>0</v>
      </c>
      <c r="J1209" s="339">
        <v>0</v>
      </c>
      <c r="K1209" s="339"/>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77">
        <v>86</v>
      </c>
      <c r="B1210" s="77" t="s">
        <v>70</v>
      </c>
      <c r="C1210" s="77" t="s">
        <v>1708</v>
      </c>
      <c r="D1210" s="77" t="s">
        <v>406</v>
      </c>
      <c r="E1210" s="11" t="str">
        <f t="array" ref="E1210">_xlfn.XLOOKUP(D1210,Insumos!B:B,Insumos!C:$C)</f>
        <v>M2</v>
      </c>
      <c r="F1210" s="81">
        <v>1</v>
      </c>
      <c r="G1210" s="87">
        <f t="array" ref="G1210">IF(B1210="insumo",_xlfn.XLOOKUP($D1210,Insumos!$B$1:$B$996,Insumos!$D$1:$D$996),"")</f>
        <v>70</v>
      </c>
      <c r="H1210" s="87">
        <v>70</v>
      </c>
      <c r="I1210" s="79">
        <v>0</v>
      </c>
      <c r="J1210" s="79">
        <v>0</v>
      </c>
      <c r="K1210" s="79"/>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77">
        <v>49</v>
      </c>
      <c r="B1211" s="77" t="s">
        <v>70</v>
      </c>
      <c r="C1211" s="77" t="s">
        <v>1708</v>
      </c>
      <c r="D1211" s="77" t="s">
        <v>417</v>
      </c>
      <c r="E1211" s="11" t="str">
        <f t="array" ref="E1211">_xlfn.XLOOKUP(D1211,Insumos!B:B,Insumos!C:$C)</f>
        <v>M2</v>
      </c>
      <c r="F1211" s="81">
        <v>1.0529999999999999</v>
      </c>
      <c r="G1211" s="87">
        <f t="array" ref="G1211">IF(B1211="insumo",_xlfn.XLOOKUP($D1211,Insumos!$B$1:$B$996,Insumos!$D$1:$D$996),"")</f>
        <v>27.1</v>
      </c>
      <c r="H1211" s="87">
        <v>28.536300000000001</v>
      </c>
      <c r="I1211" s="79">
        <v>0</v>
      </c>
      <c r="J1211" s="79">
        <v>0</v>
      </c>
      <c r="K1211" s="79"/>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77">
        <v>95</v>
      </c>
      <c r="B1212" s="77" t="s">
        <v>70</v>
      </c>
      <c r="C1212" s="77" t="s">
        <v>1708</v>
      </c>
      <c r="D1212" s="77" t="s">
        <v>408</v>
      </c>
      <c r="E1212" s="11" t="str">
        <f t="array" ref="E1212">_xlfn.XLOOKUP(D1212,Insumos!B:B,Insumos!C:$C)</f>
        <v>UN</v>
      </c>
      <c r="F1212" s="81">
        <v>2.48</v>
      </c>
      <c r="G1212" s="87">
        <f t="array" ref="G1212">IF(B1212="insumo",_xlfn.XLOOKUP($D1212,Insumos!$B$1:$B$996,Insumos!$D$1:$D$996),"")</f>
        <v>0.504</v>
      </c>
      <c r="H1212" s="87">
        <v>1.2499199999999999</v>
      </c>
      <c r="I1212" s="79">
        <v>0</v>
      </c>
      <c r="J1212" s="79">
        <v>0</v>
      </c>
      <c r="K1212" s="79"/>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77">
        <v>26</v>
      </c>
      <c r="B1213" s="77" t="s">
        <v>70</v>
      </c>
      <c r="C1213" s="77" t="s">
        <v>1708</v>
      </c>
      <c r="D1213" s="77" t="s">
        <v>409</v>
      </c>
      <c r="E1213" s="11" t="str">
        <f t="array" ref="E1213">_xlfn.XLOOKUP(D1213,Insumos!B:B,Insumos!C:$C)</f>
        <v>M</v>
      </c>
      <c r="F1213" s="81">
        <v>0.76239999999999997</v>
      </c>
      <c r="G1213" s="87">
        <f t="array" ref="G1213">IF(B1213="insumo",_xlfn.XLOOKUP($D1213,Insumos!$B$1:$B$996,Insumos!$D$1:$D$996),"")</f>
        <v>7.03</v>
      </c>
      <c r="H1213" s="87">
        <v>5.3596719999999998</v>
      </c>
      <c r="I1213" s="79">
        <v>0</v>
      </c>
      <c r="J1213" s="79">
        <v>0</v>
      </c>
      <c r="K1213" s="79"/>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77">
        <v>26</v>
      </c>
      <c r="B1214" s="77" t="s">
        <v>70</v>
      </c>
      <c r="C1214" s="77" t="s">
        <v>1708</v>
      </c>
      <c r="D1214" s="77" t="s">
        <v>410</v>
      </c>
      <c r="E1214" s="11" t="str">
        <f t="array" ref="E1214">_xlfn.XLOOKUP(D1214,Insumos!B:B,Insumos!C:$C)</f>
        <v>M</v>
      </c>
      <c r="F1214" s="81">
        <v>2.0005999999999999</v>
      </c>
      <c r="G1214" s="87">
        <f t="array" ref="G1214">IF(B1214="insumo",_xlfn.XLOOKUP($D1214,Insumos!$B$1:$B$996,Insumos!$D$1:$D$996),"")</f>
        <v>7.98</v>
      </c>
      <c r="H1214" s="87">
        <v>15.964788</v>
      </c>
      <c r="I1214" s="79">
        <v>0</v>
      </c>
      <c r="J1214" s="79">
        <v>0</v>
      </c>
      <c r="K1214" s="79"/>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77">
        <v>95</v>
      </c>
      <c r="B1215" s="77" t="s">
        <v>70</v>
      </c>
      <c r="C1215" s="77" t="s">
        <v>1708</v>
      </c>
      <c r="D1215" s="77" t="s">
        <v>404</v>
      </c>
      <c r="E1215" s="11" t="str">
        <f t="array" ref="E1215">_xlfn.XLOOKUP(D1215,Insumos!B:B,Insumos!C:$C)</f>
        <v>KG</v>
      </c>
      <c r="F1215" s="81">
        <v>0.54890000000000005</v>
      </c>
      <c r="G1215" s="87">
        <f t="array" ref="G1215">IF(B1215="insumo",_xlfn.XLOOKUP($D1215,Insumos!$B$1:$B$996,Insumos!$D$1:$D$996),"")</f>
        <v>3.43</v>
      </c>
      <c r="H1215" s="87">
        <v>1.882727</v>
      </c>
      <c r="I1215" s="79">
        <v>0</v>
      </c>
      <c r="J1215" s="79">
        <v>0</v>
      </c>
      <c r="K1215" s="79"/>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77">
        <v>94</v>
      </c>
      <c r="B1216" s="77" t="s">
        <v>70</v>
      </c>
      <c r="C1216" s="77" t="s">
        <v>1708</v>
      </c>
      <c r="D1216" s="77" t="s">
        <v>411</v>
      </c>
      <c r="E1216" s="11" t="str">
        <f t="array" ref="E1216">_xlfn.XLOOKUP(D1216,Insumos!B:B,Insumos!C:$C)</f>
        <v>M</v>
      </c>
      <c r="F1216" s="81">
        <v>1.2513000000000001</v>
      </c>
      <c r="G1216" s="87">
        <f t="array" ref="G1216">IF(B1216="insumo",_xlfn.XLOOKUP($D1216,Insumos!$B$1:$B$996,Insumos!$D$1:$D$996),"")</f>
        <v>0.31</v>
      </c>
      <c r="H1216" s="87">
        <v>0.387903</v>
      </c>
      <c r="I1216" s="79">
        <v>0</v>
      </c>
      <c r="J1216" s="79">
        <v>0</v>
      </c>
      <c r="K1216" s="79"/>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77">
        <v>94</v>
      </c>
      <c r="B1217" s="77" t="s">
        <v>70</v>
      </c>
      <c r="C1217" s="77" t="s">
        <v>1708</v>
      </c>
      <c r="D1217" s="77" t="s">
        <v>412</v>
      </c>
      <c r="E1217" s="11" t="str">
        <f t="array" ref="E1217">_xlfn.XLOOKUP(D1217,Insumos!B:B,Insumos!C:$C)</f>
        <v>M</v>
      </c>
      <c r="F1217" s="81">
        <v>0.74070000000000003</v>
      </c>
      <c r="G1217" s="87">
        <f t="array" ref="G1217">IF(B1217="insumo",_xlfn.XLOOKUP($D1217,Insumos!$B$1:$B$996,Insumos!$D$1:$D$996),"")</f>
        <v>2.74</v>
      </c>
      <c r="H1217" s="87">
        <v>2.0295179999999999</v>
      </c>
      <c r="I1217" s="79">
        <v>0</v>
      </c>
      <c r="J1217" s="79">
        <v>0</v>
      </c>
      <c r="K1217" s="79"/>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77">
        <v>97</v>
      </c>
      <c r="B1218" s="77" t="s">
        <v>70</v>
      </c>
      <c r="C1218" s="77" t="s">
        <v>1708</v>
      </c>
      <c r="D1218" s="77" t="s">
        <v>413</v>
      </c>
      <c r="E1218" s="11" t="str">
        <f t="array" ref="E1218">_xlfn.XLOOKUP(D1218,Insumos!B:B,Insumos!C:$C)</f>
        <v>UN</v>
      </c>
      <c r="F1218" s="81">
        <v>10.093400000000001</v>
      </c>
      <c r="G1218" s="87">
        <f t="array" ref="G1218">IF(B1218="insumo",_xlfn.XLOOKUP($D1218,Insumos!$B$1:$B$996,Insumos!$D$1:$D$996),"")</f>
        <v>0.09</v>
      </c>
      <c r="H1218" s="87">
        <v>0.90840600000000005</v>
      </c>
      <c r="I1218" s="79">
        <v>0</v>
      </c>
      <c r="J1218" s="79">
        <v>0</v>
      </c>
      <c r="K1218" s="79"/>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77">
        <v>95</v>
      </c>
      <c r="B1219" s="77" t="s">
        <v>70</v>
      </c>
      <c r="C1219" s="77" t="s">
        <v>1708</v>
      </c>
      <c r="D1219" s="77" t="s">
        <v>414</v>
      </c>
      <c r="E1219" s="11" t="str">
        <f t="array" ref="E1219">_xlfn.XLOOKUP(D1219,Insumos!B:B,Insumos!C:$C)</f>
        <v>UN</v>
      </c>
      <c r="F1219" s="81">
        <v>0.4803</v>
      </c>
      <c r="G1219" s="87">
        <f t="array" ref="G1219">IF(B1219="insumo",_xlfn.XLOOKUP($D1219,Insumos!$B$1:$B$996,Insumos!$D$1:$D$996),"")</f>
        <v>0.2</v>
      </c>
      <c r="H1219" s="87">
        <v>9.6060000000000006E-2</v>
      </c>
      <c r="I1219" s="79">
        <v>0</v>
      </c>
      <c r="J1219" s="79">
        <v>0</v>
      </c>
      <c r="K1219" s="79"/>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336">
        <v>1</v>
      </c>
      <c r="B1220" s="336" t="s">
        <v>67</v>
      </c>
      <c r="C1220" s="336" t="s">
        <v>1709</v>
      </c>
      <c r="D1220" s="336" t="s">
        <v>1709</v>
      </c>
      <c r="E1220" s="337" t="s">
        <v>69</v>
      </c>
      <c r="F1220" s="336"/>
      <c r="G1220" s="338" t="str">
        <f t="array" ref="G1220">IF(B1220="insumo",_xlfn.XLOOKUP($D1220,Insumos!$B$1:$B$996,Insumos!$D$1:$D$996),"")</f>
        <v/>
      </c>
      <c r="H1220" s="338">
        <v>168.11335500000001</v>
      </c>
      <c r="I1220" s="339">
        <v>0</v>
      </c>
      <c r="J1220" s="339">
        <v>0</v>
      </c>
      <c r="K1220" s="339"/>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77">
        <v>86</v>
      </c>
      <c r="B1221" s="77" t="s">
        <v>70</v>
      </c>
      <c r="C1221" s="77" t="s">
        <v>1709</v>
      </c>
      <c r="D1221" s="77" t="s">
        <v>406</v>
      </c>
      <c r="E1221" s="11" t="str">
        <f t="array" ref="E1221">_xlfn.XLOOKUP(D1221,Insumos!B:B,Insumos!C:$C)</f>
        <v>M2</v>
      </c>
      <c r="F1221" s="81">
        <v>1</v>
      </c>
      <c r="G1221" s="87">
        <f t="array" ref="G1221">IF(B1221="insumo",_xlfn.XLOOKUP($D1221,Insumos!$B$1:$B$996,Insumos!$D$1:$D$996),"")</f>
        <v>70</v>
      </c>
      <c r="H1221" s="87">
        <v>70</v>
      </c>
      <c r="I1221" s="79">
        <v>0</v>
      </c>
      <c r="J1221" s="79">
        <v>0</v>
      </c>
      <c r="K1221" s="79"/>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77">
        <v>47</v>
      </c>
      <c r="B1222" s="77" t="s">
        <v>70</v>
      </c>
      <c r="C1222" s="77" t="s">
        <v>1709</v>
      </c>
      <c r="D1222" s="77" t="s">
        <v>407</v>
      </c>
      <c r="E1222" s="11" t="str">
        <f t="array" ref="E1222">_xlfn.XLOOKUP(D1222,Insumos!B:B,Insumos!C:$C)</f>
        <v>M2</v>
      </c>
      <c r="F1222" s="81">
        <v>2.1059999999999999</v>
      </c>
      <c r="G1222" s="87">
        <f t="array" ref="G1222">IF(B1222="insumo",_xlfn.XLOOKUP($D1222,Insumos!$B$1:$B$996,Insumos!$D$1:$D$996),"")</f>
        <v>20.16</v>
      </c>
      <c r="H1222" s="87">
        <v>42.456960000000002</v>
      </c>
      <c r="I1222" s="79">
        <v>0</v>
      </c>
      <c r="J1222" s="79">
        <v>0</v>
      </c>
      <c r="K1222" s="79"/>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77">
        <v>95</v>
      </c>
      <c r="B1223" s="77" t="s">
        <v>70</v>
      </c>
      <c r="C1223" s="77" t="s">
        <v>1709</v>
      </c>
      <c r="D1223" s="77" t="s">
        <v>408</v>
      </c>
      <c r="E1223" s="11" t="str">
        <f t="array" ref="E1223">_xlfn.XLOOKUP(D1223,Insumos!B:B,Insumos!C:$C)</f>
        <v>UN</v>
      </c>
      <c r="F1223" s="81">
        <v>4.95</v>
      </c>
      <c r="G1223" s="87">
        <f t="array" ref="G1223">IF(B1223="insumo",_xlfn.XLOOKUP($D1223,Insumos!$B$1:$B$996,Insumos!$D$1:$D$996),"")</f>
        <v>0.504</v>
      </c>
      <c r="H1223" s="87">
        <v>2.4948000000000001</v>
      </c>
      <c r="I1223" s="79">
        <v>0</v>
      </c>
      <c r="J1223" s="79">
        <v>0</v>
      </c>
      <c r="K1223" s="79"/>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77">
        <v>26</v>
      </c>
      <c r="B1224" s="77" t="s">
        <v>70</v>
      </c>
      <c r="C1224" s="77" t="s">
        <v>1709</v>
      </c>
      <c r="D1224" s="77" t="s">
        <v>409</v>
      </c>
      <c r="E1224" s="11" t="str">
        <f t="array" ref="E1224">_xlfn.XLOOKUP(D1224,Insumos!B:B,Insumos!C:$C)</f>
        <v>M</v>
      </c>
      <c r="F1224" s="81">
        <v>1.5247999999999999</v>
      </c>
      <c r="G1224" s="87">
        <f t="array" ref="G1224">IF(B1224="insumo",_xlfn.XLOOKUP($D1224,Insumos!$B$1:$B$996,Insumos!$D$1:$D$996),"")</f>
        <v>7.03</v>
      </c>
      <c r="H1224" s="87">
        <v>10.719344</v>
      </c>
      <c r="I1224" s="79">
        <v>0</v>
      </c>
      <c r="J1224" s="79">
        <v>0</v>
      </c>
      <c r="K1224" s="79"/>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77">
        <v>26</v>
      </c>
      <c r="B1225" s="77" t="s">
        <v>70</v>
      </c>
      <c r="C1225" s="77" t="s">
        <v>1709</v>
      </c>
      <c r="D1225" s="77" t="s">
        <v>410</v>
      </c>
      <c r="E1225" s="11" t="str">
        <f t="array" ref="E1225">_xlfn.XLOOKUP(D1225,Insumos!B:B,Insumos!C:$C)</f>
        <v>M</v>
      </c>
      <c r="F1225" s="81">
        <v>4.0011000000000001</v>
      </c>
      <c r="G1225" s="87">
        <f t="array" ref="G1225">IF(B1225="insumo",_xlfn.XLOOKUP($D1225,Insumos!$B$1:$B$996,Insumos!$D$1:$D$996),"")</f>
        <v>7.98</v>
      </c>
      <c r="H1225" s="87">
        <v>31.928778000000001</v>
      </c>
      <c r="I1225" s="79">
        <v>0</v>
      </c>
      <c r="J1225" s="79">
        <v>0</v>
      </c>
      <c r="K1225" s="79"/>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77">
        <v>95</v>
      </c>
      <c r="B1226" s="77" t="s">
        <v>70</v>
      </c>
      <c r="C1226" s="77" t="s">
        <v>1709</v>
      </c>
      <c r="D1226" s="77" t="s">
        <v>404</v>
      </c>
      <c r="E1226" s="11" t="str">
        <f t="array" ref="E1226">_xlfn.XLOOKUP(D1226,Insumos!B:B,Insumos!C:$C)</f>
        <v>KG</v>
      </c>
      <c r="F1226" s="81">
        <v>1.0978000000000001</v>
      </c>
      <c r="G1226" s="87">
        <f t="array" ref="G1226">IF(B1226="insumo",_xlfn.XLOOKUP($D1226,Insumos!$B$1:$B$996,Insumos!$D$1:$D$996),"")</f>
        <v>3.43</v>
      </c>
      <c r="H1226" s="87">
        <v>3.7654540000000001</v>
      </c>
      <c r="I1226" s="79">
        <v>0</v>
      </c>
      <c r="J1226" s="79">
        <v>0</v>
      </c>
      <c r="K1226" s="79"/>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77">
        <v>94</v>
      </c>
      <c r="B1227" s="77" t="s">
        <v>70</v>
      </c>
      <c r="C1227" s="77" t="s">
        <v>1709</v>
      </c>
      <c r="D1227" s="77" t="s">
        <v>411</v>
      </c>
      <c r="E1227" s="11" t="str">
        <f t="array" ref="E1227">_xlfn.XLOOKUP(D1227,Insumos!B:B,Insumos!C:$C)</f>
        <v>M</v>
      </c>
      <c r="F1227" s="81">
        <v>2.5026999999999999</v>
      </c>
      <c r="G1227" s="87">
        <f t="array" ref="G1227">IF(B1227="insumo",_xlfn.XLOOKUP($D1227,Insumos!$B$1:$B$996,Insumos!$D$1:$D$996),"")</f>
        <v>0.31</v>
      </c>
      <c r="H1227" s="87">
        <v>0.775837</v>
      </c>
      <c r="I1227" s="79">
        <v>0</v>
      </c>
      <c r="J1227" s="79">
        <v>0</v>
      </c>
      <c r="K1227" s="79"/>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77">
        <v>94</v>
      </c>
      <c r="B1228" s="77" t="s">
        <v>70</v>
      </c>
      <c r="C1228" s="77" t="s">
        <v>1709</v>
      </c>
      <c r="D1228" s="77" t="s">
        <v>412</v>
      </c>
      <c r="E1228" s="11" t="str">
        <f t="array" ref="E1228">_xlfn.XLOOKUP(D1228,Insumos!B:B,Insumos!C:$C)</f>
        <v>M</v>
      </c>
      <c r="F1228" s="81">
        <v>1.4815</v>
      </c>
      <c r="G1228" s="87">
        <f t="array" ref="G1228">IF(B1228="insumo",_xlfn.XLOOKUP($D1228,Insumos!$B$1:$B$996,Insumos!$D$1:$D$996),"")</f>
        <v>2.74</v>
      </c>
      <c r="H1228" s="87">
        <v>4.05931</v>
      </c>
      <c r="I1228" s="79">
        <v>0</v>
      </c>
      <c r="J1228" s="79">
        <v>0</v>
      </c>
      <c r="K1228" s="79"/>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77">
        <v>97</v>
      </c>
      <c r="B1229" s="77" t="s">
        <v>70</v>
      </c>
      <c r="C1229" s="77" t="s">
        <v>1709</v>
      </c>
      <c r="D1229" s="77" t="s">
        <v>413</v>
      </c>
      <c r="E1229" s="11" t="str">
        <f t="array" ref="E1229">_xlfn.XLOOKUP(D1229,Insumos!B:B,Insumos!C:$C)</f>
        <v>UN</v>
      </c>
      <c r="F1229" s="81">
        <v>20.186800000000002</v>
      </c>
      <c r="G1229" s="87">
        <f t="array" ref="G1229">IF(B1229="insumo",_xlfn.XLOOKUP($D1229,Insumos!$B$1:$B$996,Insumos!$D$1:$D$996),"")</f>
        <v>0.09</v>
      </c>
      <c r="H1229" s="87">
        <v>1.8168120000000001</v>
      </c>
      <c r="I1229" s="79">
        <v>0</v>
      </c>
      <c r="J1229" s="79">
        <v>0</v>
      </c>
      <c r="K1229" s="79"/>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77">
        <v>95</v>
      </c>
      <c r="B1230" s="77" t="s">
        <v>70</v>
      </c>
      <c r="C1230" s="77" t="s">
        <v>1709</v>
      </c>
      <c r="D1230" s="77" t="s">
        <v>414</v>
      </c>
      <c r="E1230" s="11" t="str">
        <f t="array" ref="E1230">_xlfn.XLOOKUP(D1230,Insumos!B:B,Insumos!C:$C)</f>
        <v>UN</v>
      </c>
      <c r="F1230" s="81">
        <v>0.4803</v>
      </c>
      <c r="G1230" s="87">
        <f t="array" ref="G1230">IF(B1230="insumo",_xlfn.XLOOKUP($D1230,Insumos!$B$1:$B$996,Insumos!$D$1:$D$996),"")</f>
        <v>0.2</v>
      </c>
      <c r="H1230" s="87">
        <v>9.6060000000000006E-2</v>
      </c>
      <c r="I1230" s="79">
        <v>0</v>
      </c>
      <c r="J1230" s="79">
        <v>0</v>
      </c>
      <c r="K1230" s="79"/>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336">
        <v>1</v>
      </c>
      <c r="B1231" s="336" t="s">
        <v>67</v>
      </c>
      <c r="C1231" s="336" t="s">
        <v>1710</v>
      </c>
      <c r="D1231" s="336" t="s">
        <v>1710</v>
      </c>
      <c r="E1231" s="337" t="s">
        <v>69</v>
      </c>
      <c r="F1231" s="336"/>
      <c r="G1231" s="338" t="str">
        <f t="array" ref="G1231">IF(B1231="insumo",_xlfn.XLOOKUP($D1231,Insumos!$B$1:$B$996,Insumos!$D$1:$D$996),"")</f>
        <v/>
      </c>
      <c r="H1231" s="338">
        <v>182.728995</v>
      </c>
      <c r="I1231" s="339">
        <v>0</v>
      </c>
      <c r="J1231" s="339">
        <v>0</v>
      </c>
      <c r="K1231" s="339"/>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77">
        <v>86</v>
      </c>
      <c r="B1232" s="77" t="s">
        <v>70</v>
      </c>
      <c r="C1232" s="77" t="s">
        <v>1710</v>
      </c>
      <c r="D1232" s="77" t="s">
        <v>406</v>
      </c>
      <c r="E1232" s="11" t="str">
        <f t="array" ref="E1232">_xlfn.XLOOKUP(D1232,Insumos!B:B,Insumos!C:$C)</f>
        <v>M2</v>
      </c>
      <c r="F1232" s="81">
        <v>1</v>
      </c>
      <c r="G1232" s="87">
        <f t="array" ref="G1232">IF(B1232="insumo",_xlfn.XLOOKUP($D1232,Insumos!$B$1:$B$996,Insumos!$D$1:$D$996),"")</f>
        <v>70</v>
      </c>
      <c r="H1232" s="87">
        <v>70</v>
      </c>
      <c r="I1232" s="79">
        <v>0</v>
      </c>
      <c r="J1232" s="79">
        <v>0</v>
      </c>
      <c r="K1232" s="79"/>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77">
        <v>49</v>
      </c>
      <c r="B1233" s="77" t="s">
        <v>70</v>
      </c>
      <c r="C1233" s="77" t="s">
        <v>1710</v>
      </c>
      <c r="D1233" s="77" t="s">
        <v>417</v>
      </c>
      <c r="E1233" s="11" t="str">
        <f t="array" ref="E1233">_xlfn.XLOOKUP(D1233,Insumos!B:B,Insumos!C:$C)</f>
        <v>M2</v>
      </c>
      <c r="F1233" s="81">
        <v>2.1059999999999999</v>
      </c>
      <c r="G1233" s="87">
        <f t="array" ref="G1233">IF(B1233="insumo",_xlfn.XLOOKUP($D1233,Insumos!$B$1:$B$996,Insumos!$D$1:$D$996),"")</f>
        <v>27.1</v>
      </c>
      <c r="H1233" s="87">
        <v>57.072600000000001</v>
      </c>
      <c r="I1233" s="79">
        <v>0</v>
      </c>
      <c r="J1233" s="79">
        <v>0</v>
      </c>
      <c r="K1233" s="79"/>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77">
        <v>95</v>
      </c>
      <c r="B1234" s="77" t="s">
        <v>70</v>
      </c>
      <c r="C1234" s="77" t="s">
        <v>1710</v>
      </c>
      <c r="D1234" s="77" t="s">
        <v>408</v>
      </c>
      <c r="E1234" s="11" t="str">
        <f t="array" ref="E1234">_xlfn.XLOOKUP(D1234,Insumos!B:B,Insumos!C:$C)</f>
        <v>UN</v>
      </c>
      <c r="F1234" s="81">
        <v>4.95</v>
      </c>
      <c r="G1234" s="87">
        <f t="array" ref="G1234">IF(B1234="insumo",_xlfn.XLOOKUP($D1234,Insumos!$B$1:$B$996,Insumos!$D$1:$D$996),"")</f>
        <v>0.504</v>
      </c>
      <c r="H1234" s="87">
        <v>2.4948000000000001</v>
      </c>
      <c r="I1234" s="79">
        <v>0</v>
      </c>
      <c r="J1234" s="79">
        <v>0</v>
      </c>
      <c r="K1234" s="79"/>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77">
        <v>26</v>
      </c>
      <c r="B1235" s="77" t="s">
        <v>70</v>
      </c>
      <c r="C1235" s="77" t="s">
        <v>1710</v>
      </c>
      <c r="D1235" s="77" t="s">
        <v>409</v>
      </c>
      <c r="E1235" s="11" t="str">
        <f t="array" ref="E1235">_xlfn.XLOOKUP(D1235,Insumos!B:B,Insumos!C:$C)</f>
        <v>M</v>
      </c>
      <c r="F1235" s="81">
        <v>1.5247999999999999</v>
      </c>
      <c r="G1235" s="87">
        <f t="array" ref="G1235">IF(B1235="insumo",_xlfn.XLOOKUP($D1235,Insumos!$B$1:$B$996,Insumos!$D$1:$D$996),"")</f>
        <v>7.03</v>
      </c>
      <c r="H1235" s="87">
        <v>10.719344</v>
      </c>
      <c r="I1235" s="79">
        <v>0</v>
      </c>
      <c r="J1235" s="79">
        <v>0</v>
      </c>
      <c r="K1235" s="79"/>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77">
        <v>26</v>
      </c>
      <c r="B1236" s="77" t="s">
        <v>70</v>
      </c>
      <c r="C1236" s="77" t="s">
        <v>1710</v>
      </c>
      <c r="D1236" s="77" t="s">
        <v>410</v>
      </c>
      <c r="E1236" s="11" t="str">
        <f t="array" ref="E1236">_xlfn.XLOOKUP(D1236,Insumos!B:B,Insumos!C:$C)</f>
        <v>M</v>
      </c>
      <c r="F1236" s="81">
        <v>4.0011000000000001</v>
      </c>
      <c r="G1236" s="87">
        <f t="array" ref="G1236">IF(B1236="insumo",_xlfn.XLOOKUP($D1236,Insumos!$B$1:$B$996,Insumos!$D$1:$D$996),"")</f>
        <v>7.98</v>
      </c>
      <c r="H1236" s="87">
        <v>31.928778000000001</v>
      </c>
      <c r="I1236" s="79">
        <v>0</v>
      </c>
      <c r="J1236" s="79">
        <v>0</v>
      </c>
      <c r="K1236" s="79"/>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77">
        <v>95</v>
      </c>
      <c r="B1237" s="77" t="s">
        <v>70</v>
      </c>
      <c r="C1237" s="77" t="s">
        <v>1710</v>
      </c>
      <c r="D1237" s="77" t="s">
        <v>404</v>
      </c>
      <c r="E1237" s="11" t="str">
        <f t="array" ref="E1237">_xlfn.XLOOKUP(D1237,Insumos!B:B,Insumos!C:$C)</f>
        <v>KG</v>
      </c>
      <c r="F1237" s="81">
        <v>1.0978000000000001</v>
      </c>
      <c r="G1237" s="87">
        <f t="array" ref="G1237">IF(B1237="insumo",_xlfn.XLOOKUP($D1237,Insumos!$B$1:$B$996,Insumos!$D$1:$D$996),"")</f>
        <v>3.43</v>
      </c>
      <c r="H1237" s="87">
        <v>3.7654540000000001</v>
      </c>
      <c r="I1237" s="79">
        <v>0</v>
      </c>
      <c r="J1237" s="79">
        <v>0</v>
      </c>
      <c r="K1237" s="79"/>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77">
        <v>94</v>
      </c>
      <c r="B1238" s="77" t="s">
        <v>70</v>
      </c>
      <c r="C1238" s="77" t="s">
        <v>1710</v>
      </c>
      <c r="D1238" s="77" t="s">
        <v>411</v>
      </c>
      <c r="E1238" s="11" t="str">
        <f t="array" ref="E1238">_xlfn.XLOOKUP(D1238,Insumos!B:B,Insumos!C:$C)</f>
        <v>M</v>
      </c>
      <c r="F1238" s="81">
        <v>2.5026999999999999</v>
      </c>
      <c r="G1238" s="87">
        <f t="array" ref="G1238">IF(B1238="insumo",_xlfn.XLOOKUP($D1238,Insumos!$B$1:$B$996,Insumos!$D$1:$D$996),"")</f>
        <v>0.31</v>
      </c>
      <c r="H1238" s="87">
        <v>0.775837</v>
      </c>
      <c r="I1238" s="79">
        <v>0</v>
      </c>
      <c r="J1238" s="79">
        <v>0</v>
      </c>
      <c r="K1238" s="79"/>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77">
        <v>94</v>
      </c>
      <c r="B1239" s="77" t="s">
        <v>70</v>
      </c>
      <c r="C1239" s="77" t="s">
        <v>1710</v>
      </c>
      <c r="D1239" s="77" t="s">
        <v>412</v>
      </c>
      <c r="E1239" s="11" t="str">
        <f t="array" ref="E1239">_xlfn.XLOOKUP(D1239,Insumos!B:B,Insumos!C:$C)</f>
        <v>M</v>
      </c>
      <c r="F1239" s="81">
        <v>1.4815</v>
      </c>
      <c r="G1239" s="87">
        <f t="array" ref="G1239">IF(B1239="insumo",_xlfn.XLOOKUP($D1239,Insumos!$B$1:$B$996,Insumos!$D$1:$D$996),"")</f>
        <v>2.74</v>
      </c>
      <c r="H1239" s="87">
        <v>4.05931</v>
      </c>
      <c r="I1239" s="79">
        <v>0</v>
      </c>
      <c r="J1239" s="79">
        <v>0</v>
      </c>
      <c r="K1239" s="79"/>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77">
        <v>97</v>
      </c>
      <c r="B1240" s="77" t="s">
        <v>70</v>
      </c>
      <c r="C1240" s="77" t="s">
        <v>1710</v>
      </c>
      <c r="D1240" s="77" t="s">
        <v>413</v>
      </c>
      <c r="E1240" s="11" t="str">
        <f t="array" ref="E1240">_xlfn.XLOOKUP(D1240,Insumos!B:B,Insumos!C:$C)</f>
        <v>UN</v>
      </c>
      <c r="F1240" s="81">
        <v>20.186800000000002</v>
      </c>
      <c r="G1240" s="87">
        <f t="array" ref="G1240">IF(B1240="insumo",_xlfn.XLOOKUP($D1240,Insumos!$B$1:$B$996,Insumos!$D$1:$D$996),"")</f>
        <v>0.09</v>
      </c>
      <c r="H1240" s="87">
        <v>1.8168120000000001</v>
      </c>
      <c r="I1240" s="79">
        <v>0</v>
      </c>
      <c r="J1240" s="79">
        <v>0</v>
      </c>
      <c r="K1240" s="79"/>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77">
        <v>95</v>
      </c>
      <c r="B1241" s="77" t="s">
        <v>70</v>
      </c>
      <c r="C1241" s="77" t="s">
        <v>1710</v>
      </c>
      <c r="D1241" s="77" t="s">
        <v>414</v>
      </c>
      <c r="E1241" s="11" t="str">
        <f t="array" ref="E1241">_xlfn.XLOOKUP(D1241,Insumos!B:B,Insumos!C:$C)</f>
        <v>UN</v>
      </c>
      <c r="F1241" s="81">
        <v>0.4803</v>
      </c>
      <c r="G1241" s="87">
        <f t="array" ref="G1241">IF(B1241="insumo",_xlfn.XLOOKUP($D1241,Insumos!$B$1:$B$996,Insumos!$D$1:$D$996),"")</f>
        <v>0.2</v>
      </c>
      <c r="H1241" s="87">
        <v>9.6060000000000006E-2</v>
      </c>
      <c r="I1241" s="79">
        <v>0</v>
      </c>
      <c r="J1241" s="79">
        <v>0</v>
      </c>
      <c r="K1241" s="79"/>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336">
        <v>1</v>
      </c>
      <c r="B1242" s="336" t="s">
        <v>67</v>
      </c>
      <c r="C1242" s="336" t="s">
        <v>1711</v>
      </c>
      <c r="D1242" s="336" t="s">
        <v>1711</v>
      </c>
      <c r="E1242" s="337" t="s">
        <v>69</v>
      </c>
      <c r="F1242" s="336"/>
      <c r="G1242" s="338" t="str">
        <f t="array" ref="G1242">IF(B1242="insumo",_xlfn.XLOOKUP($D1242,Insumos!$B$1:$B$996,Insumos!$D$1:$D$996),"")</f>
        <v/>
      </c>
      <c r="H1242" s="338">
        <v>189.53270833333301</v>
      </c>
      <c r="I1242" s="339">
        <v>0</v>
      </c>
      <c r="J1242" s="339">
        <v>0</v>
      </c>
      <c r="K1242" s="339"/>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77">
        <v>86</v>
      </c>
      <c r="B1243" s="77" t="s">
        <v>70</v>
      </c>
      <c r="C1243" s="77" t="s">
        <v>1711</v>
      </c>
      <c r="D1243" s="77" t="s">
        <v>406</v>
      </c>
      <c r="E1243" s="11" t="str">
        <f t="array" ref="E1243">_xlfn.XLOOKUP(D1243,Insumos!B:B,Insumos!C:$C)</f>
        <v>M2</v>
      </c>
      <c r="F1243" s="81">
        <v>1</v>
      </c>
      <c r="G1243" s="87">
        <f t="array" ref="G1243">IF(B1243="insumo",_xlfn.XLOOKUP($D1243,Insumos!$B$1:$B$996,Insumos!$D$1:$D$996),"")</f>
        <v>70</v>
      </c>
      <c r="H1243" s="87">
        <v>70</v>
      </c>
      <c r="I1243" s="79">
        <v>0</v>
      </c>
      <c r="J1243" s="79">
        <v>0</v>
      </c>
      <c r="K1243" s="79"/>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77">
        <v>47</v>
      </c>
      <c r="B1244" s="77" t="s">
        <v>70</v>
      </c>
      <c r="C1244" s="77" t="s">
        <v>1711</v>
      </c>
      <c r="D1244" s="77" t="s">
        <v>407</v>
      </c>
      <c r="E1244" s="11" t="str">
        <f t="array" ref="E1244">_xlfn.XLOOKUP(D1244,Insumos!B:B,Insumos!C:$C)</f>
        <v>M2</v>
      </c>
      <c r="F1244" s="81">
        <v>1.0529999999999999</v>
      </c>
      <c r="G1244" s="87">
        <f t="array" ref="G1244">IF(B1244="insumo",_xlfn.XLOOKUP($D1244,Insumos!$B$1:$B$996,Insumos!$D$1:$D$996),"")</f>
        <v>20.16</v>
      </c>
      <c r="H1244" s="87">
        <v>21.228480000000001</v>
      </c>
      <c r="I1244" s="79">
        <v>0</v>
      </c>
      <c r="J1244" s="79">
        <v>0</v>
      </c>
      <c r="K1244" s="79"/>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77">
        <v>49</v>
      </c>
      <c r="B1245" s="77" t="s">
        <v>70</v>
      </c>
      <c r="C1245" s="77" t="s">
        <v>1711</v>
      </c>
      <c r="D1245" s="77" t="s">
        <v>417</v>
      </c>
      <c r="E1245" s="11" t="str">
        <f t="array" ref="E1245">_xlfn.XLOOKUP(D1245,Insumos!B:B,Insumos!C:$C)</f>
        <v>M2</v>
      </c>
      <c r="F1245" s="81">
        <v>1.0529999999999999</v>
      </c>
      <c r="G1245" s="87">
        <f t="array" ref="G1245">IF(B1245="insumo",_xlfn.XLOOKUP($D1245,Insumos!$B$1:$B$996,Insumos!$D$1:$D$996),"")</f>
        <v>27.1</v>
      </c>
      <c r="H1245" s="87">
        <v>28.536300000000001</v>
      </c>
      <c r="I1245" s="79">
        <v>0</v>
      </c>
      <c r="J1245" s="79">
        <v>0</v>
      </c>
      <c r="K1245" s="79"/>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77">
        <v>95</v>
      </c>
      <c r="B1246" s="77" t="s">
        <v>70</v>
      </c>
      <c r="C1246" s="77" t="s">
        <v>1711</v>
      </c>
      <c r="D1246" s="77" t="s">
        <v>408</v>
      </c>
      <c r="E1246" s="11" t="str">
        <f t="array" ref="E1246">_xlfn.XLOOKUP(D1246,Insumos!B:B,Insumos!C:$C)</f>
        <v>UN</v>
      </c>
      <c r="F1246" s="81">
        <v>4.95</v>
      </c>
      <c r="G1246" s="87">
        <f t="array" ref="G1246">IF(B1246="insumo",_xlfn.XLOOKUP($D1246,Insumos!$B$1:$B$996,Insumos!$D$1:$D$996),"")</f>
        <v>0.504</v>
      </c>
      <c r="H1246" s="87">
        <v>2.4948000000000001</v>
      </c>
      <c r="I1246" s="79">
        <v>0</v>
      </c>
      <c r="J1246" s="79">
        <v>0</v>
      </c>
      <c r="K1246" s="79"/>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77">
        <v>26</v>
      </c>
      <c r="B1247" s="77" t="s">
        <v>70</v>
      </c>
      <c r="C1247" s="77" t="s">
        <v>1711</v>
      </c>
      <c r="D1247" s="77" t="s">
        <v>409</v>
      </c>
      <c r="E1247" s="11" t="str">
        <f t="array" ref="E1247">_xlfn.XLOOKUP(D1247,Insumos!B:B,Insumos!C:$C)</f>
        <v>M</v>
      </c>
      <c r="F1247" s="81">
        <v>1.5247999999999999</v>
      </c>
      <c r="G1247" s="87">
        <f t="array" ref="G1247">IF(B1247="insumo",_xlfn.XLOOKUP($D1247,Insumos!$B$1:$B$996,Insumos!$D$1:$D$996),"")</f>
        <v>7.03</v>
      </c>
      <c r="H1247" s="87">
        <v>10.719344</v>
      </c>
      <c r="I1247" s="79">
        <v>0</v>
      </c>
      <c r="J1247" s="79">
        <v>0</v>
      </c>
      <c r="K1247" s="79"/>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77">
        <v>26</v>
      </c>
      <c r="B1248" s="77" t="s">
        <v>70</v>
      </c>
      <c r="C1248" s="77" t="s">
        <v>1711</v>
      </c>
      <c r="D1248" s="77" t="s">
        <v>410</v>
      </c>
      <c r="E1248" s="11" t="str">
        <f t="array" ref="E1248">_xlfn.XLOOKUP(D1248,Insumos!B:B,Insumos!C:$C)</f>
        <v>M</v>
      </c>
      <c r="F1248" s="81">
        <v>4.0011000000000001</v>
      </c>
      <c r="G1248" s="87">
        <f t="array" ref="G1248">IF(B1248="insumo",_xlfn.XLOOKUP($D1248,Insumos!$B$1:$B$996,Insumos!$D$1:$D$996),"")</f>
        <v>7.98</v>
      </c>
      <c r="H1248" s="87">
        <v>31.928778000000001</v>
      </c>
      <c r="I1248" s="79">
        <v>0</v>
      </c>
      <c r="J1248" s="79">
        <v>0</v>
      </c>
      <c r="K1248" s="79"/>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77">
        <v>95</v>
      </c>
      <c r="B1249" s="77" t="s">
        <v>70</v>
      </c>
      <c r="C1249" s="77" t="s">
        <v>1711</v>
      </c>
      <c r="D1249" s="77" t="s">
        <v>404</v>
      </c>
      <c r="E1249" s="11" t="str">
        <f t="array" ref="E1249">_xlfn.XLOOKUP(D1249,Insumos!B:B,Insumos!C:$C)</f>
        <v>KG</v>
      </c>
      <c r="F1249" s="81">
        <v>1.0978000000000001</v>
      </c>
      <c r="G1249" s="87">
        <f t="array" ref="G1249">IF(B1249="insumo",_xlfn.XLOOKUP($D1249,Insumos!$B$1:$B$996,Insumos!$D$1:$D$996),"")</f>
        <v>3.43</v>
      </c>
      <c r="H1249" s="87">
        <v>3.7654540000000001</v>
      </c>
      <c r="I1249" s="79">
        <v>0</v>
      </c>
      <c r="J1249" s="79">
        <v>0</v>
      </c>
      <c r="K1249" s="79"/>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77">
        <v>94</v>
      </c>
      <c r="B1250" s="77" t="s">
        <v>70</v>
      </c>
      <c r="C1250" s="77" t="s">
        <v>1711</v>
      </c>
      <c r="D1250" s="77" t="s">
        <v>411</v>
      </c>
      <c r="E1250" s="11" t="str">
        <f t="array" ref="E1250">_xlfn.XLOOKUP(D1250,Insumos!B:B,Insumos!C:$C)</f>
        <v>M</v>
      </c>
      <c r="F1250" s="81">
        <v>2.5026999999999999</v>
      </c>
      <c r="G1250" s="87">
        <f t="array" ref="G1250">IF(B1250="insumo",_xlfn.XLOOKUP($D1250,Insumos!$B$1:$B$996,Insumos!$D$1:$D$996),"")</f>
        <v>0.31</v>
      </c>
      <c r="H1250" s="87">
        <v>0.775837</v>
      </c>
      <c r="I1250" s="79">
        <v>0</v>
      </c>
      <c r="J1250" s="79">
        <v>0</v>
      </c>
      <c r="K1250" s="79"/>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77">
        <v>94</v>
      </c>
      <c r="B1251" s="77" t="s">
        <v>70</v>
      </c>
      <c r="C1251" s="77" t="s">
        <v>1711</v>
      </c>
      <c r="D1251" s="77" t="s">
        <v>412</v>
      </c>
      <c r="E1251" s="11" t="str">
        <f t="array" ref="E1251">_xlfn.XLOOKUP(D1251,Insumos!B:B,Insumos!C:$C)</f>
        <v>M</v>
      </c>
      <c r="F1251" s="81">
        <v>1.4815</v>
      </c>
      <c r="G1251" s="87">
        <f t="array" ref="G1251">IF(B1251="insumo",_xlfn.XLOOKUP($D1251,Insumos!$B$1:$B$996,Insumos!$D$1:$D$996),"")</f>
        <v>2.74</v>
      </c>
      <c r="H1251" s="87">
        <v>4.05931</v>
      </c>
      <c r="I1251" s="79">
        <v>0</v>
      </c>
      <c r="J1251" s="79">
        <v>0</v>
      </c>
      <c r="K1251" s="79"/>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77">
        <v>97</v>
      </c>
      <c r="B1252" s="77" t="s">
        <v>70</v>
      </c>
      <c r="C1252" s="77" t="s">
        <v>1711</v>
      </c>
      <c r="D1252" s="77" t="s">
        <v>413</v>
      </c>
      <c r="E1252" s="11" t="str">
        <f t="array" ref="E1252">_xlfn.XLOOKUP(D1252,Insumos!B:B,Insumos!C:$C)</f>
        <v>UN</v>
      </c>
      <c r="F1252" s="81">
        <v>20.186800000000002</v>
      </c>
      <c r="G1252" s="87">
        <f t="array" ref="G1252">IF(B1252="insumo",_xlfn.XLOOKUP($D1252,Insumos!$B$1:$B$996,Insumos!$D$1:$D$996),"")</f>
        <v>0.09</v>
      </c>
      <c r="H1252" s="87">
        <v>1.8168120000000001</v>
      </c>
      <c r="I1252" s="79">
        <v>0</v>
      </c>
      <c r="J1252" s="79">
        <v>0</v>
      </c>
      <c r="K1252" s="79"/>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77">
        <v>95</v>
      </c>
      <c r="B1253" s="77" t="s">
        <v>70</v>
      </c>
      <c r="C1253" s="77" t="s">
        <v>1711</v>
      </c>
      <c r="D1253" s="77" t="s">
        <v>414</v>
      </c>
      <c r="E1253" s="11" t="str">
        <f t="array" ref="E1253">_xlfn.XLOOKUP(D1253,Insumos!B:B,Insumos!C:$C)</f>
        <v>UN</v>
      </c>
      <c r="F1253" s="81">
        <v>0.4803</v>
      </c>
      <c r="G1253" s="87">
        <f t="array" ref="G1253">IF(B1253="insumo",_xlfn.XLOOKUP($D1253,Insumos!$B$1:$B$996,Insumos!$D$1:$D$996),"")</f>
        <v>0.2</v>
      </c>
      <c r="H1253" s="87">
        <v>9.6060000000000006E-2</v>
      </c>
      <c r="I1253" s="79">
        <v>0</v>
      </c>
      <c r="J1253" s="79">
        <v>0</v>
      </c>
      <c r="K1253" s="79"/>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77">
        <v>5</v>
      </c>
      <c r="B1254" s="77" t="s">
        <v>70</v>
      </c>
      <c r="C1254" s="77" t="s">
        <v>1711</v>
      </c>
      <c r="D1254" s="77" t="s">
        <v>415</v>
      </c>
      <c r="E1254" s="11" t="str">
        <f t="array" ref="E1254">_xlfn.XLOOKUP(D1254,Insumos!B:B,Insumos!C:$C)</f>
        <v>M2</v>
      </c>
      <c r="F1254" s="81">
        <v>1.1000000000000001</v>
      </c>
      <c r="G1254" s="87">
        <f t="array" ref="G1254">IF(B1254="insumo",_xlfn.XLOOKUP($D1254,Insumos!$B$1:$B$996,Insumos!$D$1:$D$996),"")</f>
        <v>12.828666666666667</v>
      </c>
      <c r="H1254" s="87">
        <v>14.1115333333333</v>
      </c>
      <c r="I1254" s="79">
        <v>0</v>
      </c>
      <c r="J1254" s="79">
        <v>0</v>
      </c>
      <c r="K1254" s="79"/>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336">
        <v>1</v>
      </c>
      <c r="B1255" s="336" t="s">
        <v>67</v>
      </c>
      <c r="C1255" s="336" t="s">
        <v>1712</v>
      </c>
      <c r="D1255" s="336" t="s">
        <v>1712</v>
      </c>
      <c r="E1255" s="337" t="s">
        <v>69</v>
      </c>
      <c r="F1255" s="336"/>
      <c r="G1255" s="338" t="str">
        <f t="array" ref="G1255">IF(B1255="insumo",_xlfn.XLOOKUP($D1255,Insumos!$B$1:$B$996,Insumos!$D$1:$D$996),"")</f>
        <v/>
      </c>
      <c r="H1255" s="338">
        <v>126.743126</v>
      </c>
      <c r="I1255" s="339">
        <v>0</v>
      </c>
      <c r="J1255" s="339">
        <v>0</v>
      </c>
      <c r="K1255" s="339"/>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77">
        <v>86</v>
      </c>
      <c r="B1256" s="77" t="s">
        <v>70</v>
      </c>
      <c r="C1256" s="77" t="s">
        <v>1712</v>
      </c>
      <c r="D1256" s="77" t="s">
        <v>406</v>
      </c>
      <c r="E1256" s="11" t="str">
        <f t="array" ref="E1256">_xlfn.XLOOKUP(D1256,Insumos!B:B,Insumos!C:$C)</f>
        <v>M2</v>
      </c>
      <c r="F1256" s="81">
        <v>1</v>
      </c>
      <c r="G1256" s="87">
        <f t="array" ref="G1256">IF(B1256="insumo",_xlfn.XLOOKUP($D1256,Insumos!$B$1:$B$996,Insumos!$D$1:$D$996),"")</f>
        <v>70</v>
      </c>
      <c r="H1256" s="87">
        <v>70</v>
      </c>
      <c r="I1256" s="79">
        <v>0</v>
      </c>
      <c r="J1256" s="79">
        <v>0</v>
      </c>
      <c r="K1256" s="79"/>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77">
        <v>49</v>
      </c>
      <c r="B1257" s="77" t="s">
        <v>70</v>
      </c>
      <c r="C1257" s="77" t="s">
        <v>1712</v>
      </c>
      <c r="D1257" s="77" t="s">
        <v>417</v>
      </c>
      <c r="E1257" s="11" t="str">
        <f t="array" ref="E1257">_xlfn.XLOOKUP(D1257,Insumos!B:B,Insumos!C:$C)</f>
        <v>M2</v>
      </c>
      <c r="F1257" s="81">
        <v>1.0529999999999999</v>
      </c>
      <c r="G1257" s="87">
        <f t="array" ref="G1257">IF(B1257="insumo",_xlfn.XLOOKUP($D1257,Insumos!$B$1:$B$996,Insumos!$D$1:$D$996),"")</f>
        <v>27.1</v>
      </c>
      <c r="H1257" s="87">
        <v>28.536300000000001</v>
      </c>
      <c r="I1257" s="79">
        <v>0</v>
      </c>
      <c r="J1257" s="79">
        <v>0</v>
      </c>
      <c r="K1257" s="79"/>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77">
        <v>95</v>
      </c>
      <c r="B1258" s="77" t="s">
        <v>70</v>
      </c>
      <c r="C1258" s="77" t="s">
        <v>1712</v>
      </c>
      <c r="D1258" s="77" t="s">
        <v>408</v>
      </c>
      <c r="E1258" s="11" t="str">
        <f t="array" ref="E1258">_xlfn.XLOOKUP(D1258,Insumos!B:B,Insumos!C:$C)</f>
        <v>UN</v>
      </c>
      <c r="F1258" s="81">
        <v>2.48</v>
      </c>
      <c r="G1258" s="87">
        <f t="array" ref="G1258">IF(B1258="insumo",_xlfn.XLOOKUP($D1258,Insumos!$B$1:$B$996,Insumos!$D$1:$D$996),"")</f>
        <v>0.504</v>
      </c>
      <c r="H1258" s="87">
        <v>1.2499199999999999</v>
      </c>
      <c r="I1258" s="79">
        <v>0</v>
      </c>
      <c r="J1258" s="79">
        <v>0</v>
      </c>
      <c r="K1258" s="79"/>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77">
        <v>43</v>
      </c>
      <c r="B1259" s="77" t="s">
        <v>70</v>
      </c>
      <c r="C1259" s="77" t="s">
        <v>1712</v>
      </c>
      <c r="D1259" s="77" t="s">
        <v>422</v>
      </c>
      <c r="E1259" s="11" t="str">
        <f t="array" ref="E1259">_xlfn.XLOOKUP(D1259,Insumos!B:B,Insumos!C:$C)</f>
        <v>M</v>
      </c>
      <c r="F1259" s="81">
        <v>0.76239999999999997</v>
      </c>
      <c r="G1259" s="87">
        <f t="array" ref="G1259">IF(B1259="insumo",_xlfn.XLOOKUP($D1259,Insumos!$B$1:$B$996,Insumos!$D$1:$D$996),"")</f>
        <v>7.46</v>
      </c>
      <c r="H1259" s="87">
        <v>5.6875039999999997</v>
      </c>
      <c r="I1259" s="79">
        <v>0</v>
      </c>
      <c r="J1259" s="79">
        <v>0</v>
      </c>
      <c r="K1259" s="79"/>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77">
        <v>43</v>
      </c>
      <c r="B1260" s="77" t="s">
        <v>70</v>
      </c>
      <c r="C1260" s="77" t="s">
        <v>1712</v>
      </c>
      <c r="D1260" s="77" t="s">
        <v>423</v>
      </c>
      <c r="E1260" s="11" t="str">
        <f t="array" ref="E1260">_xlfn.XLOOKUP(D1260,Insumos!B:B,Insumos!C:$C)</f>
        <v>M</v>
      </c>
      <c r="F1260" s="81">
        <v>2.0005999999999999</v>
      </c>
      <c r="G1260" s="87">
        <f t="array" ref="G1260">IF(B1260="insumo",_xlfn.XLOOKUP($D1260,Insumos!$B$1:$B$996,Insumos!$D$1:$D$996),"")</f>
        <v>7.98</v>
      </c>
      <c r="H1260" s="87">
        <v>15.964788</v>
      </c>
      <c r="I1260" s="79">
        <v>0</v>
      </c>
      <c r="J1260" s="79">
        <v>0</v>
      </c>
      <c r="K1260" s="79"/>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77">
        <v>95</v>
      </c>
      <c r="B1261" s="77" t="s">
        <v>70</v>
      </c>
      <c r="C1261" s="77" t="s">
        <v>1712</v>
      </c>
      <c r="D1261" s="77" t="s">
        <v>404</v>
      </c>
      <c r="E1261" s="11" t="str">
        <f t="array" ref="E1261">_xlfn.XLOOKUP(D1261,Insumos!B:B,Insumos!C:$C)</f>
        <v>KG</v>
      </c>
      <c r="F1261" s="81">
        <v>0.54890000000000005</v>
      </c>
      <c r="G1261" s="87">
        <f t="array" ref="G1261">IF(B1261="insumo",_xlfn.XLOOKUP($D1261,Insumos!$B$1:$B$996,Insumos!$D$1:$D$996),"")</f>
        <v>3.43</v>
      </c>
      <c r="H1261" s="87">
        <v>1.882727</v>
      </c>
      <c r="I1261" s="79">
        <v>0</v>
      </c>
      <c r="J1261" s="79">
        <v>0</v>
      </c>
      <c r="K1261" s="79"/>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77">
        <v>94</v>
      </c>
      <c r="B1262" s="77" t="s">
        <v>70</v>
      </c>
      <c r="C1262" s="77" t="s">
        <v>1712</v>
      </c>
      <c r="D1262" s="77" t="s">
        <v>411</v>
      </c>
      <c r="E1262" s="11" t="str">
        <f t="array" ref="E1262">_xlfn.XLOOKUP(D1262,Insumos!B:B,Insumos!C:$C)</f>
        <v>M</v>
      </c>
      <c r="F1262" s="81">
        <v>1.2513000000000001</v>
      </c>
      <c r="G1262" s="87">
        <f t="array" ref="G1262">IF(B1262="insumo",_xlfn.XLOOKUP($D1262,Insumos!$B$1:$B$996,Insumos!$D$1:$D$996),"")</f>
        <v>0.31</v>
      </c>
      <c r="H1262" s="87">
        <v>0.387903</v>
      </c>
      <c r="I1262" s="79">
        <v>0</v>
      </c>
      <c r="J1262" s="79">
        <v>0</v>
      </c>
      <c r="K1262" s="79"/>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77">
        <v>94</v>
      </c>
      <c r="B1263" s="77" t="s">
        <v>70</v>
      </c>
      <c r="C1263" s="77" t="s">
        <v>1712</v>
      </c>
      <c r="D1263" s="77" t="s">
        <v>412</v>
      </c>
      <c r="E1263" s="11" t="str">
        <f t="array" ref="E1263">_xlfn.XLOOKUP(D1263,Insumos!B:B,Insumos!C:$C)</f>
        <v>M</v>
      </c>
      <c r="F1263" s="81">
        <v>0.74070000000000003</v>
      </c>
      <c r="G1263" s="87">
        <f t="array" ref="G1263">IF(B1263="insumo",_xlfn.XLOOKUP($D1263,Insumos!$B$1:$B$996,Insumos!$D$1:$D$996),"")</f>
        <v>2.74</v>
      </c>
      <c r="H1263" s="87">
        <v>2.0295179999999999</v>
      </c>
      <c r="I1263" s="79">
        <v>0</v>
      </c>
      <c r="J1263" s="79">
        <v>0</v>
      </c>
      <c r="K1263" s="79"/>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77">
        <v>97</v>
      </c>
      <c r="B1264" s="77" t="s">
        <v>70</v>
      </c>
      <c r="C1264" s="77" t="s">
        <v>1712</v>
      </c>
      <c r="D1264" s="77" t="s">
        <v>413</v>
      </c>
      <c r="E1264" s="11" t="str">
        <f t="array" ref="E1264">_xlfn.XLOOKUP(D1264,Insumos!B:B,Insumos!C:$C)</f>
        <v>UN</v>
      </c>
      <c r="F1264" s="81">
        <v>10.093400000000001</v>
      </c>
      <c r="G1264" s="87">
        <f t="array" ref="G1264">IF(B1264="insumo",_xlfn.XLOOKUP($D1264,Insumos!$B$1:$B$996,Insumos!$D$1:$D$996),"")</f>
        <v>0.09</v>
      </c>
      <c r="H1264" s="87">
        <v>0.90840600000000005</v>
      </c>
      <c r="I1264" s="79">
        <v>0</v>
      </c>
      <c r="J1264" s="79">
        <v>0</v>
      </c>
      <c r="K1264" s="79"/>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77">
        <v>95</v>
      </c>
      <c r="B1265" s="77" t="s">
        <v>70</v>
      </c>
      <c r="C1265" s="77" t="s">
        <v>1712</v>
      </c>
      <c r="D1265" s="77" t="s">
        <v>414</v>
      </c>
      <c r="E1265" s="11" t="str">
        <f t="array" ref="E1265">_xlfn.XLOOKUP(D1265,Insumos!B:B,Insumos!C:$C)</f>
        <v>UN</v>
      </c>
      <c r="F1265" s="81">
        <v>0.4803</v>
      </c>
      <c r="G1265" s="87">
        <f t="array" ref="G1265">IF(B1265="insumo",_xlfn.XLOOKUP($D1265,Insumos!$B$1:$B$996,Insumos!$D$1:$D$996),"")</f>
        <v>0.2</v>
      </c>
      <c r="H1265" s="87">
        <v>9.6060000000000006E-2</v>
      </c>
      <c r="I1265" s="79">
        <v>0</v>
      </c>
      <c r="J1265" s="79">
        <v>0</v>
      </c>
      <c r="K1265" s="79"/>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336">
        <v>1</v>
      </c>
      <c r="B1266" s="336" t="s">
        <v>67</v>
      </c>
      <c r="C1266" s="336" t="s">
        <v>1713</v>
      </c>
      <c r="D1266" s="336" t="s">
        <v>1713</v>
      </c>
      <c r="E1266" s="337" t="s">
        <v>69</v>
      </c>
      <c r="F1266" s="336"/>
      <c r="G1266" s="338" t="str">
        <f t="array" ref="G1266">IF(B1266="insumo",_xlfn.XLOOKUP($D1266,Insumos!$B$1:$B$996,Insumos!$D$1:$D$996),"")</f>
        <v/>
      </c>
      <c r="H1266" s="338">
        <v>168.76901899999999</v>
      </c>
      <c r="I1266" s="339">
        <v>0</v>
      </c>
      <c r="J1266" s="339">
        <v>0</v>
      </c>
      <c r="K1266" s="339"/>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77">
        <v>86</v>
      </c>
      <c r="B1267" s="77" t="s">
        <v>70</v>
      </c>
      <c r="C1267" s="77" t="s">
        <v>1713</v>
      </c>
      <c r="D1267" s="77" t="s">
        <v>406</v>
      </c>
      <c r="E1267" s="11" t="str">
        <f t="array" ref="E1267">_xlfn.XLOOKUP(D1267,Insumos!B:B,Insumos!C:$C)</f>
        <v>M2</v>
      </c>
      <c r="F1267" s="81">
        <v>1</v>
      </c>
      <c r="G1267" s="87">
        <f t="array" ref="G1267">IF(B1267="insumo",_xlfn.XLOOKUP($D1267,Insumos!$B$1:$B$996,Insumos!$D$1:$D$996),"")</f>
        <v>70</v>
      </c>
      <c r="H1267" s="87">
        <v>70</v>
      </c>
      <c r="I1267" s="79">
        <v>0</v>
      </c>
      <c r="J1267" s="79">
        <v>0</v>
      </c>
      <c r="K1267" s="79"/>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77">
        <v>47</v>
      </c>
      <c r="B1268" s="77" t="s">
        <v>70</v>
      </c>
      <c r="C1268" s="77" t="s">
        <v>1713</v>
      </c>
      <c r="D1268" s="77" t="s">
        <v>407</v>
      </c>
      <c r="E1268" s="11" t="str">
        <f t="array" ref="E1268">_xlfn.XLOOKUP(D1268,Insumos!B:B,Insumos!C:$C)</f>
        <v>M2</v>
      </c>
      <c r="F1268" s="81">
        <v>2.1059999999999999</v>
      </c>
      <c r="G1268" s="87">
        <f t="array" ref="G1268">IF(B1268="insumo",_xlfn.XLOOKUP($D1268,Insumos!$B$1:$B$996,Insumos!$D$1:$D$996),"")</f>
        <v>20.16</v>
      </c>
      <c r="H1268" s="87">
        <v>42.456960000000002</v>
      </c>
      <c r="I1268" s="79">
        <v>0</v>
      </c>
      <c r="J1268" s="79">
        <v>0</v>
      </c>
      <c r="K1268" s="79"/>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77">
        <v>95</v>
      </c>
      <c r="B1269" s="77" t="s">
        <v>70</v>
      </c>
      <c r="C1269" s="77" t="s">
        <v>1713</v>
      </c>
      <c r="D1269" s="77" t="s">
        <v>408</v>
      </c>
      <c r="E1269" s="11" t="str">
        <f t="array" ref="E1269">_xlfn.XLOOKUP(D1269,Insumos!B:B,Insumos!C:$C)</f>
        <v>UN</v>
      </c>
      <c r="F1269" s="81">
        <v>4.95</v>
      </c>
      <c r="G1269" s="87">
        <f t="array" ref="G1269">IF(B1269="insumo",_xlfn.XLOOKUP($D1269,Insumos!$B$1:$B$996,Insumos!$D$1:$D$996),"")</f>
        <v>0.504</v>
      </c>
      <c r="H1269" s="87">
        <v>2.4948000000000001</v>
      </c>
      <c r="I1269" s="79">
        <v>0</v>
      </c>
      <c r="J1269" s="79">
        <v>0</v>
      </c>
      <c r="K1269" s="79"/>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77">
        <v>43</v>
      </c>
      <c r="B1270" s="77" t="s">
        <v>70</v>
      </c>
      <c r="C1270" s="77" t="s">
        <v>1713</v>
      </c>
      <c r="D1270" s="77" t="s">
        <v>422</v>
      </c>
      <c r="E1270" s="11" t="str">
        <f t="array" ref="E1270">_xlfn.XLOOKUP(D1270,Insumos!B:B,Insumos!C:$C)</f>
        <v>M</v>
      </c>
      <c r="F1270" s="81">
        <v>1.5247999999999999</v>
      </c>
      <c r="G1270" s="87">
        <f t="array" ref="G1270">IF(B1270="insumo",_xlfn.XLOOKUP($D1270,Insumos!$B$1:$B$996,Insumos!$D$1:$D$996),"")</f>
        <v>7.46</v>
      </c>
      <c r="H1270" s="87">
        <v>11.375007999999999</v>
      </c>
      <c r="I1270" s="79">
        <v>0</v>
      </c>
      <c r="J1270" s="79">
        <v>0</v>
      </c>
      <c r="K1270" s="79"/>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77">
        <v>43</v>
      </c>
      <c r="B1271" s="77" t="s">
        <v>70</v>
      </c>
      <c r="C1271" s="77" t="s">
        <v>1713</v>
      </c>
      <c r="D1271" s="77" t="s">
        <v>423</v>
      </c>
      <c r="E1271" s="11" t="str">
        <f t="array" ref="E1271">_xlfn.XLOOKUP(D1271,Insumos!B:B,Insumos!C:$C)</f>
        <v>M</v>
      </c>
      <c r="F1271" s="81">
        <v>4.0011000000000001</v>
      </c>
      <c r="G1271" s="87">
        <f t="array" ref="G1271">IF(B1271="insumo",_xlfn.XLOOKUP($D1271,Insumos!$B$1:$B$996,Insumos!$D$1:$D$996),"")</f>
        <v>7.98</v>
      </c>
      <c r="H1271" s="87">
        <v>31.928778000000001</v>
      </c>
      <c r="I1271" s="79">
        <v>0</v>
      </c>
      <c r="J1271" s="79">
        <v>0</v>
      </c>
      <c r="K1271" s="79"/>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77">
        <v>95</v>
      </c>
      <c r="B1272" s="77" t="s">
        <v>70</v>
      </c>
      <c r="C1272" s="77" t="s">
        <v>1713</v>
      </c>
      <c r="D1272" s="77" t="s">
        <v>404</v>
      </c>
      <c r="E1272" s="11" t="str">
        <f t="array" ref="E1272">_xlfn.XLOOKUP(D1272,Insumos!B:B,Insumos!C:$C)</f>
        <v>KG</v>
      </c>
      <c r="F1272" s="81">
        <v>1.0978000000000001</v>
      </c>
      <c r="G1272" s="87">
        <f t="array" ref="G1272">IF(B1272="insumo",_xlfn.XLOOKUP($D1272,Insumos!$B$1:$B$996,Insumos!$D$1:$D$996),"")</f>
        <v>3.43</v>
      </c>
      <c r="H1272" s="87">
        <v>3.7654540000000001</v>
      </c>
      <c r="I1272" s="79">
        <v>0</v>
      </c>
      <c r="J1272" s="79">
        <v>0</v>
      </c>
      <c r="K1272" s="79"/>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77">
        <v>94</v>
      </c>
      <c r="B1273" s="77" t="s">
        <v>70</v>
      </c>
      <c r="C1273" s="77" t="s">
        <v>1713</v>
      </c>
      <c r="D1273" s="77" t="s">
        <v>411</v>
      </c>
      <c r="E1273" s="11" t="str">
        <f t="array" ref="E1273">_xlfn.XLOOKUP(D1273,Insumos!B:B,Insumos!C:$C)</f>
        <v>M</v>
      </c>
      <c r="F1273" s="81">
        <v>2.5026999999999999</v>
      </c>
      <c r="G1273" s="87">
        <f t="array" ref="G1273">IF(B1273="insumo",_xlfn.XLOOKUP($D1273,Insumos!$B$1:$B$996,Insumos!$D$1:$D$996),"")</f>
        <v>0.31</v>
      </c>
      <c r="H1273" s="87">
        <v>0.775837</v>
      </c>
      <c r="I1273" s="79">
        <v>0</v>
      </c>
      <c r="J1273" s="79">
        <v>0</v>
      </c>
      <c r="K1273" s="79"/>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77">
        <v>94</v>
      </c>
      <c r="B1274" s="77" t="s">
        <v>70</v>
      </c>
      <c r="C1274" s="77" t="s">
        <v>1713</v>
      </c>
      <c r="D1274" s="77" t="s">
        <v>412</v>
      </c>
      <c r="E1274" s="11" t="str">
        <f t="array" ref="E1274">_xlfn.XLOOKUP(D1274,Insumos!B:B,Insumos!C:$C)</f>
        <v>M</v>
      </c>
      <c r="F1274" s="81">
        <v>1.4815</v>
      </c>
      <c r="G1274" s="87">
        <f t="array" ref="G1274">IF(B1274="insumo",_xlfn.XLOOKUP($D1274,Insumos!$B$1:$B$996,Insumos!$D$1:$D$996),"")</f>
        <v>2.74</v>
      </c>
      <c r="H1274" s="87">
        <v>4.05931</v>
      </c>
      <c r="I1274" s="79">
        <v>0</v>
      </c>
      <c r="J1274" s="79">
        <v>0</v>
      </c>
      <c r="K1274" s="79"/>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77">
        <v>97</v>
      </c>
      <c r="B1275" s="77" t="s">
        <v>70</v>
      </c>
      <c r="C1275" s="77" t="s">
        <v>1713</v>
      </c>
      <c r="D1275" s="77" t="s">
        <v>413</v>
      </c>
      <c r="E1275" s="11" t="str">
        <f t="array" ref="E1275">_xlfn.XLOOKUP(D1275,Insumos!B:B,Insumos!C:$C)</f>
        <v>UN</v>
      </c>
      <c r="F1275" s="81">
        <v>20.186800000000002</v>
      </c>
      <c r="G1275" s="87">
        <f t="array" ref="G1275">IF(B1275="insumo",_xlfn.XLOOKUP($D1275,Insumos!$B$1:$B$996,Insumos!$D$1:$D$996),"")</f>
        <v>0.09</v>
      </c>
      <c r="H1275" s="87">
        <v>1.8168120000000001</v>
      </c>
      <c r="I1275" s="79">
        <v>0</v>
      </c>
      <c r="J1275" s="79">
        <v>0</v>
      </c>
      <c r="K1275" s="79"/>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77">
        <v>95</v>
      </c>
      <c r="B1276" s="77" t="s">
        <v>70</v>
      </c>
      <c r="C1276" s="77" t="s">
        <v>1713</v>
      </c>
      <c r="D1276" s="77" t="s">
        <v>414</v>
      </c>
      <c r="E1276" s="11" t="str">
        <f t="array" ref="E1276">_xlfn.XLOOKUP(D1276,Insumos!B:B,Insumos!C:$C)</f>
        <v>UN</v>
      </c>
      <c r="F1276" s="81">
        <v>0.4803</v>
      </c>
      <c r="G1276" s="87">
        <f t="array" ref="G1276">IF(B1276="insumo",_xlfn.XLOOKUP($D1276,Insumos!$B$1:$B$996,Insumos!$D$1:$D$996),"")</f>
        <v>0.2</v>
      </c>
      <c r="H1276" s="87">
        <v>9.6060000000000006E-2</v>
      </c>
      <c r="I1276" s="79">
        <v>0</v>
      </c>
      <c r="J1276" s="79">
        <v>0</v>
      </c>
      <c r="K1276" s="79"/>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336">
        <v>1</v>
      </c>
      <c r="B1277" s="336" t="s">
        <v>67</v>
      </c>
      <c r="C1277" s="336" t="s">
        <v>1714</v>
      </c>
      <c r="D1277" s="336" t="s">
        <v>1714</v>
      </c>
      <c r="E1277" s="337" t="s">
        <v>69</v>
      </c>
      <c r="F1277" s="336"/>
      <c r="G1277" s="338" t="str">
        <f t="array" ref="G1277">IF(B1277="insumo",_xlfn.XLOOKUP($D1277,Insumos!$B$1:$B$996,Insumos!$D$1:$D$996),"")</f>
        <v/>
      </c>
      <c r="H1277" s="338">
        <v>183.384659</v>
      </c>
      <c r="I1277" s="339">
        <v>0</v>
      </c>
      <c r="J1277" s="339">
        <v>0</v>
      </c>
      <c r="K1277" s="339"/>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77">
        <v>86</v>
      </c>
      <c r="B1278" s="77" t="s">
        <v>70</v>
      </c>
      <c r="C1278" s="77" t="s">
        <v>1714</v>
      </c>
      <c r="D1278" s="77" t="s">
        <v>406</v>
      </c>
      <c r="E1278" s="11" t="str">
        <f t="array" ref="E1278">_xlfn.XLOOKUP(D1278,Insumos!B:B,Insumos!C:$C)</f>
        <v>M2</v>
      </c>
      <c r="F1278" s="81">
        <v>1</v>
      </c>
      <c r="G1278" s="87">
        <f t="array" ref="G1278">IF(B1278="insumo",_xlfn.XLOOKUP($D1278,Insumos!$B$1:$B$996,Insumos!$D$1:$D$996),"")</f>
        <v>70</v>
      </c>
      <c r="H1278" s="87">
        <v>70</v>
      </c>
      <c r="I1278" s="79">
        <v>0</v>
      </c>
      <c r="J1278" s="79">
        <v>0</v>
      </c>
      <c r="K1278" s="79"/>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77">
        <v>49</v>
      </c>
      <c r="B1279" s="77" t="s">
        <v>70</v>
      </c>
      <c r="C1279" s="77" t="s">
        <v>1714</v>
      </c>
      <c r="D1279" s="77" t="s">
        <v>417</v>
      </c>
      <c r="E1279" s="11" t="str">
        <f t="array" ref="E1279">_xlfn.XLOOKUP(D1279,Insumos!B:B,Insumos!C:$C)</f>
        <v>M2</v>
      </c>
      <c r="F1279" s="81">
        <v>2.1059999999999999</v>
      </c>
      <c r="G1279" s="87">
        <f t="array" ref="G1279">IF(B1279="insumo",_xlfn.XLOOKUP($D1279,Insumos!$B$1:$B$996,Insumos!$D$1:$D$996),"")</f>
        <v>27.1</v>
      </c>
      <c r="H1279" s="87">
        <v>57.072600000000001</v>
      </c>
      <c r="I1279" s="79">
        <v>0</v>
      </c>
      <c r="J1279" s="79">
        <v>0</v>
      </c>
      <c r="K1279" s="79"/>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77">
        <v>95</v>
      </c>
      <c r="B1280" s="77" t="s">
        <v>70</v>
      </c>
      <c r="C1280" s="77" t="s">
        <v>1714</v>
      </c>
      <c r="D1280" s="77" t="s">
        <v>408</v>
      </c>
      <c r="E1280" s="11" t="str">
        <f t="array" ref="E1280">_xlfn.XLOOKUP(D1280,Insumos!B:B,Insumos!C:$C)</f>
        <v>UN</v>
      </c>
      <c r="F1280" s="81">
        <v>4.95</v>
      </c>
      <c r="G1280" s="87">
        <f t="array" ref="G1280">IF(B1280="insumo",_xlfn.XLOOKUP($D1280,Insumos!$B$1:$B$996,Insumos!$D$1:$D$996),"")</f>
        <v>0.504</v>
      </c>
      <c r="H1280" s="87">
        <v>2.4948000000000001</v>
      </c>
      <c r="I1280" s="79">
        <v>0</v>
      </c>
      <c r="J1280" s="79">
        <v>0</v>
      </c>
      <c r="K1280" s="79"/>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77">
        <v>43</v>
      </c>
      <c r="B1281" s="77" t="s">
        <v>70</v>
      </c>
      <c r="C1281" s="77" t="s">
        <v>1714</v>
      </c>
      <c r="D1281" s="77" t="s">
        <v>422</v>
      </c>
      <c r="E1281" s="11" t="str">
        <f t="array" ref="E1281">_xlfn.XLOOKUP(D1281,Insumos!B:B,Insumos!C:$C)</f>
        <v>M</v>
      </c>
      <c r="F1281" s="81">
        <v>1.5247999999999999</v>
      </c>
      <c r="G1281" s="87">
        <f t="array" ref="G1281">IF(B1281="insumo",_xlfn.XLOOKUP($D1281,Insumos!$B$1:$B$996,Insumos!$D$1:$D$996),"")</f>
        <v>7.46</v>
      </c>
      <c r="H1281" s="87">
        <v>11.375007999999999</v>
      </c>
      <c r="I1281" s="79">
        <v>0</v>
      </c>
      <c r="J1281" s="79">
        <v>0</v>
      </c>
      <c r="K1281" s="79"/>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77">
        <v>43</v>
      </c>
      <c r="B1282" s="77" t="s">
        <v>70</v>
      </c>
      <c r="C1282" s="77" t="s">
        <v>1714</v>
      </c>
      <c r="D1282" s="77" t="s">
        <v>423</v>
      </c>
      <c r="E1282" s="11" t="str">
        <f t="array" ref="E1282">_xlfn.XLOOKUP(D1282,Insumos!B:B,Insumos!C:$C)</f>
        <v>M</v>
      </c>
      <c r="F1282" s="81">
        <v>4.0011000000000001</v>
      </c>
      <c r="G1282" s="87">
        <f t="array" ref="G1282">IF(B1282="insumo",_xlfn.XLOOKUP($D1282,Insumos!$B$1:$B$996,Insumos!$D$1:$D$996),"")</f>
        <v>7.98</v>
      </c>
      <c r="H1282" s="87">
        <v>31.928778000000001</v>
      </c>
      <c r="I1282" s="79">
        <v>0</v>
      </c>
      <c r="J1282" s="79">
        <v>0</v>
      </c>
      <c r="K1282" s="79"/>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77">
        <v>95</v>
      </c>
      <c r="B1283" s="77" t="s">
        <v>70</v>
      </c>
      <c r="C1283" s="77" t="s">
        <v>1714</v>
      </c>
      <c r="D1283" s="77" t="s">
        <v>404</v>
      </c>
      <c r="E1283" s="11" t="str">
        <f t="array" ref="E1283">_xlfn.XLOOKUP(D1283,Insumos!B:B,Insumos!C:$C)</f>
        <v>KG</v>
      </c>
      <c r="F1283" s="81">
        <v>1.0978000000000001</v>
      </c>
      <c r="G1283" s="87">
        <f t="array" ref="G1283">IF(B1283="insumo",_xlfn.XLOOKUP($D1283,Insumos!$B$1:$B$996,Insumos!$D$1:$D$996),"")</f>
        <v>3.43</v>
      </c>
      <c r="H1283" s="87">
        <v>3.7654540000000001</v>
      </c>
      <c r="I1283" s="79">
        <v>0</v>
      </c>
      <c r="J1283" s="79">
        <v>0</v>
      </c>
      <c r="K1283" s="79"/>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77">
        <v>94</v>
      </c>
      <c r="B1284" s="77" t="s">
        <v>70</v>
      </c>
      <c r="C1284" s="77" t="s">
        <v>1714</v>
      </c>
      <c r="D1284" s="77" t="s">
        <v>411</v>
      </c>
      <c r="E1284" s="11" t="str">
        <f t="array" ref="E1284">_xlfn.XLOOKUP(D1284,Insumos!B:B,Insumos!C:$C)</f>
        <v>M</v>
      </c>
      <c r="F1284" s="81">
        <v>2.5026999999999999</v>
      </c>
      <c r="G1284" s="87">
        <f t="array" ref="G1284">IF(B1284="insumo",_xlfn.XLOOKUP($D1284,Insumos!$B$1:$B$996,Insumos!$D$1:$D$996),"")</f>
        <v>0.31</v>
      </c>
      <c r="H1284" s="87">
        <v>0.775837</v>
      </c>
      <c r="I1284" s="79">
        <v>0</v>
      </c>
      <c r="J1284" s="79">
        <v>0</v>
      </c>
      <c r="K1284" s="79"/>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77">
        <v>94</v>
      </c>
      <c r="B1285" s="77" t="s">
        <v>70</v>
      </c>
      <c r="C1285" s="77" t="s">
        <v>1714</v>
      </c>
      <c r="D1285" s="77" t="s">
        <v>412</v>
      </c>
      <c r="E1285" s="11" t="str">
        <f t="array" ref="E1285">_xlfn.XLOOKUP(D1285,Insumos!B:B,Insumos!C:$C)</f>
        <v>M</v>
      </c>
      <c r="F1285" s="81">
        <v>1.4815</v>
      </c>
      <c r="G1285" s="87">
        <f t="array" ref="G1285">IF(B1285="insumo",_xlfn.XLOOKUP($D1285,Insumos!$B$1:$B$996,Insumos!$D$1:$D$996),"")</f>
        <v>2.74</v>
      </c>
      <c r="H1285" s="87">
        <v>4.05931</v>
      </c>
      <c r="I1285" s="79">
        <v>0</v>
      </c>
      <c r="J1285" s="79">
        <v>0</v>
      </c>
      <c r="K1285" s="79"/>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77">
        <v>97</v>
      </c>
      <c r="B1286" s="77" t="s">
        <v>70</v>
      </c>
      <c r="C1286" s="77" t="s">
        <v>1714</v>
      </c>
      <c r="D1286" s="77" t="s">
        <v>413</v>
      </c>
      <c r="E1286" s="11" t="str">
        <f t="array" ref="E1286">_xlfn.XLOOKUP(D1286,Insumos!B:B,Insumos!C:$C)</f>
        <v>UN</v>
      </c>
      <c r="F1286" s="81">
        <v>20.186800000000002</v>
      </c>
      <c r="G1286" s="87">
        <f t="array" ref="G1286">IF(B1286="insumo",_xlfn.XLOOKUP($D1286,Insumos!$B$1:$B$996,Insumos!$D$1:$D$996),"")</f>
        <v>0.09</v>
      </c>
      <c r="H1286" s="87">
        <v>1.8168120000000001</v>
      </c>
      <c r="I1286" s="79">
        <v>0</v>
      </c>
      <c r="J1286" s="79">
        <v>0</v>
      </c>
      <c r="K1286" s="79"/>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77">
        <v>95</v>
      </c>
      <c r="B1287" s="77" t="s">
        <v>70</v>
      </c>
      <c r="C1287" s="77" t="s">
        <v>1714</v>
      </c>
      <c r="D1287" s="77" t="s">
        <v>414</v>
      </c>
      <c r="E1287" s="11" t="str">
        <f t="array" ref="E1287">_xlfn.XLOOKUP(D1287,Insumos!B:B,Insumos!C:$C)</f>
        <v>UN</v>
      </c>
      <c r="F1287" s="81">
        <v>0.4803</v>
      </c>
      <c r="G1287" s="87">
        <f t="array" ref="G1287">IF(B1287="insumo",_xlfn.XLOOKUP($D1287,Insumos!$B$1:$B$996,Insumos!$D$1:$D$996),"")</f>
        <v>0.2</v>
      </c>
      <c r="H1287" s="87">
        <v>9.6060000000000006E-2</v>
      </c>
      <c r="I1287" s="79">
        <v>0</v>
      </c>
      <c r="J1287" s="79">
        <v>0</v>
      </c>
      <c r="K1287" s="79"/>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336">
        <v>1</v>
      </c>
      <c r="B1288" s="336" t="s">
        <v>67</v>
      </c>
      <c r="C1288" s="336" t="s">
        <v>1715</v>
      </c>
      <c r="D1288" s="336" t="s">
        <v>1715</v>
      </c>
      <c r="E1288" s="337" t="s">
        <v>69</v>
      </c>
      <c r="F1288" s="336"/>
      <c r="G1288" s="338" t="str">
        <f t="array" ref="G1288">IF(B1288="insumo",_xlfn.XLOOKUP($D1288,Insumos!$B$1:$B$996,Insumos!$D$1:$D$996),"")</f>
        <v/>
      </c>
      <c r="H1288" s="338">
        <v>176.07683900000001</v>
      </c>
      <c r="I1288" s="339">
        <v>0</v>
      </c>
      <c r="J1288" s="339">
        <v>0</v>
      </c>
      <c r="K1288" s="339"/>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77">
        <v>86</v>
      </c>
      <c r="B1289" s="77" t="s">
        <v>70</v>
      </c>
      <c r="C1289" s="77" t="s">
        <v>1715</v>
      </c>
      <c r="D1289" s="77" t="s">
        <v>406</v>
      </c>
      <c r="E1289" s="11" t="str">
        <f t="array" ref="E1289">_xlfn.XLOOKUP(D1289,Insumos!B:B,Insumos!C:$C)</f>
        <v>M2</v>
      </c>
      <c r="F1289" s="81">
        <v>1</v>
      </c>
      <c r="G1289" s="87">
        <f t="array" ref="G1289">IF(B1289="insumo",_xlfn.XLOOKUP($D1289,Insumos!$B$1:$B$996,Insumos!$D$1:$D$996),"")</f>
        <v>70</v>
      </c>
      <c r="H1289" s="87">
        <v>70</v>
      </c>
      <c r="I1289" s="79">
        <v>0</v>
      </c>
      <c r="J1289" s="79">
        <v>0</v>
      </c>
      <c r="K1289" s="79"/>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77">
        <v>47</v>
      </c>
      <c r="B1290" s="77" t="s">
        <v>70</v>
      </c>
      <c r="C1290" s="77" t="s">
        <v>1715</v>
      </c>
      <c r="D1290" s="77" t="s">
        <v>407</v>
      </c>
      <c r="E1290" s="11" t="str">
        <f t="array" ref="E1290">_xlfn.XLOOKUP(D1290,Insumos!B:B,Insumos!C:$C)</f>
        <v>M2</v>
      </c>
      <c r="F1290" s="81">
        <v>1.0529999999999999</v>
      </c>
      <c r="G1290" s="87">
        <f t="array" ref="G1290">IF(B1290="insumo",_xlfn.XLOOKUP($D1290,Insumos!$B$1:$B$996,Insumos!$D$1:$D$996),"")</f>
        <v>20.16</v>
      </c>
      <c r="H1290" s="87">
        <v>21.228480000000001</v>
      </c>
      <c r="I1290" s="79">
        <v>0</v>
      </c>
      <c r="J1290" s="79">
        <v>0</v>
      </c>
      <c r="K1290" s="79"/>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77">
        <v>49</v>
      </c>
      <c r="B1291" s="77" t="s">
        <v>70</v>
      </c>
      <c r="C1291" s="77" t="s">
        <v>1715</v>
      </c>
      <c r="D1291" s="77" t="s">
        <v>417</v>
      </c>
      <c r="E1291" s="11" t="str">
        <f t="array" ref="E1291">_xlfn.XLOOKUP(D1291,Insumos!B:B,Insumos!C:$C)</f>
        <v>M2</v>
      </c>
      <c r="F1291" s="81">
        <v>1.0529999999999999</v>
      </c>
      <c r="G1291" s="87">
        <f t="array" ref="G1291">IF(B1291="insumo",_xlfn.XLOOKUP($D1291,Insumos!$B$1:$B$996,Insumos!$D$1:$D$996),"")</f>
        <v>27.1</v>
      </c>
      <c r="H1291" s="87">
        <v>28.536300000000001</v>
      </c>
      <c r="I1291" s="79">
        <v>0</v>
      </c>
      <c r="J1291" s="79">
        <v>0</v>
      </c>
      <c r="K1291" s="79"/>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77">
        <v>95</v>
      </c>
      <c r="B1292" s="77" t="s">
        <v>70</v>
      </c>
      <c r="C1292" s="77" t="s">
        <v>1715</v>
      </c>
      <c r="D1292" s="77" t="s">
        <v>408</v>
      </c>
      <c r="E1292" s="11" t="str">
        <f t="array" ref="E1292">_xlfn.XLOOKUP(D1292,Insumos!B:B,Insumos!C:$C)</f>
        <v>UN</v>
      </c>
      <c r="F1292" s="81">
        <v>4.95</v>
      </c>
      <c r="G1292" s="87">
        <f t="array" ref="G1292">IF(B1292="insumo",_xlfn.XLOOKUP($D1292,Insumos!$B$1:$B$996,Insumos!$D$1:$D$996),"")</f>
        <v>0.504</v>
      </c>
      <c r="H1292" s="87">
        <v>2.4948000000000001</v>
      </c>
      <c r="I1292" s="79">
        <v>0</v>
      </c>
      <c r="J1292" s="79">
        <v>0</v>
      </c>
      <c r="K1292" s="79"/>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77">
        <v>43</v>
      </c>
      <c r="B1293" s="77" t="s">
        <v>70</v>
      </c>
      <c r="C1293" s="77" t="s">
        <v>1715</v>
      </c>
      <c r="D1293" s="77" t="s">
        <v>422</v>
      </c>
      <c r="E1293" s="11" t="str">
        <f t="array" ref="E1293">_xlfn.XLOOKUP(D1293,Insumos!B:B,Insumos!C:$C)</f>
        <v>M</v>
      </c>
      <c r="F1293" s="81">
        <v>1.5247999999999999</v>
      </c>
      <c r="G1293" s="87">
        <f t="array" ref="G1293">IF(B1293="insumo",_xlfn.XLOOKUP($D1293,Insumos!$B$1:$B$996,Insumos!$D$1:$D$996),"")</f>
        <v>7.46</v>
      </c>
      <c r="H1293" s="87">
        <v>11.375007999999999</v>
      </c>
      <c r="I1293" s="79">
        <v>0</v>
      </c>
      <c r="J1293" s="79">
        <v>0</v>
      </c>
      <c r="K1293" s="79"/>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77">
        <v>43</v>
      </c>
      <c r="B1294" s="77" t="s">
        <v>70</v>
      </c>
      <c r="C1294" s="77" t="s">
        <v>1715</v>
      </c>
      <c r="D1294" s="77" t="s">
        <v>423</v>
      </c>
      <c r="E1294" s="11" t="str">
        <f t="array" ref="E1294">_xlfn.XLOOKUP(D1294,Insumos!B:B,Insumos!C:$C)</f>
        <v>M</v>
      </c>
      <c r="F1294" s="81">
        <v>4.0011000000000001</v>
      </c>
      <c r="G1294" s="87">
        <f t="array" ref="G1294">IF(B1294="insumo",_xlfn.XLOOKUP($D1294,Insumos!$B$1:$B$996,Insumos!$D$1:$D$996),"")</f>
        <v>7.98</v>
      </c>
      <c r="H1294" s="87">
        <v>31.928778000000001</v>
      </c>
      <c r="I1294" s="79">
        <v>0</v>
      </c>
      <c r="J1294" s="79">
        <v>0</v>
      </c>
      <c r="K1294" s="79"/>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77">
        <v>95</v>
      </c>
      <c r="B1295" s="77" t="s">
        <v>70</v>
      </c>
      <c r="C1295" s="77" t="s">
        <v>1715</v>
      </c>
      <c r="D1295" s="77" t="s">
        <v>404</v>
      </c>
      <c r="E1295" s="11" t="str">
        <f t="array" ref="E1295">_xlfn.XLOOKUP(D1295,Insumos!B:B,Insumos!C:$C)</f>
        <v>KG</v>
      </c>
      <c r="F1295" s="81">
        <v>1.0978000000000001</v>
      </c>
      <c r="G1295" s="87">
        <f t="array" ref="G1295">IF(B1295="insumo",_xlfn.XLOOKUP($D1295,Insumos!$B$1:$B$996,Insumos!$D$1:$D$996),"")</f>
        <v>3.43</v>
      </c>
      <c r="H1295" s="87">
        <v>3.7654540000000001</v>
      </c>
      <c r="I1295" s="79">
        <v>0</v>
      </c>
      <c r="J1295" s="79">
        <v>0</v>
      </c>
      <c r="K1295" s="79"/>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77">
        <v>94</v>
      </c>
      <c r="B1296" s="77" t="s">
        <v>70</v>
      </c>
      <c r="C1296" s="77" t="s">
        <v>1715</v>
      </c>
      <c r="D1296" s="77" t="s">
        <v>411</v>
      </c>
      <c r="E1296" s="11" t="str">
        <f t="array" ref="E1296">_xlfn.XLOOKUP(D1296,Insumos!B:B,Insumos!C:$C)</f>
        <v>M</v>
      </c>
      <c r="F1296" s="81">
        <v>2.5026999999999999</v>
      </c>
      <c r="G1296" s="87">
        <f t="array" ref="G1296">IF(B1296="insumo",_xlfn.XLOOKUP($D1296,Insumos!$B$1:$B$996,Insumos!$D$1:$D$996),"")</f>
        <v>0.31</v>
      </c>
      <c r="H1296" s="87">
        <v>0.775837</v>
      </c>
      <c r="I1296" s="79">
        <v>0</v>
      </c>
      <c r="J1296" s="79">
        <v>0</v>
      </c>
      <c r="K1296" s="79"/>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77">
        <v>94</v>
      </c>
      <c r="B1297" s="77" t="s">
        <v>70</v>
      </c>
      <c r="C1297" s="77" t="s">
        <v>1715</v>
      </c>
      <c r="D1297" s="77" t="s">
        <v>412</v>
      </c>
      <c r="E1297" s="11" t="str">
        <f t="array" ref="E1297">_xlfn.XLOOKUP(D1297,Insumos!B:B,Insumos!C:$C)</f>
        <v>M</v>
      </c>
      <c r="F1297" s="81">
        <v>1.4815</v>
      </c>
      <c r="G1297" s="87">
        <f t="array" ref="G1297">IF(B1297="insumo",_xlfn.XLOOKUP($D1297,Insumos!$B$1:$B$996,Insumos!$D$1:$D$996),"")</f>
        <v>2.74</v>
      </c>
      <c r="H1297" s="87">
        <v>4.05931</v>
      </c>
      <c r="I1297" s="79">
        <v>0</v>
      </c>
      <c r="J1297" s="79">
        <v>0</v>
      </c>
      <c r="K1297" s="79"/>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77">
        <v>97</v>
      </c>
      <c r="B1298" s="77" t="s">
        <v>70</v>
      </c>
      <c r="C1298" s="77" t="s">
        <v>1715</v>
      </c>
      <c r="D1298" s="77" t="s">
        <v>413</v>
      </c>
      <c r="E1298" s="11" t="str">
        <f t="array" ref="E1298">_xlfn.XLOOKUP(D1298,Insumos!B:B,Insumos!C:$C)</f>
        <v>UN</v>
      </c>
      <c r="F1298" s="81">
        <v>20.186800000000002</v>
      </c>
      <c r="G1298" s="87">
        <f t="array" ref="G1298">IF(B1298="insumo",_xlfn.XLOOKUP($D1298,Insumos!$B$1:$B$996,Insumos!$D$1:$D$996),"")</f>
        <v>0.09</v>
      </c>
      <c r="H1298" s="87">
        <v>1.8168120000000001</v>
      </c>
      <c r="I1298" s="79">
        <v>0</v>
      </c>
      <c r="J1298" s="79">
        <v>0</v>
      </c>
      <c r="K1298" s="79"/>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77">
        <v>95</v>
      </c>
      <c r="B1299" s="77" t="s">
        <v>70</v>
      </c>
      <c r="C1299" s="77" t="s">
        <v>1715</v>
      </c>
      <c r="D1299" s="77" t="s">
        <v>414</v>
      </c>
      <c r="E1299" s="11" t="str">
        <f t="array" ref="E1299">_xlfn.XLOOKUP(D1299,Insumos!B:B,Insumos!C:$C)</f>
        <v>UN</v>
      </c>
      <c r="F1299" s="81">
        <v>0.4803</v>
      </c>
      <c r="G1299" s="87">
        <f t="array" ref="G1299">IF(B1299="insumo",_xlfn.XLOOKUP($D1299,Insumos!$B$1:$B$996,Insumos!$D$1:$D$996),"")</f>
        <v>0.2</v>
      </c>
      <c r="H1299" s="87">
        <v>9.6060000000000006E-2</v>
      </c>
      <c r="I1299" s="79">
        <v>0</v>
      </c>
      <c r="J1299" s="79">
        <v>0</v>
      </c>
      <c r="K1299" s="79"/>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336">
        <v>1</v>
      </c>
      <c r="B1300" s="336" t="s">
        <v>67</v>
      </c>
      <c r="C1300" s="336" t="s">
        <v>1716</v>
      </c>
      <c r="D1300" s="336" t="s">
        <v>1716</v>
      </c>
      <c r="E1300" s="337" t="s">
        <v>69</v>
      </c>
      <c r="F1300" s="336"/>
      <c r="G1300" s="338" t="str">
        <f t="array" ref="G1300">IF(B1300="insumo",_xlfn.XLOOKUP($D1300,Insumos!$B$1:$B$996,Insumos!$D$1:$D$996),"")</f>
        <v/>
      </c>
      <c r="H1300" s="338">
        <v>140.561004</v>
      </c>
      <c r="I1300" s="339">
        <v>0</v>
      </c>
      <c r="J1300" s="339">
        <v>0</v>
      </c>
      <c r="K1300" s="339"/>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77">
        <v>86</v>
      </c>
      <c r="B1301" s="77" t="s">
        <v>70</v>
      </c>
      <c r="C1301" s="77" t="s">
        <v>1716</v>
      </c>
      <c r="D1301" s="77" t="s">
        <v>406</v>
      </c>
      <c r="E1301" s="11" t="str">
        <f t="array" ref="E1301">_xlfn.XLOOKUP(D1301,Insumos!B:B,Insumos!C:$C)</f>
        <v>M2</v>
      </c>
      <c r="F1301" s="81">
        <v>1</v>
      </c>
      <c r="G1301" s="87">
        <f t="array" ref="G1301">IF(B1301="insumo",_xlfn.XLOOKUP($D1301,Insumos!$B$1:$B$996,Insumos!$D$1:$D$996),"")</f>
        <v>70</v>
      </c>
      <c r="H1301" s="87">
        <v>70</v>
      </c>
      <c r="I1301" s="79">
        <v>0</v>
      </c>
      <c r="J1301" s="79">
        <v>0</v>
      </c>
      <c r="K1301" s="79"/>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77">
        <v>47</v>
      </c>
      <c r="B1302" s="77" t="s">
        <v>70</v>
      </c>
      <c r="C1302" s="77" t="s">
        <v>1716</v>
      </c>
      <c r="D1302" s="77" t="s">
        <v>407</v>
      </c>
      <c r="E1302" s="11" t="str">
        <f t="array" ref="E1302">_xlfn.XLOOKUP(D1302,Insumos!B:B,Insumos!C:$C)</f>
        <v>M2</v>
      </c>
      <c r="F1302" s="81">
        <v>1.0529999999999999</v>
      </c>
      <c r="G1302" s="87">
        <f t="array" ref="G1302">IF(B1302="insumo",_xlfn.XLOOKUP($D1302,Insumos!$B$1:$B$996,Insumos!$D$1:$D$996),"")</f>
        <v>20.16</v>
      </c>
      <c r="H1302" s="87">
        <v>21.228480000000001</v>
      </c>
      <c r="I1302" s="79">
        <v>0</v>
      </c>
      <c r="J1302" s="79">
        <v>0</v>
      </c>
      <c r="K1302" s="79"/>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77">
        <v>95</v>
      </c>
      <c r="B1303" s="77" t="s">
        <v>70</v>
      </c>
      <c r="C1303" s="77" t="s">
        <v>1716</v>
      </c>
      <c r="D1303" s="77" t="s">
        <v>408</v>
      </c>
      <c r="E1303" s="11" t="str">
        <f t="array" ref="E1303">_xlfn.XLOOKUP(D1303,Insumos!B:B,Insumos!C:$C)</f>
        <v>UN</v>
      </c>
      <c r="F1303" s="81">
        <v>2.48</v>
      </c>
      <c r="G1303" s="87">
        <f t="array" ref="G1303">IF(B1303="insumo",_xlfn.XLOOKUP($D1303,Insumos!$B$1:$B$996,Insumos!$D$1:$D$996),"")</f>
        <v>0.504</v>
      </c>
      <c r="H1303" s="87">
        <v>1.2499199999999999</v>
      </c>
      <c r="I1303" s="79">
        <v>0</v>
      </c>
      <c r="J1303" s="79">
        <v>0</v>
      </c>
      <c r="K1303" s="79"/>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77">
        <v>26</v>
      </c>
      <c r="B1304" s="77" t="s">
        <v>70</v>
      </c>
      <c r="C1304" s="77" t="s">
        <v>1716</v>
      </c>
      <c r="D1304" s="77" t="s">
        <v>419</v>
      </c>
      <c r="E1304" s="11" t="str">
        <f t="array" ref="E1304">_xlfn.XLOOKUP(D1304,Insumos!B:B,Insumos!C:$C)</f>
        <v>M</v>
      </c>
      <c r="F1304" s="81">
        <v>0.76239999999999997</v>
      </c>
      <c r="G1304" s="87">
        <f t="array" ref="G1304">IF(B1304="insumo",_xlfn.XLOOKUP($D1304,Insumos!$B$1:$B$996,Insumos!$D$1:$D$996),"")</f>
        <v>8.64</v>
      </c>
      <c r="H1304" s="87">
        <v>6.5871360000000001</v>
      </c>
      <c r="I1304" s="79">
        <v>0</v>
      </c>
      <c r="J1304" s="79">
        <v>0</v>
      </c>
      <c r="K1304" s="79"/>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77">
        <v>26</v>
      </c>
      <c r="B1305" s="77" t="s">
        <v>70</v>
      </c>
      <c r="C1305" s="77" t="s">
        <v>1716</v>
      </c>
      <c r="D1305" s="77" t="s">
        <v>420</v>
      </c>
      <c r="E1305" s="11" t="str">
        <f t="array" ref="E1305">_xlfn.XLOOKUP(D1305,Insumos!B:B,Insumos!C:$C)</f>
        <v>M</v>
      </c>
      <c r="F1305" s="81">
        <v>2.0005999999999999</v>
      </c>
      <c r="G1305" s="87">
        <f t="array" ref="G1305">IF(B1305="insumo",_xlfn.XLOOKUP($D1305,Insumos!$B$1:$B$996,Insumos!$D$1:$D$996),"")</f>
        <v>18.09</v>
      </c>
      <c r="H1305" s="87">
        <v>36.190854000000002</v>
      </c>
      <c r="I1305" s="79">
        <v>0</v>
      </c>
      <c r="J1305" s="79">
        <v>0</v>
      </c>
      <c r="K1305" s="79"/>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77">
        <v>95</v>
      </c>
      <c r="B1306" s="77" t="s">
        <v>70</v>
      </c>
      <c r="C1306" s="77" t="s">
        <v>1716</v>
      </c>
      <c r="D1306" s="77" t="s">
        <v>404</v>
      </c>
      <c r="E1306" s="11" t="str">
        <f t="array" ref="E1306">_xlfn.XLOOKUP(D1306,Insumos!B:B,Insumos!C:$C)</f>
        <v>KG</v>
      </c>
      <c r="F1306" s="81">
        <v>0.54890000000000005</v>
      </c>
      <c r="G1306" s="87">
        <f t="array" ref="G1306">IF(B1306="insumo",_xlfn.XLOOKUP($D1306,Insumos!$B$1:$B$996,Insumos!$D$1:$D$996),"")</f>
        <v>3.43</v>
      </c>
      <c r="H1306" s="87">
        <v>1.882727</v>
      </c>
      <c r="I1306" s="79">
        <v>0</v>
      </c>
      <c r="J1306" s="79">
        <v>0</v>
      </c>
      <c r="K1306" s="79"/>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77">
        <v>94</v>
      </c>
      <c r="B1307" s="77" t="s">
        <v>70</v>
      </c>
      <c r="C1307" s="77" t="s">
        <v>1716</v>
      </c>
      <c r="D1307" s="77" t="s">
        <v>411</v>
      </c>
      <c r="E1307" s="11" t="str">
        <f t="array" ref="E1307">_xlfn.XLOOKUP(D1307,Insumos!B:B,Insumos!C:$C)</f>
        <v>M</v>
      </c>
      <c r="F1307" s="81">
        <v>1.2513000000000001</v>
      </c>
      <c r="G1307" s="87">
        <f t="array" ref="G1307">IF(B1307="insumo",_xlfn.XLOOKUP($D1307,Insumos!$B$1:$B$996,Insumos!$D$1:$D$996),"")</f>
        <v>0.31</v>
      </c>
      <c r="H1307" s="87">
        <v>0.387903</v>
      </c>
      <c r="I1307" s="79">
        <v>0</v>
      </c>
      <c r="J1307" s="79">
        <v>0</v>
      </c>
      <c r="K1307" s="79"/>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77">
        <v>94</v>
      </c>
      <c r="B1308" s="77" t="s">
        <v>70</v>
      </c>
      <c r="C1308" s="77" t="s">
        <v>1716</v>
      </c>
      <c r="D1308" s="77" t="s">
        <v>412</v>
      </c>
      <c r="E1308" s="11" t="str">
        <f t="array" ref="E1308">_xlfn.XLOOKUP(D1308,Insumos!B:B,Insumos!C:$C)</f>
        <v>M</v>
      </c>
      <c r="F1308" s="81">
        <v>0.74070000000000003</v>
      </c>
      <c r="G1308" s="87">
        <f t="array" ref="G1308">IF(B1308="insumo",_xlfn.XLOOKUP($D1308,Insumos!$B$1:$B$996,Insumos!$D$1:$D$996),"")</f>
        <v>2.74</v>
      </c>
      <c r="H1308" s="87">
        <v>2.0295179999999999</v>
      </c>
      <c r="I1308" s="79">
        <v>0</v>
      </c>
      <c r="J1308" s="79">
        <v>0</v>
      </c>
      <c r="K1308" s="79"/>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77">
        <v>97</v>
      </c>
      <c r="B1309" s="77" t="s">
        <v>70</v>
      </c>
      <c r="C1309" s="77" t="s">
        <v>1716</v>
      </c>
      <c r="D1309" s="77" t="s">
        <v>413</v>
      </c>
      <c r="E1309" s="11" t="str">
        <f t="array" ref="E1309">_xlfn.XLOOKUP(D1309,Insumos!B:B,Insumos!C:$C)</f>
        <v>UN</v>
      </c>
      <c r="F1309" s="81">
        <v>10.093400000000001</v>
      </c>
      <c r="G1309" s="87">
        <f t="array" ref="G1309">IF(B1309="insumo",_xlfn.XLOOKUP($D1309,Insumos!$B$1:$B$996,Insumos!$D$1:$D$996),"")</f>
        <v>0.09</v>
      </c>
      <c r="H1309" s="87">
        <v>0.90840600000000005</v>
      </c>
      <c r="I1309" s="79">
        <v>0</v>
      </c>
      <c r="J1309" s="79">
        <v>0</v>
      </c>
      <c r="K1309" s="79"/>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77">
        <v>95</v>
      </c>
      <c r="B1310" s="77" t="s">
        <v>70</v>
      </c>
      <c r="C1310" s="77" t="s">
        <v>1716</v>
      </c>
      <c r="D1310" s="77" t="s">
        <v>414</v>
      </c>
      <c r="E1310" s="11" t="str">
        <f t="array" ref="E1310">_xlfn.XLOOKUP(D1310,Insumos!B:B,Insumos!C:$C)</f>
        <v>UN</v>
      </c>
      <c r="F1310" s="81">
        <v>0.4803</v>
      </c>
      <c r="G1310" s="87">
        <f t="array" ref="G1310">IF(B1310="insumo",_xlfn.XLOOKUP($D1310,Insumos!$B$1:$B$996,Insumos!$D$1:$D$996),"")</f>
        <v>0.2</v>
      </c>
      <c r="H1310" s="87">
        <v>9.6060000000000006E-2</v>
      </c>
      <c r="I1310" s="79">
        <v>0</v>
      </c>
      <c r="J1310" s="79">
        <v>0</v>
      </c>
      <c r="K1310" s="79"/>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336">
        <v>1</v>
      </c>
      <c r="B1311" s="336" t="s">
        <v>67</v>
      </c>
      <c r="C1311" s="336" t="s">
        <v>1717</v>
      </c>
      <c r="D1311" s="336" t="s">
        <v>1717</v>
      </c>
      <c r="E1311" s="337" t="s">
        <v>69</v>
      </c>
      <c r="F1311" s="336"/>
      <c r="G1311" s="338" t="str">
        <f t="array" ref="G1311">IF(B1311="insumo",_xlfn.XLOOKUP($D1311,Insumos!$B$1:$B$996,Insumos!$D$1:$D$996),"")</f>
        <v/>
      </c>
      <c r="H1311" s="338">
        <v>147.86882399999999</v>
      </c>
      <c r="I1311" s="339">
        <v>0</v>
      </c>
      <c r="J1311" s="339">
        <v>0</v>
      </c>
      <c r="K1311" s="339"/>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77">
        <v>86</v>
      </c>
      <c r="B1312" s="77" t="s">
        <v>70</v>
      </c>
      <c r="C1312" s="77" t="s">
        <v>1717</v>
      </c>
      <c r="D1312" s="77" t="s">
        <v>406</v>
      </c>
      <c r="E1312" s="11" t="str">
        <f t="array" ref="E1312">_xlfn.XLOOKUP(D1312,Insumos!B:B,Insumos!C:$C)</f>
        <v>M2</v>
      </c>
      <c r="F1312" s="81">
        <v>1</v>
      </c>
      <c r="G1312" s="87">
        <f t="array" ref="G1312">IF(B1312="insumo",_xlfn.XLOOKUP($D1312,Insumos!$B$1:$B$996,Insumos!$D$1:$D$996),"")</f>
        <v>70</v>
      </c>
      <c r="H1312" s="87">
        <v>70</v>
      </c>
      <c r="I1312" s="79">
        <v>0</v>
      </c>
      <c r="J1312" s="79">
        <v>0</v>
      </c>
      <c r="K1312" s="79"/>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77">
        <v>49</v>
      </c>
      <c r="B1313" s="77" t="s">
        <v>70</v>
      </c>
      <c r="C1313" s="77" t="s">
        <v>1717</v>
      </c>
      <c r="D1313" s="77" t="s">
        <v>417</v>
      </c>
      <c r="E1313" s="11" t="str">
        <f t="array" ref="E1313">_xlfn.XLOOKUP(D1313,Insumos!B:B,Insumos!C:$C)</f>
        <v>M2</v>
      </c>
      <c r="F1313" s="81">
        <v>1.0529999999999999</v>
      </c>
      <c r="G1313" s="87">
        <f t="array" ref="G1313">IF(B1313="insumo",_xlfn.XLOOKUP($D1313,Insumos!$B$1:$B$996,Insumos!$D$1:$D$996),"")</f>
        <v>27.1</v>
      </c>
      <c r="H1313" s="87">
        <v>28.536300000000001</v>
      </c>
      <c r="I1313" s="79">
        <v>0</v>
      </c>
      <c r="J1313" s="79">
        <v>0</v>
      </c>
      <c r="K1313" s="79"/>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77">
        <v>95</v>
      </c>
      <c r="B1314" s="77" t="s">
        <v>70</v>
      </c>
      <c r="C1314" s="77" t="s">
        <v>1717</v>
      </c>
      <c r="D1314" s="77" t="s">
        <v>408</v>
      </c>
      <c r="E1314" s="11" t="str">
        <f t="array" ref="E1314">_xlfn.XLOOKUP(D1314,Insumos!B:B,Insumos!C:$C)</f>
        <v>UN</v>
      </c>
      <c r="F1314" s="81">
        <v>2.48</v>
      </c>
      <c r="G1314" s="87">
        <f t="array" ref="G1314">IF(B1314="insumo",_xlfn.XLOOKUP($D1314,Insumos!$B$1:$B$996,Insumos!$D$1:$D$996),"")</f>
        <v>0.504</v>
      </c>
      <c r="H1314" s="87">
        <v>1.2499199999999999</v>
      </c>
      <c r="I1314" s="79">
        <v>0</v>
      </c>
      <c r="J1314" s="79">
        <v>0</v>
      </c>
      <c r="K1314" s="79"/>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77">
        <v>26</v>
      </c>
      <c r="B1315" s="77" t="s">
        <v>70</v>
      </c>
      <c r="C1315" s="77" t="s">
        <v>1717</v>
      </c>
      <c r="D1315" s="77" t="s">
        <v>419</v>
      </c>
      <c r="E1315" s="11" t="str">
        <f t="array" ref="E1315">_xlfn.XLOOKUP(D1315,Insumos!B:B,Insumos!C:$C)</f>
        <v>M</v>
      </c>
      <c r="F1315" s="81">
        <v>0.76239999999999997</v>
      </c>
      <c r="G1315" s="87">
        <f t="array" ref="G1315">IF(B1315="insumo",_xlfn.XLOOKUP($D1315,Insumos!$B$1:$B$996,Insumos!$D$1:$D$996),"")</f>
        <v>8.64</v>
      </c>
      <c r="H1315" s="87">
        <v>6.5871360000000001</v>
      </c>
      <c r="I1315" s="79">
        <v>0</v>
      </c>
      <c r="J1315" s="79">
        <v>0</v>
      </c>
      <c r="K1315" s="79"/>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77">
        <v>26</v>
      </c>
      <c r="B1316" s="77" t="s">
        <v>70</v>
      </c>
      <c r="C1316" s="77" t="s">
        <v>1717</v>
      </c>
      <c r="D1316" s="77" t="s">
        <v>420</v>
      </c>
      <c r="E1316" s="11" t="str">
        <f t="array" ref="E1316">_xlfn.XLOOKUP(D1316,Insumos!B:B,Insumos!C:$C)</f>
        <v>M</v>
      </c>
      <c r="F1316" s="81">
        <v>2.0005999999999999</v>
      </c>
      <c r="G1316" s="87">
        <f t="array" ref="G1316">IF(B1316="insumo",_xlfn.XLOOKUP($D1316,Insumos!$B$1:$B$996,Insumos!$D$1:$D$996),"")</f>
        <v>18.09</v>
      </c>
      <c r="H1316" s="87">
        <v>36.190854000000002</v>
      </c>
      <c r="I1316" s="79">
        <v>0</v>
      </c>
      <c r="J1316" s="79">
        <v>0</v>
      </c>
      <c r="K1316" s="79"/>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77">
        <v>95</v>
      </c>
      <c r="B1317" s="77" t="s">
        <v>70</v>
      </c>
      <c r="C1317" s="77" t="s">
        <v>1717</v>
      </c>
      <c r="D1317" s="77" t="s">
        <v>404</v>
      </c>
      <c r="E1317" s="11" t="str">
        <f t="array" ref="E1317">_xlfn.XLOOKUP(D1317,Insumos!B:B,Insumos!C:$C)</f>
        <v>KG</v>
      </c>
      <c r="F1317" s="81">
        <v>0.54890000000000005</v>
      </c>
      <c r="G1317" s="87">
        <f t="array" ref="G1317">IF(B1317="insumo",_xlfn.XLOOKUP($D1317,Insumos!$B$1:$B$996,Insumos!$D$1:$D$996),"")</f>
        <v>3.43</v>
      </c>
      <c r="H1317" s="87">
        <v>1.882727</v>
      </c>
      <c r="I1317" s="79">
        <v>0</v>
      </c>
      <c r="J1317" s="79">
        <v>0</v>
      </c>
      <c r="K1317" s="79"/>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77">
        <v>94</v>
      </c>
      <c r="B1318" s="77" t="s">
        <v>70</v>
      </c>
      <c r="C1318" s="77" t="s">
        <v>1717</v>
      </c>
      <c r="D1318" s="77" t="s">
        <v>411</v>
      </c>
      <c r="E1318" s="11" t="str">
        <f t="array" ref="E1318">_xlfn.XLOOKUP(D1318,Insumos!B:B,Insumos!C:$C)</f>
        <v>M</v>
      </c>
      <c r="F1318" s="81">
        <v>1.2513000000000001</v>
      </c>
      <c r="G1318" s="87">
        <f t="array" ref="G1318">IF(B1318="insumo",_xlfn.XLOOKUP($D1318,Insumos!$B$1:$B$996,Insumos!$D$1:$D$996),"")</f>
        <v>0.31</v>
      </c>
      <c r="H1318" s="87">
        <v>0.387903</v>
      </c>
      <c r="I1318" s="79">
        <v>0</v>
      </c>
      <c r="J1318" s="79">
        <v>0</v>
      </c>
      <c r="K1318" s="79"/>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77">
        <v>94</v>
      </c>
      <c r="B1319" s="77" t="s">
        <v>70</v>
      </c>
      <c r="C1319" s="77" t="s">
        <v>1717</v>
      </c>
      <c r="D1319" s="77" t="s">
        <v>412</v>
      </c>
      <c r="E1319" s="11" t="str">
        <f t="array" ref="E1319">_xlfn.XLOOKUP(D1319,Insumos!B:B,Insumos!C:$C)</f>
        <v>M</v>
      </c>
      <c r="F1319" s="81">
        <v>0.74070000000000003</v>
      </c>
      <c r="G1319" s="87">
        <f t="array" ref="G1319">IF(B1319="insumo",_xlfn.XLOOKUP($D1319,Insumos!$B$1:$B$996,Insumos!$D$1:$D$996),"")</f>
        <v>2.74</v>
      </c>
      <c r="H1319" s="87">
        <v>2.0295179999999999</v>
      </c>
      <c r="I1319" s="79">
        <v>0</v>
      </c>
      <c r="J1319" s="79">
        <v>0</v>
      </c>
      <c r="K1319" s="79"/>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77">
        <v>97</v>
      </c>
      <c r="B1320" s="77" t="s">
        <v>70</v>
      </c>
      <c r="C1320" s="77" t="s">
        <v>1717</v>
      </c>
      <c r="D1320" s="77" t="s">
        <v>413</v>
      </c>
      <c r="E1320" s="11" t="str">
        <f t="array" ref="E1320">_xlfn.XLOOKUP(D1320,Insumos!B:B,Insumos!C:$C)</f>
        <v>UN</v>
      </c>
      <c r="F1320" s="81">
        <v>10.093400000000001</v>
      </c>
      <c r="G1320" s="87">
        <f t="array" ref="G1320">IF(B1320="insumo",_xlfn.XLOOKUP($D1320,Insumos!$B$1:$B$996,Insumos!$D$1:$D$996),"")</f>
        <v>0.09</v>
      </c>
      <c r="H1320" s="87">
        <v>0.90840600000000005</v>
      </c>
      <c r="I1320" s="79">
        <v>0</v>
      </c>
      <c r="J1320" s="79">
        <v>0</v>
      </c>
      <c r="K1320" s="79"/>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77">
        <v>95</v>
      </c>
      <c r="B1321" s="77" t="s">
        <v>70</v>
      </c>
      <c r="C1321" s="77" t="s">
        <v>1717</v>
      </c>
      <c r="D1321" s="77" t="s">
        <v>414</v>
      </c>
      <c r="E1321" s="11" t="str">
        <f t="array" ref="E1321">_xlfn.XLOOKUP(D1321,Insumos!B:B,Insumos!C:$C)</f>
        <v>UN</v>
      </c>
      <c r="F1321" s="81">
        <v>0.4803</v>
      </c>
      <c r="G1321" s="87">
        <f t="array" ref="G1321">IF(B1321="insumo",_xlfn.XLOOKUP($D1321,Insumos!$B$1:$B$996,Insumos!$D$1:$D$996),"")</f>
        <v>0.2</v>
      </c>
      <c r="H1321" s="87">
        <v>9.6060000000000006E-2</v>
      </c>
      <c r="I1321" s="79">
        <v>0</v>
      </c>
      <c r="J1321" s="79">
        <v>0</v>
      </c>
      <c r="K1321" s="79"/>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336">
        <v>1</v>
      </c>
      <c r="B1322" s="336" t="s">
        <v>67</v>
      </c>
      <c r="C1322" s="336" t="s">
        <v>1718</v>
      </c>
      <c r="D1322" s="336" t="s">
        <v>1718</v>
      </c>
      <c r="E1322" s="337" t="s">
        <v>69</v>
      </c>
      <c r="F1322" s="336"/>
      <c r="G1322" s="338" t="str">
        <f t="array" ref="G1322">IF(B1322="insumo",_xlfn.XLOOKUP($D1322,Insumos!$B$1:$B$996,Insumos!$D$1:$D$996),"")</f>
        <v/>
      </c>
      <c r="H1322" s="338">
        <v>211.01940400000001</v>
      </c>
      <c r="I1322" s="339">
        <v>0</v>
      </c>
      <c r="J1322" s="339">
        <v>0</v>
      </c>
      <c r="K1322" s="339"/>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77">
        <v>86</v>
      </c>
      <c r="B1323" s="77" t="s">
        <v>70</v>
      </c>
      <c r="C1323" s="77" t="s">
        <v>1718</v>
      </c>
      <c r="D1323" s="77" t="s">
        <v>406</v>
      </c>
      <c r="E1323" s="11" t="str">
        <f t="array" ref="E1323">_xlfn.XLOOKUP(D1323,Insumos!B:B,Insumos!C:$C)</f>
        <v>M2</v>
      </c>
      <c r="F1323" s="81">
        <v>1</v>
      </c>
      <c r="G1323" s="87">
        <f t="array" ref="G1323">IF(B1323="insumo",_xlfn.XLOOKUP($D1323,Insumos!$B$1:$B$996,Insumos!$D$1:$D$996),"")</f>
        <v>70</v>
      </c>
      <c r="H1323" s="87">
        <v>70</v>
      </c>
      <c r="I1323" s="79">
        <v>0</v>
      </c>
      <c r="J1323" s="79">
        <v>0</v>
      </c>
      <c r="K1323" s="79"/>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77">
        <v>47</v>
      </c>
      <c r="B1324" s="77" t="s">
        <v>70</v>
      </c>
      <c r="C1324" s="77" t="s">
        <v>1718</v>
      </c>
      <c r="D1324" s="77" t="s">
        <v>407</v>
      </c>
      <c r="E1324" s="11" t="str">
        <f t="array" ref="E1324">_xlfn.XLOOKUP(D1324,Insumos!B:B,Insumos!C:$C)</f>
        <v>M2</v>
      </c>
      <c r="F1324" s="81">
        <v>2.1059999999999999</v>
      </c>
      <c r="G1324" s="87">
        <f t="array" ref="G1324">IF(B1324="insumo",_xlfn.XLOOKUP($D1324,Insumos!$B$1:$B$996,Insumos!$D$1:$D$996),"")</f>
        <v>20.16</v>
      </c>
      <c r="H1324" s="87">
        <v>42.456960000000002</v>
      </c>
      <c r="I1324" s="79">
        <v>0</v>
      </c>
      <c r="J1324" s="79">
        <v>0</v>
      </c>
      <c r="K1324" s="79"/>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77">
        <v>95</v>
      </c>
      <c r="B1325" s="77" t="s">
        <v>70</v>
      </c>
      <c r="C1325" s="77" t="s">
        <v>1718</v>
      </c>
      <c r="D1325" s="77" t="s">
        <v>408</v>
      </c>
      <c r="E1325" s="11" t="str">
        <f t="array" ref="E1325">_xlfn.XLOOKUP(D1325,Insumos!B:B,Insumos!C:$C)</f>
        <v>UN</v>
      </c>
      <c r="F1325" s="81">
        <v>4.95</v>
      </c>
      <c r="G1325" s="87">
        <f t="array" ref="G1325">IF(B1325="insumo",_xlfn.XLOOKUP($D1325,Insumos!$B$1:$B$996,Insumos!$D$1:$D$996),"")</f>
        <v>0.504</v>
      </c>
      <c r="H1325" s="87">
        <v>2.4948000000000001</v>
      </c>
      <c r="I1325" s="79">
        <v>0</v>
      </c>
      <c r="J1325" s="79">
        <v>0</v>
      </c>
      <c r="K1325" s="79"/>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77">
        <v>26</v>
      </c>
      <c r="B1326" s="77" t="s">
        <v>70</v>
      </c>
      <c r="C1326" s="77" t="s">
        <v>1718</v>
      </c>
      <c r="D1326" s="77" t="s">
        <v>419</v>
      </c>
      <c r="E1326" s="11" t="str">
        <f t="array" ref="E1326">_xlfn.XLOOKUP(D1326,Insumos!B:B,Insumos!C:$C)</f>
        <v>M</v>
      </c>
      <c r="F1326" s="81">
        <v>1.5247999999999999</v>
      </c>
      <c r="G1326" s="87">
        <f t="array" ref="G1326">IF(B1326="insumo",_xlfn.XLOOKUP($D1326,Insumos!$B$1:$B$996,Insumos!$D$1:$D$996),"")</f>
        <v>8.64</v>
      </c>
      <c r="H1326" s="87">
        <v>13.174272</v>
      </c>
      <c r="I1326" s="79">
        <v>0</v>
      </c>
      <c r="J1326" s="79">
        <v>0</v>
      </c>
      <c r="K1326" s="79"/>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77">
        <v>26</v>
      </c>
      <c r="B1327" s="77" t="s">
        <v>70</v>
      </c>
      <c r="C1327" s="77" t="s">
        <v>1718</v>
      </c>
      <c r="D1327" s="77" t="s">
        <v>420</v>
      </c>
      <c r="E1327" s="11" t="str">
        <f t="array" ref="E1327">_xlfn.XLOOKUP(D1327,Insumos!B:B,Insumos!C:$C)</f>
        <v>M</v>
      </c>
      <c r="F1327" s="81">
        <v>4.0011000000000001</v>
      </c>
      <c r="G1327" s="87">
        <f t="array" ref="G1327">IF(B1327="insumo",_xlfn.XLOOKUP($D1327,Insumos!$B$1:$B$996,Insumos!$D$1:$D$996),"")</f>
        <v>18.09</v>
      </c>
      <c r="H1327" s="87">
        <v>72.379898999999995</v>
      </c>
      <c r="I1327" s="79">
        <v>0</v>
      </c>
      <c r="J1327" s="79">
        <v>0</v>
      </c>
      <c r="K1327" s="79"/>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77">
        <v>95</v>
      </c>
      <c r="B1328" s="77" t="s">
        <v>70</v>
      </c>
      <c r="C1328" s="77" t="s">
        <v>1718</v>
      </c>
      <c r="D1328" s="77" t="s">
        <v>404</v>
      </c>
      <c r="E1328" s="11" t="str">
        <f t="array" ref="E1328">_xlfn.XLOOKUP(D1328,Insumos!B:B,Insumos!C:$C)</f>
        <v>KG</v>
      </c>
      <c r="F1328" s="81">
        <v>1.0978000000000001</v>
      </c>
      <c r="G1328" s="87">
        <f t="array" ref="G1328">IF(B1328="insumo",_xlfn.XLOOKUP($D1328,Insumos!$B$1:$B$996,Insumos!$D$1:$D$996),"")</f>
        <v>3.43</v>
      </c>
      <c r="H1328" s="87">
        <v>3.7654540000000001</v>
      </c>
      <c r="I1328" s="79">
        <v>0</v>
      </c>
      <c r="J1328" s="79">
        <v>0</v>
      </c>
      <c r="K1328" s="79"/>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77">
        <v>94</v>
      </c>
      <c r="B1329" s="77" t="s">
        <v>70</v>
      </c>
      <c r="C1329" s="77" t="s">
        <v>1718</v>
      </c>
      <c r="D1329" s="77" t="s">
        <v>411</v>
      </c>
      <c r="E1329" s="11" t="str">
        <f t="array" ref="E1329">_xlfn.XLOOKUP(D1329,Insumos!B:B,Insumos!C:$C)</f>
        <v>M</v>
      </c>
      <c r="F1329" s="81">
        <v>2.5026999999999999</v>
      </c>
      <c r="G1329" s="87">
        <f t="array" ref="G1329">IF(B1329="insumo",_xlfn.XLOOKUP($D1329,Insumos!$B$1:$B$996,Insumos!$D$1:$D$996),"")</f>
        <v>0.31</v>
      </c>
      <c r="H1329" s="87">
        <v>0.775837</v>
      </c>
      <c r="I1329" s="79">
        <v>0</v>
      </c>
      <c r="J1329" s="79">
        <v>0</v>
      </c>
      <c r="K1329" s="79"/>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77">
        <v>94</v>
      </c>
      <c r="B1330" s="77" t="s">
        <v>70</v>
      </c>
      <c r="C1330" s="77" t="s">
        <v>1718</v>
      </c>
      <c r="D1330" s="77" t="s">
        <v>412</v>
      </c>
      <c r="E1330" s="11" t="str">
        <f t="array" ref="E1330">_xlfn.XLOOKUP(D1330,Insumos!B:B,Insumos!C:$C)</f>
        <v>M</v>
      </c>
      <c r="F1330" s="81">
        <v>1.4815</v>
      </c>
      <c r="G1330" s="87">
        <f t="array" ref="G1330">IF(B1330="insumo",_xlfn.XLOOKUP($D1330,Insumos!$B$1:$B$996,Insumos!$D$1:$D$996),"")</f>
        <v>2.74</v>
      </c>
      <c r="H1330" s="87">
        <v>4.05931</v>
      </c>
      <c r="I1330" s="79">
        <v>0</v>
      </c>
      <c r="J1330" s="79">
        <v>0</v>
      </c>
      <c r="K1330" s="79"/>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77">
        <v>97</v>
      </c>
      <c r="B1331" s="77" t="s">
        <v>70</v>
      </c>
      <c r="C1331" s="77" t="s">
        <v>1718</v>
      </c>
      <c r="D1331" s="77" t="s">
        <v>413</v>
      </c>
      <c r="E1331" s="11" t="str">
        <f t="array" ref="E1331">_xlfn.XLOOKUP(D1331,Insumos!B:B,Insumos!C:$C)</f>
        <v>UN</v>
      </c>
      <c r="F1331" s="81">
        <v>20.186800000000002</v>
      </c>
      <c r="G1331" s="87">
        <f t="array" ref="G1331">IF(B1331="insumo",_xlfn.XLOOKUP($D1331,Insumos!$B$1:$B$996,Insumos!$D$1:$D$996),"")</f>
        <v>0.09</v>
      </c>
      <c r="H1331" s="87">
        <v>1.8168120000000001</v>
      </c>
      <c r="I1331" s="79">
        <v>0</v>
      </c>
      <c r="J1331" s="79">
        <v>0</v>
      </c>
      <c r="K1331" s="79"/>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77">
        <v>95</v>
      </c>
      <c r="B1332" s="77" t="s">
        <v>70</v>
      </c>
      <c r="C1332" s="77" t="s">
        <v>1718</v>
      </c>
      <c r="D1332" s="77" t="s">
        <v>414</v>
      </c>
      <c r="E1332" s="11" t="str">
        <f t="array" ref="E1332">_xlfn.XLOOKUP(D1332,Insumos!B:B,Insumos!C:$C)</f>
        <v>UN</v>
      </c>
      <c r="F1332" s="81">
        <v>0.4803</v>
      </c>
      <c r="G1332" s="87">
        <f t="array" ref="G1332">IF(B1332="insumo",_xlfn.XLOOKUP($D1332,Insumos!$B$1:$B$996,Insumos!$D$1:$D$996),"")</f>
        <v>0.2</v>
      </c>
      <c r="H1332" s="87">
        <v>9.6060000000000006E-2</v>
      </c>
      <c r="I1332" s="79">
        <v>0</v>
      </c>
      <c r="J1332" s="79">
        <v>0</v>
      </c>
      <c r="K1332" s="79"/>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336">
        <v>1</v>
      </c>
      <c r="B1333" s="336" t="s">
        <v>67</v>
      </c>
      <c r="C1333" s="336" t="s">
        <v>1719</v>
      </c>
      <c r="D1333" s="336" t="s">
        <v>1719</v>
      </c>
      <c r="E1333" s="337" t="s">
        <v>69</v>
      </c>
      <c r="F1333" s="336"/>
      <c r="G1333" s="338" t="str">
        <f t="array" ref="G1333">IF(B1333="insumo",_xlfn.XLOOKUP($D1333,Insumos!$B$1:$B$996,Insumos!$D$1:$D$996),"")</f>
        <v/>
      </c>
      <c r="H1333" s="338">
        <v>225.63504399999999</v>
      </c>
      <c r="I1333" s="339">
        <v>0</v>
      </c>
      <c r="J1333" s="339">
        <v>0</v>
      </c>
      <c r="K1333" s="339"/>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77">
        <v>86</v>
      </c>
      <c r="B1334" s="77" t="s">
        <v>70</v>
      </c>
      <c r="C1334" s="77" t="s">
        <v>1719</v>
      </c>
      <c r="D1334" s="77" t="s">
        <v>406</v>
      </c>
      <c r="E1334" s="11" t="str">
        <f t="array" ref="E1334">_xlfn.XLOOKUP(D1334,Insumos!B:B,Insumos!C:$C)</f>
        <v>M2</v>
      </c>
      <c r="F1334" s="81">
        <v>1</v>
      </c>
      <c r="G1334" s="87">
        <f t="array" ref="G1334">IF(B1334="insumo",_xlfn.XLOOKUP($D1334,Insumos!$B$1:$B$996,Insumos!$D$1:$D$996),"")</f>
        <v>70</v>
      </c>
      <c r="H1334" s="87">
        <v>70</v>
      </c>
      <c r="I1334" s="79">
        <v>0</v>
      </c>
      <c r="J1334" s="79">
        <v>0</v>
      </c>
      <c r="K1334" s="79"/>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77">
        <v>49</v>
      </c>
      <c r="B1335" s="77" t="s">
        <v>70</v>
      </c>
      <c r="C1335" s="77" t="s">
        <v>1719</v>
      </c>
      <c r="D1335" s="77" t="s">
        <v>417</v>
      </c>
      <c r="E1335" s="11" t="str">
        <f t="array" ref="E1335">_xlfn.XLOOKUP(D1335,Insumos!B:B,Insumos!C:$C)</f>
        <v>M2</v>
      </c>
      <c r="F1335" s="81">
        <v>2.1059999999999999</v>
      </c>
      <c r="G1335" s="87">
        <f t="array" ref="G1335">IF(B1335="insumo",_xlfn.XLOOKUP($D1335,Insumos!$B$1:$B$996,Insumos!$D$1:$D$996),"")</f>
        <v>27.1</v>
      </c>
      <c r="H1335" s="87">
        <v>57.072600000000001</v>
      </c>
      <c r="I1335" s="79">
        <v>0</v>
      </c>
      <c r="J1335" s="79">
        <v>0</v>
      </c>
      <c r="K1335" s="79"/>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77">
        <v>95</v>
      </c>
      <c r="B1336" s="77" t="s">
        <v>70</v>
      </c>
      <c r="C1336" s="77" t="s">
        <v>1719</v>
      </c>
      <c r="D1336" s="77" t="s">
        <v>408</v>
      </c>
      <c r="E1336" s="11" t="str">
        <f t="array" ref="E1336">_xlfn.XLOOKUP(D1336,Insumos!B:B,Insumos!C:$C)</f>
        <v>UN</v>
      </c>
      <c r="F1336" s="81">
        <v>4.95</v>
      </c>
      <c r="G1336" s="87">
        <f t="array" ref="G1336">IF(B1336="insumo",_xlfn.XLOOKUP($D1336,Insumos!$B$1:$B$996,Insumos!$D$1:$D$996),"")</f>
        <v>0.504</v>
      </c>
      <c r="H1336" s="87">
        <v>2.4948000000000001</v>
      </c>
      <c r="I1336" s="79">
        <v>0</v>
      </c>
      <c r="J1336" s="79">
        <v>0</v>
      </c>
      <c r="K1336" s="79"/>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77">
        <v>26</v>
      </c>
      <c r="B1337" s="77" t="s">
        <v>70</v>
      </c>
      <c r="C1337" s="77" t="s">
        <v>1719</v>
      </c>
      <c r="D1337" s="77" t="s">
        <v>419</v>
      </c>
      <c r="E1337" s="11" t="str">
        <f t="array" ref="E1337">_xlfn.XLOOKUP(D1337,Insumos!B:B,Insumos!C:$C)</f>
        <v>M</v>
      </c>
      <c r="F1337" s="81">
        <v>1.5247999999999999</v>
      </c>
      <c r="G1337" s="87">
        <f t="array" ref="G1337">IF(B1337="insumo",_xlfn.XLOOKUP($D1337,Insumos!$B$1:$B$996,Insumos!$D$1:$D$996),"")</f>
        <v>8.64</v>
      </c>
      <c r="H1337" s="87">
        <v>13.174272</v>
      </c>
      <c r="I1337" s="79">
        <v>0</v>
      </c>
      <c r="J1337" s="79">
        <v>0</v>
      </c>
      <c r="K1337" s="79"/>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77">
        <v>26</v>
      </c>
      <c r="B1338" s="77" t="s">
        <v>70</v>
      </c>
      <c r="C1338" s="77" t="s">
        <v>1719</v>
      </c>
      <c r="D1338" s="77" t="s">
        <v>420</v>
      </c>
      <c r="E1338" s="11" t="str">
        <f t="array" ref="E1338">_xlfn.XLOOKUP(D1338,Insumos!B:B,Insumos!C:$C)</f>
        <v>M</v>
      </c>
      <c r="F1338" s="81">
        <v>4.0011000000000001</v>
      </c>
      <c r="G1338" s="87">
        <f t="array" ref="G1338">IF(B1338="insumo",_xlfn.XLOOKUP($D1338,Insumos!$B$1:$B$996,Insumos!$D$1:$D$996),"")</f>
        <v>18.09</v>
      </c>
      <c r="H1338" s="87">
        <v>72.379898999999995</v>
      </c>
      <c r="I1338" s="79">
        <v>0</v>
      </c>
      <c r="J1338" s="79">
        <v>0</v>
      </c>
      <c r="K1338" s="79"/>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77">
        <v>95</v>
      </c>
      <c r="B1339" s="77" t="s">
        <v>70</v>
      </c>
      <c r="C1339" s="77" t="s">
        <v>1719</v>
      </c>
      <c r="D1339" s="77" t="s">
        <v>404</v>
      </c>
      <c r="E1339" s="11" t="str">
        <f t="array" ref="E1339">_xlfn.XLOOKUP(D1339,Insumos!B:B,Insumos!C:$C)</f>
        <v>KG</v>
      </c>
      <c r="F1339" s="81">
        <v>1.0978000000000001</v>
      </c>
      <c r="G1339" s="87">
        <f t="array" ref="G1339">IF(B1339="insumo",_xlfn.XLOOKUP($D1339,Insumos!$B$1:$B$996,Insumos!$D$1:$D$996),"")</f>
        <v>3.43</v>
      </c>
      <c r="H1339" s="87">
        <v>3.7654540000000001</v>
      </c>
      <c r="I1339" s="79">
        <v>0</v>
      </c>
      <c r="J1339" s="79">
        <v>0</v>
      </c>
      <c r="K1339" s="79"/>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77">
        <v>94</v>
      </c>
      <c r="B1340" s="77" t="s">
        <v>70</v>
      </c>
      <c r="C1340" s="77" t="s">
        <v>1719</v>
      </c>
      <c r="D1340" s="77" t="s">
        <v>411</v>
      </c>
      <c r="E1340" s="11" t="str">
        <f t="array" ref="E1340">_xlfn.XLOOKUP(D1340,Insumos!B:B,Insumos!C:$C)</f>
        <v>M</v>
      </c>
      <c r="F1340" s="81">
        <v>2.5026999999999999</v>
      </c>
      <c r="G1340" s="87">
        <f t="array" ref="G1340">IF(B1340="insumo",_xlfn.XLOOKUP($D1340,Insumos!$B$1:$B$996,Insumos!$D$1:$D$996),"")</f>
        <v>0.31</v>
      </c>
      <c r="H1340" s="87">
        <v>0.775837</v>
      </c>
      <c r="I1340" s="79">
        <v>0</v>
      </c>
      <c r="J1340" s="79">
        <v>0</v>
      </c>
      <c r="K1340" s="79"/>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77">
        <v>94</v>
      </c>
      <c r="B1341" s="77" t="s">
        <v>70</v>
      </c>
      <c r="C1341" s="77" t="s">
        <v>1719</v>
      </c>
      <c r="D1341" s="77" t="s">
        <v>412</v>
      </c>
      <c r="E1341" s="11" t="str">
        <f t="array" ref="E1341">_xlfn.XLOOKUP(D1341,Insumos!B:B,Insumos!C:$C)</f>
        <v>M</v>
      </c>
      <c r="F1341" s="81">
        <v>1.4815</v>
      </c>
      <c r="G1341" s="87">
        <f t="array" ref="G1341">IF(B1341="insumo",_xlfn.XLOOKUP($D1341,Insumos!$B$1:$B$996,Insumos!$D$1:$D$996),"")</f>
        <v>2.74</v>
      </c>
      <c r="H1341" s="87">
        <v>4.05931</v>
      </c>
      <c r="I1341" s="79">
        <v>0</v>
      </c>
      <c r="J1341" s="79">
        <v>0</v>
      </c>
      <c r="K1341" s="79"/>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77">
        <v>97</v>
      </c>
      <c r="B1342" s="77" t="s">
        <v>70</v>
      </c>
      <c r="C1342" s="77" t="s">
        <v>1719</v>
      </c>
      <c r="D1342" s="77" t="s">
        <v>413</v>
      </c>
      <c r="E1342" s="11" t="str">
        <f t="array" ref="E1342">_xlfn.XLOOKUP(D1342,Insumos!B:B,Insumos!C:$C)</f>
        <v>UN</v>
      </c>
      <c r="F1342" s="81">
        <v>20.186800000000002</v>
      </c>
      <c r="G1342" s="87">
        <f t="array" ref="G1342">IF(B1342="insumo",_xlfn.XLOOKUP($D1342,Insumos!$B$1:$B$996,Insumos!$D$1:$D$996),"")</f>
        <v>0.09</v>
      </c>
      <c r="H1342" s="87">
        <v>1.8168120000000001</v>
      </c>
      <c r="I1342" s="79">
        <v>0</v>
      </c>
      <c r="J1342" s="79">
        <v>0</v>
      </c>
      <c r="K1342" s="79"/>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77">
        <v>95</v>
      </c>
      <c r="B1343" s="77" t="s">
        <v>70</v>
      </c>
      <c r="C1343" s="77" t="s">
        <v>1719</v>
      </c>
      <c r="D1343" s="77" t="s">
        <v>414</v>
      </c>
      <c r="E1343" s="11" t="str">
        <f t="array" ref="E1343">_xlfn.XLOOKUP(D1343,Insumos!B:B,Insumos!C:$C)</f>
        <v>UN</v>
      </c>
      <c r="F1343" s="81">
        <v>0.4803</v>
      </c>
      <c r="G1343" s="87">
        <f t="array" ref="G1343">IF(B1343="insumo",_xlfn.XLOOKUP($D1343,Insumos!$B$1:$B$996,Insumos!$D$1:$D$996),"")</f>
        <v>0.2</v>
      </c>
      <c r="H1343" s="87">
        <v>9.6060000000000006E-2</v>
      </c>
      <c r="I1343" s="79">
        <v>0</v>
      </c>
      <c r="J1343" s="79">
        <v>0</v>
      </c>
      <c r="K1343" s="79"/>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336">
        <v>1</v>
      </c>
      <c r="B1344" s="336" t="s">
        <v>67</v>
      </c>
      <c r="C1344" s="336" t="s">
        <v>1720</v>
      </c>
      <c r="D1344" s="336" t="s">
        <v>1720</v>
      </c>
      <c r="E1344" s="337" t="s">
        <v>69</v>
      </c>
      <c r="F1344" s="336"/>
      <c r="G1344" s="338" t="str">
        <f t="array" ref="G1344">IF(B1344="insumo",_xlfn.XLOOKUP($D1344,Insumos!$B$1:$B$996,Insumos!$D$1:$D$996),"")</f>
        <v/>
      </c>
      <c r="H1344" s="338">
        <v>218.327224</v>
      </c>
      <c r="I1344" s="339">
        <v>0</v>
      </c>
      <c r="J1344" s="339">
        <v>0</v>
      </c>
      <c r="K1344" s="339"/>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77">
        <v>86</v>
      </c>
      <c r="B1345" s="77" t="s">
        <v>70</v>
      </c>
      <c r="C1345" s="77" t="s">
        <v>1720</v>
      </c>
      <c r="D1345" s="77" t="s">
        <v>406</v>
      </c>
      <c r="E1345" s="11" t="str">
        <f t="array" ref="E1345">_xlfn.XLOOKUP(D1345,Insumos!B:B,Insumos!C:$C)</f>
        <v>M2</v>
      </c>
      <c r="F1345" s="81">
        <v>1</v>
      </c>
      <c r="G1345" s="87">
        <f t="array" ref="G1345">IF(B1345="insumo",_xlfn.XLOOKUP($D1345,Insumos!$B$1:$B$996,Insumos!$D$1:$D$996),"")</f>
        <v>70</v>
      </c>
      <c r="H1345" s="87">
        <v>70</v>
      </c>
      <c r="I1345" s="79">
        <v>0</v>
      </c>
      <c r="J1345" s="79">
        <v>0</v>
      </c>
      <c r="K1345" s="79"/>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77">
        <v>49</v>
      </c>
      <c r="B1346" s="77" t="s">
        <v>70</v>
      </c>
      <c r="C1346" s="77" t="s">
        <v>1720</v>
      </c>
      <c r="D1346" s="77" t="s">
        <v>417</v>
      </c>
      <c r="E1346" s="11" t="str">
        <f t="array" ref="E1346">_xlfn.XLOOKUP(D1346,Insumos!B:B,Insumos!C:$C)</f>
        <v>M2</v>
      </c>
      <c r="F1346" s="81">
        <v>1.0529999999999999</v>
      </c>
      <c r="G1346" s="87">
        <f t="array" ref="G1346">IF(B1346="insumo",_xlfn.XLOOKUP($D1346,Insumos!$B$1:$B$996,Insumos!$D$1:$D$996),"")</f>
        <v>27.1</v>
      </c>
      <c r="H1346" s="87">
        <v>28.536300000000001</v>
      </c>
      <c r="I1346" s="79">
        <v>0</v>
      </c>
      <c r="J1346" s="79">
        <v>0</v>
      </c>
      <c r="K1346" s="79"/>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77">
        <v>47</v>
      </c>
      <c r="B1347" s="77" t="s">
        <v>70</v>
      </c>
      <c r="C1347" s="77" t="s">
        <v>1720</v>
      </c>
      <c r="D1347" s="77" t="s">
        <v>407</v>
      </c>
      <c r="E1347" s="11" t="str">
        <f t="array" ref="E1347">_xlfn.XLOOKUP(D1347,Insumos!B:B,Insumos!C:$C)</f>
        <v>M2</v>
      </c>
      <c r="F1347" s="81">
        <v>1.0529999999999999</v>
      </c>
      <c r="G1347" s="87">
        <f t="array" ref="G1347">IF(B1347="insumo",_xlfn.XLOOKUP($D1347,Insumos!$B$1:$B$996,Insumos!$D$1:$D$996),"")</f>
        <v>20.16</v>
      </c>
      <c r="H1347" s="87">
        <v>21.228480000000001</v>
      </c>
      <c r="I1347" s="79">
        <v>0</v>
      </c>
      <c r="J1347" s="79">
        <v>0</v>
      </c>
      <c r="K1347" s="79"/>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77">
        <v>95</v>
      </c>
      <c r="B1348" s="77" t="s">
        <v>70</v>
      </c>
      <c r="C1348" s="77" t="s">
        <v>1720</v>
      </c>
      <c r="D1348" s="77" t="s">
        <v>408</v>
      </c>
      <c r="E1348" s="11" t="str">
        <f t="array" ref="E1348">_xlfn.XLOOKUP(D1348,Insumos!B:B,Insumos!C:$C)</f>
        <v>UN</v>
      </c>
      <c r="F1348" s="81">
        <v>4.95</v>
      </c>
      <c r="G1348" s="87">
        <f t="array" ref="G1348">IF(B1348="insumo",_xlfn.XLOOKUP($D1348,Insumos!$B$1:$B$996,Insumos!$D$1:$D$996),"")</f>
        <v>0.504</v>
      </c>
      <c r="H1348" s="87">
        <v>2.4948000000000001</v>
      </c>
      <c r="I1348" s="79">
        <v>0</v>
      </c>
      <c r="J1348" s="79">
        <v>0</v>
      </c>
      <c r="K1348" s="79"/>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77">
        <v>26</v>
      </c>
      <c r="B1349" s="77" t="s">
        <v>70</v>
      </c>
      <c r="C1349" s="77" t="s">
        <v>1720</v>
      </c>
      <c r="D1349" s="77" t="s">
        <v>419</v>
      </c>
      <c r="E1349" s="11" t="str">
        <f t="array" ref="E1349">_xlfn.XLOOKUP(D1349,Insumos!B:B,Insumos!C:$C)</f>
        <v>M</v>
      </c>
      <c r="F1349" s="81">
        <v>1.5247999999999999</v>
      </c>
      <c r="G1349" s="87">
        <f t="array" ref="G1349">IF(B1349="insumo",_xlfn.XLOOKUP($D1349,Insumos!$B$1:$B$996,Insumos!$D$1:$D$996),"")</f>
        <v>8.64</v>
      </c>
      <c r="H1349" s="87">
        <v>13.174272</v>
      </c>
      <c r="I1349" s="79">
        <v>0</v>
      </c>
      <c r="J1349" s="79">
        <v>0</v>
      </c>
      <c r="K1349" s="79"/>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77">
        <v>26</v>
      </c>
      <c r="B1350" s="77" t="s">
        <v>70</v>
      </c>
      <c r="C1350" s="77" t="s">
        <v>1720</v>
      </c>
      <c r="D1350" s="77" t="s">
        <v>420</v>
      </c>
      <c r="E1350" s="11" t="str">
        <f t="array" ref="E1350">_xlfn.XLOOKUP(D1350,Insumos!B:B,Insumos!C:$C)</f>
        <v>M</v>
      </c>
      <c r="F1350" s="81">
        <v>4.0011000000000001</v>
      </c>
      <c r="G1350" s="87">
        <f t="array" ref="G1350">IF(B1350="insumo",_xlfn.XLOOKUP($D1350,Insumos!$B$1:$B$996,Insumos!$D$1:$D$996),"")</f>
        <v>18.09</v>
      </c>
      <c r="H1350" s="87">
        <v>72.379898999999995</v>
      </c>
      <c r="I1350" s="79">
        <v>0</v>
      </c>
      <c r="J1350" s="79">
        <v>0</v>
      </c>
      <c r="K1350" s="79"/>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77">
        <v>95</v>
      </c>
      <c r="B1351" s="77" t="s">
        <v>70</v>
      </c>
      <c r="C1351" s="77" t="s">
        <v>1720</v>
      </c>
      <c r="D1351" s="77" t="s">
        <v>404</v>
      </c>
      <c r="E1351" s="11" t="str">
        <f t="array" ref="E1351">_xlfn.XLOOKUP(D1351,Insumos!B:B,Insumos!C:$C)</f>
        <v>KG</v>
      </c>
      <c r="F1351" s="81">
        <v>1.0978000000000001</v>
      </c>
      <c r="G1351" s="87">
        <f t="array" ref="G1351">IF(B1351="insumo",_xlfn.XLOOKUP($D1351,Insumos!$B$1:$B$996,Insumos!$D$1:$D$996),"")</f>
        <v>3.43</v>
      </c>
      <c r="H1351" s="87">
        <v>3.7654540000000001</v>
      </c>
      <c r="I1351" s="79">
        <v>0</v>
      </c>
      <c r="J1351" s="79">
        <v>0</v>
      </c>
      <c r="K1351" s="79"/>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77">
        <v>94</v>
      </c>
      <c r="B1352" s="77" t="s">
        <v>70</v>
      </c>
      <c r="C1352" s="77" t="s">
        <v>1720</v>
      </c>
      <c r="D1352" s="77" t="s">
        <v>411</v>
      </c>
      <c r="E1352" s="11" t="str">
        <f t="array" ref="E1352">_xlfn.XLOOKUP(D1352,Insumos!B:B,Insumos!C:$C)</f>
        <v>M</v>
      </c>
      <c r="F1352" s="81">
        <v>2.5026999999999999</v>
      </c>
      <c r="G1352" s="87">
        <f t="array" ref="G1352">IF(B1352="insumo",_xlfn.XLOOKUP($D1352,Insumos!$B$1:$B$996,Insumos!$D$1:$D$996),"")</f>
        <v>0.31</v>
      </c>
      <c r="H1352" s="87">
        <v>0.775837</v>
      </c>
      <c r="I1352" s="79">
        <v>0</v>
      </c>
      <c r="J1352" s="79">
        <v>0</v>
      </c>
      <c r="K1352" s="79"/>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77">
        <v>94</v>
      </c>
      <c r="B1353" s="77" t="s">
        <v>70</v>
      </c>
      <c r="C1353" s="77" t="s">
        <v>1720</v>
      </c>
      <c r="D1353" s="77" t="s">
        <v>412</v>
      </c>
      <c r="E1353" s="11" t="str">
        <f t="array" ref="E1353">_xlfn.XLOOKUP(D1353,Insumos!B:B,Insumos!C:$C)</f>
        <v>M</v>
      </c>
      <c r="F1353" s="81">
        <v>1.4815</v>
      </c>
      <c r="G1353" s="87">
        <f t="array" ref="G1353">IF(B1353="insumo",_xlfn.XLOOKUP($D1353,Insumos!$B$1:$B$996,Insumos!$D$1:$D$996),"")</f>
        <v>2.74</v>
      </c>
      <c r="H1353" s="87">
        <v>4.05931</v>
      </c>
      <c r="I1353" s="79">
        <v>0</v>
      </c>
      <c r="J1353" s="79">
        <v>0</v>
      </c>
      <c r="K1353" s="79"/>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77">
        <v>97</v>
      </c>
      <c r="B1354" s="77" t="s">
        <v>70</v>
      </c>
      <c r="C1354" s="77" t="s">
        <v>1720</v>
      </c>
      <c r="D1354" s="77" t="s">
        <v>413</v>
      </c>
      <c r="E1354" s="11" t="str">
        <f t="array" ref="E1354">_xlfn.XLOOKUP(D1354,Insumos!B:B,Insumos!C:$C)</f>
        <v>UN</v>
      </c>
      <c r="F1354" s="81">
        <v>20.186800000000002</v>
      </c>
      <c r="G1354" s="87">
        <f t="array" ref="G1354">IF(B1354="insumo",_xlfn.XLOOKUP($D1354,Insumos!$B$1:$B$996,Insumos!$D$1:$D$996),"")</f>
        <v>0.09</v>
      </c>
      <c r="H1354" s="87">
        <v>1.8168120000000001</v>
      </c>
      <c r="I1354" s="79">
        <v>0</v>
      </c>
      <c r="J1354" s="79">
        <v>0</v>
      </c>
      <c r="K1354" s="79"/>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77">
        <v>95</v>
      </c>
      <c r="B1355" s="77" t="s">
        <v>70</v>
      </c>
      <c r="C1355" s="77" t="s">
        <v>1720</v>
      </c>
      <c r="D1355" s="77" t="s">
        <v>414</v>
      </c>
      <c r="E1355" s="11" t="str">
        <f t="array" ref="E1355">_xlfn.XLOOKUP(D1355,Insumos!B:B,Insumos!C:$C)</f>
        <v>UN</v>
      </c>
      <c r="F1355" s="81">
        <v>0.4803</v>
      </c>
      <c r="G1355" s="87">
        <f t="array" ref="G1355">IF(B1355="insumo",_xlfn.XLOOKUP($D1355,Insumos!$B$1:$B$996,Insumos!$D$1:$D$996),"")</f>
        <v>0.2</v>
      </c>
      <c r="H1355" s="87">
        <v>9.6060000000000006E-2</v>
      </c>
      <c r="I1355" s="79">
        <v>0</v>
      </c>
      <c r="J1355" s="79">
        <v>0</v>
      </c>
      <c r="K1355" s="79"/>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336">
        <v>1</v>
      </c>
      <c r="B1356" s="336" t="s">
        <v>67</v>
      </c>
      <c r="C1356" s="336" t="s">
        <v>1721</v>
      </c>
      <c r="D1356" s="336" t="s">
        <v>1721</v>
      </c>
      <c r="E1356" s="337" t="s">
        <v>69</v>
      </c>
      <c r="F1356" s="336"/>
      <c r="G1356" s="338" t="str">
        <f t="array" ref="G1356">IF(B1356="insumo",_xlfn.XLOOKUP($D1356,Insumos!$B$1:$B$996,Insumos!$D$1:$D$996),"")</f>
        <v/>
      </c>
      <c r="H1356" s="338">
        <v>23.578845999999999</v>
      </c>
      <c r="I1356" s="339">
        <v>0</v>
      </c>
      <c r="J1356" s="339">
        <v>0</v>
      </c>
      <c r="K1356" s="339"/>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77">
        <v>95</v>
      </c>
      <c r="B1357" s="77" t="s">
        <v>70</v>
      </c>
      <c r="C1357" s="77" t="s">
        <v>1721</v>
      </c>
      <c r="D1357" s="77" t="s">
        <v>408</v>
      </c>
      <c r="E1357" s="11" t="str">
        <f t="array" ref="E1357">_xlfn.XLOOKUP(D1357,Insumos!B:B,Insumos!C:$C)</f>
        <v>UN</v>
      </c>
      <c r="F1357" s="81">
        <v>2.48</v>
      </c>
      <c r="G1357" s="87">
        <f t="array" ref="G1357">IF(B1357="insumo",_xlfn.XLOOKUP($D1357,Insumos!$B$1:$B$996,Insumos!$D$1:$D$996),"")</f>
        <v>0.504</v>
      </c>
      <c r="H1357" s="87">
        <v>1.2499199999999999</v>
      </c>
      <c r="I1357" s="79">
        <v>0</v>
      </c>
      <c r="J1357" s="79">
        <v>0</v>
      </c>
      <c r="K1357" s="79"/>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77">
        <v>26</v>
      </c>
      <c r="B1358" s="77" t="s">
        <v>70</v>
      </c>
      <c r="C1358" s="77" t="s">
        <v>1721</v>
      </c>
      <c r="D1358" s="77" t="s">
        <v>409</v>
      </c>
      <c r="E1358" s="11" t="str">
        <f t="array" ref="E1358">_xlfn.XLOOKUP(D1358,Insumos!B:B,Insumos!C:$C)</f>
        <v>M</v>
      </c>
      <c r="F1358" s="81">
        <v>0.76239999999999997</v>
      </c>
      <c r="G1358" s="87">
        <f t="array" ref="G1358">IF(B1358="insumo",_xlfn.XLOOKUP($D1358,Insumos!$B$1:$B$996,Insumos!$D$1:$D$996),"")</f>
        <v>7.03</v>
      </c>
      <c r="H1358" s="87">
        <v>5.3596719999999998</v>
      </c>
      <c r="I1358" s="79">
        <v>0</v>
      </c>
      <c r="J1358" s="79">
        <v>0</v>
      </c>
      <c r="K1358" s="79"/>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77">
        <v>26</v>
      </c>
      <c r="B1359" s="77" t="s">
        <v>70</v>
      </c>
      <c r="C1359" s="77" t="s">
        <v>1721</v>
      </c>
      <c r="D1359" s="77" t="s">
        <v>410</v>
      </c>
      <c r="E1359" s="11" t="str">
        <f t="array" ref="E1359">_xlfn.XLOOKUP(D1359,Insumos!B:B,Insumos!C:$C)</f>
        <v>M</v>
      </c>
      <c r="F1359" s="81">
        <v>2.0005999999999999</v>
      </c>
      <c r="G1359" s="87">
        <f t="array" ref="G1359">IF(B1359="insumo",_xlfn.XLOOKUP($D1359,Insumos!$B$1:$B$996,Insumos!$D$1:$D$996),"")</f>
        <v>7.98</v>
      </c>
      <c r="H1359" s="87">
        <v>15.964788</v>
      </c>
      <c r="I1359" s="79">
        <v>0</v>
      </c>
      <c r="J1359" s="79">
        <v>0</v>
      </c>
      <c r="K1359" s="79"/>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77">
        <v>97</v>
      </c>
      <c r="B1360" s="77" t="s">
        <v>70</v>
      </c>
      <c r="C1360" s="77" t="s">
        <v>1721</v>
      </c>
      <c r="D1360" s="77" t="s">
        <v>413</v>
      </c>
      <c r="E1360" s="11" t="str">
        <f t="array" ref="E1360">_xlfn.XLOOKUP(D1360,Insumos!B:B,Insumos!C:$C)</f>
        <v>UN</v>
      </c>
      <c r="F1360" s="81">
        <v>10.093400000000001</v>
      </c>
      <c r="G1360" s="87">
        <f t="array" ref="G1360">IF(B1360="insumo",_xlfn.XLOOKUP($D1360,Insumos!$B$1:$B$996,Insumos!$D$1:$D$996),"")</f>
        <v>0.09</v>
      </c>
      <c r="H1360" s="87">
        <v>0.90840600000000005</v>
      </c>
      <c r="I1360" s="79">
        <v>0</v>
      </c>
      <c r="J1360" s="79">
        <v>0</v>
      </c>
      <c r="K1360" s="79"/>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77">
        <v>95</v>
      </c>
      <c r="B1361" s="77" t="s">
        <v>70</v>
      </c>
      <c r="C1361" s="77" t="s">
        <v>1721</v>
      </c>
      <c r="D1361" s="77" t="s">
        <v>414</v>
      </c>
      <c r="E1361" s="11" t="str">
        <f t="array" ref="E1361">_xlfn.XLOOKUP(D1361,Insumos!B:B,Insumos!C:$C)</f>
        <v>UN</v>
      </c>
      <c r="F1361" s="81">
        <v>0.4803</v>
      </c>
      <c r="G1361" s="87">
        <f t="array" ref="G1361">IF(B1361="insumo",_xlfn.XLOOKUP($D1361,Insumos!$B$1:$B$996,Insumos!$D$1:$D$996),"")</f>
        <v>0.2</v>
      </c>
      <c r="H1361" s="87">
        <v>9.6060000000000006E-2</v>
      </c>
      <c r="I1361" s="79">
        <v>0</v>
      </c>
      <c r="J1361" s="79">
        <v>0</v>
      </c>
      <c r="K1361" s="79"/>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336">
        <v>1</v>
      </c>
      <c r="B1362" s="336" t="s">
        <v>67</v>
      </c>
      <c r="C1362" s="336" t="s">
        <v>1722</v>
      </c>
      <c r="D1362" s="336" t="s">
        <v>1722</v>
      </c>
      <c r="E1362" s="337" t="s">
        <v>69</v>
      </c>
      <c r="F1362" s="336"/>
      <c r="G1362" s="338" t="str">
        <f t="array" ref="G1362">IF(B1362="insumo",_xlfn.XLOOKUP($D1362,Insumos!$B$1:$B$996,Insumos!$D$1:$D$996),"")</f>
        <v/>
      </c>
      <c r="H1362" s="338">
        <v>23.906677999999999</v>
      </c>
      <c r="I1362" s="339">
        <v>0</v>
      </c>
      <c r="J1362" s="339">
        <v>0</v>
      </c>
      <c r="K1362" s="339"/>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77">
        <v>95</v>
      </c>
      <c r="B1363" s="77" t="s">
        <v>70</v>
      </c>
      <c r="C1363" s="77" t="s">
        <v>1722</v>
      </c>
      <c r="D1363" s="77" t="s">
        <v>408</v>
      </c>
      <c r="E1363" s="11" t="str">
        <f t="array" ref="E1363">_xlfn.XLOOKUP(D1363,Insumos!B:B,Insumos!C:$C)</f>
        <v>UN</v>
      </c>
      <c r="F1363" s="81">
        <v>2.48</v>
      </c>
      <c r="G1363" s="87">
        <f t="array" ref="G1363">IF(B1363="insumo",_xlfn.XLOOKUP($D1363,Insumos!$B$1:$B$996,Insumos!$D$1:$D$996),"")</f>
        <v>0.504</v>
      </c>
      <c r="H1363" s="87">
        <v>1.2499199999999999</v>
      </c>
      <c r="I1363" s="79">
        <v>0</v>
      </c>
      <c r="J1363" s="79">
        <v>0</v>
      </c>
      <c r="K1363" s="79"/>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77">
        <v>43</v>
      </c>
      <c r="B1364" s="77" t="s">
        <v>70</v>
      </c>
      <c r="C1364" s="77" t="s">
        <v>1722</v>
      </c>
      <c r="D1364" s="77" t="s">
        <v>422</v>
      </c>
      <c r="E1364" s="11" t="str">
        <f t="array" ref="E1364">_xlfn.XLOOKUP(D1364,Insumos!B:B,Insumos!C:$C)</f>
        <v>M</v>
      </c>
      <c r="F1364" s="81">
        <v>0.76239999999999997</v>
      </c>
      <c r="G1364" s="87">
        <f t="array" ref="G1364">IF(B1364="insumo",_xlfn.XLOOKUP($D1364,Insumos!$B$1:$B$996,Insumos!$D$1:$D$996),"")</f>
        <v>7.46</v>
      </c>
      <c r="H1364" s="87">
        <v>5.6875039999999997</v>
      </c>
      <c r="I1364" s="79">
        <v>0</v>
      </c>
      <c r="J1364" s="79">
        <v>0</v>
      </c>
      <c r="K1364" s="79"/>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77">
        <v>43</v>
      </c>
      <c r="B1365" s="77" t="s">
        <v>70</v>
      </c>
      <c r="C1365" s="77" t="s">
        <v>1722</v>
      </c>
      <c r="D1365" s="77" t="s">
        <v>423</v>
      </c>
      <c r="E1365" s="11" t="str">
        <f t="array" ref="E1365">_xlfn.XLOOKUP(D1365,Insumos!B:B,Insumos!C:$C)</f>
        <v>M</v>
      </c>
      <c r="F1365" s="81">
        <v>2.0005999999999999</v>
      </c>
      <c r="G1365" s="87">
        <f t="array" ref="G1365">IF(B1365="insumo",_xlfn.XLOOKUP($D1365,Insumos!$B$1:$B$996,Insumos!$D$1:$D$996),"")</f>
        <v>7.98</v>
      </c>
      <c r="H1365" s="87">
        <v>15.964788</v>
      </c>
      <c r="I1365" s="79">
        <v>0</v>
      </c>
      <c r="J1365" s="79">
        <v>0</v>
      </c>
      <c r="K1365" s="79"/>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77">
        <v>97</v>
      </c>
      <c r="B1366" s="77" t="s">
        <v>70</v>
      </c>
      <c r="C1366" s="77" t="s">
        <v>1722</v>
      </c>
      <c r="D1366" s="77" t="s">
        <v>413</v>
      </c>
      <c r="E1366" s="11" t="str">
        <f t="array" ref="E1366">_xlfn.XLOOKUP(D1366,Insumos!B:B,Insumos!C:$C)</f>
        <v>UN</v>
      </c>
      <c r="F1366" s="81">
        <v>10.093400000000001</v>
      </c>
      <c r="G1366" s="87">
        <f t="array" ref="G1366">IF(B1366="insumo",_xlfn.XLOOKUP($D1366,Insumos!$B$1:$B$996,Insumos!$D$1:$D$996),"")</f>
        <v>0.09</v>
      </c>
      <c r="H1366" s="87">
        <v>0.90840600000000005</v>
      </c>
      <c r="I1366" s="79">
        <v>0</v>
      </c>
      <c r="J1366" s="79">
        <v>0</v>
      </c>
      <c r="K1366" s="79"/>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77">
        <v>95</v>
      </c>
      <c r="B1367" s="77" t="s">
        <v>70</v>
      </c>
      <c r="C1367" s="77" t="s">
        <v>1722</v>
      </c>
      <c r="D1367" s="77" t="s">
        <v>414</v>
      </c>
      <c r="E1367" s="11" t="str">
        <f t="array" ref="E1367">_xlfn.XLOOKUP(D1367,Insumos!B:B,Insumos!C:$C)</f>
        <v>UN</v>
      </c>
      <c r="F1367" s="81">
        <v>0.4803</v>
      </c>
      <c r="G1367" s="87">
        <f t="array" ref="G1367">IF(B1367="insumo",_xlfn.XLOOKUP($D1367,Insumos!$B$1:$B$996,Insumos!$D$1:$D$996),"")</f>
        <v>0.2</v>
      </c>
      <c r="H1367" s="87">
        <v>9.6060000000000006E-2</v>
      </c>
      <c r="I1367" s="79">
        <v>0</v>
      </c>
      <c r="J1367" s="79">
        <v>0</v>
      </c>
      <c r="K1367" s="79"/>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336">
        <v>1</v>
      </c>
      <c r="B1368" s="336" t="s">
        <v>67</v>
      </c>
      <c r="C1368" s="336" t="s">
        <v>1723</v>
      </c>
      <c r="D1368" s="336" t="s">
        <v>1723</v>
      </c>
      <c r="E1368" s="337" t="s">
        <v>69</v>
      </c>
      <c r="F1368" s="336"/>
      <c r="G1368" s="338" t="str">
        <f t="array" ref="G1368">IF(B1368="insumo",_xlfn.XLOOKUP($D1368,Insumos!$B$1:$B$996,Insumos!$D$1:$D$996),"")</f>
        <v/>
      </c>
      <c r="H1368" s="338">
        <v>45.032375999999999</v>
      </c>
      <c r="I1368" s="339">
        <v>0</v>
      </c>
      <c r="J1368" s="339">
        <v>0</v>
      </c>
      <c r="K1368" s="339"/>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77">
        <v>95</v>
      </c>
      <c r="B1369" s="77" t="s">
        <v>70</v>
      </c>
      <c r="C1369" s="77" t="s">
        <v>1723</v>
      </c>
      <c r="D1369" s="77" t="s">
        <v>408</v>
      </c>
      <c r="E1369" s="11" t="str">
        <f t="array" ref="E1369">_xlfn.XLOOKUP(D1369,Insumos!B:B,Insumos!C:$C)</f>
        <v>UN</v>
      </c>
      <c r="F1369" s="81">
        <v>2.48</v>
      </c>
      <c r="G1369" s="87">
        <f t="array" ref="G1369">IF(B1369="insumo",_xlfn.XLOOKUP($D1369,Insumos!$B$1:$B$996,Insumos!$D$1:$D$996),"")</f>
        <v>0.504</v>
      </c>
      <c r="H1369" s="87">
        <v>1.2499199999999999</v>
      </c>
      <c r="I1369" s="79">
        <v>0</v>
      </c>
      <c r="J1369" s="79">
        <v>0</v>
      </c>
      <c r="K1369" s="79"/>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77">
        <v>26</v>
      </c>
      <c r="B1370" s="77" t="s">
        <v>70</v>
      </c>
      <c r="C1370" s="77" t="s">
        <v>1723</v>
      </c>
      <c r="D1370" s="77" t="s">
        <v>419</v>
      </c>
      <c r="E1370" s="11" t="str">
        <f t="array" ref="E1370">_xlfn.XLOOKUP(D1370,Insumos!B:B,Insumos!C:$C)</f>
        <v>M</v>
      </c>
      <c r="F1370" s="81">
        <v>0.76239999999999997</v>
      </c>
      <c r="G1370" s="87">
        <f t="array" ref="G1370">IF(B1370="insumo",_xlfn.XLOOKUP($D1370,Insumos!$B$1:$B$996,Insumos!$D$1:$D$996),"")</f>
        <v>8.64</v>
      </c>
      <c r="H1370" s="87">
        <v>6.5871360000000001</v>
      </c>
      <c r="I1370" s="79">
        <v>0</v>
      </c>
      <c r="J1370" s="79">
        <v>0</v>
      </c>
      <c r="K1370" s="79"/>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77">
        <v>26</v>
      </c>
      <c r="B1371" s="77" t="s">
        <v>70</v>
      </c>
      <c r="C1371" s="77" t="s">
        <v>1723</v>
      </c>
      <c r="D1371" s="77" t="s">
        <v>420</v>
      </c>
      <c r="E1371" s="11" t="str">
        <f t="array" ref="E1371">_xlfn.XLOOKUP(D1371,Insumos!B:B,Insumos!C:$C)</f>
        <v>M</v>
      </c>
      <c r="F1371" s="81">
        <v>2.0005999999999999</v>
      </c>
      <c r="G1371" s="87">
        <f t="array" ref="G1371">IF(B1371="insumo",_xlfn.XLOOKUP($D1371,Insumos!$B$1:$B$996,Insumos!$D$1:$D$996),"")</f>
        <v>18.09</v>
      </c>
      <c r="H1371" s="87">
        <v>36.190854000000002</v>
      </c>
      <c r="I1371" s="79">
        <v>0</v>
      </c>
      <c r="J1371" s="79">
        <v>0</v>
      </c>
      <c r="K1371" s="79"/>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77">
        <v>97</v>
      </c>
      <c r="B1372" s="77" t="s">
        <v>70</v>
      </c>
      <c r="C1372" s="77" t="s">
        <v>1723</v>
      </c>
      <c r="D1372" s="77" t="s">
        <v>413</v>
      </c>
      <c r="E1372" s="11" t="str">
        <f t="array" ref="E1372">_xlfn.XLOOKUP(D1372,Insumos!B:B,Insumos!C:$C)</f>
        <v>UN</v>
      </c>
      <c r="F1372" s="81">
        <v>10.093400000000001</v>
      </c>
      <c r="G1372" s="87">
        <f t="array" ref="G1372">IF(B1372="insumo",_xlfn.XLOOKUP($D1372,Insumos!$B$1:$B$996,Insumos!$D$1:$D$996),"")</f>
        <v>0.09</v>
      </c>
      <c r="H1372" s="87">
        <v>0.90840600000000005</v>
      </c>
      <c r="I1372" s="79">
        <v>0</v>
      </c>
      <c r="J1372" s="79">
        <v>0</v>
      </c>
      <c r="K1372" s="79"/>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77">
        <v>95</v>
      </c>
      <c r="B1373" s="77" t="s">
        <v>70</v>
      </c>
      <c r="C1373" s="77" t="s">
        <v>1723</v>
      </c>
      <c r="D1373" s="77" t="s">
        <v>414</v>
      </c>
      <c r="E1373" s="11" t="str">
        <f t="array" ref="E1373">_xlfn.XLOOKUP(D1373,Insumos!B:B,Insumos!C:$C)</f>
        <v>UN</v>
      </c>
      <c r="F1373" s="81">
        <v>0.4803</v>
      </c>
      <c r="G1373" s="87">
        <f t="array" ref="G1373">IF(B1373="insumo",_xlfn.XLOOKUP($D1373,Insumos!$B$1:$B$996,Insumos!$D$1:$D$996),"")</f>
        <v>0.2</v>
      </c>
      <c r="H1373" s="87">
        <v>9.6060000000000006E-2</v>
      </c>
      <c r="I1373" s="79">
        <v>0</v>
      </c>
      <c r="J1373" s="79">
        <v>0</v>
      </c>
      <c r="K1373" s="79"/>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336">
        <v>1</v>
      </c>
      <c r="B1374" s="336" t="s">
        <v>67</v>
      </c>
      <c r="C1374" s="336" t="s">
        <v>1724</v>
      </c>
      <c r="D1374" s="336" t="s">
        <v>1724</v>
      </c>
      <c r="E1374" s="337" t="s">
        <v>69</v>
      </c>
      <c r="F1374" s="336"/>
      <c r="G1374" s="338" t="str">
        <f t="array" ref="G1374">IF(B1374="insumo",_xlfn.XLOOKUP($D1374,Insumos!$B$1:$B$996,Insumos!$D$1:$D$996),"")</f>
        <v/>
      </c>
      <c r="H1374" s="338">
        <v>133.546839333333</v>
      </c>
      <c r="I1374" s="339">
        <v>0</v>
      </c>
      <c r="J1374" s="339">
        <v>0</v>
      </c>
      <c r="K1374" s="339"/>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77">
        <v>86</v>
      </c>
      <c r="B1375" s="77" t="s">
        <v>70</v>
      </c>
      <c r="C1375" s="77" t="s">
        <v>1724</v>
      </c>
      <c r="D1375" s="77" t="s">
        <v>406</v>
      </c>
      <c r="E1375" s="11" t="str">
        <f t="array" ref="E1375">_xlfn.XLOOKUP(D1375,Insumos!B:B,Insumos!C:$C)</f>
        <v>M2</v>
      </c>
      <c r="F1375" s="81">
        <v>1</v>
      </c>
      <c r="G1375" s="87">
        <f t="array" ref="G1375">IF(B1375="insumo",_xlfn.XLOOKUP($D1375,Insumos!$B$1:$B$996,Insumos!$D$1:$D$996),"")</f>
        <v>70</v>
      </c>
      <c r="H1375" s="87">
        <v>70</v>
      </c>
      <c r="I1375" s="79">
        <v>0</v>
      </c>
      <c r="J1375" s="79">
        <v>0</v>
      </c>
      <c r="K1375" s="79"/>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77">
        <v>47</v>
      </c>
      <c r="B1376" s="77" t="s">
        <v>70</v>
      </c>
      <c r="C1376" s="77" t="s">
        <v>1724</v>
      </c>
      <c r="D1376" s="77" t="s">
        <v>407</v>
      </c>
      <c r="E1376" s="11" t="str">
        <f t="array" ref="E1376">_xlfn.XLOOKUP(D1376,Insumos!B:B,Insumos!C:$C)</f>
        <v>M2</v>
      </c>
      <c r="F1376" s="81">
        <v>1.0529999999999999</v>
      </c>
      <c r="G1376" s="87">
        <f t="array" ref="G1376">IF(B1376="insumo",_xlfn.XLOOKUP($D1376,Insumos!$B$1:$B$996,Insumos!$D$1:$D$996),"")</f>
        <v>20.16</v>
      </c>
      <c r="H1376" s="87">
        <v>21.228480000000001</v>
      </c>
      <c r="I1376" s="79">
        <v>0</v>
      </c>
      <c r="J1376" s="79">
        <v>0</v>
      </c>
      <c r="K1376" s="79"/>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77">
        <v>95</v>
      </c>
      <c r="B1377" s="77" t="s">
        <v>70</v>
      </c>
      <c r="C1377" s="77" t="s">
        <v>1724</v>
      </c>
      <c r="D1377" s="77" t="s">
        <v>408</v>
      </c>
      <c r="E1377" s="11" t="str">
        <f t="array" ref="E1377">_xlfn.XLOOKUP(D1377,Insumos!B:B,Insumos!C:$C)</f>
        <v>UN</v>
      </c>
      <c r="F1377" s="81">
        <v>2.48</v>
      </c>
      <c r="G1377" s="87">
        <f t="array" ref="G1377">IF(B1377="insumo",_xlfn.XLOOKUP($D1377,Insumos!$B$1:$B$996,Insumos!$D$1:$D$996),"")</f>
        <v>0.504</v>
      </c>
      <c r="H1377" s="87">
        <v>1.2499199999999999</v>
      </c>
      <c r="I1377" s="79">
        <v>0</v>
      </c>
      <c r="J1377" s="79">
        <v>0</v>
      </c>
      <c r="K1377" s="79"/>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77">
        <v>43</v>
      </c>
      <c r="B1378" s="77" t="s">
        <v>70</v>
      </c>
      <c r="C1378" s="77" t="s">
        <v>1724</v>
      </c>
      <c r="D1378" s="77" t="s">
        <v>422</v>
      </c>
      <c r="E1378" s="11" t="str">
        <f t="array" ref="E1378">_xlfn.XLOOKUP(D1378,Insumos!B:B,Insumos!C:$C)</f>
        <v>M</v>
      </c>
      <c r="F1378" s="81">
        <v>0.76239999999999997</v>
      </c>
      <c r="G1378" s="87">
        <f t="array" ref="G1378">IF(B1378="insumo",_xlfn.XLOOKUP($D1378,Insumos!$B$1:$B$996,Insumos!$D$1:$D$996),"")</f>
        <v>7.46</v>
      </c>
      <c r="H1378" s="87">
        <v>5.6875039999999997</v>
      </c>
      <c r="I1378" s="79">
        <v>0</v>
      </c>
      <c r="J1378" s="79">
        <v>0</v>
      </c>
      <c r="K1378" s="79"/>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77">
        <v>43</v>
      </c>
      <c r="B1379" s="77" t="s">
        <v>70</v>
      </c>
      <c r="C1379" s="77" t="s">
        <v>1724</v>
      </c>
      <c r="D1379" s="77" t="s">
        <v>423</v>
      </c>
      <c r="E1379" s="11" t="str">
        <f t="array" ref="E1379">_xlfn.XLOOKUP(D1379,Insumos!B:B,Insumos!C:$C)</f>
        <v>M</v>
      </c>
      <c r="F1379" s="81">
        <v>2.0005999999999999</v>
      </c>
      <c r="G1379" s="87">
        <f t="array" ref="G1379">IF(B1379="insumo",_xlfn.XLOOKUP($D1379,Insumos!$B$1:$B$996,Insumos!$D$1:$D$996),"")</f>
        <v>7.98</v>
      </c>
      <c r="H1379" s="87">
        <v>15.964788</v>
      </c>
      <c r="I1379" s="79">
        <v>0</v>
      </c>
      <c r="J1379" s="79">
        <v>0</v>
      </c>
      <c r="K1379" s="79"/>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77">
        <v>95</v>
      </c>
      <c r="B1380" s="77" t="s">
        <v>70</v>
      </c>
      <c r="C1380" s="77" t="s">
        <v>1724</v>
      </c>
      <c r="D1380" s="77" t="s">
        <v>404</v>
      </c>
      <c r="E1380" s="11" t="str">
        <f t="array" ref="E1380">_xlfn.XLOOKUP(D1380,Insumos!B:B,Insumos!C:$C)</f>
        <v>KG</v>
      </c>
      <c r="F1380" s="81">
        <v>0.54890000000000005</v>
      </c>
      <c r="G1380" s="87">
        <f t="array" ref="G1380">IF(B1380="insumo",_xlfn.XLOOKUP($D1380,Insumos!$B$1:$B$996,Insumos!$D$1:$D$996),"")</f>
        <v>3.43</v>
      </c>
      <c r="H1380" s="87">
        <v>1.882727</v>
      </c>
      <c r="I1380" s="79">
        <v>0</v>
      </c>
      <c r="J1380" s="79">
        <v>0</v>
      </c>
      <c r="K1380" s="79"/>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77">
        <v>94</v>
      </c>
      <c r="B1381" s="77" t="s">
        <v>70</v>
      </c>
      <c r="C1381" s="77" t="s">
        <v>1724</v>
      </c>
      <c r="D1381" s="77" t="s">
        <v>411</v>
      </c>
      <c r="E1381" s="11" t="str">
        <f t="array" ref="E1381">_xlfn.XLOOKUP(D1381,Insumos!B:B,Insumos!C:$C)</f>
        <v>M</v>
      </c>
      <c r="F1381" s="81">
        <v>1.2513000000000001</v>
      </c>
      <c r="G1381" s="87">
        <f t="array" ref="G1381">IF(B1381="insumo",_xlfn.XLOOKUP($D1381,Insumos!$B$1:$B$996,Insumos!$D$1:$D$996),"")</f>
        <v>0.31</v>
      </c>
      <c r="H1381" s="87">
        <v>0.387903</v>
      </c>
      <c r="I1381" s="79">
        <v>0</v>
      </c>
      <c r="J1381" s="79">
        <v>0</v>
      </c>
      <c r="K1381" s="79"/>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77">
        <v>94</v>
      </c>
      <c r="B1382" s="77" t="s">
        <v>70</v>
      </c>
      <c r="C1382" s="77" t="s">
        <v>1724</v>
      </c>
      <c r="D1382" s="77" t="s">
        <v>412</v>
      </c>
      <c r="E1382" s="11" t="str">
        <f t="array" ref="E1382">_xlfn.XLOOKUP(D1382,Insumos!B:B,Insumos!C:$C)</f>
        <v>M</v>
      </c>
      <c r="F1382" s="81">
        <v>0.74070000000000003</v>
      </c>
      <c r="G1382" s="87">
        <f t="array" ref="G1382">IF(B1382="insumo",_xlfn.XLOOKUP($D1382,Insumos!$B$1:$B$996,Insumos!$D$1:$D$996),"")</f>
        <v>2.74</v>
      </c>
      <c r="H1382" s="87">
        <v>2.0295179999999999</v>
      </c>
      <c r="I1382" s="79">
        <v>0</v>
      </c>
      <c r="J1382" s="79">
        <v>0</v>
      </c>
      <c r="K1382" s="79"/>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77">
        <v>97</v>
      </c>
      <c r="B1383" s="77" t="s">
        <v>70</v>
      </c>
      <c r="C1383" s="77" t="s">
        <v>1724</v>
      </c>
      <c r="D1383" s="77" t="s">
        <v>413</v>
      </c>
      <c r="E1383" s="11" t="str">
        <f t="array" ref="E1383">_xlfn.XLOOKUP(D1383,Insumos!B:B,Insumos!C:$C)</f>
        <v>UN</v>
      </c>
      <c r="F1383" s="81">
        <v>10.093400000000001</v>
      </c>
      <c r="G1383" s="87">
        <f t="array" ref="G1383">IF(B1383="insumo",_xlfn.XLOOKUP($D1383,Insumos!$B$1:$B$996,Insumos!$D$1:$D$996),"")</f>
        <v>0.09</v>
      </c>
      <c r="H1383" s="87">
        <v>0.90840600000000005</v>
      </c>
      <c r="I1383" s="79">
        <v>0</v>
      </c>
      <c r="J1383" s="79">
        <v>0</v>
      </c>
      <c r="K1383" s="79"/>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77">
        <v>95</v>
      </c>
      <c r="B1384" s="77" t="s">
        <v>70</v>
      </c>
      <c r="C1384" s="77" t="s">
        <v>1724</v>
      </c>
      <c r="D1384" s="77" t="s">
        <v>414</v>
      </c>
      <c r="E1384" s="11" t="str">
        <f t="array" ref="E1384">_xlfn.XLOOKUP(D1384,Insumos!B:B,Insumos!C:$C)</f>
        <v>UN</v>
      </c>
      <c r="F1384" s="81">
        <v>0.4803</v>
      </c>
      <c r="G1384" s="87">
        <f t="array" ref="G1384">IF(B1384="insumo",_xlfn.XLOOKUP($D1384,Insumos!$B$1:$B$996,Insumos!$D$1:$D$996),"")</f>
        <v>0.2</v>
      </c>
      <c r="H1384" s="87">
        <v>9.6060000000000006E-2</v>
      </c>
      <c r="I1384" s="79">
        <v>0</v>
      </c>
      <c r="J1384" s="79">
        <v>0</v>
      </c>
      <c r="K1384" s="79"/>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77">
        <v>5</v>
      </c>
      <c r="B1385" s="77" t="s">
        <v>70</v>
      </c>
      <c r="C1385" s="77" t="s">
        <v>1724</v>
      </c>
      <c r="D1385" s="77" t="s">
        <v>415</v>
      </c>
      <c r="E1385" s="11" t="str">
        <f t="array" ref="E1385">_xlfn.XLOOKUP(D1385,Insumos!B:B,Insumos!C:$C)</f>
        <v>M2</v>
      </c>
      <c r="F1385" s="81">
        <v>1.1000000000000001</v>
      </c>
      <c r="G1385" s="87">
        <f t="array" ref="G1385">IF(B1385="insumo",_xlfn.XLOOKUP($D1385,Insumos!$B$1:$B$996,Insumos!$D$1:$D$996),"")</f>
        <v>12.828666666666667</v>
      </c>
      <c r="H1385" s="87">
        <v>14.1115333333333</v>
      </c>
      <c r="I1385" s="79">
        <v>0</v>
      </c>
      <c r="J1385" s="79">
        <v>0</v>
      </c>
      <c r="K1385" s="79"/>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332">
        <v>1</v>
      </c>
      <c r="B1386" s="332" t="s">
        <v>67</v>
      </c>
      <c r="C1386" s="332" t="s">
        <v>416</v>
      </c>
      <c r="D1386" s="332" t="s">
        <v>416</v>
      </c>
      <c r="E1386" s="333" t="s">
        <v>69</v>
      </c>
      <c r="F1386" s="332"/>
      <c r="G1386" s="334" t="str">
        <f t="array" ref="G1386">IF(B1386="insumo",_xlfn.XLOOKUP($D1386,Insumos!$B$1:$B$996,Insumos!$D$1:$D$996),"")</f>
        <v/>
      </c>
      <c r="H1386" s="334">
        <v>200.19072299999999</v>
      </c>
      <c r="I1386" s="335">
        <v>0</v>
      </c>
      <c r="J1386" s="335">
        <v>0</v>
      </c>
      <c r="K1386" s="335"/>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70</v>
      </c>
      <c r="C1387" s="10" t="s">
        <v>416</v>
      </c>
      <c r="D1387" s="10" t="s">
        <v>406</v>
      </c>
      <c r="E1387" s="11" t="str">
        <f t="array" ref="E1387">_xlfn.XLOOKUP(D1387,Insumos!B:B,Insumos!C:$C)</f>
        <v>M2</v>
      </c>
      <c r="F1387" s="14">
        <v>1</v>
      </c>
      <c r="G1387" s="87">
        <f t="array" ref="G1387">IF(B1387="insumo",_xlfn.XLOOKUP($D1387,Insumos!$B$1:$B$996,Insumos!$D$1:$D$996),"")</f>
        <v>70</v>
      </c>
      <c r="H1387" s="87">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70</v>
      </c>
      <c r="C1388" s="10" t="s">
        <v>416</v>
      </c>
      <c r="D1388" s="10" t="s">
        <v>417</v>
      </c>
      <c r="E1388" s="11" t="str">
        <f t="array" ref="E1388">_xlfn.XLOOKUP(D1388,Insumos!B:B,Insumos!C:$C)</f>
        <v>M2</v>
      </c>
      <c r="F1388" s="14">
        <v>2.1059999999999999</v>
      </c>
      <c r="G1388" s="87">
        <f t="array" ref="G1388">IF(B1388="insumo",_xlfn.XLOOKUP($D1388,Insumos!$B$1:$B$996,Insumos!$D$1:$D$996),"")</f>
        <v>27.1</v>
      </c>
      <c r="H1388" s="87">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70</v>
      </c>
      <c r="C1389" s="10" t="s">
        <v>416</v>
      </c>
      <c r="D1389" s="10" t="s">
        <v>408</v>
      </c>
      <c r="E1389" s="11" t="str">
        <f t="array" ref="E1389">_xlfn.XLOOKUP(D1389,Insumos!B:B,Insumos!C:$C)</f>
        <v>UN</v>
      </c>
      <c r="F1389" s="14">
        <v>5.92</v>
      </c>
      <c r="G1389" s="87">
        <f t="array" ref="G1389">IF(B1389="insumo",_xlfn.XLOOKUP($D1389,Insumos!$B$1:$B$996,Insumos!$D$1:$D$996),"")</f>
        <v>0.504</v>
      </c>
      <c r="H1389" s="87">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70</v>
      </c>
      <c r="C1390" s="10" t="s">
        <v>416</v>
      </c>
      <c r="D1390" s="10" t="s">
        <v>409</v>
      </c>
      <c r="E1390" s="11" t="str">
        <f t="array" ref="E1390">_xlfn.XLOOKUP(D1390,Insumos!B:B,Insumos!C:$C)</f>
        <v>M</v>
      </c>
      <c r="F1390" s="14">
        <v>1.8233999999999999</v>
      </c>
      <c r="G1390" s="87">
        <f t="array" ref="G1390">IF(B1390="insumo",_xlfn.XLOOKUP($D1390,Insumos!$B$1:$B$996,Insumos!$D$1:$D$996),"")</f>
        <v>7.03</v>
      </c>
      <c r="H1390" s="87">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70</v>
      </c>
      <c r="C1391" s="10" t="s">
        <v>416</v>
      </c>
      <c r="D1391" s="10" t="s">
        <v>410</v>
      </c>
      <c r="E1391" s="11" t="str">
        <f t="array" ref="E1391">_xlfn.XLOOKUP(D1391,Insumos!B:B,Insumos!C:$C)</f>
        <v>M</v>
      </c>
      <c r="F1391" s="14">
        <v>5.8277999999999999</v>
      </c>
      <c r="G1391" s="87">
        <f t="array" ref="G1391">IF(B1391="insumo",_xlfn.XLOOKUP($D1391,Insumos!$B$1:$B$996,Insumos!$D$1:$D$996),"")</f>
        <v>7.98</v>
      </c>
      <c r="H1391" s="87">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70</v>
      </c>
      <c r="C1392" s="10" t="s">
        <v>416</v>
      </c>
      <c r="D1392" s="10" t="s">
        <v>404</v>
      </c>
      <c r="E1392" s="11" t="str">
        <f t="array" ref="E1392">_xlfn.XLOOKUP(D1392,Insumos!B:B,Insumos!C:$C)</f>
        <v>KG</v>
      </c>
      <c r="F1392" s="14">
        <v>1.0978000000000001</v>
      </c>
      <c r="G1392" s="87">
        <f t="array" ref="G1392">IF(B1392="insumo",_xlfn.XLOOKUP($D1392,Insumos!$B$1:$B$996,Insumos!$D$1:$D$996),"")</f>
        <v>3.43</v>
      </c>
      <c r="H1392" s="87">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70</v>
      </c>
      <c r="C1393" s="10" t="s">
        <v>416</v>
      </c>
      <c r="D1393" s="10" t="s">
        <v>411</v>
      </c>
      <c r="E1393" s="11" t="str">
        <f t="array" ref="E1393">_xlfn.XLOOKUP(D1393,Insumos!B:B,Insumos!C:$C)</f>
        <v>M</v>
      </c>
      <c r="F1393" s="14">
        <v>2.5026999999999999</v>
      </c>
      <c r="G1393" s="87">
        <f t="array" ref="G1393">IF(B1393="insumo",_xlfn.XLOOKUP($D1393,Insumos!$B$1:$B$996,Insumos!$D$1:$D$996),"")</f>
        <v>0.31</v>
      </c>
      <c r="H1393" s="87">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70</v>
      </c>
      <c r="C1394" s="10" t="s">
        <v>416</v>
      </c>
      <c r="D1394" s="10" t="s">
        <v>412</v>
      </c>
      <c r="E1394" s="11" t="str">
        <f t="array" ref="E1394">_xlfn.XLOOKUP(D1394,Insumos!B:B,Insumos!C:$C)</f>
        <v>M</v>
      </c>
      <c r="F1394" s="14">
        <v>1.5851</v>
      </c>
      <c r="G1394" s="87">
        <f t="array" ref="G1394">IF(B1394="insumo",_xlfn.XLOOKUP($D1394,Insumos!$B$1:$B$996,Insumos!$D$1:$D$996),"")</f>
        <v>2.74</v>
      </c>
      <c r="H1394" s="87">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70</v>
      </c>
      <c r="C1395" s="10" t="s">
        <v>416</v>
      </c>
      <c r="D1395" s="10" t="s">
        <v>413</v>
      </c>
      <c r="E1395" s="11" t="str">
        <f t="array" ref="E1395">_xlfn.XLOOKUP(D1395,Insumos!B:B,Insumos!C:$C)</f>
        <v>UN</v>
      </c>
      <c r="F1395" s="14">
        <v>20.186800000000002</v>
      </c>
      <c r="G1395" s="87">
        <f t="array" ref="G1395">IF(B1395="insumo",_xlfn.XLOOKUP($D1395,Insumos!$B$1:$B$996,Insumos!$D$1:$D$996),"")</f>
        <v>0.09</v>
      </c>
      <c r="H1395" s="87">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70</v>
      </c>
      <c r="C1396" s="10" t="s">
        <v>416</v>
      </c>
      <c r="D1396" s="10" t="s">
        <v>414</v>
      </c>
      <c r="E1396" s="11" t="str">
        <f t="array" ref="E1396">_xlfn.XLOOKUP(D1396,Insumos!B:B,Insumos!C:$C)</f>
        <v>UN</v>
      </c>
      <c r="F1396" s="14">
        <v>0.54410000000000003</v>
      </c>
      <c r="G1396" s="87">
        <f t="array" ref="G1396">IF(B1396="insumo",_xlfn.XLOOKUP($D1396,Insumos!$B$1:$B$996,Insumos!$D$1:$D$996),"")</f>
        <v>0.2</v>
      </c>
      <c r="H1396" s="87">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332">
        <v>1</v>
      </c>
      <c r="B1397" s="332" t="s">
        <v>67</v>
      </c>
      <c r="C1397" s="332" t="s">
        <v>2301</v>
      </c>
      <c r="D1397" s="332" t="s">
        <v>2301</v>
      </c>
      <c r="E1397" s="333" t="s">
        <v>69</v>
      </c>
      <c r="F1397" s="332"/>
      <c r="G1397" s="334" t="str">
        <f t="array" ref="G1397">IF(B1397="insumo",_xlfn.XLOOKUP($D1397,Insumos!$B$1:$B$996,Insumos!$D$1:$D$996),"")</f>
        <v/>
      </c>
      <c r="H1397" s="334">
        <v>167.74008449999999</v>
      </c>
      <c r="I1397" s="335">
        <v>0</v>
      </c>
      <c r="J1397" s="335">
        <v>0</v>
      </c>
      <c r="K1397" s="335"/>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70</v>
      </c>
      <c r="C1398" s="10" t="s">
        <v>2301</v>
      </c>
      <c r="D1398" s="10" t="s">
        <v>406</v>
      </c>
      <c r="E1398" s="11" t="str">
        <f t="array" ref="E1398">_xlfn.XLOOKUP(D1398,Insumos!B:B,Insumos!C:$C)</f>
        <v>M2</v>
      </c>
      <c r="F1398" s="14">
        <v>1</v>
      </c>
      <c r="G1398" s="87">
        <f t="array" ref="G1398">IF(B1398="insumo",_xlfn.XLOOKUP($D1398,Insumos!$B$1:$B$996,Insumos!$D$1:$D$996),"")</f>
        <v>70</v>
      </c>
      <c r="H1398" s="87">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70</v>
      </c>
      <c r="C1399" s="10" t="s">
        <v>2301</v>
      </c>
      <c r="D1399" s="10" t="s">
        <v>417</v>
      </c>
      <c r="E1399" s="11" t="str">
        <f t="array" ref="E1399">_xlfn.XLOOKUP(D1399,Insumos!B:B,Insumos!C:$C)</f>
        <v>M2</v>
      </c>
      <c r="F1399" s="14">
        <v>1.1060000000000001</v>
      </c>
      <c r="G1399" s="87">
        <f t="array" ref="G1399">IF(B1399="insumo",_xlfn.XLOOKUP($D1399,Insumos!$B$1:$B$996,Insumos!$D$1:$D$996),"")</f>
        <v>27.1</v>
      </c>
      <c r="H1399" s="87">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70</v>
      </c>
      <c r="C1400" s="10" t="s">
        <v>2301</v>
      </c>
      <c r="D1400" s="10" t="s">
        <v>408</v>
      </c>
      <c r="E1400" s="11" t="str">
        <f t="array" ref="E1400">_xlfn.XLOOKUP(D1400,Insumos!B:B,Insumos!C:$C)</f>
        <v>UN</v>
      </c>
      <c r="F1400" s="14">
        <v>5.92</v>
      </c>
      <c r="G1400" s="87">
        <f t="array" ref="G1400">IF(B1400="insumo",_xlfn.XLOOKUP($D1400,Insumos!$B$1:$B$996,Insumos!$D$1:$D$996),"")</f>
        <v>0.504</v>
      </c>
      <c r="H1400" s="87">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70</v>
      </c>
      <c r="C1401" s="10" t="s">
        <v>2301</v>
      </c>
      <c r="D1401" s="10" t="s">
        <v>409</v>
      </c>
      <c r="E1401" s="11" t="str">
        <f t="array" ref="E1401">_xlfn.XLOOKUP(D1401,Insumos!B:B,Insumos!C:$C)</f>
        <v>M</v>
      </c>
      <c r="F1401" s="14">
        <v>1.8233999999999999</v>
      </c>
      <c r="G1401" s="87">
        <f t="array" ref="G1401">IF(B1401="insumo",_xlfn.XLOOKUP($D1401,Insumos!$B$1:$B$996,Insumos!$D$1:$D$996),"")</f>
        <v>7.03</v>
      </c>
      <c r="H1401" s="87">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70</v>
      </c>
      <c r="C1402" s="10" t="s">
        <v>2301</v>
      </c>
      <c r="D1402" s="10" t="s">
        <v>410</v>
      </c>
      <c r="E1402" s="11" t="str">
        <f t="array" ref="E1402">_xlfn.XLOOKUP(D1402,Insumos!B:B,Insumos!C:$C)</f>
        <v>M</v>
      </c>
      <c r="F1402" s="14">
        <v>5.8277999999999999</v>
      </c>
      <c r="G1402" s="87">
        <f t="array" ref="G1402">IF(B1402="insumo",_xlfn.XLOOKUP($D1402,Insumos!$B$1:$B$996,Insumos!$D$1:$D$996),"")</f>
        <v>7.98</v>
      </c>
      <c r="H1402" s="87">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70</v>
      </c>
      <c r="C1403" s="10" t="s">
        <v>2301</v>
      </c>
      <c r="D1403" s="10" t="s">
        <v>404</v>
      </c>
      <c r="E1403" s="11" t="str">
        <f t="array" ref="E1403">_xlfn.XLOOKUP(D1403,Insumos!B:B,Insumos!C:$C)</f>
        <v>KG</v>
      </c>
      <c r="F1403" s="14">
        <f>1.0978/2</f>
        <v>0.54890000000000005</v>
      </c>
      <c r="G1403" s="87">
        <f t="array" ref="G1403">IF(B1403="insumo",_xlfn.XLOOKUP($D1403,Insumos!$B$1:$B$996,Insumos!$D$1:$D$996),"")</f>
        <v>3.43</v>
      </c>
      <c r="H1403" s="87">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70</v>
      </c>
      <c r="C1404" s="10" t="s">
        <v>2301</v>
      </c>
      <c r="D1404" s="10" t="s">
        <v>411</v>
      </c>
      <c r="E1404" s="11" t="str">
        <f t="array" ref="E1404">_xlfn.XLOOKUP(D1404,Insumos!B:B,Insumos!C:$C)</f>
        <v>M</v>
      </c>
      <c r="F1404" s="14">
        <f>2.5027/2</f>
        <v>1.25135</v>
      </c>
      <c r="G1404" s="87">
        <f t="array" ref="G1404">IF(B1404="insumo",_xlfn.XLOOKUP($D1404,Insumos!$B$1:$B$996,Insumos!$D$1:$D$996),"")</f>
        <v>0.31</v>
      </c>
      <c r="H1404" s="87">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70</v>
      </c>
      <c r="C1405" s="10" t="s">
        <v>2301</v>
      </c>
      <c r="D1405" s="10" t="s">
        <v>412</v>
      </c>
      <c r="E1405" s="11" t="str">
        <f t="array" ref="E1405">_xlfn.XLOOKUP(D1405,Insumos!B:B,Insumos!C:$C)</f>
        <v>M</v>
      </c>
      <c r="F1405" s="14">
        <f>1.5851/2</f>
        <v>0.79254999999999998</v>
      </c>
      <c r="G1405" s="87">
        <f t="array" ref="G1405">IF(B1405="insumo",_xlfn.XLOOKUP($D1405,Insumos!$B$1:$B$996,Insumos!$D$1:$D$996),"")</f>
        <v>2.74</v>
      </c>
      <c r="H1405" s="87">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70</v>
      </c>
      <c r="C1406" s="10" t="s">
        <v>2301</v>
      </c>
      <c r="D1406" s="10" t="s">
        <v>413</v>
      </c>
      <c r="E1406" s="11" t="str">
        <f t="array" ref="E1406">_xlfn.XLOOKUP(D1406,Insumos!B:B,Insumos!C:$C)</f>
        <v>UN</v>
      </c>
      <c r="F1406" s="14">
        <f>20.1868/2</f>
        <v>10.093400000000001</v>
      </c>
      <c r="G1406" s="87">
        <f t="array" ref="G1406">IF(B1406="insumo",_xlfn.XLOOKUP($D1406,Insumos!$B$1:$B$996,Insumos!$D$1:$D$996),"")</f>
        <v>0.09</v>
      </c>
      <c r="H1406" s="87">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70</v>
      </c>
      <c r="C1407" s="10" t="s">
        <v>2301</v>
      </c>
      <c r="D1407" s="10" t="s">
        <v>414</v>
      </c>
      <c r="E1407" s="11" t="str">
        <f t="array" ref="E1407">_xlfn.XLOOKUP(D1407,Insumos!B:B,Insumos!C:$C)</f>
        <v>UN</v>
      </c>
      <c r="F1407" s="14">
        <v>0.54410000000000003</v>
      </c>
      <c r="G1407" s="87">
        <f t="array" ref="G1407">IF(B1407="insumo",_xlfn.XLOOKUP($D1407,Insumos!$B$1:$B$996,Insumos!$D$1:$D$996),"")</f>
        <v>0.2</v>
      </c>
      <c r="H1407" s="87">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332">
        <v>1</v>
      </c>
      <c r="B1408" s="332" t="s">
        <v>67</v>
      </c>
      <c r="C1408" s="332" t="s">
        <v>2300</v>
      </c>
      <c r="D1408" s="332" t="s">
        <v>2300</v>
      </c>
      <c r="E1408" s="333" t="s">
        <v>69</v>
      </c>
      <c r="F1408" s="332"/>
      <c r="G1408" s="334" t="str">
        <f t="array" ref="G1408">IF(B1408="insumo",_xlfn.XLOOKUP($D1408,Insumos!$B$1:$B$996,Insumos!$D$1:$D$996),"")</f>
        <v/>
      </c>
      <c r="H1408" s="334">
        <v>160.06444450000001</v>
      </c>
      <c r="I1408" s="335">
        <v>0</v>
      </c>
      <c r="J1408" s="335">
        <v>0</v>
      </c>
      <c r="K1408" s="335"/>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70</v>
      </c>
      <c r="C1409" s="10" t="s">
        <v>2300</v>
      </c>
      <c r="D1409" s="10" t="s">
        <v>406</v>
      </c>
      <c r="E1409" s="11" t="str">
        <f t="array" ref="E1409">_xlfn.XLOOKUP(D1409,Insumos!B:B,Insumos!C:$C)</f>
        <v>M2</v>
      </c>
      <c r="F1409" s="14">
        <v>1</v>
      </c>
      <c r="G1409" s="87">
        <f t="array" ref="G1409">IF(B1409="insumo",_xlfn.XLOOKUP($D1409,Insumos!$B$1:$B$996,Insumos!$D$1:$D$996),"")</f>
        <v>70</v>
      </c>
      <c r="H1409" s="87">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70</v>
      </c>
      <c r="C1410" s="10" t="s">
        <v>2300</v>
      </c>
      <c r="D1410" s="10" t="s">
        <v>407</v>
      </c>
      <c r="E1410" s="11" t="str">
        <f t="array" ref="E1410">_xlfn.XLOOKUP(D1410,Insumos!B:B,Insumos!C:$C)</f>
        <v>M2</v>
      </c>
      <c r="F1410" s="14">
        <v>1.1060000000000001</v>
      </c>
      <c r="G1410" s="87">
        <f t="array" ref="G1410">IF(B1410="insumo",_xlfn.XLOOKUP($D1410,Insumos!$B$1:$B$996,Insumos!$D$1:$D$996),"")</f>
        <v>20.16</v>
      </c>
      <c r="H1410" s="87">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70</v>
      </c>
      <c r="C1411" s="10" t="s">
        <v>2300</v>
      </c>
      <c r="D1411" s="10" t="s">
        <v>408</v>
      </c>
      <c r="E1411" s="11" t="str">
        <f t="array" ref="E1411">_xlfn.XLOOKUP(D1411,Insumos!B:B,Insumos!C:$C)</f>
        <v>UN</v>
      </c>
      <c r="F1411" s="14">
        <v>5.92</v>
      </c>
      <c r="G1411" s="87">
        <f t="array" ref="G1411">IF(B1411="insumo",_xlfn.XLOOKUP($D1411,Insumos!$B$1:$B$996,Insumos!$D$1:$D$996),"")</f>
        <v>0.504</v>
      </c>
      <c r="H1411" s="87">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70</v>
      </c>
      <c r="C1412" s="10" t="s">
        <v>2300</v>
      </c>
      <c r="D1412" s="10" t="s">
        <v>409</v>
      </c>
      <c r="E1412" s="11" t="str">
        <f t="array" ref="E1412">_xlfn.XLOOKUP(D1412,Insumos!B:B,Insumos!C:$C)</f>
        <v>M</v>
      </c>
      <c r="F1412" s="14">
        <v>1.8233999999999999</v>
      </c>
      <c r="G1412" s="87">
        <f t="array" ref="G1412">IF(B1412="insumo",_xlfn.XLOOKUP($D1412,Insumos!$B$1:$B$996,Insumos!$D$1:$D$996),"")</f>
        <v>7.03</v>
      </c>
      <c r="H1412" s="87">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70</v>
      </c>
      <c r="C1413" s="10" t="s">
        <v>2300</v>
      </c>
      <c r="D1413" s="10" t="s">
        <v>410</v>
      </c>
      <c r="E1413" s="11" t="str">
        <f t="array" ref="E1413">_xlfn.XLOOKUP(D1413,Insumos!B:B,Insumos!C:$C)</f>
        <v>M</v>
      </c>
      <c r="F1413" s="14">
        <v>5.8277999999999999</v>
      </c>
      <c r="G1413" s="87">
        <f t="array" ref="G1413">IF(B1413="insumo",_xlfn.XLOOKUP($D1413,Insumos!$B$1:$B$996,Insumos!$D$1:$D$996),"")</f>
        <v>7.98</v>
      </c>
      <c r="H1413" s="87">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70</v>
      </c>
      <c r="C1414" s="10" t="s">
        <v>2300</v>
      </c>
      <c r="D1414" s="10" t="s">
        <v>404</v>
      </c>
      <c r="E1414" s="11" t="str">
        <f t="array" ref="E1414">_xlfn.XLOOKUP(D1414,Insumos!B:B,Insumos!C:$C)</f>
        <v>KG</v>
      </c>
      <c r="F1414" s="14">
        <f>1.0978/2</f>
        <v>0.54890000000000005</v>
      </c>
      <c r="G1414" s="87">
        <f t="array" ref="G1414">IF(B1414="insumo",_xlfn.XLOOKUP($D1414,Insumos!$B$1:$B$996,Insumos!$D$1:$D$996),"")</f>
        <v>3.43</v>
      </c>
      <c r="H1414" s="87">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70</v>
      </c>
      <c r="C1415" s="10" t="s">
        <v>2300</v>
      </c>
      <c r="D1415" s="10" t="s">
        <v>411</v>
      </c>
      <c r="E1415" s="11" t="str">
        <f t="array" ref="E1415">_xlfn.XLOOKUP(D1415,Insumos!B:B,Insumos!C:$C)</f>
        <v>M</v>
      </c>
      <c r="F1415" s="14">
        <f>2.5027/2</f>
        <v>1.25135</v>
      </c>
      <c r="G1415" s="87">
        <f t="array" ref="G1415">IF(B1415="insumo",_xlfn.XLOOKUP($D1415,Insumos!$B$1:$B$996,Insumos!$D$1:$D$996),"")</f>
        <v>0.31</v>
      </c>
      <c r="H1415" s="87">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70</v>
      </c>
      <c r="C1416" s="10" t="s">
        <v>2300</v>
      </c>
      <c r="D1416" s="10" t="s">
        <v>412</v>
      </c>
      <c r="E1416" s="11" t="str">
        <f t="array" ref="E1416">_xlfn.XLOOKUP(D1416,Insumos!B:B,Insumos!C:$C)</f>
        <v>M</v>
      </c>
      <c r="F1416" s="14">
        <f>1.5851/2</f>
        <v>0.79254999999999998</v>
      </c>
      <c r="G1416" s="87">
        <f t="array" ref="G1416">IF(B1416="insumo",_xlfn.XLOOKUP($D1416,Insumos!$B$1:$B$996,Insumos!$D$1:$D$996),"")</f>
        <v>2.74</v>
      </c>
      <c r="H1416" s="87">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70</v>
      </c>
      <c r="C1417" s="10" t="s">
        <v>2300</v>
      </c>
      <c r="D1417" s="10" t="s">
        <v>413</v>
      </c>
      <c r="E1417" s="11" t="str">
        <f t="array" ref="E1417">_xlfn.XLOOKUP(D1417,Insumos!B:B,Insumos!C:$C)</f>
        <v>UN</v>
      </c>
      <c r="F1417" s="14">
        <f>20.1868/2</f>
        <v>10.093400000000001</v>
      </c>
      <c r="G1417" s="87">
        <f t="array" ref="G1417">IF(B1417="insumo",_xlfn.XLOOKUP($D1417,Insumos!$B$1:$B$996,Insumos!$D$1:$D$996),"")</f>
        <v>0.09</v>
      </c>
      <c r="H1417" s="87">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70</v>
      </c>
      <c r="C1418" s="10" t="s">
        <v>2300</v>
      </c>
      <c r="D1418" s="10" t="s">
        <v>414</v>
      </c>
      <c r="E1418" s="11" t="str">
        <f t="array" ref="E1418">_xlfn.XLOOKUP(D1418,Insumos!B:B,Insumos!C:$C)</f>
        <v>UN</v>
      </c>
      <c r="F1418" s="14">
        <v>0.54410000000000003</v>
      </c>
      <c r="G1418" s="87">
        <f t="array" ref="G1418">IF(B1418="insumo",_xlfn.XLOOKUP($D1418,Insumos!$B$1:$B$996,Insumos!$D$1:$D$996),"")</f>
        <v>0.2</v>
      </c>
      <c r="H1418" s="87">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332">
        <v>1</v>
      </c>
      <c r="B1419" s="332" t="s">
        <v>67</v>
      </c>
      <c r="C1419" s="332" t="s">
        <v>2297</v>
      </c>
      <c r="D1419" s="332" t="s">
        <v>2297</v>
      </c>
      <c r="E1419" s="333" t="s">
        <v>69</v>
      </c>
      <c r="F1419" s="332"/>
      <c r="G1419" s="334" t="str">
        <f t="array" ref="G1419">IF(B1419="insumo",_xlfn.XLOOKUP($D1419,Insumos!$B$1:$B$996,Insumos!$D$1:$D$996),"")</f>
        <v/>
      </c>
      <c r="H1419" s="334">
        <v>159.7256165</v>
      </c>
      <c r="I1419" s="335">
        <v>0</v>
      </c>
      <c r="J1419" s="335">
        <v>0</v>
      </c>
      <c r="K1419" s="335"/>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70</v>
      </c>
      <c r="C1420" s="10" t="s">
        <v>2297</v>
      </c>
      <c r="D1420" s="10" t="s">
        <v>406</v>
      </c>
      <c r="E1420" s="11" t="str">
        <f t="array" ref="E1420">_xlfn.XLOOKUP(D1420,Insumos!B:B,Insumos!C:$C)</f>
        <v>M2</v>
      </c>
      <c r="F1420" s="14">
        <v>1</v>
      </c>
      <c r="G1420" s="87">
        <f t="array" ref="G1420">IF(B1420="insumo",_xlfn.XLOOKUP($D1420,Insumos!$B$1:$B$996,Insumos!$D$1:$D$996),"")</f>
        <v>70</v>
      </c>
      <c r="H1420" s="87">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70</v>
      </c>
      <c r="C1421" s="10" t="s">
        <v>2297</v>
      </c>
      <c r="D1421" s="10" t="s">
        <v>407</v>
      </c>
      <c r="E1421" s="11" t="str">
        <f t="array" ref="E1421">_xlfn.XLOOKUP(D1421,Insumos!B:B,Insumos!C:$C)</f>
        <v>M2</v>
      </c>
      <c r="F1421" s="14">
        <v>1.0529999999999999</v>
      </c>
      <c r="G1421" s="87">
        <f t="array" ref="G1421">IF(B1421="insumo",_xlfn.XLOOKUP($D1421,Insumos!$B$1:$B$996,Insumos!$D$1:$D$996),"")</f>
        <v>20.16</v>
      </c>
      <c r="H1421" s="87">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70</v>
      </c>
      <c r="C1422" s="10" t="s">
        <v>2297</v>
      </c>
      <c r="D1422" s="10" t="s">
        <v>408</v>
      </c>
      <c r="E1422" s="11" t="str">
        <f t="array" ref="E1422">_xlfn.XLOOKUP(D1422,Insumos!B:B,Insumos!C:$C)</f>
        <v>UN</v>
      </c>
      <c r="F1422" s="14">
        <v>5.92</v>
      </c>
      <c r="G1422" s="87">
        <f t="array" ref="G1422">IF(B1422="insumo",_xlfn.XLOOKUP($D1422,Insumos!$B$1:$B$996,Insumos!$D$1:$D$996),"")</f>
        <v>0.504</v>
      </c>
      <c r="H1422" s="87">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70</v>
      </c>
      <c r="C1423" s="10" t="s">
        <v>2297</v>
      </c>
      <c r="D1423" s="10" t="s">
        <v>422</v>
      </c>
      <c r="E1423" s="11" t="str">
        <f t="array" ref="E1423">_xlfn.XLOOKUP(D1423,Insumos!B:B,Insumos!C:$C)</f>
        <v>M</v>
      </c>
      <c r="F1423" s="14">
        <v>1.8233999999999999</v>
      </c>
      <c r="G1423" s="87">
        <f t="array" ref="G1423">IF(B1423="insumo",_xlfn.XLOOKUP($D1423,Insumos!$B$1:$B$996,Insumos!$D$1:$D$996),"")</f>
        <v>7.46</v>
      </c>
      <c r="H1423" s="87">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70</v>
      </c>
      <c r="C1424" s="10" t="s">
        <v>2297</v>
      </c>
      <c r="D1424" s="10" t="s">
        <v>423</v>
      </c>
      <c r="E1424" s="11" t="str">
        <f t="array" ref="E1424">_xlfn.XLOOKUP(D1424,Insumos!B:B,Insumos!C:$C)</f>
        <v>M</v>
      </c>
      <c r="F1424" s="14">
        <v>5.8277999999999999</v>
      </c>
      <c r="G1424" s="87">
        <f t="array" ref="G1424">IF(B1424="insumo",_xlfn.XLOOKUP($D1424,Insumos!$B$1:$B$996,Insumos!$D$1:$D$996),"")</f>
        <v>7.98</v>
      </c>
      <c r="H1424" s="87">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70</v>
      </c>
      <c r="C1425" s="10" t="s">
        <v>2297</v>
      </c>
      <c r="D1425" s="10" t="s">
        <v>404</v>
      </c>
      <c r="E1425" s="11" t="str">
        <f t="array" ref="E1425">_xlfn.XLOOKUP(D1425,Insumos!B:B,Insumos!C:$C)</f>
        <v>KG</v>
      </c>
      <c r="F1425" s="14">
        <v>0.54890000000000005</v>
      </c>
      <c r="G1425" s="87">
        <f t="array" ref="G1425">IF(B1425="insumo",_xlfn.XLOOKUP($D1425,Insumos!$B$1:$B$996,Insumos!$D$1:$D$996),"")</f>
        <v>3.43</v>
      </c>
      <c r="H1425" s="87">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70</v>
      </c>
      <c r="C1426" s="10" t="s">
        <v>2297</v>
      </c>
      <c r="D1426" s="10" t="s">
        <v>411</v>
      </c>
      <c r="E1426" s="11" t="str">
        <f t="array" ref="E1426">_xlfn.XLOOKUP(D1426,Insumos!B:B,Insumos!C:$C)</f>
        <v>M</v>
      </c>
      <c r="F1426" s="14">
        <v>1.25135</v>
      </c>
      <c r="G1426" s="87">
        <f t="array" ref="G1426">IF(B1426="insumo",_xlfn.XLOOKUP($D1426,Insumos!$B$1:$B$996,Insumos!$D$1:$D$996),"")</f>
        <v>0.31</v>
      </c>
      <c r="H1426" s="87">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70</v>
      </c>
      <c r="C1427" s="10" t="s">
        <v>2297</v>
      </c>
      <c r="D1427" s="10" t="s">
        <v>412</v>
      </c>
      <c r="E1427" s="11" t="str">
        <f t="array" ref="E1427">_xlfn.XLOOKUP(D1427,Insumos!B:B,Insumos!C:$C)</f>
        <v>M</v>
      </c>
      <c r="F1427" s="14">
        <v>0.79254999999999998</v>
      </c>
      <c r="G1427" s="87">
        <f t="array" ref="G1427">IF(B1427="insumo",_xlfn.XLOOKUP($D1427,Insumos!$B$1:$B$996,Insumos!$D$1:$D$996),"")</f>
        <v>2.74</v>
      </c>
      <c r="H1427" s="87">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70</v>
      </c>
      <c r="C1428" s="10" t="s">
        <v>2297</v>
      </c>
      <c r="D1428" s="10" t="s">
        <v>413</v>
      </c>
      <c r="E1428" s="11" t="str">
        <f t="array" ref="E1428">_xlfn.XLOOKUP(D1428,Insumos!B:B,Insumos!C:$C)</f>
        <v>UN</v>
      </c>
      <c r="F1428" s="14">
        <v>10.093400000000001</v>
      </c>
      <c r="G1428" s="87">
        <f t="array" ref="G1428">IF(B1428="insumo",_xlfn.XLOOKUP($D1428,Insumos!$B$1:$B$996,Insumos!$D$1:$D$996),"")</f>
        <v>0.09</v>
      </c>
      <c r="H1428" s="87">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70</v>
      </c>
      <c r="C1429" s="10" t="s">
        <v>2297</v>
      </c>
      <c r="D1429" s="10" t="s">
        <v>414</v>
      </c>
      <c r="E1429" s="11" t="str">
        <f t="array" ref="E1429">_xlfn.XLOOKUP(D1429,Insumos!B:B,Insumos!C:$C)</f>
        <v>UN</v>
      </c>
      <c r="F1429" s="14">
        <v>0.27205000000000001</v>
      </c>
      <c r="G1429" s="87">
        <f t="array" ref="G1429">IF(B1429="insumo",_xlfn.XLOOKUP($D1429,Insumos!$B$1:$B$996,Insumos!$D$1:$D$996),"")</f>
        <v>0.2</v>
      </c>
      <c r="H1429" s="87">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332">
        <v>1</v>
      </c>
      <c r="B1430" s="332" t="s">
        <v>67</v>
      </c>
      <c r="C1430" s="332" t="s">
        <v>2298</v>
      </c>
      <c r="D1430" s="332" t="s">
        <v>2298</v>
      </c>
      <c r="E1430" s="333" t="s">
        <v>69</v>
      </c>
      <c r="F1430" s="332"/>
      <c r="G1430" s="334" t="str">
        <f t="array" ref="G1430">IF(B1430="insumo",_xlfn.XLOOKUP($D1430,Insumos!$B$1:$B$996,Insumos!$D$1:$D$996),"")</f>
        <v/>
      </c>
      <c r="H1430" s="334">
        <v>167.03343649999999</v>
      </c>
      <c r="I1430" s="335">
        <v>0</v>
      </c>
      <c r="J1430" s="335">
        <v>0</v>
      </c>
      <c r="K1430" s="335"/>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70</v>
      </c>
      <c r="C1431" s="10" t="s">
        <v>2298</v>
      </c>
      <c r="D1431" s="10" t="s">
        <v>406</v>
      </c>
      <c r="E1431" s="11" t="str">
        <f t="array" ref="E1431">_xlfn.XLOOKUP(D1431,Insumos!B:B,Insumos!C:$C)</f>
        <v>M2</v>
      </c>
      <c r="F1431" s="14">
        <v>1</v>
      </c>
      <c r="G1431" s="87">
        <f t="array" ref="G1431">IF(B1431="insumo",_xlfn.XLOOKUP($D1431,Insumos!$B$1:$B$996,Insumos!$D$1:$D$996),"")</f>
        <v>70</v>
      </c>
      <c r="H1431" s="87">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70</v>
      </c>
      <c r="C1432" s="10" t="s">
        <v>2298</v>
      </c>
      <c r="D1432" s="10" t="s">
        <v>417</v>
      </c>
      <c r="E1432" s="11" t="str">
        <f t="array" ref="E1432">_xlfn.XLOOKUP(D1432,Insumos!B:B,Insumos!C:$C)</f>
        <v>M2</v>
      </c>
      <c r="F1432" s="14">
        <v>1.0529999999999999</v>
      </c>
      <c r="G1432" s="87">
        <f t="array" ref="G1432">IF(B1432="insumo",_xlfn.XLOOKUP($D1432,Insumos!$B$1:$B$996,Insumos!$D$1:$D$996),"")</f>
        <v>27.1</v>
      </c>
      <c r="H1432" s="87">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70</v>
      </c>
      <c r="C1433" s="10" t="s">
        <v>2298</v>
      </c>
      <c r="D1433" s="10" t="s">
        <v>408</v>
      </c>
      <c r="E1433" s="11" t="str">
        <f t="array" ref="E1433">_xlfn.XLOOKUP(D1433,Insumos!B:B,Insumos!C:$C)</f>
        <v>UN</v>
      </c>
      <c r="F1433" s="14">
        <v>5.92</v>
      </c>
      <c r="G1433" s="87">
        <f t="array" ref="G1433">IF(B1433="insumo",_xlfn.XLOOKUP($D1433,Insumos!$B$1:$B$996,Insumos!$D$1:$D$996),"")</f>
        <v>0.504</v>
      </c>
      <c r="H1433" s="87">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70</v>
      </c>
      <c r="C1434" s="10" t="s">
        <v>2298</v>
      </c>
      <c r="D1434" s="10" t="s">
        <v>422</v>
      </c>
      <c r="E1434" s="11" t="str">
        <f t="array" ref="E1434">_xlfn.XLOOKUP(D1434,Insumos!B:B,Insumos!C:$C)</f>
        <v>M</v>
      </c>
      <c r="F1434" s="14">
        <v>1.8233999999999999</v>
      </c>
      <c r="G1434" s="87">
        <f t="array" ref="G1434">IF(B1434="insumo",_xlfn.XLOOKUP($D1434,Insumos!$B$1:$B$996,Insumos!$D$1:$D$996),"")</f>
        <v>7.46</v>
      </c>
      <c r="H1434" s="87">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70</v>
      </c>
      <c r="C1435" s="10" t="s">
        <v>2298</v>
      </c>
      <c r="D1435" s="10" t="s">
        <v>423</v>
      </c>
      <c r="E1435" s="11" t="str">
        <f t="array" ref="E1435">_xlfn.XLOOKUP(D1435,Insumos!B:B,Insumos!C:$C)</f>
        <v>M</v>
      </c>
      <c r="F1435" s="14">
        <v>5.8277999999999999</v>
      </c>
      <c r="G1435" s="87">
        <f t="array" ref="G1435">IF(B1435="insumo",_xlfn.XLOOKUP($D1435,Insumos!$B$1:$B$996,Insumos!$D$1:$D$996),"")</f>
        <v>7.98</v>
      </c>
      <c r="H1435" s="87">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70</v>
      </c>
      <c r="C1436" s="10" t="s">
        <v>2298</v>
      </c>
      <c r="D1436" s="10" t="s">
        <v>404</v>
      </c>
      <c r="E1436" s="11" t="str">
        <f t="array" ref="E1436">_xlfn.XLOOKUP(D1436,Insumos!B:B,Insumos!C:$C)</f>
        <v>KG</v>
      </c>
      <c r="F1436" s="14">
        <v>0.54890000000000005</v>
      </c>
      <c r="G1436" s="87">
        <f t="array" ref="G1436">IF(B1436="insumo",_xlfn.XLOOKUP($D1436,Insumos!$B$1:$B$996,Insumos!$D$1:$D$996),"")</f>
        <v>3.43</v>
      </c>
      <c r="H1436" s="87">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70</v>
      </c>
      <c r="C1437" s="10" t="s">
        <v>2298</v>
      </c>
      <c r="D1437" s="10" t="s">
        <v>411</v>
      </c>
      <c r="E1437" s="11" t="str">
        <f t="array" ref="E1437">_xlfn.XLOOKUP(D1437,Insumos!B:B,Insumos!C:$C)</f>
        <v>M</v>
      </c>
      <c r="F1437" s="14">
        <v>1.25135</v>
      </c>
      <c r="G1437" s="87">
        <f t="array" ref="G1437">IF(B1437="insumo",_xlfn.XLOOKUP($D1437,Insumos!$B$1:$B$996,Insumos!$D$1:$D$996),"")</f>
        <v>0.31</v>
      </c>
      <c r="H1437" s="87">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70</v>
      </c>
      <c r="C1438" s="10" t="s">
        <v>2298</v>
      </c>
      <c r="D1438" s="10" t="s">
        <v>412</v>
      </c>
      <c r="E1438" s="11" t="str">
        <f t="array" ref="E1438">_xlfn.XLOOKUP(D1438,Insumos!B:B,Insumos!C:$C)</f>
        <v>M</v>
      </c>
      <c r="F1438" s="14">
        <v>0.79254999999999998</v>
      </c>
      <c r="G1438" s="87">
        <f t="array" ref="G1438">IF(B1438="insumo",_xlfn.XLOOKUP($D1438,Insumos!$B$1:$B$996,Insumos!$D$1:$D$996),"")</f>
        <v>2.74</v>
      </c>
      <c r="H1438" s="87">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70</v>
      </c>
      <c r="C1439" s="10" t="s">
        <v>2298</v>
      </c>
      <c r="D1439" s="10" t="s">
        <v>413</v>
      </c>
      <c r="E1439" s="11" t="str">
        <f t="array" ref="E1439">_xlfn.XLOOKUP(D1439,Insumos!B:B,Insumos!C:$C)</f>
        <v>UN</v>
      </c>
      <c r="F1439" s="14">
        <v>10.093400000000001</v>
      </c>
      <c r="G1439" s="87">
        <f t="array" ref="G1439">IF(B1439="insumo",_xlfn.XLOOKUP($D1439,Insumos!$B$1:$B$996,Insumos!$D$1:$D$996),"")</f>
        <v>0.09</v>
      </c>
      <c r="H1439" s="87">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70</v>
      </c>
      <c r="C1440" s="10" t="s">
        <v>2298</v>
      </c>
      <c r="D1440" s="10" t="s">
        <v>414</v>
      </c>
      <c r="E1440" s="11" t="str">
        <f t="array" ref="E1440">_xlfn.XLOOKUP(D1440,Insumos!B:B,Insumos!C:$C)</f>
        <v>UN</v>
      </c>
      <c r="F1440" s="14">
        <v>0.27205000000000001</v>
      </c>
      <c r="G1440" s="87">
        <f t="array" ref="G1440">IF(B1440="insumo",_xlfn.XLOOKUP($D1440,Insumos!$B$1:$B$996,Insumos!$D$1:$D$996),"")</f>
        <v>0.2</v>
      </c>
      <c r="H1440" s="87">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332">
        <v>1</v>
      </c>
      <c r="B1441" s="332" t="s">
        <v>67</v>
      </c>
      <c r="C1441" s="332" t="s">
        <v>2294</v>
      </c>
      <c r="D1441" s="332" t="s">
        <v>2294</v>
      </c>
      <c r="E1441" s="333" t="s">
        <v>69</v>
      </c>
      <c r="F1441" s="332"/>
      <c r="G1441" s="334" t="str">
        <f t="array" ref="G1441">IF(B1441="insumo",_xlfn.XLOOKUP($D1441,Insumos!$B$1:$B$996,Insumos!$D$1:$D$996),"")</f>
        <v/>
      </c>
      <c r="H1441" s="334">
        <v>180.95409649999999</v>
      </c>
      <c r="I1441" s="335">
        <v>0</v>
      </c>
      <c r="J1441" s="335">
        <v>0</v>
      </c>
      <c r="K1441" s="335"/>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70</v>
      </c>
      <c r="C1442" s="10" t="s">
        <v>2294</v>
      </c>
      <c r="D1442" s="10" t="s">
        <v>406</v>
      </c>
      <c r="E1442" s="11" t="str">
        <f t="array" ref="E1442">_xlfn.XLOOKUP(D1442,Insumos!B:B,Insumos!C:$C)</f>
        <v>M2</v>
      </c>
      <c r="F1442" s="14">
        <v>1</v>
      </c>
      <c r="G1442" s="87">
        <f t="array" ref="G1442">IF(B1442="insumo",_xlfn.XLOOKUP($D1442,Insumos!$B$1:$B$996,Insumos!$D$1:$D$996),"")</f>
        <v>70</v>
      </c>
      <c r="H1442" s="87">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70</v>
      </c>
      <c r="C1443" s="10" t="s">
        <v>2294</v>
      </c>
      <c r="D1443" s="10" t="s">
        <v>407</v>
      </c>
      <c r="E1443" s="11" t="str">
        <f t="array" ref="E1443">_xlfn.XLOOKUP(D1443,Insumos!B:B,Insumos!C:$C)</f>
        <v>M2</v>
      </c>
      <c r="F1443" s="14">
        <f>1.053*2</f>
        <v>2.1059999999999999</v>
      </c>
      <c r="G1443" s="87">
        <f t="array" ref="G1443">IF(B1443="insumo",_xlfn.XLOOKUP($D1443,Insumos!$B$1:$B$996,Insumos!$D$1:$D$996),"")</f>
        <v>20.16</v>
      </c>
      <c r="H1443" s="87">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70</v>
      </c>
      <c r="C1444" s="10" t="s">
        <v>2294</v>
      </c>
      <c r="D1444" s="10" t="s">
        <v>408</v>
      </c>
      <c r="E1444" s="11" t="str">
        <f t="array" ref="E1444">_xlfn.XLOOKUP(D1444,Insumos!B:B,Insumos!C:$C)</f>
        <v>UN</v>
      </c>
      <c r="F1444" s="14">
        <v>5.92</v>
      </c>
      <c r="G1444" s="87">
        <f t="array" ref="G1444">IF(B1444="insumo",_xlfn.XLOOKUP($D1444,Insumos!$B$1:$B$996,Insumos!$D$1:$D$996),"")</f>
        <v>0.504</v>
      </c>
      <c r="H1444" s="87">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70</v>
      </c>
      <c r="C1445" s="10" t="s">
        <v>2294</v>
      </c>
      <c r="D1445" s="10" t="s">
        <v>422</v>
      </c>
      <c r="E1445" s="11" t="str">
        <f t="array" ref="E1445">_xlfn.XLOOKUP(D1445,Insumos!B:B,Insumos!C:$C)</f>
        <v>M</v>
      </c>
      <c r="F1445" s="14">
        <v>1.8233999999999999</v>
      </c>
      <c r="G1445" s="87">
        <f t="array" ref="G1445">IF(B1445="insumo",_xlfn.XLOOKUP($D1445,Insumos!$B$1:$B$996,Insumos!$D$1:$D$996),"")</f>
        <v>7.46</v>
      </c>
      <c r="H1445" s="87">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70</v>
      </c>
      <c r="C1446" s="10" t="s">
        <v>2294</v>
      </c>
      <c r="D1446" s="10" t="s">
        <v>423</v>
      </c>
      <c r="E1446" s="11" t="str">
        <f t="array" ref="E1446">_xlfn.XLOOKUP(D1446,Insumos!B:B,Insumos!C:$C)</f>
        <v>M</v>
      </c>
      <c r="F1446" s="14">
        <v>5.8277999999999999</v>
      </c>
      <c r="G1446" s="87">
        <f t="array" ref="G1446">IF(B1446="insumo",_xlfn.XLOOKUP($D1446,Insumos!$B$1:$B$996,Insumos!$D$1:$D$996),"")</f>
        <v>7.98</v>
      </c>
      <c r="H1446" s="87">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70</v>
      </c>
      <c r="C1447" s="10" t="s">
        <v>2294</v>
      </c>
      <c r="D1447" s="10" t="s">
        <v>404</v>
      </c>
      <c r="E1447" s="11" t="str">
        <f t="array" ref="E1447">_xlfn.XLOOKUP(D1447,Insumos!B:B,Insumos!C:$C)</f>
        <v>KG</v>
      </c>
      <c r="F1447" s="14">
        <v>0.54890000000000005</v>
      </c>
      <c r="G1447" s="87">
        <f t="array" ref="G1447">IF(B1447="insumo",_xlfn.XLOOKUP($D1447,Insumos!$B$1:$B$996,Insumos!$D$1:$D$996),"")</f>
        <v>3.43</v>
      </c>
      <c r="H1447" s="87">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70</v>
      </c>
      <c r="C1448" s="10" t="s">
        <v>2294</v>
      </c>
      <c r="D1448" s="10" t="s">
        <v>411</v>
      </c>
      <c r="E1448" s="11" t="str">
        <f t="array" ref="E1448">_xlfn.XLOOKUP(D1448,Insumos!B:B,Insumos!C:$C)</f>
        <v>M</v>
      </c>
      <c r="F1448" s="14">
        <v>1.25135</v>
      </c>
      <c r="G1448" s="87">
        <f t="array" ref="G1448">IF(B1448="insumo",_xlfn.XLOOKUP($D1448,Insumos!$B$1:$B$996,Insumos!$D$1:$D$996),"")</f>
        <v>0.31</v>
      </c>
      <c r="H1448" s="87">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70</v>
      </c>
      <c r="C1449" s="10" t="s">
        <v>2294</v>
      </c>
      <c r="D1449" s="10" t="s">
        <v>412</v>
      </c>
      <c r="E1449" s="11" t="str">
        <f t="array" ref="E1449">_xlfn.XLOOKUP(D1449,Insumos!B:B,Insumos!C:$C)</f>
        <v>M</v>
      </c>
      <c r="F1449" s="14">
        <v>0.79254999999999998</v>
      </c>
      <c r="G1449" s="87">
        <f t="array" ref="G1449">IF(B1449="insumo",_xlfn.XLOOKUP($D1449,Insumos!$B$1:$B$996,Insumos!$D$1:$D$996),"")</f>
        <v>2.74</v>
      </c>
      <c r="H1449" s="87">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70</v>
      </c>
      <c r="C1450" s="10" t="s">
        <v>2294</v>
      </c>
      <c r="D1450" s="10" t="s">
        <v>413</v>
      </c>
      <c r="E1450" s="11" t="str">
        <f t="array" ref="E1450">_xlfn.XLOOKUP(D1450,Insumos!B:B,Insumos!C:$C)</f>
        <v>UN</v>
      </c>
      <c r="F1450" s="14">
        <v>10.093400000000001</v>
      </c>
      <c r="G1450" s="87">
        <f t="array" ref="G1450">IF(B1450="insumo",_xlfn.XLOOKUP($D1450,Insumos!$B$1:$B$996,Insumos!$D$1:$D$996),"")</f>
        <v>0.09</v>
      </c>
      <c r="H1450" s="87">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70</v>
      </c>
      <c r="C1451" s="10" t="s">
        <v>2294</v>
      </c>
      <c r="D1451" s="10" t="s">
        <v>414</v>
      </c>
      <c r="E1451" s="11" t="str">
        <f t="array" ref="E1451">_xlfn.XLOOKUP(D1451,Insumos!B:B,Insumos!C:$C)</f>
        <v>UN</v>
      </c>
      <c r="F1451" s="14">
        <v>0.27205000000000001</v>
      </c>
      <c r="G1451" s="87">
        <f t="array" ref="G1451">IF(B1451="insumo",_xlfn.XLOOKUP($D1451,Insumos!$B$1:$B$996,Insumos!$D$1:$D$996),"")</f>
        <v>0.2</v>
      </c>
      <c r="H1451" s="87">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332">
        <v>1</v>
      </c>
      <c r="B1452" s="332" t="s">
        <v>67</v>
      </c>
      <c r="C1452" s="332" t="s">
        <v>2299</v>
      </c>
      <c r="D1452" s="332" t="s">
        <v>2299</v>
      </c>
      <c r="E1452" s="333" t="s">
        <v>69</v>
      </c>
      <c r="F1452" s="332"/>
      <c r="G1452" s="334" t="str">
        <f t="array" ref="G1452">IF(B1452="insumo",_xlfn.XLOOKUP($D1452,Insumos!$B$1:$B$996,Insumos!$D$1:$D$996),"")</f>
        <v/>
      </c>
      <c r="H1452" s="334">
        <v>195.5697365</v>
      </c>
      <c r="I1452" s="335">
        <v>0</v>
      </c>
      <c r="J1452" s="335">
        <v>0</v>
      </c>
      <c r="K1452" s="335"/>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70</v>
      </c>
      <c r="C1453" s="10" t="s">
        <v>2299</v>
      </c>
      <c r="D1453" s="10" t="s">
        <v>406</v>
      </c>
      <c r="E1453" s="11" t="str">
        <f t="array" ref="E1453">_xlfn.XLOOKUP(D1453,Insumos!B:B,Insumos!C:$C)</f>
        <v>M2</v>
      </c>
      <c r="F1453" s="14">
        <v>1</v>
      </c>
      <c r="G1453" s="87">
        <f t="array" ref="G1453">IF(B1453="insumo",_xlfn.XLOOKUP($D1453,Insumos!$B$1:$B$996,Insumos!$D$1:$D$996),"")</f>
        <v>70</v>
      </c>
      <c r="H1453" s="87">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70</v>
      </c>
      <c r="C1454" s="10" t="s">
        <v>2299</v>
      </c>
      <c r="D1454" s="10" t="s">
        <v>417</v>
      </c>
      <c r="E1454" s="11" t="str">
        <f t="array" ref="E1454">_xlfn.XLOOKUP(D1454,Insumos!B:B,Insumos!C:$C)</f>
        <v>M2</v>
      </c>
      <c r="F1454" s="14">
        <f>1.053*2</f>
        <v>2.1059999999999999</v>
      </c>
      <c r="G1454" s="87">
        <f t="array" ref="G1454">IF(B1454="insumo",_xlfn.XLOOKUP($D1454,Insumos!$B$1:$B$996,Insumos!$D$1:$D$996),"")</f>
        <v>27.1</v>
      </c>
      <c r="H1454" s="87">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70</v>
      </c>
      <c r="C1455" s="10" t="s">
        <v>2299</v>
      </c>
      <c r="D1455" s="10" t="s">
        <v>408</v>
      </c>
      <c r="E1455" s="11" t="str">
        <f t="array" ref="E1455">_xlfn.XLOOKUP(D1455,Insumos!B:B,Insumos!C:$C)</f>
        <v>UN</v>
      </c>
      <c r="F1455" s="14">
        <v>5.92</v>
      </c>
      <c r="G1455" s="87">
        <f t="array" ref="G1455">IF(B1455="insumo",_xlfn.XLOOKUP($D1455,Insumos!$B$1:$B$996,Insumos!$D$1:$D$996),"")</f>
        <v>0.504</v>
      </c>
      <c r="H1455" s="87">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70</v>
      </c>
      <c r="C1456" s="10" t="s">
        <v>2299</v>
      </c>
      <c r="D1456" s="10" t="s">
        <v>422</v>
      </c>
      <c r="E1456" s="11" t="str">
        <f t="array" ref="E1456">_xlfn.XLOOKUP(D1456,Insumos!B:B,Insumos!C:$C)</f>
        <v>M</v>
      </c>
      <c r="F1456" s="14">
        <v>1.8233999999999999</v>
      </c>
      <c r="G1456" s="87">
        <f t="array" ref="G1456">IF(B1456="insumo",_xlfn.XLOOKUP($D1456,Insumos!$B$1:$B$996,Insumos!$D$1:$D$996),"")</f>
        <v>7.46</v>
      </c>
      <c r="H1456" s="87">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70</v>
      </c>
      <c r="C1457" s="10" t="s">
        <v>2299</v>
      </c>
      <c r="D1457" s="10" t="s">
        <v>423</v>
      </c>
      <c r="E1457" s="11" t="str">
        <f t="array" ref="E1457">_xlfn.XLOOKUP(D1457,Insumos!B:B,Insumos!C:$C)</f>
        <v>M</v>
      </c>
      <c r="F1457" s="14">
        <v>5.8277999999999999</v>
      </c>
      <c r="G1457" s="87">
        <f t="array" ref="G1457">IF(B1457="insumo",_xlfn.XLOOKUP($D1457,Insumos!$B$1:$B$996,Insumos!$D$1:$D$996),"")</f>
        <v>7.98</v>
      </c>
      <c r="H1457" s="87">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70</v>
      </c>
      <c r="C1458" s="10" t="s">
        <v>2299</v>
      </c>
      <c r="D1458" s="10" t="s">
        <v>404</v>
      </c>
      <c r="E1458" s="11" t="str">
        <f t="array" ref="E1458">_xlfn.XLOOKUP(D1458,Insumos!B:B,Insumos!C:$C)</f>
        <v>KG</v>
      </c>
      <c r="F1458" s="14">
        <v>0.54890000000000005</v>
      </c>
      <c r="G1458" s="87">
        <f t="array" ref="G1458">IF(B1458="insumo",_xlfn.XLOOKUP($D1458,Insumos!$B$1:$B$996,Insumos!$D$1:$D$996),"")</f>
        <v>3.43</v>
      </c>
      <c r="H1458" s="87">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70</v>
      </c>
      <c r="C1459" s="10" t="s">
        <v>2299</v>
      </c>
      <c r="D1459" s="10" t="s">
        <v>411</v>
      </c>
      <c r="E1459" s="11" t="str">
        <f t="array" ref="E1459">_xlfn.XLOOKUP(D1459,Insumos!B:B,Insumos!C:$C)</f>
        <v>M</v>
      </c>
      <c r="F1459" s="14">
        <v>1.25135</v>
      </c>
      <c r="G1459" s="87">
        <f t="array" ref="G1459">IF(B1459="insumo",_xlfn.XLOOKUP($D1459,Insumos!$B$1:$B$996,Insumos!$D$1:$D$996),"")</f>
        <v>0.31</v>
      </c>
      <c r="H1459" s="87">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70</v>
      </c>
      <c r="C1460" s="10" t="s">
        <v>2299</v>
      </c>
      <c r="D1460" s="10" t="s">
        <v>412</v>
      </c>
      <c r="E1460" s="11" t="str">
        <f t="array" ref="E1460">_xlfn.XLOOKUP(D1460,Insumos!B:B,Insumos!C:$C)</f>
        <v>M</v>
      </c>
      <c r="F1460" s="14">
        <v>0.79254999999999998</v>
      </c>
      <c r="G1460" s="87">
        <f t="array" ref="G1460">IF(B1460="insumo",_xlfn.XLOOKUP($D1460,Insumos!$B$1:$B$996,Insumos!$D$1:$D$996),"")</f>
        <v>2.74</v>
      </c>
      <c r="H1460" s="87">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70</v>
      </c>
      <c r="C1461" s="10" t="s">
        <v>2299</v>
      </c>
      <c r="D1461" s="10" t="s">
        <v>413</v>
      </c>
      <c r="E1461" s="11" t="str">
        <f t="array" ref="E1461">_xlfn.XLOOKUP(D1461,Insumos!B:B,Insumos!C:$C)</f>
        <v>UN</v>
      </c>
      <c r="F1461" s="14">
        <v>10.093400000000001</v>
      </c>
      <c r="G1461" s="87">
        <f t="array" ref="G1461">IF(B1461="insumo",_xlfn.XLOOKUP($D1461,Insumos!$B$1:$B$996,Insumos!$D$1:$D$996),"")</f>
        <v>0.09</v>
      </c>
      <c r="H1461" s="87">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70</v>
      </c>
      <c r="C1462" s="10" t="s">
        <v>2299</v>
      </c>
      <c r="D1462" s="10" t="s">
        <v>414</v>
      </c>
      <c r="E1462" s="11" t="str">
        <f t="array" ref="E1462">_xlfn.XLOOKUP(D1462,Insumos!B:B,Insumos!C:$C)</f>
        <v>UN</v>
      </c>
      <c r="F1462" s="14">
        <v>0.27205000000000001</v>
      </c>
      <c r="G1462" s="87">
        <f t="array" ref="G1462">IF(B1462="insumo",_xlfn.XLOOKUP($D1462,Insumos!$B$1:$B$996,Insumos!$D$1:$D$996),"")</f>
        <v>0.2</v>
      </c>
      <c r="H1462" s="87">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332">
        <v>1</v>
      </c>
      <c r="B1463" s="332" t="s">
        <v>67</v>
      </c>
      <c r="C1463" s="332" t="s">
        <v>2296</v>
      </c>
      <c r="D1463" s="332" t="s">
        <v>2296</v>
      </c>
      <c r="E1463" s="333" t="s">
        <v>69</v>
      </c>
      <c r="F1463" s="332"/>
      <c r="G1463" s="334" t="str">
        <f t="array" ref="G1463">IF(B1463="insumo",_xlfn.XLOOKUP($D1463,Insumos!$B$1:$B$996,Insumos!$D$1:$D$996),"")</f>
        <v/>
      </c>
      <c r="H1463" s="334">
        <v>223.4110565</v>
      </c>
      <c r="I1463" s="335">
        <v>0</v>
      </c>
      <c r="J1463" s="335">
        <v>0</v>
      </c>
      <c r="K1463" s="335"/>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70</v>
      </c>
      <c r="C1464" s="10" t="s">
        <v>2296</v>
      </c>
      <c r="D1464" s="10" t="s">
        <v>406</v>
      </c>
      <c r="E1464" s="11" t="str">
        <f t="array" ref="E1464">_xlfn.XLOOKUP(D1464,Insumos!B:B,Insumos!C:$C)</f>
        <v>M2</v>
      </c>
      <c r="F1464" s="14">
        <v>1</v>
      </c>
      <c r="G1464" s="87">
        <f t="array" ref="G1464">IF(B1464="insumo",_xlfn.XLOOKUP($D1464,Insumos!$B$1:$B$996,Insumos!$D$1:$D$996),"")</f>
        <v>70</v>
      </c>
      <c r="H1464" s="87">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70</v>
      </c>
      <c r="C1465" s="10" t="s">
        <v>2296</v>
      </c>
      <c r="D1465" s="10" t="s">
        <v>407</v>
      </c>
      <c r="E1465" s="11" t="str">
        <f t="array" ref="E1465">_xlfn.XLOOKUP(D1465,Insumos!B:B,Insumos!C:$C)</f>
        <v>M2</v>
      </c>
      <c r="F1465" s="14">
        <f>1.053*4</f>
        <v>4.2119999999999997</v>
      </c>
      <c r="G1465" s="87">
        <f t="array" ref="G1465">IF(B1465="insumo",_xlfn.XLOOKUP($D1465,Insumos!$B$1:$B$996,Insumos!$D$1:$D$996),"")</f>
        <v>20.16</v>
      </c>
      <c r="H1465" s="87">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70</v>
      </c>
      <c r="C1466" s="10" t="s">
        <v>2296</v>
      </c>
      <c r="D1466" s="10" t="s">
        <v>408</v>
      </c>
      <c r="E1466" s="11" t="str">
        <f t="array" ref="E1466">_xlfn.XLOOKUP(D1466,Insumos!B:B,Insumos!C:$C)</f>
        <v>UN</v>
      </c>
      <c r="F1466" s="14">
        <v>5.92</v>
      </c>
      <c r="G1466" s="87">
        <f t="array" ref="G1466">IF(B1466="insumo",_xlfn.XLOOKUP($D1466,Insumos!$B$1:$B$996,Insumos!$D$1:$D$996),"")</f>
        <v>0.504</v>
      </c>
      <c r="H1466" s="87">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70</v>
      </c>
      <c r="C1467" s="10" t="s">
        <v>2296</v>
      </c>
      <c r="D1467" s="10" t="s">
        <v>422</v>
      </c>
      <c r="E1467" s="11" t="str">
        <f t="array" ref="E1467">_xlfn.XLOOKUP(D1467,Insumos!B:B,Insumos!C:$C)</f>
        <v>M</v>
      </c>
      <c r="F1467" s="14">
        <v>1.8233999999999999</v>
      </c>
      <c r="G1467" s="87">
        <f t="array" ref="G1467">IF(B1467="insumo",_xlfn.XLOOKUP($D1467,Insumos!$B$1:$B$996,Insumos!$D$1:$D$996),"")</f>
        <v>7.46</v>
      </c>
      <c r="H1467" s="87">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70</v>
      </c>
      <c r="C1468" s="10" t="s">
        <v>2296</v>
      </c>
      <c r="D1468" s="10" t="s">
        <v>423</v>
      </c>
      <c r="E1468" s="11" t="str">
        <f t="array" ref="E1468">_xlfn.XLOOKUP(D1468,Insumos!B:B,Insumos!C:$C)</f>
        <v>M</v>
      </c>
      <c r="F1468" s="14">
        <v>5.8277999999999999</v>
      </c>
      <c r="G1468" s="87">
        <f t="array" ref="G1468">IF(B1468="insumo",_xlfn.XLOOKUP($D1468,Insumos!$B$1:$B$996,Insumos!$D$1:$D$996),"")</f>
        <v>7.98</v>
      </c>
      <c r="H1468" s="87">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70</v>
      </c>
      <c r="C1469" s="10" t="s">
        <v>2296</v>
      </c>
      <c r="D1469" s="10" t="s">
        <v>404</v>
      </c>
      <c r="E1469" s="11" t="str">
        <f t="array" ref="E1469">_xlfn.XLOOKUP(D1469,Insumos!B:B,Insumos!C:$C)</f>
        <v>KG</v>
      </c>
      <c r="F1469" s="14">
        <v>0.54890000000000005</v>
      </c>
      <c r="G1469" s="87">
        <f t="array" ref="G1469">IF(B1469="insumo",_xlfn.XLOOKUP($D1469,Insumos!$B$1:$B$996,Insumos!$D$1:$D$996),"")</f>
        <v>3.43</v>
      </c>
      <c r="H1469" s="87">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70</v>
      </c>
      <c r="C1470" s="10" t="s">
        <v>2296</v>
      </c>
      <c r="D1470" s="10" t="s">
        <v>411</v>
      </c>
      <c r="E1470" s="11" t="str">
        <f t="array" ref="E1470">_xlfn.XLOOKUP(D1470,Insumos!B:B,Insumos!C:$C)</f>
        <v>M</v>
      </c>
      <c r="F1470" s="14">
        <v>1.25135</v>
      </c>
      <c r="G1470" s="87">
        <f t="array" ref="G1470">IF(B1470="insumo",_xlfn.XLOOKUP($D1470,Insumos!$B$1:$B$996,Insumos!$D$1:$D$996),"")</f>
        <v>0.31</v>
      </c>
      <c r="H1470" s="87">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70</v>
      </c>
      <c r="C1471" s="10" t="s">
        <v>2296</v>
      </c>
      <c r="D1471" s="10" t="s">
        <v>412</v>
      </c>
      <c r="E1471" s="11" t="str">
        <f t="array" ref="E1471">_xlfn.XLOOKUP(D1471,Insumos!B:B,Insumos!C:$C)</f>
        <v>M</v>
      </c>
      <c r="F1471" s="14">
        <v>0.79254999999999998</v>
      </c>
      <c r="G1471" s="87">
        <f t="array" ref="G1471">IF(B1471="insumo",_xlfn.XLOOKUP($D1471,Insumos!$B$1:$B$996,Insumos!$D$1:$D$996),"")</f>
        <v>2.74</v>
      </c>
      <c r="H1471" s="87">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70</v>
      </c>
      <c r="C1472" s="10" t="s">
        <v>2296</v>
      </c>
      <c r="D1472" s="10" t="s">
        <v>413</v>
      </c>
      <c r="E1472" s="11" t="str">
        <f t="array" ref="E1472">_xlfn.XLOOKUP(D1472,Insumos!B:B,Insumos!C:$C)</f>
        <v>UN</v>
      </c>
      <c r="F1472" s="14">
        <v>10.093400000000001</v>
      </c>
      <c r="G1472" s="87">
        <f t="array" ref="G1472">IF(B1472="insumo",_xlfn.XLOOKUP($D1472,Insumos!$B$1:$B$996,Insumos!$D$1:$D$996),"")</f>
        <v>0.09</v>
      </c>
      <c r="H1472" s="87">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70</v>
      </c>
      <c r="C1473" s="10" t="s">
        <v>2296</v>
      </c>
      <c r="D1473" s="10" t="s">
        <v>414</v>
      </c>
      <c r="E1473" s="11" t="str">
        <f t="array" ref="E1473">_xlfn.XLOOKUP(D1473,Insumos!B:B,Insumos!C:$C)</f>
        <v>UN</v>
      </c>
      <c r="F1473" s="14">
        <v>0.27205000000000001</v>
      </c>
      <c r="G1473" s="87">
        <f t="array" ref="G1473">IF(B1473="insumo",_xlfn.XLOOKUP($D1473,Insumos!$B$1:$B$996,Insumos!$D$1:$D$996),"")</f>
        <v>0.2</v>
      </c>
      <c r="H1473" s="87">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332">
        <v>1</v>
      </c>
      <c r="B1474" s="332" t="s">
        <v>67</v>
      </c>
      <c r="C1474" s="332" t="s">
        <v>2290</v>
      </c>
      <c r="D1474" s="332" t="s">
        <v>2290</v>
      </c>
      <c r="E1474" s="333" t="s">
        <v>69</v>
      </c>
      <c r="F1474" s="332"/>
      <c r="G1474" s="334" t="str">
        <f t="array" ref="G1474">IF(B1474="insumo",_xlfn.XLOOKUP($D1474,Insumos!$B$1:$B$996,Insumos!$D$1:$D$996),"")</f>
        <v/>
      </c>
      <c r="H1474" s="334">
        <v>274.34158366666702</v>
      </c>
      <c r="I1474" s="335">
        <v>0</v>
      </c>
      <c r="J1474" s="335">
        <v>0</v>
      </c>
      <c r="K1474" s="335"/>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70</v>
      </c>
      <c r="C1475" s="10" t="s">
        <v>2290</v>
      </c>
      <c r="D1475" s="10" t="s">
        <v>406</v>
      </c>
      <c r="E1475" s="11" t="str">
        <f t="array" ref="E1475">_xlfn.XLOOKUP(D1475,Insumos!B:B,Insumos!C:$C)</f>
        <v>M2</v>
      </c>
      <c r="F1475" s="14">
        <v>1</v>
      </c>
      <c r="G1475" s="87">
        <f t="array" ref="G1475">IF(B1475="insumo",_xlfn.XLOOKUP($D1475,Insumos!$B$1:$B$996,Insumos!$D$1:$D$996),"")</f>
        <v>70</v>
      </c>
      <c r="H1475" s="87">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70</v>
      </c>
      <c r="C1476" s="10" t="s">
        <v>2290</v>
      </c>
      <c r="D1476" s="10" t="s">
        <v>407</v>
      </c>
      <c r="E1476" s="11" t="str">
        <f t="array" ref="E1476">_xlfn.XLOOKUP(D1476,Insumos!B:B,Insumos!C:$C)</f>
        <v>M2</v>
      </c>
      <c r="F1476" s="14">
        <f>1.053*2</f>
        <v>2.1059999999999999</v>
      </c>
      <c r="G1476" s="87">
        <f t="array" ref="G1476">IF(B1476="insumo",_xlfn.XLOOKUP($D1476,Insumos!$B$1:$B$996,Insumos!$D$1:$D$996),"")</f>
        <v>20.16</v>
      </c>
      <c r="H1476" s="87">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70</v>
      </c>
      <c r="C1477" s="10" t="s">
        <v>2290</v>
      </c>
      <c r="D1477" s="10" t="s">
        <v>1372</v>
      </c>
      <c r="E1477" s="11" t="str">
        <f t="array" ref="E1477">_xlfn.XLOOKUP(D1477,Insumos!B:B,Insumos!C:$C)</f>
        <v>M2</v>
      </c>
      <c r="F1477" s="14">
        <v>1.1060000000000001</v>
      </c>
      <c r="G1477" s="87">
        <f t="array" ref="G1477">IF(B1477="insumo",_xlfn.XLOOKUP($D1477,Insumos!$B$1:$B$996,Insumos!$D$1:$D$996),"")</f>
        <v>30.089583333333337</v>
      </c>
      <c r="H1477" s="87">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70</v>
      </c>
      <c r="C1478" s="10" t="s">
        <v>2290</v>
      </c>
      <c r="D1478" s="10" t="s">
        <v>408</v>
      </c>
      <c r="E1478" s="11" t="str">
        <f t="array" ref="E1478">_xlfn.XLOOKUP(D1478,Insumos!B:B,Insumos!C:$C)</f>
        <v>UN</v>
      </c>
      <c r="F1478" s="14">
        <v>5.92</v>
      </c>
      <c r="G1478" s="87">
        <f t="array" ref="G1478">IF(B1478="insumo",_xlfn.XLOOKUP($D1478,Insumos!$B$1:$B$996,Insumos!$D$1:$D$996),"")</f>
        <v>0.504</v>
      </c>
      <c r="H1478" s="87">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70</v>
      </c>
      <c r="C1479" s="10" t="s">
        <v>2290</v>
      </c>
      <c r="D1479" s="10" t="s">
        <v>422</v>
      </c>
      <c r="E1479" s="11" t="str">
        <f t="array" ref="E1479">_xlfn.XLOOKUP(D1479,Insumos!B:B,Insumos!C:$C)</f>
        <v>M</v>
      </c>
      <c r="F1479" s="14">
        <f>1.8234*2</f>
        <v>3.6467999999999998</v>
      </c>
      <c r="G1479" s="87">
        <f t="array" ref="G1479">IF(B1479="insumo",_xlfn.XLOOKUP($D1479,Insumos!$B$1:$B$996,Insumos!$D$1:$D$996),"")</f>
        <v>7.46</v>
      </c>
      <c r="H1479" s="87">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70</v>
      </c>
      <c r="C1480" s="10" t="s">
        <v>2290</v>
      </c>
      <c r="D1480" s="10" t="s">
        <v>423</v>
      </c>
      <c r="E1480" s="11" t="str">
        <f t="array" ref="E1480">_xlfn.XLOOKUP(D1480,Insumos!B:B,Insumos!C:$C)</f>
        <v>M</v>
      </c>
      <c r="F1480" s="14">
        <f>5.8278*2</f>
        <v>11.6556</v>
      </c>
      <c r="G1480" s="87">
        <f t="array" ref="G1480">IF(B1480="insumo",_xlfn.XLOOKUP($D1480,Insumos!$B$1:$B$996,Insumos!$D$1:$D$996),"")</f>
        <v>7.98</v>
      </c>
      <c r="H1480" s="87">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70</v>
      </c>
      <c r="C1481" s="10" t="s">
        <v>2290</v>
      </c>
      <c r="D1481" s="10" t="s">
        <v>404</v>
      </c>
      <c r="E1481" s="11" t="str">
        <f t="array" ref="E1481">_xlfn.XLOOKUP(D1481,Insumos!B:B,Insumos!C:$C)</f>
        <v>KG</v>
      </c>
      <c r="F1481" s="14">
        <v>0.54890000000000005</v>
      </c>
      <c r="G1481" s="87">
        <f t="array" ref="G1481">IF(B1481="insumo",_xlfn.XLOOKUP($D1481,Insumos!$B$1:$B$996,Insumos!$D$1:$D$996),"")</f>
        <v>3.43</v>
      </c>
      <c r="H1481" s="87">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70</v>
      </c>
      <c r="C1482" s="10" t="s">
        <v>2290</v>
      </c>
      <c r="D1482" s="10" t="s">
        <v>411</v>
      </c>
      <c r="E1482" s="11" t="str">
        <f t="array" ref="E1482">_xlfn.XLOOKUP(D1482,Insumos!B:B,Insumos!C:$C)</f>
        <v>M</v>
      </c>
      <c r="F1482" s="14">
        <v>1.25135</v>
      </c>
      <c r="G1482" s="87">
        <f t="array" ref="G1482">IF(B1482="insumo",_xlfn.XLOOKUP($D1482,Insumos!$B$1:$B$996,Insumos!$D$1:$D$996),"")</f>
        <v>0.31</v>
      </c>
      <c r="H1482" s="87">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70</v>
      </c>
      <c r="C1483" s="10" t="s">
        <v>2290</v>
      </c>
      <c r="D1483" s="10" t="s">
        <v>412</v>
      </c>
      <c r="E1483" s="11" t="str">
        <f t="array" ref="E1483">_xlfn.XLOOKUP(D1483,Insumos!B:B,Insumos!C:$C)</f>
        <v>M</v>
      </c>
      <c r="F1483" s="14">
        <v>0.79254999999999998</v>
      </c>
      <c r="G1483" s="87">
        <f t="array" ref="G1483">IF(B1483="insumo",_xlfn.XLOOKUP($D1483,Insumos!$B$1:$B$996,Insumos!$D$1:$D$996),"")</f>
        <v>2.74</v>
      </c>
      <c r="H1483" s="87">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70</v>
      </c>
      <c r="C1484" s="10" t="s">
        <v>2290</v>
      </c>
      <c r="D1484" s="10" t="s">
        <v>413</v>
      </c>
      <c r="E1484" s="11" t="str">
        <f t="array" ref="E1484">_xlfn.XLOOKUP(D1484,Insumos!B:B,Insumos!C:$C)</f>
        <v>UN</v>
      </c>
      <c r="F1484" s="14">
        <v>10.093400000000001</v>
      </c>
      <c r="G1484" s="87">
        <f t="array" ref="G1484">IF(B1484="insumo",_xlfn.XLOOKUP($D1484,Insumos!$B$1:$B$996,Insumos!$D$1:$D$996),"")</f>
        <v>0.09</v>
      </c>
      <c r="H1484" s="87">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70</v>
      </c>
      <c r="C1485" s="10" t="s">
        <v>2290</v>
      </c>
      <c r="D1485" s="10" t="s">
        <v>414</v>
      </c>
      <c r="E1485" s="11" t="str">
        <f t="array" ref="E1485">_xlfn.XLOOKUP(D1485,Insumos!B:B,Insumos!C:$C)</f>
        <v>UN</v>
      </c>
      <c r="F1485" s="14">
        <v>0.27205000000000001</v>
      </c>
      <c r="G1485" s="87">
        <f t="array" ref="G1485">IF(B1485="insumo",_xlfn.XLOOKUP($D1485,Insumos!$B$1:$B$996,Insumos!$D$1:$D$996),"")</f>
        <v>0.2</v>
      </c>
      <c r="H1485" s="87">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332">
        <v>1</v>
      </c>
      <c r="B1486" s="332" t="s">
        <v>67</v>
      </c>
      <c r="C1486" s="332" t="s">
        <v>2291</v>
      </c>
      <c r="D1486" s="332" t="s">
        <v>2291</v>
      </c>
      <c r="E1486" s="333" t="s">
        <v>69</v>
      </c>
      <c r="F1486" s="332"/>
      <c r="G1486" s="334" t="str">
        <f t="array" ref="G1486">IF(B1486="insumo",_xlfn.XLOOKUP($D1486,Insumos!$B$1:$B$996,Insumos!$D$1:$D$996),"")</f>
        <v/>
      </c>
      <c r="H1486" s="334">
        <v>264.17223616666701</v>
      </c>
      <c r="I1486" s="335">
        <v>0</v>
      </c>
      <c r="J1486" s="335">
        <v>0</v>
      </c>
      <c r="K1486" s="335"/>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70</v>
      </c>
      <c r="C1487" s="10" t="s">
        <v>2291</v>
      </c>
      <c r="D1487" s="10" t="s">
        <v>406</v>
      </c>
      <c r="E1487" s="11" t="str">
        <f t="array" ref="E1487">_xlfn.XLOOKUP(D1487,Insumos!B:B,Insumos!C:$C)</f>
        <v>M2</v>
      </c>
      <c r="F1487" s="14">
        <v>1</v>
      </c>
      <c r="G1487" s="87">
        <f t="array" ref="G1487">IF(B1487="insumo",_xlfn.XLOOKUP($D1487,Insumos!$B$1:$B$996,Insumos!$D$1:$D$996),"")</f>
        <v>70</v>
      </c>
      <c r="H1487" s="87">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70</v>
      </c>
      <c r="C1488" s="10" t="s">
        <v>2291</v>
      </c>
      <c r="D1488" s="10" t="s">
        <v>2303</v>
      </c>
      <c r="E1488" s="11" t="str">
        <f t="array" ref="E1488">_xlfn.XLOOKUP(D1488,Insumos!B:B,Insumos!C:$C)</f>
        <v>M2</v>
      </c>
      <c r="F1488" s="14">
        <f>1.053*1</f>
        <v>1.0529999999999999</v>
      </c>
      <c r="G1488" s="87">
        <f t="array" ref="G1488">IF(B1488="insumo",_xlfn.XLOOKUP($D1488,Insumos!$B$1:$B$996,Insumos!$D$1:$D$996),"")</f>
        <v>30.662500000000001</v>
      </c>
      <c r="H1488" s="87">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70</v>
      </c>
      <c r="C1489" s="10" t="s">
        <v>2291</v>
      </c>
      <c r="D1489" s="10" t="s">
        <v>1372</v>
      </c>
      <c r="E1489" s="11" t="str">
        <f t="array" ref="E1489">_xlfn.XLOOKUP(D1489,Insumos!B:B,Insumos!C:$C)</f>
        <v>M2</v>
      </c>
      <c r="F1489" s="14">
        <v>1.1060000000000001</v>
      </c>
      <c r="G1489" s="87">
        <f t="array" ref="G1489">IF(B1489="insumo",_xlfn.XLOOKUP($D1489,Insumos!$B$1:$B$996,Insumos!$D$1:$D$996),"")</f>
        <v>30.089583333333337</v>
      </c>
      <c r="H1489" s="87">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70</v>
      </c>
      <c r="C1490" s="10" t="s">
        <v>2291</v>
      </c>
      <c r="D1490" s="10" t="s">
        <v>408</v>
      </c>
      <c r="E1490" s="11" t="str">
        <f t="array" ref="E1490">_xlfn.XLOOKUP(D1490,Insumos!B:B,Insumos!C:$C)</f>
        <v>UN</v>
      </c>
      <c r="F1490" s="14">
        <v>5.92</v>
      </c>
      <c r="G1490" s="87">
        <f t="array" ref="G1490">IF(B1490="insumo",_xlfn.XLOOKUP($D1490,Insumos!$B$1:$B$996,Insumos!$D$1:$D$996),"")</f>
        <v>0.504</v>
      </c>
      <c r="H1490" s="87">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70</v>
      </c>
      <c r="C1491" s="10" t="s">
        <v>2291</v>
      </c>
      <c r="D1491" s="10" t="s">
        <v>422</v>
      </c>
      <c r="E1491" s="11" t="str">
        <f t="array" ref="E1491">_xlfn.XLOOKUP(D1491,Insumos!B:B,Insumos!C:$C)</f>
        <v>M</v>
      </c>
      <c r="F1491" s="14">
        <f>1.8234*2</f>
        <v>3.6467999999999998</v>
      </c>
      <c r="G1491" s="87">
        <f t="array" ref="G1491">IF(B1491="insumo",_xlfn.XLOOKUP($D1491,Insumos!$B$1:$B$996,Insumos!$D$1:$D$996),"")</f>
        <v>7.46</v>
      </c>
      <c r="H1491" s="87">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70</v>
      </c>
      <c r="C1492" s="10" t="s">
        <v>2291</v>
      </c>
      <c r="D1492" s="10" t="s">
        <v>423</v>
      </c>
      <c r="E1492" s="11" t="str">
        <f t="array" ref="E1492">_xlfn.XLOOKUP(D1492,Insumos!B:B,Insumos!C:$C)</f>
        <v>M</v>
      </c>
      <c r="F1492" s="14">
        <f>5.8278*2</f>
        <v>11.6556</v>
      </c>
      <c r="G1492" s="87">
        <f t="array" ref="G1492">IF(B1492="insumo",_xlfn.XLOOKUP($D1492,Insumos!$B$1:$B$996,Insumos!$D$1:$D$996),"")</f>
        <v>7.98</v>
      </c>
      <c r="H1492" s="87">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70</v>
      </c>
      <c r="C1493" s="10" t="s">
        <v>2291</v>
      </c>
      <c r="D1493" s="10" t="s">
        <v>404</v>
      </c>
      <c r="E1493" s="11" t="str">
        <f t="array" ref="E1493">_xlfn.XLOOKUP(D1493,Insumos!B:B,Insumos!C:$C)</f>
        <v>KG</v>
      </c>
      <c r="F1493" s="14">
        <v>0.54890000000000005</v>
      </c>
      <c r="G1493" s="87">
        <f t="array" ref="G1493">IF(B1493="insumo",_xlfn.XLOOKUP($D1493,Insumos!$B$1:$B$996,Insumos!$D$1:$D$996),"")</f>
        <v>3.43</v>
      </c>
      <c r="H1493" s="87">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70</v>
      </c>
      <c r="C1494" s="10" t="s">
        <v>2291</v>
      </c>
      <c r="D1494" s="10" t="s">
        <v>411</v>
      </c>
      <c r="E1494" s="11" t="str">
        <f t="array" ref="E1494">_xlfn.XLOOKUP(D1494,Insumos!B:B,Insumos!C:$C)</f>
        <v>M</v>
      </c>
      <c r="F1494" s="14">
        <v>1.25135</v>
      </c>
      <c r="G1494" s="87">
        <f t="array" ref="G1494">IF(B1494="insumo",_xlfn.XLOOKUP($D1494,Insumos!$B$1:$B$996,Insumos!$D$1:$D$996),"")</f>
        <v>0.31</v>
      </c>
      <c r="H1494" s="87">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70</v>
      </c>
      <c r="C1495" s="10" t="s">
        <v>2291</v>
      </c>
      <c r="D1495" s="10" t="s">
        <v>412</v>
      </c>
      <c r="E1495" s="11" t="str">
        <f t="array" ref="E1495">_xlfn.XLOOKUP(D1495,Insumos!B:B,Insumos!C:$C)</f>
        <v>M</v>
      </c>
      <c r="F1495" s="14">
        <v>0.79254999999999998</v>
      </c>
      <c r="G1495" s="87">
        <f t="array" ref="G1495">IF(B1495="insumo",_xlfn.XLOOKUP($D1495,Insumos!$B$1:$B$996,Insumos!$D$1:$D$996),"")</f>
        <v>2.74</v>
      </c>
      <c r="H1495" s="87">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70</v>
      </c>
      <c r="C1496" s="10" t="s">
        <v>2291</v>
      </c>
      <c r="D1496" s="10" t="s">
        <v>413</v>
      </c>
      <c r="E1496" s="11" t="str">
        <f t="array" ref="E1496">_xlfn.XLOOKUP(D1496,Insumos!B:B,Insumos!C:$C)</f>
        <v>UN</v>
      </c>
      <c r="F1496" s="14">
        <v>10.093400000000001</v>
      </c>
      <c r="G1496" s="87">
        <f t="array" ref="G1496">IF(B1496="insumo",_xlfn.XLOOKUP($D1496,Insumos!$B$1:$B$996,Insumos!$D$1:$D$996),"")</f>
        <v>0.09</v>
      </c>
      <c r="H1496" s="87">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70</v>
      </c>
      <c r="C1497" s="10" t="s">
        <v>2291</v>
      </c>
      <c r="D1497" s="10" t="s">
        <v>414</v>
      </c>
      <c r="E1497" s="11" t="str">
        <f t="array" ref="E1497">_xlfn.XLOOKUP(D1497,Insumos!B:B,Insumos!C:$C)</f>
        <v>UN</v>
      </c>
      <c r="F1497" s="14">
        <v>0.27205000000000001</v>
      </c>
      <c r="G1497" s="87">
        <f t="array" ref="G1497">IF(B1497="insumo",_xlfn.XLOOKUP($D1497,Insumos!$B$1:$B$996,Insumos!$D$1:$D$996),"")</f>
        <v>0.2</v>
      </c>
      <c r="H1497" s="87">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332">
        <v>1</v>
      </c>
      <c r="B1498" s="332" t="s">
        <v>67</v>
      </c>
      <c r="C1498" s="332" t="s">
        <v>2292</v>
      </c>
      <c r="D1498" s="332" t="s">
        <v>2292</v>
      </c>
      <c r="E1498" s="333" t="s">
        <v>69</v>
      </c>
      <c r="F1498" s="332"/>
      <c r="G1498" s="334" t="str">
        <f t="array" ref="G1498">IF(B1498="insumo",_xlfn.XLOOKUP($D1498,Insumos!$B$1:$B$996,Insumos!$D$1:$D$996),"")</f>
        <v/>
      </c>
      <c r="H1498" s="334">
        <v>452.492188666667</v>
      </c>
      <c r="I1498" s="335">
        <v>0</v>
      </c>
      <c r="J1498" s="335">
        <v>0</v>
      </c>
      <c r="K1498" s="335"/>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70</v>
      </c>
      <c r="C1499" s="10" t="s">
        <v>2292</v>
      </c>
      <c r="D1499" s="10" t="s">
        <v>406</v>
      </c>
      <c r="E1499" s="11" t="str">
        <f t="array" ref="E1499">_xlfn.XLOOKUP(D1499,Insumos!B:B,Insumos!C:$C)</f>
        <v>M2</v>
      </c>
      <c r="F1499" s="14">
        <v>1</v>
      </c>
      <c r="G1499" s="87">
        <f t="array" ref="G1499">IF(B1499="insumo",_xlfn.XLOOKUP($D1499,Insumos!$B$1:$B$996,Insumos!$D$1:$D$996),"")</f>
        <v>70</v>
      </c>
      <c r="H1499" s="87">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70</v>
      </c>
      <c r="C1500" s="10" t="s">
        <v>2292</v>
      </c>
      <c r="D1500" s="10" t="s">
        <v>2303</v>
      </c>
      <c r="E1500" s="11" t="str">
        <f t="array" ref="E1500">_xlfn.XLOOKUP(D1500,Insumos!B:B,Insumos!C:$C)</f>
        <v>M2</v>
      </c>
      <c r="F1500" s="14">
        <f>1.053*1</f>
        <v>1.0529999999999999</v>
      </c>
      <c r="G1500" s="87">
        <f t="array" ref="G1500">IF(B1500="insumo",_xlfn.XLOOKUP($D1500,Insumos!$B$1:$B$996,Insumos!$D$1:$D$996),"")</f>
        <v>30.662500000000001</v>
      </c>
      <c r="H1500" s="87">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70</v>
      </c>
      <c r="C1501" s="10" t="s">
        <v>2292</v>
      </c>
      <c r="D1501" s="10" t="s">
        <v>2302</v>
      </c>
      <c r="E1501" s="11" t="str">
        <f t="array" ref="E1501">_xlfn.XLOOKUP(D1501,Insumos!B:B,Insumos!C:$C)</f>
        <v>M2</v>
      </c>
      <c r="F1501" s="14">
        <f>1.053*1</f>
        <v>1.0529999999999999</v>
      </c>
      <c r="G1501" s="87">
        <f t="array" ref="G1501">IF(B1501="insumo",_xlfn.XLOOKUP($D1501,Insumos!$B$1:$B$996,Insumos!$D$1:$D$996),"")</f>
        <v>62.847685185185185</v>
      </c>
      <c r="H1501" s="87">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70</v>
      </c>
      <c r="C1502" s="10" t="s">
        <v>2292</v>
      </c>
      <c r="D1502" s="10" t="s">
        <v>1372</v>
      </c>
      <c r="E1502" s="11" t="str">
        <f t="array" ref="E1502">_xlfn.XLOOKUP(D1502,Insumos!B:B,Insumos!C:$C)</f>
        <v>M2</v>
      </c>
      <c r="F1502" s="14">
        <v>1.1060000000000001</v>
      </c>
      <c r="G1502" s="87">
        <f t="array" ref="G1502">IF(B1502="insumo",_xlfn.XLOOKUP($D1502,Insumos!$B$1:$B$996,Insumos!$D$1:$D$996),"")</f>
        <v>30.089583333333337</v>
      </c>
      <c r="H1502" s="87">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70</v>
      </c>
      <c r="C1503" s="10" t="s">
        <v>2292</v>
      </c>
      <c r="D1503" s="10" t="s">
        <v>408</v>
      </c>
      <c r="E1503" s="11" t="str">
        <f t="array" ref="E1503">_xlfn.XLOOKUP(D1503,Insumos!B:B,Insumos!C:$C)</f>
        <v>UN</v>
      </c>
      <c r="F1503" s="14">
        <v>5.92</v>
      </c>
      <c r="G1503" s="87">
        <f t="array" ref="G1503">IF(B1503="insumo",_xlfn.XLOOKUP($D1503,Insumos!$B$1:$B$996,Insumos!$D$1:$D$996),"")</f>
        <v>0.504</v>
      </c>
      <c r="H1503" s="87">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70</v>
      </c>
      <c r="C1504" s="10" t="s">
        <v>2292</v>
      </c>
      <c r="D1504" s="10" t="s">
        <v>419</v>
      </c>
      <c r="E1504" s="11" t="str">
        <f t="array" ref="E1504">_xlfn.XLOOKUP(D1504,Insumos!B:B,Insumos!C:$C)</f>
        <v>M</v>
      </c>
      <c r="F1504" s="14">
        <f>1.8234*2</f>
        <v>3.6467999999999998</v>
      </c>
      <c r="G1504" s="87">
        <f t="array" ref="G1504">IF(B1504="insumo",_xlfn.XLOOKUP($D1504,Insumos!$B$1:$B$996,Insumos!$D$1:$D$996),"")</f>
        <v>8.64</v>
      </c>
      <c r="H1504" s="87">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70</v>
      </c>
      <c r="C1505" s="10" t="s">
        <v>2292</v>
      </c>
      <c r="D1505" s="10" t="s">
        <v>420</v>
      </c>
      <c r="E1505" s="11" t="str">
        <f t="array" ref="E1505">_xlfn.XLOOKUP(D1505,Insumos!B:B,Insumos!C:$C)</f>
        <v>M</v>
      </c>
      <c r="F1505" s="14">
        <f>5.8278*2</f>
        <v>11.6556</v>
      </c>
      <c r="G1505" s="87">
        <f t="array" ref="G1505">IF(B1505="insumo",_xlfn.XLOOKUP($D1505,Insumos!$B$1:$B$996,Insumos!$D$1:$D$996),"")</f>
        <v>18.09</v>
      </c>
      <c r="H1505" s="87">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70</v>
      </c>
      <c r="C1506" s="10" t="s">
        <v>2292</v>
      </c>
      <c r="D1506" s="10" t="s">
        <v>404</v>
      </c>
      <c r="E1506" s="11" t="str">
        <f t="array" ref="E1506">_xlfn.XLOOKUP(D1506,Insumos!B:B,Insumos!C:$C)</f>
        <v>KG</v>
      </c>
      <c r="F1506" s="14">
        <v>0.54890000000000005</v>
      </c>
      <c r="G1506" s="87">
        <f t="array" ref="G1506">IF(B1506="insumo",_xlfn.XLOOKUP($D1506,Insumos!$B$1:$B$996,Insumos!$D$1:$D$996),"")</f>
        <v>3.43</v>
      </c>
      <c r="H1506" s="87">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70</v>
      </c>
      <c r="C1507" s="10" t="s">
        <v>2292</v>
      </c>
      <c r="D1507" s="10" t="s">
        <v>411</v>
      </c>
      <c r="E1507" s="11" t="str">
        <f t="array" ref="E1507">_xlfn.XLOOKUP(D1507,Insumos!B:B,Insumos!C:$C)</f>
        <v>M</v>
      </c>
      <c r="F1507" s="14">
        <v>1.25135</v>
      </c>
      <c r="G1507" s="87">
        <f t="array" ref="G1507">IF(B1507="insumo",_xlfn.XLOOKUP($D1507,Insumos!$B$1:$B$996,Insumos!$D$1:$D$996),"")</f>
        <v>0.31</v>
      </c>
      <c r="H1507" s="87">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70</v>
      </c>
      <c r="C1508" s="10" t="s">
        <v>2292</v>
      </c>
      <c r="D1508" s="10" t="s">
        <v>412</v>
      </c>
      <c r="E1508" s="11" t="str">
        <f t="array" ref="E1508">_xlfn.XLOOKUP(D1508,Insumos!B:B,Insumos!C:$C)</f>
        <v>M</v>
      </c>
      <c r="F1508" s="14">
        <v>0.79254999999999998</v>
      </c>
      <c r="G1508" s="87">
        <f t="array" ref="G1508">IF(B1508="insumo",_xlfn.XLOOKUP($D1508,Insumos!$B$1:$B$996,Insumos!$D$1:$D$996),"")</f>
        <v>2.74</v>
      </c>
      <c r="H1508" s="87">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70</v>
      </c>
      <c r="C1509" s="10" t="s">
        <v>2292</v>
      </c>
      <c r="D1509" s="10" t="s">
        <v>413</v>
      </c>
      <c r="E1509" s="11" t="str">
        <f t="array" ref="E1509">_xlfn.XLOOKUP(D1509,Insumos!B:B,Insumos!C:$C)</f>
        <v>UN</v>
      </c>
      <c r="F1509" s="14">
        <v>10.093400000000001</v>
      </c>
      <c r="G1509" s="87">
        <f t="array" ref="G1509">IF(B1509="insumo",_xlfn.XLOOKUP($D1509,Insumos!$B$1:$B$996,Insumos!$D$1:$D$996),"")</f>
        <v>0.09</v>
      </c>
      <c r="H1509" s="87">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70</v>
      </c>
      <c r="C1510" s="10" t="s">
        <v>2292</v>
      </c>
      <c r="D1510" s="10" t="s">
        <v>414</v>
      </c>
      <c r="E1510" s="11" t="str">
        <f t="array" ref="E1510">_xlfn.XLOOKUP(D1510,Insumos!B:B,Insumos!C:$C)</f>
        <v>UN</v>
      </c>
      <c r="F1510" s="14">
        <v>0.27205000000000001</v>
      </c>
      <c r="G1510" s="87">
        <f t="array" ref="G1510">IF(B1510="insumo",_xlfn.XLOOKUP($D1510,Insumos!$B$1:$B$996,Insumos!$D$1:$D$996),"")</f>
        <v>0.2</v>
      </c>
      <c r="H1510" s="87">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332">
        <v>1</v>
      </c>
      <c r="B1511" s="332" t="s">
        <v>67</v>
      </c>
      <c r="C1511" s="332" t="s">
        <v>2293</v>
      </c>
      <c r="D1511" s="332" t="s">
        <v>2293</v>
      </c>
      <c r="E1511" s="333" t="s">
        <v>69</v>
      </c>
      <c r="F1511" s="332"/>
      <c r="G1511" s="334" t="str">
        <f t="array" ref="G1511">IF(B1511="insumo",_xlfn.XLOOKUP($D1511,Insumos!$B$1:$B$996,Insumos!$D$1:$D$996),"")</f>
        <v/>
      </c>
      <c r="H1511" s="334">
        <v>452.492188666667</v>
      </c>
      <c r="I1511" s="335">
        <v>0</v>
      </c>
      <c r="J1511" s="335">
        <v>0</v>
      </c>
      <c r="K1511" s="335"/>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70</v>
      </c>
      <c r="C1512" s="10" t="s">
        <v>2293</v>
      </c>
      <c r="D1512" s="10" t="s">
        <v>406</v>
      </c>
      <c r="E1512" s="11" t="str">
        <f t="array" ref="E1512">_xlfn.XLOOKUP(D1512,Insumos!B:B,Insumos!C:$C)</f>
        <v>M2</v>
      </c>
      <c r="F1512" s="14">
        <v>1</v>
      </c>
      <c r="G1512" s="87">
        <f t="array" ref="G1512">IF(B1512="insumo",_xlfn.XLOOKUP($D1512,Insumos!$B$1:$B$996,Insumos!$D$1:$D$996),"")</f>
        <v>70</v>
      </c>
      <c r="H1512" s="87">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70</v>
      </c>
      <c r="C1513" s="10" t="s">
        <v>2293</v>
      </c>
      <c r="D1513" s="10" t="s">
        <v>2303</v>
      </c>
      <c r="E1513" s="11" t="str">
        <f t="array" ref="E1513">_xlfn.XLOOKUP(D1513,Insumos!B:B,Insumos!C:$C)</f>
        <v>M2</v>
      </c>
      <c r="F1513" s="14">
        <f>1.053*1</f>
        <v>1.0529999999999999</v>
      </c>
      <c r="G1513" s="87">
        <f t="array" ref="G1513">IF(B1513="insumo",_xlfn.XLOOKUP($D1513,Insumos!$B$1:$B$996,Insumos!$D$1:$D$996),"")</f>
        <v>30.662500000000001</v>
      </c>
      <c r="H1513" s="87">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70</v>
      </c>
      <c r="C1514" s="10" t="s">
        <v>2293</v>
      </c>
      <c r="D1514" s="10" t="s">
        <v>2302</v>
      </c>
      <c r="E1514" s="11" t="str">
        <f t="array" ref="E1514">_xlfn.XLOOKUP(D1514,Insumos!B:B,Insumos!C:$C)</f>
        <v>M2</v>
      </c>
      <c r="F1514" s="14">
        <f>1.053*1</f>
        <v>1.0529999999999999</v>
      </c>
      <c r="G1514" s="87">
        <f t="array" ref="G1514">IF(B1514="insumo",_xlfn.XLOOKUP($D1514,Insumos!$B$1:$B$996,Insumos!$D$1:$D$996),"")</f>
        <v>62.847685185185185</v>
      </c>
      <c r="H1514" s="87">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70</v>
      </c>
      <c r="C1515" s="10" t="s">
        <v>2293</v>
      </c>
      <c r="D1515" s="10" t="s">
        <v>1372</v>
      </c>
      <c r="E1515" s="11" t="str">
        <f t="array" ref="E1515">_xlfn.XLOOKUP(D1515,Insumos!B:B,Insumos!C:$C)</f>
        <v>M2</v>
      </c>
      <c r="F1515" s="14">
        <v>1.1060000000000001</v>
      </c>
      <c r="G1515" s="87">
        <f t="array" ref="G1515">IF(B1515="insumo",_xlfn.XLOOKUP($D1515,Insumos!$B$1:$B$996,Insumos!$D$1:$D$996),"")</f>
        <v>30.089583333333337</v>
      </c>
      <c r="H1515" s="87">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70</v>
      </c>
      <c r="C1516" s="10" t="s">
        <v>2293</v>
      </c>
      <c r="D1516" s="10" t="s">
        <v>408</v>
      </c>
      <c r="E1516" s="11" t="str">
        <f t="array" ref="E1516">_xlfn.XLOOKUP(D1516,Insumos!B:B,Insumos!C:$C)</f>
        <v>UN</v>
      </c>
      <c r="F1516" s="14">
        <v>5.92</v>
      </c>
      <c r="G1516" s="87">
        <f t="array" ref="G1516">IF(B1516="insumo",_xlfn.XLOOKUP($D1516,Insumos!$B$1:$B$996,Insumos!$D$1:$D$996),"")</f>
        <v>0.504</v>
      </c>
      <c r="H1516" s="87">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70</v>
      </c>
      <c r="C1517" s="10" t="s">
        <v>2293</v>
      </c>
      <c r="D1517" s="10" t="s">
        <v>419</v>
      </c>
      <c r="E1517" s="11" t="str">
        <f t="array" ref="E1517">_xlfn.XLOOKUP(D1517,Insumos!B:B,Insumos!C:$C)</f>
        <v>M</v>
      </c>
      <c r="F1517" s="14">
        <f>1.8234*2</f>
        <v>3.6467999999999998</v>
      </c>
      <c r="G1517" s="87">
        <f t="array" ref="G1517">IF(B1517="insumo",_xlfn.XLOOKUP($D1517,Insumos!$B$1:$B$996,Insumos!$D$1:$D$996),"")</f>
        <v>8.64</v>
      </c>
      <c r="H1517" s="87">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70</v>
      </c>
      <c r="C1518" s="10" t="s">
        <v>2293</v>
      </c>
      <c r="D1518" s="10" t="s">
        <v>420</v>
      </c>
      <c r="E1518" s="11" t="str">
        <f t="array" ref="E1518">_xlfn.XLOOKUP(D1518,Insumos!B:B,Insumos!C:$C)</f>
        <v>M</v>
      </c>
      <c r="F1518" s="14">
        <f>5.8278*2</f>
        <v>11.6556</v>
      </c>
      <c r="G1518" s="87">
        <f t="array" ref="G1518">IF(B1518="insumo",_xlfn.XLOOKUP($D1518,Insumos!$B$1:$B$996,Insumos!$D$1:$D$996),"")</f>
        <v>18.09</v>
      </c>
      <c r="H1518" s="87">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70</v>
      </c>
      <c r="C1519" s="10" t="s">
        <v>2293</v>
      </c>
      <c r="D1519" s="10" t="s">
        <v>404</v>
      </c>
      <c r="E1519" s="11" t="str">
        <f t="array" ref="E1519">_xlfn.XLOOKUP(D1519,Insumos!B:B,Insumos!C:$C)</f>
        <v>KG</v>
      </c>
      <c r="F1519" s="14">
        <v>0.54890000000000005</v>
      </c>
      <c r="G1519" s="87">
        <f t="array" ref="G1519">IF(B1519="insumo",_xlfn.XLOOKUP($D1519,Insumos!$B$1:$B$996,Insumos!$D$1:$D$996),"")</f>
        <v>3.43</v>
      </c>
      <c r="H1519" s="87">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70</v>
      </c>
      <c r="C1520" s="10" t="s">
        <v>2293</v>
      </c>
      <c r="D1520" s="10" t="s">
        <v>411</v>
      </c>
      <c r="E1520" s="11" t="str">
        <f t="array" ref="E1520">_xlfn.XLOOKUP(D1520,Insumos!B:B,Insumos!C:$C)</f>
        <v>M</v>
      </c>
      <c r="F1520" s="14">
        <v>1.25135</v>
      </c>
      <c r="G1520" s="87">
        <f t="array" ref="G1520">IF(B1520="insumo",_xlfn.XLOOKUP($D1520,Insumos!$B$1:$B$996,Insumos!$D$1:$D$996),"")</f>
        <v>0.31</v>
      </c>
      <c r="H1520" s="87">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70</v>
      </c>
      <c r="C1521" s="10" t="s">
        <v>2293</v>
      </c>
      <c r="D1521" s="10" t="s">
        <v>412</v>
      </c>
      <c r="E1521" s="11" t="str">
        <f t="array" ref="E1521">_xlfn.XLOOKUP(D1521,Insumos!B:B,Insumos!C:$C)</f>
        <v>M</v>
      </c>
      <c r="F1521" s="14">
        <v>0.79254999999999998</v>
      </c>
      <c r="G1521" s="87">
        <f t="array" ref="G1521">IF(B1521="insumo",_xlfn.XLOOKUP($D1521,Insumos!$B$1:$B$996,Insumos!$D$1:$D$996),"")</f>
        <v>2.74</v>
      </c>
      <c r="H1521" s="87">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70</v>
      </c>
      <c r="C1522" s="10" t="s">
        <v>2293</v>
      </c>
      <c r="D1522" s="10" t="s">
        <v>413</v>
      </c>
      <c r="E1522" s="11" t="str">
        <f t="array" ref="E1522">_xlfn.XLOOKUP(D1522,Insumos!B:B,Insumos!C:$C)</f>
        <v>UN</v>
      </c>
      <c r="F1522" s="14">
        <v>10.093400000000001</v>
      </c>
      <c r="G1522" s="87">
        <f t="array" ref="G1522">IF(B1522="insumo",_xlfn.XLOOKUP($D1522,Insumos!$B$1:$B$996,Insumos!$D$1:$D$996),"")</f>
        <v>0.09</v>
      </c>
      <c r="H1522" s="87">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70</v>
      </c>
      <c r="C1523" s="10" t="s">
        <v>2293</v>
      </c>
      <c r="D1523" s="10" t="s">
        <v>414</v>
      </c>
      <c r="E1523" s="11" t="str">
        <f t="array" ref="E1523">_xlfn.XLOOKUP(D1523,Insumos!B:B,Insumos!C:$C)</f>
        <v>UN</v>
      </c>
      <c r="F1523" s="14">
        <v>0.27205000000000001</v>
      </c>
      <c r="G1523" s="87">
        <f t="array" ref="G1523">IF(B1523="insumo",_xlfn.XLOOKUP($D1523,Insumos!$B$1:$B$996,Insumos!$D$1:$D$996),"")</f>
        <v>0.2</v>
      </c>
      <c r="H1523" s="87">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332">
        <v>1</v>
      </c>
      <c r="B1524" s="332" t="s">
        <v>67</v>
      </c>
      <c r="C1524" s="332" t="s">
        <v>2295</v>
      </c>
      <c r="D1524" s="332" t="s">
        <v>2295</v>
      </c>
      <c r="E1524" s="333" t="s">
        <v>69</v>
      </c>
      <c r="F1524" s="332"/>
      <c r="G1524" s="334" t="str">
        <f t="array" ref="G1524">IF(B1524="insumo",_xlfn.XLOOKUP($D1524,Insumos!$B$1:$B$996,Insumos!$D$1:$D$996),"")</f>
        <v/>
      </c>
      <c r="H1524" s="334">
        <v>180.95409649999999</v>
      </c>
      <c r="I1524" s="335">
        <v>0</v>
      </c>
      <c r="J1524" s="335">
        <v>0</v>
      </c>
      <c r="K1524" s="335"/>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70</v>
      </c>
      <c r="C1525" s="10" t="s">
        <v>2295</v>
      </c>
      <c r="D1525" s="10" t="s">
        <v>406</v>
      </c>
      <c r="E1525" s="11" t="str">
        <f t="array" ref="E1525">_xlfn.XLOOKUP(D1525,Insumos!B:B,Insumos!C:$C)</f>
        <v>M2</v>
      </c>
      <c r="F1525" s="14">
        <v>1</v>
      </c>
      <c r="G1525" s="87">
        <f t="array" ref="G1525">IF(B1525="insumo",_xlfn.XLOOKUP($D1525,Insumos!$B$1:$B$996,Insumos!$D$1:$D$996),"")</f>
        <v>70</v>
      </c>
      <c r="H1525" s="87">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70</v>
      </c>
      <c r="C1526" s="10" t="s">
        <v>2295</v>
      </c>
      <c r="D1526" s="10" t="s">
        <v>407</v>
      </c>
      <c r="E1526" s="11" t="str">
        <f t="array" ref="E1526">_xlfn.XLOOKUP(D1526,Insumos!B:B,Insumos!C:$C)</f>
        <v>M2</v>
      </c>
      <c r="F1526" s="14">
        <f>1.053*2</f>
        <v>2.1059999999999999</v>
      </c>
      <c r="G1526" s="87">
        <f t="array" ref="G1526">IF(B1526="insumo",_xlfn.XLOOKUP($D1526,Insumos!$B$1:$B$996,Insumos!$D$1:$D$996),"")</f>
        <v>20.16</v>
      </c>
      <c r="H1526" s="87">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70</v>
      </c>
      <c r="C1527" s="10" t="s">
        <v>2295</v>
      </c>
      <c r="D1527" s="10" t="s">
        <v>408</v>
      </c>
      <c r="E1527" s="11" t="str">
        <f t="array" ref="E1527">_xlfn.XLOOKUP(D1527,Insumos!B:B,Insumos!C:$C)</f>
        <v>UN</v>
      </c>
      <c r="F1527" s="14">
        <v>5.92</v>
      </c>
      <c r="G1527" s="87">
        <f t="array" ref="G1527">IF(B1527="insumo",_xlfn.XLOOKUP($D1527,Insumos!$B$1:$B$996,Insumos!$D$1:$D$996),"")</f>
        <v>0.504</v>
      </c>
      <c r="H1527" s="87">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70</v>
      </c>
      <c r="C1528" s="10" t="s">
        <v>2295</v>
      </c>
      <c r="D1528" s="10" t="s">
        <v>422</v>
      </c>
      <c r="E1528" s="11" t="str">
        <f t="array" ref="E1528">_xlfn.XLOOKUP(D1528,Insumos!B:B,Insumos!C:$C)</f>
        <v>M</v>
      </c>
      <c r="F1528" s="14">
        <v>1.8233999999999999</v>
      </c>
      <c r="G1528" s="87">
        <f t="array" ref="G1528">IF(B1528="insumo",_xlfn.XLOOKUP($D1528,Insumos!$B$1:$B$996,Insumos!$D$1:$D$996),"")</f>
        <v>7.46</v>
      </c>
      <c r="H1528" s="87">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70</v>
      </c>
      <c r="C1529" s="10" t="s">
        <v>2295</v>
      </c>
      <c r="D1529" s="10" t="s">
        <v>423</v>
      </c>
      <c r="E1529" s="11" t="str">
        <f t="array" ref="E1529">_xlfn.XLOOKUP(D1529,Insumos!B:B,Insumos!C:$C)</f>
        <v>M</v>
      </c>
      <c r="F1529" s="14">
        <v>5.8277999999999999</v>
      </c>
      <c r="G1529" s="87">
        <f t="array" ref="G1529">IF(B1529="insumo",_xlfn.XLOOKUP($D1529,Insumos!$B$1:$B$996,Insumos!$D$1:$D$996),"")</f>
        <v>7.98</v>
      </c>
      <c r="H1529" s="87">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70</v>
      </c>
      <c r="C1530" s="10" t="s">
        <v>2295</v>
      </c>
      <c r="D1530" s="10" t="s">
        <v>404</v>
      </c>
      <c r="E1530" s="11" t="str">
        <f t="array" ref="E1530">_xlfn.XLOOKUP(D1530,Insumos!B:B,Insumos!C:$C)</f>
        <v>KG</v>
      </c>
      <c r="F1530" s="14">
        <v>0.54890000000000005</v>
      </c>
      <c r="G1530" s="87">
        <f t="array" ref="G1530">IF(B1530="insumo",_xlfn.XLOOKUP($D1530,Insumos!$B$1:$B$996,Insumos!$D$1:$D$996),"")</f>
        <v>3.43</v>
      </c>
      <c r="H1530" s="87">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70</v>
      </c>
      <c r="C1531" s="10" t="s">
        <v>2295</v>
      </c>
      <c r="D1531" s="10" t="s">
        <v>411</v>
      </c>
      <c r="E1531" s="11" t="str">
        <f t="array" ref="E1531">_xlfn.XLOOKUP(D1531,Insumos!B:B,Insumos!C:$C)</f>
        <v>M</v>
      </c>
      <c r="F1531" s="14">
        <v>1.25135</v>
      </c>
      <c r="G1531" s="87">
        <f t="array" ref="G1531">IF(B1531="insumo",_xlfn.XLOOKUP($D1531,Insumos!$B$1:$B$996,Insumos!$D$1:$D$996),"")</f>
        <v>0.31</v>
      </c>
      <c r="H1531" s="87">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70</v>
      </c>
      <c r="C1532" s="10" t="s">
        <v>2295</v>
      </c>
      <c r="D1532" s="10" t="s">
        <v>412</v>
      </c>
      <c r="E1532" s="11" t="str">
        <f t="array" ref="E1532">_xlfn.XLOOKUP(D1532,Insumos!B:B,Insumos!C:$C)</f>
        <v>M</v>
      </c>
      <c r="F1532" s="14">
        <v>0.79254999999999998</v>
      </c>
      <c r="G1532" s="87">
        <f t="array" ref="G1532">IF(B1532="insumo",_xlfn.XLOOKUP($D1532,Insumos!$B$1:$B$996,Insumos!$D$1:$D$996),"")</f>
        <v>2.74</v>
      </c>
      <c r="H1532" s="87">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70</v>
      </c>
      <c r="C1533" s="10" t="s">
        <v>2295</v>
      </c>
      <c r="D1533" s="10" t="s">
        <v>413</v>
      </c>
      <c r="E1533" s="11" t="str">
        <f t="array" ref="E1533">_xlfn.XLOOKUP(D1533,Insumos!B:B,Insumos!C:$C)</f>
        <v>UN</v>
      </c>
      <c r="F1533" s="14">
        <v>10.093400000000001</v>
      </c>
      <c r="G1533" s="87">
        <f t="array" ref="G1533">IF(B1533="insumo",_xlfn.XLOOKUP($D1533,Insumos!$B$1:$B$996,Insumos!$D$1:$D$996),"")</f>
        <v>0.09</v>
      </c>
      <c r="H1533" s="87">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70</v>
      </c>
      <c r="C1534" s="10" t="s">
        <v>2295</v>
      </c>
      <c r="D1534" s="10" t="s">
        <v>414</v>
      </c>
      <c r="E1534" s="11" t="str">
        <f t="array" ref="E1534">_xlfn.XLOOKUP(D1534,Insumos!B:B,Insumos!C:$C)</f>
        <v>UN</v>
      </c>
      <c r="F1534" s="14">
        <v>0.27205000000000001</v>
      </c>
      <c r="G1534" s="87">
        <f t="array" ref="G1534">IF(B1534="insumo",_xlfn.XLOOKUP($D1534,Insumos!$B$1:$B$996,Insumos!$D$1:$D$996),"")</f>
        <v>0.2</v>
      </c>
      <c r="H1534" s="87">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332">
        <v>1</v>
      </c>
      <c r="B1535" s="332" t="s">
        <v>67</v>
      </c>
      <c r="C1535" s="332" t="s">
        <v>1313</v>
      </c>
      <c r="D1535" s="332" t="s">
        <v>1313</v>
      </c>
      <c r="E1535" s="333" t="s">
        <v>69</v>
      </c>
      <c r="F1535" s="332"/>
      <c r="G1535" s="334" t="str">
        <f t="array" ref="G1535">IF(B1535="insumo",_xlfn.XLOOKUP($D1535,Insumos!$B$1:$B$996,Insumos!$D$1:$D$996),"")</f>
        <v/>
      </c>
      <c r="H1535" s="334">
        <v>132.41684599999999</v>
      </c>
      <c r="I1535" s="335">
        <v>0</v>
      </c>
      <c r="J1535" s="335">
        <v>0</v>
      </c>
      <c r="K1535" s="335"/>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70</v>
      </c>
      <c r="C1536" s="10" t="s">
        <v>1313</v>
      </c>
      <c r="D1536" s="10" t="s">
        <v>406</v>
      </c>
      <c r="E1536" s="11" t="str">
        <f t="array" ref="E1536">_xlfn.XLOOKUP(D1536,Insumos!B:B,Insumos!C:$C)</f>
        <v>M2</v>
      </c>
      <c r="F1536" s="14">
        <v>1</v>
      </c>
      <c r="G1536" s="87">
        <f t="array" ref="G1536">IF(B1536="insumo",_xlfn.XLOOKUP($D1536,Insumos!$B$1:$B$996,Insumos!$D$1:$D$996),"")</f>
        <v>70</v>
      </c>
      <c r="H1536" s="87">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70</v>
      </c>
      <c r="C1537" s="10" t="s">
        <v>1313</v>
      </c>
      <c r="D1537" s="10" t="s">
        <v>408</v>
      </c>
      <c r="E1537" s="11" t="str">
        <f t="array" ref="E1537">_xlfn.XLOOKUP(D1537,Insumos!B:B,Insumos!C:$C)</f>
        <v>UN</v>
      </c>
      <c r="F1537" s="14">
        <v>5.92</v>
      </c>
      <c r="G1537" s="87">
        <f t="array" ref="G1537">IF(B1537="insumo",_xlfn.XLOOKUP($D1537,Insumos!$B$1:$B$996,Insumos!$D$1:$D$996),"")</f>
        <v>0.504</v>
      </c>
      <c r="H1537" s="87">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70</v>
      </c>
      <c r="C1538" s="10" t="s">
        <v>1313</v>
      </c>
      <c r="D1538" s="10" t="s">
        <v>409</v>
      </c>
      <c r="E1538" s="11" t="str">
        <f t="array" ref="E1538">_xlfn.XLOOKUP(D1538,Insumos!B:B,Insumos!C:$C)</f>
        <v>M</v>
      </c>
      <c r="F1538" s="14">
        <v>1.8233999999999999</v>
      </c>
      <c r="G1538" s="87">
        <f t="array" ref="G1538">IF(B1538="insumo",_xlfn.XLOOKUP($D1538,Insumos!$B$1:$B$996,Insumos!$D$1:$D$996),"")</f>
        <v>7.03</v>
      </c>
      <c r="H1538" s="87">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70</v>
      </c>
      <c r="C1539" s="10" t="s">
        <v>1313</v>
      </c>
      <c r="D1539" s="10" t="s">
        <v>410</v>
      </c>
      <c r="E1539" s="11" t="str">
        <f t="array" ref="E1539">_xlfn.XLOOKUP(D1539,Insumos!B:B,Insumos!C:$C)</f>
        <v>M</v>
      </c>
      <c r="F1539" s="14">
        <v>5.8277999999999999</v>
      </c>
      <c r="G1539" s="87">
        <f t="array" ref="G1539">IF(B1539="insumo",_xlfn.XLOOKUP($D1539,Insumos!$B$1:$B$996,Insumos!$D$1:$D$996),"")</f>
        <v>7.98</v>
      </c>
      <c r="H1539" s="87">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70</v>
      </c>
      <c r="C1540" s="10" t="s">
        <v>1313</v>
      </c>
      <c r="D1540" s="10" t="s">
        <v>414</v>
      </c>
      <c r="E1540" s="11" t="str">
        <f t="array" ref="E1540">_xlfn.XLOOKUP(D1540,Insumos!B:B,Insumos!C:$C)</f>
        <v>UN</v>
      </c>
      <c r="F1540" s="14">
        <v>0.54410000000000003</v>
      </c>
      <c r="G1540" s="87">
        <f t="array" ref="G1540">IF(B1540="insumo",_xlfn.XLOOKUP($D1540,Insumos!$B$1:$B$996,Insumos!$D$1:$D$996),"")</f>
        <v>0.2</v>
      </c>
      <c r="H1540" s="87">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332">
        <v>1</v>
      </c>
      <c r="B1541" s="332" t="s">
        <v>67</v>
      </c>
      <c r="C1541" s="332" t="s">
        <v>1315</v>
      </c>
      <c r="D1541" s="332" t="s">
        <v>1315</v>
      </c>
      <c r="E1541" s="333" t="s">
        <v>69</v>
      </c>
      <c r="F1541" s="332"/>
      <c r="G1541" s="334" t="str">
        <f t="array" ref="G1541">IF(B1541="insumo",_xlfn.XLOOKUP($D1541,Insumos!$B$1:$B$996,Insumos!$D$1:$D$996),"")</f>
        <v/>
      </c>
      <c r="H1541" s="334">
        <v>146.73811266666701</v>
      </c>
      <c r="I1541" s="335">
        <v>0</v>
      </c>
      <c r="J1541" s="335">
        <v>0</v>
      </c>
      <c r="K1541" s="335"/>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70</v>
      </c>
      <c r="C1542" s="10" t="s">
        <v>1315</v>
      </c>
      <c r="D1542" s="10" t="s">
        <v>406</v>
      </c>
      <c r="E1542" s="11" t="str">
        <f t="array" ref="E1542">_xlfn.XLOOKUP(D1542,Insumos!B:B,Insumos!C:$C)</f>
        <v>M2</v>
      </c>
      <c r="F1542" s="14">
        <v>1</v>
      </c>
      <c r="G1542" s="87">
        <f t="array" ref="G1542">IF(B1542="insumo",_xlfn.XLOOKUP($D1542,Insumos!$B$1:$B$996,Insumos!$D$1:$D$996),"")</f>
        <v>70</v>
      </c>
      <c r="H1542" s="87">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70</v>
      </c>
      <c r="C1543" s="10" t="s">
        <v>1315</v>
      </c>
      <c r="D1543" s="10" t="s">
        <v>408</v>
      </c>
      <c r="E1543" s="11" t="str">
        <f t="array" ref="E1543">_xlfn.XLOOKUP(D1543,Insumos!B:B,Insumos!C:$C)</f>
        <v>UN</v>
      </c>
      <c r="F1543" s="14">
        <v>5.92</v>
      </c>
      <c r="G1543" s="87">
        <f t="array" ref="G1543">IF(B1543="insumo",_xlfn.XLOOKUP($D1543,Insumos!$B$1:$B$996,Insumos!$D$1:$D$996),"")</f>
        <v>0.504</v>
      </c>
      <c r="H1543" s="87">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70</v>
      </c>
      <c r="C1544" s="10" t="s">
        <v>1315</v>
      </c>
      <c r="D1544" s="10" t="s">
        <v>409</v>
      </c>
      <c r="E1544" s="11" t="str">
        <f t="array" ref="E1544">_xlfn.XLOOKUP(D1544,Insumos!B:B,Insumos!C:$C)</f>
        <v>M</v>
      </c>
      <c r="F1544" s="14">
        <v>1.8233999999999999</v>
      </c>
      <c r="G1544" s="87">
        <f t="array" ref="G1544">IF(B1544="insumo",_xlfn.XLOOKUP($D1544,Insumos!$B$1:$B$996,Insumos!$D$1:$D$996),"")</f>
        <v>7.03</v>
      </c>
      <c r="H1544" s="87">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70</v>
      </c>
      <c r="C1545" s="10" t="s">
        <v>1315</v>
      </c>
      <c r="D1545" s="10" t="s">
        <v>410</v>
      </c>
      <c r="E1545" s="11" t="str">
        <f t="array" ref="E1545">_xlfn.XLOOKUP(D1545,Insumos!B:B,Insumos!C:$C)</f>
        <v>M</v>
      </c>
      <c r="F1545" s="14">
        <v>5.8277999999999999</v>
      </c>
      <c r="G1545" s="87">
        <f t="array" ref="G1545">IF(B1545="insumo",_xlfn.XLOOKUP($D1545,Insumos!$B$1:$B$996,Insumos!$D$1:$D$996),"")</f>
        <v>7.98</v>
      </c>
      <c r="H1545" s="87">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70</v>
      </c>
      <c r="C1546" s="10" t="s">
        <v>1315</v>
      </c>
      <c r="D1546" s="10" t="s">
        <v>414</v>
      </c>
      <c r="E1546" s="11" t="str">
        <f t="array" ref="E1546">_xlfn.XLOOKUP(D1546,Insumos!B:B,Insumos!C:$C)</f>
        <v>UN</v>
      </c>
      <c r="F1546" s="14">
        <v>0.54410000000000003</v>
      </c>
      <c r="G1546" s="87">
        <f t="array" ref="G1546">IF(B1546="insumo",_xlfn.XLOOKUP($D1546,Insumos!$B$1:$B$996,Insumos!$D$1:$D$996),"")</f>
        <v>0.2</v>
      </c>
      <c r="H1546" s="87">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70</v>
      </c>
      <c r="C1547" s="10" t="s">
        <v>1315</v>
      </c>
      <c r="D1547" s="10" t="s">
        <v>1576</v>
      </c>
      <c r="E1547" s="11" t="str">
        <f t="array" ref="E1547">_xlfn.XLOOKUP(D1547,Insumos!B:B,Insumos!C:$C)</f>
        <v>M2</v>
      </c>
      <c r="F1547" s="14">
        <v>1.1000000000000001</v>
      </c>
      <c r="G1547" s="87">
        <f t="array" ref="G1547">IF(B1547="insumo",_xlfn.XLOOKUP($D1547,Insumos!$B$1:$B$996,Insumos!$D$1:$D$996),"")</f>
        <v>13.019333333333332</v>
      </c>
      <c r="H1547" s="87">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332">
        <v>1</v>
      </c>
      <c r="B1548" s="332" t="s">
        <v>67</v>
      </c>
      <c r="C1548" s="332" t="s">
        <v>1316</v>
      </c>
      <c r="D1548" s="332" t="s">
        <v>1316</v>
      </c>
      <c r="E1548" s="333" t="s">
        <v>69</v>
      </c>
      <c r="F1548" s="332"/>
      <c r="G1548" s="334" t="str">
        <f t="array" ref="G1548">IF(B1548="insumo",_xlfn.XLOOKUP($D1548,Insumos!$B$1:$B$996,Insumos!$D$1:$D$996),"")</f>
        <v/>
      </c>
      <c r="H1548" s="334">
        <v>167.74008449999999</v>
      </c>
      <c r="I1548" s="335">
        <v>0</v>
      </c>
      <c r="J1548" s="335">
        <v>0</v>
      </c>
      <c r="K1548" s="335"/>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70</v>
      </c>
      <c r="C1549" s="10" t="s">
        <v>1316</v>
      </c>
      <c r="D1549" s="10" t="s">
        <v>406</v>
      </c>
      <c r="E1549" s="11" t="str">
        <f t="array" ref="E1549">_xlfn.XLOOKUP(D1549,Insumos!B:B,Insumos!C:$C)</f>
        <v>M2</v>
      </c>
      <c r="F1549" s="14">
        <v>1</v>
      </c>
      <c r="G1549" s="87">
        <f t="array" ref="G1549">IF(B1549="insumo",_xlfn.XLOOKUP($D1549,Insumos!$B$1:$B$996,Insumos!$D$1:$D$996),"")</f>
        <v>70</v>
      </c>
      <c r="H1549" s="87">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70</v>
      </c>
      <c r="C1550" s="10" t="s">
        <v>1316</v>
      </c>
      <c r="D1550" s="10" t="s">
        <v>417</v>
      </c>
      <c r="E1550" s="11" t="str">
        <f t="array" ref="E1550">_xlfn.XLOOKUP(D1550,Insumos!B:B,Insumos!C:$C)</f>
        <v>M2</v>
      </c>
      <c r="F1550" s="14">
        <v>1.1060000000000001</v>
      </c>
      <c r="G1550" s="87">
        <f t="array" ref="G1550">IF(B1550="insumo",_xlfn.XLOOKUP($D1550,Insumos!$B$1:$B$996,Insumos!$D$1:$D$996),"")</f>
        <v>27.1</v>
      </c>
      <c r="H1550" s="87">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70</v>
      </c>
      <c r="C1551" s="10" t="s">
        <v>1316</v>
      </c>
      <c r="D1551" s="10" t="s">
        <v>408</v>
      </c>
      <c r="E1551" s="11" t="str">
        <f t="array" ref="E1551">_xlfn.XLOOKUP(D1551,Insumos!B:B,Insumos!C:$C)</f>
        <v>UN</v>
      </c>
      <c r="F1551" s="14">
        <v>5.92</v>
      </c>
      <c r="G1551" s="87">
        <f t="array" ref="G1551">IF(B1551="insumo",_xlfn.XLOOKUP($D1551,Insumos!$B$1:$B$996,Insumos!$D$1:$D$996),"")</f>
        <v>0.504</v>
      </c>
      <c r="H1551" s="87">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70</v>
      </c>
      <c r="C1552" s="10" t="s">
        <v>1316</v>
      </c>
      <c r="D1552" s="10" t="s">
        <v>409</v>
      </c>
      <c r="E1552" s="11" t="str">
        <f t="array" ref="E1552">_xlfn.XLOOKUP(D1552,Insumos!B:B,Insumos!C:$C)</f>
        <v>M</v>
      </c>
      <c r="F1552" s="14">
        <v>1.8233999999999999</v>
      </c>
      <c r="G1552" s="87">
        <f t="array" ref="G1552">IF(B1552="insumo",_xlfn.XLOOKUP($D1552,Insumos!$B$1:$B$996,Insumos!$D$1:$D$996),"")</f>
        <v>7.03</v>
      </c>
      <c r="H1552" s="87">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70</v>
      </c>
      <c r="C1553" s="10" t="s">
        <v>1316</v>
      </c>
      <c r="D1553" s="10" t="s">
        <v>410</v>
      </c>
      <c r="E1553" s="11" t="str">
        <f t="array" ref="E1553">_xlfn.XLOOKUP(D1553,Insumos!B:B,Insumos!C:$C)</f>
        <v>M</v>
      </c>
      <c r="F1553" s="14">
        <v>5.8277999999999999</v>
      </c>
      <c r="G1553" s="87">
        <f t="array" ref="G1553">IF(B1553="insumo",_xlfn.XLOOKUP($D1553,Insumos!$B$1:$B$996,Insumos!$D$1:$D$996),"")</f>
        <v>7.98</v>
      </c>
      <c r="H1553" s="87">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70</v>
      </c>
      <c r="C1554" s="10" t="s">
        <v>1316</v>
      </c>
      <c r="D1554" s="10" t="s">
        <v>404</v>
      </c>
      <c r="E1554" s="11" t="str">
        <f t="array" ref="E1554">_xlfn.XLOOKUP(D1554,Insumos!B:B,Insumos!C:$C)</f>
        <v>KG</v>
      </c>
      <c r="F1554" s="14">
        <f>1.0978/2</f>
        <v>0.54890000000000005</v>
      </c>
      <c r="G1554" s="87">
        <f t="array" ref="G1554">IF(B1554="insumo",_xlfn.XLOOKUP($D1554,Insumos!$B$1:$B$996,Insumos!$D$1:$D$996),"")</f>
        <v>3.43</v>
      </c>
      <c r="H1554" s="87">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70</v>
      </c>
      <c r="C1555" s="10" t="s">
        <v>1316</v>
      </c>
      <c r="D1555" s="10" t="s">
        <v>411</v>
      </c>
      <c r="E1555" s="11" t="str">
        <f t="array" ref="E1555">_xlfn.XLOOKUP(D1555,Insumos!B:B,Insumos!C:$C)</f>
        <v>M</v>
      </c>
      <c r="F1555" s="14">
        <f>2.5027/2</f>
        <v>1.25135</v>
      </c>
      <c r="G1555" s="87">
        <f t="array" ref="G1555">IF(B1555="insumo",_xlfn.XLOOKUP($D1555,Insumos!$B$1:$B$996,Insumos!$D$1:$D$996),"")</f>
        <v>0.31</v>
      </c>
      <c r="H1555" s="87">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70</v>
      </c>
      <c r="C1556" s="10" t="s">
        <v>1316</v>
      </c>
      <c r="D1556" s="10" t="s">
        <v>412</v>
      </c>
      <c r="E1556" s="11" t="str">
        <f t="array" ref="E1556">_xlfn.XLOOKUP(D1556,Insumos!B:B,Insumos!C:$C)</f>
        <v>M</v>
      </c>
      <c r="F1556" s="14">
        <f>1.5851/2</f>
        <v>0.79254999999999998</v>
      </c>
      <c r="G1556" s="87">
        <f t="array" ref="G1556">IF(B1556="insumo",_xlfn.XLOOKUP($D1556,Insumos!$B$1:$B$996,Insumos!$D$1:$D$996),"")</f>
        <v>2.74</v>
      </c>
      <c r="H1556" s="87">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70</v>
      </c>
      <c r="C1557" s="10" t="s">
        <v>1316</v>
      </c>
      <c r="D1557" s="10" t="s">
        <v>413</v>
      </c>
      <c r="E1557" s="11" t="str">
        <f t="array" ref="E1557">_xlfn.XLOOKUP(D1557,Insumos!B:B,Insumos!C:$C)</f>
        <v>UN</v>
      </c>
      <c r="F1557" s="14">
        <f>20.1868/2</f>
        <v>10.093400000000001</v>
      </c>
      <c r="G1557" s="87">
        <f t="array" ref="G1557">IF(B1557="insumo",_xlfn.XLOOKUP($D1557,Insumos!$B$1:$B$996,Insumos!$D$1:$D$996),"")</f>
        <v>0.09</v>
      </c>
      <c r="H1557" s="87">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70</v>
      </c>
      <c r="C1558" s="10" t="s">
        <v>1316</v>
      </c>
      <c r="D1558" s="10" t="s">
        <v>414</v>
      </c>
      <c r="E1558" s="11" t="str">
        <f t="array" ref="E1558">_xlfn.XLOOKUP(D1558,Insumos!B:B,Insumos!C:$C)</f>
        <v>UN</v>
      </c>
      <c r="F1558" s="14">
        <v>0.54410000000000003</v>
      </c>
      <c r="G1558" s="87">
        <f t="array" ref="G1558">IF(B1558="insumo",_xlfn.XLOOKUP($D1558,Insumos!$B$1:$B$996,Insumos!$D$1:$D$996),"")</f>
        <v>0.2</v>
      </c>
      <c r="H1558" s="87">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332">
        <v>1</v>
      </c>
      <c r="B1559" s="332" t="s">
        <v>67</v>
      </c>
      <c r="C1559" s="332" t="s">
        <v>1317</v>
      </c>
      <c r="D1559" s="332" t="s">
        <v>1317</v>
      </c>
      <c r="E1559" s="333" t="s">
        <v>69</v>
      </c>
      <c r="F1559" s="332"/>
      <c r="G1559" s="334" t="str">
        <f t="array" ref="G1559">IF(B1559="insumo",_xlfn.XLOOKUP($D1559,Insumos!$B$1:$B$996,Insumos!$D$1:$D$996),"")</f>
        <v/>
      </c>
      <c r="H1559" s="334">
        <v>167.74008449999999</v>
      </c>
      <c r="I1559" s="335">
        <v>0</v>
      </c>
      <c r="J1559" s="335">
        <v>0</v>
      </c>
      <c r="K1559" s="335"/>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70</v>
      </c>
      <c r="C1560" s="10" t="s">
        <v>1317</v>
      </c>
      <c r="D1560" s="10" t="s">
        <v>406</v>
      </c>
      <c r="E1560" s="11" t="str">
        <f t="array" ref="E1560">_xlfn.XLOOKUP(D1560,Insumos!B:B,Insumos!C:$C)</f>
        <v>M2</v>
      </c>
      <c r="F1560" s="14">
        <v>1</v>
      </c>
      <c r="G1560" s="87">
        <f t="array" ref="G1560">IF(B1560="insumo",_xlfn.XLOOKUP($D1560,Insumos!$B$1:$B$996,Insumos!$D$1:$D$996),"")</f>
        <v>70</v>
      </c>
      <c r="H1560" s="87">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70</v>
      </c>
      <c r="C1561" s="10" t="s">
        <v>1317</v>
      </c>
      <c r="D1561" s="10" t="s">
        <v>417</v>
      </c>
      <c r="E1561" s="11" t="str">
        <f t="array" ref="E1561">_xlfn.XLOOKUP(D1561,Insumos!B:B,Insumos!C:$C)</f>
        <v>M2</v>
      </c>
      <c r="F1561" s="14">
        <v>1.1060000000000001</v>
      </c>
      <c r="G1561" s="87">
        <f t="array" ref="G1561">IF(B1561="insumo",_xlfn.XLOOKUP($D1561,Insumos!$B$1:$B$996,Insumos!$D$1:$D$996),"")</f>
        <v>27.1</v>
      </c>
      <c r="H1561" s="87">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70</v>
      </c>
      <c r="C1562" s="10" t="s">
        <v>1317</v>
      </c>
      <c r="D1562" s="10" t="s">
        <v>408</v>
      </c>
      <c r="E1562" s="11" t="str">
        <f t="array" ref="E1562">_xlfn.XLOOKUP(D1562,Insumos!B:B,Insumos!C:$C)</f>
        <v>UN</v>
      </c>
      <c r="F1562" s="14">
        <v>5.92</v>
      </c>
      <c r="G1562" s="87">
        <f t="array" ref="G1562">IF(B1562="insumo",_xlfn.XLOOKUP($D1562,Insumos!$B$1:$B$996,Insumos!$D$1:$D$996),"")</f>
        <v>0.504</v>
      </c>
      <c r="H1562" s="87">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70</v>
      </c>
      <c r="C1563" s="10" t="s">
        <v>1317</v>
      </c>
      <c r="D1563" s="10" t="s">
        <v>409</v>
      </c>
      <c r="E1563" s="11" t="str">
        <f t="array" ref="E1563">_xlfn.XLOOKUP(D1563,Insumos!B:B,Insumos!C:$C)</f>
        <v>M</v>
      </c>
      <c r="F1563" s="14">
        <v>1.8233999999999999</v>
      </c>
      <c r="G1563" s="87">
        <f t="array" ref="G1563">IF(B1563="insumo",_xlfn.XLOOKUP($D1563,Insumos!$B$1:$B$996,Insumos!$D$1:$D$996),"")</f>
        <v>7.03</v>
      </c>
      <c r="H1563" s="87">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70</v>
      </c>
      <c r="C1564" s="10" t="s">
        <v>1317</v>
      </c>
      <c r="D1564" s="10" t="s">
        <v>410</v>
      </c>
      <c r="E1564" s="11" t="str">
        <f t="array" ref="E1564">_xlfn.XLOOKUP(D1564,Insumos!B:B,Insumos!C:$C)</f>
        <v>M</v>
      </c>
      <c r="F1564" s="14">
        <v>5.8277999999999999</v>
      </c>
      <c r="G1564" s="87">
        <f t="array" ref="G1564">IF(B1564="insumo",_xlfn.XLOOKUP($D1564,Insumos!$B$1:$B$996,Insumos!$D$1:$D$996),"")</f>
        <v>7.98</v>
      </c>
      <c r="H1564" s="87">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70</v>
      </c>
      <c r="C1565" s="10" t="s">
        <v>1317</v>
      </c>
      <c r="D1565" s="10" t="s">
        <v>404</v>
      </c>
      <c r="E1565" s="11" t="str">
        <f t="array" ref="E1565">_xlfn.XLOOKUP(D1565,Insumos!B:B,Insumos!C:$C)</f>
        <v>KG</v>
      </c>
      <c r="F1565" s="14">
        <f>1.0978/2</f>
        <v>0.54890000000000005</v>
      </c>
      <c r="G1565" s="87">
        <f t="array" ref="G1565">IF(B1565="insumo",_xlfn.XLOOKUP($D1565,Insumos!$B$1:$B$996,Insumos!$D$1:$D$996),"")</f>
        <v>3.43</v>
      </c>
      <c r="H1565" s="87">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70</v>
      </c>
      <c r="C1566" s="10" t="s">
        <v>1317</v>
      </c>
      <c r="D1566" s="10" t="s">
        <v>411</v>
      </c>
      <c r="E1566" s="11" t="str">
        <f t="array" ref="E1566">_xlfn.XLOOKUP(D1566,Insumos!B:B,Insumos!C:$C)</f>
        <v>M</v>
      </c>
      <c r="F1566" s="14">
        <f>2.5027/2</f>
        <v>1.25135</v>
      </c>
      <c r="G1566" s="87">
        <f t="array" ref="G1566">IF(B1566="insumo",_xlfn.XLOOKUP($D1566,Insumos!$B$1:$B$996,Insumos!$D$1:$D$996),"")</f>
        <v>0.31</v>
      </c>
      <c r="H1566" s="87">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70</v>
      </c>
      <c r="C1567" s="10" t="s">
        <v>1317</v>
      </c>
      <c r="D1567" s="10" t="s">
        <v>412</v>
      </c>
      <c r="E1567" s="11" t="str">
        <f t="array" ref="E1567">_xlfn.XLOOKUP(D1567,Insumos!B:B,Insumos!C:$C)</f>
        <v>M</v>
      </c>
      <c r="F1567" s="14">
        <f>1.5851/2</f>
        <v>0.79254999999999998</v>
      </c>
      <c r="G1567" s="87">
        <f t="array" ref="G1567">IF(B1567="insumo",_xlfn.XLOOKUP($D1567,Insumos!$B$1:$B$996,Insumos!$D$1:$D$996),"")</f>
        <v>2.74</v>
      </c>
      <c r="H1567" s="87">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70</v>
      </c>
      <c r="C1568" s="10" t="s">
        <v>1317</v>
      </c>
      <c r="D1568" s="10" t="s">
        <v>413</v>
      </c>
      <c r="E1568" s="11" t="str">
        <f t="array" ref="E1568">_xlfn.XLOOKUP(D1568,Insumos!B:B,Insumos!C:$C)</f>
        <v>UN</v>
      </c>
      <c r="F1568" s="14">
        <f>20.1868/2</f>
        <v>10.093400000000001</v>
      </c>
      <c r="G1568" s="87">
        <f t="array" ref="G1568">IF(B1568="insumo",_xlfn.XLOOKUP($D1568,Insumos!$B$1:$B$996,Insumos!$D$1:$D$996),"")</f>
        <v>0.09</v>
      </c>
      <c r="H1568" s="87">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70</v>
      </c>
      <c r="C1569" s="10" t="s">
        <v>1317</v>
      </c>
      <c r="D1569" s="10" t="s">
        <v>414</v>
      </c>
      <c r="E1569" s="11" t="str">
        <f t="array" ref="E1569">_xlfn.XLOOKUP(D1569,Insumos!B:B,Insumos!C:$C)</f>
        <v>UN</v>
      </c>
      <c r="F1569" s="14">
        <v>0.54410000000000003</v>
      </c>
      <c r="G1569" s="87">
        <f t="array" ref="G1569">IF(B1569="insumo",_xlfn.XLOOKUP($D1569,Insumos!$B$1:$B$996,Insumos!$D$1:$D$996),"")</f>
        <v>0.2</v>
      </c>
      <c r="H1569" s="87">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332">
        <v>1</v>
      </c>
      <c r="B1570" s="332" t="s">
        <v>67</v>
      </c>
      <c r="C1570" s="332" t="s">
        <v>1318</v>
      </c>
      <c r="D1570" s="332" t="s">
        <v>1318</v>
      </c>
      <c r="E1570" s="333" t="s">
        <v>69</v>
      </c>
      <c r="F1570" s="332"/>
      <c r="G1570" s="334" t="str">
        <f t="array" ref="G1570">IF(B1570="insumo",_xlfn.XLOOKUP($D1570,Insumos!$B$1:$B$996,Insumos!$D$1:$D$996),"")</f>
        <v/>
      </c>
      <c r="H1570" s="334">
        <v>160.06444450000001</v>
      </c>
      <c r="I1570" s="335">
        <v>0</v>
      </c>
      <c r="J1570" s="335">
        <v>0</v>
      </c>
      <c r="K1570" s="335"/>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70</v>
      </c>
      <c r="C1571" s="10" t="s">
        <v>1318</v>
      </c>
      <c r="D1571" s="10" t="s">
        <v>406</v>
      </c>
      <c r="E1571" s="11" t="str">
        <f t="array" ref="E1571">_xlfn.XLOOKUP(D1571,Insumos!B:B,Insumos!C:$C)</f>
        <v>M2</v>
      </c>
      <c r="F1571" s="14">
        <v>1</v>
      </c>
      <c r="G1571" s="87">
        <f t="array" ref="G1571">IF(B1571="insumo",_xlfn.XLOOKUP($D1571,Insumos!$B$1:$B$996,Insumos!$D$1:$D$996),"")</f>
        <v>70</v>
      </c>
      <c r="H1571" s="87">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70</v>
      </c>
      <c r="C1572" s="10" t="s">
        <v>1318</v>
      </c>
      <c r="D1572" s="10" t="s">
        <v>407</v>
      </c>
      <c r="E1572" s="11" t="str">
        <f t="array" ref="E1572">_xlfn.XLOOKUP(D1572,Insumos!B:B,Insumos!C:$C)</f>
        <v>M2</v>
      </c>
      <c r="F1572" s="14">
        <v>1.1060000000000001</v>
      </c>
      <c r="G1572" s="87">
        <f t="array" ref="G1572">IF(B1572="insumo",_xlfn.XLOOKUP($D1572,Insumos!$B$1:$B$996,Insumos!$D$1:$D$996),"")</f>
        <v>20.16</v>
      </c>
      <c r="H1572" s="87">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70</v>
      </c>
      <c r="C1573" s="10" t="s">
        <v>1318</v>
      </c>
      <c r="D1573" s="10" t="s">
        <v>408</v>
      </c>
      <c r="E1573" s="11" t="str">
        <f t="array" ref="E1573">_xlfn.XLOOKUP(D1573,Insumos!B:B,Insumos!C:$C)</f>
        <v>UN</v>
      </c>
      <c r="F1573" s="14">
        <v>5.92</v>
      </c>
      <c r="G1573" s="87">
        <f t="array" ref="G1573">IF(B1573="insumo",_xlfn.XLOOKUP($D1573,Insumos!$B$1:$B$996,Insumos!$D$1:$D$996),"")</f>
        <v>0.504</v>
      </c>
      <c r="H1573" s="87">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70</v>
      </c>
      <c r="C1574" s="10" t="s">
        <v>1318</v>
      </c>
      <c r="D1574" s="10" t="s">
        <v>409</v>
      </c>
      <c r="E1574" s="11" t="str">
        <f t="array" ref="E1574">_xlfn.XLOOKUP(D1574,Insumos!B:B,Insumos!C:$C)</f>
        <v>M</v>
      </c>
      <c r="F1574" s="14">
        <v>1.8233999999999999</v>
      </c>
      <c r="G1574" s="87">
        <f t="array" ref="G1574">IF(B1574="insumo",_xlfn.XLOOKUP($D1574,Insumos!$B$1:$B$996,Insumos!$D$1:$D$996),"")</f>
        <v>7.03</v>
      </c>
      <c r="H1574" s="87">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70</v>
      </c>
      <c r="C1575" s="10" t="s">
        <v>1318</v>
      </c>
      <c r="D1575" s="10" t="s">
        <v>410</v>
      </c>
      <c r="E1575" s="11" t="str">
        <f t="array" ref="E1575">_xlfn.XLOOKUP(D1575,Insumos!B:B,Insumos!C:$C)</f>
        <v>M</v>
      </c>
      <c r="F1575" s="14">
        <v>5.8277999999999999</v>
      </c>
      <c r="G1575" s="87">
        <f t="array" ref="G1575">IF(B1575="insumo",_xlfn.XLOOKUP($D1575,Insumos!$B$1:$B$996,Insumos!$D$1:$D$996),"")</f>
        <v>7.98</v>
      </c>
      <c r="H1575" s="87">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70</v>
      </c>
      <c r="C1576" s="10" t="s">
        <v>1318</v>
      </c>
      <c r="D1576" s="10" t="s">
        <v>404</v>
      </c>
      <c r="E1576" s="11" t="str">
        <f t="array" ref="E1576">_xlfn.XLOOKUP(D1576,Insumos!B:B,Insumos!C:$C)</f>
        <v>KG</v>
      </c>
      <c r="F1576" s="14">
        <f>1.0978/2</f>
        <v>0.54890000000000005</v>
      </c>
      <c r="G1576" s="87">
        <f t="array" ref="G1576">IF(B1576="insumo",_xlfn.XLOOKUP($D1576,Insumos!$B$1:$B$996,Insumos!$D$1:$D$996),"")</f>
        <v>3.43</v>
      </c>
      <c r="H1576" s="87">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70</v>
      </c>
      <c r="C1577" s="10" t="s">
        <v>1318</v>
      </c>
      <c r="D1577" s="10" t="s">
        <v>411</v>
      </c>
      <c r="E1577" s="11" t="str">
        <f t="array" ref="E1577">_xlfn.XLOOKUP(D1577,Insumos!B:B,Insumos!C:$C)</f>
        <v>M</v>
      </c>
      <c r="F1577" s="14">
        <f>2.5027/2</f>
        <v>1.25135</v>
      </c>
      <c r="G1577" s="87">
        <f t="array" ref="G1577">IF(B1577="insumo",_xlfn.XLOOKUP($D1577,Insumos!$B$1:$B$996,Insumos!$D$1:$D$996),"")</f>
        <v>0.31</v>
      </c>
      <c r="H1577" s="87">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70</v>
      </c>
      <c r="C1578" s="10" t="s">
        <v>1318</v>
      </c>
      <c r="D1578" s="10" t="s">
        <v>412</v>
      </c>
      <c r="E1578" s="11" t="str">
        <f t="array" ref="E1578">_xlfn.XLOOKUP(D1578,Insumos!B:B,Insumos!C:$C)</f>
        <v>M</v>
      </c>
      <c r="F1578" s="14">
        <f>1.5851/2</f>
        <v>0.79254999999999998</v>
      </c>
      <c r="G1578" s="87">
        <f t="array" ref="G1578">IF(B1578="insumo",_xlfn.XLOOKUP($D1578,Insumos!$B$1:$B$996,Insumos!$D$1:$D$996),"")</f>
        <v>2.74</v>
      </c>
      <c r="H1578" s="87">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70</v>
      </c>
      <c r="C1579" s="10" t="s">
        <v>1318</v>
      </c>
      <c r="D1579" s="10" t="s">
        <v>413</v>
      </c>
      <c r="E1579" s="11" t="str">
        <f t="array" ref="E1579">_xlfn.XLOOKUP(D1579,Insumos!B:B,Insumos!C:$C)</f>
        <v>UN</v>
      </c>
      <c r="F1579" s="14">
        <f>20.1868/2</f>
        <v>10.093400000000001</v>
      </c>
      <c r="G1579" s="87">
        <f t="array" ref="G1579">IF(B1579="insumo",_xlfn.XLOOKUP($D1579,Insumos!$B$1:$B$996,Insumos!$D$1:$D$996),"")</f>
        <v>0.09</v>
      </c>
      <c r="H1579" s="87">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70</v>
      </c>
      <c r="C1580" s="10" t="s">
        <v>1318</v>
      </c>
      <c r="D1580" s="10" t="s">
        <v>414</v>
      </c>
      <c r="E1580" s="11" t="str">
        <f t="array" ref="E1580">_xlfn.XLOOKUP(D1580,Insumos!B:B,Insumos!C:$C)</f>
        <v>UN</v>
      </c>
      <c r="F1580" s="14">
        <v>0.54410000000000003</v>
      </c>
      <c r="G1580" s="87">
        <f t="array" ref="G1580">IF(B1580="insumo",_xlfn.XLOOKUP($D1580,Insumos!$B$1:$B$996,Insumos!$D$1:$D$996),"")</f>
        <v>0.2</v>
      </c>
      <c r="H1580" s="87">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332">
        <v>1</v>
      </c>
      <c r="B1581" s="332" t="s">
        <v>67</v>
      </c>
      <c r="C1581" s="332" t="s">
        <v>1335</v>
      </c>
      <c r="D1581" s="332" t="s">
        <v>1335</v>
      </c>
      <c r="E1581" s="333" t="s">
        <v>69</v>
      </c>
      <c r="F1581" s="332"/>
      <c r="G1581" s="334" t="str">
        <f t="array" ref="G1581">IF(B1581="insumo",_xlfn.XLOOKUP($D1581,Insumos!$B$1:$B$996,Insumos!$D$1:$D$996),"")</f>
        <v/>
      </c>
      <c r="H1581" s="334">
        <v>160.06444450000001</v>
      </c>
      <c r="I1581" s="335">
        <v>0</v>
      </c>
      <c r="J1581" s="335">
        <v>0</v>
      </c>
      <c r="K1581" s="335"/>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70</v>
      </c>
      <c r="C1582" s="10" t="s">
        <v>1335</v>
      </c>
      <c r="D1582" s="10" t="s">
        <v>406</v>
      </c>
      <c r="E1582" s="11" t="str">
        <f t="array" ref="E1582">_xlfn.XLOOKUP(D1582,Insumos!B:B,Insumos!C:$C)</f>
        <v>M2</v>
      </c>
      <c r="F1582" s="14">
        <v>1</v>
      </c>
      <c r="G1582" s="87">
        <f t="array" ref="G1582">IF(B1582="insumo",_xlfn.XLOOKUP($D1582,Insumos!$B$1:$B$996,Insumos!$D$1:$D$996),"")</f>
        <v>70</v>
      </c>
      <c r="H1582" s="87">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70</v>
      </c>
      <c r="C1583" s="10" t="s">
        <v>1335</v>
      </c>
      <c r="D1583" s="10" t="s">
        <v>407</v>
      </c>
      <c r="E1583" s="11" t="str">
        <f t="array" ref="E1583">_xlfn.XLOOKUP(D1583,Insumos!B:B,Insumos!C:$C)</f>
        <v>M2</v>
      </c>
      <c r="F1583" s="14">
        <v>1.1060000000000001</v>
      </c>
      <c r="G1583" s="87">
        <f t="array" ref="G1583">IF(B1583="insumo",_xlfn.XLOOKUP($D1583,Insumos!$B$1:$B$996,Insumos!$D$1:$D$996),"")</f>
        <v>20.16</v>
      </c>
      <c r="H1583" s="87">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70</v>
      </c>
      <c r="C1584" s="10" t="s">
        <v>1335</v>
      </c>
      <c r="D1584" s="10" t="s">
        <v>408</v>
      </c>
      <c r="E1584" s="11" t="str">
        <f t="array" ref="E1584">_xlfn.XLOOKUP(D1584,Insumos!B:B,Insumos!C:$C)</f>
        <v>UN</v>
      </c>
      <c r="F1584" s="14">
        <v>5.92</v>
      </c>
      <c r="G1584" s="87">
        <f t="array" ref="G1584">IF(B1584="insumo",_xlfn.XLOOKUP($D1584,Insumos!$B$1:$B$996,Insumos!$D$1:$D$996),"")</f>
        <v>0.504</v>
      </c>
      <c r="H1584" s="87">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70</v>
      </c>
      <c r="C1585" s="10" t="s">
        <v>1335</v>
      </c>
      <c r="D1585" s="10" t="s">
        <v>409</v>
      </c>
      <c r="E1585" s="11" t="str">
        <f t="array" ref="E1585">_xlfn.XLOOKUP(D1585,Insumos!B:B,Insumos!C:$C)</f>
        <v>M</v>
      </c>
      <c r="F1585" s="14">
        <v>1.8233999999999999</v>
      </c>
      <c r="G1585" s="87">
        <f t="array" ref="G1585">IF(B1585="insumo",_xlfn.XLOOKUP($D1585,Insumos!$B$1:$B$996,Insumos!$D$1:$D$996),"")</f>
        <v>7.03</v>
      </c>
      <c r="H1585" s="87">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70</v>
      </c>
      <c r="C1586" s="10" t="s">
        <v>1335</v>
      </c>
      <c r="D1586" s="10" t="s">
        <v>410</v>
      </c>
      <c r="E1586" s="11" t="str">
        <f t="array" ref="E1586">_xlfn.XLOOKUP(D1586,Insumos!B:B,Insumos!C:$C)</f>
        <v>M</v>
      </c>
      <c r="F1586" s="14">
        <v>5.8277999999999999</v>
      </c>
      <c r="G1586" s="87">
        <f t="array" ref="G1586">IF(B1586="insumo",_xlfn.XLOOKUP($D1586,Insumos!$B$1:$B$996,Insumos!$D$1:$D$996),"")</f>
        <v>7.98</v>
      </c>
      <c r="H1586" s="87">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70</v>
      </c>
      <c r="C1587" s="10" t="s">
        <v>1335</v>
      </c>
      <c r="D1587" s="10" t="s">
        <v>404</v>
      </c>
      <c r="E1587" s="11" t="str">
        <f t="array" ref="E1587">_xlfn.XLOOKUP(D1587,Insumos!B:B,Insumos!C:$C)</f>
        <v>KG</v>
      </c>
      <c r="F1587" s="14">
        <f>1.0978/2</f>
        <v>0.54890000000000005</v>
      </c>
      <c r="G1587" s="87">
        <f t="array" ref="G1587">IF(B1587="insumo",_xlfn.XLOOKUP($D1587,Insumos!$B$1:$B$996,Insumos!$D$1:$D$996),"")</f>
        <v>3.43</v>
      </c>
      <c r="H1587" s="87">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70</v>
      </c>
      <c r="C1588" s="10" t="s">
        <v>1335</v>
      </c>
      <c r="D1588" s="10" t="s">
        <v>411</v>
      </c>
      <c r="E1588" s="11" t="str">
        <f t="array" ref="E1588">_xlfn.XLOOKUP(D1588,Insumos!B:B,Insumos!C:$C)</f>
        <v>M</v>
      </c>
      <c r="F1588" s="14">
        <f>2.5027/2</f>
        <v>1.25135</v>
      </c>
      <c r="G1588" s="87">
        <f t="array" ref="G1588">IF(B1588="insumo",_xlfn.XLOOKUP($D1588,Insumos!$B$1:$B$996,Insumos!$D$1:$D$996),"")</f>
        <v>0.31</v>
      </c>
      <c r="H1588" s="87">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70</v>
      </c>
      <c r="C1589" s="10" t="s">
        <v>1335</v>
      </c>
      <c r="D1589" s="10" t="s">
        <v>412</v>
      </c>
      <c r="E1589" s="11" t="str">
        <f t="array" ref="E1589">_xlfn.XLOOKUP(D1589,Insumos!B:B,Insumos!C:$C)</f>
        <v>M</v>
      </c>
      <c r="F1589" s="14">
        <f>1.5851/2</f>
        <v>0.79254999999999998</v>
      </c>
      <c r="G1589" s="87">
        <f t="array" ref="G1589">IF(B1589="insumo",_xlfn.XLOOKUP($D1589,Insumos!$B$1:$B$996,Insumos!$D$1:$D$996),"")</f>
        <v>2.74</v>
      </c>
      <c r="H1589" s="87">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70</v>
      </c>
      <c r="C1590" s="10" t="s">
        <v>1335</v>
      </c>
      <c r="D1590" s="10" t="s">
        <v>413</v>
      </c>
      <c r="E1590" s="11" t="str">
        <f t="array" ref="E1590">_xlfn.XLOOKUP(D1590,Insumos!B:B,Insumos!C:$C)</f>
        <v>UN</v>
      </c>
      <c r="F1590" s="14">
        <f>20.1868/2</f>
        <v>10.093400000000001</v>
      </c>
      <c r="G1590" s="87">
        <f t="array" ref="G1590">IF(B1590="insumo",_xlfn.XLOOKUP($D1590,Insumos!$B$1:$B$996,Insumos!$D$1:$D$996),"")</f>
        <v>0.09</v>
      </c>
      <c r="H1590" s="87">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70</v>
      </c>
      <c r="C1591" s="10" t="s">
        <v>1335</v>
      </c>
      <c r="D1591" s="10" t="s">
        <v>414</v>
      </c>
      <c r="E1591" s="11" t="str">
        <f t="array" ref="E1591">_xlfn.XLOOKUP(D1591,Insumos!B:B,Insumos!C:$C)</f>
        <v>UN</v>
      </c>
      <c r="F1591" s="14">
        <v>0.54410000000000003</v>
      </c>
      <c r="G1591" s="87">
        <f t="array" ref="G1591">IF(B1591="insumo",_xlfn.XLOOKUP($D1591,Insumos!$B$1:$B$996,Insumos!$D$1:$D$996),"")</f>
        <v>0.2</v>
      </c>
      <c r="H1591" s="87">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332">
        <v>1</v>
      </c>
      <c r="B1592" s="332" t="s">
        <v>67</v>
      </c>
      <c r="C1592" s="332" t="s">
        <v>1336</v>
      </c>
      <c r="D1592" s="332" t="s">
        <v>1336</v>
      </c>
      <c r="E1592" s="333" t="s">
        <v>69</v>
      </c>
      <c r="F1592" s="332"/>
      <c r="G1592" s="334" t="str">
        <f t="array" ref="G1592">IF(B1592="insumo",_xlfn.XLOOKUP($D1592,Insumos!$B$1:$B$996,Insumos!$D$1:$D$996),"")</f>
        <v/>
      </c>
      <c r="H1592" s="334">
        <v>160.06444450000001</v>
      </c>
      <c r="I1592" s="335">
        <v>0</v>
      </c>
      <c r="J1592" s="335">
        <v>0</v>
      </c>
      <c r="K1592" s="335"/>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70</v>
      </c>
      <c r="C1593" s="10" t="s">
        <v>1336</v>
      </c>
      <c r="D1593" s="10" t="s">
        <v>406</v>
      </c>
      <c r="E1593" s="11" t="str">
        <f t="array" ref="E1593">_xlfn.XLOOKUP(D1593,Insumos!B:B,Insumos!C:$C)</f>
        <v>M2</v>
      </c>
      <c r="F1593" s="14">
        <v>1</v>
      </c>
      <c r="G1593" s="87">
        <f t="array" ref="G1593">IF(B1593="insumo",_xlfn.XLOOKUP($D1593,Insumos!$B$1:$B$996,Insumos!$D$1:$D$996),"")</f>
        <v>70</v>
      </c>
      <c r="H1593" s="87">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70</v>
      </c>
      <c r="C1594" s="10" t="s">
        <v>1336</v>
      </c>
      <c r="D1594" s="10" t="s">
        <v>407</v>
      </c>
      <c r="E1594" s="11" t="str">
        <f t="array" ref="E1594">_xlfn.XLOOKUP(D1594,Insumos!B:B,Insumos!C:$C)</f>
        <v>M2</v>
      </c>
      <c r="F1594" s="14">
        <v>1.1060000000000001</v>
      </c>
      <c r="G1594" s="87">
        <f t="array" ref="G1594">IF(B1594="insumo",_xlfn.XLOOKUP($D1594,Insumos!$B$1:$B$996,Insumos!$D$1:$D$996),"")</f>
        <v>20.16</v>
      </c>
      <c r="H1594" s="87">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70</v>
      </c>
      <c r="C1595" s="10" t="s">
        <v>1336</v>
      </c>
      <c r="D1595" s="10" t="s">
        <v>408</v>
      </c>
      <c r="E1595" s="11" t="str">
        <f t="array" ref="E1595">_xlfn.XLOOKUP(D1595,Insumos!B:B,Insumos!C:$C)</f>
        <v>UN</v>
      </c>
      <c r="F1595" s="14">
        <v>5.92</v>
      </c>
      <c r="G1595" s="87">
        <f t="array" ref="G1595">IF(B1595="insumo",_xlfn.XLOOKUP($D1595,Insumos!$B$1:$B$996,Insumos!$D$1:$D$996),"")</f>
        <v>0.504</v>
      </c>
      <c r="H1595" s="87">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70</v>
      </c>
      <c r="C1596" s="10" t="s">
        <v>1336</v>
      </c>
      <c r="D1596" s="10" t="s">
        <v>409</v>
      </c>
      <c r="E1596" s="11" t="str">
        <f t="array" ref="E1596">_xlfn.XLOOKUP(D1596,Insumos!B:B,Insumos!C:$C)</f>
        <v>M</v>
      </c>
      <c r="F1596" s="14">
        <v>1.8233999999999999</v>
      </c>
      <c r="G1596" s="87">
        <f t="array" ref="G1596">IF(B1596="insumo",_xlfn.XLOOKUP($D1596,Insumos!$B$1:$B$996,Insumos!$D$1:$D$996),"")</f>
        <v>7.03</v>
      </c>
      <c r="H1596" s="87">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70</v>
      </c>
      <c r="C1597" s="10" t="s">
        <v>1336</v>
      </c>
      <c r="D1597" s="10" t="s">
        <v>410</v>
      </c>
      <c r="E1597" s="11" t="str">
        <f t="array" ref="E1597">_xlfn.XLOOKUP(D1597,Insumos!B:B,Insumos!C:$C)</f>
        <v>M</v>
      </c>
      <c r="F1597" s="14">
        <v>5.8277999999999999</v>
      </c>
      <c r="G1597" s="87">
        <f t="array" ref="G1597">IF(B1597="insumo",_xlfn.XLOOKUP($D1597,Insumos!$B$1:$B$996,Insumos!$D$1:$D$996),"")</f>
        <v>7.98</v>
      </c>
      <c r="H1597" s="87">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70</v>
      </c>
      <c r="C1598" s="10" t="s">
        <v>1336</v>
      </c>
      <c r="D1598" s="10" t="s">
        <v>404</v>
      </c>
      <c r="E1598" s="11" t="str">
        <f t="array" ref="E1598">_xlfn.XLOOKUP(D1598,Insumos!B:B,Insumos!C:$C)</f>
        <v>KG</v>
      </c>
      <c r="F1598" s="14">
        <f>1.0978/2</f>
        <v>0.54890000000000005</v>
      </c>
      <c r="G1598" s="87">
        <f t="array" ref="G1598">IF(B1598="insumo",_xlfn.XLOOKUP($D1598,Insumos!$B$1:$B$996,Insumos!$D$1:$D$996),"")</f>
        <v>3.43</v>
      </c>
      <c r="H1598" s="87">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70</v>
      </c>
      <c r="C1599" s="10" t="s">
        <v>1336</v>
      </c>
      <c r="D1599" s="10" t="s">
        <v>411</v>
      </c>
      <c r="E1599" s="11" t="str">
        <f t="array" ref="E1599">_xlfn.XLOOKUP(D1599,Insumos!B:B,Insumos!C:$C)</f>
        <v>M</v>
      </c>
      <c r="F1599" s="14">
        <f>2.5027/2</f>
        <v>1.25135</v>
      </c>
      <c r="G1599" s="87">
        <f t="array" ref="G1599">IF(B1599="insumo",_xlfn.XLOOKUP($D1599,Insumos!$B$1:$B$996,Insumos!$D$1:$D$996),"")</f>
        <v>0.31</v>
      </c>
      <c r="H1599" s="87">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70</v>
      </c>
      <c r="C1600" s="10" t="s">
        <v>1336</v>
      </c>
      <c r="D1600" s="10" t="s">
        <v>412</v>
      </c>
      <c r="E1600" s="11" t="str">
        <f t="array" ref="E1600">_xlfn.XLOOKUP(D1600,Insumos!B:B,Insumos!C:$C)</f>
        <v>M</v>
      </c>
      <c r="F1600" s="14">
        <f>1.5851/2</f>
        <v>0.79254999999999998</v>
      </c>
      <c r="G1600" s="87">
        <f t="array" ref="G1600">IF(B1600="insumo",_xlfn.XLOOKUP($D1600,Insumos!$B$1:$B$996,Insumos!$D$1:$D$996),"")</f>
        <v>2.74</v>
      </c>
      <c r="H1600" s="87">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70</v>
      </c>
      <c r="C1601" s="10" t="s">
        <v>1336</v>
      </c>
      <c r="D1601" s="10" t="s">
        <v>413</v>
      </c>
      <c r="E1601" s="11" t="str">
        <f t="array" ref="E1601">_xlfn.XLOOKUP(D1601,Insumos!B:B,Insumos!C:$C)</f>
        <v>UN</v>
      </c>
      <c r="F1601" s="14">
        <f>20.1868/2</f>
        <v>10.093400000000001</v>
      </c>
      <c r="G1601" s="87">
        <f t="array" ref="G1601">IF(B1601="insumo",_xlfn.XLOOKUP($D1601,Insumos!$B$1:$B$996,Insumos!$D$1:$D$996),"")</f>
        <v>0.09</v>
      </c>
      <c r="H1601" s="87">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70</v>
      </c>
      <c r="C1602" s="10" t="s">
        <v>1336</v>
      </c>
      <c r="D1602" s="10" t="s">
        <v>414</v>
      </c>
      <c r="E1602" s="11" t="str">
        <f t="array" ref="E1602">_xlfn.XLOOKUP(D1602,Insumos!B:B,Insumos!C:$C)</f>
        <v>UN</v>
      </c>
      <c r="F1602" s="14">
        <v>0.54410000000000003</v>
      </c>
      <c r="G1602" s="87">
        <f t="array" ref="G1602">IF(B1602="insumo",_xlfn.XLOOKUP($D1602,Insumos!$B$1:$B$996,Insumos!$D$1:$D$996),"")</f>
        <v>0.2</v>
      </c>
      <c r="H1602" s="87">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332">
        <v>1</v>
      </c>
      <c r="B1603" s="332" t="s">
        <v>67</v>
      </c>
      <c r="C1603" s="332" t="s">
        <v>1345</v>
      </c>
      <c r="D1603" s="332" t="s">
        <v>1345</v>
      </c>
      <c r="E1603" s="333" t="s">
        <v>69</v>
      </c>
      <c r="F1603" s="332"/>
      <c r="G1603" s="334" t="str">
        <f t="array" ref="G1603">IF(B1603="insumo",_xlfn.XLOOKUP($D1603,Insumos!$B$1:$B$996,Insumos!$D$1:$D$996),"")</f>
        <v/>
      </c>
      <c r="H1603" s="334">
        <v>160.06444450000001</v>
      </c>
      <c r="I1603" s="335">
        <v>0</v>
      </c>
      <c r="J1603" s="335">
        <v>0</v>
      </c>
      <c r="K1603" s="335"/>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70</v>
      </c>
      <c r="C1604" s="10" t="s">
        <v>1345</v>
      </c>
      <c r="D1604" s="10" t="s">
        <v>406</v>
      </c>
      <c r="E1604" s="11" t="str">
        <f t="array" ref="E1604">_xlfn.XLOOKUP(D1604,Insumos!B:B,Insumos!C:$C)</f>
        <v>M2</v>
      </c>
      <c r="F1604" s="14">
        <v>1</v>
      </c>
      <c r="G1604" s="87">
        <f t="array" ref="G1604">IF(B1604="insumo",_xlfn.XLOOKUP($D1604,Insumos!$B$1:$B$996,Insumos!$D$1:$D$996),"")</f>
        <v>70</v>
      </c>
      <c r="H1604" s="87">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70</v>
      </c>
      <c r="C1605" s="10" t="s">
        <v>1345</v>
      </c>
      <c r="D1605" s="10" t="s">
        <v>407</v>
      </c>
      <c r="E1605" s="11" t="str">
        <f t="array" ref="E1605">_xlfn.XLOOKUP(D1605,Insumos!B:B,Insumos!C:$C)</f>
        <v>M2</v>
      </c>
      <c r="F1605" s="14">
        <v>1.1060000000000001</v>
      </c>
      <c r="G1605" s="87">
        <f t="array" ref="G1605">IF(B1605="insumo",_xlfn.XLOOKUP($D1605,Insumos!$B$1:$B$996,Insumos!$D$1:$D$996),"")</f>
        <v>20.16</v>
      </c>
      <c r="H1605" s="87">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70</v>
      </c>
      <c r="C1606" s="10" t="s">
        <v>1345</v>
      </c>
      <c r="D1606" s="10" t="s">
        <v>408</v>
      </c>
      <c r="E1606" s="11" t="str">
        <f t="array" ref="E1606">_xlfn.XLOOKUP(D1606,Insumos!B:B,Insumos!C:$C)</f>
        <v>UN</v>
      </c>
      <c r="F1606" s="14">
        <v>5.92</v>
      </c>
      <c r="G1606" s="87">
        <f t="array" ref="G1606">IF(B1606="insumo",_xlfn.XLOOKUP($D1606,Insumos!$B$1:$B$996,Insumos!$D$1:$D$996),"")</f>
        <v>0.504</v>
      </c>
      <c r="H1606" s="87">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70</v>
      </c>
      <c r="C1607" s="10" t="s">
        <v>1345</v>
      </c>
      <c r="D1607" s="10" t="s">
        <v>409</v>
      </c>
      <c r="E1607" s="11" t="str">
        <f t="array" ref="E1607">_xlfn.XLOOKUP(D1607,Insumos!B:B,Insumos!C:$C)</f>
        <v>M</v>
      </c>
      <c r="F1607" s="14">
        <v>1.8233999999999999</v>
      </c>
      <c r="G1607" s="87">
        <f t="array" ref="G1607">IF(B1607="insumo",_xlfn.XLOOKUP($D1607,Insumos!$B$1:$B$996,Insumos!$D$1:$D$996),"")</f>
        <v>7.03</v>
      </c>
      <c r="H1607" s="87">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70</v>
      </c>
      <c r="C1608" s="10" t="s">
        <v>1345</v>
      </c>
      <c r="D1608" s="10" t="s">
        <v>410</v>
      </c>
      <c r="E1608" s="11" t="str">
        <f t="array" ref="E1608">_xlfn.XLOOKUP(D1608,Insumos!B:B,Insumos!C:$C)</f>
        <v>M</v>
      </c>
      <c r="F1608" s="14">
        <v>5.8277999999999999</v>
      </c>
      <c r="G1608" s="87">
        <f t="array" ref="G1608">IF(B1608="insumo",_xlfn.XLOOKUP($D1608,Insumos!$B$1:$B$996,Insumos!$D$1:$D$996),"")</f>
        <v>7.98</v>
      </c>
      <c r="H1608" s="87">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70</v>
      </c>
      <c r="C1609" s="10" t="s">
        <v>1345</v>
      </c>
      <c r="D1609" s="10" t="s">
        <v>404</v>
      </c>
      <c r="E1609" s="11" t="str">
        <f t="array" ref="E1609">_xlfn.XLOOKUP(D1609,Insumos!B:B,Insumos!C:$C)</f>
        <v>KG</v>
      </c>
      <c r="F1609" s="14">
        <f>1.0978/2</f>
        <v>0.54890000000000005</v>
      </c>
      <c r="G1609" s="87">
        <f t="array" ref="G1609">IF(B1609="insumo",_xlfn.XLOOKUP($D1609,Insumos!$B$1:$B$996,Insumos!$D$1:$D$996),"")</f>
        <v>3.43</v>
      </c>
      <c r="H1609" s="87">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70</v>
      </c>
      <c r="C1610" s="10" t="s">
        <v>1345</v>
      </c>
      <c r="D1610" s="10" t="s">
        <v>411</v>
      </c>
      <c r="E1610" s="11" t="str">
        <f t="array" ref="E1610">_xlfn.XLOOKUP(D1610,Insumos!B:B,Insumos!C:$C)</f>
        <v>M</v>
      </c>
      <c r="F1610" s="14">
        <f>2.5027/2</f>
        <v>1.25135</v>
      </c>
      <c r="G1610" s="87">
        <f t="array" ref="G1610">IF(B1610="insumo",_xlfn.XLOOKUP($D1610,Insumos!$B$1:$B$996,Insumos!$D$1:$D$996),"")</f>
        <v>0.31</v>
      </c>
      <c r="H1610" s="87">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70</v>
      </c>
      <c r="C1611" s="10" t="s">
        <v>1345</v>
      </c>
      <c r="D1611" s="10" t="s">
        <v>412</v>
      </c>
      <c r="E1611" s="11" t="str">
        <f t="array" ref="E1611">_xlfn.XLOOKUP(D1611,Insumos!B:B,Insumos!C:$C)</f>
        <v>M</v>
      </c>
      <c r="F1611" s="14">
        <f>1.5851/2</f>
        <v>0.79254999999999998</v>
      </c>
      <c r="G1611" s="87">
        <f t="array" ref="G1611">IF(B1611="insumo",_xlfn.XLOOKUP($D1611,Insumos!$B$1:$B$996,Insumos!$D$1:$D$996),"")</f>
        <v>2.74</v>
      </c>
      <c r="H1611" s="87">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70</v>
      </c>
      <c r="C1612" s="10" t="s">
        <v>1345</v>
      </c>
      <c r="D1612" s="10" t="s">
        <v>413</v>
      </c>
      <c r="E1612" s="11" t="str">
        <f t="array" ref="E1612">_xlfn.XLOOKUP(D1612,Insumos!B:B,Insumos!C:$C)</f>
        <v>UN</v>
      </c>
      <c r="F1612" s="14">
        <f>20.1868/2</f>
        <v>10.093400000000001</v>
      </c>
      <c r="G1612" s="87">
        <f t="array" ref="G1612">IF(B1612="insumo",_xlfn.XLOOKUP($D1612,Insumos!$B$1:$B$996,Insumos!$D$1:$D$996),"")</f>
        <v>0.09</v>
      </c>
      <c r="H1612" s="87">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70</v>
      </c>
      <c r="C1613" s="10" t="s">
        <v>1345</v>
      </c>
      <c r="D1613" s="10" t="s">
        <v>414</v>
      </c>
      <c r="E1613" s="11" t="str">
        <f t="array" ref="E1613">_xlfn.XLOOKUP(D1613,Insumos!B:B,Insumos!C:$C)</f>
        <v>UN</v>
      </c>
      <c r="F1613" s="14">
        <v>0.54410000000000003</v>
      </c>
      <c r="G1613" s="87">
        <f t="array" ref="G1613">IF(B1613="insumo",_xlfn.XLOOKUP($D1613,Insumos!$B$1:$B$996,Insumos!$D$1:$D$996),"")</f>
        <v>0.2</v>
      </c>
      <c r="H1613" s="87">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332">
        <v>1</v>
      </c>
      <c r="B1614" s="332" t="s">
        <v>67</v>
      </c>
      <c r="C1614" s="332" t="s">
        <v>1347</v>
      </c>
      <c r="D1614" s="332" t="s">
        <v>1347</v>
      </c>
      <c r="E1614" s="333" t="s">
        <v>69</v>
      </c>
      <c r="F1614" s="332"/>
      <c r="G1614" s="334" t="str">
        <f t="array" ref="G1614">IF(B1614="insumo",_xlfn.XLOOKUP($D1614,Insumos!$B$1:$B$996,Insumos!$D$1:$D$996),"")</f>
        <v/>
      </c>
      <c r="H1614" s="334">
        <v>174.38571116666699</v>
      </c>
      <c r="I1614" s="335">
        <v>0</v>
      </c>
      <c r="J1614" s="335">
        <v>0</v>
      </c>
      <c r="K1614" s="335"/>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70</v>
      </c>
      <c r="C1615" s="10" t="s">
        <v>1347</v>
      </c>
      <c r="D1615" s="10" t="s">
        <v>406</v>
      </c>
      <c r="E1615" s="11" t="str">
        <f t="array" ref="E1615">_xlfn.XLOOKUP(D1615,Insumos!B:B,Insumos!C:$C)</f>
        <v>M2</v>
      </c>
      <c r="F1615" s="14">
        <v>1</v>
      </c>
      <c r="G1615" s="87">
        <f t="array" ref="G1615">IF(B1615="insumo",_xlfn.XLOOKUP($D1615,Insumos!$B$1:$B$996,Insumos!$D$1:$D$996),"")</f>
        <v>70</v>
      </c>
      <c r="H1615" s="87">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70</v>
      </c>
      <c r="C1616" s="10" t="s">
        <v>1347</v>
      </c>
      <c r="D1616" s="10" t="s">
        <v>407</v>
      </c>
      <c r="E1616" s="11" t="str">
        <f t="array" ref="E1616">_xlfn.XLOOKUP(D1616,Insumos!B:B,Insumos!C:$C)</f>
        <v>M2</v>
      </c>
      <c r="F1616" s="14">
        <v>1.1060000000000001</v>
      </c>
      <c r="G1616" s="87">
        <f t="array" ref="G1616">IF(B1616="insumo",_xlfn.XLOOKUP($D1616,Insumos!$B$1:$B$996,Insumos!$D$1:$D$996),"")</f>
        <v>20.16</v>
      </c>
      <c r="H1616" s="87">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70</v>
      </c>
      <c r="C1617" s="10" t="s">
        <v>1347</v>
      </c>
      <c r="D1617" s="10" t="s">
        <v>408</v>
      </c>
      <c r="E1617" s="11" t="str">
        <f t="array" ref="E1617">_xlfn.XLOOKUP(D1617,Insumos!B:B,Insumos!C:$C)</f>
        <v>UN</v>
      </c>
      <c r="F1617" s="14">
        <v>5.92</v>
      </c>
      <c r="G1617" s="87">
        <f t="array" ref="G1617">IF(B1617="insumo",_xlfn.XLOOKUP($D1617,Insumos!$B$1:$B$996,Insumos!$D$1:$D$996),"")</f>
        <v>0.504</v>
      </c>
      <c r="H1617" s="87">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70</v>
      </c>
      <c r="C1618" s="10" t="s">
        <v>1347</v>
      </c>
      <c r="D1618" s="10" t="s">
        <v>409</v>
      </c>
      <c r="E1618" s="11" t="str">
        <f t="array" ref="E1618">_xlfn.XLOOKUP(D1618,Insumos!B:B,Insumos!C:$C)</f>
        <v>M</v>
      </c>
      <c r="F1618" s="14">
        <v>1.8233999999999999</v>
      </c>
      <c r="G1618" s="87">
        <f t="array" ref="G1618">IF(B1618="insumo",_xlfn.XLOOKUP($D1618,Insumos!$B$1:$B$996,Insumos!$D$1:$D$996),"")</f>
        <v>7.03</v>
      </c>
      <c r="H1618" s="87">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70</v>
      </c>
      <c r="C1619" s="10" t="s">
        <v>1347</v>
      </c>
      <c r="D1619" s="10" t="s">
        <v>410</v>
      </c>
      <c r="E1619" s="11" t="str">
        <f t="array" ref="E1619">_xlfn.XLOOKUP(D1619,Insumos!B:B,Insumos!C:$C)</f>
        <v>M</v>
      </c>
      <c r="F1619" s="14">
        <v>5.8277999999999999</v>
      </c>
      <c r="G1619" s="87">
        <f t="array" ref="G1619">IF(B1619="insumo",_xlfn.XLOOKUP($D1619,Insumos!$B$1:$B$996,Insumos!$D$1:$D$996),"")</f>
        <v>7.98</v>
      </c>
      <c r="H1619" s="87">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70</v>
      </c>
      <c r="C1620" s="10" t="s">
        <v>1347</v>
      </c>
      <c r="D1620" s="10" t="s">
        <v>404</v>
      </c>
      <c r="E1620" s="11" t="str">
        <f t="array" ref="E1620">_xlfn.XLOOKUP(D1620,Insumos!B:B,Insumos!C:$C)</f>
        <v>KG</v>
      </c>
      <c r="F1620" s="14">
        <f>1.0978/2</f>
        <v>0.54890000000000005</v>
      </c>
      <c r="G1620" s="87">
        <f t="array" ref="G1620">IF(B1620="insumo",_xlfn.XLOOKUP($D1620,Insumos!$B$1:$B$996,Insumos!$D$1:$D$996),"")</f>
        <v>3.43</v>
      </c>
      <c r="H1620" s="87">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70</v>
      </c>
      <c r="C1621" s="10" t="s">
        <v>1347</v>
      </c>
      <c r="D1621" s="10" t="s">
        <v>411</v>
      </c>
      <c r="E1621" s="11" t="str">
        <f t="array" ref="E1621">_xlfn.XLOOKUP(D1621,Insumos!B:B,Insumos!C:$C)</f>
        <v>M</v>
      </c>
      <c r="F1621" s="14">
        <f>2.5027/2</f>
        <v>1.25135</v>
      </c>
      <c r="G1621" s="87">
        <f t="array" ref="G1621">IF(B1621="insumo",_xlfn.XLOOKUP($D1621,Insumos!$B$1:$B$996,Insumos!$D$1:$D$996),"")</f>
        <v>0.31</v>
      </c>
      <c r="H1621" s="87">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70</v>
      </c>
      <c r="C1622" s="10" t="s">
        <v>1347</v>
      </c>
      <c r="D1622" s="10" t="s">
        <v>412</v>
      </c>
      <c r="E1622" s="11" t="str">
        <f t="array" ref="E1622">_xlfn.XLOOKUP(D1622,Insumos!B:B,Insumos!C:$C)</f>
        <v>M</v>
      </c>
      <c r="F1622" s="14">
        <f>1.5851/2</f>
        <v>0.79254999999999998</v>
      </c>
      <c r="G1622" s="87">
        <f t="array" ref="G1622">IF(B1622="insumo",_xlfn.XLOOKUP($D1622,Insumos!$B$1:$B$996,Insumos!$D$1:$D$996),"")</f>
        <v>2.74</v>
      </c>
      <c r="H1622" s="87">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70</v>
      </c>
      <c r="C1623" s="10" t="s">
        <v>1347</v>
      </c>
      <c r="D1623" s="10" t="s">
        <v>413</v>
      </c>
      <c r="E1623" s="11" t="str">
        <f t="array" ref="E1623">_xlfn.XLOOKUP(D1623,Insumos!B:B,Insumos!C:$C)</f>
        <v>UN</v>
      </c>
      <c r="F1623" s="14">
        <f>20.1868/2</f>
        <v>10.093400000000001</v>
      </c>
      <c r="G1623" s="87">
        <f t="array" ref="G1623">IF(B1623="insumo",_xlfn.XLOOKUP($D1623,Insumos!$B$1:$B$996,Insumos!$D$1:$D$996),"")</f>
        <v>0.09</v>
      </c>
      <c r="H1623" s="87">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70</v>
      </c>
      <c r="C1624" s="10" t="s">
        <v>1347</v>
      </c>
      <c r="D1624" s="10" t="s">
        <v>414</v>
      </c>
      <c r="E1624" s="11" t="str">
        <f t="array" ref="E1624">_xlfn.XLOOKUP(D1624,Insumos!B:B,Insumos!C:$C)</f>
        <v>UN</v>
      </c>
      <c r="F1624" s="14">
        <v>0.54410000000000003</v>
      </c>
      <c r="G1624" s="87">
        <f t="array" ref="G1624">IF(B1624="insumo",_xlfn.XLOOKUP($D1624,Insumos!$B$1:$B$996,Insumos!$D$1:$D$996),"")</f>
        <v>0.2</v>
      </c>
      <c r="H1624" s="87">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70</v>
      </c>
      <c r="C1625" s="10" t="s">
        <v>1347</v>
      </c>
      <c r="D1625" s="10" t="s">
        <v>1576</v>
      </c>
      <c r="E1625" s="11" t="str">
        <f t="array" ref="E1625">_xlfn.XLOOKUP(D1625,Insumos!B:B,Insumos!C:$C)</f>
        <v>M2</v>
      </c>
      <c r="F1625" s="14">
        <v>1.1000000000000001</v>
      </c>
      <c r="G1625" s="87">
        <f t="array" ref="G1625">IF(B1625="insumo",_xlfn.XLOOKUP($D1625,Insumos!$B$1:$B$996,Insumos!$D$1:$D$996),"")</f>
        <v>13.019333333333332</v>
      </c>
      <c r="H1625" s="87">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332">
        <v>1</v>
      </c>
      <c r="B1626" s="332" t="s">
        <v>67</v>
      </c>
      <c r="C1626" s="332" t="s">
        <v>1351</v>
      </c>
      <c r="D1626" s="332" t="s">
        <v>1351</v>
      </c>
      <c r="E1626" s="333" t="s">
        <v>69</v>
      </c>
      <c r="F1626" s="332"/>
      <c r="G1626" s="334" t="str">
        <f t="array" ref="G1626">IF(B1626="insumo",_xlfn.XLOOKUP($D1626,Insumos!$B$1:$B$996,Insumos!$D$1:$D$996),"")</f>
        <v/>
      </c>
      <c r="H1626" s="334">
        <v>182.06135116666701</v>
      </c>
      <c r="I1626" s="335">
        <v>0</v>
      </c>
      <c r="J1626" s="335">
        <v>0</v>
      </c>
      <c r="K1626" s="335"/>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70</v>
      </c>
      <c r="C1627" s="10" t="s">
        <v>1351</v>
      </c>
      <c r="D1627" s="10" t="s">
        <v>406</v>
      </c>
      <c r="E1627" s="11" t="str">
        <f t="array" ref="E1627">_xlfn.XLOOKUP(D1627,Insumos!B:B,Insumos!C:$C)</f>
        <v>M2</v>
      </c>
      <c r="F1627" s="14">
        <v>1</v>
      </c>
      <c r="G1627" s="87">
        <f t="array" ref="G1627">IF(B1627="insumo",_xlfn.XLOOKUP($D1627,Insumos!$B$1:$B$996,Insumos!$D$1:$D$996),"")</f>
        <v>70</v>
      </c>
      <c r="H1627" s="87">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70</v>
      </c>
      <c r="C1628" s="10" t="s">
        <v>1351</v>
      </c>
      <c r="D1628" s="10" t="s">
        <v>417</v>
      </c>
      <c r="E1628" s="11" t="str">
        <f t="array" ref="E1628">_xlfn.XLOOKUP(D1628,Insumos!B:B,Insumos!C:$C)</f>
        <v>M2</v>
      </c>
      <c r="F1628" s="14">
        <v>1.1060000000000001</v>
      </c>
      <c r="G1628" s="87">
        <f t="array" ref="G1628">IF(B1628="insumo",_xlfn.XLOOKUP($D1628,Insumos!$B$1:$B$996,Insumos!$D$1:$D$996),"")</f>
        <v>27.1</v>
      </c>
      <c r="H1628" s="87">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70</v>
      </c>
      <c r="C1629" s="10" t="s">
        <v>1351</v>
      </c>
      <c r="D1629" s="10" t="s">
        <v>408</v>
      </c>
      <c r="E1629" s="11" t="str">
        <f t="array" ref="E1629">_xlfn.XLOOKUP(D1629,Insumos!B:B,Insumos!C:$C)</f>
        <v>UN</v>
      </c>
      <c r="F1629" s="14">
        <v>5.92</v>
      </c>
      <c r="G1629" s="87">
        <f t="array" ref="G1629">IF(B1629="insumo",_xlfn.XLOOKUP($D1629,Insumos!$B$1:$B$996,Insumos!$D$1:$D$996),"")</f>
        <v>0.504</v>
      </c>
      <c r="H1629" s="87">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70</v>
      </c>
      <c r="C1630" s="10" t="s">
        <v>1351</v>
      </c>
      <c r="D1630" s="10" t="s">
        <v>409</v>
      </c>
      <c r="E1630" s="11" t="str">
        <f t="array" ref="E1630">_xlfn.XLOOKUP(D1630,Insumos!B:B,Insumos!C:$C)</f>
        <v>M</v>
      </c>
      <c r="F1630" s="14">
        <v>1.8233999999999999</v>
      </c>
      <c r="G1630" s="87">
        <f t="array" ref="G1630">IF(B1630="insumo",_xlfn.XLOOKUP($D1630,Insumos!$B$1:$B$996,Insumos!$D$1:$D$996),"")</f>
        <v>7.03</v>
      </c>
      <c r="H1630" s="87">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70</v>
      </c>
      <c r="C1631" s="10" t="s">
        <v>1351</v>
      </c>
      <c r="D1631" s="10" t="s">
        <v>410</v>
      </c>
      <c r="E1631" s="11" t="str">
        <f t="array" ref="E1631">_xlfn.XLOOKUP(D1631,Insumos!B:B,Insumos!C:$C)</f>
        <v>M</v>
      </c>
      <c r="F1631" s="14">
        <v>5.8277999999999999</v>
      </c>
      <c r="G1631" s="87">
        <f t="array" ref="G1631">IF(B1631="insumo",_xlfn.XLOOKUP($D1631,Insumos!$B$1:$B$996,Insumos!$D$1:$D$996),"")</f>
        <v>7.98</v>
      </c>
      <c r="H1631" s="87">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70</v>
      </c>
      <c r="C1632" s="10" t="s">
        <v>1351</v>
      </c>
      <c r="D1632" s="10" t="s">
        <v>404</v>
      </c>
      <c r="E1632" s="11" t="str">
        <f t="array" ref="E1632">_xlfn.XLOOKUP(D1632,Insumos!B:B,Insumos!C:$C)</f>
        <v>KG</v>
      </c>
      <c r="F1632" s="14">
        <f>1.0978/2</f>
        <v>0.54890000000000005</v>
      </c>
      <c r="G1632" s="87">
        <f t="array" ref="G1632">IF(B1632="insumo",_xlfn.XLOOKUP($D1632,Insumos!$B$1:$B$996,Insumos!$D$1:$D$996),"")</f>
        <v>3.43</v>
      </c>
      <c r="H1632" s="87">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70</v>
      </c>
      <c r="C1633" s="10" t="s">
        <v>1351</v>
      </c>
      <c r="D1633" s="10" t="s">
        <v>411</v>
      </c>
      <c r="E1633" s="11" t="str">
        <f t="array" ref="E1633">_xlfn.XLOOKUP(D1633,Insumos!B:B,Insumos!C:$C)</f>
        <v>M</v>
      </c>
      <c r="F1633" s="14">
        <f>2.5027/2</f>
        <v>1.25135</v>
      </c>
      <c r="G1633" s="87">
        <f t="array" ref="G1633">IF(B1633="insumo",_xlfn.XLOOKUP($D1633,Insumos!$B$1:$B$996,Insumos!$D$1:$D$996),"")</f>
        <v>0.31</v>
      </c>
      <c r="H1633" s="87">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70</v>
      </c>
      <c r="C1634" s="10" t="s">
        <v>1351</v>
      </c>
      <c r="D1634" s="10" t="s">
        <v>412</v>
      </c>
      <c r="E1634" s="11" t="str">
        <f t="array" ref="E1634">_xlfn.XLOOKUP(D1634,Insumos!B:B,Insumos!C:$C)</f>
        <v>M</v>
      </c>
      <c r="F1634" s="14">
        <f>1.5851/2</f>
        <v>0.79254999999999998</v>
      </c>
      <c r="G1634" s="87">
        <f t="array" ref="G1634">IF(B1634="insumo",_xlfn.XLOOKUP($D1634,Insumos!$B$1:$B$996,Insumos!$D$1:$D$996),"")</f>
        <v>2.74</v>
      </c>
      <c r="H1634" s="87">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70</v>
      </c>
      <c r="C1635" s="10" t="s">
        <v>1351</v>
      </c>
      <c r="D1635" s="10" t="s">
        <v>413</v>
      </c>
      <c r="E1635" s="11" t="str">
        <f t="array" ref="E1635">_xlfn.XLOOKUP(D1635,Insumos!B:B,Insumos!C:$C)</f>
        <v>UN</v>
      </c>
      <c r="F1635" s="14">
        <f>20.1868/2</f>
        <v>10.093400000000001</v>
      </c>
      <c r="G1635" s="87">
        <f t="array" ref="G1635">IF(B1635="insumo",_xlfn.XLOOKUP($D1635,Insumos!$B$1:$B$996,Insumos!$D$1:$D$996),"")</f>
        <v>0.09</v>
      </c>
      <c r="H1635" s="87">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70</v>
      </c>
      <c r="C1636" s="10" t="s">
        <v>1351</v>
      </c>
      <c r="D1636" s="10" t="s">
        <v>414</v>
      </c>
      <c r="E1636" s="11" t="str">
        <f t="array" ref="E1636">_xlfn.XLOOKUP(D1636,Insumos!B:B,Insumos!C:$C)</f>
        <v>UN</v>
      </c>
      <c r="F1636" s="14">
        <v>0.54410000000000003</v>
      </c>
      <c r="G1636" s="87">
        <f t="array" ref="G1636">IF(B1636="insumo",_xlfn.XLOOKUP($D1636,Insumos!$B$1:$B$996,Insumos!$D$1:$D$996),"")</f>
        <v>0.2</v>
      </c>
      <c r="H1636" s="87">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70</v>
      </c>
      <c r="C1637" s="10" t="s">
        <v>1351</v>
      </c>
      <c r="D1637" s="10" t="s">
        <v>1576</v>
      </c>
      <c r="E1637" s="11" t="str">
        <f t="array" ref="E1637">_xlfn.XLOOKUP(D1637,Insumos!B:B,Insumos!C:$C)</f>
        <v>M2</v>
      </c>
      <c r="F1637" s="14">
        <v>1.1000000000000001</v>
      </c>
      <c r="G1637" s="87">
        <f t="array" ref="G1637">IF(B1637="insumo",_xlfn.XLOOKUP($D1637,Insumos!$B$1:$B$996,Insumos!$D$1:$D$996),"")</f>
        <v>13.019333333333332</v>
      </c>
      <c r="H1637" s="87">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332">
        <v>1</v>
      </c>
      <c r="B1638" s="332" t="s">
        <v>67</v>
      </c>
      <c r="C1638" s="332" t="s">
        <v>1360</v>
      </c>
      <c r="D1638" s="332" t="s">
        <v>1360</v>
      </c>
      <c r="E1638" s="333" t="s">
        <v>69</v>
      </c>
      <c r="F1638" s="332"/>
      <c r="G1638" s="334" t="str">
        <f t="array" ref="G1638">IF(B1638="insumo",_xlfn.XLOOKUP($D1638,Insumos!$B$1:$B$996,Insumos!$D$1:$D$996),"")</f>
        <v/>
      </c>
      <c r="H1638" s="334">
        <v>174.38571116666699</v>
      </c>
      <c r="I1638" s="335">
        <v>0</v>
      </c>
      <c r="J1638" s="335">
        <v>0</v>
      </c>
      <c r="K1638" s="335"/>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70</v>
      </c>
      <c r="C1639" s="10" t="s">
        <v>1360</v>
      </c>
      <c r="D1639" s="10" t="s">
        <v>406</v>
      </c>
      <c r="E1639" s="11" t="str">
        <f t="array" ref="E1639">_xlfn.XLOOKUP(D1639,Insumos!B:B,Insumos!C:$C)</f>
        <v>M2</v>
      </c>
      <c r="F1639" s="14">
        <v>1</v>
      </c>
      <c r="G1639" s="87">
        <f t="array" ref="G1639">IF(B1639="insumo",_xlfn.XLOOKUP($D1639,Insumos!$B$1:$B$996,Insumos!$D$1:$D$996),"")</f>
        <v>70</v>
      </c>
      <c r="H1639" s="87">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70</v>
      </c>
      <c r="C1640" s="10" t="s">
        <v>1360</v>
      </c>
      <c r="D1640" s="10" t="s">
        <v>407</v>
      </c>
      <c r="E1640" s="11" t="str">
        <f t="array" ref="E1640">_xlfn.XLOOKUP(D1640,Insumos!B:B,Insumos!C:$C)</f>
        <v>M2</v>
      </c>
      <c r="F1640" s="14">
        <v>1.1060000000000001</v>
      </c>
      <c r="G1640" s="87">
        <f t="array" ref="G1640">IF(B1640="insumo",_xlfn.XLOOKUP($D1640,Insumos!$B$1:$B$996,Insumos!$D$1:$D$996),"")</f>
        <v>20.16</v>
      </c>
      <c r="H1640" s="87">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70</v>
      </c>
      <c r="C1641" s="10" t="s">
        <v>1360</v>
      </c>
      <c r="D1641" s="10" t="s">
        <v>408</v>
      </c>
      <c r="E1641" s="11" t="str">
        <f t="array" ref="E1641">_xlfn.XLOOKUP(D1641,Insumos!B:B,Insumos!C:$C)</f>
        <v>UN</v>
      </c>
      <c r="F1641" s="14">
        <v>5.92</v>
      </c>
      <c r="G1641" s="87">
        <f t="array" ref="G1641">IF(B1641="insumo",_xlfn.XLOOKUP($D1641,Insumos!$B$1:$B$996,Insumos!$D$1:$D$996),"")</f>
        <v>0.504</v>
      </c>
      <c r="H1641" s="87">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70</v>
      </c>
      <c r="C1642" s="10" t="s">
        <v>1360</v>
      </c>
      <c r="D1642" s="10" t="s">
        <v>409</v>
      </c>
      <c r="E1642" s="11" t="str">
        <f t="array" ref="E1642">_xlfn.XLOOKUP(D1642,Insumos!B:B,Insumos!C:$C)</f>
        <v>M</v>
      </c>
      <c r="F1642" s="14">
        <v>1.8233999999999999</v>
      </c>
      <c r="G1642" s="87">
        <f t="array" ref="G1642">IF(B1642="insumo",_xlfn.XLOOKUP($D1642,Insumos!$B$1:$B$996,Insumos!$D$1:$D$996),"")</f>
        <v>7.03</v>
      </c>
      <c r="H1642" s="87">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70</v>
      </c>
      <c r="C1643" s="10" t="s">
        <v>1360</v>
      </c>
      <c r="D1643" s="10" t="s">
        <v>410</v>
      </c>
      <c r="E1643" s="11" t="str">
        <f t="array" ref="E1643">_xlfn.XLOOKUP(D1643,Insumos!B:B,Insumos!C:$C)</f>
        <v>M</v>
      </c>
      <c r="F1643" s="14">
        <v>5.8277999999999999</v>
      </c>
      <c r="G1643" s="87">
        <f t="array" ref="G1643">IF(B1643="insumo",_xlfn.XLOOKUP($D1643,Insumos!$B$1:$B$996,Insumos!$D$1:$D$996),"")</f>
        <v>7.98</v>
      </c>
      <c r="H1643" s="87">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70</v>
      </c>
      <c r="C1644" s="10" t="s">
        <v>1360</v>
      </c>
      <c r="D1644" s="10" t="s">
        <v>404</v>
      </c>
      <c r="E1644" s="11" t="str">
        <f t="array" ref="E1644">_xlfn.XLOOKUP(D1644,Insumos!B:B,Insumos!C:$C)</f>
        <v>KG</v>
      </c>
      <c r="F1644" s="14">
        <f>1.0978/2</f>
        <v>0.54890000000000005</v>
      </c>
      <c r="G1644" s="87">
        <f t="array" ref="G1644">IF(B1644="insumo",_xlfn.XLOOKUP($D1644,Insumos!$B$1:$B$996,Insumos!$D$1:$D$996),"")</f>
        <v>3.43</v>
      </c>
      <c r="H1644" s="87">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70</v>
      </c>
      <c r="C1645" s="10" t="s">
        <v>1360</v>
      </c>
      <c r="D1645" s="10" t="s">
        <v>411</v>
      </c>
      <c r="E1645" s="11" t="str">
        <f t="array" ref="E1645">_xlfn.XLOOKUP(D1645,Insumos!B:B,Insumos!C:$C)</f>
        <v>M</v>
      </c>
      <c r="F1645" s="14">
        <f>2.5027/2</f>
        <v>1.25135</v>
      </c>
      <c r="G1645" s="87">
        <f t="array" ref="G1645">IF(B1645="insumo",_xlfn.XLOOKUP($D1645,Insumos!$B$1:$B$996,Insumos!$D$1:$D$996),"")</f>
        <v>0.31</v>
      </c>
      <c r="H1645" s="87">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70</v>
      </c>
      <c r="C1646" s="10" t="s">
        <v>1360</v>
      </c>
      <c r="D1646" s="10" t="s">
        <v>412</v>
      </c>
      <c r="E1646" s="11" t="str">
        <f t="array" ref="E1646">_xlfn.XLOOKUP(D1646,Insumos!B:B,Insumos!C:$C)</f>
        <v>M</v>
      </c>
      <c r="F1646" s="14">
        <f>1.5851/2</f>
        <v>0.79254999999999998</v>
      </c>
      <c r="G1646" s="87">
        <f t="array" ref="G1646">IF(B1646="insumo",_xlfn.XLOOKUP($D1646,Insumos!$B$1:$B$996,Insumos!$D$1:$D$996),"")</f>
        <v>2.74</v>
      </c>
      <c r="H1646" s="87">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70</v>
      </c>
      <c r="C1647" s="10" t="s">
        <v>1360</v>
      </c>
      <c r="D1647" s="10" t="s">
        <v>413</v>
      </c>
      <c r="E1647" s="11" t="str">
        <f t="array" ref="E1647">_xlfn.XLOOKUP(D1647,Insumos!B:B,Insumos!C:$C)</f>
        <v>UN</v>
      </c>
      <c r="F1647" s="14">
        <f>20.1868/2</f>
        <v>10.093400000000001</v>
      </c>
      <c r="G1647" s="87">
        <f t="array" ref="G1647">IF(B1647="insumo",_xlfn.XLOOKUP($D1647,Insumos!$B$1:$B$996,Insumos!$D$1:$D$996),"")</f>
        <v>0.09</v>
      </c>
      <c r="H1647" s="87">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70</v>
      </c>
      <c r="C1648" s="10" t="s">
        <v>1360</v>
      </c>
      <c r="D1648" s="10" t="s">
        <v>414</v>
      </c>
      <c r="E1648" s="11" t="str">
        <f t="array" ref="E1648">_xlfn.XLOOKUP(D1648,Insumos!B:B,Insumos!C:$C)</f>
        <v>UN</v>
      </c>
      <c r="F1648" s="14">
        <v>0.54410000000000003</v>
      </c>
      <c r="G1648" s="87">
        <f t="array" ref="G1648">IF(B1648="insumo",_xlfn.XLOOKUP($D1648,Insumos!$B$1:$B$996,Insumos!$D$1:$D$996),"")</f>
        <v>0.2</v>
      </c>
      <c r="H1648" s="87">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70</v>
      </c>
      <c r="C1649" s="10" t="s">
        <v>1360</v>
      </c>
      <c r="D1649" s="10" t="s">
        <v>1576</v>
      </c>
      <c r="E1649" s="11" t="str">
        <f t="array" ref="E1649">_xlfn.XLOOKUP(D1649,Insumos!B:B,Insumos!C:$C)</f>
        <v>M2</v>
      </c>
      <c r="F1649" s="14">
        <v>1.1000000000000001</v>
      </c>
      <c r="G1649" s="87">
        <f t="array" ref="G1649">IF(B1649="insumo",_xlfn.XLOOKUP($D1649,Insumos!$B$1:$B$996,Insumos!$D$1:$D$996),"")</f>
        <v>13.019333333333332</v>
      </c>
      <c r="H1649" s="87">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332">
        <v>1</v>
      </c>
      <c r="B1650" s="332" t="s">
        <v>67</v>
      </c>
      <c r="C1650" s="332" t="s">
        <v>421</v>
      </c>
      <c r="D1650" s="332" t="s">
        <v>421</v>
      </c>
      <c r="E1650" s="333" t="s">
        <v>69</v>
      </c>
      <c r="F1650" s="332"/>
      <c r="G1650" s="334" t="str">
        <f t="array" ref="G1650">IF(B1650="insumo",_xlfn.XLOOKUP($D1650,Insumos!$B$1:$B$996,Insumos!$D$1:$D$996),"")</f>
        <v/>
      </c>
      <c r="H1650" s="334">
        <v>200.680411666667</v>
      </c>
      <c r="I1650" s="335">
        <v>0</v>
      </c>
      <c r="J1650" s="335">
        <v>0</v>
      </c>
      <c r="K1650" s="335"/>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70</v>
      </c>
      <c r="C1651" s="10" t="s">
        <v>421</v>
      </c>
      <c r="D1651" s="10" t="s">
        <v>406</v>
      </c>
      <c r="E1651" s="11" t="str">
        <f t="array" ref="E1651">_xlfn.XLOOKUP(D1651,Insumos!B:B,Insumos!C:$C)</f>
        <v>M2</v>
      </c>
      <c r="F1651" s="14">
        <v>1</v>
      </c>
      <c r="G1651" s="87">
        <f t="array" ref="G1651">IF(B1651="insumo",_xlfn.XLOOKUP($D1651,Insumos!$B$1:$B$996,Insumos!$D$1:$D$996),"")</f>
        <v>70</v>
      </c>
      <c r="H1651" s="87">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70</v>
      </c>
      <c r="C1652" s="10" t="s">
        <v>421</v>
      </c>
      <c r="D1652" s="10" t="s">
        <v>407</v>
      </c>
      <c r="E1652" s="11" t="str">
        <f t="array" ref="E1652">_xlfn.XLOOKUP(D1652,Insumos!B:B,Insumos!C:$C)</f>
        <v>M2</v>
      </c>
      <c r="F1652" s="14">
        <v>2.1059999999999999</v>
      </c>
      <c r="G1652" s="87">
        <f t="array" ref="G1652">IF(B1652="insumo",_xlfn.XLOOKUP($D1652,Insumos!$B$1:$B$996,Insumos!$D$1:$D$996),"")</f>
        <v>20.16</v>
      </c>
      <c r="H1652" s="87">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70</v>
      </c>
      <c r="C1653" s="10" t="s">
        <v>421</v>
      </c>
      <c r="D1653" s="10" t="s">
        <v>408</v>
      </c>
      <c r="E1653" s="11" t="str">
        <f t="array" ref="E1653">_xlfn.XLOOKUP(D1653,Insumos!B:B,Insumos!C:$C)</f>
        <v>UN</v>
      </c>
      <c r="F1653" s="14">
        <v>5.92</v>
      </c>
      <c r="G1653" s="87">
        <f t="array" ref="G1653">IF(B1653="insumo",_xlfn.XLOOKUP($D1653,Insumos!$B$1:$B$996,Insumos!$D$1:$D$996),"")</f>
        <v>0.504</v>
      </c>
      <c r="H1653" s="87">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70</v>
      </c>
      <c r="C1654" s="10" t="s">
        <v>421</v>
      </c>
      <c r="D1654" s="10" t="s">
        <v>422</v>
      </c>
      <c r="E1654" s="11" t="str">
        <f t="array" ref="E1654">_xlfn.XLOOKUP(D1654,Insumos!B:B,Insumos!C:$C)</f>
        <v>M</v>
      </c>
      <c r="F1654" s="14">
        <v>1.8233999999999999</v>
      </c>
      <c r="G1654" s="87">
        <f t="array" ref="G1654">IF(B1654="insumo",_xlfn.XLOOKUP($D1654,Insumos!$B$1:$B$996,Insumos!$D$1:$D$996),"")</f>
        <v>7.46</v>
      </c>
      <c r="H1654" s="87">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70</v>
      </c>
      <c r="C1655" s="10" t="s">
        <v>421</v>
      </c>
      <c r="D1655" s="10" t="s">
        <v>423</v>
      </c>
      <c r="E1655" s="11" t="str">
        <f t="array" ref="E1655">_xlfn.XLOOKUP(D1655,Insumos!B:B,Insumos!C:$C)</f>
        <v>M</v>
      </c>
      <c r="F1655" s="14">
        <v>5.8277999999999999</v>
      </c>
      <c r="G1655" s="87">
        <f t="array" ref="G1655">IF(B1655="insumo",_xlfn.XLOOKUP($D1655,Insumos!$B$1:$B$996,Insumos!$D$1:$D$996),"")</f>
        <v>7.98</v>
      </c>
      <c r="H1655" s="87">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70</v>
      </c>
      <c r="C1656" s="10" t="s">
        <v>421</v>
      </c>
      <c r="D1656" s="10" t="s">
        <v>404</v>
      </c>
      <c r="E1656" s="11" t="str">
        <f t="array" ref="E1656">_xlfn.XLOOKUP(D1656,Insumos!B:B,Insumos!C:$C)</f>
        <v>KG</v>
      </c>
      <c r="F1656" s="14">
        <v>1.0978000000000001</v>
      </c>
      <c r="G1656" s="87">
        <f t="array" ref="G1656">IF(B1656="insumo",_xlfn.XLOOKUP($D1656,Insumos!$B$1:$B$996,Insumos!$D$1:$D$996),"")</f>
        <v>3.43</v>
      </c>
      <c r="H1656" s="87">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70</v>
      </c>
      <c r="C1657" s="10" t="s">
        <v>421</v>
      </c>
      <c r="D1657" s="10" t="s">
        <v>411</v>
      </c>
      <c r="E1657" s="11" t="str">
        <f t="array" ref="E1657">_xlfn.XLOOKUP(D1657,Insumos!B:B,Insumos!C:$C)</f>
        <v>M</v>
      </c>
      <c r="F1657" s="14">
        <v>2.5026999999999999</v>
      </c>
      <c r="G1657" s="87">
        <f t="array" ref="G1657">IF(B1657="insumo",_xlfn.XLOOKUP($D1657,Insumos!$B$1:$B$996,Insumos!$D$1:$D$996),"")</f>
        <v>0.31</v>
      </c>
      <c r="H1657" s="87">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70</v>
      </c>
      <c r="C1658" s="10" t="s">
        <v>421</v>
      </c>
      <c r="D1658" s="10" t="s">
        <v>412</v>
      </c>
      <c r="E1658" s="11" t="str">
        <f t="array" ref="E1658">_xlfn.XLOOKUP(D1658,Insumos!B:B,Insumos!C:$C)</f>
        <v>M</v>
      </c>
      <c r="F1658" s="14">
        <v>1.5851</v>
      </c>
      <c r="G1658" s="87">
        <f t="array" ref="G1658">IF(B1658="insumo",_xlfn.XLOOKUP($D1658,Insumos!$B$1:$B$996,Insumos!$D$1:$D$996),"")</f>
        <v>2.74</v>
      </c>
      <c r="H1658" s="87">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70</v>
      </c>
      <c r="C1659" s="10" t="s">
        <v>421</v>
      </c>
      <c r="D1659" s="10" t="s">
        <v>413</v>
      </c>
      <c r="E1659" s="11" t="str">
        <f t="array" ref="E1659">_xlfn.XLOOKUP(D1659,Insumos!B:B,Insumos!C:$C)</f>
        <v>UN</v>
      </c>
      <c r="F1659" s="14">
        <v>20.186800000000002</v>
      </c>
      <c r="G1659" s="87">
        <f t="array" ref="G1659">IF(B1659="insumo",_xlfn.XLOOKUP($D1659,Insumos!$B$1:$B$996,Insumos!$D$1:$D$996),"")</f>
        <v>0.09</v>
      </c>
      <c r="H1659" s="87">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70</v>
      </c>
      <c r="C1660" s="10" t="s">
        <v>421</v>
      </c>
      <c r="D1660" s="10" t="s">
        <v>414</v>
      </c>
      <c r="E1660" s="11" t="str">
        <f t="array" ref="E1660">_xlfn.XLOOKUP(D1660,Insumos!B:B,Insumos!C:$C)</f>
        <v>UN</v>
      </c>
      <c r="F1660" s="14">
        <v>0.54410000000000003</v>
      </c>
      <c r="G1660" s="87">
        <f t="array" ref="G1660">IF(B1660="insumo",_xlfn.XLOOKUP($D1660,Insumos!$B$1:$B$996,Insumos!$D$1:$D$996),"")</f>
        <v>0.2</v>
      </c>
      <c r="H1660" s="87">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70</v>
      </c>
      <c r="C1661" s="10" t="s">
        <v>421</v>
      </c>
      <c r="D1661" s="10" t="s">
        <v>1576</v>
      </c>
      <c r="E1661" s="11" t="str">
        <f t="array" ref="E1661">_xlfn.XLOOKUP(D1661,Insumos!B:B,Insumos!C:$C)</f>
        <v>M2</v>
      </c>
      <c r="F1661" s="14">
        <v>1.1000000000000001</v>
      </c>
      <c r="G1661" s="87">
        <f t="array" ref="G1661">IF(B1661="insumo",_xlfn.XLOOKUP($D1661,Insumos!$B$1:$B$996,Insumos!$D$1:$D$996),"")</f>
        <v>13.019333333333332</v>
      </c>
      <c r="H1661" s="87">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332">
        <v>1</v>
      </c>
      <c r="B1662" s="332" t="s">
        <v>67</v>
      </c>
      <c r="C1662" s="332" t="s">
        <v>425</v>
      </c>
      <c r="D1662" s="332" t="s">
        <v>425</v>
      </c>
      <c r="E1662" s="333" t="s">
        <v>69</v>
      </c>
      <c r="F1662" s="332"/>
      <c r="G1662" s="334" t="str">
        <f t="array" ref="G1662">IF(B1662="insumo",_xlfn.XLOOKUP($D1662,Insumos!$B$1:$B$996,Insumos!$D$1:$D$996),"")</f>
        <v/>
      </c>
      <c r="H1662" s="334">
        <v>181.35470316666701</v>
      </c>
      <c r="I1662" s="335">
        <v>0</v>
      </c>
      <c r="J1662" s="335">
        <v>0</v>
      </c>
      <c r="K1662" s="335"/>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70</v>
      </c>
      <c r="C1663" s="10" t="s">
        <v>425</v>
      </c>
      <c r="D1663" s="10" t="s">
        <v>406</v>
      </c>
      <c r="E1663" s="11" t="str">
        <f t="array" ref="E1663">_xlfn.XLOOKUP(D1663,Insumos!B:B,Insumos!C:$C)</f>
        <v>M2</v>
      </c>
      <c r="F1663" s="14">
        <v>1</v>
      </c>
      <c r="G1663" s="87">
        <f t="array" ref="G1663">IF(B1663="insumo",_xlfn.XLOOKUP($D1663,Insumos!$B$1:$B$996,Insumos!$D$1:$D$996),"")</f>
        <v>70</v>
      </c>
      <c r="H1663" s="87">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70</v>
      </c>
      <c r="C1664" s="10" t="s">
        <v>425</v>
      </c>
      <c r="D1664" s="10" t="s">
        <v>417</v>
      </c>
      <c r="E1664" s="11" t="str">
        <f t="array" ref="E1664">_xlfn.XLOOKUP(D1664,Insumos!B:B,Insumos!C:$C)</f>
        <v>M2</v>
      </c>
      <c r="F1664" s="14">
        <v>1.0529999999999999</v>
      </c>
      <c r="G1664" s="87">
        <f t="array" ref="G1664">IF(B1664="insumo",_xlfn.XLOOKUP($D1664,Insumos!$B$1:$B$996,Insumos!$D$1:$D$996),"")</f>
        <v>27.1</v>
      </c>
      <c r="H1664" s="87">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70</v>
      </c>
      <c r="C1665" s="10" t="s">
        <v>425</v>
      </c>
      <c r="D1665" s="10" t="s">
        <v>408</v>
      </c>
      <c r="E1665" s="11" t="str">
        <f t="array" ref="E1665">_xlfn.XLOOKUP(D1665,Insumos!B:B,Insumos!C:$C)</f>
        <v>UN</v>
      </c>
      <c r="F1665" s="14">
        <v>5.92</v>
      </c>
      <c r="G1665" s="87">
        <f t="array" ref="G1665">IF(B1665="insumo",_xlfn.XLOOKUP($D1665,Insumos!$B$1:$B$996,Insumos!$D$1:$D$996),"")</f>
        <v>0.504</v>
      </c>
      <c r="H1665" s="87">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70</v>
      </c>
      <c r="C1666" s="10" t="s">
        <v>425</v>
      </c>
      <c r="D1666" s="10" t="s">
        <v>422</v>
      </c>
      <c r="E1666" s="11" t="str">
        <f t="array" ref="E1666">_xlfn.XLOOKUP(D1666,Insumos!B:B,Insumos!C:$C)</f>
        <v>M</v>
      </c>
      <c r="F1666" s="14">
        <v>1.8233999999999999</v>
      </c>
      <c r="G1666" s="87">
        <f t="array" ref="G1666">IF(B1666="insumo",_xlfn.XLOOKUP($D1666,Insumos!$B$1:$B$996,Insumos!$D$1:$D$996),"")</f>
        <v>7.46</v>
      </c>
      <c r="H1666" s="87">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70</v>
      </c>
      <c r="C1667" s="10" t="s">
        <v>425</v>
      </c>
      <c r="D1667" s="10" t="s">
        <v>423</v>
      </c>
      <c r="E1667" s="11" t="str">
        <f t="array" ref="E1667">_xlfn.XLOOKUP(D1667,Insumos!B:B,Insumos!C:$C)</f>
        <v>M</v>
      </c>
      <c r="F1667" s="14">
        <v>5.8277999999999999</v>
      </c>
      <c r="G1667" s="87">
        <f t="array" ref="G1667">IF(B1667="insumo",_xlfn.XLOOKUP($D1667,Insumos!$B$1:$B$996,Insumos!$D$1:$D$996),"")</f>
        <v>7.98</v>
      </c>
      <c r="H1667" s="87">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70</v>
      </c>
      <c r="C1668" s="10" t="s">
        <v>425</v>
      </c>
      <c r="D1668" s="10" t="s">
        <v>404</v>
      </c>
      <c r="E1668" s="11" t="str">
        <f t="array" ref="E1668">_xlfn.XLOOKUP(D1668,Insumos!B:B,Insumos!C:$C)</f>
        <v>KG</v>
      </c>
      <c r="F1668" s="14">
        <v>0.54890000000000005</v>
      </c>
      <c r="G1668" s="87">
        <f t="array" ref="G1668">IF(B1668="insumo",_xlfn.XLOOKUP($D1668,Insumos!$B$1:$B$996,Insumos!$D$1:$D$996),"")</f>
        <v>3.43</v>
      </c>
      <c r="H1668" s="87">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70</v>
      </c>
      <c r="C1669" s="10" t="s">
        <v>425</v>
      </c>
      <c r="D1669" s="10" t="s">
        <v>411</v>
      </c>
      <c r="E1669" s="11" t="str">
        <f t="array" ref="E1669">_xlfn.XLOOKUP(D1669,Insumos!B:B,Insumos!C:$C)</f>
        <v>M</v>
      </c>
      <c r="F1669" s="14">
        <v>1.25135</v>
      </c>
      <c r="G1669" s="87">
        <f t="array" ref="G1669">IF(B1669="insumo",_xlfn.XLOOKUP($D1669,Insumos!$B$1:$B$996,Insumos!$D$1:$D$996),"")</f>
        <v>0.31</v>
      </c>
      <c r="H1669" s="87">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70</v>
      </c>
      <c r="C1670" s="10" t="s">
        <v>425</v>
      </c>
      <c r="D1670" s="10" t="s">
        <v>412</v>
      </c>
      <c r="E1670" s="11" t="str">
        <f t="array" ref="E1670">_xlfn.XLOOKUP(D1670,Insumos!B:B,Insumos!C:$C)</f>
        <v>M</v>
      </c>
      <c r="F1670" s="14">
        <v>0.79254999999999998</v>
      </c>
      <c r="G1670" s="87">
        <f t="array" ref="G1670">IF(B1670="insumo",_xlfn.XLOOKUP($D1670,Insumos!$B$1:$B$996,Insumos!$D$1:$D$996),"")</f>
        <v>2.74</v>
      </c>
      <c r="H1670" s="87">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70</v>
      </c>
      <c r="C1671" s="10" t="s">
        <v>425</v>
      </c>
      <c r="D1671" s="10" t="s">
        <v>413</v>
      </c>
      <c r="E1671" s="11" t="str">
        <f t="array" ref="E1671">_xlfn.XLOOKUP(D1671,Insumos!B:B,Insumos!C:$C)</f>
        <v>UN</v>
      </c>
      <c r="F1671" s="14">
        <v>10.093400000000001</v>
      </c>
      <c r="G1671" s="87">
        <f t="array" ref="G1671">IF(B1671="insumo",_xlfn.XLOOKUP($D1671,Insumos!$B$1:$B$996,Insumos!$D$1:$D$996),"")</f>
        <v>0.09</v>
      </c>
      <c r="H1671" s="87">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70</v>
      </c>
      <c r="C1672" s="10" t="s">
        <v>425</v>
      </c>
      <c r="D1672" s="10" t="s">
        <v>414</v>
      </c>
      <c r="E1672" s="11" t="str">
        <f t="array" ref="E1672">_xlfn.XLOOKUP(D1672,Insumos!B:B,Insumos!C:$C)</f>
        <v>UN</v>
      </c>
      <c r="F1672" s="14">
        <v>0.27205000000000001</v>
      </c>
      <c r="G1672" s="87">
        <f t="array" ref="G1672">IF(B1672="insumo",_xlfn.XLOOKUP($D1672,Insumos!$B$1:$B$996,Insumos!$D$1:$D$996),"")</f>
        <v>0.2</v>
      </c>
      <c r="H1672" s="87">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70</v>
      </c>
      <c r="C1673" s="10" t="s">
        <v>425</v>
      </c>
      <c r="D1673" s="10" t="s">
        <v>1576</v>
      </c>
      <c r="E1673" s="11" t="str">
        <f t="array" ref="E1673">_xlfn.XLOOKUP(D1673,Insumos!B:B,Insumos!C:$C)</f>
        <v>M2</v>
      </c>
      <c r="F1673" s="14">
        <v>1.1000000000000001</v>
      </c>
      <c r="G1673" s="87">
        <f t="array" ref="G1673">IF(B1673="insumo",_xlfn.XLOOKUP($D1673,Insumos!$B$1:$B$996,Insumos!$D$1:$D$996),"")</f>
        <v>13.019333333333332</v>
      </c>
      <c r="H1673" s="87">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332">
        <v>1</v>
      </c>
      <c r="B1674" s="332" t="s">
        <v>67</v>
      </c>
      <c r="C1674" s="332" t="s">
        <v>426</v>
      </c>
      <c r="D1674" s="332" t="s">
        <v>426</v>
      </c>
      <c r="E1674" s="333" t="s">
        <v>69</v>
      </c>
      <c r="F1674" s="332"/>
      <c r="G1674" s="334" t="str">
        <f t="array" ref="G1674">IF(B1674="insumo",_xlfn.XLOOKUP($D1674,Insumos!$B$1:$B$996,Insumos!$D$1:$D$996),"")</f>
        <v/>
      </c>
      <c r="H1674" s="334">
        <v>181.35470316666701</v>
      </c>
      <c r="I1674" s="335">
        <v>0</v>
      </c>
      <c r="J1674" s="335">
        <v>0</v>
      </c>
      <c r="K1674" s="335"/>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70</v>
      </c>
      <c r="C1675" s="10" t="s">
        <v>426</v>
      </c>
      <c r="D1675" s="10" t="s">
        <v>406</v>
      </c>
      <c r="E1675" s="11" t="str">
        <f t="array" ref="E1675">_xlfn.XLOOKUP(D1675,Insumos!B:B,Insumos!C:$C)</f>
        <v>M2</v>
      </c>
      <c r="F1675" s="14">
        <v>1</v>
      </c>
      <c r="G1675" s="87">
        <f t="array" ref="G1675">IF(B1675="insumo",_xlfn.XLOOKUP($D1675,Insumos!$B$1:$B$996,Insumos!$D$1:$D$996),"")</f>
        <v>70</v>
      </c>
      <c r="H1675" s="87">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70</v>
      </c>
      <c r="C1676" s="10" t="s">
        <v>426</v>
      </c>
      <c r="D1676" s="10" t="s">
        <v>417</v>
      </c>
      <c r="E1676" s="11" t="str">
        <f t="array" ref="E1676">_xlfn.XLOOKUP(D1676,Insumos!B:B,Insumos!C:$C)</f>
        <v>M2</v>
      </c>
      <c r="F1676" s="14">
        <v>1.0529999999999999</v>
      </c>
      <c r="G1676" s="87">
        <f t="array" ref="G1676">IF(B1676="insumo",_xlfn.XLOOKUP($D1676,Insumos!$B$1:$B$996,Insumos!$D$1:$D$996),"")</f>
        <v>27.1</v>
      </c>
      <c r="H1676" s="87">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70</v>
      </c>
      <c r="C1677" s="10" t="s">
        <v>426</v>
      </c>
      <c r="D1677" s="10" t="s">
        <v>408</v>
      </c>
      <c r="E1677" s="11" t="str">
        <f t="array" ref="E1677">_xlfn.XLOOKUP(D1677,Insumos!B:B,Insumos!C:$C)</f>
        <v>UN</v>
      </c>
      <c r="F1677" s="14">
        <v>5.92</v>
      </c>
      <c r="G1677" s="87">
        <f t="array" ref="G1677">IF(B1677="insumo",_xlfn.XLOOKUP($D1677,Insumos!$B$1:$B$996,Insumos!$D$1:$D$996),"")</f>
        <v>0.504</v>
      </c>
      <c r="H1677" s="87">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70</v>
      </c>
      <c r="C1678" s="10" t="s">
        <v>426</v>
      </c>
      <c r="D1678" s="10" t="s">
        <v>422</v>
      </c>
      <c r="E1678" s="11" t="str">
        <f t="array" ref="E1678">_xlfn.XLOOKUP(D1678,Insumos!B:B,Insumos!C:$C)</f>
        <v>M</v>
      </c>
      <c r="F1678" s="14">
        <v>1.8233999999999999</v>
      </c>
      <c r="G1678" s="87">
        <f t="array" ref="G1678">IF(B1678="insumo",_xlfn.XLOOKUP($D1678,Insumos!$B$1:$B$996,Insumos!$D$1:$D$996),"")</f>
        <v>7.46</v>
      </c>
      <c r="H1678" s="87">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70</v>
      </c>
      <c r="C1679" s="10" t="s">
        <v>426</v>
      </c>
      <c r="D1679" s="10" t="s">
        <v>423</v>
      </c>
      <c r="E1679" s="11" t="str">
        <f t="array" ref="E1679">_xlfn.XLOOKUP(D1679,Insumos!B:B,Insumos!C:$C)</f>
        <v>M</v>
      </c>
      <c r="F1679" s="14">
        <v>5.8277999999999999</v>
      </c>
      <c r="G1679" s="87">
        <f t="array" ref="G1679">IF(B1679="insumo",_xlfn.XLOOKUP($D1679,Insumos!$B$1:$B$996,Insumos!$D$1:$D$996),"")</f>
        <v>7.98</v>
      </c>
      <c r="H1679" s="87">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70</v>
      </c>
      <c r="C1680" s="10" t="s">
        <v>426</v>
      </c>
      <c r="D1680" s="10" t="s">
        <v>404</v>
      </c>
      <c r="E1680" s="11" t="str">
        <f t="array" ref="E1680">_xlfn.XLOOKUP(D1680,Insumos!B:B,Insumos!C:$C)</f>
        <v>KG</v>
      </c>
      <c r="F1680" s="14">
        <v>0.54890000000000005</v>
      </c>
      <c r="G1680" s="87">
        <f t="array" ref="G1680">IF(B1680="insumo",_xlfn.XLOOKUP($D1680,Insumos!$B$1:$B$996,Insumos!$D$1:$D$996),"")</f>
        <v>3.43</v>
      </c>
      <c r="H1680" s="87">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70</v>
      </c>
      <c r="C1681" s="10" t="s">
        <v>426</v>
      </c>
      <c r="D1681" s="10" t="s">
        <v>411</v>
      </c>
      <c r="E1681" s="11" t="str">
        <f t="array" ref="E1681">_xlfn.XLOOKUP(D1681,Insumos!B:B,Insumos!C:$C)</f>
        <v>M</v>
      </c>
      <c r="F1681" s="14">
        <v>1.25135</v>
      </c>
      <c r="G1681" s="87">
        <f t="array" ref="G1681">IF(B1681="insumo",_xlfn.XLOOKUP($D1681,Insumos!$B$1:$B$996,Insumos!$D$1:$D$996),"")</f>
        <v>0.31</v>
      </c>
      <c r="H1681" s="87">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70</v>
      </c>
      <c r="C1682" s="10" t="s">
        <v>426</v>
      </c>
      <c r="D1682" s="10" t="s">
        <v>412</v>
      </c>
      <c r="E1682" s="11" t="str">
        <f t="array" ref="E1682">_xlfn.XLOOKUP(D1682,Insumos!B:B,Insumos!C:$C)</f>
        <v>M</v>
      </c>
      <c r="F1682" s="14">
        <v>0.79254999999999998</v>
      </c>
      <c r="G1682" s="87">
        <f t="array" ref="G1682">IF(B1682="insumo",_xlfn.XLOOKUP($D1682,Insumos!$B$1:$B$996,Insumos!$D$1:$D$996),"")</f>
        <v>2.74</v>
      </c>
      <c r="H1682" s="87">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70</v>
      </c>
      <c r="C1683" s="10" t="s">
        <v>426</v>
      </c>
      <c r="D1683" s="10" t="s">
        <v>413</v>
      </c>
      <c r="E1683" s="11" t="str">
        <f t="array" ref="E1683">_xlfn.XLOOKUP(D1683,Insumos!B:B,Insumos!C:$C)</f>
        <v>UN</v>
      </c>
      <c r="F1683" s="14">
        <v>10.093400000000001</v>
      </c>
      <c r="G1683" s="87">
        <f t="array" ref="G1683">IF(B1683="insumo",_xlfn.XLOOKUP($D1683,Insumos!$B$1:$B$996,Insumos!$D$1:$D$996),"")</f>
        <v>0.09</v>
      </c>
      <c r="H1683" s="87">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70</v>
      </c>
      <c r="C1684" s="10" t="s">
        <v>426</v>
      </c>
      <c r="D1684" s="10" t="s">
        <v>414</v>
      </c>
      <c r="E1684" s="11" t="str">
        <f t="array" ref="E1684">_xlfn.XLOOKUP(D1684,Insumos!B:B,Insumos!C:$C)</f>
        <v>UN</v>
      </c>
      <c r="F1684" s="14">
        <v>0.27205000000000001</v>
      </c>
      <c r="G1684" s="87">
        <f t="array" ref="G1684">IF(B1684="insumo",_xlfn.XLOOKUP($D1684,Insumos!$B$1:$B$996,Insumos!$D$1:$D$996),"")</f>
        <v>0.2</v>
      </c>
      <c r="H1684" s="87">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70</v>
      </c>
      <c r="C1685" s="10" t="s">
        <v>426</v>
      </c>
      <c r="D1685" s="10" t="s">
        <v>1576</v>
      </c>
      <c r="E1685" s="11" t="str">
        <f t="array" ref="E1685">_xlfn.XLOOKUP(D1685,Insumos!B:B,Insumos!C:$C)</f>
        <v>M2</v>
      </c>
      <c r="F1685" s="14">
        <v>1.1000000000000001</v>
      </c>
      <c r="G1685" s="87">
        <f t="array" ref="G1685">IF(B1685="insumo",_xlfn.XLOOKUP($D1685,Insumos!$B$1:$B$996,Insumos!$D$1:$D$996),"")</f>
        <v>13.019333333333332</v>
      </c>
      <c r="H1685" s="87">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332">
        <v>1</v>
      </c>
      <c r="B1686" s="332" t="s">
        <v>67</v>
      </c>
      <c r="C1686" s="332" t="s">
        <v>427</v>
      </c>
      <c r="D1686" s="332" t="s">
        <v>427</v>
      </c>
      <c r="E1686" s="333" t="s">
        <v>69</v>
      </c>
      <c r="F1686" s="332"/>
      <c r="G1686" s="334" t="str">
        <f t="array" ref="G1686">IF(B1686="insumo",_xlfn.XLOOKUP($D1686,Insumos!$B$1:$B$996,Insumos!$D$1:$D$996),"")</f>
        <v/>
      </c>
      <c r="H1686" s="334">
        <v>200.680411666667</v>
      </c>
      <c r="I1686" s="335">
        <v>0</v>
      </c>
      <c r="J1686" s="335">
        <v>0</v>
      </c>
      <c r="K1686" s="335"/>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70</v>
      </c>
      <c r="C1687" s="10" t="s">
        <v>427</v>
      </c>
      <c r="D1687" s="10" t="s">
        <v>406</v>
      </c>
      <c r="E1687" s="11" t="str">
        <f t="array" ref="E1687">_xlfn.XLOOKUP(D1687,Insumos!B:B,Insumos!C:$C)</f>
        <v>M2</v>
      </c>
      <c r="F1687" s="14">
        <v>1</v>
      </c>
      <c r="G1687" s="87">
        <f t="array" ref="G1687">IF(B1687="insumo",_xlfn.XLOOKUP($D1687,Insumos!$B$1:$B$996,Insumos!$D$1:$D$996),"")</f>
        <v>70</v>
      </c>
      <c r="H1687" s="87">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70</v>
      </c>
      <c r="C1688" s="10" t="s">
        <v>427</v>
      </c>
      <c r="D1688" s="10" t="s">
        <v>407</v>
      </c>
      <c r="E1688" s="11" t="str">
        <f t="array" ref="E1688">_xlfn.XLOOKUP(D1688,Insumos!B:B,Insumos!C:$C)</f>
        <v>M2</v>
      </c>
      <c r="F1688" s="14">
        <v>2.1059999999999999</v>
      </c>
      <c r="G1688" s="87">
        <f t="array" ref="G1688">IF(B1688="insumo",_xlfn.XLOOKUP($D1688,Insumos!$B$1:$B$996,Insumos!$D$1:$D$996),"")</f>
        <v>20.16</v>
      </c>
      <c r="H1688" s="87">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70</v>
      </c>
      <c r="C1689" s="10" t="s">
        <v>427</v>
      </c>
      <c r="D1689" s="10" t="s">
        <v>408</v>
      </c>
      <c r="E1689" s="11" t="str">
        <f t="array" ref="E1689">_xlfn.XLOOKUP(D1689,Insumos!B:B,Insumos!C:$C)</f>
        <v>UN</v>
      </c>
      <c r="F1689" s="14">
        <v>5.92</v>
      </c>
      <c r="G1689" s="87">
        <f t="array" ref="G1689">IF(B1689="insumo",_xlfn.XLOOKUP($D1689,Insumos!$B$1:$B$996,Insumos!$D$1:$D$996),"")</f>
        <v>0.504</v>
      </c>
      <c r="H1689" s="87">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70</v>
      </c>
      <c r="C1690" s="10" t="s">
        <v>427</v>
      </c>
      <c r="D1690" s="10" t="s">
        <v>422</v>
      </c>
      <c r="E1690" s="11" t="str">
        <f t="array" ref="E1690">_xlfn.XLOOKUP(D1690,Insumos!B:B,Insumos!C:$C)</f>
        <v>M</v>
      </c>
      <c r="F1690" s="14">
        <v>1.8233999999999999</v>
      </c>
      <c r="G1690" s="87">
        <f t="array" ref="G1690">IF(B1690="insumo",_xlfn.XLOOKUP($D1690,Insumos!$B$1:$B$996,Insumos!$D$1:$D$996),"")</f>
        <v>7.46</v>
      </c>
      <c r="H1690" s="87">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70</v>
      </c>
      <c r="C1691" s="10" t="s">
        <v>427</v>
      </c>
      <c r="D1691" s="10" t="s">
        <v>423</v>
      </c>
      <c r="E1691" s="11" t="str">
        <f t="array" ref="E1691">_xlfn.XLOOKUP(D1691,Insumos!B:B,Insumos!C:$C)</f>
        <v>M</v>
      </c>
      <c r="F1691" s="14">
        <v>5.8277999999999999</v>
      </c>
      <c r="G1691" s="87">
        <f t="array" ref="G1691">IF(B1691="insumo",_xlfn.XLOOKUP($D1691,Insumos!$B$1:$B$996,Insumos!$D$1:$D$996),"")</f>
        <v>7.98</v>
      </c>
      <c r="H1691" s="87">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70</v>
      </c>
      <c r="C1692" s="10" t="s">
        <v>427</v>
      </c>
      <c r="D1692" s="10" t="s">
        <v>404</v>
      </c>
      <c r="E1692" s="11" t="str">
        <f t="array" ref="E1692">_xlfn.XLOOKUP(D1692,Insumos!B:B,Insumos!C:$C)</f>
        <v>KG</v>
      </c>
      <c r="F1692" s="14">
        <v>1.0978000000000001</v>
      </c>
      <c r="G1692" s="87">
        <f t="array" ref="G1692">IF(B1692="insumo",_xlfn.XLOOKUP($D1692,Insumos!$B$1:$B$996,Insumos!$D$1:$D$996),"")</f>
        <v>3.43</v>
      </c>
      <c r="H1692" s="87">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70</v>
      </c>
      <c r="C1693" s="10" t="s">
        <v>427</v>
      </c>
      <c r="D1693" s="10" t="s">
        <v>411</v>
      </c>
      <c r="E1693" s="11" t="str">
        <f t="array" ref="E1693">_xlfn.XLOOKUP(D1693,Insumos!B:B,Insumos!C:$C)</f>
        <v>M</v>
      </c>
      <c r="F1693" s="14">
        <v>2.5026999999999999</v>
      </c>
      <c r="G1693" s="87">
        <f t="array" ref="G1693">IF(B1693="insumo",_xlfn.XLOOKUP($D1693,Insumos!$B$1:$B$996,Insumos!$D$1:$D$996),"")</f>
        <v>0.31</v>
      </c>
      <c r="H1693" s="87">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70</v>
      </c>
      <c r="C1694" s="10" t="s">
        <v>427</v>
      </c>
      <c r="D1694" s="10" t="s">
        <v>412</v>
      </c>
      <c r="E1694" s="11" t="str">
        <f t="array" ref="E1694">_xlfn.XLOOKUP(D1694,Insumos!B:B,Insumos!C:$C)</f>
        <v>M</v>
      </c>
      <c r="F1694" s="14">
        <v>1.5851</v>
      </c>
      <c r="G1694" s="87">
        <f t="array" ref="G1694">IF(B1694="insumo",_xlfn.XLOOKUP($D1694,Insumos!$B$1:$B$996,Insumos!$D$1:$D$996),"")</f>
        <v>2.74</v>
      </c>
      <c r="H1694" s="87">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70</v>
      </c>
      <c r="C1695" s="10" t="s">
        <v>427</v>
      </c>
      <c r="D1695" s="10" t="s">
        <v>413</v>
      </c>
      <c r="E1695" s="11" t="str">
        <f t="array" ref="E1695">_xlfn.XLOOKUP(D1695,Insumos!B:B,Insumos!C:$C)</f>
        <v>UN</v>
      </c>
      <c r="F1695" s="14">
        <v>20.186800000000002</v>
      </c>
      <c r="G1695" s="87">
        <f t="array" ref="G1695">IF(B1695="insumo",_xlfn.XLOOKUP($D1695,Insumos!$B$1:$B$996,Insumos!$D$1:$D$996),"")</f>
        <v>0.09</v>
      </c>
      <c r="H1695" s="87">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70</v>
      </c>
      <c r="C1696" s="10" t="s">
        <v>427</v>
      </c>
      <c r="D1696" s="10" t="s">
        <v>414</v>
      </c>
      <c r="E1696" s="11" t="str">
        <f t="array" ref="E1696">_xlfn.XLOOKUP(D1696,Insumos!B:B,Insumos!C:$C)</f>
        <v>UN</v>
      </c>
      <c r="F1696" s="14">
        <v>0.54410000000000003</v>
      </c>
      <c r="G1696" s="87">
        <f t="array" ref="G1696">IF(B1696="insumo",_xlfn.XLOOKUP($D1696,Insumos!$B$1:$B$996,Insumos!$D$1:$D$996),"")</f>
        <v>0.2</v>
      </c>
      <c r="H1696" s="87">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70</v>
      </c>
      <c r="C1697" s="10" t="s">
        <v>427</v>
      </c>
      <c r="D1697" s="10" t="s">
        <v>1576</v>
      </c>
      <c r="E1697" s="11" t="str">
        <f t="array" ref="E1697">_xlfn.XLOOKUP(D1697,Insumos!B:B,Insumos!C:$C)</f>
        <v>M2</v>
      </c>
      <c r="F1697" s="14">
        <v>1.1000000000000001</v>
      </c>
      <c r="G1697" s="87">
        <f t="array" ref="G1697">IF(B1697="insumo",_xlfn.XLOOKUP($D1697,Insumos!$B$1:$B$996,Insumos!$D$1:$D$996),"")</f>
        <v>13.019333333333332</v>
      </c>
      <c r="H1697" s="87">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332">
        <v>1</v>
      </c>
      <c r="B1698" s="332" t="s">
        <v>67</v>
      </c>
      <c r="C1698" s="332" t="s">
        <v>1319</v>
      </c>
      <c r="D1698" s="332" t="s">
        <v>1319</v>
      </c>
      <c r="E1698" s="333" t="s">
        <v>69</v>
      </c>
      <c r="F1698" s="332"/>
      <c r="G1698" s="334" t="str">
        <f t="array" ref="G1698">IF(B1698="insumo",_xlfn.XLOOKUP($D1698,Insumos!$B$1:$B$996,Insumos!$D$1:$D$996),"")</f>
        <v/>
      </c>
      <c r="H1698" s="334">
        <v>167.03343649999999</v>
      </c>
      <c r="I1698" s="335">
        <v>0</v>
      </c>
      <c r="J1698" s="335">
        <v>0</v>
      </c>
      <c r="K1698" s="335"/>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70</v>
      </c>
      <c r="C1699" s="10" t="s">
        <v>1319</v>
      </c>
      <c r="D1699" s="10" t="s">
        <v>406</v>
      </c>
      <c r="E1699" s="11" t="str">
        <f t="array" ref="E1699">_xlfn.XLOOKUP(D1699,Insumos!B:B,Insumos!C:$C)</f>
        <v>M2</v>
      </c>
      <c r="F1699" s="14">
        <v>1</v>
      </c>
      <c r="G1699" s="87">
        <f t="array" ref="G1699">IF(B1699="insumo",_xlfn.XLOOKUP($D1699,Insumos!$B$1:$B$996,Insumos!$D$1:$D$996),"")</f>
        <v>70</v>
      </c>
      <c r="H1699" s="87">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70</v>
      </c>
      <c r="C1700" s="10" t="s">
        <v>1319</v>
      </c>
      <c r="D1700" s="10" t="s">
        <v>417</v>
      </c>
      <c r="E1700" s="11" t="str">
        <f t="array" ref="E1700">_xlfn.XLOOKUP(D1700,Insumos!B:B,Insumos!C:$C)</f>
        <v>M2</v>
      </c>
      <c r="F1700" s="14">
        <v>1.0529999999999999</v>
      </c>
      <c r="G1700" s="87">
        <f t="array" ref="G1700">IF(B1700="insumo",_xlfn.XLOOKUP($D1700,Insumos!$B$1:$B$996,Insumos!$D$1:$D$996),"")</f>
        <v>27.1</v>
      </c>
      <c r="H1700" s="87">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70</v>
      </c>
      <c r="C1701" s="10" t="s">
        <v>1319</v>
      </c>
      <c r="D1701" s="10" t="s">
        <v>408</v>
      </c>
      <c r="E1701" s="11" t="str">
        <f t="array" ref="E1701">_xlfn.XLOOKUP(D1701,Insumos!B:B,Insumos!C:$C)</f>
        <v>UN</v>
      </c>
      <c r="F1701" s="14">
        <v>5.92</v>
      </c>
      <c r="G1701" s="87">
        <f t="array" ref="G1701">IF(B1701="insumo",_xlfn.XLOOKUP($D1701,Insumos!$B$1:$B$996,Insumos!$D$1:$D$996),"")</f>
        <v>0.504</v>
      </c>
      <c r="H1701" s="87">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70</v>
      </c>
      <c r="C1702" s="10" t="s">
        <v>1319</v>
      </c>
      <c r="D1702" s="10" t="s">
        <v>422</v>
      </c>
      <c r="E1702" s="11" t="str">
        <f t="array" ref="E1702">_xlfn.XLOOKUP(D1702,Insumos!B:B,Insumos!C:$C)</f>
        <v>M</v>
      </c>
      <c r="F1702" s="14">
        <v>1.8233999999999999</v>
      </c>
      <c r="G1702" s="87">
        <f t="array" ref="G1702">IF(B1702="insumo",_xlfn.XLOOKUP($D1702,Insumos!$B$1:$B$996,Insumos!$D$1:$D$996),"")</f>
        <v>7.46</v>
      </c>
      <c r="H1702" s="87">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70</v>
      </c>
      <c r="C1703" s="10" t="s">
        <v>1319</v>
      </c>
      <c r="D1703" s="10" t="s">
        <v>423</v>
      </c>
      <c r="E1703" s="11" t="str">
        <f t="array" ref="E1703">_xlfn.XLOOKUP(D1703,Insumos!B:B,Insumos!C:$C)</f>
        <v>M</v>
      </c>
      <c r="F1703" s="14">
        <v>5.8277999999999999</v>
      </c>
      <c r="G1703" s="87">
        <f t="array" ref="G1703">IF(B1703="insumo",_xlfn.XLOOKUP($D1703,Insumos!$B$1:$B$996,Insumos!$D$1:$D$996),"")</f>
        <v>7.98</v>
      </c>
      <c r="H1703" s="87">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70</v>
      </c>
      <c r="C1704" s="10" t="s">
        <v>1319</v>
      </c>
      <c r="D1704" s="10" t="s">
        <v>404</v>
      </c>
      <c r="E1704" s="11" t="str">
        <f t="array" ref="E1704">_xlfn.XLOOKUP(D1704,Insumos!B:B,Insumos!C:$C)</f>
        <v>KG</v>
      </c>
      <c r="F1704" s="14">
        <v>0.54890000000000005</v>
      </c>
      <c r="G1704" s="87">
        <f t="array" ref="G1704">IF(B1704="insumo",_xlfn.XLOOKUP($D1704,Insumos!$B$1:$B$996,Insumos!$D$1:$D$996),"")</f>
        <v>3.43</v>
      </c>
      <c r="H1704" s="87">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70</v>
      </c>
      <c r="C1705" s="10" t="s">
        <v>1319</v>
      </c>
      <c r="D1705" s="10" t="s">
        <v>411</v>
      </c>
      <c r="E1705" s="11" t="str">
        <f t="array" ref="E1705">_xlfn.XLOOKUP(D1705,Insumos!B:B,Insumos!C:$C)</f>
        <v>M</v>
      </c>
      <c r="F1705" s="14">
        <v>1.25135</v>
      </c>
      <c r="G1705" s="87">
        <f t="array" ref="G1705">IF(B1705="insumo",_xlfn.XLOOKUP($D1705,Insumos!$B$1:$B$996,Insumos!$D$1:$D$996),"")</f>
        <v>0.31</v>
      </c>
      <c r="H1705" s="87">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70</v>
      </c>
      <c r="C1706" s="10" t="s">
        <v>1319</v>
      </c>
      <c r="D1706" s="10" t="s">
        <v>412</v>
      </c>
      <c r="E1706" s="11" t="str">
        <f t="array" ref="E1706">_xlfn.XLOOKUP(D1706,Insumos!B:B,Insumos!C:$C)</f>
        <v>M</v>
      </c>
      <c r="F1706" s="14">
        <v>0.79254999999999998</v>
      </c>
      <c r="G1706" s="87">
        <f t="array" ref="G1706">IF(B1706="insumo",_xlfn.XLOOKUP($D1706,Insumos!$B$1:$B$996,Insumos!$D$1:$D$996),"")</f>
        <v>2.74</v>
      </c>
      <c r="H1706" s="87">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70</v>
      </c>
      <c r="C1707" s="10" t="s">
        <v>1319</v>
      </c>
      <c r="D1707" s="10" t="s">
        <v>413</v>
      </c>
      <c r="E1707" s="11" t="str">
        <f t="array" ref="E1707">_xlfn.XLOOKUP(D1707,Insumos!B:B,Insumos!C:$C)</f>
        <v>UN</v>
      </c>
      <c r="F1707" s="14">
        <v>10.093400000000001</v>
      </c>
      <c r="G1707" s="87">
        <f t="array" ref="G1707">IF(B1707="insumo",_xlfn.XLOOKUP($D1707,Insumos!$B$1:$B$996,Insumos!$D$1:$D$996),"")</f>
        <v>0.09</v>
      </c>
      <c r="H1707" s="87">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70</v>
      </c>
      <c r="C1708" s="10" t="s">
        <v>1319</v>
      </c>
      <c r="D1708" s="10" t="s">
        <v>414</v>
      </c>
      <c r="E1708" s="11" t="str">
        <f t="array" ref="E1708">_xlfn.XLOOKUP(D1708,Insumos!B:B,Insumos!C:$C)</f>
        <v>UN</v>
      </c>
      <c r="F1708" s="14">
        <v>0.27205000000000001</v>
      </c>
      <c r="G1708" s="87">
        <f t="array" ref="G1708">IF(B1708="insumo",_xlfn.XLOOKUP($D1708,Insumos!$B$1:$B$996,Insumos!$D$1:$D$996),"")</f>
        <v>0.2</v>
      </c>
      <c r="H1708" s="87">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332">
        <v>1</v>
      </c>
      <c r="B1709" s="332" t="s">
        <v>67</v>
      </c>
      <c r="C1709" s="332" t="s">
        <v>1320</v>
      </c>
      <c r="D1709" s="332" t="s">
        <v>1320</v>
      </c>
      <c r="E1709" s="333" t="s">
        <v>69</v>
      </c>
      <c r="F1709" s="332"/>
      <c r="G1709" s="334" t="str">
        <f t="array" ref="G1709">IF(B1709="insumo",_xlfn.XLOOKUP($D1709,Insumos!$B$1:$B$996,Insumos!$D$1:$D$996),"")</f>
        <v/>
      </c>
      <c r="H1709" s="334">
        <v>167.03343649999999</v>
      </c>
      <c r="I1709" s="335">
        <v>0</v>
      </c>
      <c r="J1709" s="335">
        <v>0</v>
      </c>
      <c r="K1709" s="335"/>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70</v>
      </c>
      <c r="C1710" s="10" t="s">
        <v>1320</v>
      </c>
      <c r="D1710" s="10" t="s">
        <v>406</v>
      </c>
      <c r="E1710" s="11" t="str">
        <f t="array" ref="E1710">_xlfn.XLOOKUP(D1710,Insumos!B:B,Insumos!C:$C)</f>
        <v>M2</v>
      </c>
      <c r="F1710" s="14">
        <v>1</v>
      </c>
      <c r="G1710" s="87">
        <f t="array" ref="G1710">IF(B1710="insumo",_xlfn.XLOOKUP($D1710,Insumos!$B$1:$B$996,Insumos!$D$1:$D$996),"")</f>
        <v>70</v>
      </c>
      <c r="H1710" s="87">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70</v>
      </c>
      <c r="C1711" s="10" t="s">
        <v>1320</v>
      </c>
      <c r="D1711" s="10" t="s">
        <v>417</v>
      </c>
      <c r="E1711" s="11" t="str">
        <f t="array" ref="E1711">_xlfn.XLOOKUP(D1711,Insumos!B:B,Insumos!C:$C)</f>
        <v>M2</v>
      </c>
      <c r="F1711" s="14">
        <v>1.0529999999999999</v>
      </c>
      <c r="G1711" s="87">
        <f t="array" ref="G1711">IF(B1711="insumo",_xlfn.XLOOKUP($D1711,Insumos!$B$1:$B$996,Insumos!$D$1:$D$996),"")</f>
        <v>27.1</v>
      </c>
      <c r="H1711" s="87">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70</v>
      </c>
      <c r="C1712" s="10" t="s">
        <v>1320</v>
      </c>
      <c r="D1712" s="10" t="s">
        <v>408</v>
      </c>
      <c r="E1712" s="11" t="str">
        <f t="array" ref="E1712">_xlfn.XLOOKUP(D1712,Insumos!B:B,Insumos!C:$C)</f>
        <v>UN</v>
      </c>
      <c r="F1712" s="14">
        <v>5.92</v>
      </c>
      <c r="G1712" s="87">
        <f t="array" ref="G1712">IF(B1712="insumo",_xlfn.XLOOKUP($D1712,Insumos!$B$1:$B$996,Insumos!$D$1:$D$996),"")</f>
        <v>0.504</v>
      </c>
      <c r="H1712" s="87">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70</v>
      </c>
      <c r="C1713" s="10" t="s">
        <v>1320</v>
      </c>
      <c r="D1713" s="10" t="s">
        <v>422</v>
      </c>
      <c r="E1713" s="11" t="str">
        <f t="array" ref="E1713">_xlfn.XLOOKUP(D1713,Insumos!B:B,Insumos!C:$C)</f>
        <v>M</v>
      </c>
      <c r="F1713" s="14">
        <v>1.8233999999999999</v>
      </c>
      <c r="G1713" s="87">
        <f t="array" ref="G1713">IF(B1713="insumo",_xlfn.XLOOKUP($D1713,Insumos!$B$1:$B$996,Insumos!$D$1:$D$996),"")</f>
        <v>7.46</v>
      </c>
      <c r="H1713" s="87">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70</v>
      </c>
      <c r="C1714" s="10" t="s">
        <v>1320</v>
      </c>
      <c r="D1714" s="10" t="s">
        <v>423</v>
      </c>
      <c r="E1714" s="11" t="str">
        <f t="array" ref="E1714">_xlfn.XLOOKUP(D1714,Insumos!B:B,Insumos!C:$C)</f>
        <v>M</v>
      </c>
      <c r="F1714" s="14">
        <v>5.8277999999999999</v>
      </c>
      <c r="G1714" s="87">
        <f t="array" ref="G1714">IF(B1714="insumo",_xlfn.XLOOKUP($D1714,Insumos!$B$1:$B$996,Insumos!$D$1:$D$996),"")</f>
        <v>7.98</v>
      </c>
      <c r="H1714" s="87">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70</v>
      </c>
      <c r="C1715" s="10" t="s">
        <v>1320</v>
      </c>
      <c r="D1715" s="10" t="s">
        <v>404</v>
      </c>
      <c r="E1715" s="11" t="str">
        <f t="array" ref="E1715">_xlfn.XLOOKUP(D1715,Insumos!B:B,Insumos!C:$C)</f>
        <v>KG</v>
      </c>
      <c r="F1715" s="14">
        <v>0.54890000000000005</v>
      </c>
      <c r="G1715" s="87">
        <f t="array" ref="G1715">IF(B1715="insumo",_xlfn.XLOOKUP($D1715,Insumos!$B$1:$B$996,Insumos!$D$1:$D$996),"")</f>
        <v>3.43</v>
      </c>
      <c r="H1715" s="87">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70</v>
      </c>
      <c r="C1716" s="10" t="s">
        <v>1320</v>
      </c>
      <c r="D1716" s="10" t="s">
        <v>411</v>
      </c>
      <c r="E1716" s="11" t="str">
        <f t="array" ref="E1716">_xlfn.XLOOKUP(D1716,Insumos!B:B,Insumos!C:$C)</f>
        <v>M</v>
      </c>
      <c r="F1716" s="14">
        <v>1.25135</v>
      </c>
      <c r="G1716" s="87">
        <f t="array" ref="G1716">IF(B1716="insumo",_xlfn.XLOOKUP($D1716,Insumos!$B$1:$B$996,Insumos!$D$1:$D$996),"")</f>
        <v>0.31</v>
      </c>
      <c r="H1716" s="87">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70</v>
      </c>
      <c r="C1717" s="10" t="s">
        <v>1320</v>
      </c>
      <c r="D1717" s="10" t="s">
        <v>412</v>
      </c>
      <c r="E1717" s="11" t="str">
        <f t="array" ref="E1717">_xlfn.XLOOKUP(D1717,Insumos!B:B,Insumos!C:$C)</f>
        <v>M</v>
      </c>
      <c r="F1717" s="14">
        <v>0.79254999999999998</v>
      </c>
      <c r="G1717" s="87">
        <f t="array" ref="G1717">IF(B1717="insumo",_xlfn.XLOOKUP($D1717,Insumos!$B$1:$B$996,Insumos!$D$1:$D$996),"")</f>
        <v>2.74</v>
      </c>
      <c r="H1717" s="87">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70</v>
      </c>
      <c r="C1718" s="10" t="s">
        <v>1320</v>
      </c>
      <c r="D1718" s="10" t="s">
        <v>413</v>
      </c>
      <c r="E1718" s="11" t="str">
        <f t="array" ref="E1718">_xlfn.XLOOKUP(D1718,Insumos!B:B,Insumos!C:$C)</f>
        <v>UN</v>
      </c>
      <c r="F1718" s="14">
        <v>10.093400000000001</v>
      </c>
      <c r="G1718" s="87">
        <f t="array" ref="G1718">IF(B1718="insumo",_xlfn.XLOOKUP($D1718,Insumos!$B$1:$B$996,Insumos!$D$1:$D$996),"")</f>
        <v>0.09</v>
      </c>
      <c r="H1718" s="87">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70</v>
      </c>
      <c r="C1719" s="10" t="s">
        <v>1320</v>
      </c>
      <c r="D1719" s="10" t="s">
        <v>414</v>
      </c>
      <c r="E1719" s="11" t="str">
        <f t="array" ref="E1719">_xlfn.XLOOKUP(D1719,Insumos!B:B,Insumos!C:$C)</f>
        <v>UN</v>
      </c>
      <c r="F1719" s="14">
        <v>0.27205000000000001</v>
      </c>
      <c r="G1719" s="87">
        <f t="array" ref="G1719">IF(B1719="insumo",_xlfn.XLOOKUP($D1719,Insumos!$B$1:$B$996,Insumos!$D$1:$D$996),"")</f>
        <v>0.2</v>
      </c>
      <c r="H1719" s="87">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332">
        <v>1</v>
      </c>
      <c r="B1720" s="332" t="s">
        <v>67</v>
      </c>
      <c r="C1720" s="332" t="s">
        <v>1321</v>
      </c>
      <c r="D1720" s="332" t="s">
        <v>1321</v>
      </c>
      <c r="E1720" s="333" t="s">
        <v>69</v>
      </c>
      <c r="F1720" s="332"/>
      <c r="G1720" s="334" t="str">
        <f t="array" ref="G1720">IF(B1720="insumo",_xlfn.XLOOKUP($D1720,Insumos!$B$1:$B$996,Insumos!$D$1:$D$996),"")</f>
        <v/>
      </c>
      <c r="H1720" s="334">
        <v>159.7256165</v>
      </c>
      <c r="I1720" s="335">
        <v>0</v>
      </c>
      <c r="J1720" s="335">
        <v>0</v>
      </c>
      <c r="K1720" s="335"/>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70</v>
      </c>
      <c r="C1721" s="10" t="s">
        <v>1321</v>
      </c>
      <c r="D1721" s="10" t="s">
        <v>406</v>
      </c>
      <c r="E1721" s="11" t="str">
        <f t="array" ref="E1721">_xlfn.XLOOKUP(D1721,Insumos!B:B,Insumos!C:$C)</f>
        <v>M2</v>
      </c>
      <c r="F1721" s="14">
        <v>1</v>
      </c>
      <c r="G1721" s="87">
        <f t="array" ref="G1721">IF(B1721="insumo",_xlfn.XLOOKUP($D1721,Insumos!$B$1:$B$996,Insumos!$D$1:$D$996),"")</f>
        <v>70</v>
      </c>
      <c r="H1721" s="87">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70</v>
      </c>
      <c r="C1722" s="10" t="s">
        <v>1321</v>
      </c>
      <c r="D1722" s="10" t="s">
        <v>407</v>
      </c>
      <c r="E1722" s="11" t="str">
        <f t="array" ref="E1722">_xlfn.XLOOKUP(D1722,Insumos!B:B,Insumos!C:$C)</f>
        <v>M2</v>
      </c>
      <c r="F1722" s="14">
        <v>1.0529999999999999</v>
      </c>
      <c r="G1722" s="87">
        <f t="array" ref="G1722">IF(B1722="insumo",_xlfn.XLOOKUP($D1722,Insumos!$B$1:$B$996,Insumos!$D$1:$D$996),"")</f>
        <v>20.16</v>
      </c>
      <c r="H1722" s="87">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70</v>
      </c>
      <c r="C1723" s="10" t="s">
        <v>1321</v>
      </c>
      <c r="D1723" s="10" t="s">
        <v>408</v>
      </c>
      <c r="E1723" s="11" t="str">
        <f t="array" ref="E1723">_xlfn.XLOOKUP(D1723,Insumos!B:B,Insumos!C:$C)</f>
        <v>UN</v>
      </c>
      <c r="F1723" s="14">
        <v>5.92</v>
      </c>
      <c r="G1723" s="87">
        <f t="array" ref="G1723">IF(B1723="insumo",_xlfn.XLOOKUP($D1723,Insumos!$B$1:$B$996,Insumos!$D$1:$D$996),"")</f>
        <v>0.504</v>
      </c>
      <c r="H1723" s="87">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70</v>
      </c>
      <c r="C1724" s="10" t="s">
        <v>1321</v>
      </c>
      <c r="D1724" s="10" t="s">
        <v>422</v>
      </c>
      <c r="E1724" s="11" t="str">
        <f t="array" ref="E1724">_xlfn.XLOOKUP(D1724,Insumos!B:B,Insumos!C:$C)</f>
        <v>M</v>
      </c>
      <c r="F1724" s="14">
        <v>1.8233999999999999</v>
      </c>
      <c r="G1724" s="87">
        <f t="array" ref="G1724">IF(B1724="insumo",_xlfn.XLOOKUP($D1724,Insumos!$B$1:$B$996,Insumos!$D$1:$D$996),"")</f>
        <v>7.46</v>
      </c>
      <c r="H1724" s="87">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70</v>
      </c>
      <c r="C1725" s="10" t="s">
        <v>1321</v>
      </c>
      <c r="D1725" s="10" t="s">
        <v>423</v>
      </c>
      <c r="E1725" s="11" t="str">
        <f t="array" ref="E1725">_xlfn.XLOOKUP(D1725,Insumos!B:B,Insumos!C:$C)</f>
        <v>M</v>
      </c>
      <c r="F1725" s="14">
        <v>5.8277999999999999</v>
      </c>
      <c r="G1725" s="87">
        <f t="array" ref="G1725">IF(B1725="insumo",_xlfn.XLOOKUP($D1725,Insumos!$B$1:$B$996,Insumos!$D$1:$D$996),"")</f>
        <v>7.98</v>
      </c>
      <c r="H1725" s="87">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70</v>
      </c>
      <c r="C1726" s="10" t="s">
        <v>1321</v>
      </c>
      <c r="D1726" s="10" t="s">
        <v>404</v>
      </c>
      <c r="E1726" s="11" t="str">
        <f t="array" ref="E1726">_xlfn.XLOOKUP(D1726,Insumos!B:B,Insumos!C:$C)</f>
        <v>KG</v>
      </c>
      <c r="F1726" s="14">
        <v>0.54890000000000005</v>
      </c>
      <c r="G1726" s="87">
        <f t="array" ref="G1726">IF(B1726="insumo",_xlfn.XLOOKUP($D1726,Insumos!$B$1:$B$996,Insumos!$D$1:$D$996),"")</f>
        <v>3.43</v>
      </c>
      <c r="H1726" s="87">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70</v>
      </c>
      <c r="C1727" s="10" t="s">
        <v>1321</v>
      </c>
      <c r="D1727" s="10" t="s">
        <v>411</v>
      </c>
      <c r="E1727" s="11" t="str">
        <f t="array" ref="E1727">_xlfn.XLOOKUP(D1727,Insumos!B:B,Insumos!C:$C)</f>
        <v>M</v>
      </c>
      <c r="F1727" s="14">
        <v>1.25135</v>
      </c>
      <c r="G1727" s="87">
        <f t="array" ref="G1727">IF(B1727="insumo",_xlfn.XLOOKUP($D1727,Insumos!$B$1:$B$996,Insumos!$D$1:$D$996),"")</f>
        <v>0.31</v>
      </c>
      <c r="H1727" s="87">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70</v>
      </c>
      <c r="C1728" s="10" t="s">
        <v>1321</v>
      </c>
      <c r="D1728" s="10" t="s">
        <v>412</v>
      </c>
      <c r="E1728" s="11" t="str">
        <f t="array" ref="E1728">_xlfn.XLOOKUP(D1728,Insumos!B:B,Insumos!C:$C)</f>
        <v>M</v>
      </c>
      <c r="F1728" s="14">
        <v>0.79254999999999998</v>
      </c>
      <c r="G1728" s="87">
        <f t="array" ref="G1728">IF(B1728="insumo",_xlfn.XLOOKUP($D1728,Insumos!$B$1:$B$996,Insumos!$D$1:$D$996),"")</f>
        <v>2.74</v>
      </c>
      <c r="H1728" s="87">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70</v>
      </c>
      <c r="C1729" s="10" t="s">
        <v>1321</v>
      </c>
      <c r="D1729" s="10" t="s">
        <v>413</v>
      </c>
      <c r="E1729" s="11" t="str">
        <f t="array" ref="E1729">_xlfn.XLOOKUP(D1729,Insumos!B:B,Insumos!C:$C)</f>
        <v>UN</v>
      </c>
      <c r="F1729" s="14">
        <v>10.093400000000001</v>
      </c>
      <c r="G1729" s="87">
        <f t="array" ref="G1729">IF(B1729="insumo",_xlfn.XLOOKUP($D1729,Insumos!$B$1:$B$996,Insumos!$D$1:$D$996),"")</f>
        <v>0.09</v>
      </c>
      <c r="H1729" s="87">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70</v>
      </c>
      <c r="C1730" s="10" t="s">
        <v>1321</v>
      </c>
      <c r="D1730" s="10" t="s">
        <v>414</v>
      </c>
      <c r="E1730" s="11" t="str">
        <f t="array" ref="E1730">_xlfn.XLOOKUP(D1730,Insumos!B:B,Insumos!C:$C)</f>
        <v>UN</v>
      </c>
      <c r="F1730" s="14">
        <v>0.27205000000000001</v>
      </c>
      <c r="G1730" s="87">
        <f t="array" ref="G1730">IF(B1730="insumo",_xlfn.XLOOKUP($D1730,Insumos!$B$1:$B$996,Insumos!$D$1:$D$996),"")</f>
        <v>0.2</v>
      </c>
      <c r="H1730" s="87">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332">
        <v>1</v>
      </c>
      <c r="B1731" s="332" t="s">
        <v>67</v>
      </c>
      <c r="C1731" s="332" t="s">
        <v>1322</v>
      </c>
      <c r="D1731" s="332" t="s">
        <v>1322</v>
      </c>
      <c r="E1731" s="333" t="s">
        <v>69</v>
      </c>
      <c r="F1731" s="332"/>
      <c r="G1731" s="334" t="str">
        <f t="array" ref="G1731">IF(B1731="insumo",_xlfn.XLOOKUP($D1731,Insumos!$B$1:$B$996,Insumos!$D$1:$D$996),"")</f>
        <v/>
      </c>
      <c r="H1731" s="334">
        <v>159.7256165</v>
      </c>
      <c r="I1731" s="335">
        <v>0</v>
      </c>
      <c r="J1731" s="335">
        <v>0</v>
      </c>
      <c r="K1731" s="335"/>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70</v>
      </c>
      <c r="C1732" s="10" t="s">
        <v>1322</v>
      </c>
      <c r="D1732" s="10" t="s">
        <v>406</v>
      </c>
      <c r="E1732" s="11" t="str">
        <f t="array" ref="E1732">_xlfn.XLOOKUP(D1732,Insumos!B:B,Insumos!C:$C)</f>
        <v>M2</v>
      </c>
      <c r="F1732" s="14">
        <v>1</v>
      </c>
      <c r="G1732" s="87">
        <f t="array" ref="G1732">IF(B1732="insumo",_xlfn.XLOOKUP($D1732,Insumos!$B$1:$B$996,Insumos!$D$1:$D$996),"")</f>
        <v>70</v>
      </c>
      <c r="H1732" s="87">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70</v>
      </c>
      <c r="C1733" s="10" t="s">
        <v>1322</v>
      </c>
      <c r="D1733" s="10" t="s">
        <v>407</v>
      </c>
      <c r="E1733" s="11" t="str">
        <f t="array" ref="E1733">_xlfn.XLOOKUP(D1733,Insumos!B:B,Insumos!C:$C)</f>
        <v>M2</v>
      </c>
      <c r="F1733" s="14">
        <v>1.0529999999999999</v>
      </c>
      <c r="G1733" s="87">
        <f t="array" ref="G1733">IF(B1733="insumo",_xlfn.XLOOKUP($D1733,Insumos!$B$1:$B$996,Insumos!$D$1:$D$996),"")</f>
        <v>20.16</v>
      </c>
      <c r="H1733" s="87">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70</v>
      </c>
      <c r="C1734" s="10" t="s">
        <v>1322</v>
      </c>
      <c r="D1734" s="10" t="s">
        <v>408</v>
      </c>
      <c r="E1734" s="11" t="str">
        <f t="array" ref="E1734">_xlfn.XLOOKUP(D1734,Insumos!B:B,Insumos!C:$C)</f>
        <v>UN</v>
      </c>
      <c r="F1734" s="14">
        <v>5.92</v>
      </c>
      <c r="G1734" s="87">
        <f t="array" ref="G1734">IF(B1734="insumo",_xlfn.XLOOKUP($D1734,Insumos!$B$1:$B$996,Insumos!$D$1:$D$996),"")</f>
        <v>0.504</v>
      </c>
      <c r="H1734" s="87">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70</v>
      </c>
      <c r="C1735" s="10" t="s">
        <v>1322</v>
      </c>
      <c r="D1735" s="10" t="s">
        <v>422</v>
      </c>
      <c r="E1735" s="11" t="str">
        <f t="array" ref="E1735">_xlfn.XLOOKUP(D1735,Insumos!B:B,Insumos!C:$C)</f>
        <v>M</v>
      </c>
      <c r="F1735" s="14">
        <v>1.8233999999999999</v>
      </c>
      <c r="G1735" s="87">
        <f t="array" ref="G1735">IF(B1735="insumo",_xlfn.XLOOKUP($D1735,Insumos!$B$1:$B$996,Insumos!$D$1:$D$996),"")</f>
        <v>7.46</v>
      </c>
      <c r="H1735" s="87">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70</v>
      </c>
      <c r="C1736" s="10" t="s">
        <v>1322</v>
      </c>
      <c r="D1736" s="10" t="s">
        <v>423</v>
      </c>
      <c r="E1736" s="11" t="str">
        <f t="array" ref="E1736">_xlfn.XLOOKUP(D1736,Insumos!B:B,Insumos!C:$C)</f>
        <v>M</v>
      </c>
      <c r="F1736" s="14">
        <v>5.8277999999999999</v>
      </c>
      <c r="G1736" s="87">
        <f t="array" ref="G1736">IF(B1736="insumo",_xlfn.XLOOKUP($D1736,Insumos!$B$1:$B$996,Insumos!$D$1:$D$996),"")</f>
        <v>7.98</v>
      </c>
      <c r="H1736" s="87">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70</v>
      </c>
      <c r="C1737" s="10" t="s">
        <v>1322</v>
      </c>
      <c r="D1737" s="10" t="s">
        <v>404</v>
      </c>
      <c r="E1737" s="11" t="str">
        <f t="array" ref="E1737">_xlfn.XLOOKUP(D1737,Insumos!B:B,Insumos!C:$C)</f>
        <v>KG</v>
      </c>
      <c r="F1737" s="14">
        <v>0.54890000000000005</v>
      </c>
      <c r="G1737" s="87">
        <f t="array" ref="G1737">IF(B1737="insumo",_xlfn.XLOOKUP($D1737,Insumos!$B$1:$B$996,Insumos!$D$1:$D$996),"")</f>
        <v>3.43</v>
      </c>
      <c r="H1737" s="87">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70</v>
      </c>
      <c r="C1738" s="10" t="s">
        <v>1322</v>
      </c>
      <c r="D1738" s="10" t="s">
        <v>411</v>
      </c>
      <c r="E1738" s="11" t="str">
        <f t="array" ref="E1738">_xlfn.XLOOKUP(D1738,Insumos!B:B,Insumos!C:$C)</f>
        <v>M</v>
      </c>
      <c r="F1738" s="14">
        <v>1.25135</v>
      </c>
      <c r="G1738" s="87">
        <f t="array" ref="G1738">IF(B1738="insumo",_xlfn.XLOOKUP($D1738,Insumos!$B$1:$B$996,Insumos!$D$1:$D$996),"")</f>
        <v>0.31</v>
      </c>
      <c r="H1738" s="87">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70</v>
      </c>
      <c r="C1739" s="10" t="s">
        <v>1322</v>
      </c>
      <c r="D1739" s="10" t="s">
        <v>412</v>
      </c>
      <c r="E1739" s="11" t="str">
        <f t="array" ref="E1739">_xlfn.XLOOKUP(D1739,Insumos!B:B,Insumos!C:$C)</f>
        <v>M</v>
      </c>
      <c r="F1739" s="14">
        <v>0.79254999999999998</v>
      </c>
      <c r="G1739" s="87">
        <f t="array" ref="G1739">IF(B1739="insumo",_xlfn.XLOOKUP($D1739,Insumos!$B$1:$B$996,Insumos!$D$1:$D$996),"")</f>
        <v>2.74</v>
      </c>
      <c r="H1739" s="87">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70</v>
      </c>
      <c r="C1740" s="10" t="s">
        <v>1322</v>
      </c>
      <c r="D1740" s="10" t="s">
        <v>413</v>
      </c>
      <c r="E1740" s="11" t="str">
        <f t="array" ref="E1740">_xlfn.XLOOKUP(D1740,Insumos!B:B,Insumos!C:$C)</f>
        <v>UN</v>
      </c>
      <c r="F1740" s="14">
        <v>10.093400000000001</v>
      </c>
      <c r="G1740" s="87">
        <f t="array" ref="G1740">IF(B1740="insumo",_xlfn.XLOOKUP($D1740,Insumos!$B$1:$B$996,Insumos!$D$1:$D$996),"")</f>
        <v>0.09</v>
      </c>
      <c r="H1740" s="87">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70</v>
      </c>
      <c r="C1741" s="10" t="s">
        <v>1322</v>
      </c>
      <c r="D1741" s="10" t="s">
        <v>414</v>
      </c>
      <c r="E1741" s="11" t="str">
        <f t="array" ref="E1741">_xlfn.XLOOKUP(D1741,Insumos!B:B,Insumos!C:$C)</f>
        <v>UN</v>
      </c>
      <c r="F1741" s="14">
        <v>0.27205000000000001</v>
      </c>
      <c r="G1741" s="87">
        <f t="array" ref="G1741">IF(B1741="insumo",_xlfn.XLOOKUP($D1741,Insumos!$B$1:$B$996,Insumos!$D$1:$D$996),"")</f>
        <v>0.2</v>
      </c>
      <c r="H1741" s="87">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332">
        <v>1</v>
      </c>
      <c r="B1742" s="332" t="s">
        <v>67</v>
      </c>
      <c r="C1742" s="332" t="s">
        <v>1323</v>
      </c>
      <c r="D1742" s="332" t="s">
        <v>1323</v>
      </c>
      <c r="E1742" s="333" t="s">
        <v>69</v>
      </c>
      <c r="F1742" s="332"/>
      <c r="G1742" s="334" t="str">
        <f t="array" ref="G1742">IF(B1742="insumo",_xlfn.XLOOKUP($D1742,Insumos!$B$1:$B$996,Insumos!$D$1:$D$996),"")</f>
        <v/>
      </c>
      <c r="H1742" s="334">
        <v>181.35470316666701</v>
      </c>
      <c r="I1742" s="335">
        <v>0</v>
      </c>
      <c r="J1742" s="335">
        <v>0</v>
      </c>
      <c r="K1742" s="335"/>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70</v>
      </c>
      <c r="C1743" s="10" t="s">
        <v>1323</v>
      </c>
      <c r="D1743" s="10" t="s">
        <v>406</v>
      </c>
      <c r="E1743" s="11" t="str">
        <f t="array" ref="E1743">_xlfn.XLOOKUP(D1743,Insumos!B:B,Insumos!C:$C)</f>
        <v>M2</v>
      </c>
      <c r="F1743" s="14">
        <v>1</v>
      </c>
      <c r="G1743" s="87">
        <f t="array" ref="G1743">IF(B1743="insumo",_xlfn.XLOOKUP($D1743,Insumos!$B$1:$B$996,Insumos!$D$1:$D$996),"")</f>
        <v>70</v>
      </c>
      <c r="H1743" s="87">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70</v>
      </c>
      <c r="C1744" s="10" t="s">
        <v>1323</v>
      </c>
      <c r="D1744" s="10" t="s">
        <v>417</v>
      </c>
      <c r="E1744" s="11" t="str">
        <f t="array" ref="E1744">_xlfn.XLOOKUP(D1744,Insumos!B:B,Insumos!C:$C)</f>
        <v>M2</v>
      </c>
      <c r="F1744" s="14">
        <v>1.0529999999999999</v>
      </c>
      <c r="G1744" s="87">
        <f t="array" ref="G1744">IF(B1744="insumo",_xlfn.XLOOKUP($D1744,Insumos!$B$1:$B$996,Insumos!$D$1:$D$996),"")</f>
        <v>27.1</v>
      </c>
      <c r="H1744" s="87">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70</v>
      </c>
      <c r="C1745" s="10" t="s">
        <v>1323</v>
      </c>
      <c r="D1745" s="10" t="s">
        <v>408</v>
      </c>
      <c r="E1745" s="11" t="str">
        <f t="array" ref="E1745">_xlfn.XLOOKUP(D1745,Insumos!B:B,Insumos!C:$C)</f>
        <v>UN</v>
      </c>
      <c r="F1745" s="14">
        <v>5.92</v>
      </c>
      <c r="G1745" s="87">
        <f t="array" ref="G1745">IF(B1745="insumo",_xlfn.XLOOKUP($D1745,Insumos!$B$1:$B$996,Insumos!$D$1:$D$996),"")</f>
        <v>0.504</v>
      </c>
      <c r="H1745" s="87">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70</v>
      </c>
      <c r="C1746" s="10" t="s">
        <v>1323</v>
      </c>
      <c r="D1746" s="10" t="s">
        <v>422</v>
      </c>
      <c r="E1746" s="11" t="str">
        <f t="array" ref="E1746">_xlfn.XLOOKUP(D1746,Insumos!B:B,Insumos!C:$C)</f>
        <v>M</v>
      </c>
      <c r="F1746" s="14">
        <v>1.8233999999999999</v>
      </c>
      <c r="G1746" s="87">
        <f t="array" ref="G1746">IF(B1746="insumo",_xlfn.XLOOKUP($D1746,Insumos!$B$1:$B$996,Insumos!$D$1:$D$996),"")</f>
        <v>7.46</v>
      </c>
      <c r="H1746" s="87">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70</v>
      </c>
      <c r="C1747" s="10" t="s">
        <v>1323</v>
      </c>
      <c r="D1747" s="10" t="s">
        <v>423</v>
      </c>
      <c r="E1747" s="11" t="str">
        <f t="array" ref="E1747">_xlfn.XLOOKUP(D1747,Insumos!B:B,Insumos!C:$C)</f>
        <v>M</v>
      </c>
      <c r="F1747" s="14">
        <v>5.8277999999999999</v>
      </c>
      <c r="G1747" s="87">
        <f t="array" ref="G1747">IF(B1747="insumo",_xlfn.XLOOKUP($D1747,Insumos!$B$1:$B$996,Insumos!$D$1:$D$996),"")</f>
        <v>7.98</v>
      </c>
      <c r="H1747" s="87">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70</v>
      </c>
      <c r="C1748" s="10" t="s">
        <v>1323</v>
      </c>
      <c r="D1748" s="10" t="s">
        <v>404</v>
      </c>
      <c r="E1748" s="11" t="str">
        <f t="array" ref="E1748">_xlfn.XLOOKUP(D1748,Insumos!B:B,Insumos!C:$C)</f>
        <v>KG</v>
      </c>
      <c r="F1748" s="14">
        <v>0.54890000000000005</v>
      </c>
      <c r="G1748" s="87">
        <f t="array" ref="G1748">IF(B1748="insumo",_xlfn.XLOOKUP($D1748,Insumos!$B$1:$B$996,Insumos!$D$1:$D$996),"")</f>
        <v>3.43</v>
      </c>
      <c r="H1748" s="87">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70</v>
      </c>
      <c r="C1749" s="10" t="s">
        <v>1323</v>
      </c>
      <c r="D1749" s="10" t="s">
        <v>411</v>
      </c>
      <c r="E1749" s="11" t="str">
        <f t="array" ref="E1749">_xlfn.XLOOKUP(D1749,Insumos!B:B,Insumos!C:$C)</f>
        <v>M</v>
      </c>
      <c r="F1749" s="14">
        <v>1.25135</v>
      </c>
      <c r="G1749" s="87">
        <f t="array" ref="G1749">IF(B1749="insumo",_xlfn.XLOOKUP($D1749,Insumos!$B$1:$B$996,Insumos!$D$1:$D$996),"")</f>
        <v>0.31</v>
      </c>
      <c r="H1749" s="87">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70</v>
      </c>
      <c r="C1750" s="10" t="s">
        <v>1323</v>
      </c>
      <c r="D1750" s="10" t="s">
        <v>412</v>
      </c>
      <c r="E1750" s="11" t="str">
        <f t="array" ref="E1750">_xlfn.XLOOKUP(D1750,Insumos!B:B,Insumos!C:$C)</f>
        <v>M</v>
      </c>
      <c r="F1750" s="14">
        <v>0.79254999999999998</v>
      </c>
      <c r="G1750" s="87">
        <f t="array" ref="G1750">IF(B1750="insumo",_xlfn.XLOOKUP($D1750,Insumos!$B$1:$B$996,Insumos!$D$1:$D$996),"")</f>
        <v>2.74</v>
      </c>
      <c r="H1750" s="87">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70</v>
      </c>
      <c r="C1751" s="10" t="s">
        <v>1323</v>
      </c>
      <c r="D1751" s="10" t="s">
        <v>413</v>
      </c>
      <c r="E1751" s="11" t="str">
        <f t="array" ref="E1751">_xlfn.XLOOKUP(D1751,Insumos!B:B,Insumos!C:$C)</f>
        <v>UN</v>
      </c>
      <c r="F1751" s="14">
        <v>10.093400000000001</v>
      </c>
      <c r="G1751" s="87">
        <f t="array" ref="G1751">IF(B1751="insumo",_xlfn.XLOOKUP($D1751,Insumos!$B$1:$B$996,Insumos!$D$1:$D$996),"")</f>
        <v>0.09</v>
      </c>
      <c r="H1751" s="87">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70</v>
      </c>
      <c r="C1752" s="10" t="s">
        <v>1323</v>
      </c>
      <c r="D1752" s="10" t="s">
        <v>414</v>
      </c>
      <c r="E1752" s="11" t="str">
        <f t="array" ref="E1752">_xlfn.XLOOKUP(D1752,Insumos!B:B,Insumos!C:$C)</f>
        <v>UN</v>
      </c>
      <c r="F1752" s="14">
        <v>0.27205000000000001</v>
      </c>
      <c r="G1752" s="87">
        <f t="array" ref="G1752">IF(B1752="insumo",_xlfn.XLOOKUP($D1752,Insumos!$B$1:$B$996,Insumos!$D$1:$D$996),"")</f>
        <v>0.2</v>
      </c>
      <c r="H1752" s="87">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70</v>
      </c>
      <c r="C1753" s="10" t="s">
        <v>1323</v>
      </c>
      <c r="D1753" s="10" t="s">
        <v>1576</v>
      </c>
      <c r="E1753" s="11" t="str">
        <f t="array" ref="E1753">_xlfn.XLOOKUP(D1753,Insumos!B:B,Insumos!C:$C)</f>
        <v>M2</v>
      </c>
      <c r="F1753" s="14">
        <v>1.1000000000000001</v>
      </c>
      <c r="G1753" s="87">
        <f t="array" ref="G1753">IF(B1753="insumo",_xlfn.XLOOKUP($D1753,Insumos!$B$1:$B$996,Insumos!$D$1:$D$996),"")</f>
        <v>13.019333333333332</v>
      </c>
      <c r="H1753" s="87">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332">
        <v>1</v>
      </c>
      <c r="B1754" s="332" t="s">
        <v>67</v>
      </c>
      <c r="C1754" s="332" t="s">
        <v>1324</v>
      </c>
      <c r="D1754" s="332" t="s">
        <v>1324</v>
      </c>
      <c r="E1754" s="333" t="s">
        <v>69</v>
      </c>
      <c r="F1754" s="332"/>
      <c r="G1754" s="334" t="str">
        <f t="array" ref="G1754">IF(B1754="insumo",_xlfn.XLOOKUP($D1754,Insumos!$B$1:$B$996,Insumos!$D$1:$D$996),"")</f>
        <v/>
      </c>
      <c r="H1754" s="334">
        <v>174.04688316666699</v>
      </c>
      <c r="I1754" s="335">
        <v>0</v>
      </c>
      <c r="J1754" s="335">
        <v>0</v>
      </c>
      <c r="K1754" s="335"/>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70</v>
      </c>
      <c r="C1755" s="10" t="s">
        <v>1324</v>
      </c>
      <c r="D1755" s="10" t="s">
        <v>406</v>
      </c>
      <c r="E1755" s="11" t="str">
        <f t="array" ref="E1755">_xlfn.XLOOKUP(D1755,Insumos!B:B,Insumos!C:$C)</f>
        <v>M2</v>
      </c>
      <c r="F1755" s="14">
        <v>1</v>
      </c>
      <c r="G1755" s="87">
        <f t="array" ref="G1755">IF(B1755="insumo",_xlfn.XLOOKUP($D1755,Insumos!$B$1:$B$996,Insumos!$D$1:$D$996),"")</f>
        <v>70</v>
      </c>
      <c r="H1755" s="87">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70</v>
      </c>
      <c r="C1756" s="10" t="s">
        <v>1324</v>
      </c>
      <c r="D1756" s="10" t="s">
        <v>407</v>
      </c>
      <c r="E1756" s="11" t="str">
        <f t="array" ref="E1756">_xlfn.XLOOKUP(D1756,Insumos!B:B,Insumos!C:$C)</f>
        <v>M2</v>
      </c>
      <c r="F1756" s="14">
        <v>1.0529999999999999</v>
      </c>
      <c r="G1756" s="87">
        <f t="array" ref="G1756">IF(B1756="insumo",_xlfn.XLOOKUP($D1756,Insumos!$B$1:$B$996,Insumos!$D$1:$D$996),"")</f>
        <v>20.16</v>
      </c>
      <c r="H1756" s="87">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70</v>
      </c>
      <c r="C1757" s="10" t="s">
        <v>1324</v>
      </c>
      <c r="D1757" s="10" t="s">
        <v>408</v>
      </c>
      <c r="E1757" s="11" t="str">
        <f t="array" ref="E1757">_xlfn.XLOOKUP(D1757,Insumos!B:B,Insumos!C:$C)</f>
        <v>UN</v>
      </c>
      <c r="F1757" s="14">
        <v>5.92</v>
      </c>
      <c r="G1757" s="87">
        <f t="array" ref="G1757">IF(B1757="insumo",_xlfn.XLOOKUP($D1757,Insumos!$B$1:$B$996,Insumos!$D$1:$D$996),"")</f>
        <v>0.504</v>
      </c>
      <c r="H1757" s="87">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70</v>
      </c>
      <c r="C1758" s="10" t="s">
        <v>1324</v>
      </c>
      <c r="D1758" s="10" t="s">
        <v>422</v>
      </c>
      <c r="E1758" s="11" t="str">
        <f t="array" ref="E1758">_xlfn.XLOOKUP(D1758,Insumos!B:B,Insumos!C:$C)</f>
        <v>M</v>
      </c>
      <c r="F1758" s="14">
        <v>1.8233999999999999</v>
      </c>
      <c r="G1758" s="87">
        <f t="array" ref="G1758">IF(B1758="insumo",_xlfn.XLOOKUP($D1758,Insumos!$B$1:$B$996,Insumos!$D$1:$D$996),"")</f>
        <v>7.46</v>
      </c>
      <c r="H1758" s="87">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70</v>
      </c>
      <c r="C1759" s="10" t="s">
        <v>1324</v>
      </c>
      <c r="D1759" s="10" t="s">
        <v>423</v>
      </c>
      <c r="E1759" s="11" t="str">
        <f t="array" ref="E1759">_xlfn.XLOOKUP(D1759,Insumos!B:B,Insumos!C:$C)</f>
        <v>M</v>
      </c>
      <c r="F1759" s="14">
        <v>5.8277999999999999</v>
      </c>
      <c r="G1759" s="87">
        <f t="array" ref="G1759">IF(B1759="insumo",_xlfn.XLOOKUP($D1759,Insumos!$B$1:$B$996,Insumos!$D$1:$D$996),"")</f>
        <v>7.98</v>
      </c>
      <c r="H1759" s="87">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70</v>
      </c>
      <c r="C1760" s="10" t="s">
        <v>1324</v>
      </c>
      <c r="D1760" s="10" t="s">
        <v>404</v>
      </c>
      <c r="E1760" s="11" t="str">
        <f t="array" ref="E1760">_xlfn.XLOOKUP(D1760,Insumos!B:B,Insumos!C:$C)</f>
        <v>KG</v>
      </c>
      <c r="F1760" s="14">
        <v>0.54890000000000005</v>
      </c>
      <c r="G1760" s="87">
        <f t="array" ref="G1760">IF(B1760="insumo",_xlfn.XLOOKUP($D1760,Insumos!$B$1:$B$996,Insumos!$D$1:$D$996),"")</f>
        <v>3.43</v>
      </c>
      <c r="H1760" s="87">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70</v>
      </c>
      <c r="C1761" s="10" t="s">
        <v>1324</v>
      </c>
      <c r="D1761" s="10" t="s">
        <v>411</v>
      </c>
      <c r="E1761" s="11" t="str">
        <f t="array" ref="E1761">_xlfn.XLOOKUP(D1761,Insumos!B:B,Insumos!C:$C)</f>
        <v>M</v>
      </c>
      <c r="F1761" s="14">
        <v>1.25135</v>
      </c>
      <c r="G1761" s="87">
        <f t="array" ref="G1761">IF(B1761="insumo",_xlfn.XLOOKUP($D1761,Insumos!$B$1:$B$996,Insumos!$D$1:$D$996),"")</f>
        <v>0.31</v>
      </c>
      <c r="H1761" s="87">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70</v>
      </c>
      <c r="C1762" s="10" t="s">
        <v>1324</v>
      </c>
      <c r="D1762" s="10" t="s">
        <v>412</v>
      </c>
      <c r="E1762" s="11" t="str">
        <f t="array" ref="E1762">_xlfn.XLOOKUP(D1762,Insumos!B:B,Insumos!C:$C)</f>
        <v>M</v>
      </c>
      <c r="F1762" s="14">
        <v>0.79254999999999998</v>
      </c>
      <c r="G1762" s="87">
        <f t="array" ref="G1762">IF(B1762="insumo",_xlfn.XLOOKUP($D1762,Insumos!$B$1:$B$996,Insumos!$D$1:$D$996),"")</f>
        <v>2.74</v>
      </c>
      <c r="H1762" s="87">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70</v>
      </c>
      <c r="C1763" s="10" t="s">
        <v>1324</v>
      </c>
      <c r="D1763" s="10" t="s">
        <v>413</v>
      </c>
      <c r="E1763" s="11" t="str">
        <f t="array" ref="E1763">_xlfn.XLOOKUP(D1763,Insumos!B:B,Insumos!C:$C)</f>
        <v>UN</v>
      </c>
      <c r="F1763" s="14">
        <v>10.093400000000001</v>
      </c>
      <c r="G1763" s="87">
        <f t="array" ref="G1763">IF(B1763="insumo",_xlfn.XLOOKUP($D1763,Insumos!$B$1:$B$996,Insumos!$D$1:$D$996),"")</f>
        <v>0.09</v>
      </c>
      <c r="H1763" s="87">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70</v>
      </c>
      <c r="C1764" s="10" t="s">
        <v>1324</v>
      </c>
      <c r="D1764" s="10" t="s">
        <v>414</v>
      </c>
      <c r="E1764" s="11" t="str">
        <f t="array" ref="E1764">_xlfn.XLOOKUP(D1764,Insumos!B:B,Insumos!C:$C)</f>
        <v>UN</v>
      </c>
      <c r="F1764" s="14">
        <v>0.27205000000000001</v>
      </c>
      <c r="G1764" s="87">
        <f t="array" ref="G1764">IF(B1764="insumo",_xlfn.XLOOKUP($D1764,Insumos!$B$1:$B$996,Insumos!$D$1:$D$996),"")</f>
        <v>0.2</v>
      </c>
      <c r="H1764" s="87">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70</v>
      </c>
      <c r="C1765" s="10" t="s">
        <v>1324</v>
      </c>
      <c r="D1765" s="10" t="s">
        <v>1576</v>
      </c>
      <c r="E1765" s="11" t="str">
        <f t="array" ref="E1765">_xlfn.XLOOKUP(D1765,Insumos!B:B,Insumos!C:$C)</f>
        <v>M2</v>
      </c>
      <c r="F1765" s="14">
        <v>1.1000000000000001</v>
      </c>
      <c r="G1765" s="87">
        <f t="array" ref="G1765">IF(B1765="insumo",_xlfn.XLOOKUP($D1765,Insumos!$B$1:$B$996,Insumos!$D$1:$D$996),"")</f>
        <v>13.019333333333332</v>
      </c>
      <c r="H1765" s="87">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332">
        <v>1</v>
      </c>
      <c r="B1766" s="332" t="s">
        <v>67</v>
      </c>
      <c r="C1766" s="332" t="s">
        <v>1337</v>
      </c>
      <c r="D1766" s="332" t="s">
        <v>1337</v>
      </c>
      <c r="E1766" s="333" t="s">
        <v>69</v>
      </c>
      <c r="F1766" s="332"/>
      <c r="G1766" s="334" t="str">
        <f t="array" ref="G1766">IF(B1766="insumo",_xlfn.XLOOKUP($D1766,Insumos!$B$1:$B$996,Insumos!$D$1:$D$996),"")</f>
        <v/>
      </c>
      <c r="H1766" s="334">
        <v>174.04688316666699</v>
      </c>
      <c r="I1766" s="335">
        <v>0</v>
      </c>
      <c r="J1766" s="335">
        <v>0</v>
      </c>
      <c r="K1766" s="335"/>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70</v>
      </c>
      <c r="C1767" s="10" t="s">
        <v>1337</v>
      </c>
      <c r="D1767" s="10" t="s">
        <v>406</v>
      </c>
      <c r="E1767" s="11" t="str">
        <f t="array" ref="E1767">_xlfn.XLOOKUP(D1767,Insumos!B:B,Insumos!C:$C)</f>
        <v>M2</v>
      </c>
      <c r="F1767" s="14">
        <v>1</v>
      </c>
      <c r="G1767" s="87">
        <f t="array" ref="G1767">IF(B1767="insumo",_xlfn.XLOOKUP($D1767,Insumos!$B$1:$B$996,Insumos!$D$1:$D$996),"")</f>
        <v>70</v>
      </c>
      <c r="H1767" s="87">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70</v>
      </c>
      <c r="C1768" s="10" t="s">
        <v>1337</v>
      </c>
      <c r="D1768" s="10" t="s">
        <v>407</v>
      </c>
      <c r="E1768" s="11" t="str">
        <f t="array" ref="E1768">_xlfn.XLOOKUP(D1768,Insumos!B:B,Insumos!C:$C)</f>
        <v>M2</v>
      </c>
      <c r="F1768" s="14">
        <v>1.0529999999999999</v>
      </c>
      <c r="G1768" s="87">
        <f t="array" ref="G1768">IF(B1768="insumo",_xlfn.XLOOKUP($D1768,Insumos!$B$1:$B$996,Insumos!$D$1:$D$996),"")</f>
        <v>20.16</v>
      </c>
      <c r="H1768" s="87">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70</v>
      </c>
      <c r="C1769" s="10" t="s">
        <v>1337</v>
      </c>
      <c r="D1769" s="10" t="s">
        <v>408</v>
      </c>
      <c r="E1769" s="11" t="str">
        <f t="array" ref="E1769">_xlfn.XLOOKUP(D1769,Insumos!B:B,Insumos!C:$C)</f>
        <v>UN</v>
      </c>
      <c r="F1769" s="14">
        <v>5.92</v>
      </c>
      <c r="G1769" s="87">
        <f t="array" ref="G1769">IF(B1769="insumo",_xlfn.XLOOKUP($D1769,Insumos!$B$1:$B$996,Insumos!$D$1:$D$996),"")</f>
        <v>0.504</v>
      </c>
      <c r="H1769" s="87">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70</v>
      </c>
      <c r="C1770" s="10" t="s">
        <v>1337</v>
      </c>
      <c r="D1770" s="10" t="s">
        <v>422</v>
      </c>
      <c r="E1770" s="11" t="str">
        <f t="array" ref="E1770">_xlfn.XLOOKUP(D1770,Insumos!B:B,Insumos!C:$C)</f>
        <v>M</v>
      </c>
      <c r="F1770" s="14">
        <v>1.8233999999999999</v>
      </c>
      <c r="G1770" s="87">
        <f t="array" ref="G1770">IF(B1770="insumo",_xlfn.XLOOKUP($D1770,Insumos!$B$1:$B$996,Insumos!$D$1:$D$996),"")</f>
        <v>7.46</v>
      </c>
      <c r="H1770" s="87">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70</v>
      </c>
      <c r="C1771" s="10" t="s">
        <v>1337</v>
      </c>
      <c r="D1771" s="10" t="s">
        <v>423</v>
      </c>
      <c r="E1771" s="11" t="str">
        <f t="array" ref="E1771">_xlfn.XLOOKUP(D1771,Insumos!B:B,Insumos!C:$C)</f>
        <v>M</v>
      </c>
      <c r="F1771" s="14">
        <v>5.8277999999999999</v>
      </c>
      <c r="G1771" s="87">
        <f t="array" ref="G1771">IF(B1771="insumo",_xlfn.XLOOKUP($D1771,Insumos!$B$1:$B$996,Insumos!$D$1:$D$996),"")</f>
        <v>7.98</v>
      </c>
      <c r="H1771" s="87">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70</v>
      </c>
      <c r="C1772" s="10" t="s">
        <v>1337</v>
      </c>
      <c r="D1772" s="10" t="s">
        <v>404</v>
      </c>
      <c r="E1772" s="11" t="str">
        <f t="array" ref="E1772">_xlfn.XLOOKUP(D1772,Insumos!B:B,Insumos!C:$C)</f>
        <v>KG</v>
      </c>
      <c r="F1772" s="14">
        <v>0.54890000000000005</v>
      </c>
      <c r="G1772" s="87">
        <f t="array" ref="G1772">IF(B1772="insumo",_xlfn.XLOOKUP($D1772,Insumos!$B$1:$B$996,Insumos!$D$1:$D$996),"")</f>
        <v>3.43</v>
      </c>
      <c r="H1772" s="87">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70</v>
      </c>
      <c r="C1773" s="10" t="s">
        <v>1337</v>
      </c>
      <c r="D1773" s="10" t="s">
        <v>411</v>
      </c>
      <c r="E1773" s="11" t="str">
        <f t="array" ref="E1773">_xlfn.XLOOKUP(D1773,Insumos!B:B,Insumos!C:$C)</f>
        <v>M</v>
      </c>
      <c r="F1773" s="14">
        <v>1.25135</v>
      </c>
      <c r="G1773" s="87">
        <f t="array" ref="G1773">IF(B1773="insumo",_xlfn.XLOOKUP($D1773,Insumos!$B$1:$B$996,Insumos!$D$1:$D$996),"")</f>
        <v>0.31</v>
      </c>
      <c r="H1773" s="87">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70</v>
      </c>
      <c r="C1774" s="10" t="s">
        <v>1337</v>
      </c>
      <c r="D1774" s="10" t="s">
        <v>412</v>
      </c>
      <c r="E1774" s="11" t="str">
        <f t="array" ref="E1774">_xlfn.XLOOKUP(D1774,Insumos!B:B,Insumos!C:$C)</f>
        <v>M</v>
      </c>
      <c r="F1774" s="14">
        <v>0.79254999999999998</v>
      </c>
      <c r="G1774" s="87">
        <f t="array" ref="G1774">IF(B1774="insumo",_xlfn.XLOOKUP($D1774,Insumos!$B$1:$B$996,Insumos!$D$1:$D$996),"")</f>
        <v>2.74</v>
      </c>
      <c r="H1774" s="87">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70</v>
      </c>
      <c r="C1775" s="10" t="s">
        <v>1337</v>
      </c>
      <c r="D1775" s="10" t="s">
        <v>413</v>
      </c>
      <c r="E1775" s="11" t="str">
        <f t="array" ref="E1775">_xlfn.XLOOKUP(D1775,Insumos!B:B,Insumos!C:$C)</f>
        <v>UN</v>
      </c>
      <c r="F1775" s="14">
        <v>10.093400000000001</v>
      </c>
      <c r="G1775" s="87">
        <f t="array" ref="G1775">IF(B1775="insumo",_xlfn.XLOOKUP($D1775,Insumos!$B$1:$B$996,Insumos!$D$1:$D$996),"")</f>
        <v>0.09</v>
      </c>
      <c r="H1775" s="87">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70</v>
      </c>
      <c r="C1776" s="10" t="s">
        <v>1337</v>
      </c>
      <c r="D1776" s="10" t="s">
        <v>414</v>
      </c>
      <c r="E1776" s="11" t="str">
        <f t="array" ref="E1776">_xlfn.XLOOKUP(D1776,Insumos!B:B,Insumos!C:$C)</f>
        <v>UN</v>
      </c>
      <c r="F1776" s="14">
        <v>0.27205000000000001</v>
      </c>
      <c r="G1776" s="87">
        <f t="array" ref="G1776">IF(B1776="insumo",_xlfn.XLOOKUP($D1776,Insumos!$B$1:$B$996,Insumos!$D$1:$D$996),"")</f>
        <v>0.2</v>
      </c>
      <c r="H1776" s="87">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70</v>
      </c>
      <c r="C1777" s="10" t="s">
        <v>1337</v>
      </c>
      <c r="D1777" s="10" t="s">
        <v>1576</v>
      </c>
      <c r="E1777" s="11" t="str">
        <f t="array" ref="E1777">_xlfn.XLOOKUP(D1777,Insumos!B:B,Insumos!C:$C)</f>
        <v>M2</v>
      </c>
      <c r="F1777" s="14">
        <v>1.1000000000000001</v>
      </c>
      <c r="G1777" s="87">
        <f t="array" ref="G1777">IF(B1777="insumo",_xlfn.XLOOKUP($D1777,Insumos!$B$1:$B$996,Insumos!$D$1:$D$996),"")</f>
        <v>13.019333333333332</v>
      </c>
      <c r="H1777" s="87">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332">
        <v>1</v>
      </c>
      <c r="B1778" s="332" t="s">
        <v>67</v>
      </c>
      <c r="C1778" s="332" t="s">
        <v>1346</v>
      </c>
      <c r="D1778" s="332" t="s">
        <v>1346</v>
      </c>
      <c r="E1778" s="333" t="s">
        <v>69</v>
      </c>
      <c r="F1778" s="332"/>
      <c r="G1778" s="334" t="str">
        <f t="array" ref="G1778">IF(B1778="insumo",_xlfn.XLOOKUP($D1778,Insumos!$B$1:$B$996,Insumos!$D$1:$D$996),"")</f>
        <v/>
      </c>
      <c r="H1778" s="334">
        <v>167.03343649999999</v>
      </c>
      <c r="I1778" s="335">
        <v>0</v>
      </c>
      <c r="J1778" s="335">
        <v>0</v>
      </c>
      <c r="K1778" s="335"/>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70</v>
      </c>
      <c r="C1779" s="10" t="s">
        <v>1346</v>
      </c>
      <c r="D1779" s="10" t="s">
        <v>406</v>
      </c>
      <c r="E1779" s="11" t="str">
        <f t="array" ref="E1779">_xlfn.XLOOKUP(D1779,Insumos!B:B,Insumos!C:$C)</f>
        <v>M2</v>
      </c>
      <c r="F1779" s="14">
        <v>1</v>
      </c>
      <c r="G1779" s="87">
        <f t="array" ref="G1779">IF(B1779="insumo",_xlfn.XLOOKUP($D1779,Insumos!$B$1:$B$996,Insumos!$D$1:$D$996),"")</f>
        <v>70</v>
      </c>
      <c r="H1779" s="87">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70</v>
      </c>
      <c r="C1780" s="10" t="s">
        <v>1346</v>
      </c>
      <c r="D1780" s="10" t="s">
        <v>417</v>
      </c>
      <c r="E1780" s="11" t="str">
        <f t="array" ref="E1780">_xlfn.XLOOKUP(D1780,Insumos!B:B,Insumos!C:$C)</f>
        <v>M2</v>
      </c>
      <c r="F1780" s="14">
        <v>1.0529999999999999</v>
      </c>
      <c r="G1780" s="87">
        <f t="array" ref="G1780">IF(B1780="insumo",_xlfn.XLOOKUP($D1780,Insumos!$B$1:$B$996,Insumos!$D$1:$D$996),"")</f>
        <v>27.1</v>
      </c>
      <c r="H1780" s="87">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70</v>
      </c>
      <c r="C1781" s="10" t="s">
        <v>1346</v>
      </c>
      <c r="D1781" s="10" t="s">
        <v>408</v>
      </c>
      <c r="E1781" s="11" t="str">
        <f t="array" ref="E1781">_xlfn.XLOOKUP(D1781,Insumos!B:B,Insumos!C:$C)</f>
        <v>UN</v>
      </c>
      <c r="F1781" s="14">
        <v>5.92</v>
      </c>
      <c r="G1781" s="87">
        <f t="array" ref="G1781">IF(B1781="insumo",_xlfn.XLOOKUP($D1781,Insumos!$B$1:$B$996,Insumos!$D$1:$D$996),"")</f>
        <v>0.504</v>
      </c>
      <c r="H1781" s="87">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70</v>
      </c>
      <c r="C1782" s="10" t="s">
        <v>1346</v>
      </c>
      <c r="D1782" s="10" t="s">
        <v>422</v>
      </c>
      <c r="E1782" s="11" t="str">
        <f t="array" ref="E1782">_xlfn.XLOOKUP(D1782,Insumos!B:B,Insumos!C:$C)</f>
        <v>M</v>
      </c>
      <c r="F1782" s="14">
        <v>1.8233999999999999</v>
      </c>
      <c r="G1782" s="87">
        <f t="array" ref="G1782">IF(B1782="insumo",_xlfn.XLOOKUP($D1782,Insumos!$B$1:$B$996,Insumos!$D$1:$D$996),"")</f>
        <v>7.46</v>
      </c>
      <c r="H1782" s="87">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70</v>
      </c>
      <c r="C1783" s="10" t="s">
        <v>1346</v>
      </c>
      <c r="D1783" s="10" t="s">
        <v>423</v>
      </c>
      <c r="E1783" s="11" t="str">
        <f t="array" ref="E1783">_xlfn.XLOOKUP(D1783,Insumos!B:B,Insumos!C:$C)</f>
        <v>M</v>
      </c>
      <c r="F1783" s="14">
        <v>5.8277999999999999</v>
      </c>
      <c r="G1783" s="87">
        <f t="array" ref="G1783">IF(B1783="insumo",_xlfn.XLOOKUP($D1783,Insumos!$B$1:$B$996,Insumos!$D$1:$D$996),"")</f>
        <v>7.98</v>
      </c>
      <c r="H1783" s="87">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70</v>
      </c>
      <c r="C1784" s="10" t="s">
        <v>1346</v>
      </c>
      <c r="D1784" s="10" t="s">
        <v>404</v>
      </c>
      <c r="E1784" s="11" t="str">
        <f t="array" ref="E1784">_xlfn.XLOOKUP(D1784,Insumos!B:B,Insumos!C:$C)</f>
        <v>KG</v>
      </c>
      <c r="F1784" s="14">
        <v>0.54890000000000005</v>
      </c>
      <c r="G1784" s="87">
        <f t="array" ref="G1784">IF(B1784="insumo",_xlfn.XLOOKUP($D1784,Insumos!$B$1:$B$996,Insumos!$D$1:$D$996),"")</f>
        <v>3.43</v>
      </c>
      <c r="H1784" s="87">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70</v>
      </c>
      <c r="C1785" s="10" t="s">
        <v>1346</v>
      </c>
      <c r="D1785" s="10" t="s">
        <v>411</v>
      </c>
      <c r="E1785" s="11" t="str">
        <f t="array" ref="E1785">_xlfn.XLOOKUP(D1785,Insumos!B:B,Insumos!C:$C)</f>
        <v>M</v>
      </c>
      <c r="F1785" s="14">
        <v>1.25135</v>
      </c>
      <c r="G1785" s="87">
        <f t="array" ref="G1785">IF(B1785="insumo",_xlfn.XLOOKUP($D1785,Insumos!$B$1:$B$996,Insumos!$D$1:$D$996),"")</f>
        <v>0.31</v>
      </c>
      <c r="H1785" s="87">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70</v>
      </c>
      <c r="C1786" s="10" t="s">
        <v>1346</v>
      </c>
      <c r="D1786" s="10" t="s">
        <v>412</v>
      </c>
      <c r="E1786" s="11" t="str">
        <f t="array" ref="E1786">_xlfn.XLOOKUP(D1786,Insumos!B:B,Insumos!C:$C)</f>
        <v>M</v>
      </c>
      <c r="F1786" s="14">
        <v>0.79254999999999998</v>
      </c>
      <c r="G1786" s="87">
        <f t="array" ref="G1786">IF(B1786="insumo",_xlfn.XLOOKUP($D1786,Insumos!$B$1:$B$996,Insumos!$D$1:$D$996),"")</f>
        <v>2.74</v>
      </c>
      <c r="H1786" s="87">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70</v>
      </c>
      <c r="C1787" s="10" t="s">
        <v>1346</v>
      </c>
      <c r="D1787" s="10" t="s">
        <v>413</v>
      </c>
      <c r="E1787" s="11" t="str">
        <f t="array" ref="E1787">_xlfn.XLOOKUP(D1787,Insumos!B:B,Insumos!C:$C)</f>
        <v>UN</v>
      </c>
      <c r="F1787" s="14">
        <v>10.093400000000001</v>
      </c>
      <c r="G1787" s="87">
        <f t="array" ref="G1787">IF(B1787="insumo",_xlfn.XLOOKUP($D1787,Insumos!$B$1:$B$996,Insumos!$D$1:$D$996),"")</f>
        <v>0.09</v>
      </c>
      <c r="H1787" s="87">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70</v>
      </c>
      <c r="C1788" s="10" t="s">
        <v>1346</v>
      </c>
      <c r="D1788" s="10" t="s">
        <v>414</v>
      </c>
      <c r="E1788" s="11" t="str">
        <f t="array" ref="E1788">_xlfn.XLOOKUP(D1788,Insumos!B:B,Insumos!C:$C)</f>
        <v>UN</v>
      </c>
      <c r="F1788" s="14">
        <v>0.27205000000000001</v>
      </c>
      <c r="G1788" s="87">
        <f t="array" ref="G1788">IF(B1788="insumo",_xlfn.XLOOKUP($D1788,Insumos!$B$1:$B$996,Insumos!$D$1:$D$996),"")</f>
        <v>0.2</v>
      </c>
      <c r="H1788" s="87">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332">
        <v>1</v>
      </c>
      <c r="B1789" s="332" t="s">
        <v>67</v>
      </c>
      <c r="C1789" s="332" t="s">
        <v>1348</v>
      </c>
      <c r="D1789" s="332" t="s">
        <v>1348</v>
      </c>
      <c r="E1789" s="333" t="s">
        <v>69</v>
      </c>
      <c r="F1789" s="332"/>
      <c r="G1789" s="334" t="str">
        <f t="array" ref="G1789">IF(B1789="insumo",_xlfn.XLOOKUP($D1789,Insumos!$B$1:$B$996,Insumos!$D$1:$D$996),"")</f>
        <v/>
      </c>
      <c r="H1789" s="334">
        <v>181.35470316666701</v>
      </c>
      <c r="I1789" s="335">
        <v>0</v>
      </c>
      <c r="J1789" s="335">
        <v>0</v>
      </c>
      <c r="K1789" s="335"/>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70</v>
      </c>
      <c r="C1790" s="10" t="s">
        <v>1348</v>
      </c>
      <c r="D1790" s="10" t="s">
        <v>406</v>
      </c>
      <c r="E1790" s="11" t="str">
        <f t="array" ref="E1790">_xlfn.XLOOKUP(D1790,Insumos!B:B,Insumos!C:$C)</f>
        <v>M2</v>
      </c>
      <c r="F1790" s="14">
        <v>1</v>
      </c>
      <c r="G1790" s="87">
        <f t="array" ref="G1790">IF(B1790="insumo",_xlfn.XLOOKUP($D1790,Insumos!$B$1:$B$996,Insumos!$D$1:$D$996),"")</f>
        <v>70</v>
      </c>
      <c r="H1790" s="87">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70</v>
      </c>
      <c r="C1791" s="10" t="s">
        <v>1348</v>
      </c>
      <c r="D1791" s="10" t="s">
        <v>417</v>
      </c>
      <c r="E1791" s="11" t="str">
        <f t="array" ref="E1791">_xlfn.XLOOKUP(D1791,Insumos!B:B,Insumos!C:$C)</f>
        <v>M2</v>
      </c>
      <c r="F1791" s="14">
        <v>1.0529999999999999</v>
      </c>
      <c r="G1791" s="87">
        <f t="array" ref="G1791">IF(B1791="insumo",_xlfn.XLOOKUP($D1791,Insumos!$B$1:$B$996,Insumos!$D$1:$D$996),"")</f>
        <v>27.1</v>
      </c>
      <c r="H1791" s="87">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70</v>
      </c>
      <c r="C1792" s="10" t="s">
        <v>1348</v>
      </c>
      <c r="D1792" s="10" t="s">
        <v>408</v>
      </c>
      <c r="E1792" s="11" t="str">
        <f t="array" ref="E1792">_xlfn.XLOOKUP(D1792,Insumos!B:B,Insumos!C:$C)</f>
        <v>UN</v>
      </c>
      <c r="F1792" s="14">
        <v>5.92</v>
      </c>
      <c r="G1792" s="87">
        <f t="array" ref="G1792">IF(B1792="insumo",_xlfn.XLOOKUP($D1792,Insumos!$B$1:$B$996,Insumos!$D$1:$D$996),"")</f>
        <v>0.504</v>
      </c>
      <c r="H1792" s="87">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70</v>
      </c>
      <c r="C1793" s="10" t="s">
        <v>1348</v>
      </c>
      <c r="D1793" s="10" t="s">
        <v>422</v>
      </c>
      <c r="E1793" s="11" t="str">
        <f t="array" ref="E1793">_xlfn.XLOOKUP(D1793,Insumos!B:B,Insumos!C:$C)</f>
        <v>M</v>
      </c>
      <c r="F1793" s="14">
        <v>1.8233999999999999</v>
      </c>
      <c r="G1793" s="87">
        <f t="array" ref="G1793">IF(B1793="insumo",_xlfn.XLOOKUP($D1793,Insumos!$B$1:$B$996,Insumos!$D$1:$D$996),"")</f>
        <v>7.46</v>
      </c>
      <c r="H1793" s="87">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70</v>
      </c>
      <c r="C1794" s="10" t="s">
        <v>1348</v>
      </c>
      <c r="D1794" s="10" t="s">
        <v>423</v>
      </c>
      <c r="E1794" s="11" t="str">
        <f t="array" ref="E1794">_xlfn.XLOOKUP(D1794,Insumos!B:B,Insumos!C:$C)</f>
        <v>M</v>
      </c>
      <c r="F1794" s="14">
        <v>5.8277999999999999</v>
      </c>
      <c r="G1794" s="87">
        <f t="array" ref="G1794">IF(B1794="insumo",_xlfn.XLOOKUP($D1794,Insumos!$B$1:$B$996,Insumos!$D$1:$D$996),"")</f>
        <v>7.98</v>
      </c>
      <c r="H1794" s="87">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70</v>
      </c>
      <c r="C1795" s="10" t="s">
        <v>1348</v>
      </c>
      <c r="D1795" s="10" t="s">
        <v>404</v>
      </c>
      <c r="E1795" s="11" t="str">
        <f t="array" ref="E1795">_xlfn.XLOOKUP(D1795,Insumos!B:B,Insumos!C:$C)</f>
        <v>KG</v>
      </c>
      <c r="F1795" s="14">
        <v>0.54890000000000005</v>
      </c>
      <c r="G1795" s="87">
        <f t="array" ref="G1795">IF(B1795="insumo",_xlfn.XLOOKUP($D1795,Insumos!$B$1:$B$996,Insumos!$D$1:$D$996),"")</f>
        <v>3.43</v>
      </c>
      <c r="H1795" s="87">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70</v>
      </c>
      <c r="C1796" s="10" t="s">
        <v>1348</v>
      </c>
      <c r="D1796" s="10" t="s">
        <v>411</v>
      </c>
      <c r="E1796" s="11" t="str">
        <f t="array" ref="E1796">_xlfn.XLOOKUP(D1796,Insumos!B:B,Insumos!C:$C)</f>
        <v>M</v>
      </c>
      <c r="F1796" s="14">
        <v>1.25135</v>
      </c>
      <c r="G1796" s="87">
        <f t="array" ref="G1796">IF(B1796="insumo",_xlfn.XLOOKUP($D1796,Insumos!$B$1:$B$996,Insumos!$D$1:$D$996),"")</f>
        <v>0.31</v>
      </c>
      <c r="H1796" s="87">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70</v>
      </c>
      <c r="C1797" s="10" t="s">
        <v>1348</v>
      </c>
      <c r="D1797" s="10" t="s">
        <v>412</v>
      </c>
      <c r="E1797" s="11" t="str">
        <f t="array" ref="E1797">_xlfn.XLOOKUP(D1797,Insumos!B:B,Insumos!C:$C)</f>
        <v>M</v>
      </c>
      <c r="F1797" s="14">
        <v>0.79254999999999998</v>
      </c>
      <c r="G1797" s="87">
        <f t="array" ref="G1797">IF(B1797="insumo",_xlfn.XLOOKUP($D1797,Insumos!$B$1:$B$996,Insumos!$D$1:$D$996),"")</f>
        <v>2.74</v>
      </c>
      <c r="H1797" s="87">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70</v>
      </c>
      <c r="C1798" s="10" t="s">
        <v>1348</v>
      </c>
      <c r="D1798" s="10" t="s">
        <v>413</v>
      </c>
      <c r="E1798" s="11" t="str">
        <f t="array" ref="E1798">_xlfn.XLOOKUP(D1798,Insumos!B:B,Insumos!C:$C)</f>
        <v>UN</v>
      </c>
      <c r="F1798" s="14">
        <v>10.093400000000001</v>
      </c>
      <c r="G1798" s="87">
        <f t="array" ref="G1798">IF(B1798="insumo",_xlfn.XLOOKUP($D1798,Insumos!$B$1:$B$996,Insumos!$D$1:$D$996),"")</f>
        <v>0.09</v>
      </c>
      <c r="H1798" s="87">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70</v>
      </c>
      <c r="C1799" s="10" t="s">
        <v>1348</v>
      </c>
      <c r="D1799" s="10" t="s">
        <v>414</v>
      </c>
      <c r="E1799" s="11" t="str">
        <f t="array" ref="E1799">_xlfn.XLOOKUP(D1799,Insumos!B:B,Insumos!C:$C)</f>
        <v>UN</v>
      </c>
      <c r="F1799" s="14">
        <v>0.27205000000000001</v>
      </c>
      <c r="G1799" s="87">
        <f t="array" ref="G1799">IF(B1799="insumo",_xlfn.XLOOKUP($D1799,Insumos!$B$1:$B$996,Insumos!$D$1:$D$996),"")</f>
        <v>0.2</v>
      </c>
      <c r="H1799" s="87">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70</v>
      </c>
      <c r="C1800" s="10" t="s">
        <v>1348</v>
      </c>
      <c r="D1800" s="10" t="s">
        <v>1576</v>
      </c>
      <c r="E1800" s="11" t="str">
        <f t="array" ref="E1800">_xlfn.XLOOKUP(D1800,Insumos!B:B,Insumos!C:$C)</f>
        <v>M2</v>
      </c>
      <c r="F1800" s="14">
        <v>1.1000000000000001</v>
      </c>
      <c r="G1800" s="87">
        <f t="array" ref="G1800">IF(B1800="insumo",_xlfn.XLOOKUP($D1800,Insumos!$B$1:$B$996,Insumos!$D$1:$D$996),"")</f>
        <v>13.019333333333332</v>
      </c>
      <c r="H1800" s="87">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332">
        <v>1</v>
      </c>
      <c r="B1801" s="332" t="s">
        <v>67</v>
      </c>
      <c r="C1801" s="332" t="s">
        <v>1359</v>
      </c>
      <c r="D1801" s="332" t="s">
        <v>1359</v>
      </c>
      <c r="E1801" s="333" t="s">
        <v>69</v>
      </c>
      <c r="F1801" s="332"/>
      <c r="G1801" s="334" t="str">
        <f t="array" ref="G1801">IF(B1801="insumo",_xlfn.XLOOKUP($D1801,Insumos!$B$1:$B$996,Insumos!$D$1:$D$996),"")</f>
        <v/>
      </c>
      <c r="H1801" s="334">
        <v>159.7256165</v>
      </c>
      <c r="I1801" s="335">
        <v>0</v>
      </c>
      <c r="J1801" s="335">
        <v>0</v>
      </c>
      <c r="K1801" s="335"/>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70</v>
      </c>
      <c r="C1802" s="10" t="s">
        <v>1359</v>
      </c>
      <c r="D1802" s="10" t="s">
        <v>406</v>
      </c>
      <c r="E1802" s="11" t="str">
        <f t="array" ref="E1802">_xlfn.XLOOKUP(D1802,Insumos!B:B,Insumos!C:$C)</f>
        <v>M2</v>
      </c>
      <c r="F1802" s="14">
        <v>1</v>
      </c>
      <c r="G1802" s="87">
        <f t="array" ref="G1802">IF(B1802="insumo",_xlfn.XLOOKUP($D1802,Insumos!$B$1:$B$996,Insumos!$D$1:$D$996),"")</f>
        <v>70</v>
      </c>
      <c r="H1802" s="87">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70</v>
      </c>
      <c r="C1803" s="10" t="s">
        <v>1359</v>
      </c>
      <c r="D1803" s="10" t="s">
        <v>407</v>
      </c>
      <c r="E1803" s="11" t="str">
        <f t="array" ref="E1803">_xlfn.XLOOKUP(D1803,Insumos!B:B,Insumos!C:$C)</f>
        <v>M2</v>
      </c>
      <c r="F1803" s="14">
        <v>1.0529999999999999</v>
      </c>
      <c r="G1803" s="87">
        <f t="array" ref="G1803">IF(B1803="insumo",_xlfn.XLOOKUP($D1803,Insumos!$B$1:$B$996,Insumos!$D$1:$D$996),"")</f>
        <v>20.16</v>
      </c>
      <c r="H1803" s="87">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70</v>
      </c>
      <c r="C1804" s="10" t="s">
        <v>1359</v>
      </c>
      <c r="D1804" s="10" t="s">
        <v>408</v>
      </c>
      <c r="E1804" s="11" t="str">
        <f t="array" ref="E1804">_xlfn.XLOOKUP(D1804,Insumos!B:B,Insumos!C:$C)</f>
        <v>UN</v>
      </c>
      <c r="F1804" s="14">
        <v>5.92</v>
      </c>
      <c r="G1804" s="87">
        <f t="array" ref="G1804">IF(B1804="insumo",_xlfn.XLOOKUP($D1804,Insumos!$B$1:$B$996,Insumos!$D$1:$D$996),"")</f>
        <v>0.504</v>
      </c>
      <c r="H1804" s="87">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70</v>
      </c>
      <c r="C1805" s="10" t="s">
        <v>1359</v>
      </c>
      <c r="D1805" s="10" t="s">
        <v>422</v>
      </c>
      <c r="E1805" s="11" t="str">
        <f t="array" ref="E1805">_xlfn.XLOOKUP(D1805,Insumos!B:B,Insumos!C:$C)</f>
        <v>M</v>
      </c>
      <c r="F1805" s="14">
        <v>1.8233999999999999</v>
      </c>
      <c r="G1805" s="87">
        <f t="array" ref="G1805">IF(B1805="insumo",_xlfn.XLOOKUP($D1805,Insumos!$B$1:$B$996,Insumos!$D$1:$D$996),"")</f>
        <v>7.46</v>
      </c>
      <c r="H1805" s="87">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70</v>
      </c>
      <c r="C1806" s="10" t="s">
        <v>1359</v>
      </c>
      <c r="D1806" s="10" t="s">
        <v>423</v>
      </c>
      <c r="E1806" s="11" t="str">
        <f t="array" ref="E1806">_xlfn.XLOOKUP(D1806,Insumos!B:B,Insumos!C:$C)</f>
        <v>M</v>
      </c>
      <c r="F1806" s="14">
        <v>5.8277999999999999</v>
      </c>
      <c r="G1806" s="87">
        <f t="array" ref="G1806">IF(B1806="insumo",_xlfn.XLOOKUP($D1806,Insumos!$B$1:$B$996,Insumos!$D$1:$D$996),"")</f>
        <v>7.98</v>
      </c>
      <c r="H1806" s="87">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70</v>
      </c>
      <c r="C1807" s="10" t="s">
        <v>1359</v>
      </c>
      <c r="D1807" s="10" t="s">
        <v>404</v>
      </c>
      <c r="E1807" s="11" t="str">
        <f t="array" ref="E1807">_xlfn.XLOOKUP(D1807,Insumos!B:B,Insumos!C:$C)</f>
        <v>KG</v>
      </c>
      <c r="F1807" s="14">
        <v>0.54890000000000005</v>
      </c>
      <c r="G1807" s="87">
        <f t="array" ref="G1807">IF(B1807="insumo",_xlfn.XLOOKUP($D1807,Insumos!$B$1:$B$996,Insumos!$D$1:$D$996),"")</f>
        <v>3.43</v>
      </c>
      <c r="H1807" s="87">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70</v>
      </c>
      <c r="C1808" s="10" t="s">
        <v>1359</v>
      </c>
      <c r="D1808" s="10" t="s">
        <v>411</v>
      </c>
      <c r="E1808" s="11" t="str">
        <f t="array" ref="E1808">_xlfn.XLOOKUP(D1808,Insumos!B:B,Insumos!C:$C)</f>
        <v>M</v>
      </c>
      <c r="F1808" s="14">
        <v>1.25135</v>
      </c>
      <c r="G1808" s="87">
        <f t="array" ref="G1808">IF(B1808="insumo",_xlfn.XLOOKUP($D1808,Insumos!$B$1:$B$996,Insumos!$D$1:$D$996),"")</f>
        <v>0.31</v>
      </c>
      <c r="H1808" s="87">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70</v>
      </c>
      <c r="C1809" s="10" t="s">
        <v>1359</v>
      </c>
      <c r="D1809" s="10" t="s">
        <v>412</v>
      </c>
      <c r="E1809" s="11" t="str">
        <f t="array" ref="E1809">_xlfn.XLOOKUP(D1809,Insumos!B:B,Insumos!C:$C)</f>
        <v>M</v>
      </c>
      <c r="F1809" s="14">
        <v>0.79254999999999998</v>
      </c>
      <c r="G1809" s="87">
        <f t="array" ref="G1809">IF(B1809="insumo",_xlfn.XLOOKUP($D1809,Insumos!$B$1:$B$996,Insumos!$D$1:$D$996),"")</f>
        <v>2.74</v>
      </c>
      <c r="H1809" s="87">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70</v>
      </c>
      <c r="C1810" s="10" t="s">
        <v>1359</v>
      </c>
      <c r="D1810" s="10" t="s">
        <v>413</v>
      </c>
      <c r="E1810" s="11" t="str">
        <f t="array" ref="E1810">_xlfn.XLOOKUP(D1810,Insumos!B:B,Insumos!C:$C)</f>
        <v>UN</v>
      </c>
      <c r="F1810" s="14">
        <v>10.093400000000001</v>
      </c>
      <c r="G1810" s="87">
        <f t="array" ref="G1810">IF(B1810="insumo",_xlfn.XLOOKUP($D1810,Insumos!$B$1:$B$996,Insumos!$D$1:$D$996),"")</f>
        <v>0.09</v>
      </c>
      <c r="H1810" s="87">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70</v>
      </c>
      <c r="C1811" s="10" t="s">
        <v>1359</v>
      </c>
      <c r="D1811" s="10" t="s">
        <v>414</v>
      </c>
      <c r="E1811" s="11" t="str">
        <f t="array" ref="E1811">_xlfn.XLOOKUP(D1811,Insumos!B:B,Insumos!C:$C)</f>
        <v>UN</v>
      </c>
      <c r="F1811" s="14">
        <v>0.27205000000000001</v>
      </c>
      <c r="G1811" s="87">
        <f t="array" ref="G1811">IF(B1811="insumo",_xlfn.XLOOKUP($D1811,Insumos!$B$1:$B$996,Insumos!$D$1:$D$996),"")</f>
        <v>0.2</v>
      </c>
      <c r="H1811" s="87">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332">
        <v>1</v>
      </c>
      <c r="B1812" s="332" t="s">
        <v>67</v>
      </c>
      <c r="C1812" s="332" t="s">
        <v>418</v>
      </c>
      <c r="D1812" s="332" t="s">
        <v>418</v>
      </c>
      <c r="E1812" s="333" t="s">
        <v>69</v>
      </c>
      <c r="F1812" s="332"/>
      <c r="G1812" s="334" t="str">
        <f t="array" ref="G1812">IF(B1812="insumo",_xlfn.XLOOKUP($D1812,Insumos!$B$1:$B$996,Insumos!$D$1:$D$996),"")</f>
        <v/>
      </c>
      <c r="H1812" s="334">
        <v>226.126174666667</v>
      </c>
      <c r="I1812" s="335">
        <v>0</v>
      </c>
      <c r="J1812" s="335">
        <v>0</v>
      </c>
      <c r="K1812" s="335"/>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70</v>
      </c>
      <c r="C1813" s="10" t="s">
        <v>418</v>
      </c>
      <c r="D1813" s="10" t="s">
        <v>406</v>
      </c>
      <c r="E1813" s="11" t="str">
        <f t="array" ref="E1813">_xlfn.XLOOKUP(D1813,Insumos!B:B,Insumos!C:$C)</f>
        <v>M2</v>
      </c>
      <c r="F1813" s="14">
        <v>1</v>
      </c>
      <c r="G1813" s="87">
        <f t="array" ref="G1813">IF(B1813="insumo",_xlfn.XLOOKUP($D1813,Insumos!$B$1:$B$996,Insumos!$D$1:$D$996),"")</f>
        <v>70</v>
      </c>
      <c r="H1813" s="87">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70</v>
      </c>
      <c r="C1814" s="10" t="s">
        <v>418</v>
      </c>
      <c r="D1814" s="10" t="s">
        <v>407</v>
      </c>
      <c r="E1814" s="11" t="str">
        <f t="array" ref="E1814">_xlfn.XLOOKUP(D1814,Insumos!B:B,Insumos!C:$C)</f>
        <v>M2</v>
      </c>
      <c r="F1814" s="14">
        <v>2.1059999999999999</v>
      </c>
      <c r="G1814" s="87">
        <f t="array" ref="G1814">IF(B1814="insumo",_xlfn.XLOOKUP($D1814,Insumos!$B$1:$B$996,Insumos!$D$1:$D$996),"")</f>
        <v>20.16</v>
      </c>
      <c r="H1814" s="87">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70</v>
      </c>
      <c r="C1815" s="10" t="s">
        <v>418</v>
      </c>
      <c r="D1815" s="10" t="s">
        <v>408</v>
      </c>
      <c r="E1815" s="11" t="str">
        <f t="array" ref="E1815">_xlfn.XLOOKUP(D1815,Insumos!B:B,Insumos!C:$C)</f>
        <v>UN</v>
      </c>
      <c r="F1815" s="14">
        <v>5.92</v>
      </c>
      <c r="G1815" s="87">
        <f t="array" ref="G1815">IF(B1815="insumo",_xlfn.XLOOKUP($D1815,Insumos!$B$1:$B$996,Insumos!$D$1:$D$996),"")</f>
        <v>0.504</v>
      </c>
      <c r="H1815" s="87">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70</v>
      </c>
      <c r="C1816" s="10" t="s">
        <v>418</v>
      </c>
      <c r="D1816" s="10" t="s">
        <v>419</v>
      </c>
      <c r="E1816" s="11" t="str">
        <f t="array" ref="E1816">_xlfn.XLOOKUP(D1816,Insumos!B:B,Insumos!C:$C)</f>
        <v>M</v>
      </c>
      <c r="F1816" s="14">
        <v>1.5247999999999999</v>
      </c>
      <c r="G1816" s="87">
        <f t="array" ref="G1816">IF(B1816="insumo",_xlfn.XLOOKUP($D1816,Insumos!$B$1:$B$996,Insumos!$D$1:$D$996),"")</f>
        <v>8.64</v>
      </c>
      <c r="H1816" s="87">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70</v>
      </c>
      <c r="C1817" s="10" t="s">
        <v>418</v>
      </c>
      <c r="D1817" s="10" t="s">
        <v>420</v>
      </c>
      <c r="E1817" s="11" t="str">
        <f t="array" ref="E1817">_xlfn.XLOOKUP(D1817,Insumos!B:B,Insumos!C:$C)</f>
        <v>M</v>
      </c>
      <c r="F1817" s="14">
        <v>4.0011000000000001</v>
      </c>
      <c r="G1817" s="87">
        <f t="array" ref="G1817">IF(B1817="insumo",_xlfn.XLOOKUP($D1817,Insumos!$B$1:$B$996,Insumos!$D$1:$D$996),"")</f>
        <v>18.09</v>
      </c>
      <c r="H1817" s="87">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70</v>
      </c>
      <c r="C1818" s="10" t="s">
        <v>418</v>
      </c>
      <c r="D1818" s="10" t="s">
        <v>404</v>
      </c>
      <c r="E1818" s="11" t="str">
        <f t="array" ref="E1818">_xlfn.XLOOKUP(D1818,Insumos!B:B,Insumos!C:$C)</f>
        <v>KG</v>
      </c>
      <c r="F1818" s="14">
        <v>1.0978000000000001</v>
      </c>
      <c r="G1818" s="87">
        <f t="array" ref="G1818">IF(B1818="insumo",_xlfn.XLOOKUP($D1818,Insumos!$B$1:$B$996,Insumos!$D$1:$D$996),"")</f>
        <v>3.43</v>
      </c>
      <c r="H1818" s="87">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70</v>
      </c>
      <c r="C1819" s="10" t="s">
        <v>418</v>
      </c>
      <c r="D1819" s="10" t="s">
        <v>411</v>
      </c>
      <c r="E1819" s="11" t="str">
        <f t="array" ref="E1819">_xlfn.XLOOKUP(D1819,Insumos!B:B,Insumos!C:$C)</f>
        <v>M</v>
      </c>
      <c r="F1819" s="14">
        <v>2.5026999999999999</v>
      </c>
      <c r="G1819" s="87">
        <f t="array" ref="G1819">IF(B1819="insumo",_xlfn.XLOOKUP($D1819,Insumos!$B$1:$B$996,Insumos!$D$1:$D$996),"")</f>
        <v>0.31</v>
      </c>
      <c r="H1819" s="87">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70</v>
      </c>
      <c r="C1820" s="10" t="s">
        <v>418</v>
      </c>
      <c r="D1820" s="10" t="s">
        <v>412</v>
      </c>
      <c r="E1820" s="11" t="str">
        <f t="array" ref="E1820">_xlfn.XLOOKUP(D1820,Insumos!B:B,Insumos!C:$C)</f>
        <v>M</v>
      </c>
      <c r="F1820" s="14">
        <v>1.5851</v>
      </c>
      <c r="G1820" s="87">
        <f t="array" ref="G1820">IF(B1820="insumo",_xlfn.XLOOKUP($D1820,Insumos!$B$1:$B$996,Insumos!$D$1:$D$996),"")</f>
        <v>2.74</v>
      </c>
      <c r="H1820" s="87">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70</v>
      </c>
      <c r="C1821" s="10" t="s">
        <v>418</v>
      </c>
      <c r="D1821" s="10" t="s">
        <v>413</v>
      </c>
      <c r="E1821" s="11" t="str">
        <f t="array" ref="E1821">_xlfn.XLOOKUP(D1821,Insumos!B:B,Insumos!C:$C)</f>
        <v>UN</v>
      </c>
      <c r="F1821" s="14">
        <v>20.186800000000002</v>
      </c>
      <c r="G1821" s="87">
        <f t="array" ref="G1821">IF(B1821="insumo",_xlfn.XLOOKUP($D1821,Insumos!$B$1:$B$996,Insumos!$D$1:$D$996),"")</f>
        <v>0.09</v>
      </c>
      <c r="H1821" s="87">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70</v>
      </c>
      <c r="C1822" s="10" t="s">
        <v>418</v>
      </c>
      <c r="D1822" s="10" t="s">
        <v>414</v>
      </c>
      <c r="E1822" s="11" t="str">
        <f t="array" ref="E1822">_xlfn.XLOOKUP(D1822,Insumos!B:B,Insumos!C:$C)</f>
        <v>UN</v>
      </c>
      <c r="F1822" s="14">
        <v>0.54410000000000003</v>
      </c>
      <c r="G1822" s="87">
        <f t="array" ref="G1822">IF(B1822="insumo",_xlfn.XLOOKUP($D1822,Insumos!$B$1:$B$996,Insumos!$D$1:$D$996),"")</f>
        <v>0.2</v>
      </c>
      <c r="H1822" s="87">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70</v>
      </c>
      <c r="C1823" s="10" t="s">
        <v>418</v>
      </c>
      <c r="D1823" s="10" t="s">
        <v>1576</v>
      </c>
      <c r="E1823" s="11" t="str">
        <f t="array" ref="E1823">_xlfn.XLOOKUP(D1823,Insumos!B:B,Insumos!C:$C)</f>
        <v>M2</v>
      </c>
      <c r="F1823" s="14">
        <v>1.1000000000000001</v>
      </c>
      <c r="G1823" s="87">
        <f t="array" ref="G1823">IF(B1823="insumo",_xlfn.XLOOKUP($D1823,Insumos!$B$1:$B$996,Insumos!$D$1:$D$996),"")</f>
        <v>13.019333333333332</v>
      </c>
      <c r="H1823" s="87">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332">
        <v>1</v>
      </c>
      <c r="B1824" s="332" t="s">
        <v>67</v>
      </c>
      <c r="C1824" s="332" t="s">
        <v>424</v>
      </c>
      <c r="D1824" s="332" t="s">
        <v>424</v>
      </c>
      <c r="E1824" s="333" t="s">
        <v>69</v>
      </c>
      <c r="F1824" s="332"/>
      <c r="G1824" s="334" t="str">
        <f t="array" ref="G1824">IF(B1824="insumo",_xlfn.XLOOKUP($D1824,Insumos!$B$1:$B$996,Insumos!$D$1:$D$996),"")</f>
        <v/>
      </c>
      <c r="H1824" s="334">
        <v>240.74181466666701</v>
      </c>
      <c r="I1824" s="335">
        <v>0</v>
      </c>
      <c r="J1824" s="335">
        <v>0</v>
      </c>
      <c r="K1824" s="335"/>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70</v>
      </c>
      <c r="C1825" s="10" t="s">
        <v>424</v>
      </c>
      <c r="D1825" s="10" t="s">
        <v>406</v>
      </c>
      <c r="E1825" s="11" t="str">
        <f t="array" ref="E1825">_xlfn.XLOOKUP(D1825,Insumos!B:B,Insumos!C:$C)</f>
        <v>M2</v>
      </c>
      <c r="F1825" s="14">
        <v>1</v>
      </c>
      <c r="G1825" s="87">
        <f t="array" ref="G1825">IF(B1825="insumo",_xlfn.XLOOKUP($D1825,Insumos!$B$1:$B$996,Insumos!$D$1:$D$996),"")</f>
        <v>70</v>
      </c>
      <c r="H1825" s="87">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70</v>
      </c>
      <c r="C1826" s="10" t="s">
        <v>424</v>
      </c>
      <c r="D1826" s="10" t="s">
        <v>417</v>
      </c>
      <c r="E1826" s="11" t="str">
        <f t="array" ref="E1826">_xlfn.XLOOKUP(D1826,Insumos!B:B,Insumos!C:$C)</f>
        <v>M2</v>
      </c>
      <c r="F1826" s="14">
        <v>2.1059999999999999</v>
      </c>
      <c r="G1826" s="87">
        <f t="array" ref="G1826">IF(B1826="insumo",_xlfn.XLOOKUP($D1826,Insumos!$B$1:$B$996,Insumos!$D$1:$D$996),"")</f>
        <v>27.1</v>
      </c>
      <c r="H1826" s="87">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70</v>
      </c>
      <c r="C1827" s="10" t="s">
        <v>424</v>
      </c>
      <c r="D1827" s="10" t="s">
        <v>408</v>
      </c>
      <c r="E1827" s="11" t="str">
        <f t="array" ref="E1827">_xlfn.XLOOKUP(D1827,Insumos!B:B,Insumos!C:$C)</f>
        <v>UN</v>
      </c>
      <c r="F1827" s="14">
        <v>5.92</v>
      </c>
      <c r="G1827" s="87">
        <f t="array" ref="G1827">IF(B1827="insumo",_xlfn.XLOOKUP($D1827,Insumos!$B$1:$B$996,Insumos!$D$1:$D$996),"")</f>
        <v>0.504</v>
      </c>
      <c r="H1827" s="87">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70</v>
      </c>
      <c r="C1828" s="10" t="s">
        <v>424</v>
      </c>
      <c r="D1828" s="10" t="s">
        <v>419</v>
      </c>
      <c r="E1828" s="11" t="str">
        <f t="array" ref="E1828">_xlfn.XLOOKUP(D1828,Insumos!B:B,Insumos!C:$C)</f>
        <v>M</v>
      </c>
      <c r="F1828" s="14">
        <v>1.5247999999999999</v>
      </c>
      <c r="G1828" s="87">
        <f t="array" ref="G1828">IF(B1828="insumo",_xlfn.XLOOKUP($D1828,Insumos!$B$1:$B$996,Insumos!$D$1:$D$996),"")</f>
        <v>8.64</v>
      </c>
      <c r="H1828" s="87">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70</v>
      </c>
      <c r="C1829" s="10" t="s">
        <v>424</v>
      </c>
      <c r="D1829" s="10" t="s">
        <v>420</v>
      </c>
      <c r="E1829" s="11" t="str">
        <f t="array" ref="E1829">_xlfn.XLOOKUP(D1829,Insumos!B:B,Insumos!C:$C)</f>
        <v>M</v>
      </c>
      <c r="F1829" s="14">
        <v>4.0011000000000001</v>
      </c>
      <c r="G1829" s="87">
        <f t="array" ref="G1829">IF(B1829="insumo",_xlfn.XLOOKUP($D1829,Insumos!$B$1:$B$996,Insumos!$D$1:$D$996),"")</f>
        <v>18.09</v>
      </c>
      <c r="H1829" s="87">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70</v>
      </c>
      <c r="C1830" s="10" t="s">
        <v>424</v>
      </c>
      <c r="D1830" s="10" t="s">
        <v>404</v>
      </c>
      <c r="E1830" s="11" t="str">
        <f t="array" ref="E1830">_xlfn.XLOOKUP(D1830,Insumos!B:B,Insumos!C:$C)</f>
        <v>KG</v>
      </c>
      <c r="F1830" s="14">
        <v>1.0978000000000001</v>
      </c>
      <c r="G1830" s="87">
        <f t="array" ref="G1830">IF(B1830="insumo",_xlfn.XLOOKUP($D1830,Insumos!$B$1:$B$996,Insumos!$D$1:$D$996),"")</f>
        <v>3.43</v>
      </c>
      <c r="H1830" s="87">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70</v>
      </c>
      <c r="C1831" s="10" t="s">
        <v>424</v>
      </c>
      <c r="D1831" s="10" t="s">
        <v>411</v>
      </c>
      <c r="E1831" s="11" t="str">
        <f t="array" ref="E1831">_xlfn.XLOOKUP(D1831,Insumos!B:B,Insumos!C:$C)</f>
        <v>M</v>
      </c>
      <c r="F1831" s="14">
        <v>2.5026999999999999</v>
      </c>
      <c r="G1831" s="87">
        <f t="array" ref="G1831">IF(B1831="insumo",_xlfn.XLOOKUP($D1831,Insumos!$B$1:$B$996,Insumos!$D$1:$D$996),"")</f>
        <v>0.31</v>
      </c>
      <c r="H1831" s="87">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70</v>
      </c>
      <c r="C1832" s="10" t="s">
        <v>424</v>
      </c>
      <c r="D1832" s="10" t="s">
        <v>412</v>
      </c>
      <c r="E1832" s="11" t="str">
        <f t="array" ref="E1832">_xlfn.XLOOKUP(D1832,Insumos!B:B,Insumos!C:$C)</f>
        <v>M</v>
      </c>
      <c r="F1832" s="14">
        <v>1.5851</v>
      </c>
      <c r="G1832" s="87">
        <f t="array" ref="G1832">IF(B1832="insumo",_xlfn.XLOOKUP($D1832,Insumos!$B$1:$B$996,Insumos!$D$1:$D$996),"")</f>
        <v>2.74</v>
      </c>
      <c r="H1832" s="87">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70</v>
      </c>
      <c r="C1833" s="10" t="s">
        <v>424</v>
      </c>
      <c r="D1833" s="10" t="s">
        <v>413</v>
      </c>
      <c r="E1833" s="11" t="str">
        <f t="array" ref="E1833">_xlfn.XLOOKUP(D1833,Insumos!B:B,Insumos!C:$C)</f>
        <v>UN</v>
      </c>
      <c r="F1833" s="14">
        <v>20.186800000000002</v>
      </c>
      <c r="G1833" s="87">
        <f t="array" ref="G1833">IF(B1833="insumo",_xlfn.XLOOKUP($D1833,Insumos!$B$1:$B$996,Insumos!$D$1:$D$996),"")</f>
        <v>0.09</v>
      </c>
      <c r="H1833" s="87">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70</v>
      </c>
      <c r="C1834" s="10" t="s">
        <v>424</v>
      </c>
      <c r="D1834" s="10" t="s">
        <v>414</v>
      </c>
      <c r="E1834" s="11" t="str">
        <f t="array" ref="E1834">_xlfn.XLOOKUP(D1834,Insumos!B:B,Insumos!C:$C)</f>
        <v>UN</v>
      </c>
      <c r="F1834" s="14">
        <v>0.54410000000000003</v>
      </c>
      <c r="G1834" s="87">
        <f t="array" ref="G1834">IF(B1834="insumo",_xlfn.XLOOKUP($D1834,Insumos!$B$1:$B$996,Insumos!$D$1:$D$996),"")</f>
        <v>0.2</v>
      </c>
      <c r="H1834" s="87">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70</v>
      </c>
      <c r="C1835" s="10" t="s">
        <v>424</v>
      </c>
      <c r="D1835" s="10" t="s">
        <v>1576</v>
      </c>
      <c r="E1835" s="11" t="str">
        <f t="array" ref="E1835">_xlfn.XLOOKUP(D1835,Insumos!B:B,Insumos!C:$C)</f>
        <v>M2</v>
      </c>
      <c r="F1835" s="14">
        <v>1.1000000000000001</v>
      </c>
      <c r="G1835" s="87">
        <f t="array" ref="G1835">IF(B1835="insumo",_xlfn.XLOOKUP($D1835,Insumos!$B$1:$B$996,Insumos!$D$1:$D$996),"")</f>
        <v>13.019333333333332</v>
      </c>
      <c r="H1835" s="87">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332">
        <v>1</v>
      </c>
      <c r="B1836" s="332" t="s">
        <v>67</v>
      </c>
      <c r="C1836" s="332" t="s">
        <v>1314</v>
      </c>
      <c r="D1836" s="332" t="s">
        <v>1314</v>
      </c>
      <c r="E1836" s="333" t="s">
        <v>69</v>
      </c>
      <c r="F1836" s="332"/>
      <c r="G1836" s="334" t="str">
        <f t="array" ref="G1836">IF(B1836="insumo",_xlfn.XLOOKUP($D1836,Insumos!$B$1:$B$996,Insumos!$D$1:$D$996),"")</f>
        <v/>
      </c>
      <c r="H1836" s="334">
        <v>172.96793766666701</v>
      </c>
      <c r="I1836" s="335">
        <v>0</v>
      </c>
      <c r="J1836" s="335">
        <v>0</v>
      </c>
      <c r="K1836" s="335"/>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70</v>
      </c>
      <c r="C1837" s="10" t="s">
        <v>1314</v>
      </c>
      <c r="D1837" s="10" t="s">
        <v>406</v>
      </c>
      <c r="E1837" s="11" t="str">
        <f t="array" ref="E1837">_xlfn.XLOOKUP(D1837,Insumos!B:B,Insumos!C:$C)</f>
        <v>M2</v>
      </c>
      <c r="F1837" s="14">
        <v>1</v>
      </c>
      <c r="G1837" s="87">
        <f t="array" ref="G1837">IF(B1837="insumo",_xlfn.XLOOKUP($D1837,Insumos!$B$1:$B$996,Insumos!$D$1:$D$996),"")</f>
        <v>70</v>
      </c>
      <c r="H1837" s="87">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70</v>
      </c>
      <c r="C1838" s="10" t="s">
        <v>1314</v>
      </c>
      <c r="D1838" s="10" t="s">
        <v>408</v>
      </c>
      <c r="E1838" s="11" t="str">
        <f t="array" ref="E1838">_xlfn.XLOOKUP(D1838,Insumos!B:B,Insumos!C:$C)</f>
        <v>UN</v>
      </c>
      <c r="F1838" s="14">
        <v>5.92</v>
      </c>
      <c r="G1838" s="87">
        <f t="array" ref="G1838">IF(B1838="insumo",_xlfn.XLOOKUP($D1838,Insumos!$B$1:$B$996,Insumos!$D$1:$D$996),"")</f>
        <v>0.504</v>
      </c>
      <c r="H1838" s="87">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70</v>
      </c>
      <c r="C1839" s="10" t="s">
        <v>1314</v>
      </c>
      <c r="D1839" s="10" t="s">
        <v>419</v>
      </c>
      <c r="E1839" s="11" t="str">
        <f t="array" ref="E1839">_xlfn.XLOOKUP(D1839,Insumos!B:B,Insumos!C:$C)</f>
        <v>M</v>
      </c>
      <c r="F1839" s="14">
        <v>1.5247999999999999</v>
      </c>
      <c r="G1839" s="87">
        <f t="array" ref="G1839">IF(B1839="insumo",_xlfn.XLOOKUP($D1839,Insumos!$B$1:$B$996,Insumos!$D$1:$D$996),"")</f>
        <v>8.64</v>
      </c>
      <c r="H1839" s="87">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70</v>
      </c>
      <c r="C1840" s="10" t="s">
        <v>1314</v>
      </c>
      <c r="D1840" s="10" t="s">
        <v>420</v>
      </c>
      <c r="E1840" s="11" t="str">
        <f t="array" ref="E1840">_xlfn.XLOOKUP(D1840,Insumos!B:B,Insumos!C:$C)</f>
        <v>M</v>
      </c>
      <c r="F1840" s="14">
        <v>4.0011000000000001</v>
      </c>
      <c r="G1840" s="87">
        <f t="array" ref="G1840">IF(B1840="insumo",_xlfn.XLOOKUP($D1840,Insumos!$B$1:$B$996,Insumos!$D$1:$D$996),"")</f>
        <v>18.09</v>
      </c>
      <c r="H1840" s="87">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70</v>
      </c>
      <c r="C1841" s="10" t="s">
        <v>1314</v>
      </c>
      <c r="D1841" s="10" t="s">
        <v>414</v>
      </c>
      <c r="E1841" s="11" t="str">
        <f t="array" ref="E1841">_xlfn.XLOOKUP(D1841,Insumos!B:B,Insumos!C:$C)</f>
        <v>UN</v>
      </c>
      <c r="F1841" s="14">
        <v>0.54410000000000003</v>
      </c>
      <c r="G1841" s="87">
        <f t="array" ref="G1841">IF(B1841="insumo",_xlfn.XLOOKUP($D1841,Insumos!$B$1:$B$996,Insumos!$D$1:$D$996),"")</f>
        <v>0.2</v>
      </c>
      <c r="H1841" s="87">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70</v>
      </c>
      <c r="C1842" s="10" t="s">
        <v>1314</v>
      </c>
      <c r="D1842" s="10" t="s">
        <v>1576</v>
      </c>
      <c r="E1842" s="11" t="str">
        <f t="array" ref="E1842">_xlfn.XLOOKUP(D1842,Insumos!B:B,Insumos!C:$C)</f>
        <v>M2</v>
      </c>
      <c r="F1842" s="14">
        <v>1.1000000000000001</v>
      </c>
      <c r="G1842" s="87">
        <f t="array" ref="G1842">IF(B1842="insumo",_xlfn.XLOOKUP($D1842,Insumos!$B$1:$B$996,Insumos!$D$1:$D$996),"")</f>
        <v>13.019333333333332</v>
      </c>
      <c r="H1842" s="87">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332">
        <v>1</v>
      </c>
      <c r="B1843" s="332" t="s">
        <v>67</v>
      </c>
      <c r="C1843" s="332" t="s">
        <v>1325</v>
      </c>
      <c r="D1843" s="332" t="s">
        <v>1325</v>
      </c>
      <c r="E1843" s="333" t="s">
        <v>69</v>
      </c>
      <c r="F1843" s="332"/>
      <c r="G1843" s="334" t="str">
        <f t="array" ref="G1843">IF(B1843="insumo",_xlfn.XLOOKUP($D1843,Insumos!$B$1:$B$996,Insumos!$D$1:$D$996),"")</f>
        <v/>
      </c>
      <c r="H1843" s="334">
        <v>240.74181466666701</v>
      </c>
      <c r="I1843" s="335">
        <v>0</v>
      </c>
      <c r="J1843" s="335">
        <v>0</v>
      </c>
      <c r="K1843" s="335"/>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70</v>
      </c>
      <c r="C1844" s="10" t="s">
        <v>1325</v>
      </c>
      <c r="D1844" s="10" t="s">
        <v>406</v>
      </c>
      <c r="E1844" s="11" t="str">
        <f t="array" ref="E1844">_xlfn.XLOOKUP(D1844,Insumos!B:B,Insumos!C:$C)</f>
        <v>M2</v>
      </c>
      <c r="F1844" s="14">
        <v>1</v>
      </c>
      <c r="G1844" s="87">
        <f t="array" ref="G1844">IF(B1844="insumo",_xlfn.XLOOKUP($D1844,Insumos!$B$1:$B$996,Insumos!$D$1:$D$996),"")</f>
        <v>70</v>
      </c>
      <c r="H1844" s="87">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70</v>
      </c>
      <c r="C1845" s="10" t="s">
        <v>1325</v>
      </c>
      <c r="D1845" s="10" t="s">
        <v>417</v>
      </c>
      <c r="E1845" s="11" t="str">
        <f t="array" ref="E1845">_xlfn.XLOOKUP(D1845,Insumos!B:B,Insumos!C:$C)</f>
        <v>M2</v>
      </c>
      <c r="F1845" s="14">
        <v>2.1059999999999999</v>
      </c>
      <c r="G1845" s="87">
        <f t="array" ref="G1845">IF(B1845="insumo",_xlfn.XLOOKUP($D1845,Insumos!$B$1:$B$996,Insumos!$D$1:$D$996),"")</f>
        <v>27.1</v>
      </c>
      <c r="H1845" s="87">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70</v>
      </c>
      <c r="C1846" s="10" t="s">
        <v>1325</v>
      </c>
      <c r="D1846" s="10" t="s">
        <v>408</v>
      </c>
      <c r="E1846" s="11" t="str">
        <f t="array" ref="E1846">_xlfn.XLOOKUP(D1846,Insumos!B:B,Insumos!C:$C)</f>
        <v>UN</v>
      </c>
      <c r="F1846" s="14">
        <v>5.92</v>
      </c>
      <c r="G1846" s="87">
        <f t="array" ref="G1846">IF(B1846="insumo",_xlfn.XLOOKUP($D1846,Insumos!$B$1:$B$996,Insumos!$D$1:$D$996),"")</f>
        <v>0.504</v>
      </c>
      <c r="H1846" s="87">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70</v>
      </c>
      <c r="C1847" s="10" t="s">
        <v>1325</v>
      </c>
      <c r="D1847" s="10" t="s">
        <v>419</v>
      </c>
      <c r="E1847" s="11" t="str">
        <f t="array" ref="E1847">_xlfn.XLOOKUP(D1847,Insumos!B:B,Insumos!C:$C)</f>
        <v>M</v>
      </c>
      <c r="F1847" s="14">
        <v>1.5247999999999999</v>
      </c>
      <c r="G1847" s="87">
        <f t="array" ref="G1847">IF(B1847="insumo",_xlfn.XLOOKUP($D1847,Insumos!$B$1:$B$996,Insumos!$D$1:$D$996),"")</f>
        <v>8.64</v>
      </c>
      <c r="H1847" s="87">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70</v>
      </c>
      <c r="C1848" s="10" t="s">
        <v>1325</v>
      </c>
      <c r="D1848" s="10" t="s">
        <v>420</v>
      </c>
      <c r="E1848" s="11" t="str">
        <f t="array" ref="E1848">_xlfn.XLOOKUP(D1848,Insumos!B:B,Insumos!C:$C)</f>
        <v>M</v>
      </c>
      <c r="F1848" s="14">
        <v>4.0011000000000001</v>
      </c>
      <c r="G1848" s="87">
        <f t="array" ref="G1848">IF(B1848="insumo",_xlfn.XLOOKUP($D1848,Insumos!$B$1:$B$996,Insumos!$D$1:$D$996),"")</f>
        <v>18.09</v>
      </c>
      <c r="H1848" s="87">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70</v>
      </c>
      <c r="C1849" s="10" t="s">
        <v>1325</v>
      </c>
      <c r="D1849" s="10" t="s">
        <v>404</v>
      </c>
      <c r="E1849" s="11" t="str">
        <f t="array" ref="E1849">_xlfn.XLOOKUP(D1849,Insumos!B:B,Insumos!C:$C)</f>
        <v>KG</v>
      </c>
      <c r="F1849" s="14">
        <v>1.0978000000000001</v>
      </c>
      <c r="G1849" s="87">
        <f t="array" ref="G1849">IF(B1849="insumo",_xlfn.XLOOKUP($D1849,Insumos!$B$1:$B$996,Insumos!$D$1:$D$996),"")</f>
        <v>3.43</v>
      </c>
      <c r="H1849" s="87">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70</v>
      </c>
      <c r="C1850" s="10" t="s">
        <v>1325</v>
      </c>
      <c r="D1850" s="10" t="s">
        <v>411</v>
      </c>
      <c r="E1850" s="11" t="str">
        <f t="array" ref="E1850">_xlfn.XLOOKUP(D1850,Insumos!B:B,Insumos!C:$C)</f>
        <v>M</v>
      </c>
      <c r="F1850" s="14">
        <v>2.5026999999999999</v>
      </c>
      <c r="G1850" s="87">
        <f t="array" ref="G1850">IF(B1850="insumo",_xlfn.XLOOKUP($D1850,Insumos!$B$1:$B$996,Insumos!$D$1:$D$996),"")</f>
        <v>0.31</v>
      </c>
      <c r="H1850" s="87">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70</v>
      </c>
      <c r="C1851" s="10" t="s">
        <v>1325</v>
      </c>
      <c r="D1851" s="10" t="s">
        <v>412</v>
      </c>
      <c r="E1851" s="11" t="str">
        <f t="array" ref="E1851">_xlfn.XLOOKUP(D1851,Insumos!B:B,Insumos!C:$C)</f>
        <v>M</v>
      </c>
      <c r="F1851" s="14">
        <v>1.5851</v>
      </c>
      <c r="G1851" s="87">
        <f t="array" ref="G1851">IF(B1851="insumo",_xlfn.XLOOKUP($D1851,Insumos!$B$1:$B$996,Insumos!$D$1:$D$996),"")</f>
        <v>2.74</v>
      </c>
      <c r="H1851" s="87">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70</v>
      </c>
      <c r="C1852" s="10" t="s">
        <v>1325</v>
      </c>
      <c r="D1852" s="10" t="s">
        <v>413</v>
      </c>
      <c r="E1852" s="11" t="str">
        <f t="array" ref="E1852">_xlfn.XLOOKUP(D1852,Insumos!B:B,Insumos!C:$C)</f>
        <v>UN</v>
      </c>
      <c r="F1852" s="14">
        <v>20.186800000000002</v>
      </c>
      <c r="G1852" s="87">
        <f t="array" ref="G1852">IF(B1852="insumo",_xlfn.XLOOKUP($D1852,Insumos!$B$1:$B$996,Insumos!$D$1:$D$996),"")</f>
        <v>0.09</v>
      </c>
      <c r="H1852" s="87">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70</v>
      </c>
      <c r="C1853" s="10" t="s">
        <v>1325</v>
      </c>
      <c r="D1853" s="10" t="s">
        <v>414</v>
      </c>
      <c r="E1853" s="11" t="str">
        <f t="array" ref="E1853">_xlfn.XLOOKUP(D1853,Insumos!B:B,Insumos!C:$C)</f>
        <v>UN</v>
      </c>
      <c r="F1853" s="14">
        <v>0.54410000000000003</v>
      </c>
      <c r="G1853" s="87">
        <f t="array" ref="G1853">IF(B1853="insumo",_xlfn.XLOOKUP($D1853,Insumos!$B$1:$B$996,Insumos!$D$1:$D$996),"")</f>
        <v>0.2</v>
      </c>
      <c r="H1853" s="87">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70</v>
      </c>
      <c r="C1854" s="10" t="s">
        <v>1325</v>
      </c>
      <c r="D1854" s="10" t="s">
        <v>1576</v>
      </c>
      <c r="E1854" s="11" t="str">
        <f t="array" ref="E1854">_xlfn.XLOOKUP(D1854,Insumos!B:B,Insumos!C:$C)</f>
        <v>M2</v>
      </c>
      <c r="F1854" s="14">
        <v>1.1000000000000001</v>
      </c>
      <c r="G1854" s="87">
        <f t="array" ref="G1854">IF(B1854="insumo",_xlfn.XLOOKUP($D1854,Insumos!$B$1:$B$996,Insumos!$D$1:$D$996),"")</f>
        <v>13.019333333333332</v>
      </c>
      <c r="H1854" s="87">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332">
        <v>1</v>
      </c>
      <c r="B1855" s="332" t="s">
        <v>67</v>
      </c>
      <c r="C1855" s="332" t="s">
        <v>1326</v>
      </c>
      <c r="D1855" s="332" t="s">
        <v>1326</v>
      </c>
      <c r="E1855" s="333" t="s">
        <v>69</v>
      </c>
      <c r="F1855" s="332"/>
      <c r="G1855" s="334" t="str">
        <f t="array" ref="G1855">IF(B1855="insumo",_xlfn.XLOOKUP($D1855,Insumos!$B$1:$B$996,Insumos!$D$1:$D$996),"")</f>
        <v/>
      </c>
      <c r="H1855" s="334">
        <v>240.74181466666701</v>
      </c>
      <c r="I1855" s="335">
        <v>0</v>
      </c>
      <c r="J1855" s="335">
        <v>0</v>
      </c>
      <c r="K1855" s="335"/>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70</v>
      </c>
      <c r="C1856" s="10" t="s">
        <v>1326</v>
      </c>
      <c r="D1856" s="10" t="s">
        <v>406</v>
      </c>
      <c r="E1856" s="11" t="str">
        <f t="array" ref="E1856">_xlfn.XLOOKUP(D1856,Insumos!B:B,Insumos!C:$C)</f>
        <v>M2</v>
      </c>
      <c r="F1856" s="14">
        <v>1</v>
      </c>
      <c r="G1856" s="87">
        <f t="array" ref="G1856">IF(B1856="insumo",_xlfn.XLOOKUP($D1856,Insumos!$B$1:$B$996,Insumos!$D$1:$D$996),"")</f>
        <v>70</v>
      </c>
      <c r="H1856" s="87">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70</v>
      </c>
      <c r="C1857" s="10" t="s">
        <v>1326</v>
      </c>
      <c r="D1857" s="10" t="s">
        <v>417</v>
      </c>
      <c r="E1857" s="11" t="str">
        <f t="array" ref="E1857">_xlfn.XLOOKUP(D1857,Insumos!B:B,Insumos!C:$C)</f>
        <v>M2</v>
      </c>
      <c r="F1857" s="14">
        <v>2.1059999999999999</v>
      </c>
      <c r="G1857" s="87">
        <f t="array" ref="G1857">IF(B1857="insumo",_xlfn.XLOOKUP($D1857,Insumos!$B$1:$B$996,Insumos!$D$1:$D$996),"")</f>
        <v>27.1</v>
      </c>
      <c r="H1857" s="87">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70</v>
      </c>
      <c r="C1858" s="10" t="s">
        <v>1326</v>
      </c>
      <c r="D1858" s="10" t="s">
        <v>408</v>
      </c>
      <c r="E1858" s="11" t="str">
        <f t="array" ref="E1858">_xlfn.XLOOKUP(D1858,Insumos!B:B,Insumos!C:$C)</f>
        <v>UN</v>
      </c>
      <c r="F1858" s="14">
        <v>5.92</v>
      </c>
      <c r="G1858" s="87">
        <f t="array" ref="G1858">IF(B1858="insumo",_xlfn.XLOOKUP($D1858,Insumos!$B$1:$B$996,Insumos!$D$1:$D$996),"")</f>
        <v>0.504</v>
      </c>
      <c r="H1858" s="87">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70</v>
      </c>
      <c r="C1859" s="10" t="s">
        <v>1326</v>
      </c>
      <c r="D1859" s="10" t="s">
        <v>419</v>
      </c>
      <c r="E1859" s="11" t="str">
        <f t="array" ref="E1859">_xlfn.XLOOKUP(D1859,Insumos!B:B,Insumos!C:$C)</f>
        <v>M</v>
      </c>
      <c r="F1859" s="14">
        <v>1.5247999999999999</v>
      </c>
      <c r="G1859" s="87">
        <f t="array" ref="G1859">IF(B1859="insumo",_xlfn.XLOOKUP($D1859,Insumos!$B$1:$B$996,Insumos!$D$1:$D$996),"")</f>
        <v>8.64</v>
      </c>
      <c r="H1859" s="87">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70</v>
      </c>
      <c r="C1860" s="10" t="s">
        <v>1326</v>
      </c>
      <c r="D1860" s="10" t="s">
        <v>420</v>
      </c>
      <c r="E1860" s="11" t="str">
        <f t="array" ref="E1860">_xlfn.XLOOKUP(D1860,Insumos!B:B,Insumos!C:$C)</f>
        <v>M</v>
      </c>
      <c r="F1860" s="14">
        <v>4.0011000000000001</v>
      </c>
      <c r="G1860" s="87">
        <f t="array" ref="G1860">IF(B1860="insumo",_xlfn.XLOOKUP($D1860,Insumos!$B$1:$B$996,Insumos!$D$1:$D$996),"")</f>
        <v>18.09</v>
      </c>
      <c r="H1860" s="87">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70</v>
      </c>
      <c r="C1861" s="10" t="s">
        <v>1326</v>
      </c>
      <c r="D1861" s="10" t="s">
        <v>404</v>
      </c>
      <c r="E1861" s="11" t="str">
        <f t="array" ref="E1861">_xlfn.XLOOKUP(D1861,Insumos!B:B,Insumos!C:$C)</f>
        <v>KG</v>
      </c>
      <c r="F1861" s="14">
        <v>1.0978000000000001</v>
      </c>
      <c r="G1861" s="87">
        <f t="array" ref="G1861">IF(B1861="insumo",_xlfn.XLOOKUP($D1861,Insumos!$B$1:$B$996,Insumos!$D$1:$D$996),"")</f>
        <v>3.43</v>
      </c>
      <c r="H1861" s="87">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70</v>
      </c>
      <c r="C1862" s="10" t="s">
        <v>1326</v>
      </c>
      <c r="D1862" s="10" t="s">
        <v>411</v>
      </c>
      <c r="E1862" s="11" t="str">
        <f t="array" ref="E1862">_xlfn.XLOOKUP(D1862,Insumos!B:B,Insumos!C:$C)</f>
        <v>M</v>
      </c>
      <c r="F1862" s="14">
        <v>2.5026999999999999</v>
      </c>
      <c r="G1862" s="87">
        <f t="array" ref="G1862">IF(B1862="insumo",_xlfn.XLOOKUP($D1862,Insumos!$B$1:$B$996,Insumos!$D$1:$D$996),"")</f>
        <v>0.31</v>
      </c>
      <c r="H1862" s="87">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70</v>
      </c>
      <c r="C1863" s="10" t="s">
        <v>1326</v>
      </c>
      <c r="D1863" s="10" t="s">
        <v>412</v>
      </c>
      <c r="E1863" s="11" t="str">
        <f t="array" ref="E1863">_xlfn.XLOOKUP(D1863,Insumos!B:B,Insumos!C:$C)</f>
        <v>M</v>
      </c>
      <c r="F1863" s="14">
        <v>1.5851</v>
      </c>
      <c r="G1863" s="87">
        <f t="array" ref="G1863">IF(B1863="insumo",_xlfn.XLOOKUP($D1863,Insumos!$B$1:$B$996,Insumos!$D$1:$D$996),"")</f>
        <v>2.74</v>
      </c>
      <c r="H1863" s="87">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70</v>
      </c>
      <c r="C1864" s="10" t="s">
        <v>1326</v>
      </c>
      <c r="D1864" s="10" t="s">
        <v>413</v>
      </c>
      <c r="E1864" s="11" t="str">
        <f t="array" ref="E1864">_xlfn.XLOOKUP(D1864,Insumos!B:B,Insumos!C:$C)</f>
        <v>UN</v>
      </c>
      <c r="F1864" s="14">
        <v>20.186800000000002</v>
      </c>
      <c r="G1864" s="87">
        <f t="array" ref="G1864">IF(B1864="insumo",_xlfn.XLOOKUP($D1864,Insumos!$B$1:$B$996,Insumos!$D$1:$D$996),"")</f>
        <v>0.09</v>
      </c>
      <c r="H1864" s="87">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70</v>
      </c>
      <c r="C1865" s="10" t="s">
        <v>1326</v>
      </c>
      <c r="D1865" s="10" t="s">
        <v>414</v>
      </c>
      <c r="E1865" s="11" t="str">
        <f t="array" ref="E1865">_xlfn.XLOOKUP(D1865,Insumos!B:B,Insumos!C:$C)</f>
        <v>UN</v>
      </c>
      <c r="F1865" s="14">
        <v>0.54410000000000003</v>
      </c>
      <c r="G1865" s="87">
        <f t="array" ref="G1865">IF(B1865="insumo",_xlfn.XLOOKUP($D1865,Insumos!$B$1:$B$996,Insumos!$D$1:$D$996),"")</f>
        <v>0.2</v>
      </c>
      <c r="H1865" s="87">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70</v>
      </c>
      <c r="C1866" s="10" t="s">
        <v>1326</v>
      </c>
      <c r="D1866" s="10" t="s">
        <v>1576</v>
      </c>
      <c r="E1866" s="11" t="str">
        <f t="array" ref="E1866">_xlfn.XLOOKUP(D1866,Insumos!B:B,Insumos!C:$C)</f>
        <v>M2</v>
      </c>
      <c r="F1866" s="14">
        <v>1.1000000000000001</v>
      </c>
      <c r="G1866" s="87">
        <f t="array" ref="G1866">IF(B1866="insumo",_xlfn.XLOOKUP($D1866,Insumos!$B$1:$B$996,Insumos!$D$1:$D$996),"")</f>
        <v>13.019333333333332</v>
      </c>
      <c r="H1866" s="87">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332">
        <v>1</v>
      </c>
      <c r="B1867" s="332" t="s">
        <v>67</v>
      </c>
      <c r="C1867" s="332" t="s">
        <v>1327</v>
      </c>
      <c r="D1867" s="332" t="s">
        <v>1327</v>
      </c>
      <c r="E1867" s="333" t="s">
        <v>69</v>
      </c>
      <c r="F1867" s="332"/>
      <c r="G1867" s="334" t="str">
        <f t="array" ref="G1867">IF(B1867="insumo",_xlfn.XLOOKUP($D1867,Insumos!$B$1:$B$996,Insumos!$D$1:$D$996),"")</f>
        <v/>
      </c>
      <c r="H1867" s="334">
        <v>235.938774666667</v>
      </c>
      <c r="I1867" s="335">
        <v>0</v>
      </c>
      <c r="J1867" s="335">
        <v>0</v>
      </c>
      <c r="K1867" s="335"/>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70</v>
      </c>
      <c r="C1868" s="10" t="s">
        <v>1327</v>
      </c>
      <c r="D1868" s="10" t="s">
        <v>406</v>
      </c>
      <c r="E1868" s="11" t="str">
        <f t="array" ref="E1868">_xlfn.XLOOKUP(D1868,Insumos!B:B,Insumos!C:$C)</f>
        <v>M2</v>
      </c>
      <c r="F1868" s="14">
        <v>1</v>
      </c>
      <c r="G1868" s="87">
        <f t="array" ref="G1868">IF(B1868="insumo",_xlfn.XLOOKUP($D1868,Insumos!$B$1:$B$996,Insumos!$D$1:$D$996),"")</f>
        <v>70</v>
      </c>
      <c r="H1868" s="87">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70</v>
      </c>
      <c r="C1869" s="10" t="s">
        <v>1327</v>
      </c>
      <c r="D1869" s="10" t="s">
        <v>417</v>
      </c>
      <c r="E1869" s="11" t="str">
        <f t="array" ref="E1869">_xlfn.XLOOKUP(D1869,Insumos!B:B,Insumos!C:$C)</f>
        <v>M2</v>
      </c>
      <c r="F1869" s="14">
        <f>1.106</f>
        <v>1.1060000000000001</v>
      </c>
      <c r="G1869" s="87">
        <f t="array" ref="G1869">IF(B1869="insumo",_xlfn.XLOOKUP($D1869,Insumos!$B$1:$B$996,Insumos!$D$1:$D$996),"")</f>
        <v>27.1</v>
      </c>
      <c r="H1869" s="87">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70</v>
      </c>
      <c r="C1870" s="10" t="s">
        <v>1327</v>
      </c>
      <c r="D1870" s="10" t="s">
        <v>407</v>
      </c>
      <c r="E1870" s="11" t="str">
        <f t="array" ref="E1870">_xlfn.XLOOKUP(D1870,Insumos!B:B,Insumos!C:$C)</f>
        <v>M2</v>
      </c>
      <c r="F1870" s="14">
        <v>1.1060000000000001</v>
      </c>
      <c r="G1870" s="87">
        <f t="array" ref="G1870">IF(B1870="insumo",_xlfn.XLOOKUP($D1870,Insumos!$B$1:$B$996,Insumos!$D$1:$D$996),"")</f>
        <v>20.16</v>
      </c>
      <c r="H1870" s="87">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70</v>
      </c>
      <c r="C1871" s="10" t="s">
        <v>1327</v>
      </c>
      <c r="D1871" s="10" t="s">
        <v>408</v>
      </c>
      <c r="E1871" s="11" t="str">
        <f t="array" ref="E1871">_xlfn.XLOOKUP(D1871,Insumos!B:B,Insumos!C:$C)</f>
        <v>UN</v>
      </c>
      <c r="F1871" s="14">
        <v>5.92</v>
      </c>
      <c r="G1871" s="87">
        <f t="array" ref="G1871">IF(B1871="insumo",_xlfn.XLOOKUP($D1871,Insumos!$B$1:$B$996,Insumos!$D$1:$D$996),"")</f>
        <v>0.504</v>
      </c>
      <c r="H1871" s="87">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70</v>
      </c>
      <c r="C1872" s="10" t="s">
        <v>1327</v>
      </c>
      <c r="D1872" s="10" t="s">
        <v>419</v>
      </c>
      <c r="E1872" s="11" t="str">
        <f t="array" ref="E1872">_xlfn.XLOOKUP(D1872,Insumos!B:B,Insumos!C:$C)</f>
        <v>M</v>
      </c>
      <c r="F1872" s="14">
        <v>1.5247999999999999</v>
      </c>
      <c r="G1872" s="87">
        <f t="array" ref="G1872">IF(B1872="insumo",_xlfn.XLOOKUP($D1872,Insumos!$B$1:$B$996,Insumos!$D$1:$D$996),"")</f>
        <v>8.64</v>
      </c>
      <c r="H1872" s="87">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70</v>
      </c>
      <c r="C1873" s="10" t="s">
        <v>1327</v>
      </c>
      <c r="D1873" s="10" t="s">
        <v>420</v>
      </c>
      <c r="E1873" s="11" t="str">
        <f t="array" ref="E1873">_xlfn.XLOOKUP(D1873,Insumos!B:B,Insumos!C:$C)</f>
        <v>M</v>
      </c>
      <c r="F1873" s="14">
        <v>4.0011000000000001</v>
      </c>
      <c r="G1873" s="87">
        <f t="array" ref="G1873">IF(B1873="insumo",_xlfn.XLOOKUP($D1873,Insumos!$B$1:$B$996,Insumos!$D$1:$D$996),"")</f>
        <v>18.09</v>
      </c>
      <c r="H1873" s="87">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70</v>
      </c>
      <c r="C1874" s="10" t="s">
        <v>1327</v>
      </c>
      <c r="D1874" s="10" t="s">
        <v>404</v>
      </c>
      <c r="E1874" s="11" t="str">
        <f t="array" ref="E1874">_xlfn.XLOOKUP(D1874,Insumos!B:B,Insumos!C:$C)</f>
        <v>KG</v>
      </c>
      <c r="F1874" s="14">
        <v>1.0978000000000001</v>
      </c>
      <c r="G1874" s="87">
        <f t="array" ref="G1874">IF(B1874="insumo",_xlfn.XLOOKUP($D1874,Insumos!$B$1:$B$996,Insumos!$D$1:$D$996),"")</f>
        <v>3.43</v>
      </c>
      <c r="H1874" s="87">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70</v>
      </c>
      <c r="C1875" s="10" t="s">
        <v>1327</v>
      </c>
      <c r="D1875" s="10" t="s">
        <v>411</v>
      </c>
      <c r="E1875" s="11" t="str">
        <f t="array" ref="E1875">_xlfn.XLOOKUP(D1875,Insumos!B:B,Insumos!C:$C)</f>
        <v>M</v>
      </c>
      <c r="F1875" s="14">
        <v>2.5026999999999999</v>
      </c>
      <c r="G1875" s="87">
        <f t="array" ref="G1875">IF(B1875="insumo",_xlfn.XLOOKUP($D1875,Insumos!$B$1:$B$996,Insumos!$D$1:$D$996),"")</f>
        <v>0.31</v>
      </c>
      <c r="H1875" s="87">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70</v>
      </c>
      <c r="C1876" s="10" t="s">
        <v>1327</v>
      </c>
      <c r="D1876" s="10" t="s">
        <v>412</v>
      </c>
      <c r="E1876" s="11" t="str">
        <f t="array" ref="E1876">_xlfn.XLOOKUP(D1876,Insumos!B:B,Insumos!C:$C)</f>
        <v>M</v>
      </c>
      <c r="F1876" s="14">
        <v>1.5851</v>
      </c>
      <c r="G1876" s="87">
        <f t="array" ref="G1876">IF(B1876="insumo",_xlfn.XLOOKUP($D1876,Insumos!$B$1:$B$996,Insumos!$D$1:$D$996),"")</f>
        <v>2.74</v>
      </c>
      <c r="H1876" s="87">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70</v>
      </c>
      <c r="C1877" s="10" t="s">
        <v>1327</v>
      </c>
      <c r="D1877" s="10" t="s">
        <v>413</v>
      </c>
      <c r="E1877" s="11" t="str">
        <f t="array" ref="E1877">_xlfn.XLOOKUP(D1877,Insumos!B:B,Insumos!C:$C)</f>
        <v>UN</v>
      </c>
      <c r="F1877" s="14">
        <v>20.186800000000002</v>
      </c>
      <c r="G1877" s="87">
        <f t="array" ref="G1877">IF(B1877="insumo",_xlfn.XLOOKUP($D1877,Insumos!$B$1:$B$996,Insumos!$D$1:$D$996),"")</f>
        <v>0.09</v>
      </c>
      <c r="H1877" s="87">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70</v>
      </c>
      <c r="C1878" s="10" t="s">
        <v>1327</v>
      </c>
      <c r="D1878" s="10" t="s">
        <v>414</v>
      </c>
      <c r="E1878" s="11" t="str">
        <f t="array" ref="E1878">_xlfn.XLOOKUP(D1878,Insumos!B:B,Insumos!C:$C)</f>
        <v>UN</v>
      </c>
      <c r="F1878" s="14">
        <v>0.54410000000000003</v>
      </c>
      <c r="G1878" s="87">
        <f t="array" ref="G1878">IF(B1878="insumo",_xlfn.XLOOKUP($D1878,Insumos!$B$1:$B$996,Insumos!$D$1:$D$996),"")</f>
        <v>0.2</v>
      </c>
      <c r="H1878" s="87">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70</v>
      </c>
      <c r="C1879" s="10" t="s">
        <v>1327</v>
      </c>
      <c r="D1879" s="10" t="s">
        <v>1576</v>
      </c>
      <c r="E1879" s="11" t="str">
        <f t="array" ref="E1879">_xlfn.XLOOKUP(D1879,Insumos!B:B,Insumos!C:$C)</f>
        <v>M2</v>
      </c>
      <c r="F1879" s="14">
        <v>1.1000000000000001</v>
      </c>
      <c r="G1879" s="87">
        <f t="array" ref="G1879">IF(B1879="insumo",_xlfn.XLOOKUP($D1879,Insumos!$B$1:$B$996,Insumos!$D$1:$D$996),"")</f>
        <v>13.019333333333332</v>
      </c>
      <c r="H1879" s="87">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332">
        <v>1</v>
      </c>
      <c r="B1880" s="332" t="s">
        <v>67</v>
      </c>
      <c r="C1880" s="332" t="s">
        <v>1328</v>
      </c>
      <c r="D1880" s="332" t="s">
        <v>1328</v>
      </c>
      <c r="E1880" s="333" t="s">
        <v>69</v>
      </c>
      <c r="F1880" s="332"/>
      <c r="G1880" s="334" t="str">
        <f t="array" ref="G1880">IF(B1880="insumo",_xlfn.XLOOKUP($D1880,Insumos!$B$1:$B$996,Insumos!$D$1:$D$996),"")</f>
        <v/>
      </c>
      <c r="H1880" s="334">
        <v>240.74181466666701</v>
      </c>
      <c r="I1880" s="335">
        <v>0</v>
      </c>
      <c r="J1880" s="335">
        <v>0</v>
      </c>
      <c r="K1880" s="335"/>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70</v>
      </c>
      <c r="C1881" s="10" t="s">
        <v>1328</v>
      </c>
      <c r="D1881" s="10" t="s">
        <v>406</v>
      </c>
      <c r="E1881" s="11" t="str">
        <f t="array" ref="E1881">_xlfn.XLOOKUP(D1881,Insumos!B:B,Insumos!C:$C)</f>
        <v>M2</v>
      </c>
      <c r="F1881" s="14">
        <v>1</v>
      </c>
      <c r="G1881" s="87">
        <f t="array" ref="G1881">IF(B1881="insumo",_xlfn.XLOOKUP($D1881,Insumos!$B$1:$B$996,Insumos!$D$1:$D$996),"")</f>
        <v>70</v>
      </c>
      <c r="H1881" s="87">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70</v>
      </c>
      <c r="C1882" s="10" t="s">
        <v>1328</v>
      </c>
      <c r="D1882" s="10" t="s">
        <v>417</v>
      </c>
      <c r="E1882" s="11" t="str">
        <f t="array" ref="E1882">_xlfn.XLOOKUP(D1882,Insumos!B:B,Insumos!C:$C)</f>
        <v>M2</v>
      </c>
      <c r="F1882" s="14">
        <v>2.1059999999999999</v>
      </c>
      <c r="G1882" s="87">
        <f t="array" ref="G1882">IF(B1882="insumo",_xlfn.XLOOKUP($D1882,Insumos!$B$1:$B$996,Insumos!$D$1:$D$996),"")</f>
        <v>27.1</v>
      </c>
      <c r="H1882" s="87">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70</v>
      </c>
      <c r="C1883" s="10" t="s">
        <v>1328</v>
      </c>
      <c r="D1883" s="10" t="s">
        <v>408</v>
      </c>
      <c r="E1883" s="11" t="str">
        <f t="array" ref="E1883">_xlfn.XLOOKUP(D1883,Insumos!B:B,Insumos!C:$C)</f>
        <v>UN</v>
      </c>
      <c r="F1883" s="14">
        <v>5.92</v>
      </c>
      <c r="G1883" s="87">
        <f t="array" ref="G1883">IF(B1883="insumo",_xlfn.XLOOKUP($D1883,Insumos!$B$1:$B$996,Insumos!$D$1:$D$996),"")</f>
        <v>0.504</v>
      </c>
      <c r="H1883" s="87">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70</v>
      </c>
      <c r="C1884" s="10" t="s">
        <v>1328</v>
      </c>
      <c r="D1884" s="10" t="s">
        <v>419</v>
      </c>
      <c r="E1884" s="11" t="str">
        <f t="array" ref="E1884">_xlfn.XLOOKUP(D1884,Insumos!B:B,Insumos!C:$C)</f>
        <v>M</v>
      </c>
      <c r="F1884" s="14">
        <v>1.5247999999999999</v>
      </c>
      <c r="G1884" s="87">
        <f t="array" ref="G1884">IF(B1884="insumo",_xlfn.XLOOKUP($D1884,Insumos!$B$1:$B$996,Insumos!$D$1:$D$996),"")</f>
        <v>8.64</v>
      </c>
      <c r="H1884" s="87">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70</v>
      </c>
      <c r="C1885" s="10" t="s">
        <v>1328</v>
      </c>
      <c r="D1885" s="10" t="s">
        <v>420</v>
      </c>
      <c r="E1885" s="11" t="str">
        <f t="array" ref="E1885">_xlfn.XLOOKUP(D1885,Insumos!B:B,Insumos!C:$C)</f>
        <v>M</v>
      </c>
      <c r="F1885" s="14">
        <v>4.0011000000000001</v>
      </c>
      <c r="G1885" s="87">
        <f t="array" ref="G1885">IF(B1885="insumo",_xlfn.XLOOKUP($D1885,Insumos!$B$1:$B$996,Insumos!$D$1:$D$996),"")</f>
        <v>18.09</v>
      </c>
      <c r="H1885" s="87">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70</v>
      </c>
      <c r="C1886" s="10" t="s">
        <v>1328</v>
      </c>
      <c r="D1886" s="10" t="s">
        <v>404</v>
      </c>
      <c r="E1886" s="11" t="str">
        <f t="array" ref="E1886">_xlfn.XLOOKUP(D1886,Insumos!B:B,Insumos!C:$C)</f>
        <v>KG</v>
      </c>
      <c r="F1886" s="14">
        <v>1.0978000000000001</v>
      </c>
      <c r="G1886" s="87">
        <f t="array" ref="G1886">IF(B1886="insumo",_xlfn.XLOOKUP($D1886,Insumos!$B$1:$B$996,Insumos!$D$1:$D$996),"")</f>
        <v>3.43</v>
      </c>
      <c r="H1886" s="87">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70</v>
      </c>
      <c r="C1887" s="10" t="s">
        <v>1328</v>
      </c>
      <c r="D1887" s="10" t="s">
        <v>411</v>
      </c>
      <c r="E1887" s="11" t="str">
        <f t="array" ref="E1887">_xlfn.XLOOKUP(D1887,Insumos!B:B,Insumos!C:$C)</f>
        <v>M</v>
      </c>
      <c r="F1887" s="14">
        <v>2.5026999999999999</v>
      </c>
      <c r="G1887" s="87">
        <f t="array" ref="G1887">IF(B1887="insumo",_xlfn.XLOOKUP($D1887,Insumos!$B$1:$B$996,Insumos!$D$1:$D$996),"")</f>
        <v>0.31</v>
      </c>
      <c r="H1887" s="87">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70</v>
      </c>
      <c r="C1888" s="10" t="s">
        <v>1328</v>
      </c>
      <c r="D1888" s="10" t="s">
        <v>412</v>
      </c>
      <c r="E1888" s="11" t="str">
        <f t="array" ref="E1888">_xlfn.XLOOKUP(D1888,Insumos!B:B,Insumos!C:$C)</f>
        <v>M</v>
      </c>
      <c r="F1888" s="14">
        <v>1.5851</v>
      </c>
      <c r="G1888" s="87">
        <f t="array" ref="G1888">IF(B1888="insumo",_xlfn.XLOOKUP($D1888,Insumos!$B$1:$B$996,Insumos!$D$1:$D$996),"")</f>
        <v>2.74</v>
      </c>
      <c r="H1888" s="87">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70</v>
      </c>
      <c r="C1889" s="10" t="s">
        <v>1328</v>
      </c>
      <c r="D1889" s="10" t="s">
        <v>413</v>
      </c>
      <c r="E1889" s="11" t="str">
        <f t="array" ref="E1889">_xlfn.XLOOKUP(D1889,Insumos!B:B,Insumos!C:$C)</f>
        <v>UN</v>
      </c>
      <c r="F1889" s="14">
        <v>20.186800000000002</v>
      </c>
      <c r="G1889" s="87">
        <f t="array" ref="G1889">IF(B1889="insumo",_xlfn.XLOOKUP($D1889,Insumos!$B$1:$B$996,Insumos!$D$1:$D$996),"")</f>
        <v>0.09</v>
      </c>
      <c r="H1889" s="87">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70</v>
      </c>
      <c r="C1890" s="10" t="s">
        <v>1328</v>
      </c>
      <c r="D1890" s="10" t="s">
        <v>414</v>
      </c>
      <c r="E1890" s="11" t="str">
        <f t="array" ref="E1890">_xlfn.XLOOKUP(D1890,Insumos!B:B,Insumos!C:$C)</f>
        <v>UN</v>
      </c>
      <c r="F1890" s="14">
        <v>0.54410000000000003</v>
      </c>
      <c r="G1890" s="87">
        <f t="array" ref="G1890">IF(B1890="insumo",_xlfn.XLOOKUP($D1890,Insumos!$B$1:$B$996,Insumos!$D$1:$D$996),"")</f>
        <v>0.2</v>
      </c>
      <c r="H1890" s="87">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70</v>
      </c>
      <c r="C1891" s="10" t="s">
        <v>1328</v>
      </c>
      <c r="D1891" s="10" t="s">
        <v>1576</v>
      </c>
      <c r="E1891" s="11" t="str">
        <f t="array" ref="E1891">_xlfn.XLOOKUP(D1891,Insumos!B:B,Insumos!C:$C)</f>
        <v>M2</v>
      </c>
      <c r="F1891" s="14">
        <v>1.1000000000000001</v>
      </c>
      <c r="G1891" s="87">
        <f t="array" ref="G1891">IF(B1891="insumo",_xlfn.XLOOKUP($D1891,Insumos!$B$1:$B$996,Insumos!$D$1:$D$996),"")</f>
        <v>13.019333333333332</v>
      </c>
      <c r="H1891" s="87">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332">
        <v>1</v>
      </c>
      <c r="B1892" s="332" t="s">
        <v>67</v>
      </c>
      <c r="C1892" s="332" t="s">
        <v>1329</v>
      </c>
      <c r="D1892" s="332" t="s">
        <v>1329</v>
      </c>
      <c r="E1892" s="333" t="s">
        <v>69</v>
      </c>
      <c r="F1892" s="332"/>
      <c r="G1892" s="334" t="str">
        <f t="array" ref="G1892">IF(B1892="insumo",_xlfn.XLOOKUP($D1892,Insumos!$B$1:$B$996,Insumos!$D$1:$D$996),"")</f>
        <v/>
      </c>
      <c r="H1892" s="334">
        <v>235.938774666667</v>
      </c>
      <c r="I1892" s="335">
        <v>0</v>
      </c>
      <c r="J1892" s="335">
        <v>0</v>
      </c>
      <c r="K1892" s="335"/>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70</v>
      </c>
      <c r="C1893" s="10" t="s">
        <v>1329</v>
      </c>
      <c r="D1893" s="10" t="s">
        <v>406</v>
      </c>
      <c r="E1893" s="11" t="str">
        <f t="array" ref="E1893">_xlfn.XLOOKUP(D1893,Insumos!B:B,Insumos!C:$C)</f>
        <v>M2</v>
      </c>
      <c r="F1893" s="14">
        <v>1</v>
      </c>
      <c r="G1893" s="87">
        <f t="array" ref="G1893">IF(B1893="insumo",_xlfn.XLOOKUP($D1893,Insumos!$B$1:$B$996,Insumos!$D$1:$D$996),"")</f>
        <v>70</v>
      </c>
      <c r="H1893" s="87">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70</v>
      </c>
      <c r="C1894" s="10" t="s">
        <v>1329</v>
      </c>
      <c r="D1894" s="10" t="s">
        <v>417</v>
      </c>
      <c r="E1894" s="11" t="str">
        <f t="array" ref="E1894">_xlfn.XLOOKUP(D1894,Insumos!B:B,Insumos!C:$C)</f>
        <v>M2</v>
      </c>
      <c r="F1894" s="14">
        <f>1.106</f>
        <v>1.1060000000000001</v>
      </c>
      <c r="G1894" s="87">
        <f t="array" ref="G1894">IF(B1894="insumo",_xlfn.XLOOKUP($D1894,Insumos!$B$1:$B$996,Insumos!$D$1:$D$996),"")</f>
        <v>27.1</v>
      </c>
      <c r="H1894" s="87">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70</v>
      </c>
      <c r="C1895" s="10" t="s">
        <v>1329</v>
      </c>
      <c r="D1895" s="10" t="s">
        <v>407</v>
      </c>
      <c r="E1895" s="11" t="str">
        <f t="array" ref="E1895">_xlfn.XLOOKUP(D1895,Insumos!B:B,Insumos!C:$C)</f>
        <v>M2</v>
      </c>
      <c r="F1895" s="14">
        <v>1.1060000000000001</v>
      </c>
      <c r="G1895" s="87">
        <f t="array" ref="G1895">IF(B1895="insumo",_xlfn.XLOOKUP($D1895,Insumos!$B$1:$B$996,Insumos!$D$1:$D$996),"")</f>
        <v>20.16</v>
      </c>
      <c r="H1895" s="87">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70</v>
      </c>
      <c r="C1896" s="10" t="s">
        <v>1329</v>
      </c>
      <c r="D1896" s="10" t="s">
        <v>408</v>
      </c>
      <c r="E1896" s="11" t="str">
        <f t="array" ref="E1896">_xlfn.XLOOKUP(D1896,Insumos!B:B,Insumos!C:$C)</f>
        <v>UN</v>
      </c>
      <c r="F1896" s="14">
        <v>5.92</v>
      </c>
      <c r="G1896" s="87">
        <f t="array" ref="G1896">IF(B1896="insumo",_xlfn.XLOOKUP($D1896,Insumos!$B$1:$B$996,Insumos!$D$1:$D$996),"")</f>
        <v>0.504</v>
      </c>
      <c r="H1896" s="87">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70</v>
      </c>
      <c r="C1897" s="10" t="s">
        <v>1329</v>
      </c>
      <c r="D1897" s="10" t="s">
        <v>419</v>
      </c>
      <c r="E1897" s="11" t="str">
        <f t="array" ref="E1897">_xlfn.XLOOKUP(D1897,Insumos!B:B,Insumos!C:$C)</f>
        <v>M</v>
      </c>
      <c r="F1897" s="14">
        <v>1.5247999999999999</v>
      </c>
      <c r="G1897" s="87">
        <f t="array" ref="G1897">IF(B1897="insumo",_xlfn.XLOOKUP($D1897,Insumos!$B$1:$B$996,Insumos!$D$1:$D$996),"")</f>
        <v>8.64</v>
      </c>
      <c r="H1897" s="87">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70</v>
      </c>
      <c r="C1898" s="10" t="s">
        <v>1329</v>
      </c>
      <c r="D1898" s="10" t="s">
        <v>420</v>
      </c>
      <c r="E1898" s="11" t="str">
        <f t="array" ref="E1898">_xlfn.XLOOKUP(D1898,Insumos!B:B,Insumos!C:$C)</f>
        <v>M</v>
      </c>
      <c r="F1898" s="14">
        <v>4.0011000000000001</v>
      </c>
      <c r="G1898" s="87">
        <f t="array" ref="G1898">IF(B1898="insumo",_xlfn.XLOOKUP($D1898,Insumos!$B$1:$B$996,Insumos!$D$1:$D$996),"")</f>
        <v>18.09</v>
      </c>
      <c r="H1898" s="87">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70</v>
      </c>
      <c r="C1899" s="10" t="s">
        <v>1329</v>
      </c>
      <c r="D1899" s="10" t="s">
        <v>404</v>
      </c>
      <c r="E1899" s="11" t="str">
        <f t="array" ref="E1899">_xlfn.XLOOKUP(D1899,Insumos!B:B,Insumos!C:$C)</f>
        <v>KG</v>
      </c>
      <c r="F1899" s="14">
        <v>1.0978000000000001</v>
      </c>
      <c r="G1899" s="87">
        <f t="array" ref="G1899">IF(B1899="insumo",_xlfn.XLOOKUP($D1899,Insumos!$B$1:$B$996,Insumos!$D$1:$D$996),"")</f>
        <v>3.43</v>
      </c>
      <c r="H1899" s="87">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70</v>
      </c>
      <c r="C1900" s="10" t="s">
        <v>1329</v>
      </c>
      <c r="D1900" s="10" t="s">
        <v>411</v>
      </c>
      <c r="E1900" s="11" t="str">
        <f t="array" ref="E1900">_xlfn.XLOOKUP(D1900,Insumos!B:B,Insumos!C:$C)</f>
        <v>M</v>
      </c>
      <c r="F1900" s="14">
        <v>2.5026999999999999</v>
      </c>
      <c r="G1900" s="87">
        <f t="array" ref="G1900">IF(B1900="insumo",_xlfn.XLOOKUP($D1900,Insumos!$B$1:$B$996,Insumos!$D$1:$D$996),"")</f>
        <v>0.31</v>
      </c>
      <c r="H1900" s="87">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70</v>
      </c>
      <c r="C1901" s="10" t="s">
        <v>1329</v>
      </c>
      <c r="D1901" s="10" t="s">
        <v>412</v>
      </c>
      <c r="E1901" s="11" t="str">
        <f t="array" ref="E1901">_xlfn.XLOOKUP(D1901,Insumos!B:B,Insumos!C:$C)</f>
        <v>M</v>
      </c>
      <c r="F1901" s="14">
        <v>1.5851</v>
      </c>
      <c r="G1901" s="87">
        <f t="array" ref="G1901">IF(B1901="insumo",_xlfn.XLOOKUP($D1901,Insumos!$B$1:$B$996,Insumos!$D$1:$D$996),"")</f>
        <v>2.74</v>
      </c>
      <c r="H1901" s="87">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70</v>
      </c>
      <c r="C1902" s="10" t="s">
        <v>1329</v>
      </c>
      <c r="D1902" s="10" t="s">
        <v>413</v>
      </c>
      <c r="E1902" s="11" t="str">
        <f t="array" ref="E1902">_xlfn.XLOOKUP(D1902,Insumos!B:B,Insumos!C:$C)</f>
        <v>UN</v>
      </c>
      <c r="F1902" s="14">
        <v>20.186800000000002</v>
      </c>
      <c r="G1902" s="87">
        <f t="array" ref="G1902">IF(B1902="insumo",_xlfn.XLOOKUP($D1902,Insumos!$B$1:$B$996,Insumos!$D$1:$D$996),"")</f>
        <v>0.09</v>
      </c>
      <c r="H1902" s="87">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70</v>
      </c>
      <c r="C1903" s="10" t="s">
        <v>1329</v>
      </c>
      <c r="D1903" s="10" t="s">
        <v>414</v>
      </c>
      <c r="E1903" s="11" t="str">
        <f t="array" ref="E1903">_xlfn.XLOOKUP(D1903,Insumos!B:B,Insumos!C:$C)</f>
        <v>UN</v>
      </c>
      <c r="F1903" s="14">
        <v>0.54410000000000003</v>
      </c>
      <c r="G1903" s="87">
        <f t="array" ref="G1903">IF(B1903="insumo",_xlfn.XLOOKUP($D1903,Insumos!$B$1:$B$996,Insumos!$D$1:$D$996),"")</f>
        <v>0.2</v>
      </c>
      <c r="H1903" s="87">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70</v>
      </c>
      <c r="C1904" s="10" t="s">
        <v>1329</v>
      </c>
      <c r="D1904" s="10" t="s">
        <v>1576</v>
      </c>
      <c r="E1904" s="11" t="str">
        <f t="array" ref="E1904">_xlfn.XLOOKUP(D1904,Insumos!B:B,Insumos!C:$C)</f>
        <v>M2</v>
      </c>
      <c r="F1904" s="14">
        <v>1.1000000000000001</v>
      </c>
      <c r="G1904" s="87">
        <f t="array" ref="G1904">IF(B1904="insumo",_xlfn.XLOOKUP($D1904,Insumos!$B$1:$B$996,Insumos!$D$1:$D$996),"")</f>
        <v>13.019333333333332</v>
      </c>
      <c r="H1904" s="87">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332">
        <v>1</v>
      </c>
      <c r="B1905" s="332" t="s">
        <v>67</v>
      </c>
      <c r="C1905" s="332" t="s">
        <v>1330</v>
      </c>
      <c r="D1905" s="332" t="s">
        <v>1330</v>
      </c>
      <c r="E1905" s="333" t="s">
        <v>69</v>
      </c>
      <c r="F1905" s="332"/>
      <c r="G1905" s="334" t="str">
        <f t="array" ref="G1905">IF(B1905="insumo",_xlfn.XLOOKUP($D1905,Insumos!$B$1:$B$996,Insumos!$D$1:$D$996),"")</f>
        <v/>
      </c>
      <c r="H1905" s="334">
        <v>226.126174666667</v>
      </c>
      <c r="I1905" s="335">
        <v>0</v>
      </c>
      <c r="J1905" s="335">
        <v>0</v>
      </c>
      <c r="K1905" s="335"/>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70</v>
      </c>
      <c r="C1906" s="10" t="s">
        <v>1330</v>
      </c>
      <c r="D1906" s="10" t="s">
        <v>406</v>
      </c>
      <c r="E1906" s="11" t="str">
        <f t="array" ref="E1906">_xlfn.XLOOKUP(D1906,Insumos!B:B,Insumos!C:$C)</f>
        <v>M2</v>
      </c>
      <c r="F1906" s="14">
        <v>1</v>
      </c>
      <c r="G1906" s="87">
        <f t="array" ref="G1906">IF(B1906="insumo",_xlfn.XLOOKUP($D1906,Insumos!$B$1:$B$996,Insumos!$D$1:$D$996),"")</f>
        <v>70</v>
      </c>
      <c r="H1906" s="87">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70</v>
      </c>
      <c r="C1907" s="10" t="s">
        <v>1330</v>
      </c>
      <c r="D1907" s="10" t="s">
        <v>407</v>
      </c>
      <c r="E1907" s="11" t="str">
        <f t="array" ref="E1907">_xlfn.XLOOKUP(D1907,Insumos!B:B,Insumos!C:$C)</f>
        <v>M2</v>
      </c>
      <c r="F1907" s="14">
        <v>2.1059999999999999</v>
      </c>
      <c r="G1907" s="87">
        <f t="array" ref="G1907">IF(B1907="insumo",_xlfn.XLOOKUP($D1907,Insumos!$B$1:$B$996,Insumos!$D$1:$D$996),"")</f>
        <v>20.16</v>
      </c>
      <c r="H1907" s="87">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70</v>
      </c>
      <c r="C1908" s="10" t="s">
        <v>1330</v>
      </c>
      <c r="D1908" s="10" t="s">
        <v>408</v>
      </c>
      <c r="E1908" s="11" t="str">
        <f t="array" ref="E1908">_xlfn.XLOOKUP(D1908,Insumos!B:B,Insumos!C:$C)</f>
        <v>UN</v>
      </c>
      <c r="F1908" s="14">
        <v>5.92</v>
      </c>
      <c r="G1908" s="87">
        <f t="array" ref="G1908">IF(B1908="insumo",_xlfn.XLOOKUP($D1908,Insumos!$B$1:$B$996,Insumos!$D$1:$D$996),"")</f>
        <v>0.504</v>
      </c>
      <c r="H1908" s="87">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70</v>
      </c>
      <c r="C1909" s="10" t="s">
        <v>1330</v>
      </c>
      <c r="D1909" s="10" t="s">
        <v>419</v>
      </c>
      <c r="E1909" s="11" t="str">
        <f t="array" ref="E1909">_xlfn.XLOOKUP(D1909,Insumos!B:B,Insumos!C:$C)</f>
        <v>M</v>
      </c>
      <c r="F1909" s="14">
        <v>1.5247999999999999</v>
      </c>
      <c r="G1909" s="87">
        <f t="array" ref="G1909">IF(B1909="insumo",_xlfn.XLOOKUP($D1909,Insumos!$B$1:$B$996,Insumos!$D$1:$D$996),"")</f>
        <v>8.64</v>
      </c>
      <c r="H1909" s="87">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70</v>
      </c>
      <c r="C1910" s="10" t="s">
        <v>1330</v>
      </c>
      <c r="D1910" s="10" t="s">
        <v>420</v>
      </c>
      <c r="E1910" s="11" t="str">
        <f t="array" ref="E1910">_xlfn.XLOOKUP(D1910,Insumos!B:B,Insumos!C:$C)</f>
        <v>M</v>
      </c>
      <c r="F1910" s="14">
        <v>4.0011000000000001</v>
      </c>
      <c r="G1910" s="87">
        <f t="array" ref="G1910">IF(B1910="insumo",_xlfn.XLOOKUP($D1910,Insumos!$B$1:$B$996,Insumos!$D$1:$D$996),"")</f>
        <v>18.09</v>
      </c>
      <c r="H1910" s="87">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70</v>
      </c>
      <c r="C1911" s="10" t="s">
        <v>1330</v>
      </c>
      <c r="D1911" s="10" t="s">
        <v>404</v>
      </c>
      <c r="E1911" s="11" t="str">
        <f t="array" ref="E1911">_xlfn.XLOOKUP(D1911,Insumos!B:B,Insumos!C:$C)</f>
        <v>KG</v>
      </c>
      <c r="F1911" s="14">
        <v>1.0978000000000001</v>
      </c>
      <c r="G1911" s="87">
        <f t="array" ref="G1911">IF(B1911="insumo",_xlfn.XLOOKUP($D1911,Insumos!$B$1:$B$996,Insumos!$D$1:$D$996),"")</f>
        <v>3.43</v>
      </c>
      <c r="H1911" s="87">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70</v>
      </c>
      <c r="C1912" s="10" t="s">
        <v>1330</v>
      </c>
      <c r="D1912" s="10" t="s">
        <v>411</v>
      </c>
      <c r="E1912" s="11" t="str">
        <f t="array" ref="E1912">_xlfn.XLOOKUP(D1912,Insumos!B:B,Insumos!C:$C)</f>
        <v>M</v>
      </c>
      <c r="F1912" s="14">
        <v>2.5026999999999999</v>
      </c>
      <c r="G1912" s="87">
        <f t="array" ref="G1912">IF(B1912="insumo",_xlfn.XLOOKUP($D1912,Insumos!$B$1:$B$996,Insumos!$D$1:$D$996),"")</f>
        <v>0.31</v>
      </c>
      <c r="H1912" s="87">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70</v>
      </c>
      <c r="C1913" s="10" t="s">
        <v>1330</v>
      </c>
      <c r="D1913" s="10" t="s">
        <v>412</v>
      </c>
      <c r="E1913" s="11" t="str">
        <f t="array" ref="E1913">_xlfn.XLOOKUP(D1913,Insumos!B:B,Insumos!C:$C)</f>
        <v>M</v>
      </c>
      <c r="F1913" s="14">
        <v>1.5851</v>
      </c>
      <c r="G1913" s="87">
        <f t="array" ref="G1913">IF(B1913="insumo",_xlfn.XLOOKUP($D1913,Insumos!$B$1:$B$996,Insumos!$D$1:$D$996),"")</f>
        <v>2.74</v>
      </c>
      <c r="H1913" s="87">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70</v>
      </c>
      <c r="C1914" s="10" t="s">
        <v>1330</v>
      </c>
      <c r="D1914" s="10" t="s">
        <v>413</v>
      </c>
      <c r="E1914" s="11" t="str">
        <f t="array" ref="E1914">_xlfn.XLOOKUP(D1914,Insumos!B:B,Insumos!C:$C)</f>
        <v>UN</v>
      </c>
      <c r="F1914" s="14">
        <v>20.186800000000002</v>
      </c>
      <c r="G1914" s="87">
        <f t="array" ref="G1914">IF(B1914="insumo",_xlfn.XLOOKUP($D1914,Insumos!$B$1:$B$996,Insumos!$D$1:$D$996),"")</f>
        <v>0.09</v>
      </c>
      <c r="H1914" s="87">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70</v>
      </c>
      <c r="C1915" s="10" t="s">
        <v>1330</v>
      </c>
      <c r="D1915" s="10" t="s">
        <v>414</v>
      </c>
      <c r="E1915" s="11" t="str">
        <f t="array" ref="E1915">_xlfn.XLOOKUP(D1915,Insumos!B:B,Insumos!C:$C)</f>
        <v>UN</v>
      </c>
      <c r="F1915" s="14">
        <v>0.54410000000000003</v>
      </c>
      <c r="G1915" s="87">
        <f t="array" ref="G1915">IF(B1915="insumo",_xlfn.XLOOKUP($D1915,Insumos!$B$1:$B$996,Insumos!$D$1:$D$996),"")</f>
        <v>0.2</v>
      </c>
      <c r="H1915" s="87">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70</v>
      </c>
      <c r="C1916" s="10" t="s">
        <v>1330</v>
      </c>
      <c r="D1916" s="10" t="s">
        <v>1576</v>
      </c>
      <c r="E1916" s="11" t="str">
        <f t="array" ref="E1916">_xlfn.XLOOKUP(D1916,Insumos!B:B,Insumos!C:$C)</f>
        <v>M2</v>
      </c>
      <c r="F1916" s="14">
        <v>1.1000000000000001</v>
      </c>
      <c r="G1916" s="87">
        <f t="array" ref="G1916">IF(B1916="insumo",_xlfn.XLOOKUP($D1916,Insumos!$B$1:$B$996,Insumos!$D$1:$D$996),"")</f>
        <v>13.019333333333332</v>
      </c>
      <c r="H1916" s="87">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332">
        <v>1</v>
      </c>
      <c r="B1917" s="332" t="s">
        <v>67</v>
      </c>
      <c r="C1917" s="332" t="s">
        <v>1338</v>
      </c>
      <c r="D1917" s="332" t="s">
        <v>1338</v>
      </c>
      <c r="E1917" s="333" t="s">
        <v>69</v>
      </c>
      <c r="F1917" s="332"/>
      <c r="G1917" s="334" t="str">
        <f t="array" ref="G1917">IF(B1917="insumo",_xlfn.XLOOKUP($D1917,Insumos!$B$1:$B$996,Insumos!$D$1:$D$996),"")</f>
        <v/>
      </c>
      <c r="H1917" s="334">
        <v>200.615536166667</v>
      </c>
      <c r="I1917" s="335">
        <v>0</v>
      </c>
      <c r="J1917" s="335">
        <v>0</v>
      </c>
      <c r="K1917" s="335"/>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70</v>
      </c>
      <c r="C1918" s="10" t="s">
        <v>1338</v>
      </c>
      <c r="D1918" s="10" t="s">
        <v>406</v>
      </c>
      <c r="E1918" s="11" t="str">
        <f t="array" ref="E1918">_xlfn.XLOOKUP(D1918,Insumos!B:B,Insumos!C:$C)</f>
        <v>M2</v>
      </c>
      <c r="F1918" s="14">
        <v>1</v>
      </c>
      <c r="G1918" s="87">
        <f t="array" ref="G1918">IF(B1918="insumo",_xlfn.XLOOKUP($D1918,Insumos!$B$1:$B$996,Insumos!$D$1:$D$996),"")</f>
        <v>70</v>
      </c>
      <c r="H1918" s="87">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70</v>
      </c>
      <c r="C1919" s="10" t="s">
        <v>1338</v>
      </c>
      <c r="D1919" s="10" t="s">
        <v>407</v>
      </c>
      <c r="E1919" s="11" t="str">
        <f t="array" ref="E1919">_xlfn.XLOOKUP(D1919,Insumos!B:B,Insumos!C:$C)</f>
        <v>M2</v>
      </c>
      <c r="F1919" s="14">
        <v>1.1060000000000001</v>
      </c>
      <c r="G1919" s="87">
        <f t="array" ref="G1919">IF(B1919="insumo",_xlfn.XLOOKUP($D1919,Insumos!$B$1:$B$996,Insumos!$D$1:$D$996),"")</f>
        <v>20.16</v>
      </c>
      <c r="H1919" s="87">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70</v>
      </c>
      <c r="C1920" s="10" t="s">
        <v>1338</v>
      </c>
      <c r="D1920" s="10" t="s">
        <v>408</v>
      </c>
      <c r="E1920" s="11" t="str">
        <f t="array" ref="E1920">_xlfn.XLOOKUP(D1920,Insumos!B:B,Insumos!C:$C)</f>
        <v>UN</v>
      </c>
      <c r="F1920" s="14">
        <v>5.92</v>
      </c>
      <c r="G1920" s="87">
        <f t="array" ref="G1920">IF(B1920="insumo",_xlfn.XLOOKUP($D1920,Insumos!$B$1:$B$996,Insumos!$D$1:$D$996),"")</f>
        <v>0.504</v>
      </c>
      <c r="H1920" s="87">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70</v>
      </c>
      <c r="C1921" s="10" t="s">
        <v>1338</v>
      </c>
      <c r="D1921" s="10" t="s">
        <v>419</v>
      </c>
      <c r="E1921" s="11" t="str">
        <f t="array" ref="E1921">_xlfn.XLOOKUP(D1921,Insumos!B:B,Insumos!C:$C)</f>
        <v>M</v>
      </c>
      <c r="F1921" s="14">
        <v>1.5247999999999999</v>
      </c>
      <c r="G1921" s="87">
        <f t="array" ref="G1921">IF(B1921="insumo",_xlfn.XLOOKUP($D1921,Insumos!$B$1:$B$996,Insumos!$D$1:$D$996),"")</f>
        <v>8.64</v>
      </c>
      <c r="H1921" s="87">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70</v>
      </c>
      <c r="C1922" s="10" t="s">
        <v>1338</v>
      </c>
      <c r="D1922" s="10" t="s">
        <v>420</v>
      </c>
      <c r="E1922" s="11" t="str">
        <f t="array" ref="E1922">_xlfn.XLOOKUP(D1922,Insumos!B:B,Insumos!C:$C)</f>
        <v>M</v>
      </c>
      <c r="F1922" s="14">
        <v>4.0011000000000001</v>
      </c>
      <c r="G1922" s="87">
        <f t="array" ref="G1922">IF(B1922="insumo",_xlfn.XLOOKUP($D1922,Insumos!$B$1:$B$996,Insumos!$D$1:$D$996),"")</f>
        <v>18.09</v>
      </c>
      <c r="H1922" s="87">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70</v>
      </c>
      <c r="C1923" s="10" t="s">
        <v>1338</v>
      </c>
      <c r="D1923" s="10" t="s">
        <v>404</v>
      </c>
      <c r="E1923" s="11" t="str">
        <f t="array" ref="E1923">_xlfn.XLOOKUP(D1923,Insumos!B:B,Insumos!C:$C)</f>
        <v>KG</v>
      </c>
      <c r="F1923" s="14">
        <f>1.0978/2</f>
        <v>0.54890000000000005</v>
      </c>
      <c r="G1923" s="87">
        <f t="array" ref="G1923">IF(B1923="insumo",_xlfn.XLOOKUP($D1923,Insumos!$B$1:$B$996,Insumos!$D$1:$D$996),"")</f>
        <v>3.43</v>
      </c>
      <c r="H1923" s="87">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70</v>
      </c>
      <c r="C1924" s="10" t="s">
        <v>1338</v>
      </c>
      <c r="D1924" s="10" t="s">
        <v>411</v>
      </c>
      <c r="E1924" s="11" t="str">
        <f t="array" ref="E1924">_xlfn.XLOOKUP(D1924,Insumos!B:B,Insumos!C:$C)</f>
        <v>M</v>
      </c>
      <c r="F1924" s="14">
        <f>2.5027/2</f>
        <v>1.25135</v>
      </c>
      <c r="G1924" s="87">
        <f t="array" ref="G1924">IF(B1924="insumo",_xlfn.XLOOKUP($D1924,Insumos!$B$1:$B$996,Insumos!$D$1:$D$996),"")</f>
        <v>0.31</v>
      </c>
      <c r="H1924" s="87">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70</v>
      </c>
      <c r="C1925" s="10" t="s">
        <v>1338</v>
      </c>
      <c r="D1925" s="10" t="s">
        <v>412</v>
      </c>
      <c r="E1925" s="11" t="str">
        <f t="array" ref="E1925">_xlfn.XLOOKUP(D1925,Insumos!B:B,Insumos!C:$C)</f>
        <v>M</v>
      </c>
      <c r="F1925" s="14">
        <f>1.5851/2</f>
        <v>0.79254999999999998</v>
      </c>
      <c r="G1925" s="87">
        <f t="array" ref="G1925">IF(B1925="insumo",_xlfn.XLOOKUP($D1925,Insumos!$B$1:$B$996,Insumos!$D$1:$D$996),"")</f>
        <v>2.74</v>
      </c>
      <c r="H1925" s="87">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70</v>
      </c>
      <c r="C1926" s="10" t="s">
        <v>1338</v>
      </c>
      <c r="D1926" s="10" t="s">
        <v>413</v>
      </c>
      <c r="E1926" s="11" t="str">
        <f t="array" ref="E1926">_xlfn.XLOOKUP(D1926,Insumos!B:B,Insumos!C:$C)</f>
        <v>UN</v>
      </c>
      <c r="F1926" s="14">
        <f>20.1868/2</f>
        <v>10.093400000000001</v>
      </c>
      <c r="G1926" s="87">
        <f t="array" ref="G1926">IF(B1926="insumo",_xlfn.XLOOKUP($D1926,Insumos!$B$1:$B$996,Insumos!$D$1:$D$996),"")</f>
        <v>0.09</v>
      </c>
      <c r="H1926" s="87">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70</v>
      </c>
      <c r="C1927" s="10" t="s">
        <v>1338</v>
      </c>
      <c r="D1927" s="10" t="s">
        <v>414</v>
      </c>
      <c r="E1927" s="11" t="str">
        <f t="array" ref="E1927">_xlfn.XLOOKUP(D1927,Insumos!B:B,Insumos!C:$C)</f>
        <v>UN</v>
      </c>
      <c r="F1927" s="14">
        <v>0.54410000000000003</v>
      </c>
      <c r="G1927" s="87">
        <f t="array" ref="G1927">IF(B1927="insumo",_xlfn.XLOOKUP($D1927,Insumos!$B$1:$B$996,Insumos!$D$1:$D$996),"")</f>
        <v>0.2</v>
      </c>
      <c r="H1927" s="87">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70</v>
      </c>
      <c r="C1928" s="10" t="s">
        <v>1338</v>
      </c>
      <c r="D1928" s="10" t="s">
        <v>1576</v>
      </c>
      <c r="E1928" s="11" t="str">
        <f t="array" ref="E1928">_xlfn.XLOOKUP(D1928,Insumos!B:B,Insumos!C:$C)</f>
        <v>M2</v>
      </c>
      <c r="F1928" s="14">
        <v>1.1000000000000001</v>
      </c>
      <c r="G1928" s="87">
        <f t="array" ref="G1928">IF(B1928="insumo",_xlfn.XLOOKUP($D1928,Insumos!$B$1:$B$996,Insumos!$D$1:$D$996),"")</f>
        <v>13.019333333333332</v>
      </c>
      <c r="H1928" s="87">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332">
        <v>1</v>
      </c>
      <c r="B1929" s="332" t="s">
        <v>67</v>
      </c>
      <c r="C1929" s="332" t="s">
        <v>1339</v>
      </c>
      <c r="D1929" s="332" t="s">
        <v>1339</v>
      </c>
      <c r="E1929" s="333" t="s">
        <v>69</v>
      </c>
      <c r="F1929" s="332"/>
      <c r="G1929" s="334" t="str">
        <f t="array" ref="G1929">IF(B1929="insumo",_xlfn.XLOOKUP($D1929,Insumos!$B$1:$B$996,Insumos!$D$1:$D$996),"")</f>
        <v/>
      </c>
      <c r="H1929" s="334">
        <v>246.920893833333</v>
      </c>
      <c r="I1929" s="335">
        <v>0</v>
      </c>
      <c r="J1929" s="335">
        <v>0</v>
      </c>
      <c r="K1929" s="335"/>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70</v>
      </c>
      <c r="C1930" s="10" t="s">
        <v>1339</v>
      </c>
      <c r="D1930" s="10" t="s">
        <v>406</v>
      </c>
      <c r="E1930" s="11" t="str">
        <f t="array" ref="E1930">_xlfn.XLOOKUP(D1930,Insumos!B:B,Insumos!C:$C)</f>
        <v>M2</v>
      </c>
      <c r="F1930" s="14">
        <v>1</v>
      </c>
      <c r="G1930" s="87">
        <f t="array" ref="G1930">IF(B1930="insumo",_xlfn.XLOOKUP($D1930,Insumos!$B$1:$B$996,Insumos!$D$1:$D$996),"")</f>
        <v>70</v>
      </c>
      <c r="H1930" s="87">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70</v>
      </c>
      <c r="C1931" s="10" t="s">
        <v>1339</v>
      </c>
      <c r="D1931" s="10" t="s">
        <v>417</v>
      </c>
      <c r="E1931" s="11" t="str">
        <f t="array" ref="E1931">_xlfn.XLOOKUP(D1931,Insumos!B:B,Insumos!C:$C)</f>
        <v>M2</v>
      </c>
      <c r="F1931" s="14">
        <f>1.106</f>
        <v>1.1060000000000001</v>
      </c>
      <c r="G1931" s="87">
        <f t="array" ref="G1931">IF(B1931="insumo",_xlfn.XLOOKUP($D1931,Insumos!$B$1:$B$996,Insumos!$D$1:$D$996),"")</f>
        <v>27.1</v>
      </c>
      <c r="H1931" s="87">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70</v>
      </c>
      <c r="C1932" s="10" t="s">
        <v>1339</v>
      </c>
      <c r="D1932" s="10" t="s">
        <v>1372</v>
      </c>
      <c r="E1932" s="11" t="str">
        <f t="array" ref="E1932">_xlfn.XLOOKUP(D1932,Insumos!B:B,Insumos!C:$C)</f>
        <v>M2</v>
      </c>
      <c r="F1932" s="14">
        <v>1.1060000000000001</v>
      </c>
      <c r="G1932" s="87">
        <f t="array" ref="G1932">IF(B1932="insumo",_xlfn.XLOOKUP($D1932,Insumos!$B$1:$B$996,Insumos!$D$1:$D$996),"")</f>
        <v>30.089583333333337</v>
      </c>
      <c r="H1932" s="87">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70</v>
      </c>
      <c r="C1933" s="10" t="s">
        <v>1339</v>
      </c>
      <c r="D1933" s="10" t="s">
        <v>408</v>
      </c>
      <c r="E1933" s="11" t="str">
        <f t="array" ref="E1933">_xlfn.XLOOKUP(D1933,Insumos!B:B,Insumos!C:$C)</f>
        <v>UN</v>
      </c>
      <c r="F1933" s="14">
        <v>5.92</v>
      </c>
      <c r="G1933" s="87">
        <f t="array" ref="G1933">IF(B1933="insumo",_xlfn.XLOOKUP($D1933,Insumos!$B$1:$B$996,Insumos!$D$1:$D$996),"")</f>
        <v>0.504</v>
      </c>
      <c r="H1933" s="87">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70</v>
      </c>
      <c r="C1934" s="10" t="s">
        <v>1339</v>
      </c>
      <c r="D1934" s="10" t="s">
        <v>419</v>
      </c>
      <c r="E1934" s="11" t="str">
        <f t="array" ref="E1934">_xlfn.XLOOKUP(D1934,Insumos!B:B,Insumos!C:$C)</f>
        <v>M</v>
      </c>
      <c r="F1934" s="14">
        <v>1.5247999999999999</v>
      </c>
      <c r="G1934" s="87">
        <f t="array" ref="G1934">IF(B1934="insumo",_xlfn.XLOOKUP($D1934,Insumos!$B$1:$B$996,Insumos!$D$1:$D$996),"")</f>
        <v>8.64</v>
      </c>
      <c r="H1934" s="87">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70</v>
      </c>
      <c r="C1935" s="10" t="s">
        <v>1339</v>
      </c>
      <c r="D1935" s="10" t="s">
        <v>420</v>
      </c>
      <c r="E1935" s="11" t="str">
        <f t="array" ref="E1935">_xlfn.XLOOKUP(D1935,Insumos!B:B,Insumos!C:$C)</f>
        <v>M</v>
      </c>
      <c r="F1935" s="14">
        <v>4.0011000000000001</v>
      </c>
      <c r="G1935" s="87">
        <f t="array" ref="G1935">IF(B1935="insumo",_xlfn.XLOOKUP($D1935,Insumos!$B$1:$B$996,Insumos!$D$1:$D$996),"")</f>
        <v>18.09</v>
      </c>
      <c r="H1935" s="87">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70</v>
      </c>
      <c r="C1936" s="10" t="s">
        <v>1339</v>
      </c>
      <c r="D1936" s="10" t="s">
        <v>404</v>
      </c>
      <c r="E1936" s="11" t="str">
        <f t="array" ref="E1936">_xlfn.XLOOKUP(D1936,Insumos!B:B,Insumos!C:$C)</f>
        <v>KG</v>
      </c>
      <c r="F1936" s="14">
        <v>1.0978000000000001</v>
      </c>
      <c r="G1936" s="87">
        <f t="array" ref="G1936">IF(B1936="insumo",_xlfn.XLOOKUP($D1936,Insumos!$B$1:$B$996,Insumos!$D$1:$D$996),"")</f>
        <v>3.43</v>
      </c>
      <c r="H1936" s="87">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70</v>
      </c>
      <c r="C1937" s="10" t="s">
        <v>1339</v>
      </c>
      <c r="D1937" s="10" t="s">
        <v>411</v>
      </c>
      <c r="E1937" s="11" t="str">
        <f t="array" ref="E1937">_xlfn.XLOOKUP(D1937,Insumos!B:B,Insumos!C:$C)</f>
        <v>M</v>
      </c>
      <c r="F1937" s="14">
        <v>2.5026999999999999</v>
      </c>
      <c r="G1937" s="87">
        <f t="array" ref="G1937">IF(B1937="insumo",_xlfn.XLOOKUP($D1937,Insumos!$B$1:$B$996,Insumos!$D$1:$D$996),"")</f>
        <v>0.31</v>
      </c>
      <c r="H1937" s="87">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70</v>
      </c>
      <c r="C1938" s="10" t="s">
        <v>1339</v>
      </c>
      <c r="D1938" s="10" t="s">
        <v>412</v>
      </c>
      <c r="E1938" s="11" t="str">
        <f t="array" ref="E1938">_xlfn.XLOOKUP(D1938,Insumos!B:B,Insumos!C:$C)</f>
        <v>M</v>
      </c>
      <c r="F1938" s="14">
        <v>1.5851</v>
      </c>
      <c r="G1938" s="87">
        <f t="array" ref="G1938">IF(B1938="insumo",_xlfn.XLOOKUP($D1938,Insumos!$B$1:$B$996,Insumos!$D$1:$D$996),"")</f>
        <v>2.74</v>
      </c>
      <c r="H1938" s="87">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70</v>
      </c>
      <c r="C1939" s="10" t="s">
        <v>1339</v>
      </c>
      <c r="D1939" s="10" t="s">
        <v>413</v>
      </c>
      <c r="E1939" s="11" t="str">
        <f t="array" ref="E1939">_xlfn.XLOOKUP(D1939,Insumos!B:B,Insumos!C:$C)</f>
        <v>UN</v>
      </c>
      <c r="F1939" s="14">
        <v>20.186800000000002</v>
      </c>
      <c r="G1939" s="87">
        <f t="array" ref="G1939">IF(B1939="insumo",_xlfn.XLOOKUP($D1939,Insumos!$B$1:$B$996,Insumos!$D$1:$D$996),"")</f>
        <v>0.09</v>
      </c>
      <c r="H1939" s="87">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70</v>
      </c>
      <c r="C1940" s="10" t="s">
        <v>1339</v>
      </c>
      <c r="D1940" s="10" t="s">
        <v>414</v>
      </c>
      <c r="E1940" s="11" t="str">
        <f t="array" ref="E1940">_xlfn.XLOOKUP(D1940,Insumos!B:B,Insumos!C:$C)</f>
        <v>UN</v>
      </c>
      <c r="F1940" s="14">
        <v>0.54410000000000003</v>
      </c>
      <c r="G1940" s="87">
        <f t="array" ref="G1940">IF(B1940="insumo",_xlfn.XLOOKUP($D1940,Insumos!$B$1:$B$996,Insumos!$D$1:$D$996),"")</f>
        <v>0.2</v>
      </c>
      <c r="H1940" s="87">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70</v>
      </c>
      <c r="C1941" s="10" t="s">
        <v>1339</v>
      </c>
      <c r="D1941" s="10" t="s">
        <v>1576</v>
      </c>
      <c r="E1941" s="11" t="str">
        <f t="array" ref="E1941">_xlfn.XLOOKUP(D1941,Insumos!B:B,Insumos!C:$C)</f>
        <v>M2</v>
      </c>
      <c r="F1941" s="14">
        <v>1.1000000000000001</v>
      </c>
      <c r="G1941" s="87">
        <f t="array" ref="G1941">IF(B1941="insumo",_xlfn.XLOOKUP($D1941,Insumos!$B$1:$B$996,Insumos!$D$1:$D$996),"")</f>
        <v>13.019333333333332</v>
      </c>
      <c r="H1941" s="87">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332">
        <v>1</v>
      </c>
      <c r="B1942" s="332" t="s">
        <v>67</v>
      </c>
      <c r="C1942" s="332" t="s">
        <v>1340</v>
      </c>
      <c r="D1942" s="332" t="s">
        <v>1340</v>
      </c>
      <c r="E1942" s="333" t="s">
        <v>69</v>
      </c>
      <c r="F1942" s="332"/>
      <c r="G1942" s="334" t="str">
        <f t="array" ref="G1942">IF(B1942="insumo",_xlfn.XLOOKUP($D1942,Insumos!$B$1:$B$996,Insumos!$D$1:$D$996),"")</f>
        <v/>
      </c>
      <c r="H1942" s="334">
        <v>246.920893833333</v>
      </c>
      <c r="I1942" s="335">
        <v>0</v>
      </c>
      <c r="J1942" s="335">
        <v>0</v>
      </c>
      <c r="K1942" s="335"/>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70</v>
      </c>
      <c r="C1943" s="10" t="s">
        <v>1340</v>
      </c>
      <c r="D1943" s="10" t="s">
        <v>406</v>
      </c>
      <c r="E1943" s="11" t="str">
        <f t="array" ref="E1943">_xlfn.XLOOKUP(D1943,Insumos!B:B,Insumos!C:$C)</f>
        <v>M2</v>
      </c>
      <c r="F1943" s="14">
        <v>1</v>
      </c>
      <c r="G1943" s="87">
        <f t="array" ref="G1943">IF(B1943="insumo",_xlfn.XLOOKUP($D1943,Insumos!$B$1:$B$996,Insumos!$D$1:$D$996),"")</f>
        <v>70</v>
      </c>
      <c r="H1943" s="87">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70</v>
      </c>
      <c r="C1944" s="10" t="s">
        <v>1340</v>
      </c>
      <c r="D1944" s="10" t="s">
        <v>417</v>
      </c>
      <c r="E1944" s="11" t="str">
        <f t="array" ref="E1944">_xlfn.XLOOKUP(D1944,Insumos!B:B,Insumos!C:$C)</f>
        <v>M2</v>
      </c>
      <c r="F1944" s="14">
        <f>1.106</f>
        <v>1.1060000000000001</v>
      </c>
      <c r="G1944" s="87">
        <f t="array" ref="G1944">IF(B1944="insumo",_xlfn.XLOOKUP($D1944,Insumos!$B$1:$B$996,Insumos!$D$1:$D$996),"")</f>
        <v>27.1</v>
      </c>
      <c r="H1944" s="87">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70</v>
      </c>
      <c r="C1945" s="10" t="s">
        <v>1340</v>
      </c>
      <c r="D1945" s="10" t="s">
        <v>1372</v>
      </c>
      <c r="E1945" s="11" t="str">
        <f t="array" ref="E1945">_xlfn.XLOOKUP(D1945,Insumos!B:B,Insumos!C:$C)</f>
        <v>M2</v>
      </c>
      <c r="F1945" s="14">
        <v>1.1060000000000001</v>
      </c>
      <c r="G1945" s="87">
        <f t="array" ref="G1945">IF(B1945="insumo",_xlfn.XLOOKUP($D1945,Insumos!$B$1:$B$996,Insumos!$D$1:$D$996),"")</f>
        <v>30.089583333333337</v>
      </c>
      <c r="H1945" s="87">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70</v>
      </c>
      <c r="C1946" s="10" t="s">
        <v>1340</v>
      </c>
      <c r="D1946" s="10" t="s">
        <v>408</v>
      </c>
      <c r="E1946" s="11" t="str">
        <f t="array" ref="E1946">_xlfn.XLOOKUP(D1946,Insumos!B:B,Insumos!C:$C)</f>
        <v>UN</v>
      </c>
      <c r="F1946" s="14">
        <v>5.92</v>
      </c>
      <c r="G1946" s="87">
        <f t="array" ref="G1946">IF(B1946="insumo",_xlfn.XLOOKUP($D1946,Insumos!$B$1:$B$996,Insumos!$D$1:$D$996),"")</f>
        <v>0.504</v>
      </c>
      <c r="H1946" s="87">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70</v>
      </c>
      <c r="C1947" s="10" t="s">
        <v>1340</v>
      </c>
      <c r="D1947" s="10" t="s">
        <v>419</v>
      </c>
      <c r="E1947" s="11" t="str">
        <f t="array" ref="E1947">_xlfn.XLOOKUP(D1947,Insumos!B:B,Insumos!C:$C)</f>
        <v>M</v>
      </c>
      <c r="F1947" s="14">
        <v>1.5247999999999999</v>
      </c>
      <c r="G1947" s="87">
        <f t="array" ref="G1947">IF(B1947="insumo",_xlfn.XLOOKUP($D1947,Insumos!$B$1:$B$996,Insumos!$D$1:$D$996),"")</f>
        <v>8.64</v>
      </c>
      <c r="H1947" s="87">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70</v>
      </c>
      <c r="C1948" s="10" t="s">
        <v>1340</v>
      </c>
      <c r="D1948" s="10" t="s">
        <v>420</v>
      </c>
      <c r="E1948" s="11" t="str">
        <f t="array" ref="E1948">_xlfn.XLOOKUP(D1948,Insumos!B:B,Insumos!C:$C)</f>
        <v>M</v>
      </c>
      <c r="F1948" s="14">
        <v>4.0011000000000001</v>
      </c>
      <c r="G1948" s="87">
        <f t="array" ref="G1948">IF(B1948="insumo",_xlfn.XLOOKUP($D1948,Insumos!$B$1:$B$996,Insumos!$D$1:$D$996),"")</f>
        <v>18.09</v>
      </c>
      <c r="H1948" s="87">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70</v>
      </c>
      <c r="C1949" s="10" t="s">
        <v>1340</v>
      </c>
      <c r="D1949" s="10" t="s">
        <v>404</v>
      </c>
      <c r="E1949" s="11" t="str">
        <f t="array" ref="E1949">_xlfn.XLOOKUP(D1949,Insumos!B:B,Insumos!C:$C)</f>
        <v>KG</v>
      </c>
      <c r="F1949" s="14">
        <v>1.0978000000000001</v>
      </c>
      <c r="G1949" s="87">
        <f t="array" ref="G1949">IF(B1949="insumo",_xlfn.XLOOKUP($D1949,Insumos!$B$1:$B$996,Insumos!$D$1:$D$996),"")</f>
        <v>3.43</v>
      </c>
      <c r="H1949" s="87">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70</v>
      </c>
      <c r="C1950" s="10" t="s">
        <v>1340</v>
      </c>
      <c r="D1950" s="10" t="s">
        <v>411</v>
      </c>
      <c r="E1950" s="11" t="str">
        <f t="array" ref="E1950">_xlfn.XLOOKUP(D1950,Insumos!B:B,Insumos!C:$C)</f>
        <v>M</v>
      </c>
      <c r="F1950" s="14">
        <v>2.5026999999999999</v>
      </c>
      <c r="G1950" s="87">
        <f t="array" ref="G1950">IF(B1950="insumo",_xlfn.XLOOKUP($D1950,Insumos!$B$1:$B$996,Insumos!$D$1:$D$996),"")</f>
        <v>0.31</v>
      </c>
      <c r="H1950" s="87">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70</v>
      </c>
      <c r="C1951" s="10" t="s">
        <v>1340</v>
      </c>
      <c r="D1951" s="10" t="s">
        <v>412</v>
      </c>
      <c r="E1951" s="11" t="str">
        <f t="array" ref="E1951">_xlfn.XLOOKUP(D1951,Insumos!B:B,Insumos!C:$C)</f>
        <v>M</v>
      </c>
      <c r="F1951" s="14">
        <v>1.5851</v>
      </c>
      <c r="G1951" s="87">
        <f t="array" ref="G1951">IF(B1951="insumo",_xlfn.XLOOKUP($D1951,Insumos!$B$1:$B$996,Insumos!$D$1:$D$996),"")</f>
        <v>2.74</v>
      </c>
      <c r="H1951" s="87">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70</v>
      </c>
      <c r="C1952" s="10" t="s">
        <v>1340</v>
      </c>
      <c r="D1952" s="10" t="s">
        <v>413</v>
      </c>
      <c r="E1952" s="11" t="str">
        <f t="array" ref="E1952">_xlfn.XLOOKUP(D1952,Insumos!B:B,Insumos!C:$C)</f>
        <v>UN</v>
      </c>
      <c r="F1952" s="14">
        <v>20.186800000000002</v>
      </c>
      <c r="G1952" s="87">
        <f t="array" ref="G1952">IF(B1952="insumo",_xlfn.XLOOKUP($D1952,Insumos!$B$1:$B$996,Insumos!$D$1:$D$996),"")</f>
        <v>0.09</v>
      </c>
      <c r="H1952" s="87">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70</v>
      </c>
      <c r="C1953" s="10" t="s">
        <v>1340</v>
      </c>
      <c r="D1953" s="10" t="s">
        <v>414</v>
      </c>
      <c r="E1953" s="11" t="str">
        <f t="array" ref="E1953">_xlfn.XLOOKUP(D1953,Insumos!B:B,Insumos!C:$C)</f>
        <v>UN</v>
      </c>
      <c r="F1953" s="14">
        <v>0.54410000000000003</v>
      </c>
      <c r="G1953" s="87">
        <f t="array" ref="G1953">IF(B1953="insumo",_xlfn.XLOOKUP($D1953,Insumos!$B$1:$B$996,Insumos!$D$1:$D$996),"")</f>
        <v>0.2</v>
      </c>
      <c r="H1953" s="87">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70</v>
      </c>
      <c r="C1954" s="10" t="s">
        <v>1340</v>
      </c>
      <c r="D1954" s="10" t="s">
        <v>1576</v>
      </c>
      <c r="E1954" s="11" t="str">
        <f t="array" ref="E1954">_xlfn.XLOOKUP(D1954,Insumos!B:B,Insumos!C:$C)</f>
        <v>M2</v>
      </c>
      <c r="F1954" s="14">
        <v>1.1000000000000001</v>
      </c>
      <c r="G1954" s="87">
        <f t="array" ref="G1954">IF(B1954="insumo",_xlfn.XLOOKUP($D1954,Insumos!$B$1:$B$996,Insumos!$D$1:$D$996),"")</f>
        <v>13.019333333333332</v>
      </c>
      <c r="H1954" s="87">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332">
        <v>1</v>
      </c>
      <c r="B1955" s="332" t="s">
        <v>67</v>
      </c>
      <c r="C1955" s="332" t="s">
        <v>1341</v>
      </c>
      <c r="D1955" s="332" t="s">
        <v>1341</v>
      </c>
      <c r="E1955" s="333" t="s">
        <v>69</v>
      </c>
      <c r="F1955" s="332"/>
      <c r="G1955" s="334" t="str">
        <f t="array" ref="G1955">IF(B1955="insumo",_xlfn.XLOOKUP($D1955,Insumos!$B$1:$B$996,Insumos!$D$1:$D$996),"")</f>
        <v/>
      </c>
      <c r="H1955" s="334">
        <v>235.938774666667</v>
      </c>
      <c r="I1955" s="335">
        <v>0</v>
      </c>
      <c r="J1955" s="335">
        <v>0</v>
      </c>
      <c r="K1955" s="335"/>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70</v>
      </c>
      <c r="C1956" s="10" t="s">
        <v>1341</v>
      </c>
      <c r="D1956" s="10" t="s">
        <v>406</v>
      </c>
      <c r="E1956" s="11" t="str">
        <f t="array" ref="E1956">_xlfn.XLOOKUP(D1956,Insumos!B:B,Insumos!C:$C)</f>
        <v>M2</v>
      </c>
      <c r="F1956" s="14">
        <v>1</v>
      </c>
      <c r="G1956" s="87">
        <f t="array" ref="G1956">IF(B1956="insumo",_xlfn.XLOOKUP($D1956,Insumos!$B$1:$B$996,Insumos!$D$1:$D$996),"")</f>
        <v>70</v>
      </c>
      <c r="H1956" s="87">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70</v>
      </c>
      <c r="C1957" s="10" t="s">
        <v>1341</v>
      </c>
      <c r="D1957" s="10" t="s">
        <v>417</v>
      </c>
      <c r="E1957" s="11" t="str">
        <f t="array" ref="E1957">_xlfn.XLOOKUP(D1957,Insumos!B:B,Insumos!C:$C)</f>
        <v>M2</v>
      </c>
      <c r="F1957" s="14">
        <f>1.106</f>
        <v>1.1060000000000001</v>
      </c>
      <c r="G1957" s="87">
        <f t="array" ref="G1957">IF(B1957="insumo",_xlfn.XLOOKUP($D1957,Insumos!$B$1:$B$996,Insumos!$D$1:$D$996),"")</f>
        <v>27.1</v>
      </c>
      <c r="H1957" s="87">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70</v>
      </c>
      <c r="C1958" s="10" t="s">
        <v>1341</v>
      </c>
      <c r="D1958" s="10" t="s">
        <v>407</v>
      </c>
      <c r="E1958" s="11" t="str">
        <f t="array" ref="E1958">_xlfn.XLOOKUP(D1958,Insumos!B:B,Insumos!C:$C)</f>
        <v>M2</v>
      </c>
      <c r="F1958" s="14">
        <v>1.1060000000000001</v>
      </c>
      <c r="G1958" s="87">
        <f t="array" ref="G1958">IF(B1958="insumo",_xlfn.XLOOKUP($D1958,Insumos!$B$1:$B$996,Insumos!$D$1:$D$996),"")</f>
        <v>20.16</v>
      </c>
      <c r="H1958" s="87">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70</v>
      </c>
      <c r="C1959" s="10" t="s">
        <v>1341</v>
      </c>
      <c r="D1959" s="10" t="s">
        <v>408</v>
      </c>
      <c r="E1959" s="11" t="str">
        <f t="array" ref="E1959">_xlfn.XLOOKUP(D1959,Insumos!B:B,Insumos!C:$C)</f>
        <v>UN</v>
      </c>
      <c r="F1959" s="14">
        <v>5.92</v>
      </c>
      <c r="G1959" s="87">
        <f t="array" ref="G1959">IF(B1959="insumo",_xlfn.XLOOKUP($D1959,Insumos!$B$1:$B$996,Insumos!$D$1:$D$996),"")</f>
        <v>0.504</v>
      </c>
      <c r="H1959" s="87">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70</v>
      </c>
      <c r="C1960" s="10" t="s">
        <v>1341</v>
      </c>
      <c r="D1960" s="10" t="s">
        <v>419</v>
      </c>
      <c r="E1960" s="11" t="str">
        <f t="array" ref="E1960">_xlfn.XLOOKUP(D1960,Insumos!B:B,Insumos!C:$C)</f>
        <v>M</v>
      </c>
      <c r="F1960" s="14">
        <v>1.5247999999999999</v>
      </c>
      <c r="G1960" s="87">
        <f t="array" ref="G1960">IF(B1960="insumo",_xlfn.XLOOKUP($D1960,Insumos!$B$1:$B$996,Insumos!$D$1:$D$996),"")</f>
        <v>8.64</v>
      </c>
      <c r="H1960" s="87">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70</v>
      </c>
      <c r="C1961" s="10" t="s">
        <v>1341</v>
      </c>
      <c r="D1961" s="10" t="s">
        <v>420</v>
      </c>
      <c r="E1961" s="11" t="str">
        <f t="array" ref="E1961">_xlfn.XLOOKUP(D1961,Insumos!B:B,Insumos!C:$C)</f>
        <v>M</v>
      </c>
      <c r="F1961" s="14">
        <v>4.0011000000000001</v>
      </c>
      <c r="G1961" s="87">
        <f t="array" ref="G1961">IF(B1961="insumo",_xlfn.XLOOKUP($D1961,Insumos!$B$1:$B$996,Insumos!$D$1:$D$996),"")</f>
        <v>18.09</v>
      </c>
      <c r="H1961" s="87">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70</v>
      </c>
      <c r="C1962" s="10" t="s">
        <v>1341</v>
      </c>
      <c r="D1962" s="10" t="s">
        <v>404</v>
      </c>
      <c r="E1962" s="11" t="str">
        <f t="array" ref="E1962">_xlfn.XLOOKUP(D1962,Insumos!B:B,Insumos!C:$C)</f>
        <v>KG</v>
      </c>
      <c r="F1962" s="14">
        <v>1.0978000000000001</v>
      </c>
      <c r="G1962" s="87">
        <f t="array" ref="G1962">IF(B1962="insumo",_xlfn.XLOOKUP($D1962,Insumos!$B$1:$B$996,Insumos!$D$1:$D$996),"")</f>
        <v>3.43</v>
      </c>
      <c r="H1962" s="87">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70</v>
      </c>
      <c r="C1963" s="10" t="s">
        <v>1341</v>
      </c>
      <c r="D1963" s="10" t="s">
        <v>411</v>
      </c>
      <c r="E1963" s="11" t="str">
        <f t="array" ref="E1963">_xlfn.XLOOKUP(D1963,Insumos!B:B,Insumos!C:$C)</f>
        <v>M</v>
      </c>
      <c r="F1963" s="14">
        <v>2.5026999999999999</v>
      </c>
      <c r="G1963" s="87">
        <f t="array" ref="G1963">IF(B1963="insumo",_xlfn.XLOOKUP($D1963,Insumos!$B$1:$B$996,Insumos!$D$1:$D$996),"")</f>
        <v>0.31</v>
      </c>
      <c r="H1963" s="87">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70</v>
      </c>
      <c r="C1964" s="10" t="s">
        <v>1341</v>
      </c>
      <c r="D1964" s="10" t="s">
        <v>412</v>
      </c>
      <c r="E1964" s="11" t="str">
        <f t="array" ref="E1964">_xlfn.XLOOKUP(D1964,Insumos!B:B,Insumos!C:$C)</f>
        <v>M</v>
      </c>
      <c r="F1964" s="14">
        <v>1.5851</v>
      </c>
      <c r="G1964" s="87">
        <f t="array" ref="G1964">IF(B1964="insumo",_xlfn.XLOOKUP($D1964,Insumos!$B$1:$B$996,Insumos!$D$1:$D$996),"")</f>
        <v>2.74</v>
      </c>
      <c r="H1964" s="87">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70</v>
      </c>
      <c r="C1965" s="10" t="s">
        <v>1341</v>
      </c>
      <c r="D1965" s="10" t="s">
        <v>413</v>
      </c>
      <c r="E1965" s="11" t="str">
        <f t="array" ref="E1965">_xlfn.XLOOKUP(D1965,Insumos!B:B,Insumos!C:$C)</f>
        <v>UN</v>
      </c>
      <c r="F1965" s="14">
        <v>20.186800000000002</v>
      </c>
      <c r="G1965" s="87">
        <f t="array" ref="G1965">IF(B1965="insumo",_xlfn.XLOOKUP($D1965,Insumos!$B$1:$B$996,Insumos!$D$1:$D$996),"")</f>
        <v>0.09</v>
      </c>
      <c r="H1965" s="87">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70</v>
      </c>
      <c r="C1966" s="10" t="s">
        <v>1341</v>
      </c>
      <c r="D1966" s="10" t="s">
        <v>414</v>
      </c>
      <c r="E1966" s="11" t="str">
        <f t="array" ref="E1966">_xlfn.XLOOKUP(D1966,Insumos!B:B,Insumos!C:$C)</f>
        <v>UN</v>
      </c>
      <c r="F1966" s="14">
        <v>0.54410000000000003</v>
      </c>
      <c r="G1966" s="87">
        <f t="array" ref="G1966">IF(B1966="insumo",_xlfn.XLOOKUP($D1966,Insumos!$B$1:$B$996,Insumos!$D$1:$D$996),"")</f>
        <v>0.2</v>
      </c>
      <c r="H1966" s="87">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70</v>
      </c>
      <c r="C1967" s="10" t="s">
        <v>1341</v>
      </c>
      <c r="D1967" s="10" t="s">
        <v>1576</v>
      </c>
      <c r="E1967" s="11" t="str">
        <f t="array" ref="E1967">_xlfn.XLOOKUP(D1967,Insumos!B:B,Insumos!C:$C)</f>
        <v>M2</v>
      </c>
      <c r="F1967" s="14">
        <v>1.1000000000000001</v>
      </c>
      <c r="G1967" s="87">
        <f t="array" ref="G1967">IF(B1967="insumo",_xlfn.XLOOKUP($D1967,Insumos!$B$1:$B$996,Insumos!$D$1:$D$996),"")</f>
        <v>13.019333333333332</v>
      </c>
      <c r="H1967" s="87">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332">
        <v>1</v>
      </c>
      <c r="B1968" s="332" t="s">
        <v>67</v>
      </c>
      <c r="C1968" s="332" t="s">
        <v>1349</v>
      </c>
      <c r="D1968" s="332" t="s">
        <v>1349</v>
      </c>
      <c r="E1968" s="333" t="s">
        <v>69</v>
      </c>
      <c r="F1968" s="332"/>
      <c r="G1968" s="334" t="str">
        <f t="array" ref="G1968">IF(B1968="insumo",_xlfn.XLOOKUP($D1968,Insumos!$B$1:$B$996,Insumos!$D$1:$D$996),"")</f>
        <v/>
      </c>
      <c r="H1968" s="334">
        <v>280.532694666667</v>
      </c>
      <c r="I1968" s="335">
        <v>0</v>
      </c>
      <c r="J1968" s="335">
        <v>0</v>
      </c>
      <c r="K1968" s="335"/>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70</v>
      </c>
      <c r="C1969" s="10" t="s">
        <v>1349</v>
      </c>
      <c r="D1969" s="10" t="s">
        <v>406</v>
      </c>
      <c r="E1969" s="11" t="str">
        <f t="array" ref="E1969">_xlfn.XLOOKUP(D1969,Insumos!B:B,Insumos!C:$C)</f>
        <v>M2</v>
      </c>
      <c r="F1969" s="14">
        <v>1</v>
      </c>
      <c r="G1969" s="87">
        <f t="array" ref="G1969">IF(B1969="insumo",_xlfn.XLOOKUP($D1969,Insumos!$B$1:$B$996,Insumos!$D$1:$D$996),"")</f>
        <v>70</v>
      </c>
      <c r="H1969" s="87">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70</v>
      </c>
      <c r="C1970" s="10" t="s">
        <v>1349</v>
      </c>
      <c r="D1970" s="10" t="s">
        <v>417</v>
      </c>
      <c r="E1970" s="11" t="str">
        <f t="array" ref="E1970">_xlfn.XLOOKUP(D1970,Insumos!B:B,Insumos!C:$C)</f>
        <v>M2</v>
      </c>
      <c r="F1970" s="14">
        <f>1.106</f>
        <v>1.1060000000000001</v>
      </c>
      <c r="G1970" s="87">
        <f t="array" ref="G1970">IF(B1970="insumo",_xlfn.XLOOKUP($D1970,Insumos!$B$1:$B$996,Insumos!$D$1:$D$996),"")</f>
        <v>27.1</v>
      </c>
      <c r="H1970" s="87">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70</v>
      </c>
      <c r="C1971" s="10" t="s">
        <v>1349</v>
      </c>
      <c r="D1971" s="10" t="s">
        <v>407</v>
      </c>
      <c r="E1971" s="11" t="str">
        <f t="array" ref="E1971">_xlfn.XLOOKUP(D1971,Insumos!B:B,Insumos!C:$C)</f>
        <v>M2</v>
      </c>
      <c r="F1971" s="14">
        <f>1.106*3</f>
        <v>3.3180000000000005</v>
      </c>
      <c r="G1971" s="87">
        <f t="array" ref="G1971">IF(B1971="insumo",_xlfn.XLOOKUP($D1971,Insumos!$B$1:$B$996,Insumos!$D$1:$D$996),"")</f>
        <v>20.16</v>
      </c>
      <c r="H1971" s="87">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70</v>
      </c>
      <c r="C1972" s="10" t="s">
        <v>1349</v>
      </c>
      <c r="D1972" s="10" t="s">
        <v>408</v>
      </c>
      <c r="E1972" s="11" t="str">
        <f t="array" ref="E1972">_xlfn.XLOOKUP(D1972,Insumos!B:B,Insumos!C:$C)</f>
        <v>UN</v>
      </c>
      <c r="F1972" s="14">
        <v>5.92</v>
      </c>
      <c r="G1972" s="87">
        <f t="array" ref="G1972">IF(B1972="insumo",_xlfn.XLOOKUP($D1972,Insumos!$B$1:$B$996,Insumos!$D$1:$D$996),"")</f>
        <v>0.504</v>
      </c>
      <c r="H1972" s="87">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70</v>
      </c>
      <c r="C1973" s="10" t="s">
        <v>1349</v>
      </c>
      <c r="D1973" s="10" t="s">
        <v>419</v>
      </c>
      <c r="E1973" s="11" t="str">
        <f t="array" ref="E1973">_xlfn.XLOOKUP(D1973,Insumos!B:B,Insumos!C:$C)</f>
        <v>M</v>
      </c>
      <c r="F1973" s="14">
        <v>1.5247999999999999</v>
      </c>
      <c r="G1973" s="87">
        <f t="array" ref="G1973">IF(B1973="insumo",_xlfn.XLOOKUP($D1973,Insumos!$B$1:$B$996,Insumos!$D$1:$D$996),"")</f>
        <v>8.64</v>
      </c>
      <c r="H1973" s="87">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70</v>
      </c>
      <c r="C1974" s="10" t="s">
        <v>1349</v>
      </c>
      <c r="D1974" s="10" t="s">
        <v>420</v>
      </c>
      <c r="E1974" s="11" t="str">
        <f t="array" ref="E1974">_xlfn.XLOOKUP(D1974,Insumos!B:B,Insumos!C:$C)</f>
        <v>M</v>
      </c>
      <c r="F1974" s="14">
        <v>4.0011000000000001</v>
      </c>
      <c r="G1974" s="87">
        <f t="array" ref="G1974">IF(B1974="insumo",_xlfn.XLOOKUP($D1974,Insumos!$B$1:$B$996,Insumos!$D$1:$D$996),"")</f>
        <v>18.09</v>
      </c>
      <c r="H1974" s="87">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70</v>
      </c>
      <c r="C1975" s="10" t="s">
        <v>1349</v>
      </c>
      <c r="D1975" s="10" t="s">
        <v>404</v>
      </c>
      <c r="E1975" s="11" t="str">
        <f t="array" ref="E1975">_xlfn.XLOOKUP(D1975,Insumos!B:B,Insumos!C:$C)</f>
        <v>KG</v>
      </c>
      <c r="F1975" s="14">
        <v>1.0978000000000001</v>
      </c>
      <c r="G1975" s="87">
        <f t="array" ref="G1975">IF(B1975="insumo",_xlfn.XLOOKUP($D1975,Insumos!$B$1:$B$996,Insumos!$D$1:$D$996),"")</f>
        <v>3.43</v>
      </c>
      <c r="H1975" s="87">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70</v>
      </c>
      <c r="C1976" s="10" t="s">
        <v>1349</v>
      </c>
      <c r="D1976" s="10" t="s">
        <v>411</v>
      </c>
      <c r="E1976" s="11" t="str">
        <f t="array" ref="E1976">_xlfn.XLOOKUP(D1976,Insumos!B:B,Insumos!C:$C)</f>
        <v>M</v>
      </c>
      <c r="F1976" s="14">
        <v>2.5026999999999999</v>
      </c>
      <c r="G1976" s="87">
        <f t="array" ref="G1976">IF(B1976="insumo",_xlfn.XLOOKUP($D1976,Insumos!$B$1:$B$996,Insumos!$D$1:$D$996),"")</f>
        <v>0.31</v>
      </c>
      <c r="H1976" s="87">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70</v>
      </c>
      <c r="C1977" s="10" t="s">
        <v>1349</v>
      </c>
      <c r="D1977" s="10" t="s">
        <v>412</v>
      </c>
      <c r="E1977" s="11" t="str">
        <f t="array" ref="E1977">_xlfn.XLOOKUP(D1977,Insumos!B:B,Insumos!C:$C)</f>
        <v>M</v>
      </c>
      <c r="F1977" s="14">
        <v>1.5851</v>
      </c>
      <c r="G1977" s="87">
        <f t="array" ref="G1977">IF(B1977="insumo",_xlfn.XLOOKUP($D1977,Insumos!$B$1:$B$996,Insumos!$D$1:$D$996),"")</f>
        <v>2.74</v>
      </c>
      <c r="H1977" s="87">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70</v>
      </c>
      <c r="C1978" s="10" t="s">
        <v>1349</v>
      </c>
      <c r="D1978" s="10" t="s">
        <v>413</v>
      </c>
      <c r="E1978" s="11" t="str">
        <f t="array" ref="E1978">_xlfn.XLOOKUP(D1978,Insumos!B:B,Insumos!C:$C)</f>
        <v>UN</v>
      </c>
      <c r="F1978" s="14">
        <v>20.186800000000002</v>
      </c>
      <c r="G1978" s="87">
        <f t="array" ref="G1978">IF(B1978="insumo",_xlfn.XLOOKUP($D1978,Insumos!$B$1:$B$996,Insumos!$D$1:$D$996),"")</f>
        <v>0.09</v>
      </c>
      <c r="H1978" s="87">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70</v>
      </c>
      <c r="C1979" s="10" t="s">
        <v>1349</v>
      </c>
      <c r="D1979" s="10" t="s">
        <v>414</v>
      </c>
      <c r="E1979" s="11" t="str">
        <f t="array" ref="E1979">_xlfn.XLOOKUP(D1979,Insumos!B:B,Insumos!C:$C)</f>
        <v>UN</v>
      </c>
      <c r="F1979" s="14">
        <v>0.54410000000000003</v>
      </c>
      <c r="G1979" s="87">
        <f t="array" ref="G1979">IF(B1979="insumo",_xlfn.XLOOKUP($D1979,Insumos!$B$1:$B$996,Insumos!$D$1:$D$996),"")</f>
        <v>0.2</v>
      </c>
      <c r="H1979" s="87">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70</v>
      </c>
      <c r="C1980" s="10" t="s">
        <v>1349</v>
      </c>
      <c r="D1980" s="10" t="s">
        <v>1576</v>
      </c>
      <c r="E1980" s="11" t="str">
        <f t="array" ref="E1980">_xlfn.XLOOKUP(D1980,Insumos!B:B,Insumos!C:$C)</f>
        <v>M2</v>
      </c>
      <c r="F1980" s="14">
        <v>1.1000000000000001</v>
      </c>
      <c r="G1980" s="87">
        <f t="array" ref="G1980">IF(B1980="insumo",_xlfn.XLOOKUP($D1980,Insumos!$B$1:$B$996,Insumos!$D$1:$D$996),"")</f>
        <v>13.019333333333332</v>
      </c>
      <c r="H1980" s="87">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332">
        <v>1</v>
      </c>
      <c r="B1981" s="332" t="s">
        <v>67</v>
      </c>
      <c r="C1981" s="332" t="s">
        <v>1352</v>
      </c>
      <c r="D1981" s="332" t="s">
        <v>1352</v>
      </c>
      <c r="E1981" s="333" t="s">
        <v>69</v>
      </c>
      <c r="F1981" s="332"/>
      <c r="G1981" s="334" t="str">
        <f t="array" ref="G1981">IF(B1981="insumo",_xlfn.XLOOKUP($D1981,Insumos!$B$1:$B$996,Insumos!$D$1:$D$996),"")</f>
        <v/>
      </c>
      <c r="H1981" s="334">
        <v>208.29117616666699</v>
      </c>
      <c r="I1981" s="335">
        <v>0</v>
      </c>
      <c r="J1981" s="335">
        <v>0</v>
      </c>
      <c r="K1981" s="335"/>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70</v>
      </c>
      <c r="C1982" s="10" t="s">
        <v>1352</v>
      </c>
      <c r="D1982" s="10" t="s">
        <v>406</v>
      </c>
      <c r="E1982" s="11" t="str">
        <f t="array" ref="E1982">_xlfn.XLOOKUP(D1982,Insumos!B:B,Insumos!C:$C)</f>
        <v>M2</v>
      </c>
      <c r="F1982" s="14">
        <v>1</v>
      </c>
      <c r="G1982" s="87">
        <f t="array" ref="G1982">IF(B1982="insumo",_xlfn.XLOOKUP($D1982,Insumos!$B$1:$B$996,Insumos!$D$1:$D$996),"")</f>
        <v>70</v>
      </c>
      <c r="H1982" s="87">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70</v>
      </c>
      <c r="C1983" s="10" t="s">
        <v>1352</v>
      </c>
      <c r="D1983" s="10" t="s">
        <v>417</v>
      </c>
      <c r="E1983" s="11" t="str">
        <f t="array" ref="E1983">_xlfn.XLOOKUP(D1983,Insumos!B:B,Insumos!C:$C)</f>
        <v>M2</v>
      </c>
      <c r="F1983" s="14">
        <v>1.1060000000000001</v>
      </c>
      <c r="G1983" s="87">
        <f t="array" ref="G1983">IF(B1983="insumo",_xlfn.XLOOKUP($D1983,Insumos!$B$1:$B$996,Insumos!$D$1:$D$996),"")</f>
        <v>27.1</v>
      </c>
      <c r="H1983" s="87">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70</v>
      </c>
      <c r="C1984" s="10" t="s">
        <v>1352</v>
      </c>
      <c r="D1984" s="10" t="s">
        <v>408</v>
      </c>
      <c r="E1984" s="11" t="str">
        <f t="array" ref="E1984">_xlfn.XLOOKUP(D1984,Insumos!B:B,Insumos!C:$C)</f>
        <v>UN</v>
      </c>
      <c r="F1984" s="14">
        <v>5.92</v>
      </c>
      <c r="G1984" s="87">
        <f t="array" ref="G1984">IF(B1984="insumo",_xlfn.XLOOKUP($D1984,Insumos!$B$1:$B$996,Insumos!$D$1:$D$996),"")</f>
        <v>0.504</v>
      </c>
      <c r="H1984" s="87">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70</v>
      </c>
      <c r="C1985" s="10" t="s">
        <v>1352</v>
      </c>
      <c r="D1985" s="10" t="s">
        <v>419</v>
      </c>
      <c r="E1985" s="11" t="str">
        <f t="array" ref="E1985">_xlfn.XLOOKUP(D1985,Insumos!B:B,Insumos!C:$C)</f>
        <v>M</v>
      </c>
      <c r="F1985" s="14">
        <v>1.5247999999999999</v>
      </c>
      <c r="G1985" s="87">
        <f t="array" ref="G1985">IF(B1985="insumo",_xlfn.XLOOKUP($D1985,Insumos!$B$1:$B$996,Insumos!$D$1:$D$996),"")</f>
        <v>8.64</v>
      </c>
      <c r="H1985" s="87">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70</v>
      </c>
      <c r="C1986" s="10" t="s">
        <v>1352</v>
      </c>
      <c r="D1986" s="10" t="s">
        <v>420</v>
      </c>
      <c r="E1986" s="11" t="str">
        <f t="array" ref="E1986">_xlfn.XLOOKUP(D1986,Insumos!B:B,Insumos!C:$C)</f>
        <v>M</v>
      </c>
      <c r="F1986" s="14">
        <v>4.0011000000000001</v>
      </c>
      <c r="G1986" s="87">
        <f t="array" ref="G1986">IF(B1986="insumo",_xlfn.XLOOKUP($D1986,Insumos!$B$1:$B$996,Insumos!$D$1:$D$996),"")</f>
        <v>18.09</v>
      </c>
      <c r="H1986" s="87">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70</v>
      </c>
      <c r="C1987" s="10" t="s">
        <v>1352</v>
      </c>
      <c r="D1987" s="10" t="s">
        <v>404</v>
      </c>
      <c r="E1987" s="11" t="str">
        <f t="array" ref="E1987">_xlfn.XLOOKUP(D1987,Insumos!B:B,Insumos!C:$C)</f>
        <v>KG</v>
      </c>
      <c r="F1987" s="14">
        <f>1.0978/2</f>
        <v>0.54890000000000005</v>
      </c>
      <c r="G1987" s="87">
        <f t="array" ref="G1987">IF(B1987="insumo",_xlfn.XLOOKUP($D1987,Insumos!$B$1:$B$996,Insumos!$D$1:$D$996),"")</f>
        <v>3.43</v>
      </c>
      <c r="H1987" s="87">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70</v>
      </c>
      <c r="C1988" s="10" t="s">
        <v>1352</v>
      </c>
      <c r="D1988" s="10" t="s">
        <v>411</v>
      </c>
      <c r="E1988" s="11" t="str">
        <f t="array" ref="E1988">_xlfn.XLOOKUP(D1988,Insumos!B:B,Insumos!C:$C)</f>
        <v>M</v>
      </c>
      <c r="F1988" s="14">
        <f>2.5027/2</f>
        <v>1.25135</v>
      </c>
      <c r="G1988" s="87">
        <f t="array" ref="G1988">IF(B1988="insumo",_xlfn.XLOOKUP($D1988,Insumos!$B$1:$B$996,Insumos!$D$1:$D$996),"")</f>
        <v>0.31</v>
      </c>
      <c r="H1988" s="87">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70</v>
      </c>
      <c r="C1989" s="10" t="s">
        <v>1352</v>
      </c>
      <c r="D1989" s="10" t="s">
        <v>412</v>
      </c>
      <c r="E1989" s="11" t="str">
        <f t="array" ref="E1989">_xlfn.XLOOKUP(D1989,Insumos!B:B,Insumos!C:$C)</f>
        <v>M</v>
      </c>
      <c r="F1989" s="14">
        <f>1.5851/2</f>
        <v>0.79254999999999998</v>
      </c>
      <c r="G1989" s="87">
        <f t="array" ref="G1989">IF(B1989="insumo",_xlfn.XLOOKUP($D1989,Insumos!$B$1:$B$996,Insumos!$D$1:$D$996),"")</f>
        <v>2.74</v>
      </c>
      <c r="H1989" s="87">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70</v>
      </c>
      <c r="C1990" s="10" t="s">
        <v>1352</v>
      </c>
      <c r="D1990" s="10" t="s">
        <v>413</v>
      </c>
      <c r="E1990" s="11" t="str">
        <f t="array" ref="E1990">_xlfn.XLOOKUP(D1990,Insumos!B:B,Insumos!C:$C)</f>
        <v>UN</v>
      </c>
      <c r="F1990" s="14">
        <f>20.1868/2</f>
        <v>10.093400000000001</v>
      </c>
      <c r="G1990" s="87">
        <f t="array" ref="G1990">IF(B1990="insumo",_xlfn.XLOOKUP($D1990,Insumos!$B$1:$B$996,Insumos!$D$1:$D$996),"")</f>
        <v>0.09</v>
      </c>
      <c r="H1990" s="87">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70</v>
      </c>
      <c r="C1991" s="10" t="s">
        <v>1352</v>
      </c>
      <c r="D1991" s="10" t="s">
        <v>414</v>
      </c>
      <c r="E1991" s="11" t="str">
        <f t="array" ref="E1991">_xlfn.XLOOKUP(D1991,Insumos!B:B,Insumos!C:$C)</f>
        <v>UN</v>
      </c>
      <c r="F1991" s="14">
        <v>0.54410000000000003</v>
      </c>
      <c r="G1991" s="87">
        <f t="array" ref="G1991">IF(B1991="insumo",_xlfn.XLOOKUP($D1991,Insumos!$B$1:$B$996,Insumos!$D$1:$D$996),"")</f>
        <v>0.2</v>
      </c>
      <c r="H1991" s="87">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70</v>
      </c>
      <c r="C1992" s="10" t="s">
        <v>1352</v>
      </c>
      <c r="D1992" s="10" t="s">
        <v>1576</v>
      </c>
      <c r="E1992" s="11" t="str">
        <f t="array" ref="E1992">_xlfn.XLOOKUP(D1992,Insumos!B:B,Insumos!C:$C)</f>
        <v>M2</v>
      </c>
      <c r="F1992" s="14">
        <v>1.1000000000000001</v>
      </c>
      <c r="G1992" s="87">
        <f t="array" ref="G1992">IF(B1992="insumo",_xlfn.XLOOKUP($D1992,Insumos!$B$1:$B$996,Insumos!$D$1:$D$996),"")</f>
        <v>13.019333333333332</v>
      </c>
      <c r="H1992" s="87">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332">
        <v>1</v>
      </c>
      <c r="B1993" s="332" t="s">
        <v>67</v>
      </c>
      <c r="C1993" s="332" t="s">
        <v>1353</v>
      </c>
      <c r="D1993" s="332" t="s">
        <v>1353</v>
      </c>
      <c r="E1993" s="333" t="s">
        <v>69</v>
      </c>
      <c r="F1993" s="332"/>
      <c r="G1993" s="334" t="str">
        <f t="array" ref="G1993">IF(B1993="insumo",_xlfn.XLOOKUP($D1993,Insumos!$B$1:$B$996,Insumos!$D$1:$D$996),"")</f>
        <v/>
      </c>
      <c r="H1993" s="334">
        <v>271.25329838888899</v>
      </c>
      <c r="I1993" s="335">
        <v>0</v>
      </c>
      <c r="J1993" s="335">
        <v>0</v>
      </c>
      <c r="K1993" s="335"/>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70</v>
      </c>
      <c r="C1994" s="10" t="s">
        <v>1353</v>
      </c>
      <c r="D1994" s="10" t="s">
        <v>406</v>
      </c>
      <c r="E1994" s="11" t="str">
        <f t="array" ref="E1994">_xlfn.XLOOKUP(D1994,Insumos!B:B,Insumos!C:$C)</f>
        <v>M2</v>
      </c>
      <c r="F1994" s="14">
        <v>1</v>
      </c>
      <c r="G1994" s="87">
        <f t="array" ref="G1994">IF(B1994="insumo",_xlfn.XLOOKUP($D1994,Insumos!$B$1:$B$996,Insumos!$D$1:$D$996),"")</f>
        <v>70</v>
      </c>
      <c r="H1994" s="87">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70</v>
      </c>
      <c r="C1995" s="10" t="s">
        <v>1353</v>
      </c>
      <c r="D1995" s="10" t="s">
        <v>1374</v>
      </c>
      <c r="E1995" s="11" t="str">
        <f t="array" ref="E1995">_xlfn.XLOOKUP(D1995,Insumos!B:B,Insumos!C:$C)</f>
        <v>M2</v>
      </c>
      <c r="F1995" s="14">
        <v>1.1060000000000001</v>
      </c>
      <c r="G1995" s="87">
        <f t="array" ref="G1995">IF(B1995="insumo",_xlfn.XLOOKUP($D1995,Insumos!$B$1:$B$996,Insumos!$D$1:$D$996),"")</f>
        <v>84.027777777777786</v>
      </c>
      <c r="H1995" s="87">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70</v>
      </c>
      <c r="C1996" s="10" t="s">
        <v>1353</v>
      </c>
      <c r="D1996" s="10" t="s">
        <v>408</v>
      </c>
      <c r="E1996" s="11" t="str">
        <f t="array" ref="E1996">_xlfn.XLOOKUP(D1996,Insumos!B:B,Insumos!C:$C)</f>
        <v>UN</v>
      </c>
      <c r="F1996" s="14">
        <v>5.92</v>
      </c>
      <c r="G1996" s="87">
        <f t="array" ref="G1996">IF(B1996="insumo",_xlfn.XLOOKUP($D1996,Insumos!$B$1:$B$996,Insumos!$D$1:$D$996),"")</f>
        <v>0.504</v>
      </c>
      <c r="H1996" s="87">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70</v>
      </c>
      <c r="C1997" s="10" t="s">
        <v>1353</v>
      </c>
      <c r="D1997" s="10" t="s">
        <v>419</v>
      </c>
      <c r="E1997" s="11" t="str">
        <f t="array" ref="E1997">_xlfn.XLOOKUP(D1997,Insumos!B:B,Insumos!C:$C)</f>
        <v>M</v>
      </c>
      <c r="F1997" s="14">
        <v>1.5247999999999999</v>
      </c>
      <c r="G1997" s="87">
        <f t="array" ref="G1997">IF(B1997="insumo",_xlfn.XLOOKUP($D1997,Insumos!$B$1:$B$996,Insumos!$D$1:$D$996),"")</f>
        <v>8.64</v>
      </c>
      <c r="H1997" s="87">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70</v>
      </c>
      <c r="C1998" s="10" t="s">
        <v>1353</v>
      </c>
      <c r="D1998" s="10" t="s">
        <v>420</v>
      </c>
      <c r="E1998" s="11" t="str">
        <f t="array" ref="E1998">_xlfn.XLOOKUP(D1998,Insumos!B:B,Insumos!C:$C)</f>
        <v>M</v>
      </c>
      <c r="F1998" s="14">
        <v>4.0011000000000001</v>
      </c>
      <c r="G1998" s="87">
        <f t="array" ref="G1998">IF(B1998="insumo",_xlfn.XLOOKUP($D1998,Insumos!$B$1:$B$996,Insumos!$D$1:$D$996),"")</f>
        <v>18.09</v>
      </c>
      <c r="H1998" s="87">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70</v>
      </c>
      <c r="C1999" s="10" t="s">
        <v>1353</v>
      </c>
      <c r="D1999" s="10" t="s">
        <v>404</v>
      </c>
      <c r="E1999" s="11" t="str">
        <f t="array" ref="E1999">_xlfn.XLOOKUP(D1999,Insumos!B:B,Insumos!C:$C)</f>
        <v>KG</v>
      </c>
      <c r="F1999" s="14">
        <f>1.0978/2</f>
        <v>0.54890000000000005</v>
      </c>
      <c r="G1999" s="87">
        <f t="array" ref="G1999">IF(B1999="insumo",_xlfn.XLOOKUP($D1999,Insumos!$B$1:$B$996,Insumos!$D$1:$D$996),"")</f>
        <v>3.43</v>
      </c>
      <c r="H1999" s="87">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70</v>
      </c>
      <c r="C2000" s="10" t="s">
        <v>1353</v>
      </c>
      <c r="D2000" s="10" t="s">
        <v>411</v>
      </c>
      <c r="E2000" s="11" t="str">
        <f t="array" ref="E2000">_xlfn.XLOOKUP(D2000,Insumos!B:B,Insumos!C:$C)</f>
        <v>M</v>
      </c>
      <c r="F2000" s="14">
        <f>2.5027/2</f>
        <v>1.25135</v>
      </c>
      <c r="G2000" s="87">
        <f t="array" ref="G2000">IF(B2000="insumo",_xlfn.XLOOKUP($D2000,Insumos!$B$1:$B$996,Insumos!$D$1:$D$996),"")</f>
        <v>0.31</v>
      </c>
      <c r="H2000" s="87">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70</v>
      </c>
      <c r="C2001" s="10" t="s">
        <v>1353</v>
      </c>
      <c r="D2001" s="10" t="s">
        <v>412</v>
      </c>
      <c r="E2001" s="11" t="str">
        <f t="array" ref="E2001">_xlfn.XLOOKUP(D2001,Insumos!B:B,Insumos!C:$C)</f>
        <v>M</v>
      </c>
      <c r="F2001" s="14">
        <f>1.5851/2</f>
        <v>0.79254999999999998</v>
      </c>
      <c r="G2001" s="87">
        <f t="array" ref="G2001">IF(B2001="insumo",_xlfn.XLOOKUP($D2001,Insumos!$B$1:$B$996,Insumos!$D$1:$D$996),"")</f>
        <v>2.74</v>
      </c>
      <c r="H2001" s="87">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70</v>
      </c>
      <c r="C2002" s="10" t="s">
        <v>1353</v>
      </c>
      <c r="D2002" s="10" t="s">
        <v>413</v>
      </c>
      <c r="E2002" s="11" t="str">
        <f t="array" ref="E2002">_xlfn.XLOOKUP(D2002,Insumos!B:B,Insumos!C:$C)</f>
        <v>UN</v>
      </c>
      <c r="F2002" s="14">
        <f>20.1868/2</f>
        <v>10.093400000000001</v>
      </c>
      <c r="G2002" s="87">
        <f t="array" ref="G2002">IF(B2002="insumo",_xlfn.XLOOKUP($D2002,Insumos!$B$1:$B$996,Insumos!$D$1:$D$996),"")</f>
        <v>0.09</v>
      </c>
      <c r="H2002" s="87">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70</v>
      </c>
      <c r="C2003" s="10" t="s">
        <v>1353</v>
      </c>
      <c r="D2003" s="10" t="s">
        <v>414</v>
      </c>
      <c r="E2003" s="11" t="str">
        <f t="array" ref="E2003">_xlfn.XLOOKUP(D2003,Insumos!B:B,Insumos!C:$C)</f>
        <v>UN</v>
      </c>
      <c r="F2003" s="14">
        <v>0.54410000000000003</v>
      </c>
      <c r="G2003" s="87">
        <f t="array" ref="G2003">IF(B2003="insumo",_xlfn.XLOOKUP($D2003,Insumos!$B$1:$B$996,Insumos!$D$1:$D$996),"")</f>
        <v>0.2</v>
      </c>
      <c r="H2003" s="87">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70</v>
      </c>
      <c r="C2004" s="10" t="s">
        <v>1353</v>
      </c>
      <c r="D2004" s="10" t="s">
        <v>1576</v>
      </c>
      <c r="E2004" s="11" t="str">
        <f t="array" ref="E2004">_xlfn.XLOOKUP(D2004,Insumos!B:B,Insumos!C:$C)</f>
        <v>M2</v>
      </c>
      <c r="F2004" s="14">
        <v>1.1000000000000001</v>
      </c>
      <c r="G2004" s="87">
        <f t="array" ref="G2004">IF(B2004="insumo",_xlfn.XLOOKUP($D2004,Insumos!$B$1:$B$996,Insumos!$D$1:$D$996),"")</f>
        <v>13.019333333333332</v>
      </c>
      <c r="H2004" s="87">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332">
        <v>1</v>
      </c>
      <c r="B2005" s="332" t="s">
        <v>67</v>
      </c>
      <c r="C2005" s="332" t="s">
        <v>1354</v>
      </c>
      <c r="D2005" s="332" t="s">
        <v>1354</v>
      </c>
      <c r="E2005" s="333" t="s">
        <v>69</v>
      </c>
      <c r="F2005" s="332"/>
      <c r="G2005" s="334" t="str">
        <f t="array" ref="G2005">IF(B2005="insumo",_xlfn.XLOOKUP($D2005,Insumos!$B$1:$B$996,Insumos!$D$1:$D$996),"")</f>
        <v/>
      </c>
      <c r="H2005" s="334">
        <v>268.58313466666698</v>
      </c>
      <c r="I2005" s="335">
        <v>0</v>
      </c>
      <c r="J2005" s="335">
        <v>0</v>
      </c>
      <c r="K2005" s="335"/>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70</v>
      </c>
      <c r="C2006" s="10" t="s">
        <v>1354</v>
      </c>
      <c r="D2006" s="10" t="s">
        <v>406</v>
      </c>
      <c r="E2006" s="11" t="str">
        <f t="array" ref="E2006">_xlfn.XLOOKUP(D2006,Insumos!B:B,Insumos!C:$C)</f>
        <v>M2</v>
      </c>
      <c r="F2006" s="14">
        <v>1</v>
      </c>
      <c r="G2006" s="87">
        <f t="array" ref="G2006">IF(B2006="insumo",_xlfn.XLOOKUP($D2006,Insumos!$B$1:$B$996,Insumos!$D$1:$D$996),"")</f>
        <v>70</v>
      </c>
      <c r="H2006" s="87">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70</v>
      </c>
      <c r="C2007" s="10" t="s">
        <v>1354</v>
      </c>
      <c r="D2007" s="10" t="s">
        <v>407</v>
      </c>
      <c r="E2007" s="11" t="str">
        <f t="array" ref="E2007">_xlfn.XLOOKUP(D2007,Insumos!B:B,Insumos!C:$C)</f>
        <v>M2</v>
      </c>
      <c r="F2007" s="14">
        <f>2.106*2</f>
        <v>4.2119999999999997</v>
      </c>
      <c r="G2007" s="87">
        <f t="array" ref="G2007">IF(B2007="insumo",_xlfn.XLOOKUP($D2007,Insumos!$B$1:$B$996,Insumos!$D$1:$D$996),"")</f>
        <v>20.16</v>
      </c>
      <c r="H2007" s="87">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70</v>
      </c>
      <c r="C2008" s="10" t="s">
        <v>1354</v>
      </c>
      <c r="D2008" s="10" t="s">
        <v>408</v>
      </c>
      <c r="E2008" s="11" t="str">
        <f t="array" ref="E2008">_xlfn.XLOOKUP(D2008,Insumos!B:B,Insumos!C:$C)</f>
        <v>UN</v>
      </c>
      <c r="F2008" s="14">
        <v>5.92</v>
      </c>
      <c r="G2008" s="87">
        <f t="array" ref="G2008">IF(B2008="insumo",_xlfn.XLOOKUP($D2008,Insumos!$B$1:$B$996,Insumos!$D$1:$D$996),"")</f>
        <v>0.504</v>
      </c>
      <c r="H2008" s="87">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70</v>
      </c>
      <c r="C2009" s="10" t="s">
        <v>1354</v>
      </c>
      <c r="D2009" s="10" t="s">
        <v>419</v>
      </c>
      <c r="E2009" s="11" t="str">
        <f t="array" ref="E2009">_xlfn.XLOOKUP(D2009,Insumos!B:B,Insumos!C:$C)</f>
        <v>M</v>
      </c>
      <c r="F2009" s="14">
        <v>1.5247999999999999</v>
      </c>
      <c r="G2009" s="87">
        <f t="array" ref="G2009">IF(B2009="insumo",_xlfn.XLOOKUP($D2009,Insumos!$B$1:$B$996,Insumos!$D$1:$D$996),"")</f>
        <v>8.64</v>
      </c>
      <c r="H2009" s="87">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70</v>
      </c>
      <c r="C2010" s="10" t="s">
        <v>1354</v>
      </c>
      <c r="D2010" s="10" t="s">
        <v>420</v>
      </c>
      <c r="E2010" s="11" t="str">
        <f t="array" ref="E2010">_xlfn.XLOOKUP(D2010,Insumos!B:B,Insumos!C:$C)</f>
        <v>M</v>
      </c>
      <c r="F2010" s="14">
        <v>4.0011000000000001</v>
      </c>
      <c r="G2010" s="87">
        <f t="array" ref="G2010">IF(B2010="insumo",_xlfn.XLOOKUP($D2010,Insumos!$B$1:$B$996,Insumos!$D$1:$D$996),"")</f>
        <v>18.09</v>
      </c>
      <c r="H2010" s="87">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70</v>
      </c>
      <c r="C2011" s="10" t="s">
        <v>1354</v>
      </c>
      <c r="D2011" s="10" t="s">
        <v>404</v>
      </c>
      <c r="E2011" s="11" t="str">
        <f t="array" ref="E2011">_xlfn.XLOOKUP(D2011,Insumos!B:B,Insumos!C:$C)</f>
        <v>KG</v>
      </c>
      <c r="F2011" s="14">
        <v>1.0978000000000001</v>
      </c>
      <c r="G2011" s="87">
        <f t="array" ref="G2011">IF(B2011="insumo",_xlfn.XLOOKUP($D2011,Insumos!$B$1:$B$996,Insumos!$D$1:$D$996),"")</f>
        <v>3.43</v>
      </c>
      <c r="H2011" s="87">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70</v>
      </c>
      <c r="C2012" s="10" t="s">
        <v>1354</v>
      </c>
      <c r="D2012" s="10" t="s">
        <v>411</v>
      </c>
      <c r="E2012" s="11" t="str">
        <f t="array" ref="E2012">_xlfn.XLOOKUP(D2012,Insumos!B:B,Insumos!C:$C)</f>
        <v>M</v>
      </c>
      <c r="F2012" s="14">
        <v>2.5026999999999999</v>
      </c>
      <c r="G2012" s="87">
        <f t="array" ref="G2012">IF(B2012="insumo",_xlfn.XLOOKUP($D2012,Insumos!$B$1:$B$996,Insumos!$D$1:$D$996),"")</f>
        <v>0.31</v>
      </c>
      <c r="H2012" s="87">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70</v>
      </c>
      <c r="C2013" s="10" t="s">
        <v>1354</v>
      </c>
      <c r="D2013" s="10" t="s">
        <v>412</v>
      </c>
      <c r="E2013" s="11" t="str">
        <f t="array" ref="E2013">_xlfn.XLOOKUP(D2013,Insumos!B:B,Insumos!C:$C)</f>
        <v>M</v>
      </c>
      <c r="F2013" s="14">
        <v>1.5851</v>
      </c>
      <c r="G2013" s="87">
        <f t="array" ref="G2013">IF(B2013="insumo",_xlfn.XLOOKUP($D2013,Insumos!$B$1:$B$996,Insumos!$D$1:$D$996),"")</f>
        <v>2.74</v>
      </c>
      <c r="H2013" s="87">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70</v>
      </c>
      <c r="C2014" s="10" t="s">
        <v>1354</v>
      </c>
      <c r="D2014" s="10" t="s">
        <v>413</v>
      </c>
      <c r="E2014" s="11" t="str">
        <f t="array" ref="E2014">_xlfn.XLOOKUP(D2014,Insumos!B:B,Insumos!C:$C)</f>
        <v>UN</v>
      </c>
      <c r="F2014" s="14">
        <v>20.186800000000002</v>
      </c>
      <c r="G2014" s="87">
        <f t="array" ref="G2014">IF(B2014="insumo",_xlfn.XLOOKUP($D2014,Insumos!$B$1:$B$996,Insumos!$D$1:$D$996),"")</f>
        <v>0.09</v>
      </c>
      <c r="H2014" s="87">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70</v>
      </c>
      <c r="C2015" s="10" t="s">
        <v>1354</v>
      </c>
      <c r="D2015" s="10" t="s">
        <v>414</v>
      </c>
      <c r="E2015" s="11" t="str">
        <f t="array" ref="E2015">_xlfn.XLOOKUP(D2015,Insumos!B:B,Insumos!C:$C)</f>
        <v>UN</v>
      </c>
      <c r="F2015" s="14">
        <v>0.54410000000000003</v>
      </c>
      <c r="G2015" s="87">
        <f t="array" ref="G2015">IF(B2015="insumo",_xlfn.XLOOKUP($D2015,Insumos!$B$1:$B$996,Insumos!$D$1:$D$996),"")</f>
        <v>0.2</v>
      </c>
      <c r="H2015" s="87">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70</v>
      </c>
      <c r="C2016" s="10" t="s">
        <v>1354</v>
      </c>
      <c r="D2016" s="10" t="s">
        <v>1576</v>
      </c>
      <c r="E2016" s="11" t="str">
        <f t="array" ref="E2016">_xlfn.XLOOKUP(D2016,Insumos!B:B,Insumos!C:$C)</f>
        <v>M2</v>
      </c>
      <c r="F2016" s="14">
        <v>1.1000000000000001</v>
      </c>
      <c r="G2016" s="87">
        <f t="array" ref="G2016">IF(B2016="insumo",_xlfn.XLOOKUP($D2016,Insumos!$B$1:$B$996,Insumos!$D$1:$D$996),"")</f>
        <v>13.019333333333332</v>
      </c>
      <c r="H2016" s="87">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332">
        <v>1</v>
      </c>
      <c r="B2017" s="332" t="s">
        <v>67</v>
      </c>
      <c r="C2017" s="332" t="s">
        <v>1358</v>
      </c>
      <c r="D2017" s="332" t="s">
        <v>1358</v>
      </c>
      <c r="E2017" s="333" t="s">
        <v>69</v>
      </c>
      <c r="F2017" s="332"/>
      <c r="G2017" s="334" t="str">
        <f t="array" ref="G2017">IF(B2017="insumo",_xlfn.XLOOKUP($D2017,Insumos!$B$1:$B$996,Insumos!$D$1:$D$996),"")</f>
        <v/>
      </c>
      <c r="H2017" s="334">
        <v>334.94562461839701</v>
      </c>
      <c r="I2017" s="335">
        <v>0</v>
      </c>
      <c r="J2017" s="335">
        <v>0</v>
      </c>
      <c r="K2017" s="335"/>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70</v>
      </c>
      <c r="C2018" s="10" t="s">
        <v>1358</v>
      </c>
      <c r="D2018" s="10" t="s">
        <v>406</v>
      </c>
      <c r="E2018" s="11" t="str">
        <f t="array" ref="E2018">_xlfn.XLOOKUP(D2018,Insumos!B:B,Insumos!C:$C)</f>
        <v>M2</v>
      </c>
      <c r="F2018" s="14">
        <v>1</v>
      </c>
      <c r="G2018" s="87">
        <f t="array" ref="G2018">IF(B2018="insumo",_xlfn.XLOOKUP($D2018,Insumos!$B$1:$B$996,Insumos!$D$1:$D$996),"")</f>
        <v>70</v>
      </c>
      <c r="H2018" s="87">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70</v>
      </c>
      <c r="C2019" s="10" t="s">
        <v>1358</v>
      </c>
      <c r="D2019" s="10" t="s">
        <v>1373</v>
      </c>
      <c r="E2019" s="11" t="str">
        <f t="array" ref="E2019">_xlfn.XLOOKUP(D2019,Insumos!B:B,Insumos!C:$C)</f>
        <v>M2</v>
      </c>
      <c r="F2019" s="14">
        <v>1.1000000000000001</v>
      </c>
      <c r="G2019" s="87">
        <f t="array" ref="G2019">IF(B2019="insumo",_xlfn.XLOOKUP($D2019,Insumos!$B$1:$B$996,Insumos!$D$1:$D$996),"")</f>
        <v>38.19444444444445</v>
      </c>
      <c r="H2019" s="87">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70</v>
      </c>
      <c r="C2020" s="10" t="s">
        <v>1358</v>
      </c>
      <c r="D2020" s="10" t="s">
        <v>408</v>
      </c>
      <c r="E2020" s="11" t="str">
        <f t="array" ref="E2020">_xlfn.XLOOKUP(D2020,Insumos!B:B,Insumos!C:$C)</f>
        <v>UN</v>
      </c>
      <c r="F2020" s="14">
        <v>5.92</v>
      </c>
      <c r="G2020" s="87">
        <f t="array" ref="G2020">IF(B2020="insumo",_xlfn.XLOOKUP($D2020,Insumos!$B$1:$B$996,Insumos!$D$1:$D$996),"")</f>
        <v>0.504</v>
      </c>
      <c r="H2020" s="87">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70</v>
      </c>
      <c r="C2021" s="10" t="s">
        <v>1358</v>
      </c>
      <c r="D2021" s="10" t="s">
        <v>419</v>
      </c>
      <c r="E2021" s="11" t="str">
        <f t="array" ref="E2021">_xlfn.XLOOKUP(D2021,Insumos!B:B,Insumos!C:$C)</f>
        <v>M</v>
      </c>
      <c r="F2021" s="14">
        <v>1.5247999999999999</v>
      </c>
      <c r="G2021" s="87">
        <f t="array" ref="G2021">IF(B2021="insumo",_xlfn.XLOOKUP($D2021,Insumos!$B$1:$B$996,Insumos!$D$1:$D$996),"")</f>
        <v>8.64</v>
      </c>
      <c r="H2021" s="87">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70</v>
      </c>
      <c r="C2022" s="10" t="s">
        <v>1358</v>
      </c>
      <c r="D2022" s="10" t="s">
        <v>420</v>
      </c>
      <c r="E2022" s="11" t="str">
        <f t="array" ref="E2022">_xlfn.XLOOKUP(D2022,Insumos!B:B,Insumos!C:$C)</f>
        <v>M</v>
      </c>
      <c r="F2022" s="14">
        <v>4.0011000000000001</v>
      </c>
      <c r="G2022" s="87">
        <f t="array" ref="G2022">IF(B2022="insumo",_xlfn.XLOOKUP($D2022,Insumos!$B$1:$B$996,Insumos!$D$1:$D$996),"")</f>
        <v>18.09</v>
      </c>
      <c r="H2022" s="87">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70</v>
      </c>
      <c r="C2023" s="10" t="s">
        <v>1358</v>
      </c>
      <c r="D2023" s="10" t="s">
        <v>404</v>
      </c>
      <c r="E2023" s="11" t="str">
        <f t="array" ref="E2023">_xlfn.XLOOKUP(D2023,Insumos!B:B,Insumos!C:$C)</f>
        <v>KG</v>
      </c>
      <c r="F2023" s="14">
        <f>1.0978/2</f>
        <v>0.54890000000000005</v>
      </c>
      <c r="G2023" s="87">
        <f t="array" ref="G2023">IF(B2023="insumo",_xlfn.XLOOKUP($D2023,Insumos!$B$1:$B$996,Insumos!$D$1:$D$996),"")</f>
        <v>3.43</v>
      </c>
      <c r="H2023" s="87">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70</v>
      </c>
      <c r="C2024" s="10" t="s">
        <v>1358</v>
      </c>
      <c r="D2024" s="10" t="s">
        <v>411</v>
      </c>
      <c r="E2024" s="11" t="str">
        <f t="array" ref="E2024">_xlfn.XLOOKUP(D2024,Insumos!B:B,Insumos!C:$C)</f>
        <v>M</v>
      </c>
      <c r="F2024" s="14">
        <f>2.5027/2</f>
        <v>1.25135</v>
      </c>
      <c r="G2024" s="87">
        <f t="array" ref="G2024">IF(B2024="insumo",_xlfn.XLOOKUP($D2024,Insumos!$B$1:$B$996,Insumos!$D$1:$D$996),"")</f>
        <v>0.31</v>
      </c>
      <c r="H2024" s="87">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70</v>
      </c>
      <c r="C2025" s="10" t="s">
        <v>1358</v>
      </c>
      <c r="D2025" s="10" t="s">
        <v>412</v>
      </c>
      <c r="E2025" s="11" t="str">
        <f t="array" ref="E2025">_xlfn.XLOOKUP(D2025,Insumos!B:B,Insumos!C:$C)</f>
        <v>M</v>
      </c>
      <c r="F2025" s="14">
        <f>1.5851/2</f>
        <v>0.79254999999999998</v>
      </c>
      <c r="G2025" s="87">
        <f t="array" ref="G2025">IF(B2025="insumo",_xlfn.XLOOKUP($D2025,Insumos!$B$1:$B$996,Insumos!$D$1:$D$996),"")</f>
        <v>2.74</v>
      </c>
      <c r="H2025" s="87">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70</v>
      </c>
      <c r="C2026" s="10" t="s">
        <v>1358</v>
      </c>
      <c r="D2026" s="10" t="s">
        <v>413</v>
      </c>
      <c r="E2026" s="11" t="str">
        <f t="array" ref="E2026">_xlfn.XLOOKUP(D2026,Insumos!B:B,Insumos!C:$C)</f>
        <v>UN</v>
      </c>
      <c r="F2026" s="14">
        <f>20.1868/2</f>
        <v>10.093400000000001</v>
      </c>
      <c r="G2026" s="87">
        <f t="array" ref="G2026">IF(B2026="insumo",_xlfn.XLOOKUP($D2026,Insumos!$B$1:$B$996,Insumos!$D$1:$D$996),"")</f>
        <v>0.09</v>
      </c>
      <c r="H2026" s="87">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70</v>
      </c>
      <c r="C2027" s="10" t="s">
        <v>1358</v>
      </c>
      <c r="D2027" s="10" t="s">
        <v>414</v>
      </c>
      <c r="E2027" s="11" t="str">
        <f t="array" ref="E2027">_xlfn.XLOOKUP(D2027,Insumos!B:B,Insumos!C:$C)</f>
        <v>UN</v>
      </c>
      <c r="F2027" s="14">
        <v>0.54410000000000003</v>
      </c>
      <c r="G2027" s="87">
        <f t="array" ref="G2027">IF(B2027="insumo",_xlfn.XLOOKUP($D2027,Insumos!$B$1:$B$996,Insumos!$D$1:$D$996),"")</f>
        <v>0.2</v>
      </c>
      <c r="H2027" s="87">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70</v>
      </c>
      <c r="C2028" s="10" t="s">
        <v>1358</v>
      </c>
      <c r="D2028" s="10" t="s">
        <v>1375</v>
      </c>
      <c r="E2028" s="11" t="str">
        <f t="array" ref="E2028">_xlfn.XLOOKUP(D2028,Insumos!B:B,Insumos!C:$C)</f>
        <v>M2</v>
      </c>
      <c r="F2028" s="14">
        <v>1.1000000000000001</v>
      </c>
      <c r="G2028" s="87">
        <f t="array" ref="G2028">IF(B2028="insumo",_xlfn.XLOOKUP($D2028,Insumos!$B$1:$B$996,Insumos!$D$1:$D$996),"")</f>
        <v>117.21311475409837</v>
      </c>
      <c r="H2028" s="87">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332">
        <v>1</v>
      </c>
      <c r="B2029" s="332" t="s">
        <v>67</v>
      </c>
      <c r="C2029" s="332" t="s">
        <v>1331</v>
      </c>
      <c r="D2029" s="332" t="s">
        <v>1331</v>
      </c>
      <c r="E2029" s="333" t="s">
        <v>69</v>
      </c>
      <c r="F2029" s="332"/>
      <c r="G2029" s="334" t="str">
        <f t="array" ref="G2029">IF(B2029="insumo",_xlfn.XLOOKUP($D2029,Insumos!$B$1:$B$996,Insumos!$D$1:$D$996),"")</f>
        <v/>
      </c>
      <c r="H2029" s="334">
        <v>241.79521566666699</v>
      </c>
      <c r="I2029" s="335">
        <v>0</v>
      </c>
      <c r="J2029" s="335">
        <v>0</v>
      </c>
      <c r="K2029" s="335"/>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70</v>
      </c>
      <c r="C2030" s="10" t="s">
        <v>1331</v>
      </c>
      <c r="D2030" s="10" t="s">
        <v>406</v>
      </c>
      <c r="E2030" s="11" t="str">
        <f t="array" ref="E2030">_xlfn.XLOOKUP(D2030,Insumos!B:B,Insumos!C:$C)</f>
        <v>M2</v>
      </c>
      <c r="F2030" s="14">
        <v>1</v>
      </c>
      <c r="G2030" s="87">
        <f t="array" ref="G2030">IF(B2030="insumo",_xlfn.XLOOKUP($D2030,Insumos!$B$1:$B$996,Insumos!$D$1:$D$996),"")</f>
        <v>70</v>
      </c>
      <c r="H2030" s="87">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70</v>
      </c>
      <c r="C2031" s="10" t="s">
        <v>1331</v>
      </c>
      <c r="D2031" s="10" t="s">
        <v>417</v>
      </c>
      <c r="E2031" s="11" t="str">
        <f t="array" ref="E2031">_xlfn.XLOOKUP(D2031,Insumos!B:B,Insumos!C:$C)</f>
        <v>M2</v>
      </c>
      <c r="F2031" s="14">
        <v>2.1059999999999999</v>
      </c>
      <c r="G2031" s="87">
        <f t="array" ref="G2031">IF(B2031="insumo",_xlfn.XLOOKUP($D2031,Insumos!$B$1:$B$996,Insumos!$D$1:$D$996),"")</f>
        <v>27.1</v>
      </c>
      <c r="H2031" s="87">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70</v>
      </c>
      <c r="C2032" s="10" t="s">
        <v>1331</v>
      </c>
      <c r="D2032" s="10" t="s">
        <v>408</v>
      </c>
      <c r="E2032" s="11" t="str">
        <f t="array" ref="E2032">_xlfn.XLOOKUP(D2032,Insumos!B:B,Insumos!C:$C)</f>
        <v>UN</v>
      </c>
      <c r="F2032" s="14">
        <v>5.92</v>
      </c>
      <c r="G2032" s="87">
        <f t="array" ref="G2032">IF(B2032="insumo",_xlfn.XLOOKUP($D2032,Insumos!$B$1:$B$996,Insumos!$D$1:$D$996),"")</f>
        <v>0.504</v>
      </c>
      <c r="H2032" s="87">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70</v>
      </c>
      <c r="C2033" s="10" t="s">
        <v>1331</v>
      </c>
      <c r="D2033" s="10" t="s">
        <v>422</v>
      </c>
      <c r="E2033" s="11" t="str">
        <f t="array" ref="E2033">_xlfn.XLOOKUP(D2033,Insumos!B:B,Insumos!C:$C)</f>
        <v>M</v>
      </c>
      <c r="F2033" s="14">
        <f>1.5248*2</f>
        <v>3.0495999999999999</v>
      </c>
      <c r="G2033" s="87">
        <f t="array" ref="G2033">IF(B2033="insumo",_xlfn.XLOOKUP($D2033,Insumos!$B$1:$B$996,Insumos!$D$1:$D$996),"")</f>
        <v>7.46</v>
      </c>
      <c r="H2033" s="87">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70</v>
      </c>
      <c r="C2034" s="10" t="s">
        <v>1331</v>
      </c>
      <c r="D2034" s="10" t="s">
        <v>423</v>
      </c>
      <c r="E2034" s="11" t="str">
        <f t="array" ref="E2034">_xlfn.XLOOKUP(D2034,Insumos!B:B,Insumos!C:$C)</f>
        <v>M</v>
      </c>
      <c r="F2034" s="14">
        <f>4.0011*2</f>
        <v>8.0022000000000002</v>
      </c>
      <c r="G2034" s="87">
        <f t="array" ref="G2034">IF(B2034="insumo",_xlfn.XLOOKUP($D2034,Insumos!$B$1:$B$996,Insumos!$D$1:$D$996),"")</f>
        <v>7.98</v>
      </c>
      <c r="H2034" s="87">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70</v>
      </c>
      <c r="C2035" s="10" t="s">
        <v>1331</v>
      </c>
      <c r="D2035" s="10" t="s">
        <v>404</v>
      </c>
      <c r="E2035" s="11" t="str">
        <f t="array" ref="E2035">_xlfn.XLOOKUP(D2035,Insumos!B:B,Insumos!C:$C)</f>
        <v>KG</v>
      </c>
      <c r="F2035" s="14">
        <v>1.0978000000000001</v>
      </c>
      <c r="G2035" s="87">
        <f t="array" ref="G2035">IF(B2035="insumo",_xlfn.XLOOKUP($D2035,Insumos!$B$1:$B$996,Insumos!$D$1:$D$996),"")</f>
        <v>3.43</v>
      </c>
      <c r="H2035" s="87">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70</v>
      </c>
      <c r="C2036" s="10" t="s">
        <v>1331</v>
      </c>
      <c r="D2036" s="10" t="s">
        <v>411</v>
      </c>
      <c r="E2036" s="11" t="str">
        <f t="array" ref="E2036">_xlfn.XLOOKUP(D2036,Insumos!B:B,Insumos!C:$C)</f>
        <v>M</v>
      </c>
      <c r="F2036" s="14">
        <v>2.5026999999999999</v>
      </c>
      <c r="G2036" s="87">
        <f t="array" ref="G2036">IF(B2036="insumo",_xlfn.XLOOKUP($D2036,Insumos!$B$1:$B$996,Insumos!$D$1:$D$996),"")</f>
        <v>0.31</v>
      </c>
      <c r="H2036" s="87">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70</v>
      </c>
      <c r="C2037" s="10" t="s">
        <v>1331</v>
      </c>
      <c r="D2037" s="10" t="s">
        <v>412</v>
      </c>
      <c r="E2037" s="11" t="str">
        <f t="array" ref="E2037">_xlfn.XLOOKUP(D2037,Insumos!B:B,Insumos!C:$C)</f>
        <v>M</v>
      </c>
      <c r="F2037" s="14">
        <v>1.5851</v>
      </c>
      <c r="G2037" s="87">
        <f t="array" ref="G2037">IF(B2037="insumo",_xlfn.XLOOKUP($D2037,Insumos!$B$1:$B$996,Insumos!$D$1:$D$996),"")</f>
        <v>2.74</v>
      </c>
      <c r="H2037" s="87">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70</v>
      </c>
      <c r="C2038" s="10" t="s">
        <v>1331</v>
      </c>
      <c r="D2038" s="10" t="s">
        <v>413</v>
      </c>
      <c r="E2038" s="11" t="str">
        <f t="array" ref="E2038">_xlfn.XLOOKUP(D2038,Insumos!B:B,Insumos!C:$C)</f>
        <v>UN</v>
      </c>
      <c r="F2038" s="14">
        <v>20.186800000000002</v>
      </c>
      <c r="G2038" s="87">
        <f t="array" ref="G2038">IF(B2038="insumo",_xlfn.XLOOKUP($D2038,Insumos!$B$1:$B$996,Insumos!$D$1:$D$996),"")</f>
        <v>0.09</v>
      </c>
      <c r="H2038" s="87">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70</v>
      </c>
      <c r="C2039" s="10" t="s">
        <v>1331</v>
      </c>
      <c r="D2039" s="10" t="s">
        <v>414</v>
      </c>
      <c r="E2039" s="11" t="str">
        <f t="array" ref="E2039">_xlfn.XLOOKUP(D2039,Insumos!B:B,Insumos!C:$C)</f>
        <v>UN</v>
      </c>
      <c r="F2039" s="14">
        <v>0.54410000000000003</v>
      </c>
      <c r="G2039" s="87">
        <f t="array" ref="G2039">IF(B2039="insumo",_xlfn.XLOOKUP($D2039,Insumos!$B$1:$B$996,Insumos!$D$1:$D$996),"")</f>
        <v>0.2</v>
      </c>
      <c r="H2039" s="87">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70</v>
      </c>
      <c r="C2040" s="10" t="s">
        <v>1331</v>
      </c>
      <c r="D2040" s="10" t="s">
        <v>1576</v>
      </c>
      <c r="E2040" s="11" t="str">
        <f t="array" ref="E2040">_xlfn.XLOOKUP(D2040,Insumos!B:B,Insumos!C:$C)</f>
        <v>M2</v>
      </c>
      <c r="F2040" s="14">
        <v>1.1000000000000001</v>
      </c>
      <c r="G2040" s="87">
        <f t="array" ref="G2040">IF(B2040="insumo",_xlfn.XLOOKUP($D2040,Insumos!$B$1:$B$996,Insumos!$D$1:$D$996),"")</f>
        <v>13.019333333333332</v>
      </c>
      <c r="H2040" s="87">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332">
        <v>1</v>
      </c>
      <c r="B2041" s="332" t="s">
        <v>67</v>
      </c>
      <c r="C2041" s="332" t="s">
        <v>1332</v>
      </c>
      <c r="D2041" s="332" t="s">
        <v>1332</v>
      </c>
      <c r="E2041" s="333" t="s">
        <v>69</v>
      </c>
      <c r="F2041" s="332"/>
      <c r="G2041" s="334" t="str">
        <f t="array" ref="G2041">IF(B2041="insumo",_xlfn.XLOOKUP($D2041,Insumos!$B$1:$B$996,Insumos!$D$1:$D$996),"")</f>
        <v/>
      </c>
      <c r="H2041" s="334">
        <v>241.79521566666699</v>
      </c>
      <c r="I2041" s="335">
        <v>0</v>
      </c>
      <c r="J2041" s="335">
        <v>0</v>
      </c>
      <c r="K2041" s="335"/>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70</v>
      </c>
      <c r="C2042" s="10" t="s">
        <v>1332</v>
      </c>
      <c r="D2042" s="10" t="s">
        <v>406</v>
      </c>
      <c r="E2042" s="11" t="str">
        <f t="array" ref="E2042">_xlfn.XLOOKUP(D2042,Insumos!B:B,Insumos!C:$C)</f>
        <v>M2</v>
      </c>
      <c r="F2042" s="14">
        <v>1</v>
      </c>
      <c r="G2042" s="87">
        <f t="array" ref="G2042">IF(B2042="insumo",_xlfn.XLOOKUP($D2042,Insumos!$B$1:$B$996,Insumos!$D$1:$D$996),"")</f>
        <v>70</v>
      </c>
      <c r="H2042" s="87">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70</v>
      </c>
      <c r="C2043" s="10" t="s">
        <v>1332</v>
      </c>
      <c r="D2043" s="10" t="s">
        <v>417</v>
      </c>
      <c r="E2043" s="11" t="str">
        <f t="array" ref="E2043">_xlfn.XLOOKUP(D2043,Insumos!B:B,Insumos!C:$C)</f>
        <v>M2</v>
      </c>
      <c r="F2043" s="14">
        <v>2.1059999999999999</v>
      </c>
      <c r="G2043" s="87">
        <f t="array" ref="G2043">IF(B2043="insumo",_xlfn.XLOOKUP($D2043,Insumos!$B$1:$B$996,Insumos!$D$1:$D$996),"")</f>
        <v>27.1</v>
      </c>
      <c r="H2043" s="87">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70</v>
      </c>
      <c r="C2044" s="10" t="s">
        <v>1332</v>
      </c>
      <c r="D2044" s="10" t="s">
        <v>408</v>
      </c>
      <c r="E2044" s="11" t="str">
        <f t="array" ref="E2044">_xlfn.XLOOKUP(D2044,Insumos!B:B,Insumos!C:$C)</f>
        <v>UN</v>
      </c>
      <c r="F2044" s="14">
        <v>5.92</v>
      </c>
      <c r="G2044" s="87">
        <f t="array" ref="G2044">IF(B2044="insumo",_xlfn.XLOOKUP($D2044,Insumos!$B$1:$B$996,Insumos!$D$1:$D$996),"")</f>
        <v>0.504</v>
      </c>
      <c r="H2044" s="87">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70</v>
      </c>
      <c r="C2045" s="10" t="s">
        <v>1332</v>
      </c>
      <c r="D2045" s="10" t="s">
        <v>422</v>
      </c>
      <c r="E2045" s="11" t="str">
        <f t="array" ref="E2045">_xlfn.XLOOKUP(D2045,Insumos!B:B,Insumos!C:$C)</f>
        <v>M</v>
      </c>
      <c r="F2045" s="14">
        <f>1.5248*2</f>
        <v>3.0495999999999999</v>
      </c>
      <c r="G2045" s="87">
        <f t="array" ref="G2045">IF(B2045="insumo",_xlfn.XLOOKUP($D2045,Insumos!$B$1:$B$996,Insumos!$D$1:$D$996),"")</f>
        <v>7.46</v>
      </c>
      <c r="H2045" s="87">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70</v>
      </c>
      <c r="C2046" s="10" t="s">
        <v>1332</v>
      </c>
      <c r="D2046" s="10" t="s">
        <v>423</v>
      </c>
      <c r="E2046" s="11" t="str">
        <f t="array" ref="E2046">_xlfn.XLOOKUP(D2046,Insumos!B:B,Insumos!C:$C)</f>
        <v>M</v>
      </c>
      <c r="F2046" s="14">
        <f>4.0011*2</f>
        <v>8.0022000000000002</v>
      </c>
      <c r="G2046" s="87">
        <f t="array" ref="G2046">IF(B2046="insumo",_xlfn.XLOOKUP($D2046,Insumos!$B$1:$B$996,Insumos!$D$1:$D$996),"")</f>
        <v>7.98</v>
      </c>
      <c r="H2046" s="87">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70</v>
      </c>
      <c r="C2047" s="10" t="s">
        <v>1332</v>
      </c>
      <c r="D2047" s="10" t="s">
        <v>404</v>
      </c>
      <c r="E2047" s="11" t="str">
        <f t="array" ref="E2047">_xlfn.XLOOKUP(D2047,Insumos!B:B,Insumos!C:$C)</f>
        <v>KG</v>
      </c>
      <c r="F2047" s="14">
        <v>1.0978000000000001</v>
      </c>
      <c r="G2047" s="87">
        <f t="array" ref="G2047">IF(B2047="insumo",_xlfn.XLOOKUP($D2047,Insumos!$B$1:$B$996,Insumos!$D$1:$D$996),"")</f>
        <v>3.43</v>
      </c>
      <c r="H2047" s="87">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70</v>
      </c>
      <c r="C2048" s="10" t="s">
        <v>1332</v>
      </c>
      <c r="D2048" s="10" t="s">
        <v>411</v>
      </c>
      <c r="E2048" s="11" t="str">
        <f t="array" ref="E2048">_xlfn.XLOOKUP(D2048,Insumos!B:B,Insumos!C:$C)</f>
        <v>M</v>
      </c>
      <c r="F2048" s="14">
        <v>2.5026999999999999</v>
      </c>
      <c r="G2048" s="87">
        <f t="array" ref="G2048">IF(B2048="insumo",_xlfn.XLOOKUP($D2048,Insumos!$B$1:$B$996,Insumos!$D$1:$D$996),"")</f>
        <v>0.31</v>
      </c>
      <c r="H2048" s="87">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70</v>
      </c>
      <c r="C2049" s="10" t="s">
        <v>1332</v>
      </c>
      <c r="D2049" s="10" t="s">
        <v>412</v>
      </c>
      <c r="E2049" s="11" t="str">
        <f t="array" ref="E2049">_xlfn.XLOOKUP(D2049,Insumos!B:B,Insumos!C:$C)</f>
        <v>M</v>
      </c>
      <c r="F2049" s="14">
        <v>1.5851</v>
      </c>
      <c r="G2049" s="87">
        <f t="array" ref="G2049">IF(B2049="insumo",_xlfn.XLOOKUP($D2049,Insumos!$B$1:$B$996,Insumos!$D$1:$D$996),"")</f>
        <v>2.74</v>
      </c>
      <c r="H2049" s="87">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70</v>
      </c>
      <c r="C2050" s="10" t="s">
        <v>1332</v>
      </c>
      <c r="D2050" s="10" t="s">
        <v>413</v>
      </c>
      <c r="E2050" s="11" t="str">
        <f t="array" ref="E2050">_xlfn.XLOOKUP(D2050,Insumos!B:B,Insumos!C:$C)</f>
        <v>UN</v>
      </c>
      <c r="F2050" s="14">
        <v>20.186800000000002</v>
      </c>
      <c r="G2050" s="87">
        <f t="array" ref="G2050">IF(B2050="insumo",_xlfn.XLOOKUP($D2050,Insumos!$B$1:$B$996,Insumos!$D$1:$D$996),"")</f>
        <v>0.09</v>
      </c>
      <c r="H2050" s="87">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70</v>
      </c>
      <c r="C2051" s="10" t="s">
        <v>1332</v>
      </c>
      <c r="D2051" s="10" t="s">
        <v>414</v>
      </c>
      <c r="E2051" s="11" t="str">
        <f t="array" ref="E2051">_xlfn.XLOOKUP(D2051,Insumos!B:B,Insumos!C:$C)</f>
        <v>UN</v>
      </c>
      <c r="F2051" s="14">
        <v>0.54410000000000003</v>
      </c>
      <c r="G2051" s="87">
        <f t="array" ref="G2051">IF(B2051="insumo",_xlfn.XLOOKUP($D2051,Insumos!$B$1:$B$996,Insumos!$D$1:$D$996),"")</f>
        <v>0.2</v>
      </c>
      <c r="H2051" s="87">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70</v>
      </c>
      <c r="C2052" s="10" t="s">
        <v>1332</v>
      </c>
      <c r="D2052" s="10" t="s">
        <v>1576</v>
      </c>
      <c r="E2052" s="11" t="str">
        <f t="array" ref="E2052">_xlfn.XLOOKUP(D2052,Insumos!B:B,Insumos!C:$C)</f>
        <v>M2</v>
      </c>
      <c r="F2052" s="14">
        <v>1.1000000000000001</v>
      </c>
      <c r="G2052" s="87">
        <f t="array" ref="G2052">IF(B2052="insumo",_xlfn.XLOOKUP($D2052,Insumos!$B$1:$B$996,Insumos!$D$1:$D$996),"")</f>
        <v>13.019333333333332</v>
      </c>
      <c r="H2052" s="87">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332">
        <v>1</v>
      </c>
      <c r="B2053" s="332" t="s">
        <v>67</v>
      </c>
      <c r="C2053" s="332" t="s">
        <v>1342</v>
      </c>
      <c r="D2053" s="332" t="s">
        <v>1342</v>
      </c>
      <c r="E2053" s="333" t="s">
        <v>69</v>
      </c>
      <c r="F2053" s="332"/>
      <c r="G2053" s="334" t="str">
        <f t="array" ref="G2053">IF(B2053="insumo",_xlfn.XLOOKUP($D2053,Insumos!$B$1:$B$996,Insumos!$D$1:$D$996),"")</f>
        <v/>
      </c>
      <c r="H2053" s="334">
        <v>247.974294833333</v>
      </c>
      <c r="I2053" s="335">
        <v>0</v>
      </c>
      <c r="J2053" s="335">
        <v>0</v>
      </c>
      <c r="K2053" s="335"/>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70</v>
      </c>
      <c r="C2054" s="10" t="s">
        <v>1342</v>
      </c>
      <c r="D2054" s="10" t="s">
        <v>406</v>
      </c>
      <c r="E2054" s="11" t="str">
        <f t="array" ref="E2054">_xlfn.XLOOKUP(D2054,Insumos!B:B,Insumos!C:$C)</f>
        <v>M2</v>
      </c>
      <c r="F2054" s="14">
        <v>1</v>
      </c>
      <c r="G2054" s="87">
        <f t="array" ref="G2054">IF(B2054="insumo",_xlfn.XLOOKUP($D2054,Insumos!$B$1:$B$996,Insumos!$D$1:$D$996),"")</f>
        <v>70</v>
      </c>
      <c r="H2054" s="87">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70</v>
      </c>
      <c r="C2055" s="10" t="s">
        <v>1342</v>
      </c>
      <c r="D2055" s="10" t="s">
        <v>417</v>
      </c>
      <c r="E2055" s="11" t="str">
        <f t="array" ref="E2055">_xlfn.XLOOKUP(D2055,Insumos!B:B,Insumos!C:$C)</f>
        <v>M2</v>
      </c>
      <c r="F2055" s="14">
        <v>1.1060000000000001</v>
      </c>
      <c r="G2055" s="87">
        <f t="array" ref="G2055">IF(B2055="insumo",_xlfn.XLOOKUP($D2055,Insumos!$B$1:$B$996,Insumos!$D$1:$D$996),"")</f>
        <v>27.1</v>
      </c>
      <c r="H2055" s="87">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70</v>
      </c>
      <c r="C2056" s="10" t="s">
        <v>1342</v>
      </c>
      <c r="D2056" s="10" t="s">
        <v>1372</v>
      </c>
      <c r="E2056" s="11" t="str">
        <f t="array" ref="E2056">_xlfn.XLOOKUP(D2056,Insumos!B:B,Insumos!C:$C)</f>
        <v>M2</v>
      </c>
      <c r="F2056" s="14">
        <v>1.1060000000000001</v>
      </c>
      <c r="G2056" s="87">
        <f t="array" ref="G2056">IF(B2056="insumo",_xlfn.XLOOKUP($D2056,Insumos!$B$1:$B$996,Insumos!$D$1:$D$996),"")</f>
        <v>30.089583333333337</v>
      </c>
      <c r="H2056" s="87">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70</v>
      </c>
      <c r="C2057" s="10" t="s">
        <v>1342</v>
      </c>
      <c r="D2057" s="10" t="s">
        <v>408</v>
      </c>
      <c r="E2057" s="11" t="str">
        <f t="array" ref="E2057">_xlfn.XLOOKUP(D2057,Insumos!B:B,Insumos!C:$C)</f>
        <v>UN</v>
      </c>
      <c r="F2057" s="14">
        <v>5.92</v>
      </c>
      <c r="G2057" s="87">
        <f t="array" ref="G2057">IF(B2057="insumo",_xlfn.XLOOKUP($D2057,Insumos!$B$1:$B$996,Insumos!$D$1:$D$996),"")</f>
        <v>0.504</v>
      </c>
      <c r="H2057" s="87">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70</v>
      </c>
      <c r="C2058" s="10" t="s">
        <v>1342</v>
      </c>
      <c r="D2058" s="10" t="s">
        <v>422</v>
      </c>
      <c r="E2058" s="11" t="str">
        <f t="array" ref="E2058">_xlfn.XLOOKUP(D2058,Insumos!B:B,Insumos!C:$C)</f>
        <v>M</v>
      </c>
      <c r="F2058" s="14">
        <f>1.5248*2</f>
        <v>3.0495999999999999</v>
      </c>
      <c r="G2058" s="87">
        <f t="array" ref="G2058">IF(B2058="insumo",_xlfn.XLOOKUP($D2058,Insumos!$B$1:$B$996,Insumos!$D$1:$D$996),"")</f>
        <v>7.46</v>
      </c>
      <c r="H2058" s="87">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70</v>
      </c>
      <c r="C2059" s="10" t="s">
        <v>1342</v>
      </c>
      <c r="D2059" s="10" t="s">
        <v>423</v>
      </c>
      <c r="E2059" s="11" t="str">
        <f t="array" ref="E2059">_xlfn.XLOOKUP(D2059,Insumos!B:B,Insumos!C:$C)</f>
        <v>M</v>
      </c>
      <c r="F2059" s="14">
        <f>4.0011*2</f>
        <v>8.0022000000000002</v>
      </c>
      <c r="G2059" s="87">
        <f t="array" ref="G2059">IF(B2059="insumo",_xlfn.XLOOKUP($D2059,Insumos!$B$1:$B$996,Insumos!$D$1:$D$996),"")</f>
        <v>7.98</v>
      </c>
      <c r="H2059" s="87">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70</v>
      </c>
      <c r="C2060" s="10" t="s">
        <v>1342</v>
      </c>
      <c r="D2060" s="10" t="s">
        <v>404</v>
      </c>
      <c r="E2060" s="11" t="str">
        <f t="array" ref="E2060">_xlfn.XLOOKUP(D2060,Insumos!B:B,Insumos!C:$C)</f>
        <v>KG</v>
      </c>
      <c r="F2060" s="14">
        <v>1.0978000000000001</v>
      </c>
      <c r="G2060" s="87">
        <f t="array" ref="G2060">IF(B2060="insumo",_xlfn.XLOOKUP($D2060,Insumos!$B$1:$B$996,Insumos!$D$1:$D$996),"")</f>
        <v>3.43</v>
      </c>
      <c r="H2060" s="87">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70</v>
      </c>
      <c r="C2061" s="10" t="s">
        <v>1342</v>
      </c>
      <c r="D2061" s="10" t="s">
        <v>411</v>
      </c>
      <c r="E2061" s="11" t="str">
        <f t="array" ref="E2061">_xlfn.XLOOKUP(D2061,Insumos!B:B,Insumos!C:$C)</f>
        <v>M</v>
      </c>
      <c r="F2061" s="14">
        <v>2.5026999999999999</v>
      </c>
      <c r="G2061" s="87">
        <f t="array" ref="G2061">IF(B2061="insumo",_xlfn.XLOOKUP($D2061,Insumos!$B$1:$B$996,Insumos!$D$1:$D$996),"")</f>
        <v>0.31</v>
      </c>
      <c r="H2061" s="87">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70</v>
      </c>
      <c r="C2062" s="10" t="s">
        <v>1342</v>
      </c>
      <c r="D2062" s="10" t="s">
        <v>412</v>
      </c>
      <c r="E2062" s="11" t="str">
        <f t="array" ref="E2062">_xlfn.XLOOKUP(D2062,Insumos!B:B,Insumos!C:$C)</f>
        <v>M</v>
      </c>
      <c r="F2062" s="14">
        <v>1.5851</v>
      </c>
      <c r="G2062" s="87">
        <f t="array" ref="G2062">IF(B2062="insumo",_xlfn.XLOOKUP($D2062,Insumos!$B$1:$B$996,Insumos!$D$1:$D$996),"")</f>
        <v>2.74</v>
      </c>
      <c r="H2062" s="87">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70</v>
      </c>
      <c r="C2063" s="10" t="s">
        <v>1342</v>
      </c>
      <c r="D2063" s="10" t="s">
        <v>413</v>
      </c>
      <c r="E2063" s="11" t="str">
        <f t="array" ref="E2063">_xlfn.XLOOKUP(D2063,Insumos!B:B,Insumos!C:$C)</f>
        <v>UN</v>
      </c>
      <c r="F2063" s="14">
        <v>20.186800000000002</v>
      </c>
      <c r="G2063" s="87">
        <f t="array" ref="G2063">IF(B2063="insumo",_xlfn.XLOOKUP($D2063,Insumos!$B$1:$B$996,Insumos!$D$1:$D$996),"")</f>
        <v>0.09</v>
      </c>
      <c r="H2063" s="87">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70</v>
      </c>
      <c r="C2064" s="10" t="s">
        <v>1342</v>
      </c>
      <c r="D2064" s="10" t="s">
        <v>414</v>
      </c>
      <c r="E2064" s="11" t="str">
        <f t="array" ref="E2064">_xlfn.XLOOKUP(D2064,Insumos!B:B,Insumos!C:$C)</f>
        <v>UN</v>
      </c>
      <c r="F2064" s="14">
        <v>0.54410000000000003</v>
      </c>
      <c r="G2064" s="87">
        <f t="array" ref="G2064">IF(B2064="insumo",_xlfn.XLOOKUP($D2064,Insumos!$B$1:$B$996,Insumos!$D$1:$D$996),"")</f>
        <v>0.2</v>
      </c>
      <c r="H2064" s="87">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70</v>
      </c>
      <c r="C2065" s="10" t="s">
        <v>1342</v>
      </c>
      <c r="D2065" s="10" t="s">
        <v>1576</v>
      </c>
      <c r="E2065" s="11" t="str">
        <f t="array" ref="E2065">_xlfn.XLOOKUP(D2065,Insumos!B:B,Insumos!C:$C)</f>
        <v>M2</v>
      </c>
      <c r="F2065" s="14">
        <v>1.1000000000000001</v>
      </c>
      <c r="G2065" s="87">
        <f t="array" ref="G2065">IF(B2065="insumo",_xlfn.XLOOKUP($D2065,Insumos!$B$1:$B$996,Insumos!$D$1:$D$996),"")</f>
        <v>13.019333333333332</v>
      </c>
      <c r="H2065" s="87">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332">
        <v>1</v>
      </c>
      <c r="B2066" s="332" t="s">
        <v>67</v>
      </c>
      <c r="C2066" s="332" t="s">
        <v>1355</v>
      </c>
      <c r="D2066" s="332" t="s">
        <v>1355</v>
      </c>
      <c r="E2066" s="333" t="s">
        <v>69</v>
      </c>
      <c r="F2066" s="332"/>
      <c r="G2066" s="334" t="str">
        <f t="array" ref="G2066">IF(B2066="insumo",_xlfn.XLOOKUP($D2066,Insumos!$B$1:$B$996,Insumos!$D$1:$D$996),"")</f>
        <v/>
      </c>
      <c r="H2066" s="334">
        <v>307.629937888889</v>
      </c>
      <c r="I2066" s="335">
        <v>0</v>
      </c>
      <c r="J2066" s="335">
        <v>0</v>
      </c>
      <c r="K2066" s="335"/>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70</v>
      </c>
      <c r="C2067" s="10" t="s">
        <v>1355</v>
      </c>
      <c r="D2067" s="10" t="s">
        <v>406</v>
      </c>
      <c r="E2067" s="11" t="str">
        <f t="array" ref="E2067">_xlfn.XLOOKUP(D2067,Insumos!B:B,Insumos!C:$C)</f>
        <v>M2</v>
      </c>
      <c r="F2067" s="14">
        <v>1</v>
      </c>
      <c r="G2067" s="87">
        <f t="array" ref="G2067">IF(B2067="insumo",_xlfn.XLOOKUP($D2067,Insumos!$B$1:$B$996,Insumos!$D$1:$D$996),"")</f>
        <v>70</v>
      </c>
      <c r="H2067" s="87">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70</v>
      </c>
      <c r="C2068" s="10" t="s">
        <v>1355</v>
      </c>
      <c r="D2068" s="10" t="s">
        <v>417</v>
      </c>
      <c r="E2068" s="11" t="str">
        <f t="array" ref="E2068">_xlfn.XLOOKUP(D2068,Insumos!B:B,Insumos!C:$C)</f>
        <v>M2</v>
      </c>
      <c r="F2068" s="14">
        <v>1.1060000000000001</v>
      </c>
      <c r="G2068" s="87">
        <f t="array" ref="G2068">IF(B2068="insumo",_xlfn.XLOOKUP($D2068,Insumos!$B$1:$B$996,Insumos!$D$1:$D$996),"")</f>
        <v>27.1</v>
      </c>
      <c r="H2068" s="87">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70</v>
      </c>
      <c r="C2069" s="10" t="s">
        <v>1355</v>
      </c>
      <c r="D2069" s="10" t="s">
        <v>1374</v>
      </c>
      <c r="E2069" s="11" t="str">
        <f t="array" ref="E2069">_xlfn.XLOOKUP(D2069,Insumos!B:B,Insumos!C:$C)</f>
        <v>M2</v>
      </c>
      <c r="F2069" s="14">
        <v>1.1060000000000001</v>
      </c>
      <c r="G2069" s="87">
        <f t="array" ref="G2069">IF(B2069="insumo",_xlfn.XLOOKUP($D2069,Insumos!$B$1:$B$996,Insumos!$D$1:$D$996),"")</f>
        <v>84.027777777777786</v>
      </c>
      <c r="H2069" s="87">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70</v>
      </c>
      <c r="C2070" s="10" t="s">
        <v>1355</v>
      </c>
      <c r="D2070" s="10" t="s">
        <v>408</v>
      </c>
      <c r="E2070" s="11" t="str">
        <f t="array" ref="E2070">_xlfn.XLOOKUP(D2070,Insumos!B:B,Insumos!C:$C)</f>
        <v>UN</v>
      </c>
      <c r="F2070" s="14">
        <v>5.92</v>
      </c>
      <c r="G2070" s="87">
        <f t="array" ref="G2070">IF(B2070="insumo",_xlfn.XLOOKUP($D2070,Insumos!$B$1:$B$996,Insumos!$D$1:$D$996),"")</f>
        <v>0.504</v>
      </c>
      <c r="H2070" s="87">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70</v>
      </c>
      <c r="C2071" s="10" t="s">
        <v>1355</v>
      </c>
      <c r="D2071" s="10" t="s">
        <v>422</v>
      </c>
      <c r="E2071" s="11" t="str">
        <f t="array" ref="E2071">_xlfn.XLOOKUP(D2071,Insumos!B:B,Insumos!C:$C)</f>
        <v>M</v>
      </c>
      <c r="F2071" s="14">
        <f>1.5248*2</f>
        <v>3.0495999999999999</v>
      </c>
      <c r="G2071" s="87">
        <f t="array" ref="G2071">IF(B2071="insumo",_xlfn.XLOOKUP($D2071,Insumos!$B$1:$B$996,Insumos!$D$1:$D$996),"")</f>
        <v>7.46</v>
      </c>
      <c r="H2071" s="87">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70</v>
      </c>
      <c r="C2072" s="10" t="s">
        <v>1355</v>
      </c>
      <c r="D2072" s="10" t="s">
        <v>423</v>
      </c>
      <c r="E2072" s="11" t="str">
        <f t="array" ref="E2072">_xlfn.XLOOKUP(D2072,Insumos!B:B,Insumos!C:$C)</f>
        <v>M</v>
      </c>
      <c r="F2072" s="14">
        <f>4.0011*2</f>
        <v>8.0022000000000002</v>
      </c>
      <c r="G2072" s="87">
        <f t="array" ref="G2072">IF(B2072="insumo",_xlfn.XLOOKUP($D2072,Insumos!$B$1:$B$996,Insumos!$D$1:$D$996),"")</f>
        <v>7.98</v>
      </c>
      <c r="H2072" s="87">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70</v>
      </c>
      <c r="C2073" s="10" t="s">
        <v>1355</v>
      </c>
      <c r="D2073" s="10" t="s">
        <v>404</v>
      </c>
      <c r="E2073" s="11" t="str">
        <f t="array" ref="E2073">_xlfn.XLOOKUP(D2073,Insumos!B:B,Insumos!C:$C)</f>
        <v>KG</v>
      </c>
      <c r="F2073" s="14">
        <v>1.0978000000000001</v>
      </c>
      <c r="G2073" s="87">
        <f t="array" ref="G2073">IF(B2073="insumo",_xlfn.XLOOKUP($D2073,Insumos!$B$1:$B$996,Insumos!$D$1:$D$996),"")</f>
        <v>3.43</v>
      </c>
      <c r="H2073" s="87">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70</v>
      </c>
      <c r="C2074" s="10" t="s">
        <v>1355</v>
      </c>
      <c r="D2074" s="10" t="s">
        <v>411</v>
      </c>
      <c r="E2074" s="11" t="str">
        <f t="array" ref="E2074">_xlfn.XLOOKUP(D2074,Insumos!B:B,Insumos!C:$C)</f>
        <v>M</v>
      </c>
      <c r="F2074" s="14">
        <v>2.5026999999999999</v>
      </c>
      <c r="G2074" s="87">
        <f t="array" ref="G2074">IF(B2074="insumo",_xlfn.XLOOKUP($D2074,Insumos!$B$1:$B$996,Insumos!$D$1:$D$996),"")</f>
        <v>0.31</v>
      </c>
      <c r="H2074" s="87">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70</v>
      </c>
      <c r="C2075" s="10" t="s">
        <v>1355</v>
      </c>
      <c r="D2075" s="10" t="s">
        <v>412</v>
      </c>
      <c r="E2075" s="11" t="str">
        <f t="array" ref="E2075">_xlfn.XLOOKUP(D2075,Insumos!B:B,Insumos!C:$C)</f>
        <v>M</v>
      </c>
      <c r="F2075" s="14">
        <v>1.5851</v>
      </c>
      <c r="G2075" s="87">
        <f t="array" ref="G2075">IF(B2075="insumo",_xlfn.XLOOKUP($D2075,Insumos!$B$1:$B$996,Insumos!$D$1:$D$996),"")</f>
        <v>2.74</v>
      </c>
      <c r="H2075" s="87">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70</v>
      </c>
      <c r="C2076" s="10" t="s">
        <v>1355</v>
      </c>
      <c r="D2076" s="10" t="s">
        <v>413</v>
      </c>
      <c r="E2076" s="11" t="str">
        <f t="array" ref="E2076">_xlfn.XLOOKUP(D2076,Insumos!B:B,Insumos!C:$C)</f>
        <v>UN</v>
      </c>
      <c r="F2076" s="14">
        <v>20.186800000000002</v>
      </c>
      <c r="G2076" s="87">
        <f t="array" ref="G2076">IF(B2076="insumo",_xlfn.XLOOKUP($D2076,Insumos!$B$1:$B$996,Insumos!$D$1:$D$996),"")</f>
        <v>0.09</v>
      </c>
      <c r="H2076" s="87">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70</v>
      </c>
      <c r="C2077" s="10" t="s">
        <v>1355</v>
      </c>
      <c r="D2077" s="10" t="s">
        <v>414</v>
      </c>
      <c r="E2077" s="11" t="str">
        <f t="array" ref="E2077">_xlfn.XLOOKUP(D2077,Insumos!B:B,Insumos!C:$C)</f>
        <v>UN</v>
      </c>
      <c r="F2077" s="14">
        <v>0.54410000000000003</v>
      </c>
      <c r="G2077" s="87">
        <f t="array" ref="G2077">IF(B2077="insumo",_xlfn.XLOOKUP($D2077,Insumos!$B$1:$B$996,Insumos!$D$1:$D$996),"")</f>
        <v>0.2</v>
      </c>
      <c r="H2077" s="87">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70</v>
      </c>
      <c r="C2078" s="10" t="s">
        <v>1355</v>
      </c>
      <c r="D2078" s="10" t="s">
        <v>1576</v>
      </c>
      <c r="E2078" s="11" t="str">
        <f t="array" ref="E2078">_xlfn.XLOOKUP(D2078,Insumos!B:B,Insumos!C:$C)</f>
        <v>M2</v>
      </c>
      <c r="F2078" s="14">
        <v>1.1000000000000001</v>
      </c>
      <c r="G2078" s="87">
        <f t="array" ref="G2078">IF(B2078="insumo",_xlfn.XLOOKUP($D2078,Insumos!$B$1:$B$996,Insumos!$D$1:$D$996),"")</f>
        <v>13.019333333333332</v>
      </c>
      <c r="H2078" s="87">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332">
        <v>1</v>
      </c>
      <c r="B2079" s="332" t="s">
        <v>67</v>
      </c>
      <c r="C2079" s="332" t="s">
        <v>1356</v>
      </c>
      <c r="D2079" s="332" t="s">
        <v>1356</v>
      </c>
      <c r="E2079" s="333" t="s">
        <v>69</v>
      </c>
      <c r="F2079" s="332"/>
      <c r="G2079" s="334" t="str">
        <f t="array" ref="G2079">IF(B2079="insumo",_xlfn.XLOOKUP($D2079,Insumos!$B$1:$B$996,Insumos!$D$1:$D$996),"")</f>
        <v/>
      </c>
      <c r="H2079" s="334">
        <v>358.094837888889</v>
      </c>
      <c r="I2079" s="335">
        <v>0</v>
      </c>
      <c r="J2079" s="335">
        <v>0</v>
      </c>
      <c r="K2079" s="335"/>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70</v>
      </c>
      <c r="C2080" s="10" t="s">
        <v>1356</v>
      </c>
      <c r="D2080" s="10" t="s">
        <v>406</v>
      </c>
      <c r="E2080" s="11" t="str">
        <f t="array" ref="E2080">_xlfn.XLOOKUP(D2080,Insumos!B:B,Insumos!C:$C)</f>
        <v>M2</v>
      </c>
      <c r="F2080" s="14">
        <v>1</v>
      </c>
      <c r="G2080" s="87">
        <f t="array" ref="G2080">IF(B2080="insumo",_xlfn.XLOOKUP($D2080,Insumos!$B$1:$B$996,Insumos!$D$1:$D$996),"")</f>
        <v>70</v>
      </c>
      <c r="H2080" s="87">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70</v>
      </c>
      <c r="C2081" s="10" t="s">
        <v>1356</v>
      </c>
      <c r="D2081" s="10" t="s">
        <v>1373</v>
      </c>
      <c r="E2081" s="11" t="str">
        <f t="array" ref="E2081">_xlfn.XLOOKUP(D2081,Insumos!B:B,Insumos!C:$C)</f>
        <v>M2</v>
      </c>
      <c r="F2081" s="14">
        <v>2.1059999999999999</v>
      </c>
      <c r="G2081" s="87">
        <f t="array" ref="G2081">IF(B2081="insumo",_xlfn.XLOOKUP($D2081,Insumos!$B$1:$B$996,Insumos!$D$1:$D$996),"")</f>
        <v>38.19444444444445</v>
      </c>
      <c r="H2081" s="87">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70</v>
      </c>
      <c r="C2082" s="10" t="s">
        <v>1356</v>
      </c>
      <c r="D2082" s="10" t="s">
        <v>1374</v>
      </c>
      <c r="E2082" s="11" t="str">
        <f t="array" ref="E2082">_xlfn.XLOOKUP(D2082,Insumos!B:B,Insumos!C:$C)</f>
        <v>M2</v>
      </c>
      <c r="F2082" s="14">
        <v>1.1060000000000001</v>
      </c>
      <c r="G2082" s="87">
        <f t="array" ref="G2082">IF(B2082="insumo",_xlfn.XLOOKUP($D2082,Insumos!$B$1:$B$996,Insumos!$D$1:$D$996),"")</f>
        <v>84.027777777777786</v>
      </c>
      <c r="H2082" s="87">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70</v>
      </c>
      <c r="C2083" s="10" t="s">
        <v>1356</v>
      </c>
      <c r="D2083" s="10" t="s">
        <v>408</v>
      </c>
      <c r="E2083" s="11" t="str">
        <f t="array" ref="E2083">_xlfn.XLOOKUP(D2083,Insumos!B:B,Insumos!C:$C)</f>
        <v>UN</v>
      </c>
      <c r="F2083" s="14">
        <v>5.92</v>
      </c>
      <c r="G2083" s="87">
        <f t="array" ref="G2083">IF(B2083="insumo",_xlfn.XLOOKUP($D2083,Insumos!$B$1:$B$996,Insumos!$D$1:$D$996),"")</f>
        <v>0.504</v>
      </c>
      <c r="H2083" s="87">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70</v>
      </c>
      <c r="C2084" s="10" t="s">
        <v>1356</v>
      </c>
      <c r="D2084" s="10" t="s">
        <v>422</v>
      </c>
      <c r="E2084" s="11" t="str">
        <f t="array" ref="E2084">_xlfn.XLOOKUP(D2084,Insumos!B:B,Insumos!C:$C)</f>
        <v>M</v>
      </c>
      <c r="F2084" s="14">
        <f>1.5248*2</f>
        <v>3.0495999999999999</v>
      </c>
      <c r="G2084" s="87">
        <f t="array" ref="G2084">IF(B2084="insumo",_xlfn.XLOOKUP($D2084,Insumos!$B$1:$B$996,Insumos!$D$1:$D$996),"")</f>
        <v>7.46</v>
      </c>
      <c r="H2084" s="87">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70</v>
      </c>
      <c r="C2085" s="10" t="s">
        <v>1356</v>
      </c>
      <c r="D2085" s="10" t="s">
        <v>423</v>
      </c>
      <c r="E2085" s="11" t="str">
        <f t="array" ref="E2085">_xlfn.XLOOKUP(D2085,Insumos!B:B,Insumos!C:$C)</f>
        <v>M</v>
      </c>
      <c r="F2085" s="14">
        <f>4.0011*2</f>
        <v>8.0022000000000002</v>
      </c>
      <c r="G2085" s="87">
        <f t="array" ref="G2085">IF(B2085="insumo",_xlfn.XLOOKUP($D2085,Insumos!$B$1:$B$996,Insumos!$D$1:$D$996),"")</f>
        <v>7.98</v>
      </c>
      <c r="H2085" s="87">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70</v>
      </c>
      <c r="C2086" s="10" t="s">
        <v>1356</v>
      </c>
      <c r="D2086" s="10" t="s">
        <v>404</v>
      </c>
      <c r="E2086" s="11" t="str">
        <f t="array" ref="E2086">_xlfn.XLOOKUP(D2086,Insumos!B:B,Insumos!C:$C)</f>
        <v>KG</v>
      </c>
      <c r="F2086" s="14">
        <v>1.0978000000000001</v>
      </c>
      <c r="G2086" s="87">
        <f t="array" ref="G2086">IF(B2086="insumo",_xlfn.XLOOKUP($D2086,Insumos!$B$1:$B$996,Insumos!$D$1:$D$996),"")</f>
        <v>3.43</v>
      </c>
      <c r="H2086" s="87">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70</v>
      </c>
      <c r="C2087" s="10" t="s">
        <v>1356</v>
      </c>
      <c r="D2087" s="10" t="s">
        <v>411</v>
      </c>
      <c r="E2087" s="11" t="str">
        <f t="array" ref="E2087">_xlfn.XLOOKUP(D2087,Insumos!B:B,Insumos!C:$C)</f>
        <v>M</v>
      </c>
      <c r="F2087" s="14">
        <v>2.5026999999999999</v>
      </c>
      <c r="G2087" s="87">
        <f t="array" ref="G2087">IF(B2087="insumo",_xlfn.XLOOKUP($D2087,Insumos!$B$1:$B$996,Insumos!$D$1:$D$996),"")</f>
        <v>0.31</v>
      </c>
      <c r="H2087" s="87">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70</v>
      </c>
      <c r="C2088" s="10" t="s">
        <v>1356</v>
      </c>
      <c r="D2088" s="10" t="s">
        <v>412</v>
      </c>
      <c r="E2088" s="11" t="str">
        <f t="array" ref="E2088">_xlfn.XLOOKUP(D2088,Insumos!B:B,Insumos!C:$C)</f>
        <v>M</v>
      </c>
      <c r="F2088" s="14">
        <v>1.5851</v>
      </c>
      <c r="G2088" s="87">
        <f t="array" ref="G2088">IF(B2088="insumo",_xlfn.XLOOKUP($D2088,Insumos!$B$1:$B$996,Insumos!$D$1:$D$996),"")</f>
        <v>2.74</v>
      </c>
      <c r="H2088" s="87">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70</v>
      </c>
      <c r="C2089" s="10" t="s">
        <v>1356</v>
      </c>
      <c r="D2089" s="10" t="s">
        <v>413</v>
      </c>
      <c r="E2089" s="11" t="str">
        <f t="array" ref="E2089">_xlfn.XLOOKUP(D2089,Insumos!B:B,Insumos!C:$C)</f>
        <v>UN</v>
      </c>
      <c r="F2089" s="14">
        <v>20.186800000000002</v>
      </c>
      <c r="G2089" s="87">
        <f t="array" ref="G2089">IF(B2089="insumo",_xlfn.XLOOKUP($D2089,Insumos!$B$1:$B$996,Insumos!$D$1:$D$996),"")</f>
        <v>0.09</v>
      </c>
      <c r="H2089" s="87">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70</v>
      </c>
      <c r="C2090" s="10" t="s">
        <v>1356</v>
      </c>
      <c r="D2090" s="10" t="s">
        <v>414</v>
      </c>
      <c r="E2090" s="11" t="str">
        <f t="array" ref="E2090">_xlfn.XLOOKUP(D2090,Insumos!B:B,Insumos!C:$C)</f>
        <v>UN</v>
      </c>
      <c r="F2090" s="14">
        <v>0.54410000000000003</v>
      </c>
      <c r="G2090" s="87">
        <f t="array" ref="G2090">IF(B2090="insumo",_xlfn.XLOOKUP($D2090,Insumos!$B$1:$B$996,Insumos!$D$1:$D$996),"")</f>
        <v>0.2</v>
      </c>
      <c r="H2090" s="87">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70</v>
      </c>
      <c r="C2091" s="10" t="s">
        <v>1356</v>
      </c>
      <c r="D2091" s="10" t="s">
        <v>1576</v>
      </c>
      <c r="E2091" s="11" t="str">
        <f t="array" ref="E2091">_xlfn.XLOOKUP(D2091,Insumos!B:B,Insumos!C:$C)</f>
        <v>M2</v>
      </c>
      <c r="F2091" s="14">
        <v>1.1000000000000001</v>
      </c>
      <c r="G2091" s="87">
        <f t="array" ref="G2091">IF(B2091="insumo",_xlfn.XLOOKUP($D2091,Insumos!$B$1:$B$996,Insumos!$D$1:$D$996),"")</f>
        <v>13.019333333333332</v>
      </c>
      <c r="H2091" s="87">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332">
        <v>1</v>
      </c>
      <c r="B2092" s="332" t="s">
        <v>67</v>
      </c>
      <c r="C2092" s="332" t="s">
        <v>1357</v>
      </c>
      <c r="D2092" s="332" t="s">
        <v>1357</v>
      </c>
      <c r="E2092" s="333" t="s">
        <v>69</v>
      </c>
      <c r="F2092" s="332"/>
      <c r="G2092" s="334" t="str">
        <f t="array" ref="G2092">IF(B2092="insumo",_xlfn.XLOOKUP($D2092,Insumos!$B$1:$B$996,Insumos!$D$1:$D$996),"")</f>
        <v/>
      </c>
      <c r="H2092" s="334">
        <v>358.094837888889</v>
      </c>
      <c r="I2092" s="335">
        <v>0</v>
      </c>
      <c r="J2092" s="335">
        <v>0</v>
      </c>
      <c r="K2092" s="335"/>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70</v>
      </c>
      <c r="C2093" s="10" t="s">
        <v>1357</v>
      </c>
      <c r="D2093" s="10" t="s">
        <v>406</v>
      </c>
      <c r="E2093" s="11" t="str">
        <f t="array" ref="E2093">_xlfn.XLOOKUP(D2093,Insumos!B:B,Insumos!C:$C)</f>
        <v>M2</v>
      </c>
      <c r="F2093" s="14">
        <v>1</v>
      </c>
      <c r="G2093" s="87">
        <f t="array" ref="G2093">IF(B2093="insumo",_xlfn.XLOOKUP($D2093,Insumos!$B$1:$B$996,Insumos!$D$1:$D$996),"")</f>
        <v>70</v>
      </c>
      <c r="H2093" s="87">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70</v>
      </c>
      <c r="C2094" s="10" t="s">
        <v>1357</v>
      </c>
      <c r="D2094" s="10" t="s">
        <v>1373</v>
      </c>
      <c r="E2094" s="11" t="str">
        <f t="array" ref="E2094">_xlfn.XLOOKUP(D2094,Insumos!B:B,Insumos!C:$C)</f>
        <v>M2</v>
      </c>
      <c r="F2094" s="14">
        <v>2.1059999999999999</v>
      </c>
      <c r="G2094" s="87">
        <f t="array" ref="G2094">IF(B2094="insumo",_xlfn.XLOOKUP($D2094,Insumos!$B$1:$B$996,Insumos!$D$1:$D$996),"")</f>
        <v>38.19444444444445</v>
      </c>
      <c r="H2094" s="87">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70</v>
      </c>
      <c r="C2095" s="10" t="s">
        <v>1357</v>
      </c>
      <c r="D2095" s="10" t="s">
        <v>1374</v>
      </c>
      <c r="E2095" s="11" t="str">
        <f t="array" ref="E2095">_xlfn.XLOOKUP(D2095,Insumos!B:B,Insumos!C:$C)</f>
        <v>M2</v>
      </c>
      <c r="F2095" s="14">
        <v>1.1060000000000001</v>
      </c>
      <c r="G2095" s="87">
        <f t="array" ref="G2095">IF(B2095="insumo",_xlfn.XLOOKUP($D2095,Insumos!$B$1:$B$996,Insumos!$D$1:$D$996),"")</f>
        <v>84.027777777777786</v>
      </c>
      <c r="H2095" s="87">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70</v>
      </c>
      <c r="C2096" s="10" t="s">
        <v>1357</v>
      </c>
      <c r="D2096" s="10" t="s">
        <v>408</v>
      </c>
      <c r="E2096" s="11" t="str">
        <f t="array" ref="E2096">_xlfn.XLOOKUP(D2096,Insumos!B:B,Insumos!C:$C)</f>
        <v>UN</v>
      </c>
      <c r="F2096" s="14">
        <v>5.92</v>
      </c>
      <c r="G2096" s="87">
        <f t="array" ref="G2096">IF(B2096="insumo",_xlfn.XLOOKUP($D2096,Insumos!$B$1:$B$996,Insumos!$D$1:$D$996),"")</f>
        <v>0.504</v>
      </c>
      <c r="H2096" s="87">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70</v>
      </c>
      <c r="C2097" s="10" t="s">
        <v>1357</v>
      </c>
      <c r="D2097" s="10" t="s">
        <v>422</v>
      </c>
      <c r="E2097" s="11" t="str">
        <f t="array" ref="E2097">_xlfn.XLOOKUP(D2097,Insumos!B:B,Insumos!C:$C)</f>
        <v>M</v>
      </c>
      <c r="F2097" s="14">
        <f>1.5248*2</f>
        <v>3.0495999999999999</v>
      </c>
      <c r="G2097" s="87">
        <f t="array" ref="G2097">IF(B2097="insumo",_xlfn.XLOOKUP($D2097,Insumos!$B$1:$B$996,Insumos!$D$1:$D$996),"")</f>
        <v>7.46</v>
      </c>
      <c r="H2097" s="87">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70</v>
      </c>
      <c r="C2098" s="10" t="s">
        <v>1357</v>
      </c>
      <c r="D2098" s="10" t="s">
        <v>423</v>
      </c>
      <c r="E2098" s="11" t="str">
        <f t="array" ref="E2098">_xlfn.XLOOKUP(D2098,Insumos!B:B,Insumos!C:$C)</f>
        <v>M</v>
      </c>
      <c r="F2098" s="14">
        <f>4.0011*2</f>
        <v>8.0022000000000002</v>
      </c>
      <c r="G2098" s="87">
        <f t="array" ref="G2098">IF(B2098="insumo",_xlfn.XLOOKUP($D2098,Insumos!$B$1:$B$996,Insumos!$D$1:$D$996),"")</f>
        <v>7.98</v>
      </c>
      <c r="H2098" s="87">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70</v>
      </c>
      <c r="C2099" s="10" t="s">
        <v>1357</v>
      </c>
      <c r="D2099" s="10" t="s">
        <v>404</v>
      </c>
      <c r="E2099" s="11" t="str">
        <f t="array" ref="E2099">_xlfn.XLOOKUP(D2099,Insumos!B:B,Insumos!C:$C)</f>
        <v>KG</v>
      </c>
      <c r="F2099" s="14">
        <v>1.0978000000000001</v>
      </c>
      <c r="G2099" s="87">
        <f t="array" ref="G2099">IF(B2099="insumo",_xlfn.XLOOKUP($D2099,Insumos!$B$1:$B$996,Insumos!$D$1:$D$996),"")</f>
        <v>3.43</v>
      </c>
      <c r="H2099" s="87">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70</v>
      </c>
      <c r="C2100" s="10" t="s">
        <v>1357</v>
      </c>
      <c r="D2100" s="10" t="s">
        <v>411</v>
      </c>
      <c r="E2100" s="11" t="str">
        <f t="array" ref="E2100">_xlfn.XLOOKUP(D2100,Insumos!B:B,Insumos!C:$C)</f>
        <v>M</v>
      </c>
      <c r="F2100" s="14">
        <v>2.5026999999999999</v>
      </c>
      <c r="G2100" s="87">
        <f t="array" ref="G2100">IF(B2100="insumo",_xlfn.XLOOKUP($D2100,Insumos!$B$1:$B$996,Insumos!$D$1:$D$996),"")</f>
        <v>0.31</v>
      </c>
      <c r="H2100" s="87">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70</v>
      </c>
      <c r="C2101" s="10" t="s">
        <v>1357</v>
      </c>
      <c r="D2101" s="10" t="s">
        <v>412</v>
      </c>
      <c r="E2101" s="11" t="str">
        <f t="array" ref="E2101">_xlfn.XLOOKUP(D2101,Insumos!B:B,Insumos!C:$C)</f>
        <v>M</v>
      </c>
      <c r="F2101" s="14">
        <v>1.5851</v>
      </c>
      <c r="G2101" s="87">
        <f t="array" ref="G2101">IF(B2101="insumo",_xlfn.XLOOKUP($D2101,Insumos!$B$1:$B$996,Insumos!$D$1:$D$996),"")</f>
        <v>2.74</v>
      </c>
      <c r="H2101" s="87">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70</v>
      </c>
      <c r="C2102" s="10" t="s">
        <v>1357</v>
      </c>
      <c r="D2102" s="10" t="s">
        <v>413</v>
      </c>
      <c r="E2102" s="11" t="str">
        <f t="array" ref="E2102">_xlfn.XLOOKUP(D2102,Insumos!B:B,Insumos!C:$C)</f>
        <v>UN</v>
      </c>
      <c r="F2102" s="14">
        <v>20.186800000000002</v>
      </c>
      <c r="G2102" s="87">
        <f t="array" ref="G2102">IF(B2102="insumo",_xlfn.XLOOKUP($D2102,Insumos!$B$1:$B$996,Insumos!$D$1:$D$996),"")</f>
        <v>0.09</v>
      </c>
      <c r="H2102" s="87">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70</v>
      </c>
      <c r="C2103" s="10" t="s">
        <v>1357</v>
      </c>
      <c r="D2103" s="10" t="s">
        <v>414</v>
      </c>
      <c r="E2103" s="11" t="str">
        <f t="array" ref="E2103">_xlfn.XLOOKUP(D2103,Insumos!B:B,Insumos!C:$C)</f>
        <v>UN</v>
      </c>
      <c r="F2103" s="14">
        <v>0.54410000000000003</v>
      </c>
      <c r="G2103" s="87">
        <f t="array" ref="G2103">IF(B2103="insumo",_xlfn.XLOOKUP($D2103,Insumos!$B$1:$B$996,Insumos!$D$1:$D$996),"")</f>
        <v>0.2</v>
      </c>
      <c r="H2103" s="87">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70</v>
      </c>
      <c r="C2104" s="10" t="s">
        <v>1357</v>
      </c>
      <c r="D2104" s="10" t="s">
        <v>1576</v>
      </c>
      <c r="E2104" s="11" t="str">
        <f t="array" ref="E2104">_xlfn.XLOOKUP(D2104,Insumos!B:B,Insumos!C:$C)</f>
        <v>M2</v>
      </c>
      <c r="F2104" s="14">
        <v>1.1000000000000001</v>
      </c>
      <c r="G2104" s="87">
        <f t="array" ref="G2104">IF(B2104="insumo",_xlfn.XLOOKUP($D2104,Insumos!$B$1:$B$996,Insumos!$D$1:$D$996),"")</f>
        <v>13.019333333333332</v>
      </c>
      <c r="H2104" s="87">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332">
        <v>1</v>
      </c>
      <c r="B2105" s="332" t="s">
        <v>67</v>
      </c>
      <c r="C2105" s="332" t="s">
        <v>1333</v>
      </c>
      <c r="D2105" s="332" t="s">
        <v>1333</v>
      </c>
      <c r="E2105" s="333" t="s">
        <v>69</v>
      </c>
      <c r="F2105" s="332"/>
      <c r="G2105" s="334" t="str">
        <f t="array" ref="G2105">IF(B2105="insumo",_xlfn.XLOOKUP($D2105,Insumos!$B$1:$B$996,Insumos!$D$1:$D$996),"")</f>
        <v/>
      </c>
      <c r="H2105" s="334">
        <v>105.3232385</v>
      </c>
      <c r="I2105" s="335">
        <v>0</v>
      </c>
      <c r="J2105" s="335">
        <v>0</v>
      </c>
      <c r="K2105" s="335"/>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70</v>
      </c>
      <c r="C2106" s="10" t="s">
        <v>1333</v>
      </c>
      <c r="D2106" s="10" t="s">
        <v>406</v>
      </c>
      <c r="E2106" s="11" t="str">
        <f t="array" ref="E2106">_xlfn.XLOOKUP(D2106,Insumos!B:B,Insumos!C:$C)</f>
        <v>M2</v>
      </c>
      <c r="F2106" s="14">
        <v>1</v>
      </c>
      <c r="G2106" s="87">
        <f t="array" ref="G2106">IF(B2106="insumo",_xlfn.XLOOKUP($D2106,Insumos!$B$1:$B$996,Insumos!$D$1:$D$996),"")</f>
        <v>70</v>
      </c>
      <c r="H2106" s="87">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70</v>
      </c>
      <c r="C2107" s="10" t="s">
        <v>1333</v>
      </c>
      <c r="D2107" s="10" t="s">
        <v>417</v>
      </c>
      <c r="E2107" s="11" t="str">
        <f t="array" ref="E2107">_xlfn.XLOOKUP(D2107,Insumos!B:B,Insumos!C:$C)</f>
        <v>M2</v>
      </c>
      <c r="F2107" s="14">
        <v>1.1060000000000001</v>
      </c>
      <c r="G2107" s="87">
        <f t="array" ref="G2107">IF(B2107="insumo",_xlfn.XLOOKUP($D2107,Insumos!$B$1:$B$996,Insumos!$D$1:$D$996),"")</f>
        <v>27.1</v>
      </c>
      <c r="H2107" s="87">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70</v>
      </c>
      <c r="C2108" s="10" t="s">
        <v>1333</v>
      </c>
      <c r="D2108" s="10" t="s">
        <v>404</v>
      </c>
      <c r="E2108" s="11" t="str">
        <f t="array" ref="E2108">_xlfn.XLOOKUP(D2108,Insumos!B:B,Insumos!C:$C)</f>
        <v>KG</v>
      </c>
      <c r="F2108" s="14">
        <f>1.0978/2</f>
        <v>0.54890000000000005</v>
      </c>
      <c r="G2108" s="87">
        <f t="array" ref="G2108">IF(B2108="insumo",_xlfn.XLOOKUP($D2108,Insumos!$B$1:$B$996,Insumos!$D$1:$D$996),"")</f>
        <v>3.43</v>
      </c>
      <c r="H2108" s="87">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70</v>
      </c>
      <c r="C2109" s="10" t="s">
        <v>1333</v>
      </c>
      <c r="D2109" s="10" t="s">
        <v>411</v>
      </c>
      <c r="E2109" s="11" t="str">
        <f t="array" ref="E2109">_xlfn.XLOOKUP(D2109,Insumos!B:B,Insumos!C:$C)</f>
        <v>M</v>
      </c>
      <c r="F2109" s="14">
        <f>2.5027/2</f>
        <v>1.25135</v>
      </c>
      <c r="G2109" s="87">
        <f t="array" ref="G2109">IF(B2109="insumo",_xlfn.XLOOKUP($D2109,Insumos!$B$1:$B$996,Insumos!$D$1:$D$996),"")</f>
        <v>0.31</v>
      </c>
      <c r="H2109" s="87">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70</v>
      </c>
      <c r="C2110" s="10" t="s">
        <v>1333</v>
      </c>
      <c r="D2110" s="10" t="s">
        <v>412</v>
      </c>
      <c r="E2110" s="11" t="str">
        <f t="array" ref="E2110">_xlfn.XLOOKUP(D2110,Insumos!B:B,Insumos!C:$C)</f>
        <v>M</v>
      </c>
      <c r="F2110" s="14">
        <f>1.5851/2</f>
        <v>0.79254999999999998</v>
      </c>
      <c r="G2110" s="87">
        <f t="array" ref="G2110">IF(B2110="insumo",_xlfn.XLOOKUP($D2110,Insumos!$B$1:$B$996,Insumos!$D$1:$D$996),"")</f>
        <v>2.74</v>
      </c>
      <c r="H2110" s="87">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70</v>
      </c>
      <c r="C2111" s="10" t="s">
        <v>1333</v>
      </c>
      <c r="D2111" s="10" t="s">
        <v>413</v>
      </c>
      <c r="E2111" s="11" t="str">
        <f t="array" ref="E2111">_xlfn.XLOOKUP(D2111,Insumos!B:B,Insumos!C:$C)</f>
        <v>UN</v>
      </c>
      <c r="F2111" s="14">
        <f>20.1868/2</f>
        <v>10.093400000000001</v>
      </c>
      <c r="G2111" s="87">
        <f t="array" ref="G2111">IF(B2111="insumo",_xlfn.XLOOKUP($D2111,Insumos!$B$1:$B$996,Insumos!$D$1:$D$996),"")</f>
        <v>0.09</v>
      </c>
      <c r="H2111" s="87">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332">
        <v>1</v>
      </c>
      <c r="B2112" s="332" t="s">
        <v>67</v>
      </c>
      <c r="C2112" s="332" t="s">
        <v>1334</v>
      </c>
      <c r="D2112" s="332" t="s">
        <v>1334</v>
      </c>
      <c r="E2112" s="333" t="s">
        <v>69</v>
      </c>
      <c r="F2112" s="332"/>
      <c r="G2112" s="334" t="str">
        <f t="array" ref="G2112">IF(B2112="insumo",_xlfn.XLOOKUP($D2112,Insumos!$B$1:$B$996,Insumos!$D$1:$D$996),"")</f>
        <v/>
      </c>
      <c r="H2112" s="334">
        <v>97.647598500000001</v>
      </c>
      <c r="I2112" s="335">
        <v>0</v>
      </c>
      <c r="J2112" s="335">
        <v>0</v>
      </c>
      <c r="K2112" s="335"/>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70</v>
      </c>
      <c r="C2113" s="10" t="s">
        <v>1334</v>
      </c>
      <c r="D2113" s="10" t="s">
        <v>406</v>
      </c>
      <c r="E2113" s="11" t="str">
        <f t="array" ref="E2113">_xlfn.XLOOKUP(D2113,Insumos!B:B,Insumos!C:$C)</f>
        <v>M2</v>
      </c>
      <c r="F2113" s="14">
        <v>1</v>
      </c>
      <c r="G2113" s="87">
        <f t="array" ref="G2113">IF(B2113="insumo",_xlfn.XLOOKUP($D2113,Insumos!$B$1:$B$996,Insumos!$D$1:$D$996),"")</f>
        <v>70</v>
      </c>
      <c r="H2113" s="87">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70</v>
      </c>
      <c r="C2114" s="10" t="s">
        <v>1334</v>
      </c>
      <c r="D2114" s="10" t="s">
        <v>407</v>
      </c>
      <c r="E2114" s="11" t="str">
        <f t="array" ref="E2114">_xlfn.XLOOKUP(D2114,Insumos!B:B,Insumos!C:$C)</f>
        <v>M2</v>
      </c>
      <c r="F2114" s="14">
        <v>1.1060000000000001</v>
      </c>
      <c r="G2114" s="87">
        <f t="array" ref="G2114">IF(B2114="insumo",_xlfn.XLOOKUP($D2114,Insumos!$B$1:$B$996,Insumos!$D$1:$D$996),"")</f>
        <v>20.16</v>
      </c>
      <c r="H2114" s="87">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70</v>
      </c>
      <c r="C2115" s="10" t="s">
        <v>1334</v>
      </c>
      <c r="D2115" s="10" t="s">
        <v>404</v>
      </c>
      <c r="E2115" s="11" t="str">
        <f t="array" ref="E2115">_xlfn.XLOOKUP(D2115,Insumos!B:B,Insumos!C:$C)</f>
        <v>KG</v>
      </c>
      <c r="F2115" s="14">
        <f>1.0978/2</f>
        <v>0.54890000000000005</v>
      </c>
      <c r="G2115" s="87">
        <f t="array" ref="G2115">IF(B2115="insumo",_xlfn.XLOOKUP($D2115,Insumos!$B$1:$B$996,Insumos!$D$1:$D$996),"")</f>
        <v>3.43</v>
      </c>
      <c r="H2115" s="87">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70</v>
      </c>
      <c r="C2116" s="10" t="s">
        <v>1334</v>
      </c>
      <c r="D2116" s="10" t="s">
        <v>411</v>
      </c>
      <c r="E2116" s="11" t="str">
        <f t="array" ref="E2116">_xlfn.XLOOKUP(D2116,Insumos!B:B,Insumos!C:$C)</f>
        <v>M</v>
      </c>
      <c r="F2116" s="14">
        <f>2.5027/2</f>
        <v>1.25135</v>
      </c>
      <c r="G2116" s="87">
        <f t="array" ref="G2116">IF(B2116="insumo",_xlfn.XLOOKUP($D2116,Insumos!$B$1:$B$996,Insumos!$D$1:$D$996),"")</f>
        <v>0.31</v>
      </c>
      <c r="H2116" s="87">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70</v>
      </c>
      <c r="C2117" s="10" t="s">
        <v>1334</v>
      </c>
      <c r="D2117" s="10" t="s">
        <v>412</v>
      </c>
      <c r="E2117" s="11" t="str">
        <f t="array" ref="E2117">_xlfn.XLOOKUP(D2117,Insumos!B:B,Insumos!C:$C)</f>
        <v>M</v>
      </c>
      <c r="F2117" s="14">
        <f>1.5851/2</f>
        <v>0.79254999999999998</v>
      </c>
      <c r="G2117" s="87">
        <f t="array" ref="G2117">IF(B2117="insumo",_xlfn.XLOOKUP($D2117,Insumos!$B$1:$B$996,Insumos!$D$1:$D$996),"")</f>
        <v>2.74</v>
      </c>
      <c r="H2117" s="87">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70</v>
      </c>
      <c r="C2118" s="10" t="s">
        <v>1334</v>
      </c>
      <c r="D2118" s="10" t="s">
        <v>413</v>
      </c>
      <c r="E2118" s="11" t="str">
        <f t="array" ref="E2118">_xlfn.XLOOKUP(D2118,Insumos!B:B,Insumos!C:$C)</f>
        <v>UN</v>
      </c>
      <c r="F2118" s="14">
        <f>20.1868/2</f>
        <v>10.093400000000001</v>
      </c>
      <c r="G2118" s="87">
        <f t="array" ref="G2118">IF(B2118="insumo",_xlfn.XLOOKUP($D2118,Insumos!$B$1:$B$996,Insumos!$D$1:$D$996),"")</f>
        <v>0.09</v>
      </c>
      <c r="H2118" s="87">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332">
        <v>1</v>
      </c>
      <c r="B2119" s="332" t="s">
        <v>67</v>
      </c>
      <c r="C2119" s="332" t="s">
        <v>1343</v>
      </c>
      <c r="D2119" s="332" t="s">
        <v>1343</v>
      </c>
      <c r="E2119" s="333" t="s">
        <v>69</v>
      </c>
      <c r="F2119" s="332"/>
      <c r="G2119" s="334" t="str">
        <f t="array" ref="G2119">IF(B2119="insumo",_xlfn.XLOOKUP($D2119,Insumos!$B$1:$B$996,Insumos!$D$1:$D$996),"")</f>
        <v/>
      </c>
      <c r="H2119" s="334">
        <v>97.647598500000001</v>
      </c>
      <c r="I2119" s="335">
        <v>0</v>
      </c>
      <c r="J2119" s="335">
        <v>0</v>
      </c>
      <c r="K2119" s="335"/>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70</v>
      </c>
      <c r="C2120" s="10" t="s">
        <v>1343</v>
      </c>
      <c r="D2120" s="10" t="s">
        <v>406</v>
      </c>
      <c r="E2120" s="11" t="str">
        <f t="array" ref="E2120">_xlfn.XLOOKUP(D2120,Insumos!B:B,Insumos!C:$C)</f>
        <v>M2</v>
      </c>
      <c r="F2120" s="14">
        <v>1</v>
      </c>
      <c r="G2120" s="87">
        <f t="array" ref="G2120">IF(B2120="insumo",_xlfn.XLOOKUP($D2120,Insumos!$B$1:$B$996,Insumos!$D$1:$D$996),"")</f>
        <v>70</v>
      </c>
      <c r="H2120" s="87">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70</v>
      </c>
      <c r="C2121" s="10" t="s">
        <v>1343</v>
      </c>
      <c r="D2121" s="10" t="s">
        <v>407</v>
      </c>
      <c r="E2121" s="11" t="str">
        <f t="array" ref="E2121">_xlfn.XLOOKUP(D2121,Insumos!B:B,Insumos!C:$C)</f>
        <v>M2</v>
      </c>
      <c r="F2121" s="14">
        <v>1.1060000000000001</v>
      </c>
      <c r="G2121" s="87">
        <f t="array" ref="G2121">IF(B2121="insumo",_xlfn.XLOOKUP($D2121,Insumos!$B$1:$B$996,Insumos!$D$1:$D$996),"")</f>
        <v>20.16</v>
      </c>
      <c r="H2121" s="87">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70</v>
      </c>
      <c r="C2122" s="10" t="s">
        <v>1343</v>
      </c>
      <c r="D2122" s="10" t="s">
        <v>404</v>
      </c>
      <c r="E2122" s="11" t="str">
        <f t="array" ref="E2122">_xlfn.XLOOKUP(D2122,Insumos!B:B,Insumos!C:$C)</f>
        <v>KG</v>
      </c>
      <c r="F2122" s="14">
        <f>1.0978/2</f>
        <v>0.54890000000000005</v>
      </c>
      <c r="G2122" s="87">
        <f t="array" ref="G2122">IF(B2122="insumo",_xlfn.XLOOKUP($D2122,Insumos!$B$1:$B$996,Insumos!$D$1:$D$996),"")</f>
        <v>3.43</v>
      </c>
      <c r="H2122" s="87">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70</v>
      </c>
      <c r="C2123" s="10" t="s">
        <v>1343</v>
      </c>
      <c r="D2123" s="10" t="s">
        <v>411</v>
      </c>
      <c r="E2123" s="11" t="str">
        <f t="array" ref="E2123">_xlfn.XLOOKUP(D2123,Insumos!B:B,Insumos!C:$C)</f>
        <v>M</v>
      </c>
      <c r="F2123" s="14">
        <f>2.5027/2</f>
        <v>1.25135</v>
      </c>
      <c r="G2123" s="87">
        <f t="array" ref="G2123">IF(B2123="insumo",_xlfn.XLOOKUP($D2123,Insumos!$B$1:$B$996,Insumos!$D$1:$D$996),"")</f>
        <v>0.31</v>
      </c>
      <c r="H2123" s="87">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70</v>
      </c>
      <c r="C2124" s="10" t="s">
        <v>1343</v>
      </c>
      <c r="D2124" s="10" t="s">
        <v>412</v>
      </c>
      <c r="E2124" s="11" t="str">
        <f t="array" ref="E2124">_xlfn.XLOOKUP(D2124,Insumos!B:B,Insumos!C:$C)</f>
        <v>M</v>
      </c>
      <c r="F2124" s="14">
        <f>1.5851/2</f>
        <v>0.79254999999999998</v>
      </c>
      <c r="G2124" s="87">
        <f t="array" ref="G2124">IF(B2124="insumo",_xlfn.XLOOKUP($D2124,Insumos!$B$1:$B$996,Insumos!$D$1:$D$996),"")</f>
        <v>2.74</v>
      </c>
      <c r="H2124" s="87">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70</v>
      </c>
      <c r="C2125" s="10" t="s">
        <v>1343</v>
      </c>
      <c r="D2125" s="10" t="s">
        <v>413</v>
      </c>
      <c r="E2125" s="11" t="str">
        <f t="array" ref="E2125">_xlfn.XLOOKUP(D2125,Insumos!B:B,Insumos!C:$C)</f>
        <v>UN</v>
      </c>
      <c r="F2125" s="14">
        <f>20.1868/2</f>
        <v>10.093400000000001</v>
      </c>
      <c r="G2125" s="87">
        <f t="array" ref="G2125">IF(B2125="insumo",_xlfn.XLOOKUP($D2125,Insumos!$B$1:$B$996,Insumos!$D$1:$D$996),"")</f>
        <v>0.09</v>
      </c>
      <c r="H2125" s="87">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332">
        <v>1</v>
      </c>
      <c r="B2126" s="332" t="s">
        <v>67</v>
      </c>
      <c r="C2126" s="332" t="s">
        <v>1344</v>
      </c>
      <c r="D2126" s="332" t="s">
        <v>1344</v>
      </c>
      <c r="E2126" s="333" t="s">
        <v>69</v>
      </c>
      <c r="F2126" s="332"/>
      <c r="G2126" s="334" t="str">
        <f t="array" ref="G2126">IF(B2126="insumo",_xlfn.XLOOKUP($D2126,Insumos!$B$1:$B$996,Insumos!$D$1:$D$996),"")</f>
        <v/>
      </c>
      <c r="H2126" s="334">
        <v>105.3232385</v>
      </c>
      <c r="I2126" s="335">
        <v>0</v>
      </c>
      <c r="J2126" s="335">
        <v>0</v>
      </c>
      <c r="K2126" s="335"/>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70</v>
      </c>
      <c r="C2127" s="10" t="s">
        <v>1344</v>
      </c>
      <c r="D2127" s="10" t="s">
        <v>406</v>
      </c>
      <c r="E2127" s="11" t="str">
        <f t="array" ref="E2127">_xlfn.XLOOKUP(D2127,Insumos!B:B,Insumos!C:$C)</f>
        <v>M2</v>
      </c>
      <c r="F2127" s="14">
        <v>1</v>
      </c>
      <c r="G2127" s="87">
        <f t="array" ref="G2127">IF(B2127="insumo",_xlfn.XLOOKUP($D2127,Insumos!$B$1:$B$996,Insumos!$D$1:$D$996),"")</f>
        <v>70</v>
      </c>
      <c r="H2127" s="87">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70</v>
      </c>
      <c r="C2128" s="10" t="s">
        <v>1344</v>
      </c>
      <c r="D2128" s="10" t="s">
        <v>417</v>
      </c>
      <c r="E2128" s="11" t="str">
        <f t="array" ref="E2128">_xlfn.XLOOKUP(D2128,Insumos!B:B,Insumos!C:$C)</f>
        <v>M2</v>
      </c>
      <c r="F2128" s="14">
        <v>1.1060000000000001</v>
      </c>
      <c r="G2128" s="87">
        <f t="array" ref="G2128">IF(B2128="insumo",_xlfn.XLOOKUP($D2128,Insumos!$B$1:$B$996,Insumos!$D$1:$D$996),"")</f>
        <v>27.1</v>
      </c>
      <c r="H2128" s="87">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70</v>
      </c>
      <c r="C2129" s="10" t="s">
        <v>1344</v>
      </c>
      <c r="D2129" s="10" t="s">
        <v>404</v>
      </c>
      <c r="E2129" s="11" t="str">
        <f t="array" ref="E2129">_xlfn.XLOOKUP(D2129,Insumos!B:B,Insumos!C:$C)</f>
        <v>KG</v>
      </c>
      <c r="F2129" s="14">
        <f>1.0978/2</f>
        <v>0.54890000000000005</v>
      </c>
      <c r="G2129" s="87">
        <f t="array" ref="G2129">IF(B2129="insumo",_xlfn.XLOOKUP($D2129,Insumos!$B$1:$B$996,Insumos!$D$1:$D$996),"")</f>
        <v>3.43</v>
      </c>
      <c r="H2129" s="87">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70</v>
      </c>
      <c r="C2130" s="10" t="s">
        <v>1344</v>
      </c>
      <c r="D2130" s="10" t="s">
        <v>411</v>
      </c>
      <c r="E2130" s="11" t="str">
        <f t="array" ref="E2130">_xlfn.XLOOKUP(D2130,Insumos!B:B,Insumos!C:$C)</f>
        <v>M</v>
      </c>
      <c r="F2130" s="14">
        <f>2.5027/2</f>
        <v>1.25135</v>
      </c>
      <c r="G2130" s="87">
        <f t="array" ref="G2130">IF(B2130="insumo",_xlfn.XLOOKUP($D2130,Insumos!$B$1:$B$996,Insumos!$D$1:$D$996),"")</f>
        <v>0.31</v>
      </c>
      <c r="H2130" s="87">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70</v>
      </c>
      <c r="C2131" s="10" t="s">
        <v>1344</v>
      </c>
      <c r="D2131" s="10" t="s">
        <v>412</v>
      </c>
      <c r="E2131" s="11" t="str">
        <f t="array" ref="E2131">_xlfn.XLOOKUP(D2131,Insumos!B:B,Insumos!C:$C)</f>
        <v>M</v>
      </c>
      <c r="F2131" s="14">
        <f>1.5851/2</f>
        <v>0.79254999999999998</v>
      </c>
      <c r="G2131" s="87">
        <f t="array" ref="G2131">IF(B2131="insumo",_xlfn.XLOOKUP($D2131,Insumos!$B$1:$B$996,Insumos!$D$1:$D$996),"")</f>
        <v>2.74</v>
      </c>
      <c r="H2131" s="87">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70</v>
      </c>
      <c r="C2132" s="10" t="s">
        <v>1344</v>
      </c>
      <c r="D2132" s="10" t="s">
        <v>413</v>
      </c>
      <c r="E2132" s="11" t="str">
        <f t="array" ref="E2132">_xlfn.XLOOKUP(D2132,Insumos!B:B,Insumos!C:$C)</f>
        <v>UN</v>
      </c>
      <c r="F2132" s="14">
        <f>20.1868/2</f>
        <v>10.093400000000001</v>
      </c>
      <c r="G2132" s="87">
        <f t="array" ref="G2132">IF(B2132="insumo",_xlfn.XLOOKUP($D2132,Insumos!$B$1:$B$996,Insumos!$D$1:$D$996),"")</f>
        <v>0.09</v>
      </c>
      <c r="H2132" s="87">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332">
        <v>1</v>
      </c>
      <c r="B2133" s="332" t="s">
        <v>67</v>
      </c>
      <c r="C2133" s="332" t="s">
        <v>1350</v>
      </c>
      <c r="D2133" s="332" t="s">
        <v>1350</v>
      </c>
      <c r="E2133" s="333" t="s">
        <v>69</v>
      </c>
      <c r="F2133" s="332"/>
      <c r="G2133" s="334" t="str">
        <f t="array" ref="G2133">IF(B2133="insumo",_xlfn.XLOOKUP($D2133,Insumos!$B$1:$B$996,Insumos!$D$1:$D$996),"")</f>
        <v/>
      </c>
      <c r="H2133" s="334">
        <v>105.3232385</v>
      </c>
      <c r="I2133" s="335">
        <v>0</v>
      </c>
      <c r="J2133" s="335">
        <v>0</v>
      </c>
      <c r="K2133" s="335"/>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70</v>
      </c>
      <c r="C2134" s="10" t="s">
        <v>1350</v>
      </c>
      <c r="D2134" s="10" t="s">
        <v>406</v>
      </c>
      <c r="E2134" s="11" t="str">
        <f t="array" ref="E2134">_xlfn.XLOOKUP(D2134,Insumos!B:B,Insumos!C:$C)</f>
        <v>M2</v>
      </c>
      <c r="F2134" s="14">
        <v>1</v>
      </c>
      <c r="G2134" s="87">
        <f t="array" ref="G2134">IF(B2134="insumo",_xlfn.XLOOKUP($D2134,Insumos!$B$1:$B$996,Insumos!$D$1:$D$996),"")</f>
        <v>70</v>
      </c>
      <c r="H2134" s="87">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70</v>
      </c>
      <c r="C2135" s="10" t="s">
        <v>1350</v>
      </c>
      <c r="D2135" s="10" t="s">
        <v>417</v>
      </c>
      <c r="E2135" s="11" t="str">
        <f t="array" ref="E2135">_xlfn.XLOOKUP(D2135,Insumos!B:B,Insumos!C:$C)</f>
        <v>M2</v>
      </c>
      <c r="F2135" s="14">
        <v>1.1060000000000001</v>
      </c>
      <c r="G2135" s="87">
        <f t="array" ref="G2135">IF(B2135="insumo",_xlfn.XLOOKUP($D2135,Insumos!$B$1:$B$996,Insumos!$D$1:$D$996),"")</f>
        <v>27.1</v>
      </c>
      <c r="H2135" s="87">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70</v>
      </c>
      <c r="C2136" s="10" t="s">
        <v>1350</v>
      </c>
      <c r="D2136" s="10" t="s">
        <v>404</v>
      </c>
      <c r="E2136" s="11" t="str">
        <f t="array" ref="E2136">_xlfn.XLOOKUP(D2136,Insumos!B:B,Insumos!C:$C)</f>
        <v>KG</v>
      </c>
      <c r="F2136" s="14">
        <f>1.0978/2</f>
        <v>0.54890000000000005</v>
      </c>
      <c r="G2136" s="87">
        <f t="array" ref="G2136">IF(B2136="insumo",_xlfn.XLOOKUP($D2136,Insumos!$B$1:$B$996,Insumos!$D$1:$D$996),"")</f>
        <v>3.43</v>
      </c>
      <c r="H2136" s="87">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70</v>
      </c>
      <c r="C2137" s="10" t="s">
        <v>1350</v>
      </c>
      <c r="D2137" s="10" t="s">
        <v>411</v>
      </c>
      <c r="E2137" s="11" t="str">
        <f t="array" ref="E2137">_xlfn.XLOOKUP(D2137,Insumos!B:B,Insumos!C:$C)</f>
        <v>M</v>
      </c>
      <c r="F2137" s="14">
        <f>2.5027/2</f>
        <v>1.25135</v>
      </c>
      <c r="G2137" s="87">
        <f t="array" ref="G2137">IF(B2137="insumo",_xlfn.XLOOKUP($D2137,Insumos!$B$1:$B$996,Insumos!$D$1:$D$996),"")</f>
        <v>0.31</v>
      </c>
      <c r="H2137" s="87">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70</v>
      </c>
      <c r="C2138" s="10" t="s">
        <v>1350</v>
      </c>
      <c r="D2138" s="10" t="s">
        <v>412</v>
      </c>
      <c r="E2138" s="11" t="str">
        <f t="array" ref="E2138">_xlfn.XLOOKUP(D2138,Insumos!B:B,Insumos!C:$C)</f>
        <v>M</v>
      </c>
      <c r="F2138" s="14">
        <f>1.5851/2</f>
        <v>0.79254999999999998</v>
      </c>
      <c r="G2138" s="87">
        <f t="array" ref="G2138">IF(B2138="insumo",_xlfn.XLOOKUP($D2138,Insumos!$B$1:$B$996,Insumos!$D$1:$D$996),"")</f>
        <v>2.74</v>
      </c>
      <c r="H2138" s="87">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70</v>
      </c>
      <c r="C2139" s="10" t="s">
        <v>1350</v>
      </c>
      <c r="D2139" s="10" t="s">
        <v>413</v>
      </c>
      <c r="E2139" s="11" t="str">
        <f t="array" ref="E2139">_xlfn.XLOOKUP(D2139,Insumos!B:B,Insumos!C:$C)</f>
        <v>UN</v>
      </c>
      <c r="F2139" s="14">
        <f>20.1868/2</f>
        <v>10.093400000000001</v>
      </c>
      <c r="G2139" s="87">
        <f t="array" ref="G2139">IF(B2139="insumo",_xlfn.XLOOKUP($D2139,Insumos!$B$1:$B$996,Insumos!$D$1:$D$996),"")</f>
        <v>0.09</v>
      </c>
      <c r="H2139" s="87">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332">
        <v>1</v>
      </c>
      <c r="B2140" s="332" t="s">
        <v>67</v>
      </c>
      <c r="C2140" s="332" t="s">
        <v>428</v>
      </c>
      <c r="D2140" s="332" t="s">
        <v>428</v>
      </c>
      <c r="E2140" s="333" t="s">
        <v>69</v>
      </c>
      <c r="F2140" s="332"/>
      <c r="G2140" s="334" t="str">
        <f t="array" ref="G2140">IF(B2140="insumo",_xlfn.XLOOKUP($D2140,Insumos!$B$1:$B$996,Insumos!$D$1:$D$996),"")</f>
        <v/>
      </c>
      <c r="H2140" s="334">
        <v>14.1115333333333</v>
      </c>
      <c r="I2140" s="335">
        <v>0</v>
      </c>
      <c r="J2140" s="335">
        <v>0</v>
      </c>
      <c r="K2140" s="335"/>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70</v>
      </c>
      <c r="C2141" s="10" t="s">
        <v>428</v>
      </c>
      <c r="D2141" s="10" t="s">
        <v>415</v>
      </c>
      <c r="E2141" s="11" t="str">
        <f t="array" ref="E2141">_xlfn.XLOOKUP(D2141,Insumos!B:B,Insumos!C:$C)</f>
        <v>M2</v>
      </c>
      <c r="F2141" s="14">
        <v>1.1000000000000001</v>
      </c>
      <c r="G2141" s="87">
        <f t="array" ref="G2141">IF(B2141="insumo",_xlfn.XLOOKUP($D2141,Insumos!$B$1:$B$996,Insumos!$D$1:$D$996),"")</f>
        <v>12.828666666666667</v>
      </c>
      <c r="H2141" s="87">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332">
        <v>1</v>
      </c>
      <c r="B2142" s="332" t="s">
        <v>67</v>
      </c>
      <c r="C2142" s="332" t="s">
        <v>429</v>
      </c>
      <c r="D2142" s="332" t="s">
        <v>429</v>
      </c>
      <c r="E2142" s="333" t="s">
        <v>69</v>
      </c>
      <c r="F2142" s="332"/>
      <c r="G2142" s="334" t="str">
        <f t="array" ref="G2142">IF(B2142="insumo",_xlfn.XLOOKUP($D2142,Insumos!$B$1:$B$996,Insumos!$D$1:$D$996),"")</f>
        <v/>
      </c>
      <c r="H2142" s="334">
        <v>142.12333333333299</v>
      </c>
      <c r="I2142" s="335">
        <v>0</v>
      </c>
      <c r="J2142" s="335">
        <v>0</v>
      </c>
      <c r="K2142" s="335"/>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70</v>
      </c>
      <c r="C2143" s="10" t="s">
        <v>429</v>
      </c>
      <c r="D2143" s="10" t="s">
        <v>430</v>
      </c>
      <c r="E2143" s="11" t="str">
        <f t="array" ref="E2143">_xlfn.XLOOKUP(D2143,Insumos!B:B,Insumos!C:$C)</f>
        <v>M2</v>
      </c>
      <c r="F2143" s="14">
        <v>1.05</v>
      </c>
      <c r="G2143" s="87">
        <f t="array" ref="G2143">IF(B2143="insumo",_xlfn.XLOOKUP($D2143,Insumos!$B$1:$B$996,Insumos!$D$1:$D$996),"")</f>
        <v>135.35555555555555</v>
      </c>
      <c r="H2143" s="87">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355">
        <v>1</v>
      </c>
      <c r="B2144" s="355" t="s">
        <v>1227</v>
      </c>
      <c r="C2144" s="355" t="s">
        <v>429</v>
      </c>
      <c r="D2144" s="355" t="s">
        <v>1371</v>
      </c>
      <c r="E2144" s="356"/>
      <c r="F2144" s="357"/>
      <c r="G2144" s="356"/>
      <c r="H2144" s="356">
        <v>0</v>
      </c>
      <c r="I2144" s="357">
        <v>0</v>
      </c>
      <c r="J2144" s="357">
        <v>0</v>
      </c>
      <c r="K2144" s="357"/>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332">
        <v>1</v>
      </c>
      <c r="B2145" s="332" t="s">
        <v>67</v>
      </c>
      <c r="C2145" s="332" t="s">
        <v>431</v>
      </c>
      <c r="D2145" s="332" t="s">
        <v>431</v>
      </c>
      <c r="E2145" s="333" t="s">
        <v>69</v>
      </c>
      <c r="F2145" s="332"/>
      <c r="G2145" s="334" t="str">
        <f t="array" ref="G2145">IF(B2145="insumo",_xlfn.XLOOKUP($D2145,Insumos!$B$1:$B$996,Insumos!$D$1:$D$996),"")</f>
        <v/>
      </c>
      <c r="H2145" s="334">
        <v>47</v>
      </c>
      <c r="I2145" s="335" t="e">
        <v>#REF!</v>
      </c>
      <c r="J2145" s="335" t="e">
        <v>#REF!</v>
      </c>
      <c r="K2145" s="335"/>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70</v>
      </c>
      <c r="C2146" s="10" t="s">
        <v>431</v>
      </c>
      <c r="D2146" s="10" t="s">
        <v>431</v>
      </c>
      <c r="E2146" s="11" t="str">
        <f t="array" ref="E2146">_xlfn.XLOOKUP(D2146,Insumos!B:B,Insumos!C:$C)</f>
        <v>M2</v>
      </c>
      <c r="F2146" s="14">
        <v>1</v>
      </c>
      <c r="G2146" s="87">
        <f t="array" ref="G2146">IF(B2146="insumo",_xlfn.XLOOKUP($D2146,Insumos!$B$1:$B$996,Insumos!$D$1:$D$996),"")</f>
        <v>47</v>
      </c>
      <c r="H2146" s="87">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332">
        <v>1</v>
      </c>
      <c r="B2147" s="332" t="s">
        <v>67</v>
      </c>
      <c r="C2147" s="332" t="s">
        <v>432</v>
      </c>
      <c r="D2147" s="332" t="s">
        <v>432</v>
      </c>
      <c r="E2147" s="333" t="s">
        <v>69</v>
      </c>
      <c r="F2147" s="340"/>
      <c r="G2147" s="334" t="str">
        <f t="array" ref="G2147">IF(B2147="insumo",_xlfn.XLOOKUP($D2147,Insumos!$B$1:$B$996,Insumos!$D$1:$D$996),"")</f>
        <v/>
      </c>
      <c r="H2147" s="334">
        <v>48</v>
      </c>
      <c r="I2147" s="335">
        <v>0</v>
      </c>
      <c r="J2147" s="335">
        <v>0</v>
      </c>
      <c r="K2147" s="335"/>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70</v>
      </c>
      <c r="C2148" s="10" t="s">
        <v>432</v>
      </c>
      <c r="D2148" s="10" t="s">
        <v>432</v>
      </c>
      <c r="E2148" s="11" t="str">
        <f t="array" ref="E2148">_xlfn.XLOOKUP(D2148,Insumos!B:B,Insumos!C:$C)</f>
        <v>UN</v>
      </c>
      <c r="F2148" s="14">
        <v>1</v>
      </c>
      <c r="G2148" s="87">
        <f t="array" ref="G2148">IF(B2148="insumo",_xlfn.XLOOKUP($D2148,Insumos!$B$1:$B$996,Insumos!$D$1:$D$996),"")</f>
        <v>48</v>
      </c>
      <c r="H2148" s="87">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332">
        <v>1</v>
      </c>
      <c r="B2149" s="332" t="s">
        <v>67</v>
      </c>
      <c r="C2149" s="332" t="s">
        <v>433</v>
      </c>
      <c r="D2149" s="332" t="s">
        <v>433</v>
      </c>
      <c r="E2149" s="333" t="s">
        <v>69</v>
      </c>
      <c r="F2149" s="340"/>
      <c r="G2149" s="334" t="str">
        <f t="array" ref="G2149">IF(B2149="insumo",_xlfn.XLOOKUP($D2149,Insumos!$B$1:$B$996,Insumos!$D$1:$D$996),"")</f>
        <v/>
      </c>
      <c r="H2149" s="334">
        <v>47</v>
      </c>
      <c r="I2149" s="335" t="e">
        <v>#REF!</v>
      </c>
      <c r="J2149" s="335" t="e">
        <v>#REF!</v>
      </c>
      <c r="K2149" s="335"/>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70</v>
      </c>
      <c r="C2150" s="10" t="s">
        <v>433</v>
      </c>
      <c r="D2150" s="10" t="s">
        <v>433</v>
      </c>
      <c r="E2150" s="11" t="str">
        <f t="array" ref="E2150">_xlfn.XLOOKUP(D2150,Insumos!B:B,Insumos!C:$C)</f>
        <v>UN</v>
      </c>
      <c r="F2150" s="14">
        <v>1</v>
      </c>
      <c r="G2150" s="87">
        <f t="array" ref="G2150">IF(B2150="insumo",_xlfn.XLOOKUP($D2150,Insumos!$B$1:$B$996,Insumos!$D$1:$D$996),"")</f>
        <v>47</v>
      </c>
      <c r="H2150" s="87">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332">
        <v>1</v>
      </c>
      <c r="B2151" s="332" t="s">
        <v>67</v>
      </c>
      <c r="C2151" s="332" t="s">
        <v>434</v>
      </c>
      <c r="D2151" s="332" t="s">
        <v>434</v>
      </c>
      <c r="E2151" s="333" t="s">
        <v>69</v>
      </c>
      <c r="F2151" s="340"/>
      <c r="G2151" s="334" t="str">
        <f t="array" ref="G2151">IF(B2151="insumo",_xlfn.XLOOKUP($D2151,Insumos!$B$1:$B$996,Insumos!$D$1:$D$996),"")</f>
        <v/>
      </c>
      <c r="H2151" s="334">
        <v>47</v>
      </c>
      <c r="I2151" s="335">
        <v>0</v>
      </c>
      <c r="J2151" s="335">
        <v>0</v>
      </c>
      <c r="K2151" s="335"/>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70</v>
      </c>
      <c r="C2152" s="10" t="s">
        <v>434</v>
      </c>
      <c r="D2152" s="10" t="s">
        <v>434</v>
      </c>
      <c r="E2152" s="11" t="str">
        <f t="array" ref="E2152">_xlfn.XLOOKUP(D2152,Insumos!B:B,Insumos!C:$C)</f>
        <v>UN</v>
      </c>
      <c r="F2152" s="14">
        <v>1</v>
      </c>
      <c r="G2152" s="87">
        <f t="array" ref="G2152">IF(B2152="insumo",_xlfn.XLOOKUP($D2152,Insumos!$B$1:$B$996,Insumos!$D$1:$D$996),"")</f>
        <v>47</v>
      </c>
      <c r="H2152" s="87">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332">
        <v>1</v>
      </c>
      <c r="B2153" s="332" t="s">
        <v>67</v>
      </c>
      <c r="C2153" s="332" t="s">
        <v>2885</v>
      </c>
      <c r="D2153" s="332" t="s">
        <v>2885</v>
      </c>
      <c r="E2153" s="333" t="s">
        <v>69</v>
      </c>
      <c r="F2153" s="332"/>
      <c r="G2153" s="334" t="str">
        <f t="array" ref="G2153">IF(B2153="insumo",_xlfn.XLOOKUP($D2153,Insumos!$B$1:$B$996,Insumos!$D$1:$D$996),"")</f>
        <v/>
      </c>
      <c r="H2153" s="334" t="e">
        <v>#REF!</v>
      </c>
      <c r="I2153" s="335" t="e">
        <v>#REF!</v>
      </c>
      <c r="J2153" s="335" t="e">
        <v>#REF!</v>
      </c>
      <c r="K2153" s="335"/>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70</v>
      </c>
      <c r="C2154" s="10" t="s">
        <v>2885</v>
      </c>
      <c r="D2154" s="10" t="s">
        <v>2885</v>
      </c>
      <c r="E2154" s="11" t="str">
        <f t="array" ref="E2154">_xlfn.XLOOKUP(D2154,Insumos!B:B,Insumos!C:$C)</f>
        <v>M2</v>
      </c>
      <c r="F2154" s="14">
        <v>1</v>
      </c>
      <c r="G2154" s="87" t="e">
        <f t="array" ref="G2154">IF(B2154="insumo",_xlfn.XLOOKUP($D2154,Insumos!$B$1:$B$996,Insumos!$D$1:$D$996),"")</f>
        <v>#REF!</v>
      </c>
      <c r="H2154" s="87"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332">
        <v>1</v>
      </c>
      <c r="B2155" s="332" t="s">
        <v>67</v>
      </c>
      <c r="C2155" s="332" t="s">
        <v>435</v>
      </c>
      <c r="D2155" s="332" t="s">
        <v>435</v>
      </c>
      <c r="E2155" s="333" t="s">
        <v>69</v>
      </c>
      <c r="F2155" s="340"/>
      <c r="G2155" s="334" t="str">
        <f t="array" ref="G2155">IF(B2155="insumo",_xlfn.XLOOKUP($D2155,Insumos!$B$1:$B$996,Insumos!$D$1:$D$996),"")</f>
        <v/>
      </c>
      <c r="H2155" s="334">
        <v>48</v>
      </c>
      <c r="I2155" s="335">
        <v>0</v>
      </c>
      <c r="J2155" s="335">
        <v>0</v>
      </c>
      <c r="K2155" s="335"/>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70</v>
      </c>
      <c r="C2156" s="10" t="s">
        <v>435</v>
      </c>
      <c r="D2156" s="10" t="s">
        <v>435</v>
      </c>
      <c r="E2156" s="11" t="str">
        <f t="array" ref="E2156">_xlfn.XLOOKUP(D2156,Insumos!B:B,Insumos!C:$C)</f>
        <v>UN</v>
      </c>
      <c r="F2156" s="14">
        <v>1</v>
      </c>
      <c r="G2156" s="87">
        <f t="array" ref="G2156">IF(B2156="insumo",_xlfn.XLOOKUP($D2156,Insumos!$B$1:$B$996,Insumos!$D$1:$D$996),"")</f>
        <v>48</v>
      </c>
      <c r="H2156" s="87">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65</v>
      </c>
      <c r="C2157" s="7" t="s">
        <v>435</v>
      </c>
      <c r="D2157" s="7" t="s">
        <v>17</v>
      </c>
      <c r="E2157" s="8"/>
      <c r="F2157" s="9"/>
      <c r="G2157" s="86" t="str">
        <f t="array" ref="G2157">IF(B2157="insumo",_xlfn.XLOOKUP($D2157,Insumos!$B$1:$B$996,Insumos!$D$1:$D$996),"")</f>
        <v/>
      </c>
      <c r="H2157" s="86">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65</v>
      </c>
      <c r="C2158" s="7" t="s">
        <v>435</v>
      </c>
      <c r="D2158" s="7" t="s">
        <v>16</v>
      </c>
      <c r="E2158" s="8"/>
      <c r="F2158" s="9"/>
      <c r="G2158" s="86" t="str">
        <f t="array" ref="G2158">IF(B2158="insumo",_xlfn.XLOOKUP($D2158,Insumos!$B$1:$B$996,Insumos!$D$1:$D$996),"")</f>
        <v/>
      </c>
      <c r="H2158" s="86">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65</v>
      </c>
      <c r="C2159" s="7" t="s">
        <v>435</v>
      </c>
      <c r="D2159" s="7" t="s">
        <v>436</v>
      </c>
      <c r="E2159" s="8"/>
      <c r="F2159" s="9"/>
      <c r="G2159" s="86" t="str">
        <f t="array" ref="G2159">IF(B2159="insumo",_xlfn.XLOOKUP($D2159,Insumos!$B$1:$B$996,Insumos!$D$1:$D$996),"")</f>
        <v/>
      </c>
      <c r="H2159" s="86">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65</v>
      </c>
      <c r="C2160" s="7" t="s">
        <v>435</v>
      </c>
      <c r="D2160" s="7" t="s">
        <v>19</v>
      </c>
      <c r="E2160" s="8"/>
      <c r="F2160" s="9"/>
      <c r="G2160" s="86" t="str">
        <f t="array" ref="G2160">IF(B2160="insumo",_xlfn.XLOOKUP($D2160,Insumos!$B$1:$B$996,Insumos!$D$1:$D$996),"")</f>
        <v/>
      </c>
      <c r="H2160" s="86">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355">
        <v>1</v>
      </c>
      <c r="B2161" s="355" t="s">
        <v>1227</v>
      </c>
      <c r="C2161" s="355" t="s">
        <v>435</v>
      </c>
      <c r="D2161" s="355" t="s">
        <v>8</v>
      </c>
      <c r="E2161" s="356"/>
      <c r="F2161" s="357"/>
      <c r="G2161" s="356"/>
      <c r="H2161" s="356">
        <v>0</v>
      </c>
      <c r="I2161" s="357">
        <v>0</v>
      </c>
      <c r="J2161" s="357">
        <v>0</v>
      </c>
      <c r="K2161" s="357"/>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332">
        <v>1</v>
      </c>
      <c r="B2162" s="332" t="s">
        <v>67</v>
      </c>
      <c r="C2162" s="332" t="s">
        <v>437</v>
      </c>
      <c r="D2162" s="332" t="s">
        <v>437</v>
      </c>
      <c r="E2162" s="333" t="s">
        <v>196</v>
      </c>
      <c r="F2162" s="332"/>
      <c r="G2162" s="334" t="str">
        <f t="array" ref="G2162">IF(B2162="insumo",_xlfn.XLOOKUP($D2162,Insumos!$B$1:$B$996,Insumos!$D$1:$D$996),"")</f>
        <v/>
      </c>
      <c r="H2162" s="334">
        <v>6600</v>
      </c>
      <c r="I2162" s="335">
        <v>0</v>
      </c>
      <c r="J2162" s="335">
        <v>0</v>
      </c>
      <c r="K2162" s="335"/>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70</v>
      </c>
      <c r="C2163" s="10" t="s">
        <v>437</v>
      </c>
      <c r="D2163" s="10" t="s">
        <v>438</v>
      </c>
      <c r="E2163" s="11" t="str">
        <f t="array" ref="E2163">_xlfn.XLOOKUP(D2163,Insumos!B:B,Insumos!C:$C)</f>
        <v>UN</v>
      </c>
      <c r="F2163" s="14">
        <v>1</v>
      </c>
      <c r="G2163" s="87">
        <f t="array" ref="G2163">IF(B2163="insumo",_xlfn.XLOOKUP($D2163,Insumos!$B$1:$B$996,Insumos!$D$1:$D$996),"")</f>
        <v>400</v>
      </c>
      <c r="H2163" s="87">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70</v>
      </c>
      <c r="C2164" s="10" t="s">
        <v>437</v>
      </c>
      <c r="D2164" s="10" t="s">
        <v>437</v>
      </c>
      <c r="E2164" s="11" t="str">
        <f t="array" ref="E2164">_xlfn.XLOOKUP(D2164,Insumos!B:B,Insumos!C:$C)</f>
        <v>UN</v>
      </c>
      <c r="F2164" s="14">
        <v>1</v>
      </c>
      <c r="G2164" s="87">
        <f t="array" ref="G2164">IF(B2164="insumo",_xlfn.XLOOKUP($D2164,Insumos!$B$1:$B$996,Insumos!$D$1:$D$996),"")</f>
        <v>6200</v>
      </c>
      <c r="H2164" s="87">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332">
        <v>1</v>
      </c>
      <c r="B2165" s="332" t="s">
        <v>67</v>
      </c>
      <c r="C2165" s="332" t="s">
        <v>439</v>
      </c>
      <c r="D2165" s="332" t="s">
        <v>439</v>
      </c>
      <c r="E2165" s="333" t="s">
        <v>196</v>
      </c>
      <c r="F2165" s="332"/>
      <c r="G2165" s="334" t="str">
        <f t="array" ref="G2165">IF(B2165="insumo",_xlfn.XLOOKUP($D2165,Insumos!$B$1:$B$996,Insumos!$D$1:$D$996),"")</f>
        <v/>
      </c>
      <c r="H2165" s="334">
        <v>1800</v>
      </c>
      <c r="I2165" s="335">
        <v>42</v>
      </c>
      <c r="J2165" s="335">
        <v>75600</v>
      </c>
      <c r="K2165" s="335"/>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70</v>
      </c>
      <c r="C2166" s="10" t="s">
        <v>439</v>
      </c>
      <c r="D2166" s="10" t="s">
        <v>438</v>
      </c>
      <c r="E2166" s="11" t="str">
        <f t="array" ref="E2166">_xlfn.XLOOKUP(D2166,Insumos!B:B,Insumos!C:$C)</f>
        <v>UN</v>
      </c>
      <c r="F2166" s="14">
        <v>1</v>
      </c>
      <c r="G2166" s="87">
        <f t="array" ref="G2166">IF(B2166="insumo",_xlfn.XLOOKUP($D2166,Insumos!$B$1:$B$996,Insumos!$D$1:$D$996),"")</f>
        <v>400</v>
      </c>
      <c r="H2166" s="87">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70</v>
      </c>
      <c r="C2167" s="10" t="s">
        <v>439</v>
      </c>
      <c r="D2167" s="10" t="s">
        <v>439</v>
      </c>
      <c r="E2167" s="11" t="str">
        <f t="array" ref="E2167">_xlfn.XLOOKUP(D2167,Insumos!B:B,Insumos!C:$C)</f>
        <v>UN</v>
      </c>
      <c r="F2167" s="14">
        <v>1</v>
      </c>
      <c r="G2167" s="87">
        <f t="array" ref="G2167">IF(B2167="insumo",_xlfn.XLOOKUP($D2167,Insumos!$B$1:$B$996,Insumos!$D$1:$D$996),"")</f>
        <v>1400</v>
      </c>
      <c r="H2167" s="87">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65</v>
      </c>
      <c r="C2168" s="7" t="s">
        <v>439</v>
      </c>
      <c r="D2168" s="7" t="s">
        <v>440</v>
      </c>
      <c r="E2168" s="8"/>
      <c r="F2168" s="9"/>
      <c r="G2168" s="86" t="str">
        <f t="array" ref="G2168">IF(B2168="insumo",_xlfn.XLOOKUP($D2168,Insumos!$B$1:$B$996,Insumos!$D$1:$D$996),"")</f>
        <v/>
      </c>
      <c r="H2168" s="86">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355">
        <v>1</v>
      </c>
      <c r="B2169" s="355" t="s">
        <v>1227</v>
      </c>
      <c r="C2169" s="355" t="s">
        <v>439</v>
      </c>
      <c r="D2169" s="355" t="s">
        <v>2057</v>
      </c>
      <c r="E2169" s="356"/>
      <c r="F2169" s="357"/>
      <c r="G2169" s="356"/>
      <c r="H2169" s="356">
        <v>0</v>
      </c>
      <c r="I2169" s="357">
        <v>0</v>
      </c>
      <c r="J2169" s="357">
        <v>0</v>
      </c>
      <c r="K2169" s="357"/>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332">
        <v>1</v>
      </c>
      <c r="B2170" s="332" t="s">
        <v>67</v>
      </c>
      <c r="C2170" s="332" t="s">
        <v>441</v>
      </c>
      <c r="D2170" s="332" t="s">
        <v>441</v>
      </c>
      <c r="E2170" s="333" t="s">
        <v>69</v>
      </c>
      <c r="F2170" s="332"/>
      <c r="G2170" s="334" t="str">
        <f t="array" ref="G2170">IF(B2170="insumo",_xlfn.XLOOKUP($D2170,Insumos!$B$1:$B$996,Insumos!$D$1:$D$996),"")</f>
        <v/>
      </c>
      <c r="H2170" s="334">
        <v>7.0659000000000001</v>
      </c>
      <c r="I2170" s="335">
        <v>3018.39</v>
      </c>
      <c r="J2170" s="335">
        <v>21327.641900999999</v>
      </c>
      <c r="K2170" s="335"/>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70</v>
      </c>
      <c r="C2171" s="10" t="s">
        <v>441</v>
      </c>
      <c r="D2171" s="10" t="s">
        <v>442</v>
      </c>
      <c r="E2171" s="11" t="str">
        <f t="array" ref="E2171">_xlfn.XLOOKUP(D2171,Insumos!B:B,Insumos!C:$C)</f>
        <v>M3</v>
      </c>
      <c r="F2171" s="14">
        <v>1.55E-2</v>
      </c>
      <c r="G2171" s="87">
        <f t="array" ref="G2171">IF(B2171="insumo",_xlfn.XLOOKUP($D2171,Insumos!$B$1:$B$996,Insumos!$D$1:$D$996),"")</f>
        <v>145</v>
      </c>
      <c r="H2171" s="87">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70</v>
      </c>
      <c r="C2172" s="10" t="s">
        <v>441</v>
      </c>
      <c r="D2172" s="10" t="s">
        <v>159</v>
      </c>
      <c r="E2172" s="11" t="str">
        <f t="array" ref="E2172">_xlfn.XLOOKUP(D2172,Insumos!B:B,Insumos!C:$C)</f>
        <v>KG</v>
      </c>
      <c r="F2172" s="14">
        <v>6.34</v>
      </c>
      <c r="G2172" s="87">
        <f t="array" ref="G2172">IF(B2172="insumo",_xlfn.XLOOKUP($D2172,Insumos!$B$1:$B$996,Insumos!$D$1:$D$996),"")</f>
        <v>0.76</v>
      </c>
      <c r="H2172" s="87">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332">
        <v>1</v>
      </c>
      <c r="B2173" s="332" t="s">
        <v>67</v>
      </c>
      <c r="C2173" s="332" t="s">
        <v>443</v>
      </c>
      <c r="D2173" s="332" t="s">
        <v>443</v>
      </c>
      <c r="E2173" s="333" t="s">
        <v>69</v>
      </c>
      <c r="F2173" s="332"/>
      <c r="G2173" s="334" t="str">
        <f t="array" ref="G2173">IF(B2173="insumo",_xlfn.XLOOKUP($D2173,Insumos!$B$1:$B$996,Insumos!$D$1:$D$996),"")</f>
        <v/>
      </c>
      <c r="H2173" s="334">
        <v>49.358499999999999</v>
      </c>
      <c r="I2173" s="335">
        <v>1014.45</v>
      </c>
      <c r="J2173" s="335">
        <v>50071.730324999997</v>
      </c>
      <c r="K2173" s="335"/>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70</v>
      </c>
      <c r="C2174" s="10" t="s">
        <v>443</v>
      </c>
      <c r="D2174" s="10" t="s">
        <v>444</v>
      </c>
      <c r="E2174" s="11" t="str">
        <f t="array" ref="E2174">_xlfn.XLOOKUP(D2174,Insumos!B:B,Insumos!C:$C)</f>
        <v>M3</v>
      </c>
      <c r="F2174" s="14">
        <v>6.25E-2</v>
      </c>
      <c r="G2174" s="87">
        <f t="array" ref="G2174">IF(B2174="insumo",_xlfn.XLOOKUP($D2174,Insumos!$B$1:$B$996,Insumos!$D$1:$D$996),"")</f>
        <v>550</v>
      </c>
      <c r="H2174" s="87">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70</v>
      </c>
      <c r="C2175" s="10" t="s">
        <v>443</v>
      </c>
      <c r="D2175" s="10" t="s">
        <v>445</v>
      </c>
      <c r="E2175" s="11" t="str">
        <f t="array" ref="E2175">_xlfn.XLOOKUP(D2175,Insumos!B:B,Insumos!C:$C)</f>
        <v>M2</v>
      </c>
      <c r="F2175" s="14">
        <v>1.05</v>
      </c>
      <c r="G2175" s="87">
        <f t="array" ref="G2175">IF(B2175="insumo",_xlfn.XLOOKUP($D2175,Insumos!$B$1:$B$996,Insumos!$D$1:$D$996),"")</f>
        <v>14.27</v>
      </c>
      <c r="H2175" s="87">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332">
        <v>1</v>
      </c>
      <c r="B2176" s="332" t="s">
        <v>67</v>
      </c>
      <c r="C2176" s="332" t="s">
        <v>446</v>
      </c>
      <c r="D2176" s="332" t="s">
        <v>446</v>
      </c>
      <c r="E2176" s="333" t="s">
        <v>69</v>
      </c>
      <c r="F2176" s="332"/>
      <c r="G2176" s="334" t="str">
        <f t="array" ref="G2176">IF(B2176="insumo",_xlfn.XLOOKUP($D2176,Insumos!$B$1:$B$996,Insumos!$D$1:$D$996),"")</f>
        <v/>
      </c>
      <c r="H2176" s="334">
        <v>29.16</v>
      </c>
      <c r="I2176" s="335">
        <v>698.85</v>
      </c>
      <c r="J2176" s="335">
        <v>20378.466</v>
      </c>
      <c r="K2176" s="335"/>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70</v>
      </c>
      <c r="C2177" s="10" t="s">
        <v>446</v>
      </c>
      <c r="D2177" s="10" t="s">
        <v>447</v>
      </c>
      <c r="E2177" s="11" t="str">
        <f t="array" ref="E2177">_xlfn.XLOOKUP(D2177,Insumos!B:B,Insumos!C:$C)</f>
        <v>L</v>
      </c>
      <c r="F2177" s="14">
        <v>1.5</v>
      </c>
      <c r="G2177" s="87">
        <f t="array" ref="G2177">IF(B2177="insumo",_xlfn.XLOOKUP($D2177,Insumos!$B$1:$B$996,Insumos!$D$1:$D$996),"")</f>
        <v>19.440000000000001</v>
      </c>
      <c r="H2177" s="87">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332">
        <v>1</v>
      </c>
      <c r="B2178" s="332" t="s">
        <v>67</v>
      </c>
      <c r="C2178" s="332" t="s">
        <v>448</v>
      </c>
      <c r="D2178" s="332" t="s">
        <v>448</v>
      </c>
      <c r="E2178" s="333" t="s">
        <v>69</v>
      </c>
      <c r="F2178" s="332"/>
      <c r="G2178" s="334" t="str">
        <f t="array" ref="G2178">IF(B2178="insumo",_xlfn.XLOOKUP($D2178,Insumos!$B$1:$B$996,Insumos!$D$1:$D$996),"")</f>
        <v/>
      </c>
      <c r="H2178" s="334">
        <v>82.493333333333297</v>
      </c>
      <c r="I2178" s="335">
        <v>0</v>
      </c>
      <c r="J2178" s="335">
        <v>0</v>
      </c>
      <c r="K2178" s="335"/>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70</v>
      </c>
      <c r="C2179" s="10" t="s">
        <v>448</v>
      </c>
      <c r="D2179" s="10" t="s">
        <v>447</v>
      </c>
      <c r="E2179" s="11" t="str">
        <f t="array" ref="E2179">_xlfn.XLOOKUP(D2179,Insumos!B:B,Insumos!C:$C)</f>
        <v>L</v>
      </c>
      <c r="F2179" s="14">
        <v>1.5</v>
      </c>
      <c r="G2179" s="87">
        <f t="array" ref="G2179">IF(B2179="insumo",_xlfn.XLOOKUP($D2179,Insumos!$B$1:$B$996,Insumos!$D$1:$D$996),"")</f>
        <v>19.440000000000001</v>
      </c>
      <c r="H2179" s="87">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70</v>
      </c>
      <c r="C2180" s="10" t="s">
        <v>448</v>
      </c>
      <c r="D2180" s="10" t="s">
        <v>449</v>
      </c>
      <c r="E2180" s="11" t="str">
        <f t="array" ref="E2180">_xlfn.XLOOKUP(D2180,Insumos!B:B,Insumos!C:$C)</f>
        <v>L</v>
      </c>
      <c r="F2180" s="14">
        <v>0.8</v>
      </c>
      <c r="G2180" s="87">
        <f t="array" ref="G2180">IF(B2180="insumo",_xlfn.XLOOKUP($D2180,Insumos!$B$1:$B$996,Insumos!$D$1:$D$996),"")</f>
        <v>66.666666666666671</v>
      </c>
      <c r="H2180" s="87">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332">
        <v>1</v>
      </c>
      <c r="B2181" s="332" t="s">
        <v>67</v>
      </c>
      <c r="C2181" s="332" t="s">
        <v>450</v>
      </c>
      <c r="D2181" s="332" t="s">
        <v>450</v>
      </c>
      <c r="E2181" s="333" t="s">
        <v>69</v>
      </c>
      <c r="F2181" s="332"/>
      <c r="G2181" s="334" t="str">
        <f t="array" ref="G2181">IF(B2181="insumo",_xlfn.XLOOKUP($D2181,Insumos!$B$1:$B$996,Insumos!$D$1:$D$996),"")</f>
        <v/>
      </c>
      <c r="H2181" s="334">
        <v>26.941915384615399</v>
      </c>
      <c r="I2181" s="335">
        <v>0</v>
      </c>
      <c r="J2181" s="335">
        <v>0</v>
      </c>
      <c r="K2181" s="335"/>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70</v>
      </c>
      <c r="C2182" s="10" t="s">
        <v>450</v>
      </c>
      <c r="D2182" s="10" t="s">
        <v>451</v>
      </c>
      <c r="E2182" s="11" t="str">
        <f t="array" ref="E2182">_xlfn.XLOOKUP(D2182,Insumos!B:B,Insumos!C:$C)</f>
        <v>L</v>
      </c>
      <c r="F2182" s="14">
        <v>0.61499999999999999</v>
      </c>
      <c r="G2182" s="87">
        <f t="array" ref="G2182">IF(B2182="insumo",_xlfn.XLOOKUP($D2182,Insumos!$B$1:$B$996,Insumos!$D$1:$D$996),"")</f>
        <v>23.52</v>
      </c>
      <c r="H2182" s="87">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70</v>
      </c>
      <c r="C2183" s="10" t="s">
        <v>450</v>
      </c>
      <c r="D2183" s="10" t="s">
        <v>452</v>
      </c>
      <c r="E2183" s="11" t="str">
        <f t="array" ref="E2183">_xlfn.XLOOKUP(D2183,Insumos!B:B,Insumos!C:$C)</f>
        <v>M2</v>
      </c>
      <c r="F2183" s="14">
        <v>1.125</v>
      </c>
      <c r="G2183" s="87">
        <f t="array" ref="G2183">IF(B2183="insumo",_xlfn.XLOOKUP($D2183,Insumos!$B$1:$B$996,Insumos!$D$1:$D$996),"")</f>
        <v>11.090769230769231</v>
      </c>
      <c r="H2183" s="87">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332">
        <v>1</v>
      </c>
      <c r="B2184" s="332" t="s">
        <v>67</v>
      </c>
      <c r="C2184" s="332" t="s">
        <v>453</v>
      </c>
      <c r="D2184" s="332" t="s">
        <v>453</v>
      </c>
      <c r="E2184" s="333" t="s">
        <v>69</v>
      </c>
      <c r="F2184" s="332"/>
      <c r="G2184" s="334" t="str">
        <f t="array" ref="G2184">IF(B2184="insumo",_xlfn.XLOOKUP($D2184,Insumos!$B$1:$B$996,Insumos!$D$1:$D$996),"")</f>
        <v/>
      </c>
      <c r="H2184" s="334">
        <v>93.237300000000005</v>
      </c>
      <c r="I2184" s="335">
        <v>0</v>
      </c>
      <c r="J2184" s="335">
        <v>0</v>
      </c>
      <c r="K2184" s="335"/>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70</v>
      </c>
      <c r="C2185" s="10" t="s">
        <v>453</v>
      </c>
      <c r="D2185" s="10" t="s">
        <v>451</v>
      </c>
      <c r="E2185" s="11" t="str">
        <f t="array" ref="E2185">_xlfn.XLOOKUP(D2185,Insumos!B:B,Insumos!C:$C)</f>
        <v>L</v>
      </c>
      <c r="F2185" s="14">
        <v>0.61499999999999999</v>
      </c>
      <c r="G2185" s="87">
        <f t="array" ref="G2185">IF(B2185="insumo",_xlfn.XLOOKUP($D2185,Insumos!$B$1:$B$996,Insumos!$D$1:$D$996),"")</f>
        <v>23.52</v>
      </c>
      <c r="H2185" s="87">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70</v>
      </c>
      <c r="C2186" s="10" t="s">
        <v>453</v>
      </c>
      <c r="D2186" s="10" t="s">
        <v>454</v>
      </c>
      <c r="E2186" s="11" t="str">
        <f t="array" ref="E2186">_xlfn.XLOOKUP(D2186,Insumos!B:B,Insumos!C:$C)</f>
        <v>M2</v>
      </c>
      <c r="F2186" s="14">
        <v>1.125</v>
      </c>
      <c r="G2186" s="87">
        <f t="array" ref="G2186">IF(B2186="insumo",_xlfn.XLOOKUP($D2186,Insumos!$B$1:$B$996,Insumos!$D$1:$D$996),"")</f>
        <v>70.02</v>
      </c>
      <c r="H2186" s="87">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332">
        <v>1</v>
      </c>
      <c r="B2187" s="332" t="s">
        <v>67</v>
      </c>
      <c r="C2187" s="332" t="s">
        <v>455</v>
      </c>
      <c r="D2187" s="332" t="s">
        <v>455</v>
      </c>
      <c r="E2187" s="333" t="s">
        <v>69</v>
      </c>
      <c r="F2187" s="332"/>
      <c r="G2187" s="334" t="str">
        <f t="array" ref="G2187">IF(B2187="insumo",_xlfn.XLOOKUP($D2187,Insumos!$B$1:$B$996,Insumos!$D$1:$D$996),"")</f>
        <v/>
      </c>
      <c r="H2187" s="334">
        <v>157.38480000000001</v>
      </c>
      <c r="I2187" s="335">
        <v>0</v>
      </c>
      <c r="J2187" s="335">
        <v>0</v>
      </c>
      <c r="K2187" s="335"/>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70</v>
      </c>
      <c r="C2188" s="10" t="s">
        <v>455</v>
      </c>
      <c r="D2188" s="10" t="s">
        <v>451</v>
      </c>
      <c r="E2188" s="11" t="str">
        <f t="array" ref="E2188">_xlfn.XLOOKUP(D2188,Insumos!B:B,Insumos!C:$C)</f>
        <v>L</v>
      </c>
      <c r="F2188" s="14">
        <v>0.61499999999999999</v>
      </c>
      <c r="G2188" s="87">
        <f t="array" ref="G2188">IF(B2188="insumo",_xlfn.XLOOKUP($D2188,Insumos!$B$1:$B$996,Insumos!$D$1:$D$996),"")</f>
        <v>23.52</v>
      </c>
      <c r="H2188" s="87">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70</v>
      </c>
      <c r="C2189" s="10" t="s">
        <v>455</v>
      </c>
      <c r="D2189" s="10" t="s">
        <v>456</v>
      </c>
      <c r="E2189" s="11" t="str">
        <f t="array" ref="E2189">_xlfn.XLOOKUP(D2189,Insumos!B:B,Insumos!C:$C)</f>
        <v>M2</v>
      </c>
      <c r="F2189" s="14">
        <v>1.125</v>
      </c>
      <c r="G2189" s="87">
        <f t="array" ref="G2189">IF(B2189="insumo",_xlfn.XLOOKUP($D2189,Insumos!$B$1:$B$996,Insumos!$D$1:$D$996),"")</f>
        <v>57.02</v>
      </c>
      <c r="H2189" s="87">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70</v>
      </c>
      <c r="C2190" s="10" t="s">
        <v>455</v>
      </c>
      <c r="D2190" s="10" t="s">
        <v>454</v>
      </c>
      <c r="E2190" s="11" t="str">
        <f t="array" ref="E2190">_xlfn.XLOOKUP(D2190,Insumos!B:B,Insumos!C:$C)</f>
        <v>M2</v>
      </c>
      <c r="F2190" s="14">
        <v>1.125</v>
      </c>
      <c r="G2190" s="87">
        <f t="array" ref="G2190">IF(B2190="insumo",_xlfn.XLOOKUP($D2190,Insumos!$B$1:$B$996,Insumos!$D$1:$D$996),"")</f>
        <v>70.02</v>
      </c>
      <c r="H2190" s="87">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332">
        <v>1</v>
      </c>
      <c r="B2191" s="332" t="s">
        <v>67</v>
      </c>
      <c r="C2191" s="332" t="s">
        <v>457</v>
      </c>
      <c r="D2191" s="332" t="s">
        <v>457</v>
      </c>
      <c r="E2191" s="333" t="s">
        <v>69</v>
      </c>
      <c r="F2191" s="332"/>
      <c r="G2191" s="334" t="str">
        <f t="array" ref="G2191">IF(B2191="insumo",_xlfn.XLOOKUP($D2191,Insumos!$B$1:$B$996,Insumos!$D$1:$D$996),"")</f>
        <v/>
      </c>
      <c r="H2191" s="334">
        <v>57.20355</v>
      </c>
      <c r="I2191" s="335">
        <v>0</v>
      </c>
      <c r="J2191" s="335">
        <v>0</v>
      </c>
      <c r="K2191" s="335"/>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70</v>
      </c>
      <c r="C2192" s="10" t="s">
        <v>457</v>
      </c>
      <c r="D2192" s="10" t="s">
        <v>451</v>
      </c>
      <c r="E2192" s="11" t="str">
        <f t="array" ref="E2192">_xlfn.XLOOKUP(D2192,Insumos!B:B,Insumos!C:$C)</f>
        <v>L</v>
      </c>
      <c r="F2192" s="14">
        <v>0.61499999999999999</v>
      </c>
      <c r="G2192" s="87">
        <f t="array" ref="G2192">IF(B2192="insumo",_xlfn.XLOOKUP($D2192,Insumos!$B$1:$B$996,Insumos!$D$1:$D$996),"")</f>
        <v>23.52</v>
      </c>
      <c r="H2192" s="87">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70</v>
      </c>
      <c r="C2193" s="10" t="s">
        <v>457</v>
      </c>
      <c r="D2193" s="10" t="s">
        <v>458</v>
      </c>
      <c r="E2193" s="11" t="str">
        <f t="array" ref="E2193">_xlfn.XLOOKUP(D2193,Insumos!B:B,Insumos!C:$C)</f>
        <v>M2</v>
      </c>
      <c r="F2193" s="14">
        <v>1.125</v>
      </c>
      <c r="G2193" s="87">
        <f t="array" ref="G2193">IF(B2193="insumo",_xlfn.XLOOKUP($D2193,Insumos!$B$1:$B$996,Insumos!$D$1:$D$996),"")</f>
        <v>37.99</v>
      </c>
      <c r="H2193" s="87">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332">
        <v>1</v>
      </c>
      <c r="B2194" s="332" t="s">
        <v>67</v>
      </c>
      <c r="C2194" s="332" t="s">
        <v>459</v>
      </c>
      <c r="D2194" s="332" t="s">
        <v>459</v>
      </c>
      <c r="E2194" s="333" t="s">
        <v>69</v>
      </c>
      <c r="F2194" s="332"/>
      <c r="G2194" s="334" t="str">
        <f t="array" ref="G2194">IF(B2194="insumo",_xlfn.XLOOKUP($D2194,Insumos!$B$1:$B$996,Insumos!$D$1:$D$996),"")</f>
        <v/>
      </c>
      <c r="H2194" s="334">
        <v>34.825000000000003</v>
      </c>
      <c r="I2194" s="335">
        <v>0</v>
      </c>
      <c r="J2194" s="335">
        <v>0</v>
      </c>
      <c r="K2194" s="335"/>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70</v>
      </c>
      <c r="C2195" s="10" t="s">
        <v>459</v>
      </c>
      <c r="D2195" s="10" t="s">
        <v>460</v>
      </c>
      <c r="E2195" s="11" t="str">
        <f t="array" ref="E2195">_xlfn.XLOOKUP(D2195,Insumos!B:B,Insumos!C:$C)</f>
        <v>KG</v>
      </c>
      <c r="F2195" s="14">
        <f>3*1.05</f>
        <v>3.1500000000000004</v>
      </c>
      <c r="G2195" s="87">
        <f t="array" ref="G2195">IF(B2195="insumo",_xlfn.XLOOKUP($D2195,Insumos!$B$1:$B$996,Insumos!$D$1:$D$996),"")</f>
        <v>11.055555555555555</v>
      </c>
      <c r="H2195" s="87">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332">
        <v>1</v>
      </c>
      <c r="B2196" s="332" t="s">
        <v>67</v>
      </c>
      <c r="C2196" s="332" t="s">
        <v>461</v>
      </c>
      <c r="D2196" s="332" t="s">
        <v>461</v>
      </c>
      <c r="E2196" s="333" t="s">
        <v>69</v>
      </c>
      <c r="F2196" s="332"/>
      <c r="G2196" s="334" t="str">
        <f t="array" ref="G2196">IF(B2196="insumo",_xlfn.XLOOKUP($D2196,Insumos!$B$1:$B$996,Insumos!$D$1:$D$996),"")</f>
        <v/>
      </c>
      <c r="H2196" s="334">
        <v>36.256</v>
      </c>
      <c r="I2196" s="335">
        <v>0</v>
      </c>
      <c r="J2196" s="335">
        <v>0</v>
      </c>
      <c r="K2196" s="335"/>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70</v>
      </c>
      <c r="C2197" s="10" t="s">
        <v>461</v>
      </c>
      <c r="D2197" s="10" t="s">
        <v>462</v>
      </c>
      <c r="E2197" s="11" t="str">
        <f t="array" ref="E2197">_xlfn.XLOOKUP(D2197,Insumos!B:B,Insumos!C:$C)</f>
        <v>KG</v>
      </c>
      <c r="F2197" s="14">
        <v>3.2</v>
      </c>
      <c r="G2197" s="87">
        <f t="array" ref="G2197">IF(B2197="insumo",_xlfn.XLOOKUP($D2197,Insumos!$B$1:$B$996,Insumos!$D$1:$D$996),"")</f>
        <v>11.33</v>
      </c>
      <c r="H2197" s="87">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332">
        <v>1</v>
      </c>
      <c r="B2198" s="332" t="s">
        <v>67</v>
      </c>
      <c r="C2198" s="332" t="s">
        <v>463</v>
      </c>
      <c r="D2198" s="332" t="s">
        <v>463</v>
      </c>
      <c r="E2198" s="333" t="s">
        <v>69</v>
      </c>
      <c r="F2198" s="332"/>
      <c r="G2198" s="334" t="str">
        <f t="array" ref="G2198">IF(B2198="insumo",_xlfn.XLOOKUP($D2198,Insumos!$B$1:$B$996,Insumos!$D$1:$D$996),"")</f>
        <v/>
      </c>
      <c r="H2198" s="334">
        <v>62.9226666666667</v>
      </c>
      <c r="I2198" s="335">
        <v>0</v>
      </c>
      <c r="J2198" s="335">
        <v>0</v>
      </c>
      <c r="K2198" s="335"/>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70</v>
      </c>
      <c r="C2199" s="10" t="s">
        <v>463</v>
      </c>
      <c r="D2199" s="10" t="s">
        <v>462</v>
      </c>
      <c r="E2199" s="11" t="str">
        <f t="array" ref="E2199">_xlfn.XLOOKUP(D2199,Insumos!B:B,Insumos!C:$C)</f>
        <v>KG</v>
      </c>
      <c r="F2199" s="14">
        <v>3.2</v>
      </c>
      <c r="G2199" s="87">
        <f t="array" ref="G2199">IF(B2199="insumo",_xlfn.XLOOKUP($D2199,Insumos!$B$1:$B$996,Insumos!$D$1:$D$996),"")</f>
        <v>11.33</v>
      </c>
      <c r="H2199" s="87">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70</v>
      </c>
      <c r="C2200" s="10" t="s">
        <v>463</v>
      </c>
      <c r="D2200" s="10" t="s">
        <v>449</v>
      </c>
      <c r="E2200" s="11" t="str">
        <f t="array" ref="E2200">_xlfn.XLOOKUP(D2200,Insumos!B:B,Insumos!C:$C)</f>
        <v>L</v>
      </c>
      <c r="F2200" s="14">
        <v>0.4</v>
      </c>
      <c r="G2200" s="87">
        <f t="array" ref="G2200">IF(B2200="insumo",_xlfn.XLOOKUP($D2200,Insumos!$B$1:$B$996,Insumos!$D$1:$D$996),"")</f>
        <v>66.666666666666671</v>
      </c>
      <c r="H2200" s="87">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332">
        <v>1</v>
      </c>
      <c r="B2201" s="332" t="s">
        <v>67</v>
      </c>
      <c r="C2201" s="332" t="s">
        <v>464</v>
      </c>
      <c r="D2201" s="332" t="s">
        <v>464</v>
      </c>
      <c r="E2201" s="333" t="s">
        <v>69</v>
      </c>
      <c r="F2201" s="332"/>
      <c r="G2201" s="334" t="str">
        <f t="array" ref="G2201">IF(B2201="insumo",_xlfn.XLOOKUP($D2201,Insumos!$B$1:$B$996,Insumos!$D$1:$D$996),"")</f>
        <v/>
      </c>
      <c r="H2201" s="334">
        <v>35.133333333333297</v>
      </c>
      <c r="I2201" s="335">
        <v>0</v>
      </c>
      <c r="J2201" s="335">
        <v>0</v>
      </c>
      <c r="K2201" s="335"/>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70</v>
      </c>
      <c r="C2202" s="10" t="s">
        <v>464</v>
      </c>
      <c r="D2202" s="10" t="s">
        <v>465</v>
      </c>
      <c r="E2202" s="11" t="str">
        <f t="array" ref="E2202">_xlfn.XLOOKUP(D2202,Insumos!B:B,Insumos!C:$C)</f>
        <v>KG</v>
      </c>
      <c r="F2202" s="14">
        <v>1.2</v>
      </c>
      <c r="G2202" s="87">
        <f t="array" ref="G2202">IF(B2202="insumo",_xlfn.XLOOKUP($D2202,Insumos!$B$1:$B$996,Insumos!$D$1:$D$996),"")</f>
        <v>29.277777777777779</v>
      </c>
      <c r="H2202" s="87">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332">
        <v>1</v>
      </c>
      <c r="B2203" s="332" t="s">
        <v>67</v>
      </c>
      <c r="C2203" s="332" t="s">
        <v>466</v>
      </c>
      <c r="D2203" s="332" t="s">
        <v>466</v>
      </c>
      <c r="E2203" s="333" t="s">
        <v>69</v>
      </c>
      <c r="F2203" s="332"/>
      <c r="G2203" s="334" t="str">
        <f t="array" ref="G2203">IF(B2203="insumo",_xlfn.XLOOKUP($D2203,Insumos!$B$1:$B$996,Insumos!$D$1:$D$996),"")</f>
        <v/>
      </c>
      <c r="H2203" s="334">
        <v>40.17</v>
      </c>
      <c r="I2203" s="335">
        <v>0</v>
      </c>
      <c r="J2203" s="335">
        <v>0</v>
      </c>
      <c r="K2203" s="335"/>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70</v>
      </c>
      <c r="C2204" s="10" t="s">
        <v>466</v>
      </c>
      <c r="D2204" s="10" t="s">
        <v>467</v>
      </c>
      <c r="E2204" s="11" t="str">
        <f t="array" ref="E2204">_xlfn.XLOOKUP(D2204,Insumos!B:B,Insumos!C:$C)</f>
        <v>KG</v>
      </c>
      <c r="F2204" s="14">
        <v>1.56</v>
      </c>
      <c r="G2204" s="87">
        <f t="array" ref="G2204">IF(B2204="insumo",_xlfn.XLOOKUP($D2204,Insumos!$B$1:$B$996,Insumos!$D$1:$D$996),"")</f>
        <v>25.75</v>
      </c>
      <c r="H2204" s="87">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332">
        <v>1</v>
      </c>
      <c r="B2205" s="332" t="s">
        <v>67</v>
      </c>
      <c r="C2205" s="332" t="s">
        <v>1616</v>
      </c>
      <c r="D2205" s="332" t="s">
        <v>1616</v>
      </c>
      <c r="E2205" s="333" t="s">
        <v>196</v>
      </c>
      <c r="F2205" s="332"/>
      <c r="G2205" s="334" t="str">
        <f t="array" ref="G2205">IF(B2205="insumo",_xlfn.XLOOKUP($D2205,Insumos!$B$1:$B$996,Insumos!$D$1:$D$996),"")</f>
        <v/>
      </c>
      <c r="H2205" s="334">
        <v>8.7600149999999992</v>
      </c>
      <c r="I2205" s="335">
        <v>675</v>
      </c>
      <c r="J2205" s="335">
        <v>5913.0101249999998</v>
      </c>
      <c r="K2205" s="335"/>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70</v>
      </c>
      <c r="C2206" s="10" t="s">
        <v>1616</v>
      </c>
      <c r="D2206" s="10" t="s">
        <v>462</v>
      </c>
      <c r="E2206" s="11" t="str">
        <f t="array" ref="E2206">_xlfn.XLOOKUP(D2206,Insumos!B:B,Insumos!C:$C)</f>
        <v>KG</v>
      </c>
      <c r="F2206" s="14">
        <v>0.73850000000000005</v>
      </c>
      <c r="G2206" s="87">
        <f t="array" ref="G2206">IF(B2206="insumo",_xlfn.XLOOKUP($D2206,Insumos!$B$1:$B$996,Insumos!$D$1:$D$996),"")</f>
        <v>11.33</v>
      </c>
      <c r="H2206" s="87">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70</v>
      </c>
      <c r="C2207" s="10" t="s">
        <v>1616</v>
      </c>
      <c r="D2207" s="10" t="s">
        <v>468</v>
      </c>
      <c r="E2207" s="11" t="str">
        <f t="array" ref="E2207">_xlfn.XLOOKUP(D2207,Insumos!B:B,Insumos!C:$C)</f>
        <v>M2</v>
      </c>
      <c r="F2207" s="14">
        <v>0.35709999999999997</v>
      </c>
      <c r="G2207" s="87">
        <f t="array" ref="G2207">IF(B2207="insumo",_xlfn.XLOOKUP($D2207,Insumos!$B$1:$B$996,Insumos!$D$1:$D$996),"")</f>
        <v>1.1000000000000001</v>
      </c>
      <c r="H2207" s="87">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332">
        <v>1</v>
      </c>
      <c r="B2208" s="332" t="s">
        <v>67</v>
      </c>
      <c r="C2208" s="332" t="s">
        <v>1595</v>
      </c>
      <c r="D2208" s="332" t="s">
        <v>1595</v>
      </c>
      <c r="E2208" s="333" t="s">
        <v>196</v>
      </c>
      <c r="F2208" s="332"/>
      <c r="G2208" s="334" t="str">
        <f t="array" ref="G2208">IF(B2208="insumo",_xlfn.XLOOKUP($D2208,Insumos!$B$1:$B$996,Insumos!$D$1:$D$996),"")</f>
        <v/>
      </c>
      <c r="H2208" s="334">
        <v>27.5</v>
      </c>
      <c r="I2208" s="335">
        <v>0</v>
      </c>
      <c r="J2208" s="335">
        <v>0</v>
      </c>
      <c r="K2208" s="335"/>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70</v>
      </c>
      <c r="C2209" s="10" t="s">
        <v>1595</v>
      </c>
      <c r="D2209" s="10" t="s">
        <v>1596</v>
      </c>
      <c r="E2209" s="11" t="str">
        <f t="array" ref="E2209">_xlfn.XLOOKUP(D2209,Insumos!B:B,Insumos!C:$C)</f>
        <v>KG</v>
      </c>
      <c r="F2209" s="14">
        <v>0.55000000000000004</v>
      </c>
      <c r="G2209" s="87">
        <f t="array" ref="G2209">IF(B2209="insumo",_xlfn.XLOOKUP($D2209,Insumos!$B$1:$B$996,Insumos!$D$1:$D$996),"")</f>
        <v>50</v>
      </c>
      <c r="H2209" s="87">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332">
        <v>1</v>
      </c>
      <c r="B2210" s="332" t="s">
        <v>67</v>
      </c>
      <c r="C2210" s="332" t="s">
        <v>1603</v>
      </c>
      <c r="D2210" s="332" t="s">
        <v>1603</v>
      </c>
      <c r="E2210" s="333" t="s">
        <v>196</v>
      </c>
      <c r="F2210" s="332"/>
      <c r="G2210" s="334" t="str">
        <f t="array" ref="G2210">IF(B2210="insumo",_xlfn.XLOOKUP($D2210,Insumos!$B$1:$B$996,Insumos!$D$1:$D$996),"")</f>
        <v/>
      </c>
      <c r="H2210" s="334">
        <v>65</v>
      </c>
      <c r="I2210" s="335">
        <v>0</v>
      </c>
      <c r="J2210" s="335">
        <v>0</v>
      </c>
      <c r="K2210" s="335"/>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70</v>
      </c>
      <c r="C2211" s="10" t="s">
        <v>1603</v>
      </c>
      <c r="D2211" s="10" t="s">
        <v>1602</v>
      </c>
      <c r="E2211" s="11" t="str">
        <f t="array" ref="E2211">_xlfn.XLOOKUP(D2211,Insumos!B:B,Insumos!C:$C)</f>
        <v>KG</v>
      </c>
      <c r="F2211" s="14">
        <v>0.2</v>
      </c>
      <c r="G2211" s="87">
        <f t="array" ref="G2211">IF(B2211="insumo",_xlfn.XLOOKUP($D2211,Insumos!$B$1:$B$996,Insumos!$D$1:$D$996),"")</f>
        <v>325</v>
      </c>
      <c r="H2211" s="87">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336">
        <v>1</v>
      </c>
      <c r="B2212" s="336" t="s">
        <v>67</v>
      </c>
      <c r="C2212" s="336" t="s">
        <v>1619</v>
      </c>
      <c r="D2212" s="336" t="s">
        <v>1619</v>
      </c>
      <c r="E2212" s="337" t="s">
        <v>69</v>
      </c>
      <c r="F2212" s="336"/>
      <c r="G2212" s="338" t="str">
        <f t="array" ref="G2212">IF(B2212="insumo",_xlfn.XLOOKUP($D2212,Insumos!$B$1:$B$996,Insumos!$D$1:$D$996),"")</f>
        <v/>
      </c>
      <c r="H2212" s="338">
        <v>66</v>
      </c>
      <c r="I2212" s="339">
        <v>0</v>
      </c>
      <c r="J2212" s="339">
        <v>0</v>
      </c>
      <c r="K2212" s="339"/>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77">
        <v>2</v>
      </c>
      <c r="B2213" s="77" t="s">
        <v>70</v>
      </c>
      <c r="C2213" s="77" t="s">
        <v>1619</v>
      </c>
      <c r="D2213" s="77" t="s">
        <v>1620</v>
      </c>
      <c r="E2213" s="11" t="str">
        <f t="array" ref="E2213">_xlfn.XLOOKUP(D2213,Insumos!B:B,Insumos!C:$C)</f>
        <v>KG</v>
      </c>
      <c r="F2213" s="81">
        <v>3</v>
      </c>
      <c r="G2213" s="87">
        <f t="array" ref="G2213">IF(B2213="insumo",_xlfn.XLOOKUP($D2213,Insumos!$B$1:$B$996,Insumos!$D$1:$D$996),"")</f>
        <v>22</v>
      </c>
      <c r="H2213" s="87">
        <v>66</v>
      </c>
      <c r="I2213" s="79">
        <v>0</v>
      </c>
      <c r="J2213" s="79">
        <v>0</v>
      </c>
      <c r="K2213" s="79"/>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336">
        <v>1</v>
      </c>
      <c r="B2214" s="336" t="s">
        <v>67</v>
      </c>
      <c r="C2214" s="336" t="s">
        <v>1621</v>
      </c>
      <c r="D2214" s="336" t="s">
        <v>1621</v>
      </c>
      <c r="E2214" s="337" t="s">
        <v>69</v>
      </c>
      <c r="F2214" s="336"/>
      <c r="G2214" s="338" t="str">
        <f t="array" ref="G2214">IF(B2214="insumo",_xlfn.XLOOKUP($D2214,Insumos!$B$1:$B$996,Insumos!$D$1:$D$996),"")</f>
        <v/>
      </c>
      <c r="H2214" s="338">
        <v>75</v>
      </c>
      <c r="I2214" s="339">
        <v>0</v>
      </c>
      <c r="J2214" s="339">
        <v>0</v>
      </c>
      <c r="K2214" s="339"/>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77">
        <v>1</v>
      </c>
      <c r="B2215" s="77" t="s">
        <v>70</v>
      </c>
      <c r="C2215" s="77" t="s">
        <v>1621</v>
      </c>
      <c r="D2215" s="77" t="s">
        <v>1622</v>
      </c>
      <c r="E2215" s="11" t="str">
        <f t="array" ref="E2215">_xlfn.XLOOKUP(D2215,Insumos!B:B,Insumos!C:$C)</f>
        <v>KG</v>
      </c>
      <c r="F2215" s="81">
        <v>3</v>
      </c>
      <c r="G2215" s="87">
        <f t="array" ref="G2215">IF(B2215="insumo",_xlfn.XLOOKUP($D2215,Insumos!$B$1:$B$996,Insumos!$D$1:$D$996),"")</f>
        <v>25</v>
      </c>
      <c r="H2215" s="87">
        <v>75</v>
      </c>
      <c r="I2215" s="79">
        <v>0</v>
      </c>
      <c r="J2215" s="79">
        <v>0</v>
      </c>
      <c r="K2215" s="79"/>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336">
        <v>1</v>
      </c>
      <c r="B2216" s="336" t="s">
        <v>67</v>
      </c>
      <c r="C2216" s="336" t="s">
        <v>1623</v>
      </c>
      <c r="D2216" s="336" t="s">
        <v>1623</v>
      </c>
      <c r="E2216" s="337" t="s">
        <v>69</v>
      </c>
      <c r="F2216" s="336"/>
      <c r="G2216" s="338" t="str">
        <f t="array" ref="G2216">IF(B2216="insumo",_xlfn.XLOOKUP($D2216,Insumos!$B$1:$B$996,Insumos!$D$1:$D$996),"")</f>
        <v/>
      </c>
      <c r="H2216" s="338">
        <v>108</v>
      </c>
      <c r="I2216" s="339">
        <v>0</v>
      </c>
      <c r="J2216" s="339">
        <v>0</v>
      </c>
      <c r="K2216" s="339"/>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77">
        <v>3</v>
      </c>
      <c r="B2217" s="77" t="s">
        <v>70</v>
      </c>
      <c r="C2217" s="77" t="s">
        <v>1623</v>
      </c>
      <c r="D2217" s="77" t="s">
        <v>1624</v>
      </c>
      <c r="E2217" s="11" t="str">
        <f t="array" ref="E2217">_xlfn.XLOOKUP(D2217,Insumos!B:B,Insumos!C:$C)</f>
        <v>KG</v>
      </c>
      <c r="F2217" s="81">
        <v>3</v>
      </c>
      <c r="G2217" s="87">
        <f t="array" ref="G2217">IF(B2217="insumo",_xlfn.XLOOKUP($D2217,Insumos!$B$1:$B$996,Insumos!$D$1:$D$996),"")</f>
        <v>30</v>
      </c>
      <c r="H2217" s="87">
        <v>90</v>
      </c>
      <c r="I2217" s="79">
        <v>0</v>
      </c>
      <c r="J2217" s="79">
        <v>0</v>
      </c>
      <c r="K2217" s="79"/>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77">
        <v>7</v>
      </c>
      <c r="B2218" s="77" t="s">
        <v>70</v>
      </c>
      <c r="C2218" s="77" t="s">
        <v>1623</v>
      </c>
      <c r="D2218" s="77" t="s">
        <v>1625</v>
      </c>
      <c r="E2218" s="11" t="str">
        <f t="array" ref="E2218">_xlfn.XLOOKUP(D2218,Insumos!B:B,Insumos!C:$C)</f>
        <v>KG</v>
      </c>
      <c r="F2218" s="81">
        <v>2</v>
      </c>
      <c r="G2218" s="87">
        <f t="array" ref="G2218">IF(B2218="insumo",_xlfn.XLOOKUP($D2218,Insumos!$B$1:$B$996,Insumos!$D$1:$D$996),"")</f>
        <v>9</v>
      </c>
      <c r="H2218" s="87">
        <v>18</v>
      </c>
      <c r="I2218" s="79">
        <v>0</v>
      </c>
      <c r="J2218" s="79">
        <v>0</v>
      </c>
      <c r="K2218" s="79"/>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336">
        <v>1</v>
      </c>
      <c r="B2219" s="336" t="s">
        <v>67</v>
      </c>
      <c r="C2219" s="336" t="s">
        <v>1626</v>
      </c>
      <c r="D2219" s="336" t="s">
        <v>1626</v>
      </c>
      <c r="E2219" s="337" t="s">
        <v>69</v>
      </c>
      <c r="F2219" s="336"/>
      <c r="G2219" s="338" t="str">
        <f t="array" ref="G2219">IF(B2219="insumo",_xlfn.XLOOKUP($D2219,Insumos!$B$1:$B$996,Insumos!$D$1:$D$996),"")</f>
        <v/>
      </c>
      <c r="H2219" s="338">
        <v>29.6666666666667</v>
      </c>
      <c r="I2219" s="339">
        <v>0</v>
      </c>
      <c r="J2219" s="339">
        <v>0</v>
      </c>
      <c r="K2219" s="339"/>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77">
        <v>2</v>
      </c>
      <c r="B2220" s="77" t="s">
        <v>70</v>
      </c>
      <c r="C2220" s="77" t="s">
        <v>1626</v>
      </c>
      <c r="D2220" s="77" t="s">
        <v>1627</v>
      </c>
      <c r="E2220" s="11" t="str">
        <f t="array" ref="E2220">_xlfn.XLOOKUP(D2220,Insumos!B:B,Insumos!C:$C)</f>
        <v>KG</v>
      </c>
      <c r="F2220" s="81">
        <v>3</v>
      </c>
      <c r="G2220" s="87">
        <f t="array" ref="G2220">IF(B2220="insumo",_xlfn.XLOOKUP($D2220,Insumos!$B$1:$B$996,Insumos!$D$1:$D$996),"")</f>
        <v>9.8888888888888893</v>
      </c>
      <c r="H2220" s="87">
        <v>29.6666666666667</v>
      </c>
      <c r="I2220" s="79">
        <v>0</v>
      </c>
      <c r="J2220" s="79">
        <v>0</v>
      </c>
      <c r="K2220" s="79"/>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336">
        <v>1</v>
      </c>
      <c r="B2221" s="336" t="s">
        <v>67</v>
      </c>
      <c r="C2221" s="336" t="s">
        <v>1628</v>
      </c>
      <c r="D2221" s="336" t="s">
        <v>1628</v>
      </c>
      <c r="E2221" s="337" t="s">
        <v>69</v>
      </c>
      <c r="F2221" s="336"/>
      <c r="G2221" s="338" t="str">
        <f t="array" ref="G2221">IF(B2221="insumo",_xlfn.XLOOKUP($D2221,Insumos!$B$1:$B$996,Insumos!$D$1:$D$996),"")</f>
        <v/>
      </c>
      <c r="H2221" s="338">
        <v>95.6666666666667</v>
      </c>
      <c r="I2221" s="339">
        <v>0</v>
      </c>
      <c r="J2221" s="339">
        <v>0</v>
      </c>
      <c r="K2221" s="339"/>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77">
        <v>1</v>
      </c>
      <c r="B2222" s="77" t="s">
        <v>70</v>
      </c>
      <c r="C2222" s="77" t="s">
        <v>1628</v>
      </c>
      <c r="D2222" s="77" t="s">
        <v>1629</v>
      </c>
      <c r="E2222" s="11" t="str">
        <f t="array" ref="E2222">_xlfn.XLOOKUP(D2222,Insumos!B:B,Insumos!C:$C)</f>
        <v>KG</v>
      </c>
      <c r="F2222" s="81">
        <v>3</v>
      </c>
      <c r="G2222" s="87">
        <f t="array" ref="G2222">IF(B2222="insumo",_xlfn.XLOOKUP($D2222,Insumos!$B$1:$B$996,Insumos!$D$1:$D$996),"")</f>
        <v>9.8888888888888893</v>
      </c>
      <c r="H2222" s="87">
        <v>29.6666666666667</v>
      </c>
      <c r="I2222" s="79">
        <v>0</v>
      </c>
      <c r="J2222" s="79">
        <v>0</v>
      </c>
      <c r="K2222" s="79"/>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77">
        <v>2</v>
      </c>
      <c r="B2223" s="77" t="s">
        <v>70</v>
      </c>
      <c r="C2223" s="77" t="s">
        <v>1628</v>
      </c>
      <c r="D2223" s="77" t="s">
        <v>1630</v>
      </c>
      <c r="E2223" s="11" t="str">
        <f t="array" ref="E2223">_xlfn.XLOOKUP(D2223,Insumos!B:B,Insumos!C:$C)</f>
        <v>KG</v>
      </c>
      <c r="F2223" s="81">
        <v>3</v>
      </c>
      <c r="G2223" s="87">
        <f t="array" ref="G2223">IF(B2223="insumo",_xlfn.XLOOKUP($D2223,Insumos!$B$1:$B$996,Insumos!$D$1:$D$996),"")</f>
        <v>22</v>
      </c>
      <c r="H2223" s="87">
        <v>66</v>
      </c>
      <c r="I2223" s="79">
        <v>0</v>
      </c>
      <c r="J2223" s="79">
        <v>0</v>
      </c>
      <c r="K2223" s="79"/>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336">
        <v>1</v>
      </c>
      <c r="B2224" s="336" t="s">
        <v>67</v>
      </c>
      <c r="C2224" s="336" t="s">
        <v>1631</v>
      </c>
      <c r="D2224" s="336" t="s">
        <v>1631</v>
      </c>
      <c r="E2224" s="337" t="s">
        <v>69</v>
      </c>
      <c r="F2224" s="336"/>
      <c r="G2224" s="338" t="str">
        <f t="array" ref="G2224">IF(B2224="insumo",_xlfn.XLOOKUP($D2224,Insumos!$B$1:$B$996,Insumos!$D$1:$D$996),"")</f>
        <v/>
      </c>
      <c r="H2224" s="338">
        <v>39.5555555555556</v>
      </c>
      <c r="I2224" s="339">
        <v>0</v>
      </c>
      <c r="J2224" s="339">
        <v>0</v>
      </c>
      <c r="K2224" s="339"/>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77">
        <v>2</v>
      </c>
      <c r="B2225" s="77" t="s">
        <v>70</v>
      </c>
      <c r="C2225" s="77" t="s">
        <v>1631</v>
      </c>
      <c r="D2225" s="77" t="s">
        <v>1627</v>
      </c>
      <c r="E2225" s="11" t="str">
        <f t="array" ref="E2225">_xlfn.XLOOKUP(D2225,Insumos!B:B,Insumos!C:$C)</f>
        <v>KG</v>
      </c>
      <c r="F2225" s="81">
        <v>4</v>
      </c>
      <c r="G2225" s="87">
        <f t="array" ref="G2225">IF(B2225="insumo",_xlfn.XLOOKUP($D2225,Insumos!$B$1:$B$996,Insumos!$D$1:$D$996),"")</f>
        <v>9.8888888888888893</v>
      </c>
      <c r="H2225" s="87">
        <v>39.5555555555556</v>
      </c>
      <c r="I2225" s="79">
        <v>0</v>
      </c>
      <c r="J2225" s="79">
        <v>0</v>
      </c>
      <c r="K2225" s="79"/>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336">
        <v>1</v>
      </c>
      <c r="B2226" s="336" t="s">
        <v>67</v>
      </c>
      <c r="C2226" s="336" t="s">
        <v>1632</v>
      </c>
      <c r="D2226" s="336" t="s">
        <v>1632</v>
      </c>
      <c r="E2226" s="337" t="s">
        <v>69</v>
      </c>
      <c r="F2226" s="336"/>
      <c r="G2226" s="338" t="str">
        <f t="array" ref="G2226">IF(B2226="insumo",_xlfn.XLOOKUP($D2226,Insumos!$B$1:$B$996,Insumos!$D$1:$D$996),"")</f>
        <v/>
      </c>
      <c r="H2226" s="338">
        <v>39.5555555555556</v>
      </c>
      <c r="I2226" s="339">
        <v>0</v>
      </c>
      <c r="J2226" s="339">
        <v>0</v>
      </c>
      <c r="K2226" s="339"/>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77">
        <v>1</v>
      </c>
      <c r="B2227" s="77" t="s">
        <v>70</v>
      </c>
      <c r="C2227" s="77" t="s">
        <v>1632</v>
      </c>
      <c r="D2227" s="77" t="s">
        <v>1633</v>
      </c>
      <c r="E2227" s="11" t="str">
        <f t="array" ref="E2227">_xlfn.XLOOKUP(D2227,Insumos!B:B,Insumos!C:$C)</f>
        <v>KG</v>
      </c>
      <c r="F2227" s="81">
        <v>4</v>
      </c>
      <c r="G2227" s="87">
        <f t="array" ref="G2227">IF(B2227="insumo",_xlfn.XLOOKUP($D2227,Insumos!$B$1:$B$996,Insumos!$D$1:$D$996),"")</f>
        <v>9.8888888888888893</v>
      </c>
      <c r="H2227" s="87">
        <v>39.5555555555556</v>
      </c>
      <c r="I2227" s="79">
        <v>0</v>
      </c>
      <c r="J2227" s="79">
        <v>0</v>
      </c>
      <c r="K2227" s="79"/>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336">
        <v>1</v>
      </c>
      <c r="B2228" s="336" t="s">
        <v>67</v>
      </c>
      <c r="C2228" s="336" t="s">
        <v>1634</v>
      </c>
      <c r="D2228" s="336" t="s">
        <v>1634</v>
      </c>
      <c r="E2228" s="337" t="s">
        <v>69</v>
      </c>
      <c r="F2228" s="336"/>
      <c r="G2228" s="338" t="str">
        <f t="array" ref="G2228">IF(B2228="insumo",_xlfn.XLOOKUP($D2228,Insumos!$B$1:$B$996,Insumos!$D$1:$D$996),"")</f>
        <v/>
      </c>
      <c r="H2228" s="338">
        <v>72</v>
      </c>
      <c r="I2228" s="339">
        <v>0</v>
      </c>
      <c r="J2228" s="339">
        <v>0</v>
      </c>
      <c r="K2228" s="339"/>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77">
        <v>1</v>
      </c>
      <c r="B2229" s="77" t="s">
        <v>70</v>
      </c>
      <c r="C2229" s="77" t="s">
        <v>1634</v>
      </c>
      <c r="D2229" s="77" t="s">
        <v>1635</v>
      </c>
      <c r="E2229" s="11" t="str">
        <f t="array" ref="E2229">_xlfn.XLOOKUP(D2229,Insumos!B:B,Insumos!C:$C)</f>
        <v>KG</v>
      </c>
      <c r="F2229" s="81">
        <v>3</v>
      </c>
      <c r="G2229" s="87">
        <f t="array" ref="G2229">IF(B2229="insumo",_xlfn.XLOOKUP($D2229,Insumos!$B$1:$B$996,Insumos!$D$1:$D$996),"")</f>
        <v>24</v>
      </c>
      <c r="H2229" s="87">
        <v>72</v>
      </c>
      <c r="I2229" s="79">
        <v>0</v>
      </c>
      <c r="J2229" s="79">
        <v>0</v>
      </c>
      <c r="K2229" s="79"/>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336">
        <v>1</v>
      </c>
      <c r="B2230" s="336" t="s">
        <v>67</v>
      </c>
      <c r="C2230" s="336" t="s">
        <v>1636</v>
      </c>
      <c r="D2230" s="336" t="s">
        <v>1636</v>
      </c>
      <c r="E2230" s="337" t="s">
        <v>69</v>
      </c>
      <c r="F2230" s="336"/>
      <c r="G2230" s="338" t="str">
        <f t="array" ref="G2230">IF(B2230="insumo",_xlfn.XLOOKUP($D2230,Insumos!$B$1:$B$996,Insumos!$D$1:$D$996),"")</f>
        <v/>
      </c>
      <c r="H2230" s="338">
        <v>156</v>
      </c>
      <c r="I2230" s="339">
        <v>0</v>
      </c>
      <c r="J2230" s="339">
        <v>0</v>
      </c>
      <c r="K2230" s="339"/>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77">
        <v>3</v>
      </c>
      <c r="B2231" s="77" t="s">
        <v>70</v>
      </c>
      <c r="C2231" s="77" t="s">
        <v>1636</v>
      </c>
      <c r="D2231" s="77" t="s">
        <v>1624</v>
      </c>
      <c r="E2231" s="11" t="str">
        <f t="array" ref="E2231">_xlfn.XLOOKUP(D2231,Insumos!B:B,Insumos!C:$C)</f>
        <v>KG</v>
      </c>
      <c r="F2231" s="81">
        <v>3</v>
      </c>
      <c r="G2231" s="87">
        <f t="array" ref="G2231">IF(B2231="insumo",_xlfn.XLOOKUP($D2231,Insumos!$B$1:$B$996,Insumos!$D$1:$D$996),"")</f>
        <v>30</v>
      </c>
      <c r="H2231" s="87">
        <v>90</v>
      </c>
      <c r="I2231" s="79">
        <v>0</v>
      </c>
      <c r="J2231" s="79">
        <v>0</v>
      </c>
      <c r="K2231" s="79"/>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77">
        <v>7</v>
      </c>
      <c r="B2232" s="77" t="s">
        <v>70</v>
      </c>
      <c r="C2232" s="77" t="s">
        <v>1636</v>
      </c>
      <c r="D2232" s="77" t="s">
        <v>1625</v>
      </c>
      <c r="E2232" s="11" t="str">
        <f t="array" ref="E2232">_xlfn.XLOOKUP(D2232,Insumos!B:B,Insumos!C:$C)</f>
        <v>KG</v>
      </c>
      <c r="F2232" s="81">
        <v>2</v>
      </c>
      <c r="G2232" s="87">
        <f t="array" ref="G2232">IF(B2232="insumo",_xlfn.XLOOKUP($D2232,Insumos!$B$1:$B$996,Insumos!$D$1:$D$996),"")</f>
        <v>9</v>
      </c>
      <c r="H2232" s="87">
        <v>18</v>
      </c>
      <c r="I2232" s="79">
        <v>0</v>
      </c>
      <c r="J2232" s="79">
        <v>0</v>
      </c>
      <c r="K2232" s="79"/>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77">
        <v>2</v>
      </c>
      <c r="B2233" s="77" t="s">
        <v>70</v>
      </c>
      <c r="C2233" s="77" t="s">
        <v>1636</v>
      </c>
      <c r="D2233" s="77" t="s">
        <v>1637</v>
      </c>
      <c r="E2233" s="11" t="str">
        <f t="array" ref="E2233">_xlfn.XLOOKUP(D2233,Insumos!B:B,Insumos!C:$C)</f>
        <v>KG</v>
      </c>
      <c r="F2233" s="81">
        <v>2</v>
      </c>
      <c r="G2233" s="87">
        <f t="array" ref="G2233">IF(B2233="insumo",_xlfn.XLOOKUP($D2233,Insumos!$B$1:$B$996,Insumos!$D$1:$D$996),"")</f>
        <v>24</v>
      </c>
      <c r="H2233" s="87">
        <v>48</v>
      </c>
      <c r="I2233" s="79">
        <v>0</v>
      </c>
      <c r="J2233" s="79">
        <v>0</v>
      </c>
      <c r="K2233" s="79"/>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336">
        <v>1</v>
      </c>
      <c r="B2234" s="336" t="s">
        <v>67</v>
      </c>
      <c r="C2234" s="336" t="s">
        <v>1638</v>
      </c>
      <c r="D2234" s="336" t="s">
        <v>1638</v>
      </c>
      <c r="E2234" s="337" t="s">
        <v>69</v>
      </c>
      <c r="F2234" s="336"/>
      <c r="G2234" s="338" t="str">
        <f t="array" ref="G2234">IF(B2234="insumo",_xlfn.XLOOKUP($D2234,Insumos!$B$1:$B$996,Insumos!$D$1:$D$996),"")</f>
        <v/>
      </c>
      <c r="H2234" s="338">
        <v>48</v>
      </c>
      <c r="I2234" s="339">
        <v>0</v>
      </c>
      <c r="J2234" s="339">
        <v>0</v>
      </c>
      <c r="K2234" s="339"/>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77">
        <v>1</v>
      </c>
      <c r="B2235" s="77" t="s">
        <v>70</v>
      </c>
      <c r="C2235" s="77" t="s">
        <v>1638</v>
      </c>
      <c r="D2235" s="77" t="s">
        <v>1639</v>
      </c>
      <c r="E2235" s="11" t="str">
        <f t="array" ref="E2235">_xlfn.XLOOKUP(D2235,Insumos!B:B,Insumos!C:$C)</f>
        <v>KG</v>
      </c>
      <c r="F2235" s="81">
        <v>2</v>
      </c>
      <c r="G2235" s="87">
        <f t="array" ref="G2235">IF(B2235="insumo",_xlfn.XLOOKUP($D2235,Insumos!$B$1:$B$996,Insumos!$D$1:$D$996),"")</f>
        <v>24</v>
      </c>
      <c r="H2235" s="87">
        <v>48</v>
      </c>
      <c r="I2235" s="79">
        <v>0</v>
      </c>
      <c r="J2235" s="79">
        <v>0</v>
      </c>
      <c r="K2235" s="79"/>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336">
        <v>1</v>
      </c>
      <c r="B2236" s="336" t="s">
        <v>67</v>
      </c>
      <c r="C2236" s="336" t="s">
        <v>1640</v>
      </c>
      <c r="D2236" s="336" t="s">
        <v>1640</v>
      </c>
      <c r="E2236" s="337" t="s">
        <v>69</v>
      </c>
      <c r="F2236" s="336"/>
      <c r="G2236" s="338" t="str">
        <f t="array" ref="G2236">IF(B2236="insumo",_xlfn.XLOOKUP($D2236,Insumos!$B$1:$B$996,Insumos!$D$1:$D$996),"")</f>
        <v/>
      </c>
      <c r="H2236" s="338">
        <v>138</v>
      </c>
      <c r="I2236" s="339">
        <v>0</v>
      </c>
      <c r="J2236" s="339">
        <v>0</v>
      </c>
      <c r="K2236" s="339"/>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77">
        <v>3</v>
      </c>
      <c r="B2237" s="77" t="s">
        <v>70</v>
      </c>
      <c r="C2237" s="77" t="s">
        <v>1640</v>
      </c>
      <c r="D2237" s="77" t="s">
        <v>1624</v>
      </c>
      <c r="E2237" s="11" t="str">
        <f t="array" ref="E2237">_xlfn.XLOOKUP(D2237,Insumos!B:B,Insumos!C:$C)</f>
        <v>KG</v>
      </c>
      <c r="F2237" s="81">
        <v>3</v>
      </c>
      <c r="G2237" s="87">
        <f t="array" ref="G2237">IF(B2237="insumo",_xlfn.XLOOKUP($D2237,Insumos!$B$1:$B$996,Insumos!$D$1:$D$996),"")</f>
        <v>30</v>
      </c>
      <c r="H2237" s="88">
        <v>90</v>
      </c>
      <c r="I2237" s="79">
        <v>0</v>
      </c>
      <c r="J2237" s="79">
        <v>0</v>
      </c>
      <c r="K2237" s="79"/>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77">
        <v>7</v>
      </c>
      <c r="B2238" s="77" t="s">
        <v>70</v>
      </c>
      <c r="C2238" s="77" t="s">
        <v>1640</v>
      </c>
      <c r="D2238" s="77" t="s">
        <v>1625</v>
      </c>
      <c r="E2238" s="11" t="str">
        <f t="array" ref="E2238">_xlfn.XLOOKUP(D2238,Insumos!B:B,Insumos!C:$C)</f>
        <v>KG</v>
      </c>
      <c r="F2238" s="81">
        <v>2</v>
      </c>
      <c r="G2238" s="87">
        <f t="array" ref="G2238">IF(B2238="insumo",_xlfn.XLOOKUP($D2238,Insumos!$B$1:$B$996,Insumos!$D$1:$D$996),"")</f>
        <v>9</v>
      </c>
      <c r="H2238" s="88">
        <v>18</v>
      </c>
      <c r="I2238" s="79">
        <v>0</v>
      </c>
      <c r="J2238" s="79">
        <v>0</v>
      </c>
      <c r="K2238" s="79"/>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77">
        <v>3</v>
      </c>
      <c r="B2239" s="77" t="s">
        <v>70</v>
      </c>
      <c r="C2239" s="77" t="s">
        <v>1640</v>
      </c>
      <c r="D2239" s="77" t="s">
        <v>1641</v>
      </c>
      <c r="E2239" s="11" t="str">
        <f t="array" ref="E2239">_xlfn.XLOOKUP(D2239,Insumos!B:B,Insumos!C:$C)</f>
        <v>L</v>
      </c>
      <c r="F2239" s="81">
        <v>0.5</v>
      </c>
      <c r="G2239" s="87">
        <f t="array" ref="G2239">IF(B2239="insumo",_xlfn.XLOOKUP($D2239,Insumos!$B$1:$B$996,Insumos!$D$1:$D$996),"")</f>
        <v>60</v>
      </c>
      <c r="H2239" s="88">
        <v>30</v>
      </c>
      <c r="I2239" s="79">
        <v>0</v>
      </c>
      <c r="J2239" s="79">
        <v>0</v>
      </c>
      <c r="K2239" s="79"/>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336">
        <v>1</v>
      </c>
      <c r="B2240" s="336" t="s">
        <v>67</v>
      </c>
      <c r="C2240" s="336" t="s">
        <v>1642</v>
      </c>
      <c r="D2240" s="336" t="s">
        <v>1642</v>
      </c>
      <c r="E2240" s="337" t="s">
        <v>69</v>
      </c>
      <c r="F2240" s="336"/>
      <c r="G2240" s="338" t="str">
        <f t="array" ref="G2240">IF(B2240="insumo",_xlfn.XLOOKUP($D2240,Insumos!$B$1:$B$996,Insumos!$D$1:$D$996),"")</f>
        <v/>
      </c>
      <c r="H2240" s="338">
        <v>246</v>
      </c>
      <c r="I2240" s="339">
        <v>0</v>
      </c>
      <c r="J2240" s="339">
        <v>0</v>
      </c>
      <c r="K2240" s="339"/>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77">
        <v>1</v>
      </c>
      <c r="B2241" s="77" t="s">
        <v>70</v>
      </c>
      <c r="C2241" s="77" t="s">
        <v>1642</v>
      </c>
      <c r="D2241" s="77" t="s">
        <v>1643</v>
      </c>
      <c r="E2241" s="11" t="str">
        <f t="array" ref="E2241">_xlfn.XLOOKUP(D2241,Insumos!B:B,Insumos!C:$C)</f>
        <v>KG</v>
      </c>
      <c r="F2241" s="81">
        <v>6</v>
      </c>
      <c r="G2241" s="87">
        <f t="array" ref="G2241">IF(B2241="insumo",_xlfn.XLOOKUP($D2241,Insumos!$B$1:$B$996,Insumos!$D$1:$D$996),"")</f>
        <v>30</v>
      </c>
      <c r="H2241" s="88">
        <v>180</v>
      </c>
      <c r="I2241" s="79">
        <v>0</v>
      </c>
      <c r="J2241" s="79">
        <v>0</v>
      </c>
      <c r="K2241" s="79"/>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77">
        <v>7</v>
      </c>
      <c r="B2242" s="77" t="s">
        <v>70</v>
      </c>
      <c r="C2242" s="77" t="s">
        <v>1642</v>
      </c>
      <c r="D2242" s="77" t="s">
        <v>1625</v>
      </c>
      <c r="E2242" s="11" t="str">
        <f t="array" ref="E2242">_xlfn.XLOOKUP(D2242,Insumos!B:B,Insumos!C:$C)</f>
        <v>KG</v>
      </c>
      <c r="F2242" s="81">
        <v>2</v>
      </c>
      <c r="G2242" s="87">
        <f t="array" ref="G2242">IF(B2242="insumo",_xlfn.XLOOKUP($D2242,Insumos!$B$1:$B$996,Insumos!$D$1:$D$996),"")</f>
        <v>9</v>
      </c>
      <c r="H2242" s="88">
        <v>18</v>
      </c>
      <c r="I2242" s="79">
        <v>0</v>
      </c>
      <c r="J2242" s="79">
        <v>0</v>
      </c>
      <c r="K2242" s="79"/>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77">
        <v>2</v>
      </c>
      <c r="B2243" s="77" t="s">
        <v>70</v>
      </c>
      <c r="C2243" s="77" t="s">
        <v>1642</v>
      </c>
      <c r="D2243" s="77" t="s">
        <v>1637</v>
      </c>
      <c r="E2243" s="11" t="str">
        <f t="array" ref="E2243">_xlfn.XLOOKUP(D2243,Insumos!B:B,Insumos!C:$C)</f>
        <v>KG</v>
      </c>
      <c r="F2243" s="81">
        <v>2</v>
      </c>
      <c r="G2243" s="87">
        <f t="array" ref="G2243">IF(B2243="insumo",_xlfn.XLOOKUP($D2243,Insumos!$B$1:$B$996,Insumos!$D$1:$D$996),"")</f>
        <v>24</v>
      </c>
      <c r="H2243" s="88">
        <v>48</v>
      </c>
      <c r="I2243" s="79">
        <v>0</v>
      </c>
      <c r="J2243" s="79">
        <v>0</v>
      </c>
      <c r="K2243" s="79"/>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336">
        <v>1</v>
      </c>
      <c r="B2244" s="336" t="s">
        <v>67</v>
      </c>
      <c r="C2244" s="336" t="s">
        <v>2907</v>
      </c>
      <c r="D2244" s="336" t="s">
        <v>2907</v>
      </c>
      <c r="E2244" s="337" t="s">
        <v>69</v>
      </c>
      <c r="F2244" s="336"/>
      <c r="G2244" s="338" t="str">
        <f t="array" ref="G2244">IF(B2244="insumo",_xlfn.XLOOKUP($D2244,Insumos!$B$1:$B$996,Insumos!$D$1:$D$996),"")</f>
        <v/>
      </c>
      <c r="H2244" s="338">
        <v>34.058466666666703</v>
      </c>
      <c r="I2244" s="339">
        <v>4925.75</v>
      </c>
      <c r="J2244" s="339">
        <v>167763.49218333399</v>
      </c>
      <c r="K2244" s="339"/>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77">
        <v>3</v>
      </c>
      <c r="B2245" s="77" t="s">
        <v>70</v>
      </c>
      <c r="C2245" s="77" t="s">
        <v>2907</v>
      </c>
      <c r="D2245" s="77" t="s">
        <v>460</v>
      </c>
      <c r="E2245" s="11" t="str">
        <f t="array" ref="E2245">_xlfn.XLOOKUP(D2245,Insumos!B:B,Insumos!C:$C)</f>
        <v>KG</v>
      </c>
      <c r="F2245" s="81">
        <v>3</v>
      </c>
      <c r="G2245" s="87">
        <f t="array" ref="G2245">IF(B2245="insumo",_xlfn.XLOOKUP($D2245,Insumos!$B$1:$B$996,Insumos!$D$1:$D$996),"")</f>
        <v>11.055555555555555</v>
      </c>
      <c r="H2245" s="88">
        <v>33.1666666666667</v>
      </c>
      <c r="I2245" s="79">
        <v>4925.75</v>
      </c>
      <c r="J2245" s="79">
        <v>163370.70833333299</v>
      </c>
      <c r="K2245" s="79"/>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77">
        <v>5</v>
      </c>
      <c r="B2246" s="77" t="s">
        <v>70</v>
      </c>
      <c r="C2246" s="77" t="s">
        <v>2907</v>
      </c>
      <c r="D2246" s="77" t="s">
        <v>1144</v>
      </c>
      <c r="E2246" s="11" t="str">
        <f t="array" ref="E2246">_xlfn.XLOOKUP(D2246,Insumos!B:B,Insumos!C:$C)</f>
        <v>M2</v>
      </c>
      <c r="F2246" s="81">
        <v>0.1</v>
      </c>
      <c r="G2246" s="87">
        <f t="array" ref="G2246">IF(B2246="insumo",_xlfn.XLOOKUP($D2246,Insumos!$B$1:$B$996,Insumos!$D$1:$D$996),"")</f>
        <v>8.9179999999999993</v>
      </c>
      <c r="H2246" s="88">
        <v>0.89180000000000004</v>
      </c>
      <c r="I2246" s="79">
        <v>4925.75</v>
      </c>
      <c r="J2246" s="79">
        <v>4392.7838499999998</v>
      </c>
      <c r="K2246" s="79"/>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336">
        <v>1</v>
      </c>
      <c r="B2247" s="336" t="s">
        <v>67</v>
      </c>
      <c r="C2247" s="336" t="s">
        <v>2908</v>
      </c>
      <c r="D2247" s="336" t="s">
        <v>2908</v>
      </c>
      <c r="E2247" s="337" t="s">
        <v>69</v>
      </c>
      <c r="F2247" s="336"/>
      <c r="G2247" s="338" t="str">
        <f t="array" ref="G2247">IF(B2247="insumo",_xlfn.XLOOKUP($D2247,Insumos!$B$1:$B$996,Insumos!$D$1:$D$996),"")</f>
        <v/>
      </c>
      <c r="H2247" s="338">
        <v>46.211799999999997</v>
      </c>
      <c r="I2247" s="339">
        <v>97.67</v>
      </c>
      <c r="J2247" s="339">
        <v>4513.5065059999997</v>
      </c>
      <c r="K2247" s="339"/>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77">
        <v>6</v>
      </c>
      <c r="B2248" s="77" t="s">
        <v>70</v>
      </c>
      <c r="C2248" s="77" t="s">
        <v>2908</v>
      </c>
      <c r="D2248" s="77" t="s">
        <v>462</v>
      </c>
      <c r="E2248" s="11" t="str">
        <f t="array" ref="E2248">_xlfn.XLOOKUP(D2248,Insumos!B:B,Insumos!C:$C)</f>
        <v>KG</v>
      </c>
      <c r="F2248" s="81">
        <v>4</v>
      </c>
      <c r="G2248" s="87">
        <f t="array" ref="G2248">IF(B2248="insumo",_xlfn.XLOOKUP($D2248,Insumos!$B$1:$B$996,Insumos!$D$1:$D$996),"")</f>
        <v>11.33</v>
      </c>
      <c r="H2248" s="88">
        <v>45.32</v>
      </c>
      <c r="I2248" s="79">
        <v>97.67</v>
      </c>
      <c r="J2248" s="79">
        <v>4426.4044000000004</v>
      </c>
      <c r="K2248" s="79"/>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77">
        <v>5</v>
      </c>
      <c r="B2249" s="77" t="s">
        <v>70</v>
      </c>
      <c r="C2249" s="77" t="s">
        <v>2908</v>
      </c>
      <c r="D2249" s="77" t="s">
        <v>1144</v>
      </c>
      <c r="E2249" s="11" t="str">
        <f t="array" ref="E2249">_xlfn.XLOOKUP(D2249,Insumos!B:B,Insumos!C:$C)</f>
        <v>M2</v>
      </c>
      <c r="F2249" s="81">
        <v>0.1</v>
      </c>
      <c r="G2249" s="87">
        <f t="array" ref="G2249">IF(B2249="insumo",_xlfn.XLOOKUP($D2249,Insumos!$B$1:$B$996,Insumos!$D$1:$D$996),"")</f>
        <v>8.9179999999999993</v>
      </c>
      <c r="H2249" s="88">
        <v>0.89180000000000004</v>
      </c>
      <c r="I2249" s="79">
        <v>97.67</v>
      </c>
      <c r="J2249" s="79">
        <v>87.102106000000006</v>
      </c>
      <c r="K2249" s="79"/>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336">
        <v>1</v>
      </c>
      <c r="B2250" s="336" t="s">
        <v>67</v>
      </c>
      <c r="C2250" s="336" t="s">
        <v>2909</v>
      </c>
      <c r="D2250" s="336" t="s">
        <v>2909</v>
      </c>
      <c r="E2250" s="337" t="s">
        <v>69</v>
      </c>
      <c r="F2250" s="336"/>
      <c r="G2250" s="338" t="str">
        <f t="array" ref="G2250">IF(B2250="insumo",_xlfn.XLOOKUP($D2250,Insumos!$B$1:$B$996,Insumos!$D$1:$D$996),"")</f>
        <v/>
      </c>
      <c r="H2250" s="338">
        <v>74.891800000000003</v>
      </c>
      <c r="I2250" s="339">
        <v>68.2</v>
      </c>
      <c r="J2250" s="339">
        <v>5107.6207599999998</v>
      </c>
      <c r="K2250" s="339"/>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77">
        <v>2</v>
      </c>
      <c r="B2251" s="77" t="s">
        <v>70</v>
      </c>
      <c r="C2251" s="77" t="s">
        <v>2909</v>
      </c>
      <c r="D2251" s="77" t="s">
        <v>2906</v>
      </c>
      <c r="E2251" s="11" t="str">
        <f t="array" ref="E2251">_xlfn.XLOOKUP(D2251,Insumos!B:B,Insumos!C:$C)</f>
        <v>KG</v>
      </c>
      <c r="F2251" s="81">
        <v>4</v>
      </c>
      <c r="G2251" s="87">
        <f t="array" ref="G2251">IF(B2251="insumo",_xlfn.XLOOKUP($D2251,Insumos!$B$1:$B$996,Insumos!$D$1:$D$996),"")</f>
        <v>18.5</v>
      </c>
      <c r="H2251" s="88">
        <v>74</v>
      </c>
      <c r="I2251" s="79">
        <v>68.2</v>
      </c>
      <c r="J2251" s="79">
        <v>5046.8</v>
      </c>
      <c r="K2251" s="79"/>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77">
        <v>5</v>
      </c>
      <c r="B2252" s="77" t="s">
        <v>70</v>
      </c>
      <c r="C2252" s="77" t="s">
        <v>2909</v>
      </c>
      <c r="D2252" s="77" t="s">
        <v>1144</v>
      </c>
      <c r="E2252" s="11" t="str">
        <f t="array" ref="E2252">_xlfn.XLOOKUP(D2252,Insumos!B:B,Insumos!C:$C)</f>
        <v>M2</v>
      </c>
      <c r="F2252" s="81">
        <v>0.1</v>
      </c>
      <c r="G2252" s="87">
        <f t="array" ref="G2252">IF(B2252="insumo",_xlfn.XLOOKUP($D2252,Insumos!$B$1:$B$996,Insumos!$D$1:$D$996),"")</f>
        <v>8.9179999999999993</v>
      </c>
      <c r="H2252" s="88">
        <v>0.89180000000000004</v>
      </c>
      <c r="I2252" s="79">
        <v>68.2</v>
      </c>
      <c r="J2252" s="79">
        <v>60.82076</v>
      </c>
      <c r="K2252" s="79"/>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336">
        <v>1</v>
      </c>
      <c r="B2253" s="336" t="s">
        <v>67</v>
      </c>
      <c r="C2253" s="336" t="s">
        <v>2910</v>
      </c>
      <c r="D2253" s="336" t="s">
        <v>2910</v>
      </c>
      <c r="E2253" s="337" t="s">
        <v>69</v>
      </c>
      <c r="F2253" s="336"/>
      <c r="G2253" s="338" t="str">
        <f t="array" ref="G2253">IF(B2253="insumo",_xlfn.XLOOKUP($D2253,Insumos!$B$1:$B$996,Insumos!$D$1:$D$996),"")</f>
        <v/>
      </c>
      <c r="H2253" s="338">
        <v>148.89179999999999</v>
      </c>
      <c r="I2253" s="339">
        <v>900.28</v>
      </c>
      <c r="J2253" s="339">
        <v>134044.30970400001</v>
      </c>
      <c r="K2253" s="339"/>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77">
        <v>2</v>
      </c>
      <c r="B2254" s="77" t="s">
        <v>70</v>
      </c>
      <c r="C2254" s="77" t="s">
        <v>2910</v>
      </c>
      <c r="D2254" s="77" t="s">
        <v>2906</v>
      </c>
      <c r="E2254" s="11" t="str">
        <f t="array" ref="E2254">_xlfn.XLOOKUP(D2254,Insumos!B:B,Insumos!C:$C)</f>
        <v>KG</v>
      </c>
      <c r="F2254" s="81">
        <v>8</v>
      </c>
      <c r="G2254" s="87">
        <f t="array" ref="G2254">IF(B2254="insumo",_xlfn.XLOOKUP($D2254,Insumos!$B$1:$B$996,Insumos!$D$1:$D$996),"")</f>
        <v>18.5</v>
      </c>
      <c r="H2254" s="88">
        <v>148</v>
      </c>
      <c r="I2254" s="79">
        <v>900.28</v>
      </c>
      <c r="J2254" s="79">
        <v>133241.44</v>
      </c>
      <c r="K2254" s="79"/>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77">
        <v>5</v>
      </c>
      <c r="B2255" s="77" t="s">
        <v>70</v>
      </c>
      <c r="C2255" s="77" t="s">
        <v>2910</v>
      </c>
      <c r="D2255" s="77" t="s">
        <v>1144</v>
      </c>
      <c r="E2255" s="11" t="str">
        <f t="array" ref="E2255">_xlfn.XLOOKUP(D2255,Insumos!B:B,Insumos!C:$C)</f>
        <v>M2</v>
      </c>
      <c r="F2255" s="81">
        <v>0.1</v>
      </c>
      <c r="G2255" s="87">
        <f t="array" ref="G2255">IF(B2255="insumo",_xlfn.XLOOKUP($D2255,Insumos!$B$1:$B$996,Insumos!$D$1:$D$996),"")</f>
        <v>8.9179999999999993</v>
      </c>
      <c r="H2255" s="88">
        <v>0.89180000000000004</v>
      </c>
      <c r="I2255" s="79">
        <v>900.28</v>
      </c>
      <c r="J2255" s="79">
        <v>802.86970399999996</v>
      </c>
      <c r="K2255" s="79"/>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336">
        <v>1</v>
      </c>
      <c r="B2256" s="336" t="s">
        <v>67</v>
      </c>
      <c r="C2256" s="336" t="s">
        <v>2911</v>
      </c>
      <c r="D2256" s="336" t="s">
        <v>2911</v>
      </c>
      <c r="E2256" s="337" t="s">
        <v>69</v>
      </c>
      <c r="F2256" s="336"/>
      <c r="G2256" s="338" t="str">
        <f t="array" ref="G2256">IF(B2256="insumo",_xlfn.XLOOKUP($D2256,Insumos!$B$1:$B$996,Insumos!$D$1:$D$996),"")</f>
        <v/>
      </c>
      <c r="H2256" s="338">
        <v>73.3018</v>
      </c>
      <c r="I2256" s="339">
        <v>234</v>
      </c>
      <c r="J2256" s="339">
        <v>17152.621200000001</v>
      </c>
      <c r="K2256" s="339"/>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77">
        <v>6</v>
      </c>
      <c r="B2257" s="77" t="s">
        <v>70</v>
      </c>
      <c r="C2257" s="77" t="s">
        <v>2911</v>
      </c>
      <c r="D2257" s="77" t="s">
        <v>462</v>
      </c>
      <c r="E2257" s="11" t="str">
        <f t="array" ref="E2257">_xlfn.XLOOKUP(D2257,Insumos!B:B,Insumos!C:$C)</f>
        <v>KG</v>
      </c>
      <c r="F2257" s="81">
        <v>2</v>
      </c>
      <c r="G2257" s="87">
        <f t="array" ref="G2257">IF(B2257="insumo",_xlfn.XLOOKUP($D2257,Insumos!$B$1:$B$996,Insumos!$D$1:$D$996),"")</f>
        <v>11.33</v>
      </c>
      <c r="H2257" s="88">
        <v>22.66</v>
      </c>
      <c r="I2257" s="79">
        <v>234</v>
      </c>
      <c r="J2257" s="79">
        <v>5302.44</v>
      </c>
      <c r="K2257" s="79"/>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77">
        <v>3</v>
      </c>
      <c r="B2258" s="77" t="s">
        <v>70</v>
      </c>
      <c r="C2258" s="77" t="s">
        <v>2911</v>
      </c>
      <c r="D2258" s="77" t="s">
        <v>460</v>
      </c>
      <c r="E2258" s="11" t="str">
        <f t="array" ref="E2258">_xlfn.XLOOKUP(D2258,Insumos!B:B,Insumos!C:$C)</f>
        <v>KG</v>
      </c>
      <c r="F2258" s="81">
        <v>4.5</v>
      </c>
      <c r="G2258" s="87">
        <f t="array" ref="G2258">IF(B2258="insumo",_xlfn.XLOOKUP($D2258,Insumos!$B$1:$B$996,Insumos!$D$1:$D$996),"")</f>
        <v>11.055555555555555</v>
      </c>
      <c r="H2258" s="88">
        <v>49.75</v>
      </c>
      <c r="I2258" s="79">
        <v>234</v>
      </c>
      <c r="J2258" s="79">
        <v>11641.5</v>
      </c>
      <c r="K2258" s="79"/>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77">
        <v>5</v>
      </c>
      <c r="B2259" s="77" t="s">
        <v>70</v>
      </c>
      <c r="C2259" s="77" t="s">
        <v>2911</v>
      </c>
      <c r="D2259" s="77" t="s">
        <v>1144</v>
      </c>
      <c r="E2259" s="11" t="str">
        <f t="array" ref="E2259">_xlfn.XLOOKUP(D2259,Insumos!B:B,Insumos!C:$C)</f>
        <v>M2</v>
      </c>
      <c r="F2259" s="81">
        <v>0.1</v>
      </c>
      <c r="G2259" s="87">
        <f t="array" ref="G2259">IF(B2259="insumo",_xlfn.XLOOKUP($D2259,Insumos!$B$1:$B$996,Insumos!$D$1:$D$996),"")</f>
        <v>8.9179999999999993</v>
      </c>
      <c r="H2259" s="88">
        <v>0.89180000000000004</v>
      </c>
      <c r="I2259" s="79">
        <v>234</v>
      </c>
      <c r="J2259" s="79">
        <v>208.68119999999999</v>
      </c>
      <c r="K2259" s="79"/>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336">
        <v>1</v>
      </c>
      <c r="B2260" s="336" t="s">
        <v>67</v>
      </c>
      <c r="C2260" s="336" t="s">
        <v>2912</v>
      </c>
      <c r="D2260" s="336" t="s">
        <v>2912</v>
      </c>
      <c r="E2260" s="337" t="s">
        <v>69</v>
      </c>
      <c r="F2260" s="336"/>
      <c r="G2260" s="338" t="str">
        <f t="array" ref="G2260">IF(B2260="insumo",_xlfn.XLOOKUP($D2260,Insumos!$B$1:$B$996,Insumos!$D$1:$D$996),"")</f>
        <v/>
      </c>
      <c r="H2260" s="338">
        <v>133.18049999999999</v>
      </c>
      <c r="I2260" s="339">
        <v>757.06</v>
      </c>
      <c r="J2260" s="339">
        <v>100825.62933</v>
      </c>
      <c r="K2260" s="339"/>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77">
        <v>5</v>
      </c>
      <c r="B2261" s="77" t="s">
        <v>70</v>
      </c>
      <c r="C2261" s="77" t="s">
        <v>2912</v>
      </c>
      <c r="D2261" s="77" t="s">
        <v>454</v>
      </c>
      <c r="E2261" s="11" t="str">
        <f t="array" ref="E2261">_xlfn.XLOOKUP(D2261,Insumos!B:B,Insumos!C:$C)</f>
        <v>M2</v>
      </c>
      <c r="F2261" s="81">
        <v>1.125</v>
      </c>
      <c r="G2261" s="87">
        <f t="array" ref="G2261">IF(B2261="insumo",_xlfn.XLOOKUP($D2261,Insumos!$B$1:$B$996,Insumos!$D$1:$D$996),"")</f>
        <v>70.02</v>
      </c>
      <c r="H2261" s="88">
        <v>78.772499999999994</v>
      </c>
      <c r="I2261" s="79">
        <v>757.06</v>
      </c>
      <c r="J2261" s="79">
        <v>59635.508849999998</v>
      </c>
      <c r="K2261" s="79"/>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70</v>
      </c>
      <c r="C2262" s="77" t="s">
        <v>2912</v>
      </c>
      <c r="D2262" s="10" t="s">
        <v>451</v>
      </c>
      <c r="E2262" s="11" t="str">
        <f t="array" ref="E2262">_xlfn.XLOOKUP(D2262,Insumos!B:B,Insumos!C:$C)</f>
        <v>L</v>
      </c>
      <c r="F2262" s="14">
        <v>0.4</v>
      </c>
      <c r="G2262" s="87">
        <f t="array" ref="G2262">IF(B2262="insumo",_xlfn.XLOOKUP($D2262,Insumos!$B$1:$B$996,Insumos!$D$1:$D$996),"")</f>
        <v>23.52</v>
      </c>
      <c r="H2262" s="88">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77">
        <v>7</v>
      </c>
      <c r="B2263" s="77" t="s">
        <v>70</v>
      </c>
      <c r="C2263" s="77" t="s">
        <v>2912</v>
      </c>
      <c r="D2263" s="77" t="s">
        <v>1625</v>
      </c>
      <c r="E2263" s="11" t="str">
        <f t="array" ref="E2263">_xlfn.XLOOKUP(D2263,Insumos!B:B,Insumos!C:$C)</f>
        <v>KG</v>
      </c>
      <c r="F2263" s="81">
        <v>5</v>
      </c>
      <c r="G2263" s="87">
        <f t="array" ref="G2263">IF(B2263="insumo",_xlfn.XLOOKUP($D2263,Insumos!$B$1:$B$996,Insumos!$D$1:$D$996),"")</f>
        <v>9</v>
      </c>
      <c r="H2263" s="88">
        <v>45</v>
      </c>
      <c r="I2263" s="79">
        <v>757.06</v>
      </c>
      <c r="J2263" s="79">
        <v>34067.699999999997</v>
      </c>
      <c r="K2263" s="79"/>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336">
        <v>1</v>
      </c>
      <c r="B2264" s="336" t="s">
        <v>67</v>
      </c>
      <c r="C2264" s="336" t="s">
        <v>2913</v>
      </c>
      <c r="D2264" s="336" t="s">
        <v>2913</v>
      </c>
      <c r="E2264" s="337" t="s">
        <v>69</v>
      </c>
      <c r="F2264" s="336"/>
      <c r="G2264" s="338" t="str">
        <f t="array" ref="G2264">IF(B2264="insumo",_xlfn.XLOOKUP($D2264,Insumos!$B$1:$B$996,Insumos!$D$1:$D$996),"")</f>
        <v/>
      </c>
      <c r="H2264" s="338">
        <v>181.18049999999999</v>
      </c>
      <c r="I2264" s="339">
        <v>342.12</v>
      </c>
      <c r="J2264" s="339">
        <v>61985.472659999999</v>
      </c>
      <c r="K2264" s="339"/>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77">
        <v>5</v>
      </c>
      <c r="B2265" s="77" t="s">
        <v>70</v>
      </c>
      <c r="C2265" s="77" t="s">
        <v>2913</v>
      </c>
      <c r="D2265" s="77" t="s">
        <v>454</v>
      </c>
      <c r="E2265" s="11" t="str">
        <f t="array" ref="E2265">_xlfn.XLOOKUP(D2265,Insumos!B:B,Insumos!C:$C)</f>
        <v>M2</v>
      </c>
      <c r="F2265" s="81">
        <v>1.125</v>
      </c>
      <c r="G2265" s="87">
        <f t="array" ref="G2265">IF(B2265="insumo",_xlfn.XLOOKUP($D2265,Insumos!$B$1:$B$996,Insumos!$D$1:$D$996),"")</f>
        <v>70.02</v>
      </c>
      <c r="H2265" s="88">
        <v>78.772499999999994</v>
      </c>
      <c r="I2265" s="79">
        <v>342.12</v>
      </c>
      <c r="J2265" s="79">
        <v>26949.647700000001</v>
      </c>
      <c r="K2265" s="79"/>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70</v>
      </c>
      <c r="C2266" s="77" t="s">
        <v>2913</v>
      </c>
      <c r="D2266" s="10" t="s">
        <v>451</v>
      </c>
      <c r="E2266" s="11" t="str">
        <f t="array" ref="E2266">_xlfn.XLOOKUP(D2266,Insumos!B:B,Insumos!C:$C)</f>
        <v>L</v>
      </c>
      <c r="F2266" s="14">
        <v>0.4</v>
      </c>
      <c r="G2266" s="87">
        <f t="array" ref="G2266">IF(B2266="insumo",_xlfn.XLOOKUP($D2266,Insumos!$B$1:$B$996,Insumos!$D$1:$D$996),"")</f>
        <v>23.52</v>
      </c>
      <c r="H2266" s="88">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77">
        <v>7</v>
      </c>
      <c r="B2267" s="77" t="s">
        <v>70</v>
      </c>
      <c r="C2267" s="77" t="s">
        <v>2913</v>
      </c>
      <c r="D2267" s="77" t="s">
        <v>1625</v>
      </c>
      <c r="E2267" s="11" t="str">
        <f t="array" ref="E2267">_xlfn.XLOOKUP(D2267,Insumos!B:B,Insumos!C:$C)</f>
        <v>KG</v>
      </c>
      <c r="F2267" s="81">
        <v>5</v>
      </c>
      <c r="G2267" s="87">
        <f t="array" ref="G2267">IF(B2267="insumo",_xlfn.XLOOKUP($D2267,Insumos!$B$1:$B$996,Insumos!$D$1:$D$996),"")</f>
        <v>9</v>
      </c>
      <c r="H2267" s="88">
        <v>45</v>
      </c>
      <c r="I2267" s="79">
        <v>342.12</v>
      </c>
      <c r="J2267" s="79">
        <v>15395.4</v>
      </c>
      <c r="K2267" s="79"/>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77">
        <v>3</v>
      </c>
      <c r="B2268" s="77" t="s">
        <v>70</v>
      </c>
      <c r="C2268" s="77" t="s">
        <v>2913</v>
      </c>
      <c r="D2268" s="77" t="s">
        <v>1641</v>
      </c>
      <c r="E2268" s="11" t="str">
        <f t="array" ref="E2268">_xlfn.XLOOKUP(D2268,Insumos!B:B,Insumos!C:$C)</f>
        <v>L</v>
      </c>
      <c r="F2268" s="81">
        <v>0.8</v>
      </c>
      <c r="G2268" s="87">
        <f t="array" ref="G2268">IF(B2268="insumo",_xlfn.XLOOKUP($D2268,Insumos!$B$1:$B$996,Insumos!$D$1:$D$996),"")</f>
        <v>60</v>
      </c>
      <c r="H2268" s="88">
        <v>48</v>
      </c>
      <c r="I2268" s="79">
        <v>342.12</v>
      </c>
      <c r="J2268" s="79">
        <v>16421.759999999998</v>
      </c>
      <c r="K2268" s="79"/>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336">
        <v>1</v>
      </c>
      <c r="B2269" s="336" t="s">
        <v>67</v>
      </c>
      <c r="C2269" s="336" t="s">
        <v>2927</v>
      </c>
      <c r="D2269" s="336" t="s">
        <v>2927</v>
      </c>
      <c r="E2269" s="337" t="s">
        <v>69</v>
      </c>
      <c r="F2269" s="336"/>
      <c r="G2269" s="338" t="str">
        <f t="array" ref="G2269">IF(B2269="insumo",_xlfn.XLOOKUP($D2269,Insumos!$B$1:$B$996,Insumos!$D$1:$D$996),"")</f>
        <v/>
      </c>
      <c r="H2269" s="338">
        <v>267.988</v>
      </c>
      <c r="I2269" s="339">
        <v>241.13</v>
      </c>
      <c r="J2269" s="339">
        <v>64619.94644</v>
      </c>
      <c r="K2269" s="339"/>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77">
        <v>5</v>
      </c>
      <c r="B2270" s="77" t="s">
        <v>70</v>
      </c>
      <c r="C2270" s="77" t="s">
        <v>2927</v>
      </c>
      <c r="D2270" s="77" t="s">
        <v>454</v>
      </c>
      <c r="E2270" s="11" t="str">
        <f t="array" ref="E2270">_xlfn.XLOOKUP(D2270,Insumos!B:B,Insumos!C:$C)</f>
        <v>M2</v>
      </c>
      <c r="F2270" s="81">
        <v>1.125</v>
      </c>
      <c r="G2270" s="87">
        <f t="array" ref="G2270">IF(B2270="insumo",_xlfn.XLOOKUP($D2270,Insumos!$B$1:$B$996,Insumos!$D$1:$D$996),"")</f>
        <v>70.02</v>
      </c>
      <c r="H2270" s="88">
        <v>78.772499999999994</v>
      </c>
      <c r="I2270" s="79">
        <v>241.13</v>
      </c>
      <c r="J2270" s="79">
        <v>18994.412925000001</v>
      </c>
      <c r="K2270" s="79"/>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70</v>
      </c>
      <c r="C2271" s="77" t="s">
        <v>2927</v>
      </c>
      <c r="D2271" s="10" t="s">
        <v>456</v>
      </c>
      <c r="E2271" s="11" t="str">
        <f t="array" ref="E2271">_xlfn.XLOOKUP(D2271,Insumos!B:B,Insumos!C:$C)</f>
        <v>M2</v>
      </c>
      <c r="F2271" s="14">
        <v>1.125</v>
      </c>
      <c r="G2271" s="87">
        <f t="array" ref="G2271">IF(B2271="insumo",_xlfn.XLOOKUP($D2271,Insumos!$B$1:$B$996,Insumos!$D$1:$D$996),"")</f>
        <v>57.02</v>
      </c>
      <c r="H2271" s="88">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77">
        <v>6</v>
      </c>
      <c r="B2272" s="77" t="s">
        <v>70</v>
      </c>
      <c r="C2272" s="77" t="s">
        <v>2927</v>
      </c>
      <c r="D2272" s="77" t="s">
        <v>462</v>
      </c>
      <c r="E2272" s="11" t="str">
        <f t="array" ref="E2272">_xlfn.XLOOKUP(D2272,Insumos!B:B,Insumos!C:$C)</f>
        <v>KG</v>
      </c>
      <c r="F2272" s="81">
        <v>2</v>
      </c>
      <c r="G2272" s="87">
        <f t="array" ref="G2272">IF(B2272="insumo",_xlfn.XLOOKUP($D2272,Insumos!$B$1:$B$996,Insumos!$D$1:$D$996),"")</f>
        <v>11.33</v>
      </c>
      <c r="H2272" s="88">
        <v>22.66</v>
      </c>
      <c r="I2272" s="79">
        <v>241.13</v>
      </c>
      <c r="J2272" s="79">
        <v>5464.0057999999999</v>
      </c>
      <c r="K2272" s="79"/>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70</v>
      </c>
      <c r="C2273" s="77" t="s">
        <v>2927</v>
      </c>
      <c r="D2273" s="10" t="s">
        <v>451</v>
      </c>
      <c r="E2273" s="11" t="str">
        <f t="array" ref="E2273">_xlfn.XLOOKUP(D2273,Insumos!B:B,Insumos!C:$C)</f>
        <v>L</v>
      </c>
      <c r="F2273" s="14">
        <v>0.4</v>
      </c>
      <c r="G2273" s="87">
        <f t="array" ref="G2273">IF(B2273="insumo",_xlfn.XLOOKUP($D2273,Insumos!$B$1:$B$996,Insumos!$D$1:$D$996),"")</f>
        <v>23.52</v>
      </c>
      <c r="H2273" s="88">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77">
        <v>7</v>
      </c>
      <c r="B2274" s="77" t="s">
        <v>70</v>
      </c>
      <c r="C2274" s="77" t="s">
        <v>2927</v>
      </c>
      <c r="D2274" s="77" t="s">
        <v>1625</v>
      </c>
      <c r="E2274" s="11" t="str">
        <f t="array" ref="E2274">_xlfn.XLOOKUP(D2274,Insumos!B:B,Insumos!C:$C)</f>
        <v>KG</v>
      </c>
      <c r="F2274" s="81">
        <v>5</v>
      </c>
      <c r="G2274" s="87">
        <f t="array" ref="G2274">IF(B2274="insumo",_xlfn.XLOOKUP($D2274,Insumos!$B$1:$B$996,Insumos!$D$1:$D$996),"")</f>
        <v>9</v>
      </c>
      <c r="H2274" s="88">
        <v>45</v>
      </c>
      <c r="I2274" s="79">
        <v>241.13</v>
      </c>
      <c r="J2274" s="79">
        <v>10850.85</v>
      </c>
      <c r="K2274" s="79"/>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77">
        <v>3</v>
      </c>
      <c r="B2275" s="77" t="s">
        <v>70</v>
      </c>
      <c r="C2275" s="77" t="s">
        <v>2927</v>
      </c>
      <c r="D2275" s="77" t="s">
        <v>1641</v>
      </c>
      <c r="E2275" s="11" t="str">
        <f t="array" ref="E2275">_xlfn.XLOOKUP(D2275,Insumos!B:B,Insumos!C:$C)</f>
        <v>L</v>
      </c>
      <c r="F2275" s="81">
        <v>0.8</v>
      </c>
      <c r="G2275" s="87">
        <f t="array" ref="G2275">IF(B2275="insumo",_xlfn.XLOOKUP($D2275,Insumos!$B$1:$B$996,Insumos!$D$1:$D$996),"")</f>
        <v>60</v>
      </c>
      <c r="H2275" s="88">
        <v>48</v>
      </c>
      <c r="I2275" s="79">
        <v>241.13</v>
      </c>
      <c r="J2275" s="79">
        <v>11574.24</v>
      </c>
      <c r="K2275" s="79"/>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355">
        <v>2</v>
      </c>
      <c r="B2276" s="355" t="s">
        <v>1227</v>
      </c>
      <c r="C2276" s="355" t="s">
        <v>2913</v>
      </c>
      <c r="D2276" s="355" t="s">
        <v>1387</v>
      </c>
      <c r="E2276" s="356"/>
      <c r="F2276" s="357"/>
      <c r="G2276" s="356"/>
      <c r="H2276" s="330">
        <v>0</v>
      </c>
      <c r="I2276" s="357">
        <v>0</v>
      </c>
      <c r="J2276" s="357">
        <v>0</v>
      </c>
      <c r="K2276" s="357"/>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332">
        <v>1</v>
      </c>
      <c r="B2277" s="332" t="s">
        <v>67</v>
      </c>
      <c r="C2277" s="332" t="s">
        <v>1605</v>
      </c>
      <c r="D2277" s="332" t="s">
        <v>1605</v>
      </c>
      <c r="E2277" s="333" t="s">
        <v>196</v>
      </c>
      <c r="F2277" s="332"/>
      <c r="G2277" s="334" t="str">
        <f t="array" ref="G2277">IF(B2277="insumo",_xlfn.XLOOKUP($D2277,Insumos!$B$1:$B$996,Insumos!$D$1:$D$996),"")</f>
        <v/>
      </c>
      <c r="H2277" s="334">
        <v>27.4</v>
      </c>
      <c r="I2277" s="335">
        <v>0</v>
      </c>
      <c r="J2277" s="335">
        <v>0</v>
      </c>
      <c r="K2277" s="335"/>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70</v>
      </c>
      <c r="C2278" s="10" t="s">
        <v>1605</v>
      </c>
      <c r="D2278" s="10" t="s">
        <v>1604</v>
      </c>
      <c r="E2278" s="11" t="str">
        <f t="array" ref="E2278">_xlfn.XLOOKUP(D2278,Insumos!B:B,Insumos!C:$C)</f>
        <v>M2</v>
      </c>
      <c r="F2278" s="14">
        <v>1</v>
      </c>
      <c r="G2278" s="87">
        <f t="array" ref="G2278">IF(B2278="insumo",_xlfn.XLOOKUP($D2278,Insumos!$B$1:$B$996,Insumos!$D$1:$D$996),"")</f>
        <v>27.4</v>
      </c>
      <c r="H2278" s="87">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332">
        <v>1</v>
      </c>
      <c r="B2279" s="332" t="s">
        <v>67</v>
      </c>
      <c r="C2279" s="332" t="s">
        <v>469</v>
      </c>
      <c r="D2279" s="332" t="s">
        <v>469</v>
      </c>
      <c r="E2279" s="333" t="s">
        <v>69</v>
      </c>
      <c r="F2279" s="332"/>
      <c r="G2279" s="334" t="str">
        <f t="array" ref="G2279">IF(B2279="insumo",_xlfn.XLOOKUP($D2279,Insumos!$B$1:$B$996,Insumos!$D$1:$D$996),"")</f>
        <v/>
      </c>
      <c r="H2279" s="334">
        <v>20</v>
      </c>
      <c r="I2279" s="335">
        <v>3018.39</v>
      </c>
      <c r="J2279" s="335">
        <v>60367.8</v>
      </c>
      <c r="K2279" s="335"/>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70</v>
      </c>
      <c r="C2280" s="10" t="s">
        <v>469</v>
      </c>
      <c r="D2280" s="10" t="s">
        <v>469</v>
      </c>
      <c r="E2280" s="11" t="str">
        <f t="array" ref="E2280">_xlfn.XLOOKUP(D2280,Insumos!B:B,Insumos!C:$C)</f>
        <v>M2</v>
      </c>
      <c r="F2280" s="14">
        <v>1</v>
      </c>
      <c r="G2280" s="87">
        <f t="array" ref="G2280">IF(B2280="insumo",_xlfn.XLOOKUP($D2280,Insumos!$B$1:$B$996,Insumos!$D$1:$D$996),"")</f>
        <v>20</v>
      </c>
      <c r="H2280" s="87">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332">
        <v>1</v>
      </c>
      <c r="B2281" s="332" t="s">
        <v>67</v>
      </c>
      <c r="C2281" s="332" t="s">
        <v>470</v>
      </c>
      <c r="D2281" s="332" t="s">
        <v>470</v>
      </c>
      <c r="E2281" s="333" t="s">
        <v>69</v>
      </c>
      <c r="F2281" s="340"/>
      <c r="G2281" s="334" t="str">
        <f t="array" ref="G2281">IF(B2281="insumo",_xlfn.XLOOKUP($D2281,Insumos!$B$1:$B$996,Insumos!$D$1:$D$996),"")</f>
        <v/>
      </c>
      <c r="H2281" s="334">
        <v>35</v>
      </c>
      <c r="I2281" s="335">
        <v>1014.45</v>
      </c>
      <c r="J2281" s="335">
        <v>35505.75</v>
      </c>
      <c r="K2281" s="335"/>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70</v>
      </c>
      <c r="C2282" s="10" t="s">
        <v>470</v>
      </c>
      <c r="D2282" s="10" t="s">
        <v>470</v>
      </c>
      <c r="E2282" s="11" t="str">
        <f t="array" ref="E2282">_xlfn.XLOOKUP(D2282,Insumos!B:B,Insumos!C:$C)</f>
        <v>UN</v>
      </c>
      <c r="F2282" s="14">
        <v>1</v>
      </c>
      <c r="G2282" s="87">
        <f t="array" ref="G2282">IF(B2282="insumo",_xlfn.XLOOKUP($D2282,Insumos!$B$1:$B$996,Insumos!$D$1:$D$996),"")</f>
        <v>35</v>
      </c>
      <c r="H2282" s="87">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332">
        <v>1</v>
      </c>
      <c r="B2283" s="332" t="s">
        <v>67</v>
      </c>
      <c r="C2283" s="332" t="s">
        <v>471</v>
      </c>
      <c r="D2283" s="332" t="s">
        <v>471</v>
      </c>
      <c r="E2283" s="333" t="s">
        <v>69</v>
      </c>
      <c r="F2283" s="340"/>
      <c r="G2283" s="334" t="str">
        <f t="array" ref="G2283">IF(B2283="insumo",_xlfn.XLOOKUP($D2283,Insumos!$B$1:$B$996,Insumos!$D$1:$D$996),"")</f>
        <v/>
      </c>
      <c r="H2283" s="334">
        <v>30</v>
      </c>
      <c r="I2283" s="335">
        <v>0</v>
      </c>
      <c r="J2283" s="335">
        <v>0</v>
      </c>
      <c r="K2283" s="335"/>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70</v>
      </c>
      <c r="C2284" s="10" t="s">
        <v>471</v>
      </c>
      <c r="D2284" s="10" t="s">
        <v>471</v>
      </c>
      <c r="E2284" s="11" t="str">
        <f t="array" ref="E2284">_xlfn.XLOOKUP(D2284,Insumos!B:B,Insumos!C:$C)</f>
        <v>UN</v>
      </c>
      <c r="F2284" s="14">
        <v>1</v>
      </c>
      <c r="G2284" s="87">
        <f t="array" ref="G2284">IF(B2284="insumo",_xlfn.XLOOKUP($D2284,Insumos!$B$1:$B$996,Insumos!$D$1:$D$996),"")</f>
        <v>30</v>
      </c>
      <c r="H2284" s="87">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332">
        <v>1</v>
      </c>
      <c r="B2285" s="332" t="s">
        <v>67</v>
      </c>
      <c r="C2285" s="332" t="s">
        <v>472</v>
      </c>
      <c r="D2285" s="332" t="s">
        <v>472</v>
      </c>
      <c r="E2285" s="333" t="s">
        <v>69</v>
      </c>
      <c r="F2285" s="340"/>
      <c r="G2285" s="334" t="str">
        <f t="array" ref="G2285">IF(B2285="insumo",_xlfn.XLOOKUP($D2285,Insumos!$B$1:$B$996,Insumos!$D$1:$D$996),"")</f>
        <v/>
      </c>
      <c r="H2285" s="334">
        <v>45</v>
      </c>
      <c r="I2285" s="335">
        <v>0</v>
      </c>
      <c r="J2285" s="335">
        <v>0</v>
      </c>
      <c r="K2285" s="335"/>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70</v>
      </c>
      <c r="C2286" s="10" t="s">
        <v>472</v>
      </c>
      <c r="D2286" s="10" t="s">
        <v>472</v>
      </c>
      <c r="E2286" s="11" t="str">
        <f t="array" ref="E2286">_xlfn.XLOOKUP(D2286,Insumos!B:B,Insumos!C:$C)</f>
        <v>UN</v>
      </c>
      <c r="F2286" s="14">
        <v>1</v>
      </c>
      <c r="G2286" s="87">
        <f t="array" ref="G2286">IF(B2286="insumo",_xlfn.XLOOKUP($D2286,Insumos!$B$1:$B$996,Insumos!$D$1:$D$996),"")</f>
        <v>45</v>
      </c>
      <c r="H2286" s="87">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332">
        <v>1</v>
      </c>
      <c r="B2287" s="332" t="s">
        <v>67</v>
      </c>
      <c r="C2287" s="332" t="s">
        <v>473</v>
      </c>
      <c r="D2287" s="332" t="s">
        <v>473</v>
      </c>
      <c r="E2287" s="333" t="s">
        <v>69</v>
      </c>
      <c r="F2287" s="340"/>
      <c r="G2287" s="334" t="str">
        <f t="array" ref="G2287">IF(B2287="insumo",_xlfn.XLOOKUP($D2287,Insumos!$B$1:$B$996,Insumos!$D$1:$D$996),"")</f>
        <v/>
      </c>
      <c r="H2287" s="334">
        <v>30</v>
      </c>
      <c r="I2287" s="335">
        <v>0</v>
      </c>
      <c r="J2287" s="335">
        <v>0</v>
      </c>
      <c r="K2287" s="335"/>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70</v>
      </c>
      <c r="C2288" s="10" t="s">
        <v>473</v>
      </c>
      <c r="D2288" s="10" t="s">
        <v>473</v>
      </c>
      <c r="E2288" s="11" t="str">
        <f t="array" ref="E2288">_xlfn.XLOOKUP(D2288,Insumos!B:B,Insumos!C:$C)</f>
        <v>UN</v>
      </c>
      <c r="F2288" s="14">
        <v>1</v>
      </c>
      <c r="G2288" s="87">
        <f t="array" ref="G2288">IF(B2288="insumo",_xlfn.XLOOKUP($D2288,Insumos!$B$1:$B$996,Insumos!$D$1:$D$996),"")</f>
        <v>30</v>
      </c>
      <c r="H2288" s="87">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332">
        <v>1</v>
      </c>
      <c r="B2289" s="332" t="s">
        <v>67</v>
      </c>
      <c r="C2289" s="332" t="s">
        <v>474</v>
      </c>
      <c r="D2289" s="332" t="s">
        <v>474</v>
      </c>
      <c r="E2289" s="333" t="s">
        <v>69</v>
      </c>
      <c r="F2289" s="340"/>
      <c r="G2289" s="334" t="str">
        <f t="array" ref="G2289">IF(B2289="insumo",_xlfn.XLOOKUP($D2289,Insumos!$B$1:$B$996,Insumos!$D$1:$D$996),"")</f>
        <v/>
      </c>
      <c r="H2289" s="334">
        <v>30</v>
      </c>
      <c r="I2289" s="335">
        <v>0</v>
      </c>
      <c r="J2289" s="335">
        <v>0</v>
      </c>
      <c r="K2289" s="335"/>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70</v>
      </c>
      <c r="C2290" s="10" t="s">
        <v>474</v>
      </c>
      <c r="D2290" s="10" t="s">
        <v>473</v>
      </c>
      <c r="E2290" s="11" t="str">
        <f t="array" ref="E2290">_xlfn.XLOOKUP(D2290,Insumos!B:B,Insumos!C:$C)</f>
        <v>UN</v>
      </c>
      <c r="F2290" s="14">
        <v>1</v>
      </c>
      <c r="G2290" s="87">
        <f t="array" ref="G2290">IF(B2290="insumo",_xlfn.XLOOKUP($D2290,Insumos!$B$1:$B$996,Insumos!$D$1:$D$996),"")</f>
        <v>30</v>
      </c>
      <c r="H2290" s="87">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332">
        <v>1</v>
      </c>
      <c r="B2291" s="332" t="s">
        <v>67</v>
      </c>
      <c r="C2291" s="332" t="s">
        <v>475</v>
      </c>
      <c r="D2291" s="332" t="s">
        <v>475</v>
      </c>
      <c r="E2291" s="333" t="s">
        <v>69</v>
      </c>
      <c r="F2291" s="332"/>
      <c r="G2291" s="334" t="str">
        <f t="array" ref="G2291">IF(B2291="insumo",_xlfn.XLOOKUP($D2291,Insumos!$B$1:$B$996,Insumos!$D$1:$D$996),"")</f>
        <v/>
      </c>
      <c r="H2291" s="334">
        <v>28</v>
      </c>
      <c r="I2291" s="335">
        <v>698.85</v>
      </c>
      <c r="J2291" s="335">
        <v>19567.8</v>
      </c>
      <c r="K2291" s="335"/>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70</v>
      </c>
      <c r="C2292" s="10" t="s">
        <v>475</v>
      </c>
      <c r="D2292" s="10" t="s">
        <v>475</v>
      </c>
      <c r="E2292" s="11" t="str">
        <f t="array" ref="E2292">_xlfn.XLOOKUP(D2292,Insumos!B:B,Insumos!C:$C)</f>
        <v>M2</v>
      </c>
      <c r="F2292" s="14">
        <v>1</v>
      </c>
      <c r="G2292" s="87">
        <f t="array" ref="G2292">IF(B2292="insumo",_xlfn.XLOOKUP($D2292,Insumos!$B$1:$B$996,Insumos!$D$1:$D$996),"")</f>
        <v>28</v>
      </c>
      <c r="H2292" s="87">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332">
        <v>1</v>
      </c>
      <c r="B2293" s="332" t="s">
        <v>67</v>
      </c>
      <c r="C2293" s="332" t="s">
        <v>1597</v>
      </c>
      <c r="D2293" s="332" t="s">
        <v>1597</v>
      </c>
      <c r="E2293" s="333" t="s">
        <v>69</v>
      </c>
      <c r="F2293" s="340"/>
      <c r="G2293" s="334" t="str">
        <f t="array" ref="G2293">IF(B2293="insumo",_xlfn.XLOOKUP($D2293,Insumos!$B$1:$B$996,Insumos!$D$1:$D$996),"")</f>
        <v/>
      </c>
      <c r="H2293" s="334">
        <v>30</v>
      </c>
      <c r="I2293" s="335">
        <v>0</v>
      </c>
      <c r="J2293" s="335">
        <v>0</v>
      </c>
      <c r="K2293" s="335"/>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70</v>
      </c>
      <c r="C2294" s="10" t="s">
        <v>1597</v>
      </c>
      <c r="D2294" s="10" t="s">
        <v>1597</v>
      </c>
      <c r="E2294" s="11" t="str">
        <f t="array" ref="E2294">_xlfn.XLOOKUP(D2294,Insumos!B:B,Insumos!C:$C)</f>
        <v>UN</v>
      </c>
      <c r="F2294" s="14">
        <v>1</v>
      </c>
      <c r="G2294" s="87">
        <f t="array" ref="G2294">IF(B2294="insumo",_xlfn.XLOOKUP($D2294,Insumos!$B$1:$B$996,Insumos!$D$1:$D$996),"")</f>
        <v>30</v>
      </c>
      <c r="H2294" s="87">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332">
        <v>1</v>
      </c>
      <c r="B2295" s="332" t="s">
        <v>67</v>
      </c>
      <c r="C2295" s="332" t="s">
        <v>476</v>
      </c>
      <c r="D2295" s="332" t="s">
        <v>476</v>
      </c>
      <c r="E2295" s="333" t="s">
        <v>69</v>
      </c>
      <c r="F2295" s="340"/>
      <c r="G2295" s="334" t="str">
        <f t="array" ref="G2295">IF(B2295="insumo",_xlfn.XLOOKUP($D2295,Insumos!$B$1:$B$996,Insumos!$D$1:$D$996),"")</f>
        <v/>
      </c>
      <c r="H2295" s="334">
        <v>30</v>
      </c>
      <c r="I2295" s="335">
        <v>0</v>
      </c>
      <c r="J2295" s="335">
        <v>0</v>
      </c>
      <c r="K2295" s="335"/>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70</v>
      </c>
      <c r="C2296" s="10" t="s">
        <v>476</v>
      </c>
      <c r="D2296" s="10" t="s">
        <v>476</v>
      </c>
      <c r="E2296" s="11" t="str">
        <f t="array" ref="E2296">_xlfn.XLOOKUP(D2296,Insumos!B:B,Insumos!C:$C)</f>
        <v>UN</v>
      </c>
      <c r="F2296" s="14">
        <v>1</v>
      </c>
      <c r="G2296" s="87">
        <f t="array" ref="G2296">IF(B2296="insumo",_xlfn.XLOOKUP($D2296,Insumos!$B$1:$B$996,Insumos!$D$1:$D$996),"")</f>
        <v>30</v>
      </c>
      <c r="H2296" s="87">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332">
        <v>1</v>
      </c>
      <c r="B2297" s="332" t="s">
        <v>67</v>
      </c>
      <c r="C2297" s="332" t="s">
        <v>477</v>
      </c>
      <c r="D2297" s="332" t="s">
        <v>477</v>
      </c>
      <c r="E2297" s="333" t="s">
        <v>69</v>
      </c>
      <c r="F2297" s="340"/>
      <c r="G2297" s="334" t="str">
        <f t="array" ref="G2297">IF(B2297="insumo",_xlfn.XLOOKUP($D2297,Insumos!$B$1:$B$996,Insumos!$D$1:$D$996),"")</f>
        <v/>
      </c>
      <c r="H2297" s="334">
        <v>50</v>
      </c>
      <c r="I2297" s="335">
        <v>669</v>
      </c>
      <c r="J2297" s="335">
        <v>33450</v>
      </c>
      <c r="K2297" s="335"/>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70</v>
      </c>
      <c r="C2298" s="10" t="s">
        <v>477</v>
      </c>
      <c r="D2298" s="10" t="s">
        <v>477</v>
      </c>
      <c r="E2298" s="11" t="str">
        <f t="array" ref="E2298">_xlfn.XLOOKUP(D2298,Insumos!B:B,Insumos!C:$C)</f>
        <v>UN</v>
      </c>
      <c r="F2298" s="14">
        <v>1</v>
      </c>
      <c r="G2298" s="87">
        <f t="array" ref="G2298">IF(B2298="insumo",_xlfn.XLOOKUP($D2298,Insumos!$B$1:$B$996,Insumos!$D$1:$D$996),"")</f>
        <v>50</v>
      </c>
      <c r="H2298" s="87">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332">
        <v>1</v>
      </c>
      <c r="B2299" s="332" t="s">
        <v>67</v>
      </c>
      <c r="C2299" s="332" t="s">
        <v>2930</v>
      </c>
      <c r="D2299" s="332" t="s">
        <v>2930</v>
      </c>
      <c r="E2299" s="333" t="s">
        <v>69</v>
      </c>
      <c r="F2299" s="340"/>
      <c r="G2299" s="334" t="str">
        <f t="array" ref="G2299">IF(B2299="insumo",_xlfn.XLOOKUP($D2299,Insumos!$B$1:$B$996,Insumos!$D$1:$D$996),"")</f>
        <v/>
      </c>
      <c r="H2299" s="334">
        <v>30</v>
      </c>
      <c r="I2299" s="345">
        <v>97.67</v>
      </c>
      <c r="J2299" s="335">
        <v>2930.1</v>
      </c>
      <c r="K2299" s="335"/>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70</v>
      </c>
      <c r="C2300" s="10" t="s">
        <v>2930</v>
      </c>
      <c r="D2300" s="10" t="s">
        <v>2930</v>
      </c>
      <c r="E2300" s="11" t="str">
        <f t="array" ref="E2300">_xlfn.XLOOKUP(D2300,Insumos!B:B,Insumos!C:$C)</f>
        <v>M2</v>
      </c>
      <c r="F2300" s="14">
        <v>1</v>
      </c>
      <c r="G2300" s="87">
        <f t="array" ref="G2300">IF(B2300="insumo",_xlfn.XLOOKUP($D2300,Insumos!$B$1:$B$996,Insumos!$D$1:$D$996),"")</f>
        <v>30</v>
      </c>
      <c r="H2300" s="87">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332">
        <v>1</v>
      </c>
      <c r="B2301" s="332" t="s">
        <v>67</v>
      </c>
      <c r="C2301" s="332" t="s">
        <v>2931</v>
      </c>
      <c r="D2301" s="332" t="s">
        <v>2931</v>
      </c>
      <c r="E2301" s="333" t="s">
        <v>69</v>
      </c>
      <c r="F2301" s="340"/>
      <c r="G2301" s="334" t="str">
        <f t="array" ref="G2301">IF(B2301="insumo",_xlfn.XLOOKUP($D2301,Insumos!$B$1:$B$996,Insumos!$D$1:$D$996),"")</f>
        <v/>
      </c>
      <c r="H2301" s="334">
        <v>32</v>
      </c>
      <c r="I2301" s="345">
        <v>4925.75</v>
      </c>
      <c r="J2301" s="335">
        <v>157624</v>
      </c>
      <c r="K2301" s="335"/>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70</v>
      </c>
      <c r="C2302" s="10" t="s">
        <v>2931</v>
      </c>
      <c r="D2302" s="10" t="s">
        <v>2931</v>
      </c>
      <c r="E2302" s="11" t="str">
        <f t="array" ref="E2302">_xlfn.XLOOKUP(D2302,Insumos!B:B,Insumos!C:$C)</f>
        <v>M2</v>
      </c>
      <c r="F2302" s="14">
        <v>1</v>
      </c>
      <c r="G2302" s="87">
        <f t="array" ref="G2302">IF(B2302="insumo",_xlfn.XLOOKUP($D2302,Insumos!$B$1:$B$996,Insumos!$D$1:$D$996),"")</f>
        <v>32</v>
      </c>
      <c r="H2302" s="87">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332">
        <v>1</v>
      </c>
      <c r="B2303" s="332" t="s">
        <v>67</v>
      </c>
      <c r="C2303" s="332" t="s">
        <v>2934</v>
      </c>
      <c r="D2303" s="332" t="s">
        <v>2934</v>
      </c>
      <c r="E2303" s="333" t="s">
        <v>69</v>
      </c>
      <c r="F2303" s="340"/>
      <c r="G2303" s="334" t="str">
        <f t="array" ref="G2303">IF(B2303="insumo",_xlfn.XLOOKUP($D2303,Insumos!$B$1:$B$996,Insumos!$D$1:$D$996),"")</f>
        <v/>
      </c>
      <c r="H2303" s="334">
        <v>38</v>
      </c>
      <c r="I2303" s="335">
        <v>234</v>
      </c>
      <c r="J2303" s="335">
        <v>8892</v>
      </c>
      <c r="K2303" s="335"/>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70</v>
      </c>
      <c r="C2304" s="10" t="s">
        <v>2934</v>
      </c>
      <c r="D2304" s="10" t="s">
        <v>2934</v>
      </c>
      <c r="E2304" s="11" t="str">
        <f t="array" ref="E2304">_xlfn.XLOOKUP(D2304,Insumos!B:B,Insumos!C:$C)</f>
        <v>M2</v>
      </c>
      <c r="F2304" s="14">
        <v>1</v>
      </c>
      <c r="G2304" s="87">
        <f t="array" ref="G2304">IF(B2304="insumo",_xlfn.XLOOKUP($D2304,Insumos!$B$1:$B$996,Insumos!$D$1:$D$996),"")</f>
        <v>38</v>
      </c>
      <c r="H2304" s="87">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332">
        <v>1</v>
      </c>
      <c r="B2305" s="332" t="s">
        <v>67</v>
      </c>
      <c r="C2305" s="332" t="s">
        <v>2935</v>
      </c>
      <c r="D2305" s="332" t="s">
        <v>2935</v>
      </c>
      <c r="E2305" s="333" t="s">
        <v>69</v>
      </c>
      <c r="F2305" s="340"/>
      <c r="G2305" s="334" t="str">
        <f t="array" ref="G2305">IF(B2305="insumo",_xlfn.XLOOKUP($D2305,Insumos!$B$1:$B$996,Insumos!$D$1:$D$996),"")</f>
        <v/>
      </c>
      <c r="H2305" s="334">
        <v>45</v>
      </c>
      <c r="I2305" s="335">
        <v>757.06</v>
      </c>
      <c r="J2305" s="335">
        <v>34067.699999999997</v>
      </c>
      <c r="K2305" s="335"/>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70</v>
      </c>
      <c r="C2306" s="10" t="s">
        <v>2935</v>
      </c>
      <c r="D2306" s="10" t="s">
        <v>2935</v>
      </c>
      <c r="E2306" s="11" t="str">
        <f t="array" ref="E2306">_xlfn.XLOOKUP(D2306,Insumos!B:B,Insumos!C:$C)</f>
        <v>M2</v>
      </c>
      <c r="F2306" s="14">
        <v>1</v>
      </c>
      <c r="G2306" s="87">
        <f t="array" ref="G2306">IF(B2306="insumo",_xlfn.XLOOKUP($D2306,Insumos!$B$1:$B$996,Insumos!$D$1:$D$996),"")</f>
        <v>45</v>
      </c>
      <c r="H2306" s="87">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332">
        <v>1</v>
      </c>
      <c r="B2307" s="332" t="s">
        <v>67</v>
      </c>
      <c r="C2307" s="332" t="s">
        <v>2932</v>
      </c>
      <c r="D2307" s="332" t="s">
        <v>2932</v>
      </c>
      <c r="E2307" s="333" t="s">
        <v>69</v>
      </c>
      <c r="F2307" s="332"/>
      <c r="G2307" s="334" t="str">
        <f t="array" ref="G2307">IF(B2307="insumo",_xlfn.XLOOKUP($D2307,Insumos!$B$1:$B$996,Insumos!$D$1:$D$996),"")</f>
        <v/>
      </c>
      <c r="H2307" s="334">
        <v>45</v>
      </c>
      <c r="I2307" s="335">
        <v>342.12</v>
      </c>
      <c r="J2307" s="335">
        <v>15395.4</v>
      </c>
      <c r="K2307" s="335"/>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70</v>
      </c>
      <c r="C2308" s="10" t="s">
        <v>2932</v>
      </c>
      <c r="D2308" s="10" t="s">
        <v>2932</v>
      </c>
      <c r="E2308" s="11" t="str">
        <f t="array" ref="E2308">_xlfn.XLOOKUP(D2308,Insumos!B:B,Insumos!C:$C)</f>
        <v>M2</v>
      </c>
      <c r="F2308" s="14">
        <v>1</v>
      </c>
      <c r="G2308" s="87">
        <f t="array" ref="G2308">IF(B2308="insumo",_xlfn.XLOOKUP($D2308,Insumos!$B$1:$B$996,Insumos!$D$1:$D$996),"")</f>
        <v>45</v>
      </c>
      <c r="H2308" s="87">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332">
        <v>1</v>
      </c>
      <c r="B2309" s="332" t="s">
        <v>67</v>
      </c>
      <c r="C2309" s="332" t="s">
        <v>2936</v>
      </c>
      <c r="D2309" s="332" t="s">
        <v>2936</v>
      </c>
      <c r="E2309" s="333" t="s">
        <v>69</v>
      </c>
      <c r="F2309" s="340"/>
      <c r="G2309" s="334" t="str">
        <f t="array" ref="G2309">IF(B2309="insumo",_xlfn.XLOOKUP($D2309,Insumos!$B$1:$B$996,Insumos!$D$1:$D$996),"")</f>
        <v/>
      </c>
      <c r="H2309" s="334">
        <v>62</v>
      </c>
      <c r="I2309" s="335">
        <v>241.13</v>
      </c>
      <c r="J2309" s="335">
        <v>14950.06</v>
      </c>
      <c r="K2309" s="335"/>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70</v>
      </c>
      <c r="C2310" s="10" t="s">
        <v>2936</v>
      </c>
      <c r="D2310" s="10" t="s">
        <v>2936</v>
      </c>
      <c r="E2310" s="11" t="str">
        <f t="array" ref="E2310">_xlfn.XLOOKUP(D2310,Insumos!B:B,Insumos!C:$C)</f>
        <v>M2</v>
      </c>
      <c r="F2310" s="14">
        <v>1</v>
      </c>
      <c r="G2310" s="87">
        <f t="array" ref="G2310">IF(B2310="insumo",_xlfn.XLOOKUP($D2310,Insumos!$B$1:$B$996,Insumos!$D$1:$D$996),"")</f>
        <v>62</v>
      </c>
      <c r="H2310" s="87">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332">
        <v>1</v>
      </c>
      <c r="B2311" s="332" t="s">
        <v>67</v>
      </c>
      <c r="C2311" s="332" t="s">
        <v>2937</v>
      </c>
      <c r="D2311" s="332" t="s">
        <v>2937</v>
      </c>
      <c r="E2311" s="333" t="s">
        <v>69</v>
      </c>
      <c r="F2311" s="340"/>
      <c r="G2311" s="334" t="str">
        <f t="array" ref="G2311">IF(B2311="insumo",_xlfn.XLOOKUP($D2311,Insumos!$B$1:$B$996,Insumos!$D$1:$D$996),"")</f>
        <v/>
      </c>
      <c r="H2311" s="334">
        <v>35</v>
      </c>
      <c r="I2311" s="335">
        <v>68.2</v>
      </c>
      <c r="J2311" s="335">
        <v>2387</v>
      </c>
      <c r="K2311" s="335"/>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70</v>
      </c>
      <c r="C2312" s="10" t="s">
        <v>2937</v>
      </c>
      <c r="D2312" s="10" t="s">
        <v>2937</v>
      </c>
      <c r="E2312" s="11" t="str">
        <f t="array" ref="E2312">_xlfn.XLOOKUP(D2312,Insumos!B:B,Insumos!C:$C)</f>
        <v>M2</v>
      </c>
      <c r="F2312" s="14">
        <v>1</v>
      </c>
      <c r="G2312" s="87">
        <f t="array" ref="G2312">IF(B2312="insumo",_xlfn.XLOOKUP($D2312,Insumos!$B$1:$B$996,Insumos!$D$1:$D$996),"")</f>
        <v>35</v>
      </c>
      <c r="H2312" s="87">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332">
        <v>1</v>
      </c>
      <c r="B2313" s="332" t="s">
        <v>67</v>
      </c>
      <c r="C2313" s="332" t="s">
        <v>2938</v>
      </c>
      <c r="D2313" s="332" t="s">
        <v>2938</v>
      </c>
      <c r="E2313" s="333" t="s">
        <v>69</v>
      </c>
      <c r="F2313" s="340"/>
      <c r="G2313" s="334" t="str">
        <f t="array" ref="G2313">IF(B2313="insumo",_xlfn.XLOOKUP($D2313,Insumos!$B$1:$B$996,Insumos!$D$1:$D$996),"")</f>
        <v/>
      </c>
      <c r="H2313" s="334">
        <v>42</v>
      </c>
      <c r="I2313" s="335">
        <v>900.28</v>
      </c>
      <c r="J2313" s="335">
        <v>37811.760000000002</v>
      </c>
      <c r="K2313" s="335"/>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70</v>
      </c>
      <c r="C2314" s="10" t="s">
        <v>2938</v>
      </c>
      <c r="D2314" s="10" t="s">
        <v>2938</v>
      </c>
      <c r="E2314" s="11" t="str">
        <f t="array" ref="E2314">_xlfn.XLOOKUP(D2314,Insumos!B:B,Insumos!C:$C)</f>
        <v>M2</v>
      </c>
      <c r="F2314" s="14">
        <v>1</v>
      </c>
      <c r="G2314" s="87">
        <f t="array" ref="G2314">IF(B2314="insumo",_xlfn.XLOOKUP($D2314,Insumos!$B$1:$B$996,Insumos!$D$1:$D$996),"")</f>
        <v>42</v>
      </c>
      <c r="H2314" s="87">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65</v>
      </c>
      <c r="C2315" s="7" t="s">
        <v>477</v>
      </c>
      <c r="D2315" s="7" t="s">
        <v>478</v>
      </c>
      <c r="E2315" s="8"/>
      <c r="F2315" s="9"/>
      <c r="G2315" s="86" t="str">
        <f t="array" ref="G2315">IF(B2315="insumo",_xlfn.XLOOKUP($D2315,Insumos!$B$1:$B$996,Insumos!$D$1:$D$996),"")</f>
        <v/>
      </c>
      <c r="H2315" s="86">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355">
        <v>1</v>
      </c>
      <c r="B2316" s="355" t="s">
        <v>1227</v>
      </c>
      <c r="C2316" s="355" t="s">
        <v>477</v>
      </c>
      <c r="D2316" s="355" t="s">
        <v>1376</v>
      </c>
      <c r="E2316" s="356"/>
      <c r="F2316" s="357"/>
      <c r="G2316" s="356"/>
      <c r="H2316" s="356">
        <v>0</v>
      </c>
      <c r="I2316" s="357">
        <v>0</v>
      </c>
      <c r="J2316" s="357">
        <v>0</v>
      </c>
      <c r="K2316" s="357"/>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332">
        <v>1</v>
      </c>
      <c r="B2317" s="332" t="s">
        <v>67</v>
      </c>
      <c r="C2317" s="332" t="s">
        <v>479</v>
      </c>
      <c r="D2317" s="332" t="s">
        <v>479</v>
      </c>
      <c r="E2317" s="333" t="s">
        <v>69</v>
      </c>
      <c r="F2317" s="332"/>
      <c r="G2317" s="334" t="str">
        <f t="array" ref="G2317">IF(B2317="insumo",_xlfn.XLOOKUP($D2317,Insumos!$B$1:$B$996,Insumos!$D$1:$D$996),"")</f>
        <v/>
      </c>
      <c r="H2317" s="334">
        <v>5.3224999999999998</v>
      </c>
      <c r="I2317" s="335">
        <v>0</v>
      </c>
      <c r="J2317" s="335">
        <v>0</v>
      </c>
      <c r="K2317" s="335"/>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70</v>
      </c>
      <c r="C2318" s="10" t="s">
        <v>479</v>
      </c>
      <c r="D2318" s="10" t="s">
        <v>480</v>
      </c>
      <c r="E2318" s="11" t="str">
        <f t="array" ref="E2318">_xlfn.XLOOKUP(D2318,Insumos!B:B,Insumos!C:$C)</f>
        <v>KG</v>
      </c>
      <c r="F2318" s="14">
        <v>5</v>
      </c>
      <c r="G2318" s="87">
        <f t="array" ref="G2318">IF(B2318="insumo",_xlfn.XLOOKUP($D2318,Insumos!$B$1:$B$996,Insumos!$D$1:$D$996),"")</f>
        <v>1.0645</v>
      </c>
      <c r="H2318" s="87">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332">
        <v>1</v>
      </c>
      <c r="B2319" s="332" t="s">
        <v>67</v>
      </c>
      <c r="C2319" s="332" t="s">
        <v>481</v>
      </c>
      <c r="D2319" s="332" t="s">
        <v>481</v>
      </c>
      <c r="E2319" s="333" t="s">
        <v>69</v>
      </c>
      <c r="F2319" s="332"/>
      <c r="G2319" s="334" t="str">
        <f t="array" ref="G2319">IF(B2319="insumo",_xlfn.XLOOKUP($D2319,Insumos!$B$1:$B$996,Insumos!$D$1:$D$996),"")</f>
        <v/>
      </c>
      <c r="H2319" s="334">
        <v>10.11778</v>
      </c>
      <c r="I2319" s="335" t="e">
        <v>#REF!</v>
      </c>
      <c r="J2319" s="335" t="e">
        <v>#REF!</v>
      </c>
      <c r="K2319" s="335"/>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70</v>
      </c>
      <c r="C2320" s="10" t="s">
        <v>481</v>
      </c>
      <c r="D2320" s="10" t="s">
        <v>480</v>
      </c>
      <c r="E2320" s="11" t="str">
        <f t="array" ref="E2320">_xlfn.XLOOKUP(D2320,Insumos!B:B,Insumos!C:$C)</f>
        <v>KG</v>
      </c>
      <c r="F2320" s="14">
        <v>6.34</v>
      </c>
      <c r="G2320" s="87">
        <f t="array" ref="G2320">IF(B2320="insumo",_xlfn.XLOOKUP($D2320,Insumos!$B$1:$B$996,Insumos!$D$1:$D$996),"")</f>
        <v>1.0645</v>
      </c>
      <c r="H2320" s="87">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70</v>
      </c>
      <c r="C2321" s="10" t="s">
        <v>481</v>
      </c>
      <c r="D2321" s="10" t="s">
        <v>482</v>
      </c>
      <c r="E2321" s="11" t="str">
        <f t="array" ref="E2321">_xlfn.XLOOKUP(D2321,Insumos!B:B,Insumos!C:$C)</f>
        <v>KG</v>
      </c>
      <c r="F2321" s="14">
        <v>0.3</v>
      </c>
      <c r="G2321" s="87">
        <f t="array" ref="G2321">IF(B2321="insumo",_xlfn.XLOOKUP($D2321,Insumos!$B$1:$B$996,Insumos!$D$1:$D$996),"")</f>
        <v>11.2295</v>
      </c>
      <c r="H2321" s="87">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332">
        <v>2</v>
      </c>
      <c r="B2322" s="332" t="s">
        <v>67</v>
      </c>
      <c r="C2322" s="332" t="s">
        <v>483</v>
      </c>
      <c r="D2322" s="332" t="s">
        <v>483</v>
      </c>
      <c r="E2322" s="333" t="s">
        <v>69</v>
      </c>
      <c r="F2322" s="332"/>
      <c r="G2322" s="334" t="str">
        <f t="array" ref="G2322">IF(B2322="insumo",_xlfn.XLOOKUP($D2322,Insumos!$B$1:$B$996,Insumos!$D$1:$D$996),"")</f>
        <v/>
      </c>
      <c r="H2322" s="334">
        <v>6.6917340000000003</v>
      </c>
      <c r="I2322" s="335">
        <v>0</v>
      </c>
      <c r="J2322" s="335">
        <v>0</v>
      </c>
      <c r="K2322" s="335"/>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70</v>
      </c>
      <c r="C2323" s="15" t="s">
        <v>483</v>
      </c>
      <c r="D2323" s="15" t="s">
        <v>484</v>
      </c>
      <c r="E2323" s="11" t="str">
        <f t="array" ref="E2323">_xlfn.XLOOKUP(D2323,Insumos!B:B,Insumos!C:$C)</f>
        <v>M3</v>
      </c>
      <c r="F2323" s="14">
        <v>4.1999999999999997E-3</v>
      </c>
      <c r="G2323" s="87">
        <f t="array" ref="G2323">IF(B2323="insumo",_xlfn.XLOOKUP($D2323,Insumos!$B$1:$B$996,Insumos!$D$1:$D$996),"")</f>
        <v>633.27</v>
      </c>
      <c r="H2323" s="87">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332">
        <v>2</v>
      </c>
      <c r="B2324" s="332" t="s">
        <v>67</v>
      </c>
      <c r="C2324" s="332" t="s">
        <v>483</v>
      </c>
      <c r="D2324" s="332" t="s">
        <v>483</v>
      </c>
      <c r="E2324" s="333" t="s">
        <v>69</v>
      </c>
      <c r="F2324" s="332"/>
      <c r="G2324" s="334" t="str">
        <f t="array" ref="G2324">IF(B2324="insumo",_xlfn.XLOOKUP($D2324,Insumos!$B$1:$B$996,Insumos!$D$1:$D$996),"")</f>
        <v/>
      </c>
      <c r="H2324" s="334">
        <v>2.016</v>
      </c>
      <c r="I2324" s="335">
        <v>0</v>
      </c>
      <c r="J2324" s="335">
        <v>0</v>
      </c>
      <c r="K2324" s="335"/>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70</v>
      </c>
      <c r="C2325" s="10" t="s">
        <v>483</v>
      </c>
      <c r="D2325" s="10" t="s">
        <v>485</v>
      </c>
      <c r="E2325" s="11" t="str">
        <f t="array" ref="E2325">_xlfn.XLOOKUP(D2325,Insumos!B:B,Insumos!C:$C)</f>
        <v>M3</v>
      </c>
      <c r="F2325" s="14">
        <v>4.1999999999999997E-3</v>
      </c>
      <c r="G2325" s="87">
        <f t="array" ref="G2325">IF(B2325="insumo",_xlfn.XLOOKUP($D2325,Insumos!$B$1:$B$996,Insumos!$D$1:$D$996),"")</f>
        <v>480</v>
      </c>
      <c r="H2325" s="87">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332">
        <v>1</v>
      </c>
      <c r="B2326" s="332" t="s">
        <v>67</v>
      </c>
      <c r="C2326" s="332" t="s">
        <v>1389</v>
      </c>
      <c r="D2326" s="332" t="s">
        <v>1389</v>
      </c>
      <c r="E2326" s="333" t="s">
        <v>69</v>
      </c>
      <c r="F2326" s="332"/>
      <c r="G2326" s="334" t="str">
        <f t="array" ref="G2326">IF(B2326="insumo",_xlfn.XLOOKUP($D2326,Insumos!$B$1:$B$996,Insumos!$D$1:$D$996),"")</f>
        <v/>
      </c>
      <c r="H2326" s="334">
        <v>5.12</v>
      </c>
      <c r="I2326" s="335">
        <v>0</v>
      </c>
      <c r="J2326" s="335">
        <v>0</v>
      </c>
      <c r="K2326" s="335"/>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70</v>
      </c>
      <c r="C2327" s="10" t="s">
        <v>1389</v>
      </c>
      <c r="D2327" s="10" t="s">
        <v>486</v>
      </c>
      <c r="E2327" s="11" t="str">
        <f t="array" ref="E2327">_xlfn.XLOOKUP(D2327,Insumos!B:B,Insumos!C:$C)</f>
        <v>KG</v>
      </c>
      <c r="F2327" s="14">
        <v>6.4</v>
      </c>
      <c r="G2327" s="87">
        <f t="array" ref="G2327">IF(B2327="insumo",_xlfn.XLOOKUP($D2327,Insumos!$B$1:$B$996,Insumos!$D$1:$D$996),"")</f>
        <v>0.8</v>
      </c>
      <c r="H2327" s="87">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332">
        <v>1</v>
      </c>
      <c r="B2328" s="332" t="s">
        <v>67</v>
      </c>
      <c r="C2328" s="332" t="s">
        <v>487</v>
      </c>
      <c r="D2328" s="332" t="s">
        <v>487</v>
      </c>
      <c r="E2328" s="333" t="s">
        <v>69</v>
      </c>
      <c r="F2328" s="332"/>
      <c r="G2328" s="334" t="str">
        <f t="array" ref="G2328">IF(B2328="insumo",_xlfn.XLOOKUP($D2328,Insumos!$B$1:$B$996,Insumos!$D$1:$D$996),"")</f>
        <v/>
      </c>
      <c r="H2328" s="334">
        <v>4.8088499999999996</v>
      </c>
      <c r="I2328" s="335">
        <v>0</v>
      </c>
      <c r="J2328" s="335">
        <v>0</v>
      </c>
      <c r="K2328" s="335"/>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70</v>
      </c>
      <c r="C2329" s="10" t="s">
        <v>487</v>
      </c>
      <c r="D2329" s="10" t="s">
        <v>486</v>
      </c>
      <c r="E2329" s="11" t="str">
        <f t="array" ref="E2329">_xlfn.XLOOKUP(D2329,Insumos!B:B,Insumos!C:$C)</f>
        <v>KG</v>
      </c>
      <c r="F2329" s="14">
        <v>1.8</v>
      </c>
      <c r="G2329" s="87">
        <f t="array" ref="G2329">IF(B2329="insumo",_xlfn.XLOOKUP($D2329,Insumos!$B$1:$B$996,Insumos!$D$1:$D$996),"")</f>
        <v>0.8</v>
      </c>
      <c r="H2329" s="87">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70</v>
      </c>
      <c r="C2330" s="10" t="s">
        <v>487</v>
      </c>
      <c r="D2330" s="10" t="s">
        <v>482</v>
      </c>
      <c r="E2330" s="11" t="str">
        <f t="array" ref="E2330">_xlfn.XLOOKUP(D2330,Insumos!B:B,Insumos!C:$C)</f>
        <v>KG</v>
      </c>
      <c r="F2330" s="14">
        <v>0.3</v>
      </c>
      <c r="G2330" s="87">
        <f t="array" ref="G2330">IF(B2330="insumo",_xlfn.XLOOKUP($D2330,Insumos!$B$1:$B$996,Insumos!$D$1:$D$996),"")</f>
        <v>11.2295</v>
      </c>
      <c r="H2330" s="87">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332">
        <v>1</v>
      </c>
      <c r="B2331" s="332" t="s">
        <v>67</v>
      </c>
      <c r="C2331" s="332" t="s">
        <v>490</v>
      </c>
      <c r="D2331" s="332" t="s">
        <v>490</v>
      </c>
      <c r="E2331" s="333" t="s">
        <v>69</v>
      </c>
      <c r="F2331" s="332"/>
      <c r="G2331" s="334" t="str">
        <f t="array" ref="G2331">IF(B2331="insumo",_xlfn.XLOOKUP($D2331,Insumos!$B$1:$B$996,Insumos!$D$1:$D$996),"")</f>
        <v/>
      </c>
      <c r="H2331" s="334">
        <v>3.28945</v>
      </c>
      <c r="I2331" s="335" t="e">
        <v>#REF!</v>
      </c>
      <c r="J2331" s="335" t="e">
        <v>#REF!</v>
      </c>
      <c r="K2331" s="335"/>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70</v>
      </c>
      <c r="C2332" s="15" t="s">
        <v>490</v>
      </c>
      <c r="D2332" s="15" t="s">
        <v>491</v>
      </c>
      <c r="E2332" s="11" t="str">
        <f t="array" ref="E2332">_xlfn.XLOOKUP(D2332,Insumos!B:B,Insumos!C:$C)</f>
        <v>M3</v>
      </c>
      <c r="F2332" s="14">
        <v>5.0000000000000001E-3</v>
      </c>
      <c r="G2332" s="87">
        <f t="array" ref="G2332">IF(B2332="insumo",_xlfn.XLOOKUP($D2332,Insumos!$B$1:$B$996,Insumos!$D$1:$D$996),"")</f>
        <v>657.89</v>
      </c>
      <c r="H2332" s="87">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332">
        <v>1</v>
      </c>
      <c r="B2333" s="332" t="s">
        <v>67</v>
      </c>
      <c r="C2333" s="332" t="s">
        <v>1390</v>
      </c>
      <c r="D2333" s="332" t="s">
        <v>1390</v>
      </c>
      <c r="E2333" s="333" t="s">
        <v>69</v>
      </c>
      <c r="F2333" s="332"/>
      <c r="G2333" s="334" t="str">
        <f t="array" ref="G2333">IF(B2333="insumo",_xlfn.XLOOKUP($D2333,Insumos!$B$1:$B$996,Insumos!$D$1:$D$996),"")</f>
        <v/>
      </c>
      <c r="H2333" s="334">
        <v>4</v>
      </c>
      <c r="I2333" s="335">
        <v>0</v>
      </c>
      <c r="J2333" s="335">
        <v>0</v>
      </c>
      <c r="K2333" s="335"/>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70</v>
      </c>
      <c r="C2334" s="10" t="s">
        <v>1390</v>
      </c>
      <c r="D2334" s="10" t="s">
        <v>486</v>
      </c>
      <c r="E2334" s="11" t="str">
        <f t="array" ref="E2334">_xlfn.XLOOKUP(D2334,Insumos!B:B,Insumos!C:$C)</f>
        <v>KG</v>
      </c>
      <c r="F2334" s="14">
        <v>5</v>
      </c>
      <c r="G2334" s="87">
        <f t="array" ref="G2334">IF(B2334="insumo",_xlfn.XLOOKUP($D2334,Insumos!$B$1:$B$996,Insumos!$D$1:$D$996),"")</f>
        <v>0.8</v>
      </c>
      <c r="H2334" s="87">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332">
        <v>1</v>
      </c>
      <c r="B2335" s="332" t="s">
        <v>67</v>
      </c>
      <c r="C2335" s="332" t="s">
        <v>1392</v>
      </c>
      <c r="D2335" s="332" t="s">
        <v>1392</v>
      </c>
      <c r="E2335" s="333" t="s">
        <v>69</v>
      </c>
      <c r="F2335" s="332"/>
      <c r="G2335" s="334" t="str">
        <f t="array" ref="G2335">IF(B2335="insumo",_xlfn.XLOOKUP($D2335,Insumos!$B$1:$B$996,Insumos!$D$1:$D$996),"")</f>
        <v/>
      </c>
      <c r="H2335" s="334">
        <v>4</v>
      </c>
      <c r="I2335" s="335">
        <v>0</v>
      </c>
      <c r="J2335" s="335">
        <v>0</v>
      </c>
      <c r="K2335" s="335"/>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70</v>
      </c>
      <c r="C2336" s="10" t="s">
        <v>1392</v>
      </c>
      <c r="D2336" s="10" t="s">
        <v>486</v>
      </c>
      <c r="E2336" s="11" t="str">
        <f t="array" ref="E2336">_xlfn.XLOOKUP(D2336,Insumos!B:B,Insumos!C:$C)</f>
        <v>KG</v>
      </c>
      <c r="F2336" s="14">
        <v>5</v>
      </c>
      <c r="G2336" s="87">
        <f t="array" ref="G2336">IF(B2336="insumo",_xlfn.XLOOKUP($D2336,Insumos!$B$1:$B$996,Insumos!$D$1:$D$996),"")</f>
        <v>0.8</v>
      </c>
      <c r="H2336" s="87">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355">
        <v>1</v>
      </c>
      <c r="B2337" s="355" t="s">
        <v>1227</v>
      </c>
      <c r="C2337" s="355" t="s">
        <v>1392</v>
      </c>
      <c r="D2337" s="355" t="s">
        <v>1378</v>
      </c>
      <c r="E2337" s="356"/>
      <c r="F2337" s="357"/>
      <c r="G2337" s="356"/>
      <c r="H2337" s="356">
        <v>0</v>
      </c>
      <c r="I2337" s="357">
        <v>0</v>
      </c>
      <c r="J2337" s="357">
        <v>0</v>
      </c>
      <c r="K2337" s="357"/>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336">
        <v>1</v>
      </c>
      <c r="B2338" s="336" t="s">
        <v>67</v>
      </c>
      <c r="C2338" s="336" t="s">
        <v>1725</v>
      </c>
      <c r="D2338" s="336" t="s">
        <v>1725</v>
      </c>
      <c r="E2338" s="337" t="s">
        <v>69</v>
      </c>
      <c r="F2338" s="336"/>
      <c r="G2338" s="338" t="str">
        <f t="array" ref="G2338">IF(B2338="insumo",_xlfn.XLOOKUP($D2338,Insumos!$B$1:$B$996,Insumos!$D$1:$D$996),"")</f>
        <v/>
      </c>
      <c r="H2338" s="338">
        <v>3.8416027499999998</v>
      </c>
      <c r="I2338" s="339">
        <v>0</v>
      </c>
      <c r="J2338" s="339">
        <v>0</v>
      </c>
      <c r="K2338" s="339"/>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77">
        <v>4</v>
      </c>
      <c r="B2339" s="77" t="s">
        <v>70</v>
      </c>
      <c r="C2339" s="77" t="s">
        <v>1725</v>
      </c>
      <c r="D2339" s="77" t="s">
        <v>489</v>
      </c>
      <c r="E2339" s="11" t="str">
        <f t="array" ref="E2339">_xlfn.XLOOKUP(D2339,Insumos!B:B,Insumos!C:$C)</f>
        <v>KG</v>
      </c>
      <c r="F2339" s="81">
        <f>F2341*0.5</f>
        <v>8.5368949999999995</v>
      </c>
      <c r="G2339" s="87">
        <f t="array" ref="G2339">IF(B2339="insumo",_xlfn.XLOOKUP($D2339,Insumos!$B$1:$B$996,Insumos!$D$1:$D$996),"")</f>
        <v>0.45</v>
      </c>
      <c r="H2339" s="87">
        <v>3.8416027499999998</v>
      </c>
      <c r="I2339" s="79">
        <v>0</v>
      </c>
      <c r="J2339" s="79">
        <v>0</v>
      </c>
      <c r="K2339" s="79"/>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336">
        <v>1</v>
      </c>
      <c r="B2340" s="336" t="s">
        <v>67</v>
      </c>
      <c r="C2340" s="336" t="s">
        <v>1726</v>
      </c>
      <c r="D2340" s="336" t="s">
        <v>1726</v>
      </c>
      <c r="E2340" s="337" t="s">
        <v>69</v>
      </c>
      <c r="F2340" s="336"/>
      <c r="G2340" s="338" t="str">
        <f t="array" ref="G2340">IF(B2340="insumo",_xlfn.XLOOKUP($D2340,Insumos!$B$1:$B$996,Insumos!$D$1:$D$996),"")</f>
        <v/>
      </c>
      <c r="H2340" s="338">
        <v>7.6832054999999997</v>
      </c>
      <c r="I2340" s="339">
        <v>0</v>
      </c>
      <c r="J2340" s="339">
        <v>0</v>
      </c>
      <c r="K2340" s="339"/>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77">
        <v>4</v>
      </c>
      <c r="B2341" s="77" t="s">
        <v>70</v>
      </c>
      <c r="C2341" s="77" t="s">
        <v>1726</v>
      </c>
      <c r="D2341" s="77" t="s">
        <v>489</v>
      </c>
      <c r="E2341" s="11" t="str">
        <f t="array" ref="E2341">_xlfn.XLOOKUP(D2341,Insumos!B:B,Insumos!C:$C)</f>
        <v>KG</v>
      </c>
      <c r="F2341" s="81">
        <f>17.07379</f>
        <v>17.073789999999999</v>
      </c>
      <c r="G2341" s="87">
        <f t="array" ref="G2341">IF(B2341="insumo",_xlfn.XLOOKUP($D2341,Insumos!$B$1:$B$996,Insumos!$D$1:$D$996),"")</f>
        <v>0.45</v>
      </c>
      <c r="H2341" s="87">
        <v>7.6832054999999997</v>
      </c>
      <c r="I2341" s="79">
        <v>0</v>
      </c>
      <c r="J2341" s="79">
        <v>0</v>
      </c>
      <c r="K2341" s="79"/>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332">
        <v>1</v>
      </c>
      <c r="B2342" s="332" t="s">
        <v>67</v>
      </c>
      <c r="C2342" s="332" t="s">
        <v>488</v>
      </c>
      <c r="D2342" s="332" t="s">
        <v>488</v>
      </c>
      <c r="E2342" s="333" t="s">
        <v>69</v>
      </c>
      <c r="F2342" s="332"/>
      <c r="G2342" s="334" t="str">
        <f t="array" ref="G2342">IF(B2342="insumo",_xlfn.XLOOKUP($D2342,Insumos!$B$1:$B$996,Insumos!$D$1:$D$996),"")</f>
        <v/>
      </c>
      <c r="H2342" s="334">
        <v>11.52480825</v>
      </c>
      <c r="I2342" s="335">
        <v>0</v>
      </c>
      <c r="J2342" s="335">
        <v>0</v>
      </c>
      <c r="K2342" s="335"/>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70</v>
      </c>
      <c r="C2343" s="10" t="s">
        <v>488</v>
      </c>
      <c r="D2343" s="10" t="s">
        <v>489</v>
      </c>
      <c r="E2343" s="11" t="str">
        <f t="array" ref="E2343">_xlfn.XLOOKUP(D2343,Insumos!B:B,Insumos!C:$C)</f>
        <v>KG</v>
      </c>
      <c r="F2343" s="14">
        <f>F2341*1.5</f>
        <v>25.610684999999997</v>
      </c>
      <c r="G2343" s="87">
        <f t="array" ref="G2343">IF(B2343="insumo",_xlfn.XLOOKUP($D2343,Insumos!$B$1:$B$996,Insumos!$D$1:$D$996),"")</f>
        <v>0.45</v>
      </c>
      <c r="H2343" s="87">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332">
        <v>1</v>
      </c>
      <c r="B2344" s="332" t="s">
        <v>67</v>
      </c>
      <c r="C2344" s="332" t="s">
        <v>492</v>
      </c>
      <c r="D2344" s="332" t="s">
        <v>492</v>
      </c>
      <c r="E2344" s="333" t="s">
        <v>69</v>
      </c>
      <c r="F2344" s="332"/>
      <c r="G2344" s="334" t="str">
        <f t="array" ref="G2344">IF(B2344="insumo",_xlfn.XLOOKUP($D2344,Insumos!$B$1:$B$996,Insumos!$D$1:$D$996),"")</f>
        <v/>
      </c>
      <c r="H2344" s="334">
        <v>5.20784</v>
      </c>
      <c r="I2344" s="335">
        <v>0</v>
      </c>
      <c r="J2344" s="335">
        <v>0</v>
      </c>
      <c r="K2344" s="335"/>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70</v>
      </c>
      <c r="C2345" s="10" t="s">
        <v>492</v>
      </c>
      <c r="D2345" s="10" t="s">
        <v>493</v>
      </c>
      <c r="E2345" s="11" t="str">
        <f t="array" ref="E2345">_xlfn.XLOOKUP(D2345,Insumos!B:B,Insumos!C:$C)</f>
        <v>KG</v>
      </c>
      <c r="F2345" s="14">
        <v>0.88</v>
      </c>
      <c r="G2345" s="87">
        <f t="array" ref="G2345">IF(B2345="insumo",_xlfn.XLOOKUP($D2345,Insumos!$B$1:$B$996,Insumos!$D$1:$D$996),"")</f>
        <v>5.9180000000000001</v>
      </c>
      <c r="H2345" s="87">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355">
        <v>1</v>
      </c>
      <c r="B2346" s="355" t="s">
        <v>1227</v>
      </c>
      <c r="C2346" s="355" t="s">
        <v>492</v>
      </c>
      <c r="D2346" s="355" t="s">
        <v>1377</v>
      </c>
      <c r="E2346" s="356"/>
      <c r="F2346" s="357"/>
      <c r="G2346" s="356"/>
      <c r="H2346" s="356">
        <v>0</v>
      </c>
      <c r="I2346" s="357">
        <v>0</v>
      </c>
      <c r="J2346" s="357">
        <v>0</v>
      </c>
      <c r="K2346" s="357"/>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336">
        <v>1</v>
      </c>
      <c r="B2347" s="336" t="s">
        <v>67</v>
      </c>
      <c r="C2347" s="336" t="s">
        <v>1727</v>
      </c>
      <c r="D2347" s="336" t="s">
        <v>1727</v>
      </c>
      <c r="E2347" s="337" t="s">
        <v>69</v>
      </c>
      <c r="F2347" s="336"/>
      <c r="G2347" s="338" t="str">
        <f t="array" ref="G2347">IF(B2347="insumo",_xlfn.XLOOKUP($D2347,Insumos!$B$1:$B$996,Insumos!$D$1:$D$996),"")</f>
        <v/>
      </c>
      <c r="H2347" s="338">
        <v>12.1595</v>
      </c>
      <c r="I2347" s="339">
        <v>0</v>
      </c>
      <c r="J2347" s="339">
        <v>0</v>
      </c>
      <c r="K2347" s="339"/>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77">
        <v>7</v>
      </c>
      <c r="B2348" s="77" t="s">
        <v>70</v>
      </c>
      <c r="C2348" s="77" t="s">
        <v>1727</v>
      </c>
      <c r="D2348" s="77" t="s">
        <v>495</v>
      </c>
      <c r="E2348" s="11" t="str">
        <f t="array" ref="E2348">_xlfn.XLOOKUP(D2348,Insumos!B:B,Insumos!C:$C)</f>
        <v>M3</v>
      </c>
      <c r="F2348" s="81">
        <v>2.93E-2</v>
      </c>
      <c r="G2348" s="87">
        <f t="array" ref="G2348">IF(B2348="insumo",_xlfn.XLOOKUP($D2348,Insumos!$B$1:$B$996,Insumos!$D$1:$D$996),"")</f>
        <v>415</v>
      </c>
      <c r="H2348" s="87">
        <v>12.1595</v>
      </c>
      <c r="I2348" s="79">
        <v>0</v>
      </c>
      <c r="J2348" s="79">
        <v>0</v>
      </c>
      <c r="K2348" s="79"/>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336">
        <v>1</v>
      </c>
      <c r="B2349" s="336" t="s">
        <v>67</v>
      </c>
      <c r="C2349" s="336" t="s">
        <v>1728</v>
      </c>
      <c r="D2349" s="336" t="s">
        <v>1728</v>
      </c>
      <c r="E2349" s="337" t="s">
        <v>69</v>
      </c>
      <c r="F2349" s="336"/>
      <c r="G2349" s="338" t="str">
        <f t="array" ref="G2349">IF(B2349="insumo",_xlfn.XLOOKUP($D2349,Insumos!$B$1:$B$996,Insumos!$D$1:$D$996),"")</f>
        <v/>
      </c>
      <c r="H2349" s="338">
        <v>2.17875</v>
      </c>
      <c r="I2349" s="339">
        <v>0</v>
      </c>
      <c r="J2349" s="339">
        <v>0</v>
      </c>
      <c r="K2349" s="339"/>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77">
        <v>7</v>
      </c>
      <c r="B2350" s="77" t="s">
        <v>70</v>
      </c>
      <c r="C2350" s="77" t="s">
        <v>1728</v>
      </c>
      <c r="D2350" s="77" t="s">
        <v>495</v>
      </c>
      <c r="E2350" s="11" t="str">
        <f t="array" ref="E2350">_xlfn.XLOOKUP(D2350,Insumos!B:B,Insumos!C:$C)</f>
        <v>M3</v>
      </c>
      <c r="F2350" s="81">
        <f>0.02625*0.5/2.5</f>
        <v>5.2499999999999995E-3</v>
      </c>
      <c r="G2350" s="87">
        <f t="array" ref="G2350">IF(B2350="insumo",_xlfn.XLOOKUP($D2350,Insumos!$B$1:$B$996,Insumos!$D$1:$D$996),"")</f>
        <v>415</v>
      </c>
      <c r="H2350" s="87">
        <v>2.17875</v>
      </c>
      <c r="I2350" s="79">
        <v>0</v>
      </c>
      <c r="J2350" s="79">
        <v>0</v>
      </c>
      <c r="K2350" s="79"/>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332">
        <v>1</v>
      </c>
      <c r="B2351" s="332" t="s">
        <v>67</v>
      </c>
      <c r="C2351" s="332" t="s">
        <v>494</v>
      </c>
      <c r="D2351" s="332" t="s">
        <v>494</v>
      </c>
      <c r="E2351" s="333" t="s">
        <v>69</v>
      </c>
      <c r="F2351" s="332"/>
      <c r="G2351" s="334" t="str">
        <f t="array" ref="G2351">IF(B2351="insumo",_xlfn.XLOOKUP($D2351,Insumos!$B$1:$B$996,Insumos!$D$1:$D$996),"")</f>
        <v/>
      </c>
      <c r="H2351" s="334">
        <v>10.893750000000001</v>
      </c>
      <c r="I2351" s="335">
        <v>0</v>
      </c>
      <c r="J2351" s="335">
        <v>0</v>
      </c>
      <c r="K2351" s="335"/>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70</v>
      </c>
      <c r="C2352" s="10" t="s">
        <v>494</v>
      </c>
      <c r="D2352" s="10" t="s">
        <v>495</v>
      </c>
      <c r="E2352" s="11" t="str">
        <f t="array" ref="E2352">_xlfn.XLOOKUP(D2352,Insumos!B:B,Insumos!C:$C)</f>
        <v>M3</v>
      </c>
      <c r="F2352" s="14">
        <v>2.6250000000000002E-2</v>
      </c>
      <c r="G2352" s="87">
        <f t="array" ref="G2352">IF(B2352="insumo",_xlfn.XLOOKUP($D2352,Insumos!$B$1:$B$996,Insumos!$D$1:$D$996),"")</f>
        <v>415</v>
      </c>
      <c r="H2352" s="87">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332">
        <v>1</v>
      </c>
      <c r="B2353" s="332" t="s">
        <v>67</v>
      </c>
      <c r="C2353" s="332" t="s">
        <v>496</v>
      </c>
      <c r="D2353" s="332" t="s">
        <v>496</v>
      </c>
      <c r="E2353" s="333" t="s">
        <v>69</v>
      </c>
      <c r="F2353" s="332"/>
      <c r="G2353" s="334" t="str">
        <f t="array" ref="G2353">IF(B2353="insumo",_xlfn.XLOOKUP($D2353,Insumos!$B$1:$B$996,Insumos!$D$1:$D$996),"")</f>
        <v/>
      </c>
      <c r="H2353" s="334">
        <v>12.074999999999999</v>
      </c>
      <c r="I2353" s="335" t="e">
        <v>#REF!</v>
      </c>
      <c r="J2353" s="335" t="e">
        <v>#REF!</v>
      </c>
      <c r="K2353" s="335"/>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70</v>
      </c>
      <c r="C2354" s="10" t="s">
        <v>496</v>
      </c>
      <c r="D2354" s="10" t="s">
        <v>495</v>
      </c>
      <c r="E2354" s="11" t="str">
        <f t="array" ref="E2354">_xlfn.XLOOKUP(D2354,Insumos!B:B,Insumos!C:$C)</f>
        <v>M3</v>
      </c>
      <c r="F2354" s="14">
        <v>2.6250000000000002E-2</v>
      </c>
      <c r="G2354" s="87">
        <f t="array" ref="G2354">IF(B2354="insumo",_xlfn.XLOOKUP($D2354,Insumos!$B$1:$B$996,Insumos!$D$1:$D$996),"")</f>
        <v>415</v>
      </c>
      <c r="H2354" s="87">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70</v>
      </c>
      <c r="C2355" s="10" t="s">
        <v>496</v>
      </c>
      <c r="D2355" s="10" t="s">
        <v>3010</v>
      </c>
      <c r="E2355" s="11" t="str">
        <f t="array" ref="E2355">_xlfn.XLOOKUP(D2355,Insumos!B:B,Insumos!C:$C)</f>
        <v>M3</v>
      </c>
      <c r="F2355" s="14">
        <v>2.6250000000000002E-2</v>
      </c>
      <c r="G2355" s="87">
        <f t="array" ref="G2355">IF(B2355="insumo",_xlfn.XLOOKUP($D2355,Insumos!$B$1:$B$996,Insumos!$D$1:$D$996),"")</f>
        <v>45</v>
      </c>
      <c r="H2355" s="87">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332">
        <v>1</v>
      </c>
      <c r="B2356" s="332" t="s">
        <v>67</v>
      </c>
      <c r="C2356" s="332" t="s">
        <v>1393</v>
      </c>
      <c r="D2356" s="332" t="s">
        <v>1393</v>
      </c>
      <c r="E2356" s="333" t="s">
        <v>69</v>
      </c>
      <c r="F2356" s="332"/>
      <c r="G2356" s="334" t="str">
        <f t="array" ref="G2356">IF(B2356="insumo",_xlfn.XLOOKUP($D2356,Insumos!$B$1:$B$996,Insumos!$D$1:$D$996),"")</f>
        <v/>
      </c>
      <c r="H2356" s="334">
        <v>19</v>
      </c>
      <c r="I2356" s="335">
        <v>0</v>
      </c>
      <c r="J2356" s="335">
        <v>0</v>
      </c>
      <c r="K2356" s="335"/>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70</v>
      </c>
      <c r="C2357" s="10" t="s">
        <v>1393</v>
      </c>
      <c r="D2357" s="10" t="s">
        <v>1391</v>
      </c>
      <c r="E2357" s="11" t="str">
        <f t="array" ref="E2357">_xlfn.XLOOKUP(D2357,Insumos!B:B,Insumos!C:$C)</f>
        <v>KG</v>
      </c>
      <c r="F2357" s="14">
        <v>20</v>
      </c>
      <c r="G2357" s="87">
        <f t="array" ref="G2357">IF(B2357="insumo",_xlfn.XLOOKUP($D2357,Insumos!$B$1:$B$996,Insumos!$D$1:$D$996),"")</f>
        <v>0.95</v>
      </c>
      <c r="H2357" s="87">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355">
        <v>1</v>
      </c>
      <c r="B2358" s="355" t="s">
        <v>1227</v>
      </c>
      <c r="C2358" s="355" t="s">
        <v>1393</v>
      </c>
      <c r="D2358" s="355" t="s">
        <v>1379</v>
      </c>
      <c r="E2358" s="356"/>
      <c r="F2358" s="357"/>
      <c r="G2358" s="356"/>
      <c r="H2358" s="356">
        <v>0</v>
      </c>
      <c r="I2358" s="357">
        <v>0</v>
      </c>
      <c r="J2358" s="357">
        <v>0</v>
      </c>
      <c r="K2358" s="357"/>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332">
        <v>1</v>
      </c>
      <c r="B2359" s="332" t="s">
        <v>67</v>
      </c>
      <c r="C2359" s="332" t="s">
        <v>497</v>
      </c>
      <c r="D2359" s="332" t="s">
        <v>497</v>
      </c>
      <c r="E2359" s="333" t="s">
        <v>69</v>
      </c>
      <c r="F2359" s="332"/>
      <c r="G2359" s="334" t="str">
        <f t="array" ref="G2359">IF(B2359="insumo",_xlfn.XLOOKUP($D2359,Insumos!$B$1:$B$996,Insumos!$D$1:$D$996),"")</f>
        <v/>
      </c>
      <c r="H2359" s="334">
        <v>5.1029166666666699</v>
      </c>
      <c r="I2359" s="335" t="e">
        <v>#REF!</v>
      </c>
      <c r="J2359" s="335" t="e">
        <v>#REF!</v>
      </c>
      <c r="K2359" s="335"/>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70</v>
      </c>
      <c r="C2360" s="10" t="s">
        <v>497</v>
      </c>
      <c r="D2360" s="10" t="s">
        <v>159</v>
      </c>
      <c r="E2360" s="11" t="str">
        <f t="array" ref="E2360">_xlfn.XLOOKUP(D2360,Insumos!B:B,Insumos!C:$C)</f>
        <v>KG</v>
      </c>
      <c r="F2360" s="14">
        <v>0.6</v>
      </c>
      <c r="G2360" s="87">
        <f t="array" ref="G2360">IF(B2360="insumo",_xlfn.XLOOKUP($D2360,Insumos!$B$1:$B$996,Insumos!$D$1:$D$996),"")</f>
        <v>0.76</v>
      </c>
      <c r="H2360" s="87">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70</v>
      </c>
      <c r="C2361" s="10" t="s">
        <v>497</v>
      </c>
      <c r="D2361" s="10" t="s">
        <v>498</v>
      </c>
      <c r="E2361" s="11" t="str">
        <f t="array" ref="E2361">_xlfn.XLOOKUP(D2361,Insumos!B:B,Insumos!C:$C)</f>
        <v>UN</v>
      </c>
      <c r="F2361" s="14">
        <v>0.05</v>
      </c>
      <c r="G2361" s="87">
        <f t="array" ref="G2361">IF(B2361="insumo",_xlfn.XLOOKUP($D2361,Insumos!$B$1:$B$996,Insumos!$D$1:$D$996),"")</f>
        <v>3.13</v>
      </c>
      <c r="H2361" s="87">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70</v>
      </c>
      <c r="C2362" s="10" t="s">
        <v>497</v>
      </c>
      <c r="D2362" s="10" t="s">
        <v>499</v>
      </c>
      <c r="E2362" s="11" t="str">
        <f t="array" ref="E2362">_xlfn.XLOOKUP(D2362,Insumos!B:B,Insumos!C:$C)</f>
        <v>KG</v>
      </c>
      <c r="F2362" s="14">
        <v>0.3</v>
      </c>
      <c r="G2362" s="87">
        <f t="array" ref="G2362">IF(B2362="insumo",_xlfn.XLOOKUP($D2362,Insumos!$B$1:$B$996,Insumos!$D$1:$D$996),"")</f>
        <v>3.49</v>
      </c>
      <c r="H2362" s="87">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70</v>
      </c>
      <c r="C2363" s="10" t="s">
        <v>497</v>
      </c>
      <c r="D2363" s="10" t="s">
        <v>500</v>
      </c>
      <c r="E2363" s="11" t="str">
        <f t="array" ref="E2363">_xlfn.XLOOKUP(D2363,Insumos!B:B,Insumos!C:$C)</f>
        <v>KG</v>
      </c>
      <c r="F2363" s="14">
        <v>0.15</v>
      </c>
      <c r="G2363" s="87">
        <f t="array" ref="G2363">IF(B2363="insumo",_xlfn.XLOOKUP($D2363,Insumos!$B$1:$B$996,Insumos!$D$1:$D$996),"")</f>
        <v>22.95611111111111</v>
      </c>
      <c r="H2363" s="87">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332">
        <v>1</v>
      </c>
      <c r="B2364" s="332" t="s">
        <v>67</v>
      </c>
      <c r="C2364" s="332" t="s">
        <v>501</v>
      </c>
      <c r="D2364" s="332" t="s">
        <v>501</v>
      </c>
      <c r="E2364" s="333" t="s">
        <v>69</v>
      </c>
      <c r="F2364" s="332"/>
      <c r="G2364" s="334" t="str">
        <f t="array" ref="G2364">IF(B2364="insumo",_xlfn.XLOOKUP($D2364,Insumos!$B$1:$B$996,Insumos!$D$1:$D$996),"")</f>
        <v/>
      </c>
      <c r="H2364" s="334">
        <v>3.1560233333333301</v>
      </c>
      <c r="I2364" s="335">
        <v>0</v>
      </c>
      <c r="J2364" s="335">
        <v>0</v>
      </c>
      <c r="K2364" s="335"/>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70</v>
      </c>
      <c r="C2365" s="10" t="s">
        <v>501</v>
      </c>
      <c r="D2365" s="10" t="s">
        <v>444</v>
      </c>
      <c r="E2365" s="11" t="str">
        <f t="array" ref="E2365">_xlfn.XLOOKUP(D2365,Insumos!B:B,Insumos!C:$C)</f>
        <v>M3</v>
      </c>
      <c r="F2365" s="14">
        <v>5.5000000000000005E-3</v>
      </c>
      <c r="G2365" s="87">
        <f t="array" ref="G2365">IF(B2365="insumo",_xlfn.XLOOKUP($D2365,Insumos!$B$1:$B$996,Insumos!$D$1:$D$996),"")</f>
        <v>550</v>
      </c>
      <c r="H2365" s="87">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70</v>
      </c>
      <c r="C2366" s="10" t="s">
        <v>501</v>
      </c>
      <c r="D2366" s="10" t="s">
        <v>502</v>
      </c>
      <c r="E2366" s="11" t="str">
        <f t="array" ref="E2366">_xlfn.XLOOKUP(D2366,Insumos!B:B,Insumos!C:$C)</f>
        <v>L</v>
      </c>
      <c r="F2366" s="14">
        <v>3.5000000000000005E-3</v>
      </c>
      <c r="G2366" s="87">
        <f t="array" ref="G2366">IF(B2366="insumo",_xlfn.XLOOKUP($D2366,Insumos!$B$1:$B$996,Insumos!$D$1:$D$996),"")</f>
        <v>19.34</v>
      </c>
      <c r="H2366" s="87">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70</v>
      </c>
      <c r="C2367" s="10" t="s">
        <v>501</v>
      </c>
      <c r="D2367" s="10" t="s">
        <v>159</v>
      </c>
      <c r="E2367" s="11" t="str">
        <f t="array" ref="E2367">_xlfn.XLOOKUP(D2367,Insumos!B:B,Insumos!C:$C)</f>
        <v>KG</v>
      </c>
      <c r="F2367" s="14">
        <v>8.3333333333333343E-2</v>
      </c>
      <c r="G2367" s="87">
        <f t="array" ref="G2367">IF(B2367="insumo",_xlfn.XLOOKUP($D2367,Insumos!$B$1:$B$996,Insumos!$D$1:$D$996),"")</f>
        <v>0.76</v>
      </c>
      <c r="H2367" s="87">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355">
        <v>1</v>
      </c>
      <c r="B2368" s="355" t="s">
        <v>1227</v>
      </c>
      <c r="C2368" s="355" t="s">
        <v>501</v>
      </c>
      <c r="D2368" s="355" t="s">
        <v>1380</v>
      </c>
      <c r="E2368" s="356"/>
      <c r="F2368" s="357"/>
      <c r="G2368" s="356"/>
      <c r="H2368" s="356">
        <v>0</v>
      </c>
      <c r="I2368" s="357">
        <v>0</v>
      </c>
      <c r="J2368" s="357">
        <v>0</v>
      </c>
      <c r="K2368" s="357"/>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332">
        <v>1</v>
      </c>
      <c r="B2369" s="332" t="s">
        <v>67</v>
      </c>
      <c r="C2369" s="332" t="s">
        <v>503</v>
      </c>
      <c r="D2369" s="332" t="s">
        <v>503</v>
      </c>
      <c r="E2369" s="333" t="s">
        <v>69</v>
      </c>
      <c r="F2369" s="332"/>
      <c r="G2369" s="334" t="str">
        <f t="array" ref="G2369">IF(B2369="insumo",_xlfn.XLOOKUP($D2369,Insumos!$B$1:$B$996,Insumos!$D$1:$D$996),"")</f>
        <v/>
      </c>
      <c r="H2369" s="334">
        <v>61.512099999999997</v>
      </c>
      <c r="I2369" s="335">
        <v>0</v>
      </c>
      <c r="J2369" s="335">
        <v>0</v>
      </c>
      <c r="K2369" s="335"/>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70</v>
      </c>
      <c r="C2370" s="10" t="s">
        <v>503</v>
      </c>
      <c r="D2370" s="10" t="s">
        <v>504</v>
      </c>
      <c r="E2370" s="11" t="str">
        <f t="array" ref="E2370">_xlfn.XLOOKUP(D2370,Insumos!B:B,Insumos!C:$C)</f>
        <v>M2</v>
      </c>
      <c r="F2370" s="14">
        <v>1.1000000000000001</v>
      </c>
      <c r="G2370" s="87">
        <f t="array" ref="G2370">IF(B2370="insumo",_xlfn.XLOOKUP($D2370,Insumos!$B$1:$B$996,Insumos!$D$1:$D$996),"")</f>
        <v>47.23</v>
      </c>
      <c r="H2370" s="87">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70</v>
      </c>
      <c r="C2371" s="10" t="s">
        <v>503</v>
      </c>
      <c r="D2371" s="10" t="s">
        <v>480</v>
      </c>
      <c r="E2371" s="11" t="str">
        <f t="array" ref="E2371">_xlfn.XLOOKUP(D2371,Insumos!B:B,Insumos!C:$C)</f>
        <v>KG</v>
      </c>
      <c r="F2371" s="14">
        <v>8.8000000000000007</v>
      </c>
      <c r="G2371" s="87">
        <f t="array" ref="G2371">IF(B2371="insumo",_xlfn.XLOOKUP($D2371,Insumos!$B$1:$B$996,Insumos!$D$1:$D$996),"")</f>
        <v>1.0645</v>
      </c>
      <c r="H2371" s="87">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70</v>
      </c>
      <c r="C2372" s="10" t="s">
        <v>503</v>
      </c>
      <c r="D2372" s="10" t="s">
        <v>505</v>
      </c>
      <c r="E2372" s="11" t="str">
        <f t="array" ref="E2372">_xlfn.XLOOKUP(D2372,Insumos!B:B,Insumos!C:$C)</f>
        <v>UN</v>
      </c>
      <c r="F2372" s="14">
        <v>1</v>
      </c>
      <c r="G2372" s="87">
        <f t="array" ref="G2372">IF(B2372="insumo",_xlfn.XLOOKUP($D2372,Insumos!$B$1:$B$996,Insumos!$D$1:$D$996),"")</f>
        <v>0.08</v>
      </c>
      <c r="H2372" s="87">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70</v>
      </c>
      <c r="C2373" s="10" t="s">
        <v>503</v>
      </c>
      <c r="D2373" s="10" t="s">
        <v>506</v>
      </c>
      <c r="E2373" s="11" t="str">
        <f t="array" ref="E2373">_xlfn.XLOOKUP(D2373,Insumos!B:B,Insumos!C:$C)</f>
        <v>KG</v>
      </c>
      <c r="F2373" s="14">
        <v>0.01</v>
      </c>
      <c r="G2373" s="87">
        <f t="array" ref="G2373">IF(B2373="insumo",_xlfn.XLOOKUP($D2373,Insumos!$B$1:$B$996,Insumos!$D$1:$D$996),"")</f>
        <v>11.15</v>
      </c>
      <c r="H2373" s="87">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336">
        <v>1</v>
      </c>
      <c r="B2374" s="336" t="s">
        <v>67</v>
      </c>
      <c r="C2374" s="336" t="s">
        <v>1729</v>
      </c>
      <c r="D2374" s="336" t="s">
        <v>1729</v>
      </c>
      <c r="E2374" s="337" t="s">
        <v>69</v>
      </c>
      <c r="F2374" s="336"/>
      <c r="G2374" s="338" t="str">
        <f t="array" ref="G2374">IF(B2374="insumo",_xlfn.XLOOKUP($D2374,Insumos!$B$1:$B$996,Insumos!$D$1:$D$996),"")</f>
        <v/>
      </c>
      <c r="H2374" s="338">
        <v>79.119</v>
      </c>
      <c r="I2374" s="339" t="e">
        <v>#REF!</v>
      </c>
      <c r="J2374" s="339" t="e">
        <v>#REF!</v>
      </c>
      <c r="K2374" s="339"/>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77">
        <v>6</v>
      </c>
      <c r="B2375" s="77" t="s">
        <v>70</v>
      </c>
      <c r="C2375" s="77" t="s">
        <v>1729</v>
      </c>
      <c r="D2375" s="77" t="s">
        <v>1730</v>
      </c>
      <c r="E2375" s="11" t="str">
        <f t="array" ref="E2375">_xlfn.XLOOKUP(D2375,Insumos!B:B,Insumos!C:$C)</f>
        <v>M2</v>
      </c>
      <c r="F2375" s="83">
        <v>1.1000000000000001</v>
      </c>
      <c r="G2375" s="87">
        <f t="array" ref="G2375">IF(B2375="insumo",_xlfn.XLOOKUP($D2375,Insumos!$B$1:$B$996,Insumos!$D$1:$D$996),"")</f>
        <v>63.59</v>
      </c>
      <c r="H2375" s="87">
        <v>69.948999999999998</v>
      </c>
      <c r="I2375" s="79" t="e">
        <v>#REF!</v>
      </c>
      <c r="J2375" s="79" t="e">
        <v>#REF!</v>
      </c>
      <c r="K2375" s="79"/>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77">
        <v>16</v>
      </c>
      <c r="B2376" s="77" t="s">
        <v>70</v>
      </c>
      <c r="C2376" s="77" t="s">
        <v>1729</v>
      </c>
      <c r="D2376" s="77" t="s">
        <v>657</v>
      </c>
      <c r="E2376" s="11" t="str">
        <f t="array" ref="E2376">_xlfn.XLOOKUP(D2376,Insumos!B:B,Insumos!C:$C)</f>
        <v>KG</v>
      </c>
      <c r="F2376" s="83">
        <v>8.8000000000000007</v>
      </c>
      <c r="G2376" s="87">
        <f t="array" ref="G2376">IF(B2376="insumo",_xlfn.XLOOKUP($D2376,Insumos!$B$1:$B$996,Insumos!$D$1:$D$996),"")</f>
        <v>0.95</v>
      </c>
      <c r="H2376" s="87">
        <v>8.36</v>
      </c>
      <c r="I2376" s="79" t="e">
        <v>#REF!</v>
      </c>
      <c r="J2376" s="79" t="e">
        <v>#REF!</v>
      </c>
      <c r="K2376" s="79"/>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77">
        <v>17</v>
      </c>
      <c r="B2377" s="77" t="s">
        <v>70</v>
      </c>
      <c r="C2377" s="77" t="s">
        <v>1729</v>
      </c>
      <c r="D2377" s="77" t="s">
        <v>520</v>
      </c>
      <c r="E2377" s="11" t="str">
        <f t="array" ref="E2377">_xlfn.XLOOKUP(D2377,Insumos!B:B,Insumos!C:$C)</f>
        <v>UN</v>
      </c>
      <c r="F2377" s="83">
        <v>1</v>
      </c>
      <c r="G2377" s="87">
        <f t="array" ref="G2377">IF(B2377="insumo",_xlfn.XLOOKUP($D2377,Insumos!$B$1:$B$996,Insumos!$D$1:$D$996),"")</f>
        <v>0.05</v>
      </c>
      <c r="H2377" s="87">
        <v>0.05</v>
      </c>
      <c r="I2377" s="79" t="e">
        <v>#REF!</v>
      </c>
      <c r="J2377" s="79" t="e">
        <v>#REF!</v>
      </c>
      <c r="K2377" s="79"/>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77">
        <v>36</v>
      </c>
      <c r="B2378" s="77" t="s">
        <v>70</v>
      </c>
      <c r="C2378" s="77" t="s">
        <v>1729</v>
      </c>
      <c r="D2378" s="77" t="s">
        <v>2388</v>
      </c>
      <c r="E2378" s="11" t="str">
        <f t="array" ref="E2378">_xlfn.XLOOKUP(D2378,Insumos!B:B,Insumos!C:$C)</f>
        <v>KG</v>
      </c>
      <c r="F2378" s="83">
        <v>0.02</v>
      </c>
      <c r="G2378" s="87">
        <f t="array" ref="G2378">IF(B2378="insumo",_xlfn.XLOOKUP($D2378,Insumos!$B$1:$B$996,Insumos!$D$1:$D$996),"")</f>
        <v>38</v>
      </c>
      <c r="H2378" s="87">
        <v>0.76</v>
      </c>
      <c r="I2378" s="79" t="e">
        <v>#REF!</v>
      </c>
      <c r="J2378" s="79" t="e">
        <v>#REF!</v>
      </c>
      <c r="K2378" s="79"/>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336">
        <v>1</v>
      </c>
      <c r="B2379" s="336" t="s">
        <v>67</v>
      </c>
      <c r="C2379" s="336" t="s">
        <v>1764</v>
      </c>
      <c r="D2379" s="336" t="s">
        <v>1764</v>
      </c>
      <c r="E2379" s="337" t="s">
        <v>69</v>
      </c>
      <c r="F2379" s="336"/>
      <c r="G2379" s="338" t="str">
        <f t="array" ref="G2379">IF(B2379="insumo",_xlfn.XLOOKUP($D2379,Insumos!$B$1:$B$996,Insumos!$D$1:$D$996),"")</f>
        <v/>
      </c>
      <c r="H2379" s="338">
        <v>89.938599999999994</v>
      </c>
      <c r="I2379" s="339">
        <v>0</v>
      </c>
      <c r="J2379" s="339">
        <v>0</v>
      </c>
      <c r="K2379" s="339"/>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77">
        <v>3</v>
      </c>
      <c r="B2380" s="77" t="s">
        <v>70</v>
      </c>
      <c r="C2380" s="84" t="s">
        <v>1764</v>
      </c>
      <c r="D2380" s="84" t="s">
        <v>1762</v>
      </c>
      <c r="E2380" s="11" t="str">
        <f t="array" ref="E2380">_xlfn.XLOOKUP(D2380,Insumos!B:B,Insumos!C:$C)</f>
        <v>M2</v>
      </c>
      <c r="F2380" s="81">
        <v>1.1000000000000001</v>
      </c>
      <c r="G2380" s="87">
        <f t="array" ref="G2380">IF(B2380="insumo",_xlfn.XLOOKUP($D2380,Insumos!$B$1:$B$996,Insumos!$D$1:$D$996),"")</f>
        <v>72.63</v>
      </c>
      <c r="H2380" s="87">
        <v>79.893000000000001</v>
      </c>
      <c r="I2380" s="79">
        <v>0</v>
      </c>
      <c r="J2380" s="79">
        <v>0</v>
      </c>
      <c r="K2380" s="79"/>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77">
        <v>191</v>
      </c>
      <c r="B2381" s="77" t="s">
        <v>70</v>
      </c>
      <c r="C2381" s="77" t="s">
        <v>1764</v>
      </c>
      <c r="D2381" s="77" t="s">
        <v>480</v>
      </c>
      <c r="E2381" s="11" t="str">
        <f t="array" ref="E2381">_xlfn.XLOOKUP(D2381,Insumos!B:B,Insumos!C:$C)</f>
        <v>KG</v>
      </c>
      <c r="F2381" s="81">
        <v>8.8000000000000007</v>
      </c>
      <c r="G2381" s="87">
        <f t="array" ref="G2381">IF(B2381="insumo",_xlfn.XLOOKUP($D2381,Insumos!$B$1:$B$996,Insumos!$D$1:$D$996),"")</f>
        <v>1.0645</v>
      </c>
      <c r="H2381" s="87">
        <v>9.3675999999999995</v>
      </c>
      <c r="I2381" s="79">
        <v>0</v>
      </c>
      <c r="J2381" s="79">
        <v>0</v>
      </c>
      <c r="K2381" s="79"/>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77">
        <v>142</v>
      </c>
      <c r="B2382" s="77" t="s">
        <v>70</v>
      </c>
      <c r="C2382" s="77" t="s">
        <v>1764</v>
      </c>
      <c r="D2382" s="77" t="s">
        <v>505</v>
      </c>
      <c r="E2382" s="11" t="str">
        <f t="array" ref="E2382">_xlfn.XLOOKUP(D2382,Insumos!B:B,Insumos!C:$C)</f>
        <v>UN</v>
      </c>
      <c r="F2382" s="81">
        <v>3</v>
      </c>
      <c r="G2382" s="87">
        <f t="array" ref="G2382">IF(B2382="insumo",_xlfn.XLOOKUP($D2382,Insumos!$B$1:$B$996,Insumos!$D$1:$D$996),"")</f>
        <v>0.08</v>
      </c>
      <c r="H2382" s="87">
        <v>0.24</v>
      </c>
      <c r="I2382" s="79">
        <v>0</v>
      </c>
      <c r="J2382" s="79">
        <v>0</v>
      </c>
      <c r="K2382" s="79"/>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77">
        <v>22</v>
      </c>
      <c r="B2383" s="77" t="s">
        <v>70</v>
      </c>
      <c r="C2383" s="77" t="s">
        <v>1764</v>
      </c>
      <c r="D2383" s="77" t="s">
        <v>1765</v>
      </c>
      <c r="E2383" s="11" t="str">
        <f t="array" ref="E2383">_xlfn.XLOOKUP(D2383,Insumos!B:B,Insumos!C:$C)</f>
        <v>KG</v>
      </c>
      <c r="F2383" s="81">
        <v>0.01</v>
      </c>
      <c r="G2383" s="87">
        <f t="array" ref="G2383">IF(B2383="insumo",_xlfn.XLOOKUP($D2383,Insumos!$B$1:$B$996,Insumos!$D$1:$D$996),"")</f>
        <v>43.8</v>
      </c>
      <c r="H2383" s="87">
        <v>0.438</v>
      </c>
      <c r="I2383" s="79">
        <v>0</v>
      </c>
      <c r="J2383" s="79">
        <v>0</v>
      </c>
      <c r="K2383" s="79"/>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336">
        <v>1</v>
      </c>
      <c r="B2384" s="336" t="s">
        <v>67</v>
      </c>
      <c r="C2384" s="336" t="s">
        <v>1766</v>
      </c>
      <c r="D2384" s="336" t="s">
        <v>1766</v>
      </c>
      <c r="E2384" s="337" t="s">
        <v>69</v>
      </c>
      <c r="F2384" s="336"/>
      <c r="G2384" s="338" t="str">
        <f t="array" ref="G2384">IF(B2384="insumo",_xlfn.XLOOKUP($D2384,Insumos!$B$1:$B$996,Insumos!$D$1:$D$996),"")</f>
        <v/>
      </c>
      <c r="H2384" s="338">
        <v>61.7806</v>
      </c>
      <c r="I2384" s="339" t="e">
        <v>#REF!</v>
      </c>
      <c r="J2384" s="339" t="e">
        <v>#REF!</v>
      </c>
      <c r="K2384" s="339"/>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77">
        <v>6</v>
      </c>
      <c r="B2385" s="77" t="s">
        <v>70</v>
      </c>
      <c r="C2385" s="84" t="s">
        <v>1766</v>
      </c>
      <c r="D2385" s="84" t="s">
        <v>504</v>
      </c>
      <c r="E2385" s="11" t="str">
        <f t="array" ref="E2385">_xlfn.XLOOKUP(D2385,Insumos!B:B,Insumos!C:$C)</f>
        <v>M2</v>
      </c>
      <c r="F2385" s="81">
        <v>1.1000000000000001</v>
      </c>
      <c r="G2385" s="87">
        <f t="array" ref="G2385">IF(B2385="insumo",_xlfn.XLOOKUP($D2385,Insumos!$B$1:$B$996,Insumos!$D$1:$D$996),"")</f>
        <v>47.23</v>
      </c>
      <c r="H2385" s="87">
        <v>51.953000000000003</v>
      </c>
      <c r="I2385" s="79" t="e">
        <v>#REF!</v>
      </c>
      <c r="J2385" s="79" t="e">
        <v>#REF!</v>
      </c>
      <c r="K2385" s="79"/>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77">
        <v>191</v>
      </c>
      <c r="B2386" s="77" t="s">
        <v>70</v>
      </c>
      <c r="C2386" s="77" t="s">
        <v>1766</v>
      </c>
      <c r="D2386" s="77" t="s">
        <v>480</v>
      </c>
      <c r="E2386" s="11" t="str">
        <f t="array" ref="E2386">_xlfn.XLOOKUP(D2386,Insumos!B:B,Insumos!C:$C)</f>
        <v>KG</v>
      </c>
      <c r="F2386" s="81">
        <v>8.8000000000000007</v>
      </c>
      <c r="G2386" s="87">
        <f t="array" ref="G2386">IF(B2386="insumo",_xlfn.XLOOKUP($D2386,Insumos!$B$1:$B$996,Insumos!$D$1:$D$996),"")</f>
        <v>1.0645</v>
      </c>
      <c r="H2386" s="87">
        <v>9.3675999999999995</v>
      </c>
      <c r="I2386" s="79" t="e">
        <v>#REF!</v>
      </c>
      <c r="J2386" s="79" t="e">
        <v>#REF!</v>
      </c>
      <c r="K2386" s="79"/>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77">
        <v>142</v>
      </c>
      <c r="B2387" s="77" t="s">
        <v>70</v>
      </c>
      <c r="C2387" s="77" t="s">
        <v>1766</v>
      </c>
      <c r="D2387" s="77" t="s">
        <v>505</v>
      </c>
      <c r="E2387" s="11" t="str">
        <f t="array" ref="E2387">_xlfn.XLOOKUP(D2387,Insumos!B:B,Insumos!C:$C)</f>
        <v>UN</v>
      </c>
      <c r="F2387" s="81">
        <v>1</v>
      </c>
      <c r="G2387" s="87">
        <f t="array" ref="G2387">IF(B2387="insumo",_xlfn.XLOOKUP($D2387,Insumos!$B$1:$B$996,Insumos!$D$1:$D$996),"")</f>
        <v>0.08</v>
      </c>
      <c r="H2387" s="87">
        <v>0.08</v>
      </c>
      <c r="I2387" s="79" t="e">
        <v>#REF!</v>
      </c>
      <c r="J2387" s="79" t="e">
        <v>#REF!</v>
      </c>
      <c r="K2387" s="79"/>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77">
        <v>36</v>
      </c>
      <c r="B2388" s="77" t="s">
        <v>70</v>
      </c>
      <c r="C2388" s="77" t="s">
        <v>1766</v>
      </c>
      <c r="D2388" s="77" t="s">
        <v>2388</v>
      </c>
      <c r="E2388" s="11" t="str">
        <f t="array" ref="E2388">_xlfn.XLOOKUP(D2388,Insumos!B:B,Insumos!C:$C)</f>
        <v>KG</v>
      </c>
      <c r="F2388" s="81">
        <v>0.01</v>
      </c>
      <c r="G2388" s="87">
        <f t="array" ref="G2388">IF(B2388="insumo",_xlfn.XLOOKUP($D2388,Insumos!$B$1:$B$996,Insumos!$D$1:$D$996),"")</f>
        <v>38</v>
      </c>
      <c r="H2388" s="87">
        <v>0.38</v>
      </c>
      <c r="I2388" s="79" t="e">
        <v>#REF!</v>
      </c>
      <c r="J2388" s="79" t="e">
        <v>#REF!</v>
      </c>
      <c r="K2388" s="79"/>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355">
        <v>1</v>
      </c>
      <c r="B2389" s="355" t="s">
        <v>1227</v>
      </c>
      <c r="C2389" s="355" t="s">
        <v>1766</v>
      </c>
      <c r="D2389" s="355" t="s">
        <v>1381</v>
      </c>
      <c r="E2389" s="356"/>
      <c r="F2389" s="357"/>
      <c r="G2389" s="356"/>
      <c r="H2389" s="356">
        <v>0</v>
      </c>
      <c r="I2389" s="357">
        <v>0</v>
      </c>
      <c r="J2389" s="357">
        <v>0</v>
      </c>
      <c r="K2389" s="357"/>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332">
        <v>1</v>
      </c>
      <c r="B2390" s="332" t="s">
        <v>67</v>
      </c>
      <c r="C2390" s="332" t="s">
        <v>507</v>
      </c>
      <c r="D2390" s="332" t="s">
        <v>507</v>
      </c>
      <c r="E2390" s="333" t="s">
        <v>69</v>
      </c>
      <c r="F2390" s="332"/>
      <c r="G2390" s="334" t="str">
        <f t="array" ref="G2390">IF(B2390="insumo",_xlfn.XLOOKUP($D2390,Insumos!$B$1:$B$996,Insumos!$D$1:$D$996),"")</f>
        <v/>
      </c>
      <c r="H2390" s="334">
        <v>93.130600000000001</v>
      </c>
      <c r="I2390" s="335">
        <v>0</v>
      </c>
      <c r="J2390" s="335">
        <v>0</v>
      </c>
      <c r="K2390" s="335"/>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70</v>
      </c>
      <c r="C2391" s="10" t="s">
        <v>507</v>
      </c>
      <c r="D2391" s="10" t="s">
        <v>508</v>
      </c>
      <c r="E2391" s="11" t="str">
        <f t="array" ref="E2391">_xlfn.XLOOKUP(D2391,Insumos!B:B,Insumos!C:$C)</f>
        <v>M2</v>
      </c>
      <c r="F2391" s="14">
        <v>1.1000000000000001</v>
      </c>
      <c r="G2391" s="87">
        <f t="array" ref="G2391">IF(B2391="insumo",_xlfn.XLOOKUP($D2391,Insumos!$B$1:$B$996,Insumos!$D$1:$D$996),"")</f>
        <v>75.8</v>
      </c>
      <c r="H2391" s="87">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70</v>
      </c>
      <c r="C2392" s="10" t="s">
        <v>507</v>
      </c>
      <c r="D2392" s="10" t="s">
        <v>480</v>
      </c>
      <c r="E2392" s="11" t="str">
        <f t="array" ref="E2392">_xlfn.XLOOKUP(D2392,Insumos!B:B,Insumos!C:$C)</f>
        <v>KG</v>
      </c>
      <c r="F2392" s="14">
        <v>8.8000000000000007</v>
      </c>
      <c r="G2392" s="87">
        <f t="array" ref="G2392">IF(B2392="insumo",_xlfn.XLOOKUP($D2392,Insumos!$B$1:$B$996,Insumos!$D$1:$D$996),"")</f>
        <v>1.0645</v>
      </c>
      <c r="H2392" s="87">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70</v>
      </c>
      <c r="C2393" s="10" t="s">
        <v>507</v>
      </c>
      <c r="D2393" s="10" t="s">
        <v>505</v>
      </c>
      <c r="E2393" s="11" t="str">
        <f t="array" ref="E2393">_xlfn.XLOOKUP(D2393,Insumos!B:B,Insumos!C:$C)</f>
        <v>UN</v>
      </c>
      <c r="F2393" s="14">
        <v>2</v>
      </c>
      <c r="G2393" s="87">
        <f t="array" ref="G2393">IF(B2393="insumo",_xlfn.XLOOKUP($D2393,Insumos!$B$1:$B$996,Insumos!$D$1:$D$996),"")</f>
        <v>0.08</v>
      </c>
      <c r="H2393" s="87">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70</v>
      </c>
      <c r="C2394" s="10" t="s">
        <v>507</v>
      </c>
      <c r="D2394" s="10" t="s">
        <v>506</v>
      </c>
      <c r="E2394" s="11" t="str">
        <f t="array" ref="E2394">_xlfn.XLOOKUP(D2394,Insumos!B:B,Insumos!C:$C)</f>
        <v>KG</v>
      </c>
      <c r="F2394" s="14">
        <v>0.02</v>
      </c>
      <c r="G2394" s="87">
        <f t="array" ref="G2394">IF(B2394="insumo",_xlfn.XLOOKUP($D2394,Insumos!$B$1:$B$996,Insumos!$D$1:$D$996),"")</f>
        <v>11.15</v>
      </c>
      <c r="H2394" s="87">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332">
        <v>1</v>
      </c>
      <c r="B2395" s="332" t="s">
        <v>67</v>
      </c>
      <c r="C2395" s="332" t="s">
        <v>509</v>
      </c>
      <c r="D2395" s="332" t="s">
        <v>509</v>
      </c>
      <c r="E2395" s="333" t="s">
        <v>69</v>
      </c>
      <c r="F2395" s="332"/>
      <c r="G2395" s="334" t="str">
        <f t="array" ref="G2395">IF(B2395="insumo",_xlfn.XLOOKUP($D2395,Insumos!$B$1:$B$996,Insumos!$D$1:$D$996),"")</f>
        <v/>
      </c>
      <c r="H2395" s="334">
        <v>93.130600000000001</v>
      </c>
      <c r="I2395" s="335">
        <v>0</v>
      </c>
      <c r="J2395" s="335">
        <v>0</v>
      </c>
      <c r="K2395" s="335"/>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70</v>
      </c>
      <c r="C2396" s="10" t="s">
        <v>509</v>
      </c>
      <c r="D2396" s="10" t="s">
        <v>508</v>
      </c>
      <c r="E2396" s="11" t="str">
        <f t="array" ref="E2396">_xlfn.XLOOKUP(D2396,Insumos!B:B,Insumos!C:$C)</f>
        <v>M2</v>
      </c>
      <c r="F2396" s="14">
        <v>1.1000000000000001</v>
      </c>
      <c r="G2396" s="87">
        <f t="array" ref="G2396">IF(B2396="insumo",_xlfn.XLOOKUP($D2396,Insumos!$B$1:$B$996,Insumos!$D$1:$D$996),"")</f>
        <v>75.8</v>
      </c>
      <c r="H2396" s="87">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70</v>
      </c>
      <c r="C2397" s="10" t="s">
        <v>509</v>
      </c>
      <c r="D2397" s="10" t="s">
        <v>480</v>
      </c>
      <c r="E2397" s="11" t="str">
        <f t="array" ref="E2397">_xlfn.XLOOKUP(D2397,Insumos!B:B,Insumos!C:$C)</f>
        <v>KG</v>
      </c>
      <c r="F2397" s="14">
        <v>8.8000000000000007</v>
      </c>
      <c r="G2397" s="87">
        <f t="array" ref="G2397">IF(B2397="insumo",_xlfn.XLOOKUP($D2397,Insumos!$B$1:$B$996,Insumos!$D$1:$D$996),"")</f>
        <v>1.0645</v>
      </c>
      <c r="H2397" s="87">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70</v>
      </c>
      <c r="C2398" s="10" t="s">
        <v>509</v>
      </c>
      <c r="D2398" s="10" t="s">
        <v>505</v>
      </c>
      <c r="E2398" s="11" t="str">
        <f t="array" ref="E2398">_xlfn.XLOOKUP(D2398,Insumos!B:B,Insumos!C:$C)</f>
        <v>UN</v>
      </c>
      <c r="F2398" s="14">
        <v>2</v>
      </c>
      <c r="G2398" s="87">
        <f t="array" ref="G2398">IF(B2398="insumo",_xlfn.XLOOKUP($D2398,Insumos!$B$1:$B$996,Insumos!$D$1:$D$996),"")</f>
        <v>0.08</v>
      </c>
      <c r="H2398" s="87">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70</v>
      </c>
      <c r="C2399" s="10" t="s">
        <v>509</v>
      </c>
      <c r="D2399" s="10" t="s">
        <v>506</v>
      </c>
      <c r="E2399" s="11" t="str">
        <f t="array" ref="E2399">_xlfn.XLOOKUP(D2399,Insumos!B:B,Insumos!C:$C)</f>
        <v>KG</v>
      </c>
      <c r="F2399" s="14">
        <v>0.02</v>
      </c>
      <c r="G2399" s="87">
        <f t="array" ref="G2399">IF(B2399="insumo",_xlfn.XLOOKUP($D2399,Insumos!$B$1:$B$996,Insumos!$D$1:$D$996),"")</f>
        <v>11.15</v>
      </c>
      <c r="H2399" s="87">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332">
        <v>1</v>
      </c>
      <c r="B2400" s="332" t="s">
        <v>67</v>
      </c>
      <c r="C2400" s="332" t="s">
        <v>510</v>
      </c>
      <c r="D2400" s="332" t="s">
        <v>510</v>
      </c>
      <c r="E2400" s="333" t="s">
        <v>69</v>
      </c>
      <c r="F2400" s="332"/>
      <c r="G2400" s="334" t="str">
        <f t="array" ref="G2400">IF(B2400="insumo",_xlfn.XLOOKUP($D2400,Insumos!$B$1:$B$996,Insumos!$D$1:$D$996),"")</f>
        <v/>
      </c>
      <c r="H2400" s="334">
        <v>62.330599999999997</v>
      </c>
      <c r="I2400" s="335">
        <v>0</v>
      </c>
      <c r="J2400" s="335">
        <v>0</v>
      </c>
      <c r="K2400" s="335"/>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70</v>
      </c>
      <c r="C2401" s="10" t="s">
        <v>510</v>
      </c>
      <c r="D2401" s="10" t="s">
        <v>511</v>
      </c>
      <c r="E2401" s="11" t="str">
        <f t="array" ref="E2401">_xlfn.XLOOKUP(D2401,Insumos!B:B,Insumos!C:$C)</f>
        <v>M2</v>
      </c>
      <c r="F2401" s="14">
        <v>1.1000000000000001</v>
      </c>
      <c r="G2401" s="87">
        <f t="array" ref="G2401">IF(B2401="insumo",_xlfn.XLOOKUP($D2401,Insumos!$B$1:$B$996,Insumos!$D$1:$D$996),"")</f>
        <v>47.8</v>
      </c>
      <c r="H2401" s="87">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70</v>
      </c>
      <c r="C2402" s="10" t="s">
        <v>510</v>
      </c>
      <c r="D2402" s="10" t="s">
        <v>480</v>
      </c>
      <c r="E2402" s="11" t="str">
        <f t="array" ref="E2402">_xlfn.XLOOKUP(D2402,Insumos!B:B,Insumos!C:$C)</f>
        <v>KG</v>
      </c>
      <c r="F2402" s="14">
        <v>8.8000000000000007</v>
      </c>
      <c r="G2402" s="87">
        <f t="array" ref="G2402">IF(B2402="insumo",_xlfn.XLOOKUP($D2402,Insumos!$B$1:$B$996,Insumos!$D$1:$D$996),"")</f>
        <v>1.0645</v>
      </c>
      <c r="H2402" s="87">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70</v>
      </c>
      <c r="C2403" s="10" t="s">
        <v>510</v>
      </c>
      <c r="D2403" s="10" t="s">
        <v>505</v>
      </c>
      <c r="E2403" s="11" t="str">
        <f t="array" ref="E2403">_xlfn.XLOOKUP(D2403,Insumos!B:B,Insumos!C:$C)</f>
        <v>UN</v>
      </c>
      <c r="F2403" s="14">
        <v>2</v>
      </c>
      <c r="G2403" s="87">
        <f t="array" ref="G2403">IF(B2403="insumo",_xlfn.XLOOKUP($D2403,Insumos!$B$1:$B$996,Insumos!$D$1:$D$996),"")</f>
        <v>0.08</v>
      </c>
      <c r="H2403" s="87">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70</v>
      </c>
      <c r="C2404" s="10" t="s">
        <v>510</v>
      </c>
      <c r="D2404" s="10" t="s">
        <v>506</v>
      </c>
      <c r="E2404" s="11" t="str">
        <f t="array" ref="E2404">_xlfn.XLOOKUP(D2404,Insumos!B:B,Insumos!C:$C)</f>
        <v>KG</v>
      </c>
      <c r="F2404" s="14">
        <v>0.02</v>
      </c>
      <c r="G2404" s="87">
        <f t="array" ref="G2404">IF(B2404="insumo",_xlfn.XLOOKUP($D2404,Insumos!$B$1:$B$996,Insumos!$D$1:$D$996),"")</f>
        <v>11.15</v>
      </c>
      <c r="H2404" s="87">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332">
        <v>1</v>
      </c>
      <c r="B2405" s="332" t="s">
        <v>67</v>
      </c>
      <c r="C2405" s="332" t="s">
        <v>512</v>
      </c>
      <c r="D2405" s="332" t="s">
        <v>512</v>
      </c>
      <c r="E2405" s="333" t="s">
        <v>69</v>
      </c>
      <c r="F2405" s="332"/>
      <c r="G2405" s="334" t="str">
        <f t="array" ref="G2405">IF(B2405="insumo",_xlfn.XLOOKUP($D2405,Insumos!$B$1:$B$996,Insumos!$D$1:$D$996),"")</f>
        <v/>
      </c>
      <c r="H2405" s="334">
        <v>104.2406</v>
      </c>
      <c r="I2405" s="335">
        <v>0</v>
      </c>
      <c r="J2405" s="335">
        <v>0</v>
      </c>
      <c r="K2405" s="335"/>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70</v>
      </c>
      <c r="C2406" s="10" t="s">
        <v>512</v>
      </c>
      <c r="D2406" s="10" t="s">
        <v>513</v>
      </c>
      <c r="E2406" s="11" t="str">
        <f t="array" ref="E2406">_xlfn.XLOOKUP(D2406,Insumos!B:B,Insumos!C:$C)</f>
        <v>M2</v>
      </c>
      <c r="F2406" s="14">
        <v>1.1000000000000001</v>
      </c>
      <c r="G2406" s="87">
        <f t="array" ref="G2406">IF(B2406="insumo",_xlfn.XLOOKUP($D2406,Insumos!$B$1:$B$996,Insumos!$D$1:$D$996),"")</f>
        <v>85.9</v>
      </c>
      <c r="H2406" s="87">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70</v>
      </c>
      <c r="C2407" s="10" t="s">
        <v>512</v>
      </c>
      <c r="D2407" s="10" t="s">
        <v>480</v>
      </c>
      <c r="E2407" s="11" t="str">
        <f t="array" ref="E2407">_xlfn.XLOOKUP(D2407,Insumos!B:B,Insumos!C:$C)</f>
        <v>KG</v>
      </c>
      <c r="F2407" s="14">
        <v>8.8000000000000007</v>
      </c>
      <c r="G2407" s="87">
        <f t="array" ref="G2407">IF(B2407="insumo",_xlfn.XLOOKUP($D2407,Insumos!$B$1:$B$996,Insumos!$D$1:$D$996),"")</f>
        <v>1.0645</v>
      </c>
      <c r="H2407" s="87">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70</v>
      </c>
      <c r="C2408" s="10" t="s">
        <v>512</v>
      </c>
      <c r="D2408" s="10" t="s">
        <v>505</v>
      </c>
      <c r="E2408" s="11" t="str">
        <f t="array" ref="E2408">_xlfn.XLOOKUP(D2408,Insumos!B:B,Insumos!C:$C)</f>
        <v>UN</v>
      </c>
      <c r="F2408" s="14">
        <v>2</v>
      </c>
      <c r="G2408" s="87">
        <f t="array" ref="G2408">IF(B2408="insumo",_xlfn.XLOOKUP($D2408,Insumos!$B$1:$B$996,Insumos!$D$1:$D$996),"")</f>
        <v>0.08</v>
      </c>
      <c r="H2408" s="87">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70</v>
      </c>
      <c r="C2409" s="10" t="s">
        <v>512</v>
      </c>
      <c r="D2409" s="10" t="s">
        <v>506</v>
      </c>
      <c r="E2409" s="11" t="str">
        <f t="array" ref="E2409">_xlfn.XLOOKUP(D2409,Insumos!B:B,Insumos!C:$C)</f>
        <v>KG</v>
      </c>
      <c r="F2409" s="14">
        <v>0.02</v>
      </c>
      <c r="G2409" s="87">
        <f t="array" ref="G2409">IF(B2409="insumo",_xlfn.XLOOKUP($D2409,Insumos!$B$1:$B$996,Insumos!$D$1:$D$996),"")</f>
        <v>11.15</v>
      </c>
      <c r="H2409" s="87">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332">
        <v>1</v>
      </c>
      <c r="B2410" s="332" t="s">
        <v>67</v>
      </c>
      <c r="C2410" s="332" t="s">
        <v>514</v>
      </c>
      <c r="D2410" s="332" t="s">
        <v>514</v>
      </c>
      <c r="E2410" s="333" t="s">
        <v>69</v>
      </c>
      <c r="F2410" s="332"/>
      <c r="G2410" s="334" t="str">
        <f t="array" ref="G2410">IF(B2410="insumo",_xlfn.XLOOKUP($D2410,Insumos!$B$1:$B$996,Insumos!$D$1:$D$996),"")</f>
        <v/>
      </c>
      <c r="H2410" s="334">
        <v>167.4641</v>
      </c>
      <c r="I2410" s="335">
        <v>0</v>
      </c>
      <c r="J2410" s="335">
        <v>0</v>
      </c>
      <c r="K2410" s="335"/>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70</v>
      </c>
      <c r="C2411" s="10" t="s">
        <v>514</v>
      </c>
      <c r="D2411" s="10" t="s">
        <v>515</v>
      </c>
      <c r="E2411" s="11" t="str">
        <f t="array" ref="E2411">_xlfn.XLOOKUP(D2411,Insumos!B:B,Insumos!C:$C)</f>
        <v>M2</v>
      </c>
      <c r="F2411" s="14">
        <v>1.1000000000000001</v>
      </c>
      <c r="G2411" s="87">
        <f t="array" ref="G2411">IF(B2411="insumo",_xlfn.XLOOKUP($D2411,Insumos!$B$1:$B$996,Insumos!$D$1:$D$996),"")</f>
        <v>143.55000000000001</v>
      </c>
      <c r="H2411" s="87">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70</v>
      </c>
      <c r="C2412" s="10" t="s">
        <v>514</v>
      </c>
      <c r="D2412" s="10" t="s">
        <v>480</v>
      </c>
      <c r="E2412" s="11" t="str">
        <f t="array" ref="E2412">_xlfn.XLOOKUP(D2412,Insumos!B:B,Insumos!C:$C)</f>
        <v>KG</v>
      </c>
      <c r="F2412" s="14">
        <v>8.8000000000000007</v>
      </c>
      <c r="G2412" s="87">
        <f t="array" ref="G2412">IF(B2412="insumo",_xlfn.XLOOKUP($D2412,Insumos!$B$1:$B$996,Insumos!$D$1:$D$996),"")</f>
        <v>1.0645</v>
      </c>
      <c r="H2412" s="87">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70</v>
      </c>
      <c r="C2413" s="10" t="s">
        <v>514</v>
      </c>
      <c r="D2413" s="10" t="s">
        <v>505</v>
      </c>
      <c r="E2413" s="11" t="str">
        <f t="array" ref="E2413">_xlfn.XLOOKUP(D2413,Insumos!B:B,Insumos!C:$C)</f>
        <v>UN</v>
      </c>
      <c r="F2413" s="14">
        <v>1</v>
      </c>
      <c r="G2413" s="87">
        <f t="array" ref="G2413">IF(B2413="insumo",_xlfn.XLOOKUP($D2413,Insumos!$B$1:$B$996,Insumos!$D$1:$D$996),"")</f>
        <v>0.08</v>
      </c>
      <c r="H2413" s="87">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70</v>
      </c>
      <c r="C2414" s="10" t="s">
        <v>514</v>
      </c>
      <c r="D2414" s="10" t="s">
        <v>506</v>
      </c>
      <c r="E2414" s="11" t="str">
        <f t="array" ref="E2414">_xlfn.XLOOKUP(D2414,Insumos!B:B,Insumos!C:$C)</f>
        <v>KG</v>
      </c>
      <c r="F2414" s="14">
        <v>0.01</v>
      </c>
      <c r="G2414" s="87">
        <f t="array" ref="G2414">IF(B2414="insumo",_xlfn.XLOOKUP($D2414,Insumos!$B$1:$B$996,Insumos!$D$1:$D$996),"")</f>
        <v>11.15</v>
      </c>
      <c r="H2414" s="87">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332">
        <v>1</v>
      </c>
      <c r="B2415" s="332" t="s">
        <v>67</v>
      </c>
      <c r="C2415" s="332" t="s">
        <v>2376</v>
      </c>
      <c r="D2415" s="332" t="s">
        <v>2376</v>
      </c>
      <c r="E2415" s="333" t="s">
        <v>69</v>
      </c>
      <c r="F2415" s="332"/>
      <c r="G2415" s="334" t="str">
        <f t="array" ref="G2415">IF(B2415="insumo",_xlfn.XLOOKUP($D2415,Insumos!$B$1:$B$996,Insumos!$D$1:$D$996),"")</f>
        <v/>
      </c>
      <c r="H2415" s="334">
        <v>229.82759999999999</v>
      </c>
      <c r="I2415" s="335" t="e">
        <v>#REF!</v>
      </c>
      <c r="J2415" s="335" t="e">
        <v>#REF!</v>
      </c>
      <c r="K2415" s="335"/>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70</v>
      </c>
      <c r="C2416" s="10" t="s">
        <v>2376</v>
      </c>
      <c r="D2416" s="10" t="s">
        <v>2377</v>
      </c>
      <c r="E2416" s="11" t="str">
        <f t="array" ref="E2416">_xlfn.XLOOKUP(D2416,Insumos!B:B,Insumos!C:$C)</f>
        <v>M2</v>
      </c>
      <c r="F2416" s="14">
        <v>1.1000000000000001</v>
      </c>
      <c r="G2416" s="87">
        <f t="array" ref="G2416">IF(B2416="insumo",_xlfn.XLOOKUP($D2416,Insumos!$B$1:$B$996,Insumos!$D$1:$D$996),"")</f>
        <v>200</v>
      </c>
      <c r="H2416" s="87">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70</v>
      </c>
      <c r="C2417" s="10" t="s">
        <v>2376</v>
      </c>
      <c r="D2417" s="10" t="s">
        <v>480</v>
      </c>
      <c r="E2417" s="11" t="str">
        <f t="array" ref="E2417">_xlfn.XLOOKUP(D2417,Insumos!B:B,Insumos!C:$C)</f>
        <v>KG</v>
      </c>
      <c r="F2417" s="14">
        <v>8.8000000000000007</v>
      </c>
      <c r="G2417" s="87">
        <f t="array" ref="G2417">IF(B2417="insumo",_xlfn.XLOOKUP($D2417,Insumos!$B$1:$B$996,Insumos!$D$1:$D$996),"")</f>
        <v>1.0645</v>
      </c>
      <c r="H2417" s="87">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70</v>
      </c>
      <c r="C2418" s="10" t="s">
        <v>2376</v>
      </c>
      <c r="D2418" s="10" t="s">
        <v>505</v>
      </c>
      <c r="E2418" s="11" t="str">
        <f t="array" ref="E2418">_xlfn.XLOOKUP(D2418,Insumos!B:B,Insumos!C:$C)</f>
        <v>UN</v>
      </c>
      <c r="F2418" s="14">
        <v>1</v>
      </c>
      <c r="G2418" s="87">
        <f t="array" ref="G2418">IF(B2418="insumo",_xlfn.XLOOKUP($D2418,Insumos!$B$1:$B$996,Insumos!$D$1:$D$996),"")</f>
        <v>0.08</v>
      </c>
      <c r="H2418" s="87">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70</v>
      </c>
      <c r="C2419" s="77" t="s">
        <v>2376</v>
      </c>
      <c r="D2419" s="77" t="s">
        <v>2388</v>
      </c>
      <c r="E2419" s="11" t="str">
        <f t="array" ref="E2419">_xlfn.XLOOKUP(D2419,Insumos!B:B,Insumos!C:$C)</f>
        <v>KG</v>
      </c>
      <c r="F2419" s="14">
        <v>0.01</v>
      </c>
      <c r="G2419" s="87">
        <f t="array" ref="G2419">IF(B2419="insumo",_xlfn.XLOOKUP($D2419,Insumos!$B$1:$B$996,Insumos!$D$1:$D$996),"")</f>
        <v>38</v>
      </c>
      <c r="H2419" s="87">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332">
        <v>1</v>
      </c>
      <c r="B2420" s="332" t="s">
        <v>67</v>
      </c>
      <c r="C2420" s="332" t="s">
        <v>2378</v>
      </c>
      <c r="D2420" s="332" t="s">
        <v>2378</v>
      </c>
      <c r="E2420" s="333" t="s">
        <v>69</v>
      </c>
      <c r="F2420" s="332"/>
      <c r="G2420" s="334" t="str">
        <f t="array" ref="G2420">IF(B2420="insumo",_xlfn.XLOOKUP($D2420,Insumos!$B$1:$B$996,Insumos!$D$1:$D$996),"")</f>
        <v/>
      </c>
      <c r="H2420" s="334">
        <v>141.82759999999999</v>
      </c>
      <c r="I2420" s="335" t="e">
        <v>#REF!</v>
      </c>
      <c r="J2420" s="335" t="e">
        <v>#REF!</v>
      </c>
      <c r="K2420" s="335"/>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70</v>
      </c>
      <c r="C2421" s="10" t="s">
        <v>2378</v>
      </c>
      <c r="D2421" s="10" t="s">
        <v>2379</v>
      </c>
      <c r="E2421" s="11" t="str">
        <f t="array" ref="E2421">_xlfn.XLOOKUP(D2421,Insumos!B:B,Insumos!C:$C)</f>
        <v>M2</v>
      </c>
      <c r="F2421" s="14">
        <v>1.1000000000000001</v>
      </c>
      <c r="G2421" s="87">
        <f t="array" ref="G2421">IF(B2421="insumo",_xlfn.XLOOKUP($D2421,Insumos!$B$1:$B$996,Insumos!$D$1:$D$996),"")</f>
        <v>120</v>
      </c>
      <c r="H2421" s="87">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70</v>
      </c>
      <c r="C2422" s="10" t="s">
        <v>2378</v>
      </c>
      <c r="D2422" s="10" t="s">
        <v>480</v>
      </c>
      <c r="E2422" s="11" t="str">
        <f t="array" ref="E2422">_xlfn.XLOOKUP(D2422,Insumos!B:B,Insumos!C:$C)</f>
        <v>KG</v>
      </c>
      <c r="F2422" s="14">
        <v>8.8000000000000007</v>
      </c>
      <c r="G2422" s="87">
        <f t="array" ref="G2422">IF(B2422="insumo",_xlfn.XLOOKUP($D2422,Insumos!$B$1:$B$996,Insumos!$D$1:$D$996),"")</f>
        <v>1.0645</v>
      </c>
      <c r="H2422" s="87">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70</v>
      </c>
      <c r="C2423" s="10" t="s">
        <v>2378</v>
      </c>
      <c r="D2423" s="10" t="s">
        <v>505</v>
      </c>
      <c r="E2423" s="11" t="str">
        <f t="array" ref="E2423">_xlfn.XLOOKUP(D2423,Insumos!B:B,Insumos!C:$C)</f>
        <v>UN</v>
      </c>
      <c r="F2423" s="14">
        <v>1</v>
      </c>
      <c r="G2423" s="87">
        <f t="array" ref="G2423">IF(B2423="insumo",_xlfn.XLOOKUP($D2423,Insumos!$B$1:$B$996,Insumos!$D$1:$D$996),"")</f>
        <v>0.08</v>
      </c>
      <c r="H2423" s="87">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70</v>
      </c>
      <c r="C2424" s="77" t="s">
        <v>2378</v>
      </c>
      <c r="D2424" s="77" t="s">
        <v>2388</v>
      </c>
      <c r="E2424" s="11" t="str">
        <f t="array" ref="E2424">_xlfn.XLOOKUP(D2424,Insumos!B:B,Insumos!C:$C)</f>
        <v>KG</v>
      </c>
      <c r="F2424" s="14">
        <v>0.01</v>
      </c>
      <c r="G2424" s="87">
        <f t="array" ref="G2424">IF(B2424="insumo",_xlfn.XLOOKUP($D2424,Insumos!$B$1:$B$996,Insumos!$D$1:$D$996),"")</f>
        <v>38</v>
      </c>
      <c r="H2424" s="87">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332">
        <v>1</v>
      </c>
      <c r="B2425" s="332" t="s">
        <v>67</v>
      </c>
      <c r="C2425" s="332" t="s">
        <v>2537</v>
      </c>
      <c r="D2425" s="332" t="s">
        <v>2537</v>
      </c>
      <c r="E2425" s="333" t="s">
        <v>69</v>
      </c>
      <c r="F2425" s="332"/>
      <c r="G2425" s="334" t="str">
        <f t="array" ref="G2425">IF(B2425="insumo",_xlfn.XLOOKUP($D2425,Insumos!$B$1:$B$996,Insumos!$D$1:$D$996),"")</f>
        <v/>
      </c>
      <c r="H2425" s="334">
        <v>117.6276</v>
      </c>
      <c r="I2425" s="335">
        <v>0</v>
      </c>
      <c r="J2425" s="335">
        <v>0</v>
      </c>
      <c r="K2425" s="335"/>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70</v>
      </c>
      <c r="C2426" s="10" t="s">
        <v>2537</v>
      </c>
      <c r="D2426" s="10" t="s">
        <v>2538</v>
      </c>
      <c r="E2426" s="11" t="str">
        <f t="array" ref="E2426">_xlfn.XLOOKUP(D2426,Insumos!B:B,Insumos!C:$C)</f>
        <v>M2</v>
      </c>
      <c r="F2426" s="14">
        <v>1.1000000000000001</v>
      </c>
      <c r="G2426" s="87">
        <f t="array" ref="G2426">IF(B2426="insumo",_xlfn.XLOOKUP($D2426,Insumos!$B$1:$B$996,Insumos!$D$1:$D$996),"")</f>
        <v>98</v>
      </c>
      <c r="H2426" s="87">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70</v>
      </c>
      <c r="C2427" s="10" t="s">
        <v>2537</v>
      </c>
      <c r="D2427" s="10" t="s">
        <v>480</v>
      </c>
      <c r="E2427" s="11" t="str">
        <f t="array" ref="E2427">_xlfn.XLOOKUP(D2427,Insumos!B:B,Insumos!C:$C)</f>
        <v>KG</v>
      </c>
      <c r="F2427" s="14">
        <v>8.8000000000000007</v>
      </c>
      <c r="G2427" s="87">
        <f t="array" ref="G2427">IF(B2427="insumo",_xlfn.XLOOKUP($D2427,Insumos!$B$1:$B$996,Insumos!$D$1:$D$996),"")</f>
        <v>1.0645</v>
      </c>
      <c r="H2427" s="87">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70</v>
      </c>
      <c r="C2428" s="10" t="s">
        <v>2537</v>
      </c>
      <c r="D2428" s="10" t="s">
        <v>505</v>
      </c>
      <c r="E2428" s="11" t="str">
        <f t="array" ref="E2428">_xlfn.XLOOKUP(D2428,Insumos!B:B,Insumos!C:$C)</f>
        <v>UN</v>
      </c>
      <c r="F2428" s="14">
        <v>1</v>
      </c>
      <c r="G2428" s="87">
        <f t="array" ref="G2428">IF(B2428="insumo",_xlfn.XLOOKUP($D2428,Insumos!$B$1:$B$996,Insumos!$D$1:$D$996),"")</f>
        <v>0.08</v>
      </c>
      <c r="H2428" s="87">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70</v>
      </c>
      <c r="C2429" s="77" t="s">
        <v>2537</v>
      </c>
      <c r="D2429" s="77" t="s">
        <v>2388</v>
      </c>
      <c r="E2429" s="11" t="str">
        <f t="array" ref="E2429">_xlfn.XLOOKUP(D2429,Insumos!B:B,Insumos!C:$C)</f>
        <v>KG</v>
      </c>
      <c r="F2429" s="14">
        <v>0.01</v>
      </c>
      <c r="G2429" s="87">
        <f t="array" ref="G2429">IF(B2429="insumo",_xlfn.XLOOKUP($D2429,Insumos!$B$1:$B$996,Insumos!$D$1:$D$996),"")</f>
        <v>38</v>
      </c>
      <c r="H2429" s="87">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332">
        <v>1</v>
      </c>
      <c r="B2430" s="332" t="s">
        <v>67</v>
      </c>
      <c r="C2430" s="332" t="s">
        <v>516</v>
      </c>
      <c r="D2430" s="332" t="s">
        <v>516</v>
      </c>
      <c r="E2430" s="333" t="s">
        <v>69</v>
      </c>
      <c r="F2430" s="332"/>
      <c r="G2430" s="334" t="str">
        <f t="array" ref="G2430">IF(B2430="insumo",_xlfn.XLOOKUP($D2430,Insumos!$B$1:$B$996,Insumos!$D$1:$D$996),"")</f>
        <v/>
      </c>
      <c r="H2430" s="334">
        <v>231.77010000000001</v>
      </c>
      <c r="I2430" s="335">
        <v>0</v>
      </c>
      <c r="J2430" s="335">
        <v>0</v>
      </c>
      <c r="K2430" s="335"/>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70</v>
      </c>
      <c r="C2431" s="10" t="s">
        <v>516</v>
      </c>
      <c r="D2431" s="10" t="s">
        <v>517</v>
      </c>
      <c r="E2431" s="11" t="str">
        <f t="array" ref="E2431">_xlfn.XLOOKUP(D2431,Insumos!B:B,Insumos!C:$C)</f>
        <v>M2</v>
      </c>
      <c r="F2431" s="14">
        <v>1.1000000000000001</v>
      </c>
      <c r="G2431" s="87">
        <f t="array" ref="G2431">IF(B2431="insumo",_xlfn.XLOOKUP($D2431,Insumos!$B$1:$B$996,Insumos!$D$1:$D$996),"")</f>
        <v>202.01</v>
      </c>
      <c r="H2431" s="87">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70</v>
      </c>
      <c r="C2432" s="10" t="s">
        <v>516</v>
      </c>
      <c r="D2432" s="10" t="s">
        <v>480</v>
      </c>
      <c r="E2432" s="11" t="str">
        <f t="array" ref="E2432">_xlfn.XLOOKUP(D2432,Insumos!B:B,Insumos!C:$C)</f>
        <v>KG</v>
      </c>
      <c r="F2432" s="14">
        <v>8.8000000000000007</v>
      </c>
      <c r="G2432" s="87">
        <f t="array" ref="G2432">IF(B2432="insumo",_xlfn.XLOOKUP($D2432,Insumos!$B$1:$B$996,Insumos!$D$1:$D$996),"")</f>
        <v>1.0645</v>
      </c>
      <c r="H2432" s="87">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70</v>
      </c>
      <c r="C2433" s="10" t="s">
        <v>516</v>
      </c>
      <c r="D2433" s="10" t="s">
        <v>505</v>
      </c>
      <c r="E2433" s="11" t="str">
        <f t="array" ref="E2433">_xlfn.XLOOKUP(D2433,Insumos!B:B,Insumos!C:$C)</f>
        <v>UN</v>
      </c>
      <c r="F2433" s="14">
        <v>1</v>
      </c>
      <c r="G2433" s="87">
        <f t="array" ref="G2433">IF(B2433="insumo",_xlfn.XLOOKUP($D2433,Insumos!$B$1:$B$996,Insumos!$D$1:$D$996),"")</f>
        <v>0.08</v>
      </c>
      <c r="H2433" s="87">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70</v>
      </c>
      <c r="C2434" s="10" t="s">
        <v>516</v>
      </c>
      <c r="D2434" s="10" t="s">
        <v>506</v>
      </c>
      <c r="E2434" s="11" t="str">
        <f t="array" ref="E2434">_xlfn.XLOOKUP(D2434,Insumos!B:B,Insumos!C:$C)</f>
        <v>KG</v>
      </c>
      <c r="F2434" s="14">
        <v>0.01</v>
      </c>
      <c r="G2434" s="87">
        <f t="array" ref="G2434">IF(B2434="insumo",_xlfn.XLOOKUP($D2434,Insumos!$B$1:$B$996,Insumos!$D$1:$D$996),"")</f>
        <v>11.15</v>
      </c>
      <c r="H2434" s="87">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332">
        <v>1</v>
      </c>
      <c r="B2435" s="332" t="s">
        <v>67</v>
      </c>
      <c r="C2435" s="332" t="s">
        <v>1394</v>
      </c>
      <c r="D2435" s="332" t="s">
        <v>1394</v>
      </c>
      <c r="E2435" s="333" t="s">
        <v>69</v>
      </c>
      <c r="F2435" s="332"/>
      <c r="G2435" s="334" t="str">
        <f t="array" ref="G2435">IF(B2435="insumo",_xlfn.XLOOKUP($D2435,Insumos!$B$1:$B$996,Insumos!$D$1:$D$996),"")</f>
        <v/>
      </c>
      <c r="H2435" s="334">
        <v>131.10910000000001</v>
      </c>
      <c r="I2435" s="335">
        <v>0</v>
      </c>
      <c r="J2435" s="335">
        <v>0</v>
      </c>
      <c r="K2435" s="335"/>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70</v>
      </c>
      <c r="C2436" s="10" t="s">
        <v>1394</v>
      </c>
      <c r="D2436" s="10" t="s">
        <v>1407</v>
      </c>
      <c r="E2436" s="11" t="str">
        <f t="array" ref="E2436">_xlfn.XLOOKUP(D2436,Insumos!B:B,Insumos!C:$C)</f>
        <v>M2</v>
      </c>
      <c r="F2436" s="14">
        <v>1.1000000000000001</v>
      </c>
      <c r="G2436" s="87">
        <f t="array" ref="G2436">IF(B2436="insumo",_xlfn.XLOOKUP($D2436,Insumos!$B$1:$B$996,Insumos!$D$1:$D$996),"")</f>
        <v>110.5</v>
      </c>
      <c r="H2436" s="87">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70</v>
      </c>
      <c r="C2437" s="10" t="s">
        <v>1394</v>
      </c>
      <c r="D2437" s="10" t="s">
        <v>480</v>
      </c>
      <c r="E2437" s="11" t="str">
        <f t="array" ref="E2437">_xlfn.XLOOKUP(D2437,Insumos!B:B,Insumos!C:$C)</f>
        <v>KG</v>
      </c>
      <c r="F2437" s="14">
        <v>8.8000000000000007</v>
      </c>
      <c r="G2437" s="87">
        <f t="array" ref="G2437">IF(B2437="insumo",_xlfn.XLOOKUP($D2437,Insumos!$B$1:$B$996,Insumos!$D$1:$D$996),"")</f>
        <v>1.0645</v>
      </c>
      <c r="H2437" s="87">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70</v>
      </c>
      <c r="C2438" s="10" t="s">
        <v>1394</v>
      </c>
      <c r="D2438" s="10" t="s">
        <v>505</v>
      </c>
      <c r="E2438" s="11" t="str">
        <f t="array" ref="E2438">_xlfn.XLOOKUP(D2438,Insumos!B:B,Insumos!C:$C)</f>
        <v>UN</v>
      </c>
      <c r="F2438" s="14">
        <v>1</v>
      </c>
      <c r="G2438" s="87">
        <f t="array" ref="G2438">IF(B2438="insumo",_xlfn.XLOOKUP($D2438,Insumos!$B$1:$B$996,Insumos!$D$1:$D$996),"")</f>
        <v>0.08</v>
      </c>
      <c r="H2438" s="87">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70</v>
      </c>
      <c r="C2439" s="10" t="s">
        <v>1394</v>
      </c>
      <c r="D2439" s="10" t="s">
        <v>506</v>
      </c>
      <c r="E2439" s="11" t="str">
        <f t="array" ref="E2439">_xlfn.XLOOKUP(D2439,Insumos!B:B,Insumos!C:$C)</f>
        <v>KG</v>
      </c>
      <c r="F2439" s="14">
        <v>0.01</v>
      </c>
      <c r="G2439" s="87">
        <f t="array" ref="G2439">IF(B2439="insumo",_xlfn.XLOOKUP($D2439,Insumos!$B$1:$B$996,Insumos!$D$1:$D$996),"")</f>
        <v>11.15</v>
      </c>
      <c r="H2439" s="87">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332">
        <v>1</v>
      </c>
      <c r="B2440" s="332" t="s">
        <v>67</v>
      </c>
      <c r="C2440" s="332" t="s">
        <v>1402</v>
      </c>
      <c r="D2440" s="332" t="s">
        <v>1402</v>
      </c>
      <c r="E2440" s="333" t="s">
        <v>69</v>
      </c>
      <c r="F2440" s="332"/>
      <c r="G2440" s="334" t="str">
        <f t="array" ref="G2440">IF(B2440="insumo",_xlfn.XLOOKUP($D2440,Insumos!$B$1:$B$996,Insumos!$D$1:$D$996),"")</f>
        <v/>
      </c>
      <c r="H2440" s="334">
        <v>131.10910000000001</v>
      </c>
      <c r="I2440" s="335">
        <v>0</v>
      </c>
      <c r="J2440" s="335">
        <v>0</v>
      </c>
      <c r="K2440" s="335"/>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70</v>
      </c>
      <c r="C2441" s="10" t="s">
        <v>1402</v>
      </c>
      <c r="D2441" s="10" t="s">
        <v>1408</v>
      </c>
      <c r="E2441" s="11" t="str">
        <f t="array" ref="E2441">_xlfn.XLOOKUP(D2441,Insumos!B:B,Insumos!C:$C)</f>
        <v>M2</v>
      </c>
      <c r="F2441" s="14">
        <v>1.1000000000000001</v>
      </c>
      <c r="G2441" s="87">
        <f t="array" ref="G2441">IF(B2441="insumo",_xlfn.XLOOKUP($D2441,Insumos!$B$1:$B$996,Insumos!$D$1:$D$996),"")</f>
        <v>110.5</v>
      </c>
      <c r="H2441" s="87">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70</v>
      </c>
      <c r="C2442" s="10" t="s">
        <v>1402</v>
      </c>
      <c r="D2442" s="10" t="s">
        <v>480</v>
      </c>
      <c r="E2442" s="11" t="str">
        <f t="array" ref="E2442">_xlfn.XLOOKUP(D2442,Insumos!B:B,Insumos!C:$C)</f>
        <v>KG</v>
      </c>
      <c r="F2442" s="14">
        <v>8.8000000000000007</v>
      </c>
      <c r="G2442" s="87">
        <f t="array" ref="G2442">IF(B2442="insumo",_xlfn.XLOOKUP($D2442,Insumos!$B$1:$B$996,Insumos!$D$1:$D$996),"")</f>
        <v>1.0645</v>
      </c>
      <c r="H2442" s="87">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70</v>
      </c>
      <c r="C2443" s="10" t="s">
        <v>1402</v>
      </c>
      <c r="D2443" s="10" t="s">
        <v>505</v>
      </c>
      <c r="E2443" s="11" t="str">
        <f t="array" ref="E2443">_xlfn.XLOOKUP(D2443,Insumos!B:B,Insumos!C:$C)</f>
        <v>UN</v>
      </c>
      <c r="F2443" s="14">
        <v>1</v>
      </c>
      <c r="G2443" s="87">
        <f t="array" ref="G2443">IF(B2443="insumo",_xlfn.XLOOKUP($D2443,Insumos!$B$1:$B$996,Insumos!$D$1:$D$996),"")</f>
        <v>0.08</v>
      </c>
      <c r="H2443" s="87">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70</v>
      </c>
      <c r="C2444" s="10" t="s">
        <v>1402</v>
      </c>
      <c r="D2444" s="10" t="s">
        <v>506</v>
      </c>
      <c r="E2444" s="11" t="str">
        <f t="array" ref="E2444">_xlfn.XLOOKUP(D2444,Insumos!B:B,Insumos!C:$C)</f>
        <v>KG</v>
      </c>
      <c r="F2444" s="14">
        <v>0.01</v>
      </c>
      <c r="G2444" s="87">
        <f t="array" ref="G2444">IF(B2444="insumo",_xlfn.XLOOKUP($D2444,Insumos!$B$1:$B$996,Insumos!$D$1:$D$996),"")</f>
        <v>11.15</v>
      </c>
      <c r="H2444" s="87">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332">
        <v>1</v>
      </c>
      <c r="B2445" s="332" t="s">
        <v>67</v>
      </c>
      <c r="C2445" s="332" t="s">
        <v>1395</v>
      </c>
      <c r="D2445" s="332" t="s">
        <v>1395</v>
      </c>
      <c r="E2445" s="333" t="s">
        <v>69</v>
      </c>
      <c r="F2445" s="332"/>
      <c r="G2445" s="334" t="str">
        <f t="array" ref="G2445">IF(B2445="insumo",_xlfn.XLOOKUP($D2445,Insumos!$B$1:$B$996,Insumos!$D$1:$D$996),"")</f>
        <v/>
      </c>
      <c r="H2445" s="334">
        <v>83.149100000000004</v>
      </c>
      <c r="I2445" s="335">
        <v>0</v>
      </c>
      <c r="J2445" s="335">
        <v>0</v>
      </c>
      <c r="K2445" s="335"/>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70</v>
      </c>
      <c r="C2446" s="10" t="s">
        <v>1395</v>
      </c>
      <c r="D2446" s="10" t="s">
        <v>1409</v>
      </c>
      <c r="E2446" s="11" t="str">
        <f t="array" ref="E2446">_xlfn.XLOOKUP(D2446,Insumos!B:B,Insumos!C:$C)</f>
        <v>M2</v>
      </c>
      <c r="F2446" s="14">
        <v>1.1000000000000001</v>
      </c>
      <c r="G2446" s="87">
        <f t="array" ref="G2446">IF(B2446="insumo",_xlfn.XLOOKUP($D2446,Insumos!$B$1:$B$996,Insumos!$D$1:$D$996),"")</f>
        <v>66.900000000000006</v>
      </c>
      <c r="H2446" s="87">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70</v>
      </c>
      <c r="C2447" s="10" t="s">
        <v>1395</v>
      </c>
      <c r="D2447" s="10" t="s">
        <v>480</v>
      </c>
      <c r="E2447" s="11" t="str">
        <f t="array" ref="E2447">_xlfn.XLOOKUP(D2447,Insumos!B:B,Insumos!C:$C)</f>
        <v>KG</v>
      </c>
      <c r="F2447" s="14">
        <v>8.8000000000000007</v>
      </c>
      <c r="G2447" s="87">
        <f t="array" ref="G2447">IF(B2447="insumo",_xlfn.XLOOKUP($D2447,Insumos!$B$1:$B$996,Insumos!$D$1:$D$996),"")</f>
        <v>1.0645</v>
      </c>
      <c r="H2447" s="87">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70</v>
      </c>
      <c r="C2448" s="10" t="s">
        <v>1395</v>
      </c>
      <c r="D2448" s="10" t="s">
        <v>505</v>
      </c>
      <c r="E2448" s="11" t="str">
        <f t="array" ref="E2448">_xlfn.XLOOKUP(D2448,Insumos!B:B,Insumos!C:$C)</f>
        <v>UN</v>
      </c>
      <c r="F2448" s="14">
        <v>1</v>
      </c>
      <c r="G2448" s="87">
        <f t="array" ref="G2448">IF(B2448="insumo",_xlfn.XLOOKUP($D2448,Insumos!$B$1:$B$996,Insumos!$D$1:$D$996),"")</f>
        <v>0.08</v>
      </c>
      <c r="H2448" s="87">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70</v>
      </c>
      <c r="C2449" s="10" t="s">
        <v>1395</v>
      </c>
      <c r="D2449" s="10" t="s">
        <v>506</v>
      </c>
      <c r="E2449" s="11" t="str">
        <f t="array" ref="E2449">_xlfn.XLOOKUP(D2449,Insumos!B:B,Insumos!C:$C)</f>
        <v>KG</v>
      </c>
      <c r="F2449" s="14">
        <v>0.01</v>
      </c>
      <c r="G2449" s="87">
        <f t="array" ref="G2449">IF(B2449="insumo",_xlfn.XLOOKUP($D2449,Insumos!$B$1:$B$996,Insumos!$D$1:$D$996),"")</f>
        <v>11.15</v>
      </c>
      <c r="H2449" s="87">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332">
        <v>1</v>
      </c>
      <c r="B2450" s="332" t="s">
        <v>67</v>
      </c>
      <c r="C2450" s="332" t="s">
        <v>1396</v>
      </c>
      <c r="D2450" s="332" t="s">
        <v>1396</v>
      </c>
      <c r="E2450" s="333" t="s">
        <v>69</v>
      </c>
      <c r="F2450" s="332"/>
      <c r="G2450" s="334" t="str">
        <f t="array" ref="G2450">IF(B2450="insumo",_xlfn.XLOOKUP($D2450,Insumos!$B$1:$B$996,Insumos!$D$1:$D$996),"")</f>
        <v/>
      </c>
      <c r="H2450" s="334">
        <v>156.73910000000001</v>
      </c>
      <c r="I2450" s="335">
        <v>0</v>
      </c>
      <c r="J2450" s="335">
        <v>0</v>
      </c>
      <c r="K2450" s="335"/>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70</v>
      </c>
      <c r="C2451" s="10" t="s">
        <v>1396</v>
      </c>
      <c r="D2451" s="10" t="s">
        <v>1410</v>
      </c>
      <c r="E2451" s="11" t="str">
        <f t="array" ref="E2451">_xlfn.XLOOKUP(D2451,Insumos!B:B,Insumos!C:$C)</f>
        <v>M2</v>
      </c>
      <c r="F2451" s="14">
        <v>1.1000000000000001</v>
      </c>
      <c r="G2451" s="87">
        <f t="array" ref="G2451">IF(B2451="insumo",_xlfn.XLOOKUP($D2451,Insumos!$B$1:$B$996,Insumos!$D$1:$D$996),"")</f>
        <v>133.80000000000001</v>
      </c>
      <c r="H2451" s="87">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70</v>
      </c>
      <c r="C2452" s="10" t="s">
        <v>1396</v>
      </c>
      <c r="D2452" s="10" t="s">
        <v>480</v>
      </c>
      <c r="E2452" s="11" t="str">
        <f t="array" ref="E2452">_xlfn.XLOOKUP(D2452,Insumos!B:B,Insumos!C:$C)</f>
        <v>KG</v>
      </c>
      <c r="F2452" s="14">
        <v>8.8000000000000007</v>
      </c>
      <c r="G2452" s="87">
        <f t="array" ref="G2452">IF(B2452="insumo",_xlfn.XLOOKUP($D2452,Insumos!$B$1:$B$996,Insumos!$D$1:$D$996),"")</f>
        <v>1.0645</v>
      </c>
      <c r="H2452" s="87">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70</v>
      </c>
      <c r="C2453" s="10" t="s">
        <v>1396</v>
      </c>
      <c r="D2453" s="10" t="s">
        <v>505</v>
      </c>
      <c r="E2453" s="11" t="str">
        <f t="array" ref="E2453">_xlfn.XLOOKUP(D2453,Insumos!B:B,Insumos!C:$C)</f>
        <v>UN</v>
      </c>
      <c r="F2453" s="14">
        <v>1</v>
      </c>
      <c r="G2453" s="87">
        <f t="array" ref="G2453">IF(B2453="insumo",_xlfn.XLOOKUP($D2453,Insumos!$B$1:$B$996,Insumos!$D$1:$D$996),"")</f>
        <v>0.08</v>
      </c>
      <c r="H2453" s="87">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70</v>
      </c>
      <c r="C2454" s="10" t="s">
        <v>1396</v>
      </c>
      <c r="D2454" s="10" t="s">
        <v>506</v>
      </c>
      <c r="E2454" s="11" t="str">
        <f t="array" ref="E2454">_xlfn.XLOOKUP(D2454,Insumos!B:B,Insumos!C:$C)</f>
        <v>KG</v>
      </c>
      <c r="F2454" s="14">
        <v>0.01</v>
      </c>
      <c r="G2454" s="87">
        <f t="array" ref="G2454">IF(B2454="insumo",_xlfn.XLOOKUP($D2454,Insumos!$B$1:$B$996,Insumos!$D$1:$D$996),"")</f>
        <v>11.15</v>
      </c>
      <c r="H2454" s="87">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332">
        <v>1</v>
      </c>
      <c r="B2455" s="332" t="s">
        <v>67</v>
      </c>
      <c r="C2455" s="332" t="s">
        <v>1397</v>
      </c>
      <c r="D2455" s="332" t="s">
        <v>1397</v>
      </c>
      <c r="E2455" s="333" t="s">
        <v>69</v>
      </c>
      <c r="F2455" s="332"/>
      <c r="G2455" s="334" t="str">
        <f t="array" ref="G2455">IF(B2455="insumo",_xlfn.XLOOKUP($D2455,Insumos!$B$1:$B$996,Insumos!$D$1:$D$996),"")</f>
        <v/>
      </c>
      <c r="H2455" s="334">
        <v>156.73910000000001</v>
      </c>
      <c r="I2455" s="335">
        <v>0</v>
      </c>
      <c r="J2455" s="335">
        <v>0</v>
      </c>
      <c r="K2455" s="335"/>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70</v>
      </c>
      <c r="C2456" s="10" t="s">
        <v>1397</v>
      </c>
      <c r="D2456" s="10" t="s">
        <v>1411</v>
      </c>
      <c r="E2456" s="11" t="str">
        <f t="array" ref="E2456">_xlfn.XLOOKUP(D2456,Insumos!B:B,Insumos!C:$C)</f>
        <v>M2</v>
      </c>
      <c r="F2456" s="14">
        <v>1.1000000000000001</v>
      </c>
      <c r="G2456" s="87">
        <f t="array" ref="G2456">IF(B2456="insumo",_xlfn.XLOOKUP($D2456,Insumos!$B$1:$B$996,Insumos!$D$1:$D$996),"")</f>
        <v>133.80000000000001</v>
      </c>
      <c r="H2456" s="87">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70</v>
      </c>
      <c r="C2457" s="10" t="s">
        <v>1397</v>
      </c>
      <c r="D2457" s="10" t="s">
        <v>480</v>
      </c>
      <c r="E2457" s="11" t="str">
        <f t="array" ref="E2457">_xlfn.XLOOKUP(D2457,Insumos!B:B,Insumos!C:$C)</f>
        <v>KG</v>
      </c>
      <c r="F2457" s="14">
        <v>8.8000000000000007</v>
      </c>
      <c r="G2457" s="87">
        <f t="array" ref="G2457">IF(B2457="insumo",_xlfn.XLOOKUP($D2457,Insumos!$B$1:$B$996,Insumos!$D$1:$D$996),"")</f>
        <v>1.0645</v>
      </c>
      <c r="H2457" s="87">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70</v>
      </c>
      <c r="C2458" s="10" t="s">
        <v>1397</v>
      </c>
      <c r="D2458" s="10" t="s">
        <v>505</v>
      </c>
      <c r="E2458" s="11" t="str">
        <f t="array" ref="E2458">_xlfn.XLOOKUP(D2458,Insumos!B:B,Insumos!C:$C)</f>
        <v>UN</v>
      </c>
      <c r="F2458" s="14">
        <v>1</v>
      </c>
      <c r="G2458" s="87">
        <f t="array" ref="G2458">IF(B2458="insumo",_xlfn.XLOOKUP($D2458,Insumos!$B$1:$B$996,Insumos!$D$1:$D$996),"")</f>
        <v>0.08</v>
      </c>
      <c r="H2458" s="87">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70</v>
      </c>
      <c r="C2459" s="10" t="s">
        <v>1397</v>
      </c>
      <c r="D2459" s="10" t="s">
        <v>506</v>
      </c>
      <c r="E2459" s="11" t="str">
        <f t="array" ref="E2459">_xlfn.XLOOKUP(D2459,Insumos!B:B,Insumos!C:$C)</f>
        <v>KG</v>
      </c>
      <c r="F2459" s="14">
        <v>0.01</v>
      </c>
      <c r="G2459" s="87">
        <f t="array" ref="G2459">IF(B2459="insumo",_xlfn.XLOOKUP($D2459,Insumos!$B$1:$B$996,Insumos!$D$1:$D$996),"")</f>
        <v>11.15</v>
      </c>
      <c r="H2459" s="87">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332">
        <v>1</v>
      </c>
      <c r="B2460" s="332" t="s">
        <v>67</v>
      </c>
      <c r="C2460" s="332" t="s">
        <v>1398</v>
      </c>
      <c r="D2460" s="332" t="s">
        <v>1398</v>
      </c>
      <c r="E2460" s="333" t="s">
        <v>69</v>
      </c>
      <c r="F2460" s="332"/>
      <c r="G2460" s="334" t="str">
        <f t="array" ref="G2460">IF(B2460="insumo",_xlfn.XLOOKUP($D2460,Insumos!$B$1:$B$996,Insumos!$D$1:$D$996),"")</f>
        <v/>
      </c>
      <c r="H2460" s="334">
        <v>156.73910000000001</v>
      </c>
      <c r="I2460" s="335">
        <v>0</v>
      </c>
      <c r="J2460" s="335">
        <v>0</v>
      </c>
      <c r="K2460" s="335"/>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70</v>
      </c>
      <c r="C2461" s="10" t="s">
        <v>1398</v>
      </c>
      <c r="D2461" s="10" t="s">
        <v>1412</v>
      </c>
      <c r="E2461" s="11" t="str">
        <f t="array" ref="E2461">_xlfn.XLOOKUP(D2461,Insumos!B:B,Insumos!C:$C)</f>
        <v>M2</v>
      </c>
      <c r="F2461" s="14">
        <v>1.1000000000000001</v>
      </c>
      <c r="G2461" s="87">
        <f t="array" ref="G2461">IF(B2461="insumo",_xlfn.XLOOKUP($D2461,Insumos!$B$1:$B$996,Insumos!$D$1:$D$996),"")</f>
        <v>133.80000000000001</v>
      </c>
      <c r="H2461" s="87">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70</v>
      </c>
      <c r="C2462" s="10" t="s">
        <v>1398</v>
      </c>
      <c r="D2462" s="10" t="s">
        <v>480</v>
      </c>
      <c r="E2462" s="11" t="str">
        <f t="array" ref="E2462">_xlfn.XLOOKUP(D2462,Insumos!B:B,Insumos!C:$C)</f>
        <v>KG</v>
      </c>
      <c r="F2462" s="14">
        <v>8.8000000000000007</v>
      </c>
      <c r="G2462" s="87">
        <f t="array" ref="G2462">IF(B2462="insumo",_xlfn.XLOOKUP($D2462,Insumos!$B$1:$B$996,Insumos!$D$1:$D$996),"")</f>
        <v>1.0645</v>
      </c>
      <c r="H2462" s="87">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70</v>
      </c>
      <c r="C2463" s="10" t="s">
        <v>1398</v>
      </c>
      <c r="D2463" s="10" t="s">
        <v>505</v>
      </c>
      <c r="E2463" s="11" t="str">
        <f t="array" ref="E2463">_xlfn.XLOOKUP(D2463,Insumos!B:B,Insumos!C:$C)</f>
        <v>UN</v>
      </c>
      <c r="F2463" s="14">
        <v>1</v>
      </c>
      <c r="G2463" s="87">
        <f t="array" ref="G2463">IF(B2463="insumo",_xlfn.XLOOKUP($D2463,Insumos!$B$1:$B$996,Insumos!$D$1:$D$996),"")</f>
        <v>0.08</v>
      </c>
      <c r="H2463" s="87">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70</v>
      </c>
      <c r="C2464" s="10" t="s">
        <v>1398</v>
      </c>
      <c r="D2464" s="10" t="s">
        <v>506</v>
      </c>
      <c r="E2464" s="11" t="str">
        <f t="array" ref="E2464">_xlfn.XLOOKUP(D2464,Insumos!B:B,Insumos!C:$C)</f>
        <v>KG</v>
      </c>
      <c r="F2464" s="14">
        <v>0.01</v>
      </c>
      <c r="G2464" s="87">
        <f t="array" ref="G2464">IF(B2464="insumo",_xlfn.XLOOKUP($D2464,Insumos!$B$1:$B$996,Insumos!$D$1:$D$996),"")</f>
        <v>11.15</v>
      </c>
      <c r="H2464" s="87">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332">
        <v>1</v>
      </c>
      <c r="B2465" s="332" t="s">
        <v>67</v>
      </c>
      <c r="C2465" s="332" t="s">
        <v>1399</v>
      </c>
      <c r="D2465" s="332" t="s">
        <v>1399</v>
      </c>
      <c r="E2465" s="333" t="s">
        <v>69</v>
      </c>
      <c r="F2465" s="332"/>
      <c r="G2465" s="334" t="str">
        <f t="array" ref="G2465">IF(B2465="insumo",_xlfn.XLOOKUP($D2465,Insumos!$B$1:$B$996,Insumos!$D$1:$D$996),"")</f>
        <v/>
      </c>
      <c r="H2465" s="334">
        <v>57.805100000000003</v>
      </c>
      <c r="I2465" s="335">
        <v>0</v>
      </c>
      <c r="J2465" s="335">
        <v>0</v>
      </c>
      <c r="K2465" s="335"/>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70</v>
      </c>
      <c r="C2466" s="10" t="s">
        <v>1399</v>
      </c>
      <c r="D2466" s="10" t="s">
        <v>1413</v>
      </c>
      <c r="E2466" s="11" t="str">
        <f t="array" ref="E2466">_xlfn.XLOOKUP(D2466,Insumos!B:B,Insumos!C:$C)</f>
        <v>M2</v>
      </c>
      <c r="F2466" s="14">
        <v>1.1000000000000001</v>
      </c>
      <c r="G2466" s="87">
        <f t="array" ref="G2466">IF(B2466="insumo",_xlfn.XLOOKUP($D2466,Insumos!$B$1:$B$996,Insumos!$D$1:$D$996),"")</f>
        <v>43.86</v>
      </c>
      <c r="H2466" s="87">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70</v>
      </c>
      <c r="C2467" s="10" t="s">
        <v>1399</v>
      </c>
      <c r="D2467" s="10" t="s">
        <v>480</v>
      </c>
      <c r="E2467" s="11" t="str">
        <f t="array" ref="E2467">_xlfn.XLOOKUP(D2467,Insumos!B:B,Insumos!C:$C)</f>
        <v>KG</v>
      </c>
      <c r="F2467" s="14">
        <v>8.8000000000000007</v>
      </c>
      <c r="G2467" s="87">
        <f t="array" ref="G2467">IF(B2467="insumo",_xlfn.XLOOKUP($D2467,Insumos!$B$1:$B$996,Insumos!$D$1:$D$996),"")</f>
        <v>1.0645</v>
      </c>
      <c r="H2467" s="87">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70</v>
      </c>
      <c r="C2468" s="10" t="s">
        <v>1399</v>
      </c>
      <c r="D2468" s="10" t="s">
        <v>505</v>
      </c>
      <c r="E2468" s="11" t="str">
        <f t="array" ref="E2468">_xlfn.XLOOKUP(D2468,Insumos!B:B,Insumos!C:$C)</f>
        <v>UN</v>
      </c>
      <c r="F2468" s="14">
        <v>1</v>
      </c>
      <c r="G2468" s="87">
        <f t="array" ref="G2468">IF(B2468="insumo",_xlfn.XLOOKUP($D2468,Insumos!$B$1:$B$996,Insumos!$D$1:$D$996),"")</f>
        <v>0.08</v>
      </c>
      <c r="H2468" s="87">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70</v>
      </c>
      <c r="C2469" s="10" t="s">
        <v>1399</v>
      </c>
      <c r="D2469" s="10" t="s">
        <v>506</v>
      </c>
      <c r="E2469" s="11" t="str">
        <f t="array" ref="E2469">_xlfn.XLOOKUP(D2469,Insumos!B:B,Insumos!C:$C)</f>
        <v>KG</v>
      </c>
      <c r="F2469" s="14">
        <v>0.01</v>
      </c>
      <c r="G2469" s="87">
        <f t="array" ref="G2469">IF(B2469="insumo",_xlfn.XLOOKUP($D2469,Insumos!$B$1:$B$996,Insumos!$D$1:$D$996),"")</f>
        <v>11.15</v>
      </c>
      <c r="H2469" s="87">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336">
        <v>1</v>
      </c>
      <c r="B2470" s="336" t="s">
        <v>67</v>
      </c>
      <c r="C2470" s="336" t="s">
        <v>1767</v>
      </c>
      <c r="D2470" s="336" t="s">
        <v>1767</v>
      </c>
      <c r="E2470" s="337" t="s">
        <v>69</v>
      </c>
      <c r="F2470" s="336"/>
      <c r="G2470" s="338" t="str">
        <f t="array" ref="G2470">IF(B2470="insumo",_xlfn.XLOOKUP($D2470,Insumos!$B$1:$B$996,Insumos!$D$1:$D$996),"")</f>
        <v/>
      </c>
      <c r="H2470" s="338">
        <v>78.581999999999994</v>
      </c>
      <c r="I2470" s="339">
        <v>0</v>
      </c>
      <c r="J2470" s="339">
        <v>0</v>
      </c>
      <c r="K2470" s="339"/>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77">
        <v>6</v>
      </c>
      <c r="B2471" s="77" t="s">
        <v>70</v>
      </c>
      <c r="C2471" s="77" t="s">
        <v>1767</v>
      </c>
      <c r="D2471" s="77" t="s">
        <v>1730</v>
      </c>
      <c r="E2471" s="11" t="str">
        <f t="array" ref="E2471">_xlfn.XLOOKUP(D2471,Insumos!B:B,Insumos!C:$C)</f>
        <v>M2</v>
      </c>
      <c r="F2471" s="83">
        <v>1.1000000000000001</v>
      </c>
      <c r="G2471" s="87">
        <f t="array" ref="G2471">IF(B2471="insumo",_xlfn.XLOOKUP($D2471,Insumos!$B$1:$B$996,Insumos!$D$1:$D$996),"")</f>
        <v>63.59</v>
      </c>
      <c r="H2471" s="87">
        <v>69.948999999999998</v>
      </c>
      <c r="I2471" s="79">
        <v>0</v>
      </c>
      <c r="J2471" s="79">
        <v>0</v>
      </c>
      <c r="K2471" s="79"/>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77">
        <v>16</v>
      </c>
      <c r="B2472" s="77" t="s">
        <v>70</v>
      </c>
      <c r="C2472" s="77" t="s">
        <v>1767</v>
      </c>
      <c r="D2472" s="77" t="s">
        <v>657</v>
      </c>
      <c r="E2472" s="11" t="str">
        <f t="array" ref="E2472">_xlfn.XLOOKUP(D2472,Insumos!B:B,Insumos!C:$C)</f>
        <v>KG</v>
      </c>
      <c r="F2472" s="83">
        <v>8.8000000000000007</v>
      </c>
      <c r="G2472" s="87">
        <f t="array" ref="G2472">IF(B2472="insumo",_xlfn.XLOOKUP($D2472,Insumos!$B$1:$B$996,Insumos!$D$1:$D$996),"")</f>
        <v>0.95</v>
      </c>
      <c r="H2472" s="87">
        <v>8.36</v>
      </c>
      <c r="I2472" s="79">
        <v>0</v>
      </c>
      <c r="J2472" s="79">
        <v>0</v>
      </c>
      <c r="K2472" s="79"/>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77">
        <v>17</v>
      </c>
      <c r="B2473" s="77" t="s">
        <v>70</v>
      </c>
      <c r="C2473" s="77" t="s">
        <v>1767</v>
      </c>
      <c r="D2473" s="77" t="s">
        <v>520</v>
      </c>
      <c r="E2473" s="11" t="str">
        <f t="array" ref="E2473">_xlfn.XLOOKUP(D2473,Insumos!B:B,Insumos!C:$C)</f>
        <v>UN</v>
      </c>
      <c r="F2473" s="83">
        <v>1</v>
      </c>
      <c r="G2473" s="87">
        <f t="array" ref="G2473">IF(B2473="insumo",_xlfn.XLOOKUP($D2473,Insumos!$B$1:$B$996,Insumos!$D$1:$D$996),"")</f>
        <v>0.05</v>
      </c>
      <c r="H2473" s="87">
        <v>0.05</v>
      </c>
      <c r="I2473" s="79">
        <v>0</v>
      </c>
      <c r="J2473" s="79">
        <v>0</v>
      </c>
      <c r="K2473" s="79"/>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77">
        <v>101</v>
      </c>
      <c r="B2474" s="77" t="s">
        <v>70</v>
      </c>
      <c r="C2474" s="77" t="s">
        <v>1767</v>
      </c>
      <c r="D2474" s="77" t="s">
        <v>506</v>
      </c>
      <c r="E2474" s="11" t="str">
        <f t="array" ref="E2474">_xlfn.XLOOKUP(D2474,Insumos!B:B,Insumos!C:$C)</f>
        <v>KG</v>
      </c>
      <c r="F2474" s="83">
        <v>0.02</v>
      </c>
      <c r="G2474" s="87">
        <f t="array" ref="G2474">IF(B2474="insumo",_xlfn.XLOOKUP($D2474,Insumos!$B$1:$B$996,Insumos!$D$1:$D$996),"")</f>
        <v>11.15</v>
      </c>
      <c r="H2474" s="87">
        <v>0.223</v>
      </c>
      <c r="I2474" s="79">
        <v>0</v>
      </c>
      <c r="J2474" s="79">
        <v>0</v>
      </c>
      <c r="K2474" s="79"/>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336">
        <v>1</v>
      </c>
      <c r="B2475" s="336" t="s">
        <v>67</v>
      </c>
      <c r="C2475" s="336" t="s">
        <v>1758</v>
      </c>
      <c r="D2475" s="336" t="s">
        <v>1758</v>
      </c>
      <c r="E2475" s="337" t="s">
        <v>69</v>
      </c>
      <c r="F2475" s="336"/>
      <c r="G2475" s="338" t="str">
        <f t="array" ref="G2475">IF(B2475="insumo",_xlfn.XLOOKUP($D2475,Insumos!$B$1:$B$996,Insumos!$D$1:$D$996),"")</f>
        <v/>
      </c>
      <c r="H2475" s="338">
        <v>700.77927499999998</v>
      </c>
      <c r="I2475" s="339">
        <v>0</v>
      </c>
      <c r="J2475" s="339">
        <v>0</v>
      </c>
      <c r="K2475" s="339"/>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77">
        <v>1</v>
      </c>
      <c r="B2476" s="77" t="s">
        <v>70</v>
      </c>
      <c r="C2476" s="77" t="s">
        <v>1758</v>
      </c>
      <c r="D2476" s="77" t="s">
        <v>1758</v>
      </c>
      <c r="E2476" s="11" t="str">
        <f t="array" ref="E2476">_xlfn.XLOOKUP(D2476,Insumos!B:B,Insumos!C:$C)</f>
        <v>M2</v>
      </c>
      <c r="F2476" s="83">
        <v>1.1000000000000001</v>
      </c>
      <c r="G2476" s="87">
        <f t="array" ref="G2476">IF(B2476="insumo",_xlfn.XLOOKUP($D2476,Insumos!$B$1:$B$996,Insumos!$D$1:$D$996),"")</f>
        <v>630</v>
      </c>
      <c r="H2476" s="87">
        <v>693</v>
      </c>
      <c r="I2476" s="79">
        <v>0</v>
      </c>
      <c r="J2476" s="79">
        <v>0</v>
      </c>
      <c r="K2476" s="79"/>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77">
        <v>191</v>
      </c>
      <c r="B2477" s="77" t="s">
        <v>70</v>
      </c>
      <c r="C2477" s="77" t="s">
        <v>1758</v>
      </c>
      <c r="D2477" s="77" t="s">
        <v>480</v>
      </c>
      <c r="E2477" s="11" t="str">
        <f t="array" ref="E2477">_xlfn.XLOOKUP(D2477,Insumos!B:B,Insumos!C:$C)</f>
        <v>KG</v>
      </c>
      <c r="F2477" s="83">
        <v>4.95</v>
      </c>
      <c r="G2477" s="87">
        <f t="array" ref="G2477">IF(B2477="insumo",_xlfn.XLOOKUP($D2477,Insumos!$B$1:$B$996,Insumos!$D$1:$D$996),"")</f>
        <v>1.0645</v>
      </c>
      <c r="H2477" s="87">
        <v>5.2692750000000004</v>
      </c>
      <c r="I2477" s="79">
        <v>0</v>
      </c>
      <c r="J2477" s="79">
        <v>0</v>
      </c>
      <c r="K2477" s="79"/>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77">
        <v>142</v>
      </c>
      <c r="B2478" s="77" t="s">
        <v>70</v>
      </c>
      <c r="C2478" s="77" t="s">
        <v>1758</v>
      </c>
      <c r="D2478" s="77" t="s">
        <v>505</v>
      </c>
      <c r="E2478" s="11" t="str">
        <f t="array" ref="E2478">_xlfn.XLOOKUP(D2478,Insumos!B:B,Insumos!C:$C)</f>
        <v>UN</v>
      </c>
      <c r="F2478" s="83">
        <v>4</v>
      </c>
      <c r="G2478" s="87">
        <f t="array" ref="G2478">IF(B2478="insumo",_xlfn.XLOOKUP($D2478,Insumos!$B$1:$B$996,Insumos!$D$1:$D$996),"")</f>
        <v>0.08</v>
      </c>
      <c r="H2478" s="87">
        <v>0.32</v>
      </c>
      <c r="I2478" s="79">
        <v>0</v>
      </c>
      <c r="J2478" s="79">
        <v>0</v>
      </c>
      <c r="K2478" s="79"/>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77">
        <v>22</v>
      </c>
      <c r="B2479" s="77" t="s">
        <v>70</v>
      </c>
      <c r="C2479" s="77" t="s">
        <v>1758</v>
      </c>
      <c r="D2479" s="77" t="s">
        <v>1765</v>
      </c>
      <c r="E2479" s="11" t="str">
        <f t="array" ref="E2479">_xlfn.XLOOKUP(D2479,Insumos!B:B,Insumos!C:$C)</f>
        <v>KG</v>
      </c>
      <c r="F2479" s="83">
        <v>0.05</v>
      </c>
      <c r="G2479" s="87">
        <f t="array" ref="G2479">IF(B2479="insumo",_xlfn.XLOOKUP($D2479,Insumos!$B$1:$B$996,Insumos!$D$1:$D$996),"")</f>
        <v>43.8</v>
      </c>
      <c r="H2479" s="87">
        <v>2.19</v>
      </c>
      <c r="I2479" s="79">
        <v>0</v>
      </c>
      <c r="J2479" s="79">
        <v>0</v>
      </c>
      <c r="K2479" s="79"/>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336">
        <v>1</v>
      </c>
      <c r="B2480" s="336" t="s">
        <v>67</v>
      </c>
      <c r="C2480" s="336" t="s">
        <v>1768</v>
      </c>
      <c r="D2480" s="336" t="s">
        <v>1768</v>
      </c>
      <c r="E2480" s="337" t="s">
        <v>69</v>
      </c>
      <c r="F2480" s="336"/>
      <c r="G2480" s="338" t="str">
        <f t="array" ref="G2480">IF(B2480="insumo",_xlfn.XLOOKUP($D2480,Insumos!$B$1:$B$996,Insumos!$D$1:$D$996),"")</f>
        <v/>
      </c>
      <c r="H2480" s="338">
        <v>239.87927500000001</v>
      </c>
      <c r="I2480" s="339">
        <v>0</v>
      </c>
      <c r="J2480" s="339">
        <v>0</v>
      </c>
      <c r="K2480" s="339"/>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77">
        <v>2</v>
      </c>
      <c r="B2481" s="77" t="s">
        <v>70</v>
      </c>
      <c r="C2481" s="77" t="s">
        <v>1768</v>
      </c>
      <c r="D2481" s="77" t="s">
        <v>1746</v>
      </c>
      <c r="E2481" s="11" t="str">
        <f t="array" ref="E2481">_xlfn.XLOOKUP(D2481,Insumos!B:B,Insumos!C:$C)</f>
        <v>M2</v>
      </c>
      <c r="F2481" s="83">
        <v>1.1000000000000001</v>
      </c>
      <c r="G2481" s="87">
        <f t="array" ref="G2481">IF(B2481="insumo",_xlfn.XLOOKUP($D2481,Insumos!$B$1:$B$996,Insumos!$D$1:$D$996),"")</f>
        <v>211</v>
      </c>
      <c r="H2481" s="87">
        <v>232.1</v>
      </c>
      <c r="I2481" s="79">
        <v>0</v>
      </c>
      <c r="J2481" s="79">
        <v>0</v>
      </c>
      <c r="K2481" s="79"/>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77">
        <v>191</v>
      </c>
      <c r="B2482" s="77" t="s">
        <v>70</v>
      </c>
      <c r="C2482" s="77" t="s">
        <v>1768</v>
      </c>
      <c r="D2482" s="77" t="s">
        <v>480</v>
      </c>
      <c r="E2482" s="11" t="str">
        <f t="array" ref="E2482">_xlfn.XLOOKUP(D2482,Insumos!B:B,Insumos!C:$C)</f>
        <v>KG</v>
      </c>
      <c r="F2482" s="83">
        <v>4.95</v>
      </c>
      <c r="G2482" s="87">
        <f t="array" ref="G2482">IF(B2482="insumo",_xlfn.XLOOKUP($D2482,Insumos!$B$1:$B$996,Insumos!$D$1:$D$996),"")</f>
        <v>1.0645</v>
      </c>
      <c r="H2482" s="87">
        <v>5.2692750000000004</v>
      </c>
      <c r="I2482" s="79">
        <v>0</v>
      </c>
      <c r="J2482" s="79">
        <v>0</v>
      </c>
      <c r="K2482" s="79"/>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77">
        <v>142</v>
      </c>
      <c r="B2483" s="77" t="s">
        <v>70</v>
      </c>
      <c r="C2483" s="77" t="s">
        <v>1768</v>
      </c>
      <c r="D2483" s="77" t="s">
        <v>505</v>
      </c>
      <c r="E2483" s="11" t="str">
        <f t="array" ref="E2483">_xlfn.XLOOKUP(D2483,Insumos!B:B,Insumos!C:$C)</f>
        <v>UN</v>
      </c>
      <c r="F2483" s="83">
        <v>4</v>
      </c>
      <c r="G2483" s="87">
        <f t="array" ref="G2483">IF(B2483="insumo",_xlfn.XLOOKUP($D2483,Insumos!$B$1:$B$996,Insumos!$D$1:$D$996),"")</f>
        <v>0.08</v>
      </c>
      <c r="H2483" s="87">
        <v>0.32</v>
      </c>
      <c r="I2483" s="79">
        <v>0</v>
      </c>
      <c r="J2483" s="79">
        <v>0</v>
      </c>
      <c r="K2483" s="79"/>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77">
        <v>22</v>
      </c>
      <c r="B2484" s="77" t="s">
        <v>70</v>
      </c>
      <c r="C2484" s="77" t="s">
        <v>1768</v>
      </c>
      <c r="D2484" s="77" t="s">
        <v>1765</v>
      </c>
      <c r="E2484" s="11" t="str">
        <f t="array" ref="E2484">_xlfn.XLOOKUP(D2484,Insumos!B:B,Insumos!C:$C)</f>
        <v>KG</v>
      </c>
      <c r="F2484" s="83">
        <v>0.05</v>
      </c>
      <c r="G2484" s="87">
        <f t="array" ref="G2484">IF(B2484="insumo",_xlfn.XLOOKUP($D2484,Insumos!$B$1:$B$996,Insumos!$D$1:$D$996),"")</f>
        <v>43.8</v>
      </c>
      <c r="H2484" s="87">
        <v>2.19</v>
      </c>
      <c r="I2484" s="79">
        <v>0</v>
      </c>
      <c r="J2484" s="79">
        <v>0</v>
      </c>
      <c r="K2484" s="79"/>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336">
        <v>1</v>
      </c>
      <c r="B2485" s="336" t="s">
        <v>67</v>
      </c>
      <c r="C2485" s="336" t="s">
        <v>1769</v>
      </c>
      <c r="D2485" s="336" t="s">
        <v>1769</v>
      </c>
      <c r="E2485" s="337" t="s">
        <v>69</v>
      </c>
      <c r="F2485" s="336"/>
      <c r="G2485" s="338" t="str">
        <f t="array" ref="G2485">IF(B2485="insumo",_xlfn.XLOOKUP($D2485,Insumos!$B$1:$B$996,Insumos!$D$1:$D$996),"")</f>
        <v/>
      </c>
      <c r="H2485" s="338">
        <v>239.87927500000001</v>
      </c>
      <c r="I2485" s="339">
        <v>0</v>
      </c>
      <c r="J2485" s="339">
        <v>0</v>
      </c>
      <c r="K2485" s="339"/>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77">
        <v>2</v>
      </c>
      <c r="B2486" s="77" t="s">
        <v>70</v>
      </c>
      <c r="C2486" s="77" t="s">
        <v>1769</v>
      </c>
      <c r="D2486" s="77" t="s">
        <v>1746</v>
      </c>
      <c r="E2486" s="11" t="str">
        <f t="array" ref="E2486">_xlfn.XLOOKUP(D2486,Insumos!B:B,Insumos!C:$C)</f>
        <v>M2</v>
      </c>
      <c r="F2486" s="83">
        <v>1.1000000000000001</v>
      </c>
      <c r="G2486" s="87">
        <f t="array" ref="G2486">IF(B2486="insumo",_xlfn.XLOOKUP($D2486,Insumos!$B$1:$B$996,Insumos!$D$1:$D$996),"")</f>
        <v>211</v>
      </c>
      <c r="H2486" s="87">
        <v>232.1</v>
      </c>
      <c r="I2486" s="79">
        <v>0</v>
      </c>
      <c r="J2486" s="79">
        <v>0</v>
      </c>
      <c r="K2486" s="79"/>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77">
        <v>191</v>
      </c>
      <c r="B2487" s="77" t="s">
        <v>70</v>
      </c>
      <c r="C2487" s="77" t="s">
        <v>1769</v>
      </c>
      <c r="D2487" s="77" t="s">
        <v>480</v>
      </c>
      <c r="E2487" s="11" t="str">
        <f t="array" ref="E2487">_xlfn.XLOOKUP(D2487,Insumos!B:B,Insumos!C:$C)</f>
        <v>KG</v>
      </c>
      <c r="F2487" s="83">
        <v>4.95</v>
      </c>
      <c r="G2487" s="87">
        <f t="array" ref="G2487">IF(B2487="insumo",_xlfn.XLOOKUP($D2487,Insumos!$B$1:$B$996,Insumos!$D$1:$D$996),"")</f>
        <v>1.0645</v>
      </c>
      <c r="H2487" s="87">
        <v>5.2692750000000004</v>
      </c>
      <c r="I2487" s="79">
        <v>0</v>
      </c>
      <c r="J2487" s="79">
        <v>0</v>
      </c>
      <c r="K2487" s="79"/>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77">
        <v>142</v>
      </c>
      <c r="B2488" s="77" t="s">
        <v>70</v>
      </c>
      <c r="C2488" s="77" t="s">
        <v>1769</v>
      </c>
      <c r="D2488" s="77" t="s">
        <v>505</v>
      </c>
      <c r="E2488" s="11" t="str">
        <f t="array" ref="E2488">_xlfn.XLOOKUP(D2488,Insumos!B:B,Insumos!C:$C)</f>
        <v>UN</v>
      </c>
      <c r="F2488" s="83">
        <v>4</v>
      </c>
      <c r="G2488" s="87">
        <f t="array" ref="G2488">IF(B2488="insumo",_xlfn.XLOOKUP($D2488,Insumos!$B$1:$B$996,Insumos!$D$1:$D$996),"")</f>
        <v>0.08</v>
      </c>
      <c r="H2488" s="87">
        <v>0.32</v>
      </c>
      <c r="I2488" s="79">
        <v>0</v>
      </c>
      <c r="J2488" s="79">
        <v>0</v>
      </c>
      <c r="K2488" s="79"/>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77">
        <v>22</v>
      </c>
      <c r="B2489" s="77" t="s">
        <v>70</v>
      </c>
      <c r="C2489" s="77" t="s">
        <v>1769</v>
      </c>
      <c r="D2489" s="77" t="s">
        <v>1765</v>
      </c>
      <c r="E2489" s="11" t="str">
        <f t="array" ref="E2489">_xlfn.XLOOKUP(D2489,Insumos!B:B,Insumos!C:$C)</f>
        <v>KG</v>
      </c>
      <c r="F2489" s="83">
        <v>0.05</v>
      </c>
      <c r="G2489" s="87">
        <f t="array" ref="G2489">IF(B2489="insumo",_xlfn.XLOOKUP($D2489,Insumos!$B$1:$B$996,Insumos!$D$1:$D$996),"")</f>
        <v>43.8</v>
      </c>
      <c r="H2489" s="87">
        <v>2.19</v>
      </c>
      <c r="I2489" s="79">
        <v>0</v>
      </c>
      <c r="J2489" s="79">
        <v>0</v>
      </c>
      <c r="K2489" s="79"/>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336">
        <v>1</v>
      </c>
      <c r="B2490" s="336" t="s">
        <v>67</v>
      </c>
      <c r="C2490" s="336" t="s">
        <v>1770</v>
      </c>
      <c r="D2490" s="336" t="s">
        <v>1770</v>
      </c>
      <c r="E2490" s="337" t="s">
        <v>69</v>
      </c>
      <c r="F2490" s="336"/>
      <c r="G2490" s="338" t="str">
        <f t="array" ref="G2490">IF(B2490="insumo",_xlfn.XLOOKUP($D2490,Insumos!$B$1:$B$996,Insumos!$D$1:$D$996),"")</f>
        <v/>
      </c>
      <c r="H2490" s="338">
        <v>136.0591</v>
      </c>
      <c r="I2490" s="339">
        <v>0</v>
      </c>
      <c r="J2490" s="339">
        <v>0</v>
      </c>
      <c r="K2490" s="339"/>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77">
        <v>1</v>
      </c>
      <c r="B2491" s="77" t="s">
        <v>70</v>
      </c>
      <c r="C2491" s="77" t="s">
        <v>1770</v>
      </c>
      <c r="D2491" s="77" t="s">
        <v>1741</v>
      </c>
      <c r="E2491" s="11" t="str">
        <f t="array" ref="E2491">_xlfn.XLOOKUP(D2491,Insumos!B:B,Insumos!C:$C)</f>
        <v>M2</v>
      </c>
      <c r="F2491" s="83">
        <v>1.1000000000000001</v>
      </c>
      <c r="G2491" s="87">
        <f t="array" ref="G2491">IF(B2491="insumo",_xlfn.XLOOKUP($D2491,Insumos!$B$1:$B$996,Insumos!$D$1:$D$996),"")</f>
        <v>115</v>
      </c>
      <c r="H2491" s="87">
        <v>126.5</v>
      </c>
      <c r="I2491" s="79">
        <v>0</v>
      </c>
      <c r="J2491" s="79">
        <v>0</v>
      </c>
      <c r="K2491" s="79"/>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77">
        <v>191</v>
      </c>
      <c r="B2492" s="77" t="s">
        <v>70</v>
      </c>
      <c r="C2492" s="77" t="s">
        <v>1770</v>
      </c>
      <c r="D2492" s="77" t="s">
        <v>480</v>
      </c>
      <c r="E2492" s="11" t="str">
        <f t="array" ref="E2492">_xlfn.XLOOKUP(D2492,Insumos!B:B,Insumos!C:$C)</f>
        <v>KG</v>
      </c>
      <c r="F2492" s="83">
        <v>8.8000000000000007</v>
      </c>
      <c r="G2492" s="87">
        <f t="array" ref="G2492">IF(B2492="insumo",_xlfn.XLOOKUP($D2492,Insumos!$B$1:$B$996,Insumos!$D$1:$D$996),"")</f>
        <v>1.0645</v>
      </c>
      <c r="H2492" s="87">
        <v>9.3675999999999995</v>
      </c>
      <c r="I2492" s="79">
        <v>0</v>
      </c>
      <c r="J2492" s="79">
        <v>0</v>
      </c>
      <c r="K2492" s="79"/>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77">
        <v>142</v>
      </c>
      <c r="B2493" s="77" t="s">
        <v>70</v>
      </c>
      <c r="C2493" s="77" t="s">
        <v>1770</v>
      </c>
      <c r="D2493" s="77" t="s">
        <v>505</v>
      </c>
      <c r="E2493" s="11" t="str">
        <f t="array" ref="E2493">_xlfn.XLOOKUP(D2493,Insumos!B:B,Insumos!C:$C)</f>
        <v>UN</v>
      </c>
      <c r="F2493" s="83">
        <v>1</v>
      </c>
      <c r="G2493" s="87">
        <f t="array" ref="G2493">IF(B2493="insumo",_xlfn.XLOOKUP($D2493,Insumos!$B$1:$B$996,Insumos!$D$1:$D$996),"")</f>
        <v>0.08</v>
      </c>
      <c r="H2493" s="87">
        <v>0.08</v>
      </c>
      <c r="I2493" s="79">
        <v>0</v>
      </c>
      <c r="J2493" s="79">
        <v>0</v>
      </c>
      <c r="K2493" s="79"/>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77">
        <v>101</v>
      </c>
      <c r="B2494" s="77" t="s">
        <v>70</v>
      </c>
      <c r="C2494" s="77" t="s">
        <v>1770</v>
      </c>
      <c r="D2494" s="77" t="s">
        <v>506</v>
      </c>
      <c r="E2494" s="11" t="str">
        <f t="array" ref="E2494">_xlfn.XLOOKUP(D2494,Insumos!B:B,Insumos!C:$C)</f>
        <v>KG</v>
      </c>
      <c r="F2494" s="83">
        <v>0.01</v>
      </c>
      <c r="G2494" s="87">
        <f t="array" ref="G2494">IF(B2494="insumo",_xlfn.XLOOKUP($D2494,Insumos!$B$1:$B$996,Insumos!$D$1:$D$996),"")</f>
        <v>11.15</v>
      </c>
      <c r="H2494" s="87">
        <v>0.1115</v>
      </c>
      <c r="I2494" s="79">
        <v>0</v>
      </c>
      <c r="J2494" s="79">
        <v>0</v>
      </c>
      <c r="K2494" s="79"/>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336">
        <v>1</v>
      </c>
      <c r="B2495" s="336" t="s">
        <v>67</v>
      </c>
      <c r="C2495" s="336" t="s">
        <v>1771</v>
      </c>
      <c r="D2495" s="336" t="s">
        <v>1771</v>
      </c>
      <c r="E2495" s="337" t="s">
        <v>69</v>
      </c>
      <c r="F2495" s="336"/>
      <c r="G2495" s="338" t="str">
        <f t="array" ref="G2495">IF(B2495="insumo",_xlfn.XLOOKUP($D2495,Insumos!$B$1:$B$996,Insumos!$D$1:$D$996),"")</f>
        <v/>
      </c>
      <c r="H2495" s="338">
        <v>158.0591</v>
      </c>
      <c r="I2495" s="339">
        <v>0</v>
      </c>
      <c r="J2495" s="339">
        <v>0</v>
      </c>
      <c r="K2495" s="339"/>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77">
        <v>1</v>
      </c>
      <c r="B2496" s="77" t="s">
        <v>70</v>
      </c>
      <c r="C2496" s="77" t="s">
        <v>1771</v>
      </c>
      <c r="D2496" s="77" t="s">
        <v>1745</v>
      </c>
      <c r="E2496" s="11" t="str">
        <f t="array" ref="E2496">_xlfn.XLOOKUP(D2496,Insumos!B:B,Insumos!C:$C)</f>
        <v>M2</v>
      </c>
      <c r="F2496" s="83">
        <v>1.1000000000000001</v>
      </c>
      <c r="G2496" s="87">
        <f t="array" ref="G2496">IF(B2496="insumo",_xlfn.XLOOKUP($D2496,Insumos!$B$1:$B$996,Insumos!$D$1:$D$996),"")</f>
        <v>135</v>
      </c>
      <c r="H2496" s="87">
        <v>148.5</v>
      </c>
      <c r="I2496" s="79">
        <v>0</v>
      </c>
      <c r="J2496" s="79">
        <v>0</v>
      </c>
      <c r="K2496" s="79"/>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77">
        <v>191</v>
      </c>
      <c r="B2497" s="77" t="s">
        <v>70</v>
      </c>
      <c r="C2497" s="77" t="s">
        <v>1771</v>
      </c>
      <c r="D2497" s="77" t="s">
        <v>480</v>
      </c>
      <c r="E2497" s="11" t="str">
        <f t="array" ref="E2497">_xlfn.XLOOKUP(D2497,Insumos!B:B,Insumos!C:$C)</f>
        <v>KG</v>
      </c>
      <c r="F2497" s="83">
        <v>8.8000000000000007</v>
      </c>
      <c r="G2497" s="87">
        <f t="array" ref="G2497">IF(B2497="insumo",_xlfn.XLOOKUP($D2497,Insumos!$B$1:$B$996,Insumos!$D$1:$D$996),"")</f>
        <v>1.0645</v>
      </c>
      <c r="H2497" s="87">
        <v>9.3675999999999995</v>
      </c>
      <c r="I2497" s="79">
        <v>0</v>
      </c>
      <c r="J2497" s="79">
        <v>0</v>
      </c>
      <c r="K2497" s="79"/>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77">
        <v>142</v>
      </c>
      <c r="B2498" s="77" t="s">
        <v>70</v>
      </c>
      <c r="C2498" s="77" t="s">
        <v>1771</v>
      </c>
      <c r="D2498" s="77" t="s">
        <v>505</v>
      </c>
      <c r="E2498" s="11" t="str">
        <f t="array" ref="E2498">_xlfn.XLOOKUP(D2498,Insumos!B:B,Insumos!C:$C)</f>
        <v>UN</v>
      </c>
      <c r="F2498" s="83">
        <v>1</v>
      </c>
      <c r="G2498" s="87">
        <f t="array" ref="G2498">IF(B2498="insumo",_xlfn.XLOOKUP($D2498,Insumos!$B$1:$B$996,Insumos!$D$1:$D$996),"")</f>
        <v>0.08</v>
      </c>
      <c r="H2498" s="87">
        <v>0.08</v>
      </c>
      <c r="I2498" s="79">
        <v>0</v>
      </c>
      <c r="J2498" s="79">
        <v>0</v>
      </c>
      <c r="K2498" s="79"/>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77">
        <v>101</v>
      </c>
      <c r="B2499" s="77" t="s">
        <v>70</v>
      </c>
      <c r="C2499" s="77" t="s">
        <v>1771</v>
      </c>
      <c r="D2499" s="77" t="s">
        <v>506</v>
      </c>
      <c r="E2499" s="11" t="str">
        <f t="array" ref="E2499">_xlfn.XLOOKUP(D2499,Insumos!B:B,Insumos!C:$C)</f>
        <v>KG</v>
      </c>
      <c r="F2499" s="83">
        <v>0.01</v>
      </c>
      <c r="G2499" s="87">
        <f t="array" ref="G2499">IF(B2499="insumo",_xlfn.XLOOKUP($D2499,Insumos!$B$1:$B$996,Insumos!$D$1:$D$996),"")</f>
        <v>11.15</v>
      </c>
      <c r="H2499" s="87">
        <v>0.1115</v>
      </c>
      <c r="I2499" s="79">
        <v>0</v>
      </c>
      <c r="J2499" s="79">
        <v>0</v>
      </c>
      <c r="K2499" s="79"/>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336">
        <v>1</v>
      </c>
      <c r="B2500" s="336" t="s">
        <v>67</v>
      </c>
      <c r="C2500" s="336" t="s">
        <v>1772</v>
      </c>
      <c r="D2500" s="336" t="s">
        <v>1772</v>
      </c>
      <c r="E2500" s="337" t="s">
        <v>69</v>
      </c>
      <c r="F2500" s="336"/>
      <c r="G2500" s="338" t="str">
        <f t="array" ref="G2500">IF(B2500="insumo",_xlfn.XLOOKUP($D2500,Insumos!$B$1:$B$996,Insumos!$D$1:$D$996),"")</f>
        <v/>
      </c>
      <c r="H2500" s="338">
        <v>169.0591</v>
      </c>
      <c r="I2500" s="339">
        <v>0</v>
      </c>
      <c r="J2500" s="339">
        <v>0</v>
      </c>
      <c r="K2500" s="339"/>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77">
        <v>1</v>
      </c>
      <c r="B2501" s="77" t="s">
        <v>70</v>
      </c>
      <c r="C2501" s="77" t="s">
        <v>1772</v>
      </c>
      <c r="D2501" s="77" t="s">
        <v>1757</v>
      </c>
      <c r="E2501" s="11" t="str">
        <f t="array" ref="E2501">_xlfn.XLOOKUP(D2501,Insumos!B:B,Insumos!C:$C)</f>
        <v>M2</v>
      </c>
      <c r="F2501" s="83">
        <v>1.1000000000000001</v>
      </c>
      <c r="G2501" s="87">
        <f t="array" ref="G2501">IF(B2501="insumo",_xlfn.XLOOKUP($D2501,Insumos!$B$1:$B$996,Insumos!$D$1:$D$996),"")</f>
        <v>145</v>
      </c>
      <c r="H2501" s="87">
        <v>159.5</v>
      </c>
      <c r="I2501" s="79">
        <v>0</v>
      </c>
      <c r="J2501" s="79">
        <v>0</v>
      </c>
      <c r="K2501" s="79"/>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77">
        <v>191</v>
      </c>
      <c r="B2502" s="77" t="s">
        <v>70</v>
      </c>
      <c r="C2502" s="77" t="s">
        <v>1772</v>
      </c>
      <c r="D2502" s="77" t="s">
        <v>480</v>
      </c>
      <c r="E2502" s="11" t="str">
        <f t="array" ref="E2502">_xlfn.XLOOKUP(D2502,Insumos!B:B,Insumos!C:$C)</f>
        <v>KG</v>
      </c>
      <c r="F2502" s="83">
        <v>8.8000000000000007</v>
      </c>
      <c r="G2502" s="87">
        <f t="array" ref="G2502">IF(B2502="insumo",_xlfn.XLOOKUP($D2502,Insumos!$B$1:$B$996,Insumos!$D$1:$D$996),"")</f>
        <v>1.0645</v>
      </c>
      <c r="H2502" s="87">
        <v>9.3675999999999995</v>
      </c>
      <c r="I2502" s="79">
        <v>0</v>
      </c>
      <c r="J2502" s="79">
        <v>0</v>
      </c>
      <c r="K2502" s="79"/>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77">
        <v>142</v>
      </c>
      <c r="B2503" s="77" t="s">
        <v>70</v>
      </c>
      <c r="C2503" s="77" t="s">
        <v>1772</v>
      </c>
      <c r="D2503" s="77" t="s">
        <v>505</v>
      </c>
      <c r="E2503" s="11" t="str">
        <f t="array" ref="E2503">_xlfn.XLOOKUP(D2503,Insumos!B:B,Insumos!C:$C)</f>
        <v>UN</v>
      </c>
      <c r="F2503" s="83">
        <v>1</v>
      </c>
      <c r="G2503" s="87">
        <f t="array" ref="G2503">IF(B2503="insumo",_xlfn.XLOOKUP($D2503,Insumos!$B$1:$B$996,Insumos!$D$1:$D$996),"")</f>
        <v>0.08</v>
      </c>
      <c r="H2503" s="87">
        <v>0.08</v>
      </c>
      <c r="I2503" s="79">
        <v>0</v>
      </c>
      <c r="J2503" s="79">
        <v>0</v>
      </c>
      <c r="K2503" s="79"/>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77">
        <v>101</v>
      </c>
      <c r="B2504" s="77" t="s">
        <v>70</v>
      </c>
      <c r="C2504" s="77" t="s">
        <v>1772</v>
      </c>
      <c r="D2504" s="77" t="s">
        <v>506</v>
      </c>
      <c r="E2504" s="11" t="str">
        <f t="array" ref="E2504">_xlfn.XLOOKUP(D2504,Insumos!B:B,Insumos!C:$C)</f>
        <v>KG</v>
      </c>
      <c r="F2504" s="83">
        <v>0.01</v>
      </c>
      <c r="G2504" s="87">
        <f t="array" ref="G2504">IF(B2504="insumo",_xlfn.XLOOKUP($D2504,Insumos!$B$1:$B$996,Insumos!$D$1:$D$996),"")</f>
        <v>11.15</v>
      </c>
      <c r="H2504" s="87">
        <v>0.1115</v>
      </c>
      <c r="I2504" s="79">
        <v>0</v>
      </c>
      <c r="J2504" s="79">
        <v>0</v>
      </c>
      <c r="K2504" s="79"/>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336">
        <v>1</v>
      </c>
      <c r="B2505" s="336" t="s">
        <v>67</v>
      </c>
      <c r="C2505" s="336" t="s">
        <v>1773</v>
      </c>
      <c r="D2505" s="336" t="s">
        <v>1773</v>
      </c>
      <c r="E2505" s="337" t="s">
        <v>69</v>
      </c>
      <c r="F2505" s="336"/>
      <c r="G2505" s="338" t="str">
        <f t="array" ref="G2505">IF(B2505="insumo",_xlfn.XLOOKUP($D2505,Insumos!$B$1:$B$996,Insumos!$D$1:$D$996),"")</f>
        <v/>
      </c>
      <c r="H2505" s="338">
        <v>130.5591</v>
      </c>
      <c r="I2505" s="339">
        <v>0</v>
      </c>
      <c r="J2505" s="339">
        <v>0</v>
      </c>
      <c r="K2505" s="339"/>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77">
        <v>1</v>
      </c>
      <c r="B2506" s="77" t="s">
        <v>70</v>
      </c>
      <c r="C2506" s="77" t="s">
        <v>1773</v>
      </c>
      <c r="D2506" s="77" t="s">
        <v>1763</v>
      </c>
      <c r="E2506" s="11" t="str">
        <f t="array" ref="E2506">_xlfn.XLOOKUP(D2506,Insumos!B:B,Insumos!C:$C)</f>
        <v>M2</v>
      </c>
      <c r="F2506" s="83">
        <v>1.1000000000000001</v>
      </c>
      <c r="G2506" s="87">
        <f t="array" ref="G2506">IF(B2506="insumo",_xlfn.XLOOKUP($D2506,Insumos!$B$1:$B$996,Insumos!$D$1:$D$996),"")</f>
        <v>110</v>
      </c>
      <c r="H2506" s="87">
        <v>121</v>
      </c>
      <c r="I2506" s="79">
        <v>0</v>
      </c>
      <c r="J2506" s="79">
        <v>0</v>
      </c>
      <c r="K2506" s="79"/>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77">
        <v>191</v>
      </c>
      <c r="B2507" s="77" t="s">
        <v>70</v>
      </c>
      <c r="C2507" s="77" t="s">
        <v>1773</v>
      </c>
      <c r="D2507" s="77" t="s">
        <v>480</v>
      </c>
      <c r="E2507" s="11" t="str">
        <f t="array" ref="E2507">_xlfn.XLOOKUP(D2507,Insumos!B:B,Insumos!C:$C)</f>
        <v>KG</v>
      </c>
      <c r="F2507" s="83">
        <v>8.8000000000000007</v>
      </c>
      <c r="G2507" s="87">
        <f t="array" ref="G2507">IF(B2507="insumo",_xlfn.XLOOKUP($D2507,Insumos!$B$1:$B$996,Insumos!$D$1:$D$996),"")</f>
        <v>1.0645</v>
      </c>
      <c r="H2507" s="87">
        <v>9.3675999999999995</v>
      </c>
      <c r="I2507" s="79">
        <v>0</v>
      </c>
      <c r="J2507" s="79">
        <v>0</v>
      </c>
      <c r="K2507" s="79"/>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77">
        <v>142</v>
      </c>
      <c r="B2508" s="77" t="s">
        <v>70</v>
      </c>
      <c r="C2508" s="77" t="s">
        <v>1773</v>
      </c>
      <c r="D2508" s="77" t="s">
        <v>505</v>
      </c>
      <c r="E2508" s="11" t="str">
        <f t="array" ref="E2508">_xlfn.XLOOKUP(D2508,Insumos!B:B,Insumos!C:$C)</f>
        <v>UN</v>
      </c>
      <c r="F2508" s="83">
        <v>1</v>
      </c>
      <c r="G2508" s="87">
        <f t="array" ref="G2508">IF(B2508="insumo",_xlfn.XLOOKUP($D2508,Insumos!$B$1:$B$996,Insumos!$D$1:$D$996),"")</f>
        <v>0.08</v>
      </c>
      <c r="H2508" s="87">
        <v>0.08</v>
      </c>
      <c r="I2508" s="79">
        <v>0</v>
      </c>
      <c r="J2508" s="79">
        <v>0</v>
      </c>
      <c r="K2508" s="79"/>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77">
        <v>101</v>
      </c>
      <c r="B2509" s="77" t="s">
        <v>70</v>
      </c>
      <c r="C2509" s="77" t="s">
        <v>1773</v>
      </c>
      <c r="D2509" s="77" t="s">
        <v>506</v>
      </c>
      <c r="E2509" s="11" t="str">
        <f t="array" ref="E2509">_xlfn.XLOOKUP(D2509,Insumos!B:B,Insumos!C:$C)</f>
        <v>KG</v>
      </c>
      <c r="F2509" s="83">
        <v>0.01</v>
      </c>
      <c r="G2509" s="87">
        <f t="array" ref="G2509">IF(B2509="insumo",_xlfn.XLOOKUP($D2509,Insumos!$B$1:$B$996,Insumos!$D$1:$D$996),"")</f>
        <v>11.15</v>
      </c>
      <c r="H2509" s="87">
        <v>0.1115</v>
      </c>
      <c r="I2509" s="79">
        <v>0</v>
      </c>
      <c r="J2509" s="79">
        <v>0</v>
      </c>
      <c r="K2509" s="79"/>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336">
        <v>1</v>
      </c>
      <c r="B2510" s="336" t="s">
        <v>67</v>
      </c>
      <c r="C2510" s="336" t="s">
        <v>1774</v>
      </c>
      <c r="D2510" s="336" t="s">
        <v>1774</v>
      </c>
      <c r="E2510" s="337" t="s">
        <v>69</v>
      </c>
      <c r="F2510" s="336"/>
      <c r="G2510" s="338" t="str">
        <f t="array" ref="G2510">IF(B2510="insumo",_xlfn.XLOOKUP($D2510,Insumos!$B$1:$B$996,Insumos!$D$1:$D$996),"")</f>
        <v/>
      </c>
      <c r="H2510" s="338">
        <v>164.6591</v>
      </c>
      <c r="I2510" s="339">
        <v>0</v>
      </c>
      <c r="J2510" s="339">
        <v>0</v>
      </c>
      <c r="K2510" s="339"/>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77">
        <v>1</v>
      </c>
      <c r="B2511" s="77" t="s">
        <v>70</v>
      </c>
      <c r="C2511" s="77" t="s">
        <v>1774</v>
      </c>
      <c r="D2511" s="77" t="s">
        <v>1744</v>
      </c>
      <c r="E2511" s="11" t="str">
        <f t="array" ref="E2511">_xlfn.XLOOKUP(D2511,Insumos!B:B,Insumos!C:$C)</f>
        <v>M2</v>
      </c>
      <c r="F2511" s="83">
        <v>1.1000000000000001</v>
      </c>
      <c r="G2511" s="87">
        <f t="array" ref="G2511">IF(B2511="insumo",_xlfn.XLOOKUP($D2511,Insumos!$B$1:$B$996,Insumos!$D$1:$D$996),"")</f>
        <v>141</v>
      </c>
      <c r="H2511" s="87">
        <v>155.1</v>
      </c>
      <c r="I2511" s="79">
        <v>0</v>
      </c>
      <c r="J2511" s="79">
        <v>0</v>
      </c>
      <c r="K2511" s="79"/>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77">
        <v>191</v>
      </c>
      <c r="B2512" s="77" t="s">
        <v>70</v>
      </c>
      <c r="C2512" s="77" t="s">
        <v>1774</v>
      </c>
      <c r="D2512" s="77" t="s">
        <v>480</v>
      </c>
      <c r="E2512" s="11" t="str">
        <f t="array" ref="E2512">_xlfn.XLOOKUP(D2512,Insumos!B:B,Insumos!C:$C)</f>
        <v>KG</v>
      </c>
      <c r="F2512" s="83">
        <v>8.8000000000000007</v>
      </c>
      <c r="G2512" s="87">
        <f t="array" ref="G2512">IF(B2512="insumo",_xlfn.XLOOKUP($D2512,Insumos!$B$1:$B$996,Insumos!$D$1:$D$996),"")</f>
        <v>1.0645</v>
      </c>
      <c r="H2512" s="87">
        <v>9.3675999999999995</v>
      </c>
      <c r="I2512" s="79">
        <v>0</v>
      </c>
      <c r="J2512" s="79">
        <v>0</v>
      </c>
      <c r="K2512" s="79"/>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77">
        <v>142</v>
      </c>
      <c r="B2513" s="77" t="s">
        <v>70</v>
      </c>
      <c r="C2513" s="77" t="s">
        <v>1774</v>
      </c>
      <c r="D2513" s="77" t="s">
        <v>505</v>
      </c>
      <c r="E2513" s="11" t="str">
        <f t="array" ref="E2513">_xlfn.XLOOKUP(D2513,Insumos!B:B,Insumos!C:$C)</f>
        <v>UN</v>
      </c>
      <c r="F2513" s="83">
        <v>1</v>
      </c>
      <c r="G2513" s="87">
        <f t="array" ref="G2513">IF(B2513="insumo",_xlfn.XLOOKUP($D2513,Insumos!$B$1:$B$996,Insumos!$D$1:$D$996),"")</f>
        <v>0.08</v>
      </c>
      <c r="H2513" s="87">
        <v>0.08</v>
      </c>
      <c r="I2513" s="79">
        <v>0</v>
      </c>
      <c r="J2513" s="79">
        <v>0</v>
      </c>
      <c r="K2513" s="79"/>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77">
        <v>101</v>
      </c>
      <c r="B2514" s="77" t="s">
        <v>70</v>
      </c>
      <c r="C2514" s="77" t="s">
        <v>1774</v>
      </c>
      <c r="D2514" s="77" t="s">
        <v>506</v>
      </c>
      <c r="E2514" s="11" t="str">
        <f t="array" ref="E2514">_xlfn.XLOOKUP(D2514,Insumos!B:B,Insumos!C:$C)</f>
        <v>KG</v>
      </c>
      <c r="F2514" s="83">
        <v>0.01</v>
      </c>
      <c r="G2514" s="87">
        <f t="array" ref="G2514">IF(B2514="insumo",_xlfn.XLOOKUP($D2514,Insumos!$B$1:$B$996,Insumos!$D$1:$D$996),"")</f>
        <v>11.15</v>
      </c>
      <c r="H2514" s="87">
        <v>0.1115</v>
      </c>
      <c r="I2514" s="79">
        <v>0</v>
      </c>
      <c r="J2514" s="79">
        <v>0</v>
      </c>
      <c r="K2514" s="79"/>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336">
        <v>1</v>
      </c>
      <c r="B2515" s="336" t="s">
        <v>67</v>
      </c>
      <c r="C2515" s="336" t="s">
        <v>1775</v>
      </c>
      <c r="D2515" s="336" t="s">
        <v>1775</v>
      </c>
      <c r="E2515" s="337" t="s">
        <v>69</v>
      </c>
      <c r="F2515" s="336"/>
      <c r="G2515" s="338" t="str">
        <f t="array" ref="G2515">IF(B2515="insumo",_xlfn.XLOOKUP($D2515,Insumos!$B$1:$B$996,Insumos!$D$1:$D$996),"")</f>
        <v/>
      </c>
      <c r="H2515" s="338">
        <v>634.35910000000001</v>
      </c>
      <c r="I2515" s="339">
        <v>0</v>
      </c>
      <c r="J2515" s="339">
        <v>0</v>
      </c>
      <c r="K2515" s="339"/>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77">
        <v>1</v>
      </c>
      <c r="B2516" s="77" t="s">
        <v>70</v>
      </c>
      <c r="C2516" s="77" t="s">
        <v>1775</v>
      </c>
      <c r="D2516" s="77" t="s">
        <v>1743</v>
      </c>
      <c r="E2516" s="11" t="str">
        <f t="array" ref="E2516">_xlfn.XLOOKUP(D2516,Insumos!B:B,Insumos!C:$C)</f>
        <v>M2</v>
      </c>
      <c r="F2516" s="83">
        <v>1.1000000000000001</v>
      </c>
      <c r="G2516" s="87">
        <f t="array" ref="G2516">IF(B2516="insumo",_xlfn.XLOOKUP($D2516,Insumos!$B$1:$B$996,Insumos!$D$1:$D$996),"")</f>
        <v>568</v>
      </c>
      <c r="H2516" s="87">
        <v>624.79999999999995</v>
      </c>
      <c r="I2516" s="79">
        <v>0</v>
      </c>
      <c r="J2516" s="79">
        <v>0</v>
      </c>
      <c r="K2516" s="79"/>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77">
        <v>191</v>
      </c>
      <c r="B2517" s="77" t="s">
        <v>70</v>
      </c>
      <c r="C2517" s="77" t="s">
        <v>1775</v>
      </c>
      <c r="D2517" s="77" t="s">
        <v>480</v>
      </c>
      <c r="E2517" s="11" t="str">
        <f t="array" ref="E2517">_xlfn.XLOOKUP(D2517,Insumos!B:B,Insumos!C:$C)</f>
        <v>KG</v>
      </c>
      <c r="F2517" s="83">
        <v>8.8000000000000007</v>
      </c>
      <c r="G2517" s="87">
        <f t="array" ref="G2517">IF(B2517="insumo",_xlfn.XLOOKUP($D2517,Insumos!$B$1:$B$996,Insumos!$D$1:$D$996),"")</f>
        <v>1.0645</v>
      </c>
      <c r="H2517" s="87">
        <v>9.3675999999999995</v>
      </c>
      <c r="I2517" s="79">
        <v>0</v>
      </c>
      <c r="J2517" s="79">
        <v>0</v>
      </c>
      <c r="K2517" s="79"/>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77">
        <v>142</v>
      </c>
      <c r="B2518" s="77" t="s">
        <v>70</v>
      </c>
      <c r="C2518" s="77" t="s">
        <v>1775</v>
      </c>
      <c r="D2518" s="77" t="s">
        <v>505</v>
      </c>
      <c r="E2518" s="11" t="str">
        <f t="array" ref="E2518">_xlfn.XLOOKUP(D2518,Insumos!B:B,Insumos!C:$C)</f>
        <v>UN</v>
      </c>
      <c r="F2518" s="83">
        <v>1</v>
      </c>
      <c r="G2518" s="87">
        <f t="array" ref="G2518">IF(B2518="insumo",_xlfn.XLOOKUP($D2518,Insumos!$B$1:$B$996,Insumos!$D$1:$D$996),"")</f>
        <v>0.08</v>
      </c>
      <c r="H2518" s="87">
        <v>0.08</v>
      </c>
      <c r="I2518" s="79">
        <v>0</v>
      </c>
      <c r="J2518" s="79">
        <v>0</v>
      </c>
      <c r="K2518" s="79"/>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77">
        <v>101</v>
      </c>
      <c r="B2519" s="77" t="s">
        <v>70</v>
      </c>
      <c r="C2519" s="77" t="s">
        <v>1775</v>
      </c>
      <c r="D2519" s="77" t="s">
        <v>506</v>
      </c>
      <c r="E2519" s="11" t="str">
        <f t="array" ref="E2519">_xlfn.XLOOKUP(D2519,Insumos!B:B,Insumos!C:$C)</f>
        <v>KG</v>
      </c>
      <c r="F2519" s="83">
        <v>0.01</v>
      </c>
      <c r="G2519" s="87">
        <f t="array" ref="G2519">IF(B2519="insumo",_xlfn.XLOOKUP($D2519,Insumos!$B$1:$B$996,Insumos!$D$1:$D$996),"")</f>
        <v>11.15</v>
      </c>
      <c r="H2519" s="87">
        <v>0.1115</v>
      </c>
      <c r="I2519" s="79">
        <v>0</v>
      </c>
      <c r="J2519" s="79">
        <v>0</v>
      </c>
      <c r="K2519" s="79"/>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336">
        <v>1</v>
      </c>
      <c r="B2520" s="336" t="s">
        <v>67</v>
      </c>
      <c r="C2520" s="336" t="s">
        <v>1776</v>
      </c>
      <c r="D2520" s="336" t="s">
        <v>1776</v>
      </c>
      <c r="E2520" s="337" t="s">
        <v>69</v>
      </c>
      <c r="F2520" s="336"/>
      <c r="G2520" s="338" t="str">
        <f t="array" ref="G2520">IF(B2520="insumo",_xlfn.XLOOKUP($D2520,Insumos!$B$1:$B$996,Insumos!$D$1:$D$996),"")</f>
        <v/>
      </c>
      <c r="H2520" s="338">
        <v>529.17927499999996</v>
      </c>
      <c r="I2520" s="339">
        <v>0</v>
      </c>
      <c r="J2520" s="339">
        <v>0</v>
      </c>
      <c r="K2520" s="339"/>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77">
        <v>1</v>
      </c>
      <c r="B2521" s="77" t="s">
        <v>70</v>
      </c>
      <c r="C2521" s="77" t="s">
        <v>1776</v>
      </c>
      <c r="D2521" s="77" t="s">
        <v>1751</v>
      </c>
      <c r="E2521" s="11" t="str">
        <f t="array" ref="E2521">_xlfn.XLOOKUP(D2521,Insumos!B:B,Insumos!C:$C)</f>
        <v>M2</v>
      </c>
      <c r="F2521" s="83">
        <v>1.1000000000000001</v>
      </c>
      <c r="G2521" s="87">
        <f t="array" ref="G2521">IF(B2521="insumo",_xlfn.XLOOKUP($D2521,Insumos!$B$1:$B$996,Insumos!$D$1:$D$996),"")</f>
        <v>474</v>
      </c>
      <c r="H2521" s="87">
        <v>521.4</v>
      </c>
      <c r="I2521" s="79">
        <v>0</v>
      </c>
      <c r="J2521" s="79">
        <v>0</v>
      </c>
      <c r="K2521" s="79"/>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77">
        <v>191</v>
      </c>
      <c r="B2522" s="77" t="s">
        <v>70</v>
      </c>
      <c r="C2522" s="77" t="s">
        <v>1776</v>
      </c>
      <c r="D2522" s="77" t="s">
        <v>480</v>
      </c>
      <c r="E2522" s="11" t="str">
        <f t="array" ref="E2522">_xlfn.XLOOKUP(D2522,Insumos!B:B,Insumos!C:$C)</f>
        <v>KG</v>
      </c>
      <c r="F2522" s="83">
        <v>4.95</v>
      </c>
      <c r="G2522" s="87">
        <f t="array" ref="G2522">IF(B2522="insumo",_xlfn.XLOOKUP($D2522,Insumos!$B$1:$B$996,Insumos!$D$1:$D$996),"")</f>
        <v>1.0645</v>
      </c>
      <c r="H2522" s="87">
        <v>5.2692750000000004</v>
      </c>
      <c r="I2522" s="79">
        <v>0</v>
      </c>
      <c r="J2522" s="79">
        <v>0</v>
      </c>
      <c r="K2522" s="79"/>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77">
        <v>142</v>
      </c>
      <c r="B2523" s="77" t="s">
        <v>70</v>
      </c>
      <c r="C2523" s="77" t="s">
        <v>1776</v>
      </c>
      <c r="D2523" s="77" t="s">
        <v>505</v>
      </c>
      <c r="E2523" s="11" t="str">
        <f t="array" ref="E2523">_xlfn.XLOOKUP(D2523,Insumos!B:B,Insumos!C:$C)</f>
        <v>UN</v>
      </c>
      <c r="F2523" s="83">
        <v>4</v>
      </c>
      <c r="G2523" s="87">
        <f t="array" ref="G2523">IF(B2523="insumo",_xlfn.XLOOKUP($D2523,Insumos!$B$1:$B$996,Insumos!$D$1:$D$996),"")</f>
        <v>0.08</v>
      </c>
      <c r="H2523" s="87">
        <v>0.32</v>
      </c>
      <c r="I2523" s="79">
        <v>0</v>
      </c>
      <c r="J2523" s="79">
        <v>0</v>
      </c>
      <c r="K2523" s="79"/>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77">
        <v>22</v>
      </c>
      <c r="B2524" s="77" t="s">
        <v>70</v>
      </c>
      <c r="C2524" s="77" t="s">
        <v>1776</v>
      </c>
      <c r="D2524" s="77" t="s">
        <v>1765</v>
      </c>
      <c r="E2524" s="11" t="str">
        <f t="array" ref="E2524">_xlfn.XLOOKUP(D2524,Insumos!B:B,Insumos!C:$C)</f>
        <v>KG</v>
      </c>
      <c r="F2524" s="83">
        <v>0.05</v>
      </c>
      <c r="G2524" s="87">
        <f t="array" ref="G2524">IF(B2524="insumo",_xlfn.XLOOKUP($D2524,Insumos!$B$1:$B$996,Insumos!$D$1:$D$996),"")</f>
        <v>43.8</v>
      </c>
      <c r="H2524" s="87">
        <v>2.19</v>
      </c>
      <c r="I2524" s="79">
        <v>0</v>
      </c>
      <c r="J2524" s="79">
        <v>0</v>
      </c>
      <c r="K2524" s="79"/>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355">
        <v>1</v>
      </c>
      <c r="B2525" s="355" t="s">
        <v>1227</v>
      </c>
      <c r="C2525" s="355" t="s">
        <v>1776</v>
      </c>
      <c r="D2525" s="355" t="s">
        <v>1382</v>
      </c>
      <c r="E2525" s="356"/>
      <c r="F2525" s="357"/>
      <c r="G2525" s="356"/>
      <c r="H2525" s="356">
        <v>0</v>
      </c>
      <c r="I2525" s="357">
        <v>0</v>
      </c>
      <c r="J2525" s="357">
        <v>0</v>
      </c>
      <c r="K2525" s="357"/>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332">
        <v>1</v>
      </c>
      <c r="B2526" s="332" t="s">
        <v>67</v>
      </c>
      <c r="C2526" s="332" t="s">
        <v>518</v>
      </c>
      <c r="D2526" s="332" t="s">
        <v>518</v>
      </c>
      <c r="E2526" s="333" t="s">
        <v>69</v>
      </c>
      <c r="F2526" s="332"/>
      <c r="G2526" s="334" t="str">
        <f t="array" ref="G2526">IF(B2526="insumo",_xlfn.XLOOKUP($D2526,Insumos!$B$1:$B$996,Insumos!$D$1:$D$996),"")</f>
        <v/>
      </c>
      <c r="H2526" s="334">
        <v>98.979275000000001</v>
      </c>
      <c r="I2526" s="335">
        <v>0</v>
      </c>
      <c r="J2526" s="335">
        <v>0</v>
      </c>
      <c r="K2526" s="335"/>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70</v>
      </c>
      <c r="C2527" s="10" t="s">
        <v>518</v>
      </c>
      <c r="D2527" s="10" t="s">
        <v>519</v>
      </c>
      <c r="E2527" s="11" t="str">
        <f t="array" ref="E2527">_xlfn.XLOOKUP(D2527,Insumos!B:B,Insumos!C:$C)</f>
        <v>M2</v>
      </c>
      <c r="F2527" s="14">
        <v>1.1000000000000001</v>
      </c>
      <c r="G2527" s="87">
        <f t="array" ref="G2527">IF(B2527="insumo",_xlfn.XLOOKUP($D2527,Insumos!$B$1:$B$996,Insumos!$D$1:$D$996),"")</f>
        <v>83.95</v>
      </c>
      <c r="H2527" s="87">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70</v>
      </c>
      <c r="C2528" s="10" t="s">
        <v>518</v>
      </c>
      <c r="D2528" s="10" t="s">
        <v>480</v>
      </c>
      <c r="E2528" s="11" t="str">
        <f t="array" ref="E2528">_xlfn.XLOOKUP(D2528,Insumos!B:B,Insumos!C:$C)</f>
        <v>KG</v>
      </c>
      <c r="F2528" s="14">
        <v>4.95</v>
      </c>
      <c r="G2528" s="87">
        <f t="array" ref="G2528">IF(B2528="insumo",_xlfn.XLOOKUP($D2528,Insumos!$B$1:$B$996,Insumos!$D$1:$D$996),"")</f>
        <v>1.0645</v>
      </c>
      <c r="H2528" s="87">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70</v>
      </c>
      <c r="C2529" s="10" t="s">
        <v>518</v>
      </c>
      <c r="D2529" s="10" t="s">
        <v>520</v>
      </c>
      <c r="E2529" s="11" t="str">
        <f t="array" ref="E2529">_xlfn.XLOOKUP(D2529,Insumos!B:B,Insumos!C:$C)</f>
        <v>UN</v>
      </c>
      <c r="F2529" s="14">
        <v>5</v>
      </c>
      <c r="G2529" s="87">
        <f t="array" ref="G2529">IF(B2529="insumo",_xlfn.XLOOKUP($D2529,Insumos!$B$1:$B$996,Insumos!$D$1:$D$996),"")</f>
        <v>0.05</v>
      </c>
      <c r="H2529" s="87">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70</v>
      </c>
      <c r="C2530" s="10" t="s">
        <v>518</v>
      </c>
      <c r="D2530" s="10" t="s">
        <v>506</v>
      </c>
      <c r="E2530" s="11" t="str">
        <f t="array" ref="E2530">_xlfn.XLOOKUP(D2530,Insumos!B:B,Insumos!C:$C)</f>
        <v>KG</v>
      </c>
      <c r="F2530" s="14">
        <v>0.1</v>
      </c>
      <c r="G2530" s="87">
        <f t="array" ref="G2530">IF(B2530="insumo",_xlfn.XLOOKUP($D2530,Insumos!$B$1:$B$996,Insumos!$D$1:$D$996),"")</f>
        <v>11.15</v>
      </c>
      <c r="H2530" s="87">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332">
        <v>1</v>
      </c>
      <c r="B2531" s="332" t="s">
        <v>67</v>
      </c>
      <c r="C2531" s="332" t="s">
        <v>2527</v>
      </c>
      <c r="D2531" s="332" t="s">
        <v>2527</v>
      </c>
      <c r="E2531" s="333" t="s">
        <v>69</v>
      </c>
      <c r="F2531" s="332"/>
      <c r="G2531" s="334" t="str">
        <f t="array" ref="G2531">IF(B2531="insumo",_xlfn.XLOOKUP($D2531,Insumos!$B$1:$B$996,Insumos!$D$1:$D$996),"")</f>
        <v/>
      </c>
      <c r="H2531" s="334">
        <v>282.48927500000002</v>
      </c>
      <c r="I2531" s="335" t="e">
        <v>#REF!</v>
      </c>
      <c r="J2531" s="335" t="e">
        <v>#REF!</v>
      </c>
      <c r="K2531" s="335"/>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70</v>
      </c>
      <c r="C2532" s="10" t="s">
        <v>2527</v>
      </c>
      <c r="D2532" s="10" t="s">
        <v>2396</v>
      </c>
      <c r="E2532" s="11" t="str">
        <f t="array" ref="E2532">_xlfn.XLOOKUP(D2532,Insumos!B:B,Insumos!C:$C)</f>
        <v>M2</v>
      </c>
      <c r="F2532" s="14">
        <f>1.1</f>
        <v>1.1000000000000001</v>
      </c>
      <c r="G2532" s="87">
        <f t="array" ref="G2532">IF(B2532="insumo",_xlfn.XLOOKUP($D2532,Insumos!$B$1:$B$996,Insumos!$D$1:$D$996),"")</f>
        <v>250</v>
      </c>
      <c r="H2532" s="87">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70</v>
      </c>
      <c r="C2533" s="10" t="s">
        <v>2527</v>
      </c>
      <c r="D2533" s="10" t="s">
        <v>480</v>
      </c>
      <c r="E2533" s="11" t="str">
        <f t="array" ref="E2533">_xlfn.XLOOKUP(D2533,Insumos!B:B,Insumos!C:$C)</f>
        <v>KG</v>
      </c>
      <c r="F2533" s="14">
        <v>4.95</v>
      </c>
      <c r="G2533" s="87">
        <f t="array" ref="G2533">IF(B2533="insumo",_xlfn.XLOOKUP($D2533,Insumos!$B$1:$B$996,Insumos!$D$1:$D$996),"")</f>
        <v>1.0645</v>
      </c>
      <c r="H2533" s="87">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70</v>
      </c>
      <c r="C2534" s="10" t="s">
        <v>2527</v>
      </c>
      <c r="D2534" s="10" t="s">
        <v>505</v>
      </c>
      <c r="E2534" s="11" t="str">
        <f t="array" ref="E2534">_xlfn.XLOOKUP(D2534,Insumos!B:B,Insumos!C:$C)</f>
        <v>UN</v>
      </c>
      <c r="F2534" s="14">
        <v>4</v>
      </c>
      <c r="G2534" s="87">
        <f t="array" ref="G2534">IF(B2534="insumo",_xlfn.XLOOKUP($D2534,Insumos!$B$1:$B$996,Insumos!$D$1:$D$996),"")</f>
        <v>0.08</v>
      </c>
      <c r="H2534" s="87">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70</v>
      </c>
      <c r="C2535" s="77" t="s">
        <v>2527</v>
      </c>
      <c r="D2535" s="77" t="s">
        <v>2388</v>
      </c>
      <c r="E2535" s="11" t="str">
        <f t="array" ref="E2535">_xlfn.XLOOKUP(D2535,Insumos!B:B,Insumos!C:$C)</f>
        <v>KG</v>
      </c>
      <c r="F2535" s="14">
        <v>0.05</v>
      </c>
      <c r="G2535" s="87">
        <f t="array" ref="G2535">IF(B2535="insumo",_xlfn.XLOOKUP($D2535,Insumos!$B$1:$B$996,Insumos!$D$1:$D$996),"")</f>
        <v>38</v>
      </c>
      <c r="H2535" s="87">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332">
        <v>1</v>
      </c>
      <c r="B2536" s="332" t="s">
        <v>67</v>
      </c>
      <c r="C2536" s="332" t="s">
        <v>2528</v>
      </c>
      <c r="D2536" s="332" t="s">
        <v>2528</v>
      </c>
      <c r="E2536" s="333" t="s">
        <v>69</v>
      </c>
      <c r="F2536" s="332"/>
      <c r="G2536" s="334" t="str">
        <f t="array" ref="G2536">IF(B2536="insumo",_xlfn.XLOOKUP($D2536,Insumos!$B$1:$B$996,Insumos!$D$1:$D$996),"")</f>
        <v/>
      </c>
      <c r="H2536" s="334">
        <v>281.389275</v>
      </c>
      <c r="I2536" s="335">
        <v>0</v>
      </c>
      <c r="J2536" s="335">
        <v>0</v>
      </c>
      <c r="K2536" s="335"/>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70</v>
      </c>
      <c r="C2537" s="10" t="s">
        <v>2528</v>
      </c>
      <c r="D2537" s="10" t="s">
        <v>2397</v>
      </c>
      <c r="E2537" s="11" t="str">
        <f t="array" ref="E2537">_xlfn.XLOOKUP(D2537,Insumos!B:B,Insumos!C:$C)</f>
        <v>M2</v>
      </c>
      <c r="F2537" s="14">
        <f>1.1</f>
        <v>1.1000000000000001</v>
      </c>
      <c r="G2537" s="87">
        <f t="array" ref="G2537">IF(B2537="insumo",_xlfn.XLOOKUP($D2537,Insumos!$B$1:$B$996,Insumos!$D$1:$D$996),"")</f>
        <v>249</v>
      </c>
      <c r="H2537" s="87">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70</v>
      </c>
      <c r="C2538" s="10" t="s">
        <v>2528</v>
      </c>
      <c r="D2538" s="10" t="s">
        <v>480</v>
      </c>
      <c r="E2538" s="11" t="str">
        <f t="array" ref="E2538">_xlfn.XLOOKUP(D2538,Insumos!B:B,Insumos!C:$C)</f>
        <v>KG</v>
      </c>
      <c r="F2538" s="14">
        <v>4.95</v>
      </c>
      <c r="G2538" s="87">
        <f t="array" ref="G2538">IF(B2538="insumo",_xlfn.XLOOKUP($D2538,Insumos!$B$1:$B$996,Insumos!$D$1:$D$996),"")</f>
        <v>1.0645</v>
      </c>
      <c r="H2538" s="87">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70</v>
      </c>
      <c r="C2539" s="10" t="s">
        <v>2528</v>
      </c>
      <c r="D2539" s="10" t="s">
        <v>505</v>
      </c>
      <c r="E2539" s="11" t="str">
        <f t="array" ref="E2539">_xlfn.XLOOKUP(D2539,Insumos!B:B,Insumos!C:$C)</f>
        <v>UN</v>
      </c>
      <c r="F2539" s="14">
        <v>4</v>
      </c>
      <c r="G2539" s="87">
        <f t="array" ref="G2539">IF(B2539="insumo",_xlfn.XLOOKUP($D2539,Insumos!$B$1:$B$996,Insumos!$D$1:$D$996),"")</f>
        <v>0.08</v>
      </c>
      <c r="H2539" s="87">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70</v>
      </c>
      <c r="C2540" s="77" t="s">
        <v>2528</v>
      </c>
      <c r="D2540" s="77" t="s">
        <v>2388</v>
      </c>
      <c r="E2540" s="11" t="str">
        <f t="array" ref="E2540">_xlfn.XLOOKUP(D2540,Insumos!B:B,Insumos!C:$C)</f>
        <v>KG</v>
      </c>
      <c r="F2540" s="14">
        <v>0.05</v>
      </c>
      <c r="G2540" s="87">
        <f t="array" ref="G2540">IF(B2540="insumo",_xlfn.XLOOKUP($D2540,Insumos!$B$1:$B$996,Insumos!$D$1:$D$996),"")</f>
        <v>38</v>
      </c>
      <c r="H2540" s="87">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332">
        <v>1</v>
      </c>
      <c r="B2541" s="332" t="s">
        <v>67</v>
      </c>
      <c r="C2541" s="332" t="s">
        <v>2523</v>
      </c>
      <c r="D2541" s="332" t="s">
        <v>2523</v>
      </c>
      <c r="E2541" s="333" t="s">
        <v>69</v>
      </c>
      <c r="F2541" s="332"/>
      <c r="G2541" s="334" t="str">
        <f t="array" ref="G2541">IF(B2541="insumo",_xlfn.XLOOKUP($D2541,Insumos!$B$1:$B$996,Insumos!$D$1:$D$996),"")</f>
        <v/>
      </c>
      <c r="H2541" s="334">
        <v>535.48927500000002</v>
      </c>
      <c r="I2541" s="335" t="e">
        <v>#REF!</v>
      </c>
      <c r="J2541" s="335" t="e">
        <v>#REF!</v>
      </c>
      <c r="K2541" s="335"/>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70</v>
      </c>
      <c r="C2542" s="10" t="s">
        <v>2523</v>
      </c>
      <c r="D2542" s="10" t="s">
        <v>2524</v>
      </c>
      <c r="E2542" s="11" t="str">
        <f t="array" ref="E2542">_xlfn.XLOOKUP(D2542,Insumos!B:B,Insumos!C:$C)</f>
        <v>M2</v>
      </c>
      <c r="F2542" s="14">
        <f>1.1</f>
        <v>1.1000000000000001</v>
      </c>
      <c r="G2542" s="87">
        <f t="array" ref="G2542">IF(B2542="insumo",_xlfn.XLOOKUP($D2542,Insumos!$B$1:$B$996,Insumos!$D$1:$D$996),"")</f>
        <v>480</v>
      </c>
      <c r="H2542" s="87">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70</v>
      </c>
      <c r="C2543" s="10" t="s">
        <v>2523</v>
      </c>
      <c r="D2543" s="10" t="s">
        <v>480</v>
      </c>
      <c r="E2543" s="11" t="str">
        <f t="array" ref="E2543">_xlfn.XLOOKUP(D2543,Insumos!B:B,Insumos!C:$C)</f>
        <v>KG</v>
      </c>
      <c r="F2543" s="14">
        <v>4.95</v>
      </c>
      <c r="G2543" s="87">
        <f t="array" ref="G2543">IF(B2543="insumo",_xlfn.XLOOKUP($D2543,Insumos!$B$1:$B$996,Insumos!$D$1:$D$996),"")</f>
        <v>1.0645</v>
      </c>
      <c r="H2543" s="87">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70</v>
      </c>
      <c r="C2544" s="10" t="s">
        <v>2523</v>
      </c>
      <c r="D2544" s="10" t="s">
        <v>505</v>
      </c>
      <c r="E2544" s="11" t="str">
        <f t="array" ref="E2544">_xlfn.XLOOKUP(D2544,Insumos!B:B,Insumos!C:$C)</f>
        <v>UN</v>
      </c>
      <c r="F2544" s="14">
        <v>4</v>
      </c>
      <c r="G2544" s="87">
        <f t="array" ref="G2544">IF(B2544="insumo",_xlfn.XLOOKUP($D2544,Insumos!$B$1:$B$996,Insumos!$D$1:$D$996),"")</f>
        <v>0.08</v>
      </c>
      <c r="H2544" s="87">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70</v>
      </c>
      <c r="C2545" s="77" t="s">
        <v>2523</v>
      </c>
      <c r="D2545" s="77" t="s">
        <v>2388</v>
      </c>
      <c r="E2545" s="11" t="str">
        <f t="array" ref="E2545">_xlfn.XLOOKUP(D2545,Insumos!B:B,Insumos!C:$C)</f>
        <v>KG</v>
      </c>
      <c r="F2545" s="14">
        <v>0.05</v>
      </c>
      <c r="G2545" s="87">
        <f t="array" ref="G2545">IF(B2545="insumo",_xlfn.XLOOKUP($D2545,Insumos!$B$1:$B$996,Insumos!$D$1:$D$996),"")</f>
        <v>38</v>
      </c>
      <c r="H2545" s="87">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332">
        <v>1</v>
      </c>
      <c r="B2546" s="332" t="s">
        <v>67</v>
      </c>
      <c r="C2546" s="332" t="s">
        <v>2525</v>
      </c>
      <c r="D2546" s="332" t="s">
        <v>2525</v>
      </c>
      <c r="E2546" s="333" t="s">
        <v>69</v>
      </c>
      <c r="F2546" s="332"/>
      <c r="G2546" s="334" t="str">
        <f t="array" ref="G2546">IF(B2546="insumo",_xlfn.XLOOKUP($D2546,Insumos!$B$1:$B$996,Insumos!$D$1:$D$996),"")</f>
        <v/>
      </c>
      <c r="H2546" s="334">
        <v>281.389275</v>
      </c>
      <c r="I2546" s="335">
        <v>0</v>
      </c>
      <c r="J2546" s="335">
        <v>0</v>
      </c>
      <c r="K2546" s="335"/>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70</v>
      </c>
      <c r="C2547" s="10" t="s">
        <v>2525</v>
      </c>
      <c r="D2547" s="10" t="s">
        <v>2526</v>
      </c>
      <c r="E2547" s="11" t="str">
        <f t="array" ref="E2547">_xlfn.XLOOKUP(D2547,Insumos!B:B,Insumos!C:$C)</f>
        <v>M2</v>
      </c>
      <c r="F2547" s="14">
        <f>1.1</f>
        <v>1.1000000000000001</v>
      </c>
      <c r="G2547" s="87">
        <f t="array" ref="G2547">IF(B2547="insumo",_xlfn.XLOOKUP($D2547,Insumos!$B$1:$B$996,Insumos!$D$1:$D$996),"")</f>
        <v>249</v>
      </c>
      <c r="H2547" s="87">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70</v>
      </c>
      <c r="C2548" s="10" t="s">
        <v>2525</v>
      </c>
      <c r="D2548" s="10" t="s">
        <v>480</v>
      </c>
      <c r="E2548" s="11" t="str">
        <f t="array" ref="E2548">_xlfn.XLOOKUP(D2548,Insumos!B:B,Insumos!C:$C)</f>
        <v>KG</v>
      </c>
      <c r="F2548" s="14">
        <v>4.95</v>
      </c>
      <c r="G2548" s="87">
        <f t="array" ref="G2548">IF(B2548="insumo",_xlfn.XLOOKUP($D2548,Insumos!$B$1:$B$996,Insumos!$D$1:$D$996),"")</f>
        <v>1.0645</v>
      </c>
      <c r="H2548" s="87">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70</v>
      </c>
      <c r="C2549" s="10" t="s">
        <v>2525</v>
      </c>
      <c r="D2549" s="10" t="s">
        <v>505</v>
      </c>
      <c r="E2549" s="11" t="str">
        <f t="array" ref="E2549">_xlfn.XLOOKUP(D2549,Insumos!B:B,Insumos!C:$C)</f>
        <v>UN</v>
      </c>
      <c r="F2549" s="14">
        <v>4</v>
      </c>
      <c r="G2549" s="87">
        <f t="array" ref="G2549">IF(B2549="insumo",_xlfn.XLOOKUP($D2549,Insumos!$B$1:$B$996,Insumos!$D$1:$D$996),"")</f>
        <v>0.08</v>
      </c>
      <c r="H2549" s="87">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70</v>
      </c>
      <c r="C2550" s="77" t="s">
        <v>2525</v>
      </c>
      <c r="D2550" s="77" t="s">
        <v>2388</v>
      </c>
      <c r="E2550" s="11" t="str">
        <f t="array" ref="E2550">_xlfn.XLOOKUP(D2550,Insumos!B:B,Insumos!C:$C)</f>
        <v>KG</v>
      </c>
      <c r="F2550" s="14">
        <v>0.05</v>
      </c>
      <c r="G2550" s="87">
        <f t="array" ref="G2550">IF(B2550="insumo",_xlfn.XLOOKUP($D2550,Insumos!$B$1:$B$996,Insumos!$D$1:$D$996),"")</f>
        <v>38</v>
      </c>
      <c r="H2550" s="87">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332">
        <v>1</v>
      </c>
      <c r="B2551" s="332" t="s">
        <v>67</v>
      </c>
      <c r="C2551" s="332" t="s">
        <v>2536</v>
      </c>
      <c r="D2551" s="332" t="s">
        <v>2536</v>
      </c>
      <c r="E2551" s="333" t="s">
        <v>69</v>
      </c>
      <c r="F2551" s="332"/>
      <c r="G2551" s="334" t="str">
        <f t="array" ref="G2551">IF(B2551="insumo",_xlfn.XLOOKUP($D2551,Insumos!$B$1:$B$996,Insumos!$D$1:$D$996),"")</f>
        <v/>
      </c>
      <c r="H2551" s="334">
        <v>865.48927500000002</v>
      </c>
      <c r="I2551" s="335" t="e">
        <v>#REF!</v>
      </c>
      <c r="J2551" s="335" t="e">
        <v>#REF!</v>
      </c>
      <c r="K2551" s="335"/>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70</v>
      </c>
      <c r="C2552" s="10" t="s">
        <v>2536</v>
      </c>
      <c r="D2552" s="10" t="s">
        <v>2533</v>
      </c>
      <c r="E2552" s="11" t="str">
        <f t="array" ref="E2552">_xlfn.XLOOKUP(D2552,Insumos!B:B,Insumos!C:$C)</f>
        <v>M2</v>
      </c>
      <c r="F2552" s="14">
        <f>1.1</f>
        <v>1.1000000000000001</v>
      </c>
      <c r="G2552" s="87">
        <f t="array" ref="G2552">IF(B2552="insumo",_xlfn.XLOOKUP($D2552,Insumos!$B$1:$B$996,Insumos!$D$1:$D$996),"")</f>
        <v>780</v>
      </c>
      <c r="H2552" s="87">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70</v>
      </c>
      <c r="C2553" s="10" t="s">
        <v>2536</v>
      </c>
      <c r="D2553" s="10" t="s">
        <v>480</v>
      </c>
      <c r="E2553" s="11" t="str">
        <f t="array" ref="E2553">_xlfn.XLOOKUP(D2553,Insumos!B:B,Insumos!C:$C)</f>
        <v>KG</v>
      </c>
      <c r="F2553" s="14">
        <v>4.95</v>
      </c>
      <c r="G2553" s="87">
        <f t="array" ref="G2553">IF(B2553="insumo",_xlfn.XLOOKUP($D2553,Insumos!$B$1:$B$996,Insumos!$D$1:$D$996),"")</f>
        <v>1.0645</v>
      </c>
      <c r="H2553" s="87">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70</v>
      </c>
      <c r="C2554" s="10" t="s">
        <v>2536</v>
      </c>
      <c r="D2554" s="10" t="s">
        <v>505</v>
      </c>
      <c r="E2554" s="11" t="str">
        <f t="array" ref="E2554">_xlfn.XLOOKUP(D2554,Insumos!B:B,Insumos!C:$C)</f>
        <v>UN</v>
      </c>
      <c r="F2554" s="14">
        <v>4</v>
      </c>
      <c r="G2554" s="87">
        <f t="array" ref="G2554">IF(B2554="insumo",_xlfn.XLOOKUP($D2554,Insumos!$B$1:$B$996,Insumos!$D$1:$D$996),"")</f>
        <v>0.08</v>
      </c>
      <c r="H2554" s="87">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70</v>
      </c>
      <c r="C2555" s="77" t="s">
        <v>2536</v>
      </c>
      <c r="D2555" s="77" t="s">
        <v>2388</v>
      </c>
      <c r="E2555" s="11" t="str">
        <f t="array" ref="E2555">_xlfn.XLOOKUP(D2555,Insumos!B:B,Insumos!C:$C)</f>
        <v>KG</v>
      </c>
      <c r="F2555" s="14">
        <v>0.05</v>
      </c>
      <c r="G2555" s="87">
        <f t="array" ref="G2555">IF(B2555="insumo",_xlfn.XLOOKUP($D2555,Insumos!$B$1:$B$996,Insumos!$D$1:$D$996),"")</f>
        <v>38</v>
      </c>
      <c r="H2555" s="87">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332">
        <v>1</v>
      </c>
      <c r="B2556" s="332" t="s">
        <v>67</v>
      </c>
      <c r="C2556" s="332" t="s">
        <v>2535</v>
      </c>
      <c r="D2556" s="332" t="s">
        <v>2535</v>
      </c>
      <c r="E2556" s="333" t="s">
        <v>69</v>
      </c>
      <c r="F2556" s="332"/>
      <c r="G2556" s="334" t="str">
        <f t="array" ref="G2556">IF(B2556="insumo",_xlfn.XLOOKUP($D2556,Insumos!$B$1:$B$996,Insumos!$D$1:$D$996),"")</f>
        <v/>
      </c>
      <c r="H2556" s="334">
        <v>546.48927500000002</v>
      </c>
      <c r="I2556" s="335">
        <v>0</v>
      </c>
      <c r="J2556" s="335">
        <v>0</v>
      </c>
      <c r="K2556" s="335"/>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70</v>
      </c>
      <c r="C2557" s="10" t="s">
        <v>2535</v>
      </c>
      <c r="D2557" s="10" t="s">
        <v>2534</v>
      </c>
      <c r="E2557" s="11" t="str">
        <f t="array" ref="E2557">_xlfn.XLOOKUP(D2557,Insumos!B:B,Insumos!C:$C)</f>
        <v>M2</v>
      </c>
      <c r="F2557" s="14">
        <f>1.1</f>
        <v>1.1000000000000001</v>
      </c>
      <c r="G2557" s="87">
        <f t="array" ref="G2557">IF(B2557="insumo",_xlfn.XLOOKUP($D2557,Insumos!$B$1:$B$996,Insumos!$D$1:$D$996),"")</f>
        <v>490</v>
      </c>
      <c r="H2557" s="87">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70</v>
      </c>
      <c r="C2558" s="10" t="s">
        <v>2535</v>
      </c>
      <c r="D2558" s="10" t="s">
        <v>480</v>
      </c>
      <c r="E2558" s="11" t="str">
        <f t="array" ref="E2558">_xlfn.XLOOKUP(D2558,Insumos!B:B,Insumos!C:$C)</f>
        <v>KG</v>
      </c>
      <c r="F2558" s="14">
        <v>4.95</v>
      </c>
      <c r="G2558" s="87">
        <f t="array" ref="G2558">IF(B2558="insumo",_xlfn.XLOOKUP($D2558,Insumos!$B$1:$B$996,Insumos!$D$1:$D$996),"")</f>
        <v>1.0645</v>
      </c>
      <c r="H2558" s="87">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70</v>
      </c>
      <c r="C2559" s="10" t="s">
        <v>2535</v>
      </c>
      <c r="D2559" s="10" t="s">
        <v>505</v>
      </c>
      <c r="E2559" s="11" t="str">
        <f t="array" ref="E2559">_xlfn.XLOOKUP(D2559,Insumos!B:B,Insumos!C:$C)</f>
        <v>UN</v>
      </c>
      <c r="F2559" s="14">
        <v>4</v>
      </c>
      <c r="G2559" s="87">
        <f t="array" ref="G2559">IF(B2559="insumo",_xlfn.XLOOKUP($D2559,Insumos!$B$1:$B$996,Insumos!$D$1:$D$996),"")</f>
        <v>0.08</v>
      </c>
      <c r="H2559" s="87">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70</v>
      </c>
      <c r="C2560" s="77" t="s">
        <v>2535</v>
      </c>
      <c r="D2560" s="77" t="s">
        <v>2388</v>
      </c>
      <c r="E2560" s="11" t="str">
        <f t="array" ref="E2560">_xlfn.XLOOKUP(D2560,Insumos!B:B,Insumos!C:$C)</f>
        <v>KG</v>
      </c>
      <c r="F2560" s="14">
        <v>0.05</v>
      </c>
      <c r="G2560" s="87">
        <f t="array" ref="G2560">IF(B2560="insumo",_xlfn.XLOOKUP($D2560,Insumos!$B$1:$B$996,Insumos!$D$1:$D$996),"")</f>
        <v>38</v>
      </c>
      <c r="H2560" s="87">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332">
        <v>1</v>
      </c>
      <c r="B2561" s="332" t="s">
        <v>67</v>
      </c>
      <c r="C2561" s="332" t="s">
        <v>2521</v>
      </c>
      <c r="D2561" s="332" t="s">
        <v>2521</v>
      </c>
      <c r="E2561" s="333" t="s">
        <v>69</v>
      </c>
      <c r="F2561" s="332"/>
      <c r="G2561" s="334" t="str">
        <f t="array" ref="G2561">IF(B2561="insumo",_xlfn.XLOOKUP($D2561,Insumos!$B$1:$B$996,Insumos!$D$1:$D$996),"")</f>
        <v/>
      </c>
      <c r="H2561" s="334">
        <v>623.48927500000002</v>
      </c>
      <c r="I2561" s="335" t="e">
        <v>#REF!</v>
      </c>
      <c r="J2561" s="335" t="e">
        <v>#REF!</v>
      </c>
      <c r="K2561" s="335"/>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70</v>
      </c>
      <c r="C2562" s="10" t="s">
        <v>2521</v>
      </c>
      <c r="D2562" s="10" t="s">
        <v>2519</v>
      </c>
      <c r="E2562" s="11" t="str">
        <f t="array" ref="E2562">_xlfn.XLOOKUP(D2562,Insumos!B:B,Insumos!C:$C)</f>
        <v>M2</v>
      </c>
      <c r="F2562" s="14">
        <f>1.1</f>
        <v>1.1000000000000001</v>
      </c>
      <c r="G2562" s="87">
        <f t="array" ref="G2562">IF(B2562="insumo",_xlfn.XLOOKUP($D2562,Insumos!$B$1:$B$996,Insumos!$D$1:$D$996),"")</f>
        <v>560</v>
      </c>
      <c r="H2562" s="87">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70</v>
      </c>
      <c r="C2563" s="10" t="s">
        <v>2521</v>
      </c>
      <c r="D2563" s="10" t="s">
        <v>480</v>
      </c>
      <c r="E2563" s="11" t="str">
        <f t="array" ref="E2563">_xlfn.XLOOKUP(D2563,Insumos!B:B,Insumos!C:$C)</f>
        <v>KG</v>
      </c>
      <c r="F2563" s="14">
        <v>4.95</v>
      </c>
      <c r="G2563" s="87">
        <f t="array" ref="G2563">IF(B2563="insumo",_xlfn.XLOOKUP($D2563,Insumos!$B$1:$B$996,Insumos!$D$1:$D$996),"")</f>
        <v>1.0645</v>
      </c>
      <c r="H2563" s="87">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70</v>
      </c>
      <c r="C2564" s="10" t="s">
        <v>2521</v>
      </c>
      <c r="D2564" s="10" t="s">
        <v>505</v>
      </c>
      <c r="E2564" s="11" t="str">
        <f t="array" ref="E2564">_xlfn.XLOOKUP(D2564,Insumos!B:B,Insumos!C:$C)</f>
        <v>UN</v>
      </c>
      <c r="F2564" s="14">
        <v>4</v>
      </c>
      <c r="G2564" s="87">
        <f t="array" ref="G2564">IF(B2564="insumo",_xlfn.XLOOKUP($D2564,Insumos!$B$1:$B$996,Insumos!$D$1:$D$996),"")</f>
        <v>0.08</v>
      </c>
      <c r="H2564" s="87">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70</v>
      </c>
      <c r="C2565" s="77" t="s">
        <v>2521</v>
      </c>
      <c r="D2565" s="77" t="s">
        <v>2388</v>
      </c>
      <c r="E2565" s="11" t="str">
        <f t="array" ref="E2565">_xlfn.XLOOKUP(D2565,Insumos!B:B,Insumos!C:$C)</f>
        <v>KG</v>
      </c>
      <c r="F2565" s="14">
        <v>0.05</v>
      </c>
      <c r="G2565" s="87">
        <f t="array" ref="G2565">IF(B2565="insumo",_xlfn.XLOOKUP($D2565,Insumos!$B$1:$B$996,Insumos!$D$1:$D$996),"")</f>
        <v>38</v>
      </c>
      <c r="H2565" s="87">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332">
        <v>1</v>
      </c>
      <c r="B2566" s="332" t="s">
        <v>67</v>
      </c>
      <c r="C2566" s="332" t="s">
        <v>2522</v>
      </c>
      <c r="D2566" s="332" t="s">
        <v>2522</v>
      </c>
      <c r="E2566" s="333" t="s">
        <v>69</v>
      </c>
      <c r="F2566" s="332"/>
      <c r="G2566" s="334" t="str">
        <f t="array" ref="G2566">IF(B2566="insumo",_xlfn.XLOOKUP($D2566,Insumos!$B$1:$B$996,Insumos!$D$1:$D$996),"")</f>
        <v/>
      </c>
      <c r="H2566" s="334">
        <v>281.389275</v>
      </c>
      <c r="I2566" s="335">
        <v>0</v>
      </c>
      <c r="J2566" s="335">
        <v>0</v>
      </c>
      <c r="K2566" s="335"/>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70</v>
      </c>
      <c r="C2567" s="10" t="s">
        <v>2522</v>
      </c>
      <c r="D2567" s="10" t="s">
        <v>2520</v>
      </c>
      <c r="E2567" s="11" t="str">
        <f t="array" ref="E2567">_xlfn.XLOOKUP(D2567,Insumos!B:B,Insumos!C:$C)</f>
        <v>M2</v>
      </c>
      <c r="F2567" s="14">
        <f>1.1</f>
        <v>1.1000000000000001</v>
      </c>
      <c r="G2567" s="87">
        <f t="array" ref="G2567">IF(B2567="insumo",_xlfn.XLOOKUP($D2567,Insumos!$B$1:$B$996,Insumos!$D$1:$D$996),"")</f>
        <v>249</v>
      </c>
      <c r="H2567" s="87">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70</v>
      </c>
      <c r="C2568" s="10" t="s">
        <v>2522</v>
      </c>
      <c r="D2568" s="10" t="s">
        <v>480</v>
      </c>
      <c r="E2568" s="11" t="str">
        <f t="array" ref="E2568">_xlfn.XLOOKUP(D2568,Insumos!B:B,Insumos!C:$C)</f>
        <v>KG</v>
      </c>
      <c r="F2568" s="14">
        <v>4.95</v>
      </c>
      <c r="G2568" s="87">
        <f t="array" ref="G2568">IF(B2568="insumo",_xlfn.XLOOKUP($D2568,Insumos!$B$1:$B$996,Insumos!$D$1:$D$996),"")</f>
        <v>1.0645</v>
      </c>
      <c r="H2568" s="87">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70</v>
      </c>
      <c r="C2569" s="10" t="s">
        <v>2522</v>
      </c>
      <c r="D2569" s="10" t="s">
        <v>505</v>
      </c>
      <c r="E2569" s="11" t="str">
        <f t="array" ref="E2569">_xlfn.XLOOKUP(D2569,Insumos!B:B,Insumos!C:$C)</f>
        <v>UN</v>
      </c>
      <c r="F2569" s="14">
        <v>4</v>
      </c>
      <c r="G2569" s="87">
        <f t="array" ref="G2569">IF(B2569="insumo",_xlfn.XLOOKUP($D2569,Insumos!$B$1:$B$996,Insumos!$D$1:$D$996),"")</f>
        <v>0.08</v>
      </c>
      <c r="H2569" s="87">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70</v>
      </c>
      <c r="C2570" s="77" t="s">
        <v>2522</v>
      </c>
      <c r="D2570" s="77" t="s">
        <v>2388</v>
      </c>
      <c r="E2570" s="11" t="str">
        <f t="array" ref="E2570">_xlfn.XLOOKUP(D2570,Insumos!B:B,Insumos!C:$C)</f>
        <v>KG</v>
      </c>
      <c r="F2570" s="14">
        <v>0.05</v>
      </c>
      <c r="G2570" s="87">
        <f t="array" ref="G2570">IF(B2570="insumo",_xlfn.XLOOKUP($D2570,Insumos!$B$1:$B$996,Insumos!$D$1:$D$996),"")</f>
        <v>38</v>
      </c>
      <c r="H2570" s="87">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332">
        <v>1</v>
      </c>
      <c r="B2571" s="332" t="s">
        <v>67</v>
      </c>
      <c r="C2571" s="332" t="s">
        <v>2386</v>
      </c>
      <c r="D2571" s="332" t="s">
        <v>2386</v>
      </c>
      <c r="E2571" s="333" t="s">
        <v>69</v>
      </c>
      <c r="F2571" s="332"/>
      <c r="G2571" s="334" t="str">
        <f t="array" ref="G2571">IF(B2571="insumo",_xlfn.XLOOKUP($D2571,Insumos!$B$1:$B$996,Insumos!$D$1:$D$996),"")</f>
        <v/>
      </c>
      <c r="H2571" s="334">
        <v>655.16927499999997</v>
      </c>
      <c r="I2571" s="335" t="e">
        <v>#REF!</v>
      </c>
      <c r="J2571" s="335" t="e">
        <v>#REF!</v>
      </c>
      <c r="K2571" s="335"/>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70</v>
      </c>
      <c r="C2572" s="10" t="s">
        <v>2386</v>
      </c>
      <c r="D2572" s="10" t="s">
        <v>2381</v>
      </c>
      <c r="E2572" s="11" t="str">
        <f t="array" ref="E2572">_xlfn.XLOOKUP(D2572,Insumos!B:B,Insumos!C:$C)</f>
        <v>M2</v>
      </c>
      <c r="F2572" s="14">
        <f>1.1/2</f>
        <v>0.55000000000000004</v>
      </c>
      <c r="G2572" s="87">
        <f t="array" ref="G2572">IF(B2572="insumo",_xlfn.XLOOKUP($D2572,Insumos!$B$1:$B$996,Insumos!$D$1:$D$996),"")</f>
        <v>588.79999999999995</v>
      </c>
      <c r="H2572" s="87">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70</v>
      </c>
      <c r="C2573" s="10" t="s">
        <v>2386</v>
      </c>
      <c r="D2573" s="10" t="s">
        <v>2382</v>
      </c>
      <c r="E2573" s="11" t="str">
        <f t="array" ref="E2573">_xlfn.XLOOKUP(D2573,Insumos!B:B,Insumos!C:$C)</f>
        <v>M2</v>
      </c>
      <c r="F2573" s="14">
        <f>1.1/2</f>
        <v>0.55000000000000004</v>
      </c>
      <c r="G2573" s="87">
        <f t="array" ref="G2573">IF(B2573="insumo",_xlfn.XLOOKUP($D2573,Insumos!$B$1:$B$996,Insumos!$D$1:$D$996),"")</f>
        <v>588.79999999999995</v>
      </c>
      <c r="H2573" s="87">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70</v>
      </c>
      <c r="C2574" s="10" t="s">
        <v>2386</v>
      </c>
      <c r="D2574" s="10" t="s">
        <v>480</v>
      </c>
      <c r="E2574" s="11" t="str">
        <f t="array" ref="E2574">_xlfn.XLOOKUP(D2574,Insumos!B:B,Insumos!C:$C)</f>
        <v>KG</v>
      </c>
      <c r="F2574" s="14">
        <v>4.95</v>
      </c>
      <c r="G2574" s="87">
        <f t="array" ref="G2574">IF(B2574="insumo",_xlfn.XLOOKUP($D2574,Insumos!$B$1:$B$996,Insumos!$D$1:$D$996),"")</f>
        <v>1.0645</v>
      </c>
      <c r="H2574" s="87">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70</v>
      </c>
      <c r="C2575" s="10" t="s">
        <v>2386</v>
      </c>
      <c r="D2575" s="10" t="s">
        <v>505</v>
      </c>
      <c r="E2575" s="11" t="str">
        <f t="array" ref="E2575">_xlfn.XLOOKUP(D2575,Insumos!B:B,Insumos!C:$C)</f>
        <v>UN</v>
      </c>
      <c r="F2575" s="14">
        <v>4</v>
      </c>
      <c r="G2575" s="87">
        <f t="array" ref="G2575">IF(B2575="insumo",_xlfn.XLOOKUP($D2575,Insumos!$B$1:$B$996,Insumos!$D$1:$D$996),"")</f>
        <v>0.08</v>
      </c>
      <c r="H2575" s="87">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70</v>
      </c>
      <c r="C2576" s="77" t="s">
        <v>2386</v>
      </c>
      <c r="D2576" s="77" t="s">
        <v>2388</v>
      </c>
      <c r="E2576" s="11" t="str">
        <f t="array" ref="E2576">_xlfn.XLOOKUP(D2576,Insumos!B:B,Insumos!C:$C)</f>
        <v>KG</v>
      </c>
      <c r="F2576" s="14">
        <v>0.05</v>
      </c>
      <c r="G2576" s="87">
        <f t="array" ref="G2576">IF(B2576="insumo",_xlfn.XLOOKUP($D2576,Insumos!$B$1:$B$996,Insumos!$D$1:$D$996),"")</f>
        <v>38</v>
      </c>
      <c r="H2576" s="87">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332">
        <v>1</v>
      </c>
      <c r="B2577" s="332" t="s">
        <v>67</v>
      </c>
      <c r="C2577" s="332" t="s">
        <v>2387</v>
      </c>
      <c r="D2577" s="332" t="s">
        <v>2387</v>
      </c>
      <c r="E2577" s="333" t="s">
        <v>69</v>
      </c>
      <c r="F2577" s="332"/>
      <c r="G2577" s="334" t="str">
        <f t="array" ref="G2577">IF(B2577="insumo",_xlfn.XLOOKUP($D2577,Insumos!$B$1:$B$996,Insumos!$D$1:$D$996),"")</f>
        <v/>
      </c>
      <c r="H2577" s="334">
        <v>353.98927500000002</v>
      </c>
      <c r="I2577" s="335" t="e">
        <v>#REF!</v>
      </c>
      <c r="J2577" s="335" t="e">
        <v>#REF!</v>
      </c>
      <c r="K2577" s="335"/>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70</v>
      </c>
      <c r="C2578" s="10" t="s">
        <v>2387</v>
      </c>
      <c r="D2578" s="10" t="s">
        <v>2383</v>
      </c>
      <c r="E2578" s="11" t="str">
        <f t="array" ref="E2578">_xlfn.XLOOKUP(D2578,Insumos!B:B,Insumos!C:$C)</f>
        <v>M2</v>
      </c>
      <c r="F2578" s="14">
        <f>1.1/2</f>
        <v>0.55000000000000004</v>
      </c>
      <c r="G2578" s="87">
        <f t="array" ref="G2578">IF(B2578="insumo",_xlfn.XLOOKUP($D2578,Insumos!$B$1:$B$996,Insumos!$D$1:$D$996),"")</f>
        <v>315</v>
      </c>
      <c r="H2578" s="87">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70</v>
      </c>
      <c r="C2579" s="10" t="s">
        <v>2387</v>
      </c>
      <c r="D2579" s="10" t="s">
        <v>2384</v>
      </c>
      <c r="E2579" s="11" t="str">
        <f t="array" ref="E2579">_xlfn.XLOOKUP(D2579,Insumos!B:B,Insumos!C:$C)</f>
        <v>M2</v>
      </c>
      <c r="F2579" s="14">
        <f>1.1/2</f>
        <v>0.55000000000000004</v>
      </c>
      <c r="G2579" s="87">
        <f t="array" ref="G2579">IF(B2579="insumo",_xlfn.XLOOKUP($D2579,Insumos!$B$1:$B$996,Insumos!$D$1:$D$996),"")</f>
        <v>315</v>
      </c>
      <c r="H2579" s="87">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70</v>
      </c>
      <c r="C2580" s="10" t="s">
        <v>2387</v>
      </c>
      <c r="D2580" s="10" t="s">
        <v>480</v>
      </c>
      <c r="E2580" s="11" t="str">
        <f t="array" ref="E2580">_xlfn.XLOOKUP(D2580,Insumos!B:B,Insumos!C:$C)</f>
        <v>KG</v>
      </c>
      <c r="F2580" s="14">
        <v>4.95</v>
      </c>
      <c r="G2580" s="87">
        <f t="array" ref="G2580">IF(B2580="insumo",_xlfn.XLOOKUP($D2580,Insumos!$B$1:$B$996,Insumos!$D$1:$D$996),"")</f>
        <v>1.0645</v>
      </c>
      <c r="H2580" s="87">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70</v>
      </c>
      <c r="C2581" s="10" t="s">
        <v>2387</v>
      </c>
      <c r="D2581" s="10" t="s">
        <v>505</v>
      </c>
      <c r="E2581" s="11" t="str">
        <f t="array" ref="E2581">_xlfn.XLOOKUP(D2581,Insumos!B:B,Insumos!C:$C)</f>
        <v>UN</v>
      </c>
      <c r="F2581" s="14">
        <v>4</v>
      </c>
      <c r="G2581" s="87">
        <f t="array" ref="G2581">IF(B2581="insumo",_xlfn.XLOOKUP($D2581,Insumos!$B$1:$B$996,Insumos!$D$1:$D$996),"")</f>
        <v>0.08</v>
      </c>
      <c r="H2581" s="87">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70</v>
      </c>
      <c r="C2582" s="77" t="s">
        <v>2387</v>
      </c>
      <c r="D2582" s="77" t="s">
        <v>2388</v>
      </c>
      <c r="E2582" s="11" t="str">
        <f t="array" ref="E2582">_xlfn.XLOOKUP(D2582,Insumos!B:B,Insumos!C:$C)</f>
        <v>KG</v>
      </c>
      <c r="F2582" s="14">
        <v>0.05</v>
      </c>
      <c r="G2582" s="87">
        <f t="array" ref="G2582">IF(B2582="insumo",_xlfn.XLOOKUP($D2582,Insumos!$B$1:$B$996,Insumos!$D$1:$D$996),"")</f>
        <v>38</v>
      </c>
      <c r="H2582" s="87">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332">
        <v>1</v>
      </c>
      <c r="B2583" s="332" t="s">
        <v>67</v>
      </c>
      <c r="C2583" s="332" t="s">
        <v>2529</v>
      </c>
      <c r="D2583" s="332" t="s">
        <v>2529</v>
      </c>
      <c r="E2583" s="333" t="s">
        <v>69</v>
      </c>
      <c r="F2583" s="332"/>
      <c r="G2583" s="334"/>
      <c r="H2583" s="334">
        <v>865.48927500000002</v>
      </c>
      <c r="I2583" s="335" t="e">
        <v>#REF!</v>
      </c>
      <c r="J2583" s="335" t="e">
        <v>#REF!</v>
      </c>
      <c r="K2583" s="335"/>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70</v>
      </c>
      <c r="C2584" s="10" t="s">
        <v>2529</v>
      </c>
      <c r="D2584" s="10" t="s">
        <v>2390</v>
      </c>
      <c r="E2584" s="11" t="str">
        <f t="array" ref="E2584">_xlfn.XLOOKUP(D2584,Insumos!B:B,Insumos!C:$C)</f>
        <v>M2</v>
      </c>
      <c r="F2584" s="14">
        <f>1.1/2</f>
        <v>0.55000000000000004</v>
      </c>
      <c r="G2584" s="87">
        <f t="array" ref="G2584">IF(B2584="insumo",_xlfn.XLOOKUP($D2584,Insumos!$B$1:$B$996,Insumos!$D$1:$D$996),"")</f>
        <v>780</v>
      </c>
      <c r="H2584" s="87">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70</v>
      </c>
      <c r="C2585" s="10" t="s">
        <v>2529</v>
      </c>
      <c r="D2585" s="10" t="s">
        <v>2530</v>
      </c>
      <c r="E2585" s="11" t="str">
        <f t="array" ref="E2585">_xlfn.XLOOKUP(D2585,Insumos!B:B,Insumos!C:$C)</f>
        <v>M2</v>
      </c>
      <c r="F2585" s="14">
        <f>1.1/2</f>
        <v>0.55000000000000004</v>
      </c>
      <c r="G2585" s="87">
        <f t="array" ref="G2585">IF(B2585="insumo",_xlfn.XLOOKUP($D2585,Insumos!$B$1:$B$996,Insumos!$D$1:$D$996),"")</f>
        <v>780</v>
      </c>
      <c r="H2585" s="87">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70</v>
      </c>
      <c r="C2586" s="10" t="s">
        <v>2529</v>
      </c>
      <c r="D2586" s="10" t="s">
        <v>480</v>
      </c>
      <c r="E2586" s="11" t="str">
        <f t="array" ref="E2586">_xlfn.XLOOKUP(D2586,Insumos!B:B,Insumos!C:$C)</f>
        <v>KG</v>
      </c>
      <c r="F2586" s="14">
        <v>4.95</v>
      </c>
      <c r="G2586" s="87">
        <f t="array" ref="G2586">IF(B2586="insumo",_xlfn.XLOOKUP($D2586,Insumos!$B$1:$B$996,Insumos!$D$1:$D$996),"")</f>
        <v>1.0645</v>
      </c>
      <c r="H2586" s="87">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70</v>
      </c>
      <c r="C2587" s="10" t="s">
        <v>2529</v>
      </c>
      <c r="D2587" s="10" t="s">
        <v>505</v>
      </c>
      <c r="E2587" s="11" t="str">
        <f t="array" ref="E2587">_xlfn.XLOOKUP(D2587,Insumos!B:B,Insumos!C:$C)</f>
        <v>UN</v>
      </c>
      <c r="F2587" s="14">
        <v>4</v>
      </c>
      <c r="G2587" s="87">
        <f t="array" ref="G2587">IF(B2587="insumo",_xlfn.XLOOKUP($D2587,Insumos!$B$1:$B$996,Insumos!$D$1:$D$996),"")</f>
        <v>0.08</v>
      </c>
      <c r="H2587" s="87">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70</v>
      </c>
      <c r="C2588" s="77" t="s">
        <v>2529</v>
      </c>
      <c r="D2588" s="77" t="s">
        <v>2388</v>
      </c>
      <c r="E2588" s="11" t="str">
        <f t="array" ref="E2588">_xlfn.XLOOKUP(D2588,Insumos!B:B,Insumos!C:$C)</f>
        <v>KG</v>
      </c>
      <c r="F2588" s="14">
        <v>0.05</v>
      </c>
      <c r="G2588" s="87">
        <f t="array" ref="G2588">IF(B2588="insumo",_xlfn.XLOOKUP($D2588,Insumos!$B$1:$B$996,Insumos!$D$1:$D$996),"")</f>
        <v>38</v>
      </c>
      <c r="H2588" s="87">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332">
        <v>1</v>
      </c>
      <c r="B2589" s="332" t="s">
        <v>67</v>
      </c>
      <c r="C2589" s="332" t="s">
        <v>2531</v>
      </c>
      <c r="D2589" s="332" t="s">
        <v>2531</v>
      </c>
      <c r="E2589" s="333" t="s">
        <v>69</v>
      </c>
      <c r="F2589" s="332"/>
      <c r="G2589" s="334" t="str">
        <f t="array" ref="G2589">IF(B2589="insumo",_xlfn.XLOOKUP($D2589,Insumos!$B$1:$B$996,Insumos!$D$1:$D$996),"")</f>
        <v/>
      </c>
      <c r="H2589" s="334">
        <v>546.48927500000002</v>
      </c>
      <c r="I2589" s="335">
        <v>0</v>
      </c>
      <c r="J2589" s="335">
        <v>0</v>
      </c>
      <c r="K2589" s="335"/>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70</v>
      </c>
      <c r="C2590" s="10" t="s">
        <v>2531</v>
      </c>
      <c r="D2590" s="10" t="s">
        <v>2392</v>
      </c>
      <c r="E2590" s="11" t="str">
        <f t="array" ref="E2590">_xlfn.XLOOKUP(D2590,Insumos!B:B,Insumos!C:$C)</f>
        <v>M2</v>
      </c>
      <c r="F2590" s="14">
        <f>1.1/2</f>
        <v>0.55000000000000004</v>
      </c>
      <c r="G2590" s="87">
        <f t="array" ref="G2590">IF(B2590="insumo",_xlfn.XLOOKUP($D2590,Insumos!$B$1:$B$996,Insumos!$D$1:$D$996),"")</f>
        <v>489.99999999999994</v>
      </c>
      <c r="H2590" s="87">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70</v>
      </c>
      <c r="C2591" s="10" t="s">
        <v>2531</v>
      </c>
      <c r="D2591" s="10" t="s">
        <v>2532</v>
      </c>
      <c r="E2591" s="11" t="str">
        <f t="array" ref="E2591">_xlfn.XLOOKUP(D2591,Insumos!B:B,Insumos!C:$C)</f>
        <v>M2</v>
      </c>
      <c r="F2591" s="14">
        <f>1.1/2</f>
        <v>0.55000000000000004</v>
      </c>
      <c r="G2591" s="87">
        <f t="array" ref="G2591">IF(B2591="insumo",_xlfn.XLOOKUP($D2591,Insumos!$B$1:$B$996,Insumos!$D$1:$D$996),"")</f>
        <v>490</v>
      </c>
      <c r="H2591" s="87">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70</v>
      </c>
      <c r="C2592" s="10" t="s">
        <v>2531</v>
      </c>
      <c r="D2592" s="10" t="s">
        <v>480</v>
      </c>
      <c r="E2592" s="11" t="str">
        <f t="array" ref="E2592">_xlfn.XLOOKUP(D2592,Insumos!B:B,Insumos!C:$C)</f>
        <v>KG</v>
      </c>
      <c r="F2592" s="14">
        <v>4.95</v>
      </c>
      <c r="G2592" s="87">
        <f t="array" ref="G2592">IF(B2592="insumo",_xlfn.XLOOKUP($D2592,Insumos!$B$1:$B$996,Insumos!$D$1:$D$996),"")</f>
        <v>1.0645</v>
      </c>
      <c r="H2592" s="87">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70</v>
      </c>
      <c r="C2593" s="10" t="s">
        <v>2531</v>
      </c>
      <c r="D2593" s="10" t="s">
        <v>505</v>
      </c>
      <c r="E2593" s="11" t="str">
        <f t="array" ref="E2593">_xlfn.XLOOKUP(D2593,Insumos!B:B,Insumos!C:$C)</f>
        <v>UN</v>
      </c>
      <c r="F2593" s="14">
        <v>4</v>
      </c>
      <c r="G2593" s="87">
        <f t="array" ref="G2593">IF(B2593="insumo",_xlfn.XLOOKUP($D2593,Insumos!$B$1:$B$996,Insumos!$D$1:$D$996),"")</f>
        <v>0.08</v>
      </c>
      <c r="H2593" s="87">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70</v>
      </c>
      <c r="C2594" s="77" t="s">
        <v>2531</v>
      </c>
      <c r="D2594" s="77" t="s">
        <v>2388</v>
      </c>
      <c r="E2594" s="11" t="str">
        <f t="array" ref="E2594">_xlfn.XLOOKUP(D2594,Insumos!B:B,Insumos!C:$C)</f>
        <v>KG</v>
      </c>
      <c r="F2594" s="14">
        <v>0.05</v>
      </c>
      <c r="G2594" s="87">
        <f t="array" ref="G2594">IF(B2594="insumo",_xlfn.XLOOKUP($D2594,Insumos!$B$1:$B$996,Insumos!$D$1:$D$996),"")</f>
        <v>38</v>
      </c>
      <c r="H2594" s="87">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332">
        <v>1</v>
      </c>
      <c r="B2595" s="332" t="s">
        <v>67</v>
      </c>
      <c r="C2595" s="332" t="s">
        <v>2389</v>
      </c>
      <c r="D2595" s="332" t="s">
        <v>2389</v>
      </c>
      <c r="E2595" s="333" t="s">
        <v>69</v>
      </c>
      <c r="F2595" s="332"/>
      <c r="G2595" s="334" t="str">
        <f t="array" ref="G2595">IF(B2595="insumo",_xlfn.XLOOKUP($D2595,Insumos!$B$1:$B$996,Insumos!$D$1:$D$996),"")</f>
        <v/>
      </c>
      <c r="H2595" s="334">
        <v>865.48927500000002</v>
      </c>
      <c r="I2595" s="335" t="e">
        <v>#REF!</v>
      </c>
      <c r="J2595" s="335" t="e">
        <v>#REF!</v>
      </c>
      <c r="K2595" s="335"/>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70</v>
      </c>
      <c r="C2596" s="10" t="s">
        <v>2389</v>
      </c>
      <c r="D2596" s="10" t="s">
        <v>2390</v>
      </c>
      <c r="E2596" s="11" t="str">
        <f t="array" ref="E2596">_xlfn.XLOOKUP(D2596,Insumos!B:B,Insumos!C:$C)</f>
        <v>M2</v>
      </c>
      <c r="F2596" s="14">
        <f>1.1/2</f>
        <v>0.55000000000000004</v>
      </c>
      <c r="G2596" s="87">
        <f t="array" ref="G2596">IF(B2596="insumo",_xlfn.XLOOKUP($D2596,Insumos!$B$1:$B$996,Insumos!$D$1:$D$996),"")</f>
        <v>780</v>
      </c>
      <c r="H2596" s="87">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70</v>
      </c>
      <c r="C2597" s="10" t="s">
        <v>2389</v>
      </c>
      <c r="D2597" s="10" t="s">
        <v>2391</v>
      </c>
      <c r="E2597" s="11" t="str">
        <f t="array" ref="E2597">_xlfn.XLOOKUP(D2597,Insumos!B:B,Insumos!C:$C)</f>
        <v>M2</v>
      </c>
      <c r="F2597" s="14">
        <f>1.1/2</f>
        <v>0.55000000000000004</v>
      </c>
      <c r="G2597" s="87">
        <f t="array" ref="G2597">IF(B2597="insumo",_xlfn.XLOOKUP($D2597,Insumos!$B$1:$B$996,Insumos!$D$1:$D$996),"")</f>
        <v>780</v>
      </c>
      <c r="H2597" s="87">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70</v>
      </c>
      <c r="C2598" s="10" t="s">
        <v>2389</v>
      </c>
      <c r="D2598" s="10" t="s">
        <v>480</v>
      </c>
      <c r="E2598" s="11" t="str">
        <f t="array" ref="E2598">_xlfn.XLOOKUP(D2598,Insumos!B:B,Insumos!C:$C)</f>
        <v>KG</v>
      </c>
      <c r="F2598" s="14">
        <v>4.95</v>
      </c>
      <c r="G2598" s="87">
        <f t="array" ref="G2598">IF(B2598="insumo",_xlfn.XLOOKUP($D2598,Insumos!$B$1:$B$996,Insumos!$D$1:$D$996),"")</f>
        <v>1.0645</v>
      </c>
      <c r="H2598" s="87">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70</v>
      </c>
      <c r="C2599" s="10" t="s">
        <v>2389</v>
      </c>
      <c r="D2599" s="10" t="s">
        <v>505</v>
      </c>
      <c r="E2599" s="11" t="str">
        <f t="array" ref="E2599">_xlfn.XLOOKUP(D2599,Insumos!B:B,Insumos!C:$C)</f>
        <v>UN</v>
      </c>
      <c r="F2599" s="14">
        <v>4</v>
      </c>
      <c r="G2599" s="87">
        <f t="array" ref="G2599">IF(B2599="insumo",_xlfn.XLOOKUP($D2599,Insumos!$B$1:$B$996,Insumos!$D$1:$D$996),"")</f>
        <v>0.08</v>
      </c>
      <c r="H2599" s="87">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70</v>
      </c>
      <c r="C2600" s="77" t="s">
        <v>2389</v>
      </c>
      <c r="D2600" s="77" t="s">
        <v>2388</v>
      </c>
      <c r="E2600" s="11" t="str">
        <f t="array" ref="E2600">_xlfn.XLOOKUP(D2600,Insumos!B:B,Insumos!C:$C)</f>
        <v>KG</v>
      </c>
      <c r="F2600" s="14">
        <v>0.05</v>
      </c>
      <c r="G2600" s="87">
        <f t="array" ref="G2600">IF(B2600="insumo",_xlfn.XLOOKUP($D2600,Insumos!$B$1:$B$996,Insumos!$D$1:$D$996),"")</f>
        <v>38</v>
      </c>
      <c r="H2600" s="87">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332">
        <v>1</v>
      </c>
      <c r="B2601" s="332" t="s">
        <v>67</v>
      </c>
      <c r="C2601" s="332" t="s">
        <v>2394</v>
      </c>
      <c r="D2601" s="332" t="s">
        <v>2394</v>
      </c>
      <c r="E2601" s="333" t="s">
        <v>69</v>
      </c>
      <c r="F2601" s="332"/>
      <c r="G2601" s="334" t="str">
        <f t="array" ref="G2601">IF(B2601="insumo",_xlfn.XLOOKUP($D2601,Insumos!$B$1:$B$996,Insumos!$D$1:$D$996),"")</f>
        <v/>
      </c>
      <c r="H2601" s="334">
        <v>546.48927500000002</v>
      </c>
      <c r="I2601" s="335" t="e">
        <v>#REF!</v>
      </c>
      <c r="J2601" s="335" t="e">
        <v>#REF!</v>
      </c>
      <c r="K2601" s="335"/>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70</v>
      </c>
      <c r="C2602" s="10" t="s">
        <v>2394</v>
      </c>
      <c r="D2602" s="10" t="s">
        <v>2392</v>
      </c>
      <c r="E2602" s="11" t="str">
        <f t="array" ref="E2602">_xlfn.XLOOKUP(D2602,Insumos!B:B,Insumos!C:$C)</f>
        <v>M2</v>
      </c>
      <c r="F2602" s="14">
        <f>1.1/2</f>
        <v>0.55000000000000004</v>
      </c>
      <c r="G2602" s="87">
        <f t="array" ref="G2602">IF(B2602="insumo",_xlfn.XLOOKUP($D2602,Insumos!$B$1:$B$996,Insumos!$D$1:$D$996),"")</f>
        <v>489.99999999999994</v>
      </c>
      <c r="H2602" s="87">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70</v>
      </c>
      <c r="C2603" s="10" t="s">
        <v>2394</v>
      </c>
      <c r="D2603" s="10" t="s">
        <v>2393</v>
      </c>
      <c r="E2603" s="11" t="str">
        <f t="array" ref="E2603">_xlfn.XLOOKUP(D2603,Insumos!B:B,Insumos!C:$C)</f>
        <v>M2</v>
      </c>
      <c r="F2603" s="14">
        <f>1.1/2</f>
        <v>0.55000000000000004</v>
      </c>
      <c r="G2603" s="87">
        <f t="array" ref="G2603">IF(B2603="insumo",_xlfn.XLOOKUP($D2603,Insumos!$B$1:$B$996,Insumos!$D$1:$D$996),"")</f>
        <v>489.99999999999994</v>
      </c>
      <c r="H2603" s="87">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70</v>
      </c>
      <c r="C2604" s="10" t="s">
        <v>2394</v>
      </c>
      <c r="D2604" s="10" t="s">
        <v>480</v>
      </c>
      <c r="E2604" s="11" t="str">
        <f t="array" ref="E2604">_xlfn.XLOOKUP(D2604,Insumos!B:B,Insumos!C:$C)</f>
        <v>KG</v>
      </c>
      <c r="F2604" s="14">
        <v>4.95</v>
      </c>
      <c r="G2604" s="87">
        <f t="array" ref="G2604">IF(B2604="insumo",_xlfn.XLOOKUP($D2604,Insumos!$B$1:$B$996,Insumos!$D$1:$D$996),"")</f>
        <v>1.0645</v>
      </c>
      <c r="H2604" s="87">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70</v>
      </c>
      <c r="C2605" s="10" t="s">
        <v>2394</v>
      </c>
      <c r="D2605" s="10" t="s">
        <v>505</v>
      </c>
      <c r="E2605" s="11" t="str">
        <f t="array" ref="E2605">_xlfn.XLOOKUP(D2605,Insumos!B:B,Insumos!C:$C)</f>
        <v>UN</v>
      </c>
      <c r="F2605" s="14">
        <v>4</v>
      </c>
      <c r="G2605" s="87">
        <f t="array" ref="G2605">IF(B2605="insumo",_xlfn.XLOOKUP($D2605,Insumos!$B$1:$B$996,Insumos!$D$1:$D$996),"")</f>
        <v>0.08</v>
      </c>
      <c r="H2605" s="87">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70</v>
      </c>
      <c r="C2606" s="77" t="s">
        <v>2394</v>
      </c>
      <c r="D2606" s="77" t="s">
        <v>2388</v>
      </c>
      <c r="E2606" s="11" t="str">
        <f t="array" ref="E2606">_xlfn.XLOOKUP(D2606,Insumos!B:B,Insumos!C:$C)</f>
        <v>KG</v>
      </c>
      <c r="F2606" s="14">
        <v>0.05</v>
      </c>
      <c r="G2606" s="87">
        <f t="array" ref="G2606">IF(B2606="insumo",_xlfn.XLOOKUP($D2606,Insumos!$B$1:$B$996,Insumos!$D$1:$D$996),"")</f>
        <v>38</v>
      </c>
      <c r="H2606" s="87">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336">
        <v>1</v>
      </c>
      <c r="B2607" s="336" t="s">
        <v>67</v>
      </c>
      <c r="C2607" s="336" t="s">
        <v>1777</v>
      </c>
      <c r="D2607" s="336" t="s">
        <v>1777</v>
      </c>
      <c r="E2607" s="337" t="s">
        <v>69</v>
      </c>
      <c r="F2607" s="336"/>
      <c r="G2607" s="338" t="str">
        <f t="array" ref="G2607">IF(B2607="insumo",_xlfn.XLOOKUP($D2607,Insumos!$B$1:$B$996,Insumos!$D$1:$D$996),"")</f>
        <v/>
      </c>
      <c r="H2607" s="338">
        <v>165.88227499999999</v>
      </c>
      <c r="I2607" s="339">
        <v>0</v>
      </c>
      <c r="J2607" s="339">
        <v>0</v>
      </c>
      <c r="K2607" s="339"/>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77">
        <v>1</v>
      </c>
      <c r="B2608" s="77" t="s">
        <v>70</v>
      </c>
      <c r="C2608" s="77" t="s">
        <v>1777</v>
      </c>
      <c r="D2608" s="77" t="s">
        <v>1735</v>
      </c>
      <c r="E2608" s="11" t="str">
        <f t="array" ref="E2608">_xlfn.XLOOKUP(D2608,Insumos!B:B,Insumos!C:$C)</f>
        <v>M2</v>
      </c>
      <c r="F2608" s="83">
        <v>1.1000000000000001</v>
      </c>
      <c r="G2608" s="87">
        <f t="array" ref="G2608">IF(B2608="insumo",_xlfn.XLOOKUP($D2608,Insumos!$B$1:$B$996,Insumos!$D$1:$D$996),"")</f>
        <v>143.72999999999999</v>
      </c>
      <c r="H2608" s="87">
        <v>158.10300000000001</v>
      </c>
      <c r="I2608" s="79">
        <v>0</v>
      </c>
      <c r="J2608" s="79">
        <v>0</v>
      </c>
      <c r="K2608" s="79"/>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77">
        <v>191</v>
      </c>
      <c r="B2609" s="77" t="s">
        <v>70</v>
      </c>
      <c r="C2609" s="77" t="s">
        <v>1777</v>
      </c>
      <c r="D2609" s="77" t="s">
        <v>480</v>
      </c>
      <c r="E2609" s="11" t="str">
        <f t="array" ref="E2609">_xlfn.XLOOKUP(D2609,Insumos!B:B,Insumos!C:$C)</f>
        <v>KG</v>
      </c>
      <c r="F2609" s="83">
        <v>4.95</v>
      </c>
      <c r="G2609" s="87">
        <f t="array" ref="G2609">IF(B2609="insumo",_xlfn.XLOOKUP($D2609,Insumos!$B$1:$B$996,Insumos!$D$1:$D$996),"")</f>
        <v>1.0645</v>
      </c>
      <c r="H2609" s="87">
        <v>5.2692750000000004</v>
      </c>
      <c r="I2609" s="79">
        <v>0</v>
      </c>
      <c r="J2609" s="79">
        <v>0</v>
      </c>
      <c r="K2609" s="79"/>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77">
        <v>142</v>
      </c>
      <c r="B2610" s="77" t="s">
        <v>70</v>
      </c>
      <c r="C2610" s="77" t="s">
        <v>1777</v>
      </c>
      <c r="D2610" s="77" t="s">
        <v>505</v>
      </c>
      <c r="E2610" s="11" t="str">
        <f t="array" ref="E2610">_xlfn.XLOOKUP(D2610,Insumos!B:B,Insumos!C:$C)</f>
        <v>UN</v>
      </c>
      <c r="F2610" s="83">
        <v>4</v>
      </c>
      <c r="G2610" s="87">
        <f t="array" ref="G2610">IF(B2610="insumo",_xlfn.XLOOKUP($D2610,Insumos!$B$1:$B$996,Insumos!$D$1:$D$996),"")</f>
        <v>0.08</v>
      </c>
      <c r="H2610" s="87">
        <v>0.32</v>
      </c>
      <c r="I2610" s="79">
        <v>0</v>
      </c>
      <c r="J2610" s="79">
        <v>0</v>
      </c>
      <c r="K2610" s="79"/>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77">
        <v>22</v>
      </c>
      <c r="B2611" s="77" t="s">
        <v>70</v>
      </c>
      <c r="C2611" s="77" t="s">
        <v>1777</v>
      </c>
      <c r="D2611" s="77" t="s">
        <v>1765</v>
      </c>
      <c r="E2611" s="11" t="str">
        <f t="array" ref="E2611">_xlfn.XLOOKUP(D2611,Insumos!B:B,Insumos!C:$C)</f>
        <v>KG</v>
      </c>
      <c r="F2611" s="83">
        <v>0.05</v>
      </c>
      <c r="G2611" s="87">
        <f t="array" ref="G2611">IF(B2611="insumo",_xlfn.XLOOKUP($D2611,Insumos!$B$1:$B$996,Insumos!$D$1:$D$996),"")</f>
        <v>43.8</v>
      </c>
      <c r="H2611" s="87">
        <v>2.19</v>
      </c>
      <c r="I2611" s="79">
        <v>0</v>
      </c>
      <c r="J2611" s="79">
        <v>0</v>
      </c>
      <c r="K2611" s="79"/>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332">
        <v>1</v>
      </c>
      <c r="B2612" s="332" t="s">
        <v>67</v>
      </c>
      <c r="C2612" s="332" t="s">
        <v>521</v>
      </c>
      <c r="D2612" s="332" t="s">
        <v>521</v>
      </c>
      <c r="E2612" s="333" t="s">
        <v>69</v>
      </c>
      <c r="F2612" s="332"/>
      <c r="G2612" s="334" t="str">
        <f t="array" ref="G2612">IF(B2612="insumo",_xlfn.XLOOKUP($D2612,Insumos!$B$1:$B$996,Insumos!$D$1:$D$996),"")</f>
        <v/>
      </c>
      <c r="H2612" s="334">
        <v>282.64277499999997</v>
      </c>
      <c r="I2612" s="335">
        <v>0</v>
      </c>
      <c r="J2612" s="335">
        <v>0</v>
      </c>
      <c r="K2612" s="335"/>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70</v>
      </c>
      <c r="C2613" s="10" t="s">
        <v>521</v>
      </c>
      <c r="D2613" s="10" t="s">
        <v>522</v>
      </c>
      <c r="E2613" s="11" t="str">
        <f t="array" ref="E2613">_xlfn.XLOOKUP(D2613,Insumos!B:B,Insumos!C:$C)</f>
        <v>M2</v>
      </c>
      <c r="F2613" s="14">
        <v>1.1000000000000001</v>
      </c>
      <c r="G2613" s="87">
        <f t="array" ref="G2613">IF(B2613="insumo",_xlfn.XLOOKUP($D2613,Insumos!$B$1:$B$996,Insumos!$D$1:$D$996),"")</f>
        <v>251.36</v>
      </c>
      <c r="H2613" s="87">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70</v>
      </c>
      <c r="C2614" s="10" t="s">
        <v>521</v>
      </c>
      <c r="D2614" s="10" t="s">
        <v>480</v>
      </c>
      <c r="E2614" s="11" t="str">
        <f t="array" ref="E2614">_xlfn.XLOOKUP(D2614,Insumos!B:B,Insumos!C:$C)</f>
        <v>KG</v>
      </c>
      <c r="F2614" s="14">
        <v>4.95</v>
      </c>
      <c r="G2614" s="87">
        <f t="array" ref="G2614">IF(B2614="insumo",_xlfn.XLOOKUP($D2614,Insumos!$B$1:$B$996,Insumos!$D$1:$D$996),"")</f>
        <v>1.0645</v>
      </c>
      <c r="H2614" s="87">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70</v>
      </c>
      <c r="C2615" s="10" t="s">
        <v>521</v>
      </c>
      <c r="D2615" s="10" t="s">
        <v>505</v>
      </c>
      <c r="E2615" s="11" t="str">
        <f t="array" ref="E2615">_xlfn.XLOOKUP(D2615,Insumos!B:B,Insumos!C:$C)</f>
        <v>UN</v>
      </c>
      <c r="F2615" s="14">
        <v>4</v>
      </c>
      <c r="G2615" s="87">
        <f t="array" ref="G2615">IF(B2615="insumo",_xlfn.XLOOKUP($D2615,Insumos!$B$1:$B$996,Insumos!$D$1:$D$996),"")</f>
        <v>0.08</v>
      </c>
      <c r="H2615" s="87">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70</v>
      </c>
      <c r="C2616" s="10" t="s">
        <v>521</v>
      </c>
      <c r="D2616" s="10" t="s">
        <v>506</v>
      </c>
      <c r="E2616" s="11" t="str">
        <f t="array" ref="E2616">_xlfn.XLOOKUP(D2616,Insumos!B:B,Insumos!C:$C)</f>
        <v>KG</v>
      </c>
      <c r="F2616" s="14">
        <v>0.05</v>
      </c>
      <c r="G2616" s="87">
        <f t="array" ref="G2616">IF(B2616="insumo",_xlfn.XLOOKUP($D2616,Insumos!$B$1:$B$996,Insumos!$D$1:$D$996),"")</f>
        <v>11.15</v>
      </c>
      <c r="H2616" s="87">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332">
        <v>1</v>
      </c>
      <c r="B2617" s="332" t="s">
        <v>67</v>
      </c>
      <c r="C2617" s="332" t="s">
        <v>523</v>
      </c>
      <c r="D2617" s="332" t="s">
        <v>523</v>
      </c>
      <c r="E2617" s="333" t="s">
        <v>69</v>
      </c>
      <c r="F2617" s="332"/>
      <c r="G2617" s="334" t="str">
        <f t="array" ref="G2617">IF(B2617="insumo",_xlfn.XLOOKUP($D2617,Insumos!$B$1:$B$996,Insumos!$D$1:$D$996),"")</f>
        <v/>
      </c>
      <c r="H2617" s="334">
        <v>146.83677499999999</v>
      </c>
      <c r="I2617" s="335">
        <v>0</v>
      </c>
      <c r="J2617" s="335">
        <v>0</v>
      </c>
      <c r="K2617" s="335"/>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70</v>
      </c>
      <c r="C2618" s="10" t="s">
        <v>523</v>
      </c>
      <c r="D2618" s="10" t="s">
        <v>524</v>
      </c>
      <c r="E2618" s="11" t="str">
        <f t="array" ref="E2618">_xlfn.XLOOKUP(D2618,Insumos!B:B,Insumos!C:$C)</f>
        <v>M2</v>
      </c>
      <c r="F2618" s="14">
        <v>1.1000000000000001</v>
      </c>
      <c r="G2618" s="87">
        <f t="array" ref="G2618">IF(B2618="insumo",_xlfn.XLOOKUP($D2618,Insumos!$B$1:$B$996,Insumos!$D$1:$D$996),"")</f>
        <v>127.9</v>
      </c>
      <c r="H2618" s="87">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70</v>
      </c>
      <c r="C2619" s="10" t="s">
        <v>523</v>
      </c>
      <c r="D2619" s="10" t="s">
        <v>480</v>
      </c>
      <c r="E2619" s="11" t="str">
        <f t="array" ref="E2619">_xlfn.XLOOKUP(D2619,Insumos!B:B,Insumos!C:$C)</f>
        <v>KG</v>
      </c>
      <c r="F2619" s="14">
        <v>4.95</v>
      </c>
      <c r="G2619" s="87">
        <f t="array" ref="G2619">IF(B2619="insumo",_xlfn.XLOOKUP($D2619,Insumos!$B$1:$B$996,Insumos!$D$1:$D$996),"")</f>
        <v>1.0645</v>
      </c>
      <c r="H2619" s="87">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70</v>
      </c>
      <c r="C2620" s="10" t="s">
        <v>523</v>
      </c>
      <c r="D2620" s="10" t="s">
        <v>505</v>
      </c>
      <c r="E2620" s="11" t="str">
        <f t="array" ref="E2620">_xlfn.XLOOKUP(D2620,Insumos!B:B,Insumos!C:$C)</f>
        <v>UN</v>
      </c>
      <c r="F2620" s="14">
        <v>4</v>
      </c>
      <c r="G2620" s="87">
        <f t="array" ref="G2620">IF(B2620="insumo",_xlfn.XLOOKUP($D2620,Insumos!$B$1:$B$996,Insumos!$D$1:$D$996),"")</f>
        <v>0.08</v>
      </c>
      <c r="H2620" s="87">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70</v>
      </c>
      <c r="C2621" s="10" t="s">
        <v>523</v>
      </c>
      <c r="D2621" s="10" t="s">
        <v>506</v>
      </c>
      <c r="E2621" s="11" t="str">
        <f t="array" ref="E2621">_xlfn.XLOOKUP(D2621,Insumos!B:B,Insumos!C:$C)</f>
        <v>KG</v>
      </c>
      <c r="F2621" s="14">
        <v>0.05</v>
      </c>
      <c r="G2621" s="87">
        <f t="array" ref="G2621">IF(B2621="insumo",_xlfn.XLOOKUP($D2621,Insumos!$B$1:$B$996,Insumos!$D$1:$D$996),"")</f>
        <v>11.15</v>
      </c>
      <c r="H2621" s="87">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332">
        <v>1</v>
      </c>
      <c r="B2622" s="332" t="s">
        <v>67</v>
      </c>
      <c r="C2622" s="332" t="s">
        <v>1403</v>
      </c>
      <c r="D2622" s="332" t="s">
        <v>1403</v>
      </c>
      <c r="E2622" s="333" t="s">
        <v>69</v>
      </c>
      <c r="F2622" s="332"/>
      <c r="G2622" s="334" t="str">
        <f t="array" ref="G2622">IF(B2622="insumo",_xlfn.XLOOKUP($D2622,Insumos!$B$1:$B$996,Insumos!$D$1:$D$996),"")</f>
        <v/>
      </c>
      <c r="H2622" s="334">
        <v>262.85377499999998</v>
      </c>
      <c r="I2622" s="335">
        <v>0</v>
      </c>
      <c r="J2622" s="335">
        <v>0</v>
      </c>
      <c r="K2622" s="335"/>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70</v>
      </c>
      <c r="C2623" s="10" t="s">
        <v>1403</v>
      </c>
      <c r="D2623" s="10" t="s">
        <v>1404</v>
      </c>
      <c r="E2623" s="11" t="str">
        <f t="array" ref="E2623">_xlfn.XLOOKUP(D2623,Insumos!B:B,Insumos!C:$C)</f>
        <v>M2</v>
      </c>
      <c r="F2623" s="14">
        <v>1.1000000000000001</v>
      </c>
      <c r="G2623" s="87">
        <f t="array" ref="G2623">IF(B2623="insumo",_xlfn.XLOOKUP($D2623,Insumos!$B$1:$B$996,Insumos!$D$1:$D$996),"")</f>
        <v>233.37</v>
      </c>
      <c r="H2623" s="87">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70</v>
      </c>
      <c r="C2624" s="10" t="s">
        <v>1403</v>
      </c>
      <c r="D2624" s="10" t="s">
        <v>480</v>
      </c>
      <c r="E2624" s="11" t="str">
        <f t="array" ref="E2624">_xlfn.XLOOKUP(D2624,Insumos!B:B,Insumos!C:$C)</f>
        <v>KG</v>
      </c>
      <c r="F2624" s="14">
        <v>4.95</v>
      </c>
      <c r="G2624" s="87">
        <f t="array" ref="G2624">IF(B2624="insumo",_xlfn.XLOOKUP($D2624,Insumos!$B$1:$B$996,Insumos!$D$1:$D$996),"")</f>
        <v>1.0645</v>
      </c>
      <c r="H2624" s="87">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70</v>
      </c>
      <c r="C2625" s="10" t="s">
        <v>1403</v>
      </c>
      <c r="D2625" s="10" t="s">
        <v>505</v>
      </c>
      <c r="E2625" s="11" t="str">
        <f t="array" ref="E2625">_xlfn.XLOOKUP(D2625,Insumos!B:B,Insumos!C:$C)</f>
        <v>UN</v>
      </c>
      <c r="F2625" s="14">
        <v>4</v>
      </c>
      <c r="G2625" s="87">
        <f t="array" ref="G2625">IF(B2625="insumo",_xlfn.XLOOKUP($D2625,Insumos!$B$1:$B$996,Insumos!$D$1:$D$996),"")</f>
        <v>0.08</v>
      </c>
      <c r="H2625" s="87">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70</v>
      </c>
      <c r="C2626" s="10" t="s">
        <v>1403</v>
      </c>
      <c r="D2626" s="10" t="s">
        <v>506</v>
      </c>
      <c r="E2626" s="11" t="str">
        <f t="array" ref="E2626">_xlfn.XLOOKUP(D2626,Insumos!B:B,Insumos!C:$C)</f>
        <v>KG</v>
      </c>
      <c r="F2626" s="14">
        <v>0.05</v>
      </c>
      <c r="G2626" s="87">
        <f t="array" ref="G2626">IF(B2626="insumo",_xlfn.XLOOKUP($D2626,Insumos!$B$1:$B$996,Insumos!$D$1:$D$996),"")</f>
        <v>11.15</v>
      </c>
      <c r="H2626" s="87">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332">
        <v>1</v>
      </c>
      <c r="B2627" s="332" t="s">
        <v>67</v>
      </c>
      <c r="C2627" s="332" t="s">
        <v>1400</v>
      </c>
      <c r="D2627" s="332" t="s">
        <v>1400</v>
      </c>
      <c r="E2627" s="333" t="s">
        <v>69</v>
      </c>
      <c r="F2627" s="332"/>
      <c r="G2627" s="334" t="str">
        <f t="array" ref="G2627">IF(B2627="insumo",_xlfn.XLOOKUP($D2627,Insumos!$B$1:$B$996,Insumos!$D$1:$D$996),"")</f>
        <v/>
      </c>
      <c r="H2627" s="334">
        <v>186.172775</v>
      </c>
      <c r="I2627" s="335">
        <v>0</v>
      </c>
      <c r="J2627" s="335">
        <v>0</v>
      </c>
      <c r="K2627" s="335"/>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70</v>
      </c>
      <c r="C2628" s="10" t="s">
        <v>1400</v>
      </c>
      <c r="D2628" s="10" t="s">
        <v>1405</v>
      </c>
      <c r="E2628" s="11" t="str">
        <f t="array" ref="E2628">_xlfn.XLOOKUP(D2628,Insumos!B:B,Insumos!C:$C)</f>
        <v>M2</v>
      </c>
      <c r="F2628" s="14">
        <v>1.1000000000000001</v>
      </c>
      <c r="G2628" s="87">
        <f t="array" ref="G2628">IF(B2628="insumo",_xlfn.XLOOKUP($D2628,Insumos!$B$1:$B$996,Insumos!$D$1:$D$996),"")</f>
        <v>163.66</v>
      </c>
      <c r="H2628" s="87">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70</v>
      </c>
      <c r="C2629" s="10" t="s">
        <v>1400</v>
      </c>
      <c r="D2629" s="10" t="s">
        <v>480</v>
      </c>
      <c r="E2629" s="11" t="str">
        <f t="array" ref="E2629">_xlfn.XLOOKUP(D2629,Insumos!B:B,Insumos!C:$C)</f>
        <v>KG</v>
      </c>
      <c r="F2629" s="14">
        <v>4.95</v>
      </c>
      <c r="G2629" s="87">
        <f t="array" ref="G2629">IF(B2629="insumo",_xlfn.XLOOKUP($D2629,Insumos!$B$1:$B$996,Insumos!$D$1:$D$996),"")</f>
        <v>1.0645</v>
      </c>
      <c r="H2629" s="87">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70</v>
      </c>
      <c r="C2630" s="10" t="s">
        <v>1400</v>
      </c>
      <c r="D2630" s="10" t="s">
        <v>505</v>
      </c>
      <c r="E2630" s="11" t="str">
        <f t="array" ref="E2630">_xlfn.XLOOKUP(D2630,Insumos!B:B,Insumos!C:$C)</f>
        <v>UN</v>
      </c>
      <c r="F2630" s="14">
        <v>4</v>
      </c>
      <c r="G2630" s="87">
        <f t="array" ref="G2630">IF(B2630="insumo",_xlfn.XLOOKUP($D2630,Insumos!$B$1:$B$996,Insumos!$D$1:$D$996),"")</f>
        <v>0.08</v>
      </c>
      <c r="H2630" s="87">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70</v>
      </c>
      <c r="C2631" s="10" t="s">
        <v>1400</v>
      </c>
      <c r="D2631" s="10" t="s">
        <v>506</v>
      </c>
      <c r="E2631" s="11" t="str">
        <f t="array" ref="E2631">_xlfn.XLOOKUP(D2631,Insumos!B:B,Insumos!C:$C)</f>
        <v>KG</v>
      </c>
      <c r="F2631" s="14">
        <v>0.05</v>
      </c>
      <c r="G2631" s="87">
        <f t="array" ref="G2631">IF(B2631="insumo",_xlfn.XLOOKUP($D2631,Insumos!$B$1:$B$996,Insumos!$D$1:$D$996),"")</f>
        <v>11.15</v>
      </c>
      <c r="H2631" s="87">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332">
        <v>1</v>
      </c>
      <c r="B2632" s="332" t="s">
        <v>67</v>
      </c>
      <c r="C2632" s="332" t="s">
        <v>1401</v>
      </c>
      <c r="D2632" s="332" t="s">
        <v>1401</v>
      </c>
      <c r="E2632" s="333" t="s">
        <v>69</v>
      </c>
      <c r="F2632" s="332"/>
      <c r="G2632" s="334" t="str">
        <f t="array" ref="G2632">IF(B2632="insumo",_xlfn.XLOOKUP($D2632,Insumos!$B$1:$B$996,Insumos!$D$1:$D$996),"")</f>
        <v/>
      </c>
      <c r="H2632" s="334">
        <v>167.23077499999999</v>
      </c>
      <c r="I2632" s="335">
        <v>0</v>
      </c>
      <c r="J2632" s="335">
        <v>0</v>
      </c>
      <c r="K2632" s="335"/>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70</v>
      </c>
      <c r="C2633" s="10" t="s">
        <v>1401</v>
      </c>
      <c r="D2633" s="10" t="s">
        <v>1406</v>
      </c>
      <c r="E2633" s="11" t="str">
        <f t="array" ref="E2633">_xlfn.XLOOKUP(D2633,Insumos!B:B,Insumos!C:$C)</f>
        <v>M2</v>
      </c>
      <c r="F2633" s="14">
        <v>1.1000000000000001</v>
      </c>
      <c r="G2633" s="87">
        <f t="array" ref="G2633">IF(B2633="insumo",_xlfn.XLOOKUP($D2633,Insumos!$B$1:$B$996,Insumos!$D$1:$D$996),"")</f>
        <v>146.44</v>
      </c>
      <c r="H2633" s="87">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70</v>
      </c>
      <c r="C2634" s="10" t="s">
        <v>1401</v>
      </c>
      <c r="D2634" s="10" t="s">
        <v>480</v>
      </c>
      <c r="E2634" s="11" t="str">
        <f t="array" ref="E2634">_xlfn.XLOOKUP(D2634,Insumos!B:B,Insumos!C:$C)</f>
        <v>KG</v>
      </c>
      <c r="F2634" s="14">
        <v>4.95</v>
      </c>
      <c r="G2634" s="87">
        <f t="array" ref="G2634">IF(B2634="insumo",_xlfn.XLOOKUP($D2634,Insumos!$B$1:$B$996,Insumos!$D$1:$D$996),"")</f>
        <v>1.0645</v>
      </c>
      <c r="H2634" s="87">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70</v>
      </c>
      <c r="C2635" s="10" t="s">
        <v>1401</v>
      </c>
      <c r="D2635" s="10" t="s">
        <v>505</v>
      </c>
      <c r="E2635" s="11" t="str">
        <f t="array" ref="E2635">_xlfn.XLOOKUP(D2635,Insumos!B:B,Insumos!C:$C)</f>
        <v>UN</v>
      </c>
      <c r="F2635" s="14">
        <v>4</v>
      </c>
      <c r="G2635" s="87">
        <f t="array" ref="G2635">IF(B2635="insumo",_xlfn.XLOOKUP($D2635,Insumos!$B$1:$B$996,Insumos!$D$1:$D$996),"")</f>
        <v>0.08</v>
      </c>
      <c r="H2635" s="87">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70</v>
      </c>
      <c r="C2636" s="10" t="s">
        <v>1401</v>
      </c>
      <c r="D2636" s="10" t="s">
        <v>506</v>
      </c>
      <c r="E2636" s="11" t="str">
        <f t="array" ref="E2636">_xlfn.XLOOKUP(D2636,Insumos!B:B,Insumos!C:$C)</f>
        <v>KG</v>
      </c>
      <c r="F2636" s="14">
        <v>0.05</v>
      </c>
      <c r="G2636" s="87">
        <f t="array" ref="G2636">IF(B2636="insumo",_xlfn.XLOOKUP($D2636,Insumos!$B$1:$B$996,Insumos!$D$1:$D$996),"")</f>
        <v>11.15</v>
      </c>
      <c r="H2636" s="87">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355">
        <v>1</v>
      </c>
      <c r="B2637" s="355" t="s">
        <v>1227</v>
      </c>
      <c r="C2637" s="355" t="s">
        <v>1401</v>
      </c>
      <c r="D2637" s="355" t="s">
        <v>1383</v>
      </c>
      <c r="E2637" s="356"/>
      <c r="F2637" s="357"/>
      <c r="G2637" s="356"/>
      <c r="H2637" s="356">
        <v>0</v>
      </c>
      <c r="I2637" s="357">
        <v>0</v>
      </c>
      <c r="J2637" s="357">
        <v>0</v>
      </c>
      <c r="K2637" s="357"/>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332">
        <v>1</v>
      </c>
      <c r="B2638" s="332" t="s">
        <v>67</v>
      </c>
      <c r="C2638" s="332" t="s">
        <v>1417</v>
      </c>
      <c r="D2638" s="332" t="s">
        <v>1417</v>
      </c>
      <c r="E2638" s="333" t="s">
        <v>69</v>
      </c>
      <c r="F2638" s="332"/>
      <c r="G2638" s="334" t="str">
        <f t="array" ref="G2638">IF(B2638="insumo",_xlfn.XLOOKUP($D2638,Insumos!$B$1:$B$996,Insumos!$D$1:$D$996),"")</f>
        <v/>
      </c>
      <c r="H2638" s="334">
        <v>733.24549999999999</v>
      </c>
      <c r="I2638" s="335">
        <v>0</v>
      </c>
      <c r="J2638" s="335">
        <v>0</v>
      </c>
      <c r="K2638" s="335"/>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70</v>
      </c>
      <c r="C2639" s="10" t="s">
        <v>1417</v>
      </c>
      <c r="D2639" s="10" t="s">
        <v>528</v>
      </c>
      <c r="E2639" s="11" t="str">
        <f t="array" ref="E2639">_xlfn.XLOOKUP(D2639,Insumos!B:B,Insumos!C:$C)</f>
        <v>M2</v>
      </c>
      <c r="F2639" s="14">
        <v>1.1000000000000001</v>
      </c>
      <c r="G2639" s="87">
        <f t="array" ref="G2639">IF(B2639="insumo",_xlfn.XLOOKUP($D2639,Insumos!$B$1:$B$996,Insumos!$D$1:$D$996),"")</f>
        <v>650</v>
      </c>
      <c r="H2639" s="87">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70</v>
      </c>
      <c r="C2640" s="10" t="s">
        <v>1417</v>
      </c>
      <c r="D2640" s="10" t="s">
        <v>480</v>
      </c>
      <c r="E2640" s="11" t="str">
        <f t="array" ref="E2640">_xlfn.XLOOKUP(D2640,Insumos!B:B,Insumos!C:$C)</f>
        <v>KG</v>
      </c>
      <c r="F2640" s="14">
        <v>9</v>
      </c>
      <c r="G2640" s="87">
        <f t="array" ref="G2640">IF(B2640="insumo",_xlfn.XLOOKUP($D2640,Insumos!$B$1:$B$996,Insumos!$D$1:$D$996),"")</f>
        <v>1.0645</v>
      </c>
      <c r="H2640" s="87">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70</v>
      </c>
      <c r="C2641" s="10" t="s">
        <v>1417</v>
      </c>
      <c r="D2641" s="10" t="s">
        <v>537</v>
      </c>
      <c r="E2641" s="11" t="str">
        <f t="array" ref="E2641">_xlfn.XLOOKUP(D2641,Insumos!B:B,Insumos!C:$C)</f>
        <v>UN</v>
      </c>
      <c r="F2641" s="14">
        <v>0.5</v>
      </c>
      <c r="G2641" s="87">
        <f t="array" ref="G2641">IF(B2641="insumo",_xlfn.XLOOKUP($D2641,Insumos!$B$1:$B$996,Insumos!$D$1:$D$996),"")</f>
        <v>17.329999999999998</v>
      </c>
      <c r="H2641" s="87">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332">
        <v>1</v>
      </c>
      <c r="B2642" s="332" t="s">
        <v>67</v>
      </c>
      <c r="C2642" s="332" t="s">
        <v>2404</v>
      </c>
      <c r="D2642" s="332" t="s">
        <v>2404</v>
      </c>
      <c r="E2642" s="333" t="s">
        <v>69</v>
      </c>
      <c r="F2642" s="332"/>
      <c r="G2642" s="334" t="str">
        <f t="array" ref="G2642">IF(B2642="insumo",_xlfn.XLOOKUP($D2642,Insumos!$B$1:$B$996,Insumos!$D$1:$D$996),"")</f>
        <v/>
      </c>
      <c r="H2642" s="334">
        <v>898.24549999999999</v>
      </c>
      <c r="I2642" s="335" t="e">
        <v>#REF!</v>
      </c>
      <c r="J2642" s="335" t="e">
        <v>#REF!</v>
      </c>
      <c r="K2642" s="335"/>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70</v>
      </c>
      <c r="C2643" s="10" t="s">
        <v>2404</v>
      </c>
      <c r="D2643" s="10" t="s">
        <v>2405</v>
      </c>
      <c r="E2643" s="11" t="str">
        <f t="array" ref="E2643">_xlfn.XLOOKUP(D2643,Insumos!B:B,Insumos!C:$C)</f>
        <v>M2</v>
      </c>
      <c r="F2643" s="14">
        <v>1.1000000000000001</v>
      </c>
      <c r="G2643" s="87">
        <f t="array" ref="G2643">IF(B2643="insumo",_xlfn.XLOOKUP($D2643,Insumos!$B$1:$B$996,Insumos!$D$1:$D$996),"")</f>
        <v>800</v>
      </c>
      <c r="H2643" s="87">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70</v>
      </c>
      <c r="C2644" s="10" t="s">
        <v>2404</v>
      </c>
      <c r="D2644" s="10" t="s">
        <v>480</v>
      </c>
      <c r="E2644" s="11" t="str">
        <f t="array" ref="E2644">_xlfn.XLOOKUP(D2644,Insumos!B:B,Insumos!C:$C)</f>
        <v>KG</v>
      </c>
      <c r="F2644" s="14">
        <v>9</v>
      </c>
      <c r="G2644" s="87">
        <f t="array" ref="G2644">IF(B2644="insumo",_xlfn.XLOOKUP($D2644,Insumos!$B$1:$B$996,Insumos!$D$1:$D$996),"")</f>
        <v>1.0645</v>
      </c>
      <c r="H2644" s="87">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70</v>
      </c>
      <c r="C2645" s="10" t="s">
        <v>2404</v>
      </c>
      <c r="D2645" s="10" t="s">
        <v>537</v>
      </c>
      <c r="E2645" s="11" t="str">
        <f t="array" ref="E2645">_xlfn.XLOOKUP(D2645,Insumos!B:B,Insumos!C:$C)</f>
        <v>UN</v>
      </c>
      <c r="F2645" s="14">
        <v>0.5</v>
      </c>
      <c r="G2645" s="87">
        <f t="array" ref="G2645">IF(B2645="insumo",_xlfn.XLOOKUP($D2645,Insumos!$B$1:$B$996,Insumos!$D$1:$D$996),"")</f>
        <v>17.329999999999998</v>
      </c>
      <c r="H2645" s="87">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332">
        <v>1</v>
      </c>
      <c r="B2646" s="332" t="s">
        <v>67</v>
      </c>
      <c r="C2646" s="332" t="s">
        <v>2406</v>
      </c>
      <c r="D2646" s="332" t="s">
        <v>2406</v>
      </c>
      <c r="E2646" s="333" t="s">
        <v>69</v>
      </c>
      <c r="F2646" s="332"/>
      <c r="G2646" s="334" t="str">
        <f t="array" ref="G2646">IF(B2646="insumo",_xlfn.XLOOKUP($D2646,Insumos!$B$1:$B$996,Insumos!$D$1:$D$996),"")</f>
        <v/>
      </c>
      <c r="H2646" s="334">
        <v>1008.2455</v>
      </c>
      <c r="I2646" s="335">
        <v>0</v>
      </c>
      <c r="J2646" s="335">
        <v>0</v>
      </c>
      <c r="K2646" s="335"/>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70</v>
      </c>
      <c r="C2647" s="10" t="s">
        <v>2406</v>
      </c>
      <c r="D2647" s="10" t="s">
        <v>2407</v>
      </c>
      <c r="E2647" s="11" t="str">
        <f t="array" ref="E2647">_xlfn.XLOOKUP(D2647,Insumos!B:B,Insumos!C:$C)</f>
        <v>M2</v>
      </c>
      <c r="F2647" s="14">
        <v>1.1000000000000001</v>
      </c>
      <c r="G2647" s="87">
        <f t="array" ref="G2647">IF(B2647="insumo",_xlfn.XLOOKUP($D2647,Insumos!$B$1:$B$996,Insumos!$D$1:$D$996),"")</f>
        <v>900</v>
      </c>
      <c r="H2647" s="87">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70</v>
      </c>
      <c r="C2648" s="10" t="s">
        <v>2406</v>
      </c>
      <c r="D2648" s="10" t="s">
        <v>480</v>
      </c>
      <c r="E2648" s="11" t="str">
        <f t="array" ref="E2648">_xlfn.XLOOKUP(D2648,Insumos!B:B,Insumos!C:$C)</f>
        <v>KG</v>
      </c>
      <c r="F2648" s="14">
        <v>9</v>
      </c>
      <c r="G2648" s="87">
        <f t="array" ref="G2648">IF(B2648="insumo",_xlfn.XLOOKUP($D2648,Insumos!$B$1:$B$996,Insumos!$D$1:$D$996),"")</f>
        <v>1.0645</v>
      </c>
      <c r="H2648" s="87">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70</v>
      </c>
      <c r="C2649" s="10" t="s">
        <v>2406</v>
      </c>
      <c r="D2649" s="10" t="s">
        <v>537</v>
      </c>
      <c r="E2649" s="11" t="str">
        <f t="array" ref="E2649">_xlfn.XLOOKUP(D2649,Insumos!B:B,Insumos!C:$C)</f>
        <v>UN</v>
      </c>
      <c r="F2649" s="14">
        <v>0.5</v>
      </c>
      <c r="G2649" s="87">
        <f t="array" ref="G2649">IF(B2649="insumo",_xlfn.XLOOKUP($D2649,Insumos!$B$1:$B$996,Insumos!$D$1:$D$996),"")</f>
        <v>17.329999999999998</v>
      </c>
      <c r="H2649" s="87">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332">
        <v>1</v>
      </c>
      <c r="B2650" s="332" t="s">
        <v>67</v>
      </c>
      <c r="C2650" s="332" t="s">
        <v>2410</v>
      </c>
      <c r="D2650" s="332" t="s">
        <v>2410</v>
      </c>
      <c r="E2650" s="333" t="s">
        <v>69</v>
      </c>
      <c r="F2650" s="332"/>
      <c r="G2650" s="334" t="str">
        <f t="array" ref="G2650">IF(B2650="insumo",_xlfn.XLOOKUP($D2650,Insumos!$B$1:$B$996,Insumos!$D$1:$D$996),"")</f>
        <v/>
      </c>
      <c r="H2650" s="334">
        <v>1448.2455</v>
      </c>
      <c r="I2650" s="335">
        <v>0</v>
      </c>
      <c r="J2650" s="335">
        <v>0</v>
      </c>
      <c r="K2650" s="335"/>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70</v>
      </c>
      <c r="C2651" s="10" t="s">
        <v>2410</v>
      </c>
      <c r="D2651" s="10" t="s">
        <v>2411</v>
      </c>
      <c r="E2651" s="11" t="str">
        <f t="array" ref="E2651">_xlfn.XLOOKUP(D2651,Insumos!B:B,Insumos!C:$C)</f>
        <v>M2</v>
      </c>
      <c r="F2651" s="14">
        <v>1.1000000000000001</v>
      </c>
      <c r="G2651" s="87">
        <f t="array" ref="G2651">IF(B2651="insumo",_xlfn.XLOOKUP($D2651,Insumos!$B$1:$B$996,Insumos!$D$1:$D$996),"")</f>
        <v>1300</v>
      </c>
      <c r="H2651" s="87">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70</v>
      </c>
      <c r="C2652" s="10" t="s">
        <v>2410</v>
      </c>
      <c r="D2652" s="10" t="s">
        <v>480</v>
      </c>
      <c r="E2652" s="11" t="str">
        <f t="array" ref="E2652">_xlfn.XLOOKUP(D2652,Insumos!B:B,Insumos!C:$C)</f>
        <v>KG</v>
      </c>
      <c r="F2652" s="14">
        <v>9</v>
      </c>
      <c r="G2652" s="87">
        <f t="array" ref="G2652">IF(B2652="insumo",_xlfn.XLOOKUP($D2652,Insumos!$B$1:$B$996,Insumos!$D$1:$D$996),"")</f>
        <v>1.0645</v>
      </c>
      <c r="H2652" s="87">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70</v>
      </c>
      <c r="C2653" s="10" t="s">
        <v>2410</v>
      </c>
      <c r="D2653" s="10" t="s">
        <v>537</v>
      </c>
      <c r="E2653" s="11" t="str">
        <f t="array" ref="E2653">_xlfn.XLOOKUP(D2653,Insumos!B:B,Insumos!C:$C)</f>
        <v>UN</v>
      </c>
      <c r="F2653" s="14">
        <v>0.5</v>
      </c>
      <c r="G2653" s="87">
        <f t="array" ref="G2653">IF(B2653="insumo",_xlfn.XLOOKUP($D2653,Insumos!$B$1:$B$996,Insumos!$D$1:$D$996),"")</f>
        <v>17.329999999999998</v>
      </c>
      <c r="H2653" s="87">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332">
        <v>1</v>
      </c>
      <c r="B2654" s="332" t="s">
        <v>67</v>
      </c>
      <c r="C2654" s="332" t="s">
        <v>2412</v>
      </c>
      <c r="D2654" s="332" t="s">
        <v>2412</v>
      </c>
      <c r="E2654" s="333" t="s">
        <v>69</v>
      </c>
      <c r="F2654" s="332"/>
      <c r="G2654" s="334" t="str">
        <f t="array" ref="G2654">IF(B2654="insumo",_xlfn.XLOOKUP($D2654,Insumos!$B$1:$B$996,Insumos!$D$1:$D$996),"")</f>
        <v/>
      </c>
      <c r="H2654" s="334">
        <v>2438.2455</v>
      </c>
      <c r="I2654" s="335">
        <v>0</v>
      </c>
      <c r="J2654" s="335">
        <v>0</v>
      </c>
      <c r="K2654" s="335"/>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70</v>
      </c>
      <c r="C2655" s="10" t="s">
        <v>2412</v>
      </c>
      <c r="D2655" s="10" t="s">
        <v>2413</v>
      </c>
      <c r="E2655" s="11" t="str">
        <f t="array" ref="E2655">_xlfn.XLOOKUP(D2655,Insumos!B:B,Insumos!C:$C)</f>
        <v>M2</v>
      </c>
      <c r="F2655" s="14">
        <v>1.1000000000000001</v>
      </c>
      <c r="G2655" s="87">
        <f t="array" ref="G2655">IF(B2655="insumo",_xlfn.XLOOKUP($D2655,Insumos!$B$1:$B$996,Insumos!$D$1:$D$996),"")</f>
        <v>2200</v>
      </c>
      <c r="H2655" s="87">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70</v>
      </c>
      <c r="C2656" s="10" t="s">
        <v>2412</v>
      </c>
      <c r="D2656" s="10" t="s">
        <v>480</v>
      </c>
      <c r="E2656" s="11" t="str">
        <f t="array" ref="E2656">_xlfn.XLOOKUP(D2656,Insumos!B:B,Insumos!C:$C)</f>
        <v>KG</v>
      </c>
      <c r="F2656" s="14">
        <v>9</v>
      </c>
      <c r="G2656" s="87">
        <f t="array" ref="G2656">IF(B2656="insumo",_xlfn.XLOOKUP($D2656,Insumos!$B$1:$B$996,Insumos!$D$1:$D$996),"")</f>
        <v>1.0645</v>
      </c>
      <c r="H2656" s="87">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70</v>
      </c>
      <c r="C2657" s="10" t="s">
        <v>2412</v>
      </c>
      <c r="D2657" s="10" t="s">
        <v>537</v>
      </c>
      <c r="E2657" s="11" t="str">
        <f t="array" ref="E2657">_xlfn.XLOOKUP(D2657,Insumos!B:B,Insumos!C:$C)</f>
        <v>UN</v>
      </c>
      <c r="F2657" s="14">
        <v>0.5</v>
      </c>
      <c r="G2657" s="87">
        <f t="array" ref="G2657">IF(B2657="insumo",_xlfn.XLOOKUP($D2657,Insumos!$B$1:$B$996,Insumos!$D$1:$D$996),"")</f>
        <v>17.329999999999998</v>
      </c>
      <c r="H2657" s="87">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332">
        <v>1</v>
      </c>
      <c r="B2658" s="332" t="s">
        <v>67</v>
      </c>
      <c r="C2658" s="332" t="s">
        <v>2408</v>
      </c>
      <c r="D2658" s="332" t="s">
        <v>2408</v>
      </c>
      <c r="E2658" s="333" t="s">
        <v>69</v>
      </c>
      <c r="F2658" s="332"/>
      <c r="G2658" s="334" t="str">
        <f t="array" ref="G2658">IF(B2658="insumo",_xlfn.XLOOKUP($D2658,Insumos!$B$1:$B$996,Insumos!$D$1:$D$996),"")</f>
        <v/>
      </c>
      <c r="H2658" s="334">
        <v>1448.2455</v>
      </c>
      <c r="I2658" s="335" t="e">
        <v>#REF!</v>
      </c>
      <c r="J2658" s="335" t="e">
        <v>#REF!</v>
      </c>
      <c r="K2658" s="335"/>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70</v>
      </c>
      <c r="C2659" s="10" t="s">
        <v>2408</v>
      </c>
      <c r="D2659" s="10" t="s">
        <v>2409</v>
      </c>
      <c r="E2659" s="11" t="str">
        <f t="array" ref="E2659">_xlfn.XLOOKUP(D2659,Insumos!B:B,Insumos!C:$C)</f>
        <v>M2</v>
      </c>
      <c r="F2659" s="14">
        <v>1.1000000000000001</v>
      </c>
      <c r="G2659" s="87">
        <f t="array" ref="G2659">IF(B2659="insumo",_xlfn.XLOOKUP($D2659,Insumos!$B$1:$B$996,Insumos!$D$1:$D$996),"")</f>
        <v>1300</v>
      </c>
      <c r="H2659" s="87">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70</v>
      </c>
      <c r="C2660" s="10" t="s">
        <v>2408</v>
      </c>
      <c r="D2660" s="10" t="s">
        <v>480</v>
      </c>
      <c r="E2660" s="11" t="str">
        <f t="array" ref="E2660">_xlfn.XLOOKUP(D2660,Insumos!B:B,Insumos!C:$C)</f>
        <v>KG</v>
      </c>
      <c r="F2660" s="14">
        <v>9</v>
      </c>
      <c r="G2660" s="87">
        <f t="array" ref="G2660">IF(B2660="insumo",_xlfn.XLOOKUP($D2660,Insumos!$B$1:$B$996,Insumos!$D$1:$D$996),"")</f>
        <v>1.0645</v>
      </c>
      <c r="H2660" s="87">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70</v>
      </c>
      <c r="C2661" s="10" t="s">
        <v>2408</v>
      </c>
      <c r="D2661" s="10" t="s">
        <v>537</v>
      </c>
      <c r="E2661" s="11" t="str">
        <f t="array" ref="E2661">_xlfn.XLOOKUP(D2661,Insumos!B:B,Insumos!C:$C)</f>
        <v>UN</v>
      </c>
      <c r="F2661" s="14">
        <v>0.5</v>
      </c>
      <c r="G2661" s="87">
        <f t="array" ref="G2661">IF(B2661="insumo",_xlfn.XLOOKUP($D2661,Insumos!$B$1:$B$996,Insumos!$D$1:$D$996),"")</f>
        <v>17.329999999999998</v>
      </c>
      <c r="H2661" s="87">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332">
        <v>1</v>
      </c>
      <c r="B2662" s="332" t="s">
        <v>67</v>
      </c>
      <c r="C2662" s="332" t="s">
        <v>2421</v>
      </c>
      <c r="D2662" s="332" t="s">
        <v>2421</v>
      </c>
      <c r="E2662" s="333" t="s">
        <v>69</v>
      </c>
      <c r="F2662" s="332"/>
      <c r="G2662" s="334" t="str">
        <f t="array" ref="G2662">IF(B2662="insumo",_xlfn.XLOOKUP($D2662,Insumos!$B$1:$B$996,Insumos!$D$1:$D$996),"")</f>
        <v/>
      </c>
      <c r="H2662" s="334">
        <v>3538.2455</v>
      </c>
      <c r="I2662" s="335" t="e">
        <v>#REF!</v>
      </c>
      <c r="J2662" s="335" t="e">
        <v>#REF!</v>
      </c>
      <c r="K2662" s="335"/>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70</v>
      </c>
      <c r="C2663" s="10" t="s">
        <v>2421</v>
      </c>
      <c r="D2663" s="10" t="s">
        <v>2422</v>
      </c>
      <c r="E2663" s="11" t="str">
        <f t="array" ref="E2663">_xlfn.XLOOKUP(D2663,Insumos!B:B,Insumos!C:$C)</f>
        <v>M2</v>
      </c>
      <c r="F2663" s="14">
        <v>1.1000000000000001</v>
      </c>
      <c r="G2663" s="87">
        <f t="array" ref="G2663">IF(B2663="insumo",_xlfn.XLOOKUP($D2663,Insumos!$B$1:$B$996,Insumos!$D$1:$D$996),"")</f>
        <v>3200</v>
      </c>
      <c r="H2663" s="87">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70</v>
      </c>
      <c r="C2664" s="10" t="s">
        <v>2421</v>
      </c>
      <c r="D2664" s="10" t="s">
        <v>480</v>
      </c>
      <c r="E2664" s="11" t="str">
        <f t="array" ref="E2664">_xlfn.XLOOKUP(D2664,Insumos!B:B,Insumos!C:$C)</f>
        <v>KG</v>
      </c>
      <c r="F2664" s="14">
        <v>9</v>
      </c>
      <c r="G2664" s="87">
        <f t="array" ref="G2664">IF(B2664="insumo",_xlfn.XLOOKUP($D2664,Insumos!$B$1:$B$996,Insumos!$D$1:$D$996),"")</f>
        <v>1.0645</v>
      </c>
      <c r="H2664" s="87">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70</v>
      </c>
      <c r="C2665" s="10" t="s">
        <v>2421</v>
      </c>
      <c r="D2665" s="10" t="s">
        <v>537</v>
      </c>
      <c r="E2665" s="11" t="str">
        <f t="array" ref="E2665">_xlfn.XLOOKUP(D2665,Insumos!B:B,Insumos!C:$C)</f>
        <v>UN</v>
      </c>
      <c r="F2665" s="14">
        <v>0.5</v>
      </c>
      <c r="G2665" s="87">
        <f t="array" ref="G2665">IF(B2665="insumo",_xlfn.XLOOKUP($D2665,Insumos!$B$1:$B$996,Insumos!$D$1:$D$996),"")</f>
        <v>17.329999999999998</v>
      </c>
      <c r="H2665" s="87">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332">
        <v>1</v>
      </c>
      <c r="B2666" s="332" t="s">
        <v>67</v>
      </c>
      <c r="C2666" s="332" t="s">
        <v>538</v>
      </c>
      <c r="D2666" s="332" t="s">
        <v>538</v>
      </c>
      <c r="E2666" s="333" t="s">
        <v>69</v>
      </c>
      <c r="F2666" s="332"/>
      <c r="G2666" s="334" t="str">
        <f t="array" ref="G2666">IF(B2666="insumo",_xlfn.XLOOKUP($D2666,Insumos!$B$1:$B$996,Insumos!$D$1:$D$996),"")</f>
        <v/>
      </c>
      <c r="H2666" s="334">
        <v>898.24549999999999</v>
      </c>
      <c r="I2666" s="335">
        <v>0</v>
      </c>
      <c r="J2666" s="335">
        <v>0</v>
      </c>
      <c r="K2666" s="335"/>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70</v>
      </c>
      <c r="C2667" s="10" t="s">
        <v>538</v>
      </c>
      <c r="D2667" s="10" t="s">
        <v>530</v>
      </c>
      <c r="E2667" s="11" t="str">
        <f t="array" ref="E2667">_xlfn.XLOOKUP(D2667,Insumos!B:B,Insumos!C:$C)</f>
        <v>M2</v>
      </c>
      <c r="F2667" s="14">
        <v>1.1000000000000001</v>
      </c>
      <c r="G2667" s="87">
        <f t="array" ref="G2667">IF(B2667="insumo",_xlfn.XLOOKUP($D2667,Insumos!$B$1:$B$996,Insumos!$D$1:$D$996),"")</f>
        <v>800</v>
      </c>
      <c r="H2667" s="87">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70</v>
      </c>
      <c r="C2668" s="10" t="s">
        <v>538</v>
      </c>
      <c r="D2668" s="10" t="s">
        <v>480</v>
      </c>
      <c r="E2668" s="11" t="str">
        <f t="array" ref="E2668">_xlfn.XLOOKUP(D2668,Insumos!B:B,Insumos!C:$C)</f>
        <v>KG</v>
      </c>
      <c r="F2668" s="14">
        <v>9</v>
      </c>
      <c r="G2668" s="87">
        <f t="array" ref="G2668">IF(B2668="insumo",_xlfn.XLOOKUP($D2668,Insumos!$B$1:$B$996,Insumos!$D$1:$D$996),"")</f>
        <v>1.0645</v>
      </c>
      <c r="H2668" s="87">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70</v>
      </c>
      <c r="C2669" s="10" t="s">
        <v>538</v>
      </c>
      <c r="D2669" s="10" t="s">
        <v>537</v>
      </c>
      <c r="E2669" s="11" t="str">
        <f t="array" ref="E2669">_xlfn.XLOOKUP(D2669,Insumos!B:B,Insumos!C:$C)</f>
        <v>UN</v>
      </c>
      <c r="F2669" s="14">
        <v>0.5</v>
      </c>
      <c r="G2669" s="87">
        <f t="array" ref="G2669">IF(B2669="insumo",_xlfn.XLOOKUP($D2669,Insumos!$B$1:$B$996,Insumos!$D$1:$D$996),"")</f>
        <v>17.329999999999998</v>
      </c>
      <c r="H2669" s="87">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355">
        <v>1</v>
      </c>
      <c r="B2670" s="355" t="s">
        <v>1227</v>
      </c>
      <c r="C2670" s="355" t="s">
        <v>538</v>
      </c>
      <c r="D2670" s="355" t="s">
        <v>1414</v>
      </c>
      <c r="E2670" s="356"/>
      <c r="F2670" s="357"/>
      <c r="G2670" s="356"/>
      <c r="H2670" s="356">
        <v>0</v>
      </c>
      <c r="I2670" s="357">
        <v>0</v>
      </c>
      <c r="J2670" s="357">
        <v>0</v>
      </c>
      <c r="K2670" s="357"/>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332">
        <v>1</v>
      </c>
      <c r="B2671" s="332" t="s">
        <v>67</v>
      </c>
      <c r="C2671" s="332" t="s">
        <v>1415</v>
      </c>
      <c r="D2671" s="332" t="s">
        <v>1415</v>
      </c>
      <c r="E2671" s="333" t="s">
        <v>69</v>
      </c>
      <c r="F2671" s="332"/>
      <c r="G2671" s="334" t="str">
        <f t="array" ref="G2671">IF(B2671="insumo",_xlfn.XLOOKUP($D2671,Insumos!$B$1:$B$996,Insumos!$D$1:$D$996),"")</f>
        <v/>
      </c>
      <c r="H2671" s="334">
        <v>919.5</v>
      </c>
      <c r="I2671" s="335" t="e">
        <v>#REF!</v>
      </c>
      <c r="J2671" s="335" t="e">
        <v>#REF!</v>
      </c>
      <c r="K2671" s="335"/>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70</v>
      </c>
      <c r="C2672" s="10" t="s">
        <v>1415</v>
      </c>
      <c r="D2672" s="10" t="s">
        <v>1416</v>
      </c>
      <c r="E2672" s="11" t="str">
        <f t="array" ref="E2672">_xlfn.XLOOKUP(D2672,Insumos!B:B,Insumos!C:$C)</f>
        <v>M2</v>
      </c>
      <c r="F2672" s="14">
        <v>1.5</v>
      </c>
      <c r="G2672" s="87">
        <f t="array" ref="G2672">IF(B2672="insumo",_xlfn.XLOOKUP($D2672,Insumos!$B$1:$B$996,Insumos!$D$1:$D$996),"")</f>
        <v>613</v>
      </c>
      <c r="H2672" s="87">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336">
        <v>1</v>
      </c>
      <c r="B2673" s="336" t="s">
        <v>67</v>
      </c>
      <c r="C2673" s="336" t="s">
        <v>1740</v>
      </c>
      <c r="D2673" s="336" t="s">
        <v>1740</v>
      </c>
      <c r="E2673" s="337" t="s">
        <v>69</v>
      </c>
      <c r="F2673" s="336"/>
      <c r="G2673" s="338" t="str">
        <f t="array" ref="G2673">IF(B2673="insumo",_xlfn.XLOOKUP($D2673,Insumos!$B$1:$B$996,Insumos!$D$1:$D$996),"")</f>
        <v/>
      </c>
      <c r="H2673" s="338">
        <v>242</v>
      </c>
      <c r="I2673" s="339">
        <v>0</v>
      </c>
      <c r="J2673" s="339">
        <v>0</v>
      </c>
      <c r="K2673" s="339"/>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77">
        <v>1</v>
      </c>
      <c r="B2674" s="77" t="s">
        <v>70</v>
      </c>
      <c r="C2674" s="77" t="s">
        <v>1740</v>
      </c>
      <c r="D2674" s="77" t="s">
        <v>1740</v>
      </c>
      <c r="E2674" s="11" t="str">
        <f t="array" ref="E2674">_xlfn.XLOOKUP(D2674,Insumos!B:B,Insumos!C:$C)</f>
        <v>M2</v>
      </c>
      <c r="F2674" s="81">
        <v>1.1000000000000001</v>
      </c>
      <c r="G2674" s="87">
        <f t="array" ref="G2674">IF(B2674="insumo",_xlfn.XLOOKUP($D2674,Insumos!$B$1:$B$996,Insumos!$D$1:$D$996),"")</f>
        <v>220</v>
      </c>
      <c r="H2674" s="87">
        <v>242</v>
      </c>
      <c r="I2674" s="79">
        <v>0</v>
      </c>
      <c r="J2674" s="79">
        <v>0</v>
      </c>
      <c r="K2674" s="79"/>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355">
        <v>1</v>
      </c>
      <c r="B2675" s="355" t="s">
        <v>1227</v>
      </c>
      <c r="C2675" s="355" t="s">
        <v>1740</v>
      </c>
      <c r="D2675" s="355" t="s">
        <v>2259</v>
      </c>
      <c r="E2675" s="356"/>
      <c r="F2675" s="357"/>
      <c r="G2675" s="356"/>
      <c r="H2675" s="356">
        <v>0</v>
      </c>
      <c r="I2675" s="357">
        <v>0</v>
      </c>
      <c r="J2675" s="357">
        <v>0</v>
      </c>
      <c r="K2675" s="357"/>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332">
        <v>1</v>
      </c>
      <c r="B2676" s="332" t="s">
        <v>67</v>
      </c>
      <c r="C2676" s="332" t="s">
        <v>2414</v>
      </c>
      <c r="D2676" s="332" t="s">
        <v>2414</v>
      </c>
      <c r="E2676" s="333" t="s">
        <v>69</v>
      </c>
      <c r="F2676" s="332"/>
      <c r="G2676" s="334" t="str">
        <f t="array" ref="G2676">IF(B2676="insumo",_xlfn.XLOOKUP($D2676,Insumos!$B$1:$B$996,Insumos!$D$1:$D$996),"")</f>
        <v/>
      </c>
      <c r="H2676" s="334">
        <v>286.60377358490598</v>
      </c>
      <c r="I2676" s="335" t="e">
        <v>#REF!</v>
      </c>
      <c r="J2676" s="335" t="e">
        <v>#REF!</v>
      </c>
      <c r="K2676" s="335"/>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70</v>
      </c>
      <c r="C2677" s="10" t="s">
        <v>2414</v>
      </c>
      <c r="D2677" s="10" t="s">
        <v>2417</v>
      </c>
      <c r="E2677" s="11" t="str">
        <f t="array" ref="E2677">_xlfn.XLOOKUP(D2677,Insumos!B:B,Insumos!C:$C)</f>
        <v>M2</v>
      </c>
      <c r="F2677" s="14">
        <v>1</v>
      </c>
      <c r="G2677" s="87">
        <f t="array" ref="G2677">IF(B2677="insumo",_xlfn.XLOOKUP($D2677,Insumos!$B$1:$B$996,Insumos!$D$1:$D$996),"")</f>
        <v>50</v>
      </c>
      <c r="H2677" s="87">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70</v>
      </c>
      <c r="C2678" s="10" t="s">
        <v>2414</v>
      </c>
      <c r="D2678" s="10" t="s">
        <v>2418</v>
      </c>
      <c r="E2678" s="11" t="str">
        <f t="array" ref="E2678">_xlfn.XLOOKUP(D2678,Insumos!B:B,Insumos!C:$C)</f>
        <v>M2</v>
      </c>
      <c r="F2678" s="14">
        <v>1.1000000000000001</v>
      </c>
      <c r="G2678" s="87">
        <f t="array" ref="G2678">IF(B2678="insumo",_xlfn.XLOOKUP($D2678,Insumos!$B$1:$B$996,Insumos!$D$1:$D$996),"")</f>
        <v>215.09433962264148</v>
      </c>
      <c r="H2678" s="87">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332">
        <v>1</v>
      </c>
      <c r="B2679" s="332" t="s">
        <v>67</v>
      </c>
      <c r="C2679" s="332" t="s">
        <v>2415</v>
      </c>
      <c r="D2679" s="332" t="s">
        <v>2415</v>
      </c>
      <c r="E2679" s="333" t="s">
        <v>69</v>
      </c>
      <c r="F2679" s="332"/>
      <c r="G2679" s="334" t="str">
        <f t="array" ref="G2679">IF(B2679="insumo",_xlfn.XLOOKUP($D2679,Insumos!$B$1:$B$996,Insumos!$D$1:$D$996),"")</f>
        <v/>
      </c>
      <c r="H2679" s="334">
        <v>268.616352201258</v>
      </c>
      <c r="I2679" s="335" t="e">
        <v>#REF!</v>
      </c>
      <c r="J2679" s="335" t="e">
        <v>#REF!</v>
      </c>
      <c r="K2679" s="335"/>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70</v>
      </c>
      <c r="C2680" s="10" t="s">
        <v>2415</v>
      </c>
      <c r="D2680" s="10" t="s">
        <v>2417</v>
      </c>
      <c r="E2680" s="11" t="str">
        <f t="array" ref="E2680">_xlfn.XLOOKUP(D2680,Insumos!B:B,Insumos!C:$C)</f>
        <v>M2</v>
      </c>
      <c r="F2680" s="14">
        <v>1</v>
      </c>
      <c r="G2680" s="87">
        <f t="array" ref="G2680">IF(B2680="insumo",_xlfn.XLOOKUP($D2680,Insumos!$B$1:$B$996,Insumos!$D$1:$D$996),"")</f>
        <v>50</v>
      </c>
      <c r="H2680" s="87">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70</v>
      </c>
      <c r="C2681" s="10" t="s">
        <v>2415</v>
      </c>
      <c r="D2681" s="10" t="s">
        <v>2419</v>
      </c>
      <c r="E2681" s="11" t="str">
        <f t="array" ref="E2681">_xlfn.XLOOKUP(D2681,Insumos!B:B,Insumos!C:$C)</f>
        <v>M2</v>
      </c>
      <c r="F2681" s="14">
        <v>1.1000000000000001</v>
      </c>
      <c r="G2681" s="87">
        <f t="array" ref="G2681">IF(B2681="insumo",_xlfn.XLOOKUP($D2681,Insumos!$B$1:$B$996,Insumos!$D$1:$D$996),"")</f>
        <v>198.74213836477986</v>
      </c>
      <c r="H2681" s="87">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336">
        <v>1</v>
      </c>
      <c r="B2682" s="336" t="s">
        <v>67</v>
      </c>
      <c r="C2682" s="332" t="s">
        <v>2416</v>
      </c>
      <c r="D2682" s="332" t="s">
        <v>2416</v>
      </c>
      <c r="E2682" s="337" t="s">
        <v>69</v>
      </c>
      <c r="F2682" s="336"/>
      <c r="G2682" s="338" t="str">
        <f t="array" ref="G2682">IF(B2682="insumo",_xlfn.XLOOKUP($D2682,Insumos!$B$1:$B$996,Insumos!$D$1:$D$996),"")</f>
        <v/>
      </c>
      <c r="H2682" s="338">
        <v>328.11320754717002</v>
      </c>
      <c r="I2682" s="339" t="e">
        <v>#REF!</v>
      </c>
      <c r="J2682" s="339" t="e">
        <v>#REF!</v>
      </c>
      <c r="K2682" s="339"/>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70</v>
      </c>
      <c r="C2683" s="10" t="s">
        <v>2416</v>
      </c>
      <c r="D2683" s="10" t="s">
        <v>2417</v>
      </c>
      <c r="E2683" s="11" t="str">
        <f t="array" ref="E2683">_xlfn.XLOOKUP(D2683,Insumos!B:B,Insumos!C:$C)</f>
        <v>M2</v>
      </c>
      <c r="F2683" s="14">
        <v>1</v>
      </c>
      <c r="G2683" s="87">
        <f t="array" ref="G2683">IF(B2683="insumo",_xlfn.XLOOKUP($D2683,Insumos!$B$1:$B$996,Insumos!$D$1:$D$996),"")</f>
        <v>50</v>
      </c>
      <c r="H2683" s="87">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77">
        <v>1</v>
      </c>
      <c r="B2684" s="77" t="s">
        <v>70</v>
      </c>
      <c r="C2684" s="10" t="s">
        <v>2416</v>
      </c>
      <c r="D2684" s="10" t="s">
        <v>2420</v>
      </c>
      <c r="E2684" s="11" t="str">
        <f t="array" ref="E2684">_xlfn.XLOOKUP(D2684,Insumos!B:B,Insumos!C:$C)</f>
        <v>M2</v>
      </c>
      <c r="F2684" s="81">
        <v>1.1000000000000001</v>
      </c>
      <c r="G2684" s="87">
        <f t="array" ref="G2684">IF(B2684="insumo",_xlfn.XLOOKUP($D2684,Insumos!$B$1:$B$996,Insumos!$D$1:$D$996),"")</f>
        <v>252.83018867924525</v>
      </c>
      <c r="H2684" s="87">
        <v>278.11320754717002</v>
      </c>
      <c r="I2684" s="79" t="e">
        <v>#REF!</v>
      </c>
      <c r="J2684" s="79" t="e">
        <v>#REF!</v>
      </c>
      <c r="K2684" s="79"/>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336">
        <v>1</v>
      </c>
      <c r="B2685" s="336" t="s">
        <v>67</v>
      </c>
      <c r="C2685" s="332" t="s">
        <v>2486</v>
      </c>
      <c r="D2685" s="332" t="s">
        <v>2486</v>
      </c>
      <c r="E2685" s="337" t="s">
        <v>69</v>
      </c>
      <c r="F2685" s="336"/>
      <c r="G2685" s="338" t="str">
        <f t="array" ref="G2685">IF(B2685="insumo",_xlfn.XLOOKUP($D2685,Insumos!$B$1:$B$996,Insumos!$D$1:$D$996),"")</f>
        <v/>
      </c>
      <c r="H2685" s="338">
        <v>328.01437556154502</v>
      </c>
      <c r="I2685" s="339" t="e">
        <v>#REF!</v>
      </c>
      <c r="J2685" s="339" t="e">
        <v>#REF!</v>
      </c>
      <c r="K2685" s="339"/>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70</v>
      </c>
      <c r="C2686" s="10" t="s">
        <v>2486</v>
      </c>
      <c r="D2686" s="10" t="s">
        <v>2417</v>
      </c>
      <c r="E2686" s="11" t="str">
        <f t="array" ref="E2686">_xlfn.XLOOKUP(D2686,Insumos!B:B,Insumos!C:$C)</f>
        <v>M2</v>
      </c>
      <c r="F2686" s="14">
        <v>1</v>
      </c>
      <c r="G2686" s="87">
        <f t="array" ref="G2686">IF(B2686="insumo",_xlfn.XLOOKUP($D2686,Insumos!$B$1:$B$996,Insumos!$D$1:$D$996),"")</f>
        <v>50</v>
      </c>
      <c r="H2686" s="87">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77">
        <v>1</v>
      </c>
      <c r="B2687" s="77" t="s">
        <v>70</v>
      </c>
      <c r="C2687" s="10" t="s">
        <v>2486</v>
      </c>
      <c r="D2687" s="10" t="s">
        <v>2485</v>
      </c>
      <c r="E2687" s="11" t="str">
        <f t="array" ref="E2687">_xlfn.XLOOKUP(D2687,Insumos!B:B,Insumos!C:$C)</f>
        <v>M2</v>
      </c>
      <c r="F2687" s="81">
        <v>1.1000000000000001</v>
      </c>
      <c r="G2687" s="87">
        <f t="array" ref="G2687">IF(B2687="insumo",_xlfn.XLOOKUP($D2687,Insumos!$B$1:$B$996,Insumos!$D$1:$D$996),"")</f>
        <v>252.74034141958668</v>
      </c>
      <c r="H2687" s="87">
        <v>278.01437556154502</v>
      </c>
      <c r="I2687" s="79" t="e">
        <v>#REF!</v>
      </c>
      <c r="J2687" s="79" t="e">
        <v>#REF!</v>
      </c>
      <c r="K2687" s="79"/>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336">
        <v>1</v>
      </c>
      <c r="B2688" s="336" t="s">
        <v>67</v>
      </c>
      <c r="C2688" s="332" t="s">
        <v>2944</v>
      </c>
      <c r="D2688" s="332" t="s">
        <v>2944</v>
      </c>
      <c r="E2688" s="337" t="s">
        <v>69</v>
      </c>
      <c r="F2688" s="336"/>
      <c r="G2688" s="338" t="str">
        <f t="array" ref="G2688">IF(B2688="insumo",_xlfn.XLOOKUP($D2688,Insumos!$B$1:$B$996,Insumos!$D$1:$D$996),"")</f>
        <v/>
      </c>
      <c r="H2688" s="338">
        <v>346.76380368098199</v>
      </c>
      <c r="I2688" s="339" t="e">
        <v>#REF!</v>
      </c>
      <c r="J2688" s="339" t="e">
        <v>#REF!</v>
      </c>
      <c r="K2688" s="339"/>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70</v>
      </c>
      <c r="C2689" s="10" t="s">
        <v>2944</v>
      </c>
      <c r="D2689" s="10" t="s">
        <v>2417</v>
      </c>
      <c r="E2689" s="11" t="str">
        <f t="array" ref="E2689">_xlfn.XLOOKUP(D2689,Insumos!B:B,Insumos!C:$C)</f>
        <v>M2</v>
      </c>
      <c r="F2689" s="14">
        <v>1</v>
      </c>
      <c r="G2689" s="87">
        <f t="array" ref="G2689">IF(B2689="insumo",_xlfn.XLOOKUP($D2689,Insumos!$B$1:$B$996,Insumos!$D$1:$D$996),"")</f>
        <v>50</v>
      </c>
      <c r="H2689" s="87">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77">
        <v>1</v>
      </c>
      <c r="B2690" s="77" t="s">
        <v>70</v>
      </c>
      <c r="C2690" s="10" t="s">
        <v>2944</v>
      </c>
      <c r="D2690" s="10" t="s">
        <v>2946</v>
      </c>
      <c r="E2690" s="11" t="str">
        <f t="array" ref="E2690">_xlfn.XLOOKUP(D2690,Insumos!B:B,Insumos!C:$C)</f>
        <v>M2</v>
      </c>
      <c r="F2690" s="81">
        <v>1.1000000000000001</v>
      </c>
      <c r="G2690" s="87">
        <f t="array" ref="G2690">IF(B2690="insumo",_xlfn.XLOOKUP($D2690,Insumos!$B$1:$B$996,Insumos!$D$1:$D$996),"")</f>
        <v>269.78527607361963</v>
      </c>
      <c r="H2690" s="87">
        <v>296.76380368098199</v>
      </c>
      <c r="I2690" s="79" t="e">
        <v>#REF!</v>
      </c>
      <c r="J2690" s="79" t="e">
        <v>#REF!</v>
      </c>
      <c r="K2690" s="79"/>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355">
        <v>1</v>
      </c>
      <c r="B2691" s="355" t="s">
        <v>1227</v>
      </c>
      <c r="C2691" s="355" t="s">
        <v>2944</v>
      </c>
      <c r="D2691" s="355" t="s">
        <v>1384</v>
      </c>
      <c r="E2691" s="356"/>
      <c r="F2691" s="357"/>
      <c r="G2691" s="356"/>
      <c r="H2691" s="356">
        <v>0</v>
      </c>
      <c r="I2691" s="357">
        <v>0</v>
      </c>
      <c r="J2691" s="357">
        <v>0</v>
      </c>
      <c r="K2691" s="357"/>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332">
        <v>1</v>
      </c>
      <c r="B2692" s="332" t="s">
        <v>67</v>
      </c>
      <c r="C2692" s="332" t="s">
        <v>525</v>
      </c>
      <c r="D2692" s="332" t="s">
        <v>525</v>
      </c>
      <c r="E2692" s="333" t="s">
        <v>69</v>
      </c>
      <c r="F2692" s="332"/>
      <c r="G2692" s="334" t="str">
        <f t="array" ref="G2692">IF(B2692="insumo",_xlfn.XLOOKUP($D2692,Insumos!$B$1:$B$996,Insumos!$D$1:$D$996),"")</f>
        <v/>
      </c>
      <c r="H2692" s="334">
        <v>513.15470000000005</v>
      </c>
      <c r="I2692" s="335">
        <v>0</v>
      </c>
      <c r="J2692" s="335">
        <v>0</v>
      </c>
      <c r="K2692" s="335"/>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70</v>
      </c>
      <c r="C2693" s="10" t="s">
        <v>525</v>
      </c>
      <c r="D2693" s="10" t="s">
        <v>526</v>
      </c>
      <c r="E2693" s="11" t="str">
        <f t="array" ref="E2693">_xlfn.XLOOKUP(D2693,Insumos!B:B,Insumos!C:$C)</f>
        <v>M2</v>
      </c>
      <c r="F2693" s="14">
        <v>1.05</v>
      </c>
      <c r="G2693" s="87">
        <f t="array" ref="G2693">IF(B2693="insumo",_xlfn.XLOOKUP($D2693,Insumos!$B$1:$B$996,Insumos!$D$1:$D$996),"")</f>
        <v>480</v>
      </c>
      <c r="H2693" s="87">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70</v>
      </c>
      <c r="C2694" s="10" t="s">
        <v>525</v>
      </c>
      <c r="D2694" s="10" t="s">
        <v>480</v>
      </c>
      <c r="E2694" s="11" t="str">
        <f t="array" ref="E2694">_xlfn.XLOOKUP(D2694,Insumos!B:B,Insumos!C:$C)</f>
        <v>KG</v>
      </c>
      <c r="F2694" s="14">
        <v>8.6</v>
      </c>
      <c r="G2694" s="87">
        <f t="array" ref="G2694">IF(B2694="insumo",_xlfn.XLOOKUP($D2694,Insumos!$B$1:$B$996,Insumos!$D$1:$D$996),"")</f>
        <v>1.0645</v>
      </c>
      <c r="H2694" s="87">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332">
        <v>1</v>
      </c>
      <c r="B2695" s="332" t="s">
        <v>67</v>
      </c>
      <c r="C2695" s="332" t="s">
        <v>1418</v>
      </c>
      <c r="D2695" s="332" t="s">
        <v>1418</v>
      </c>
      <c r="E2695" s="333" t="s">
        <v>69</v>
      </c>
      <c r="F2695" s="332"/>
      <c r="G2695" s="334" t="str">
        <f t="array" ref="G2695">IF(B2695="insumo",_xlfn.XLOOKUP($D2695,Insumos!$B$1:$B$996,Insumos!$D$1:$D$996),"")</f>
        <v/>
      </c>
      <c r="H2695" s="334">
        <v>692.08050000000003</v>
      </c>
      <c r="I2695" s="335">
        <v>0</v>
      </c>
      <c r="J2695" s="335">
        <v>0</v>
      </c>
      <c r="K2695" s="335"/>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70</v>
      </c>
      <c r="C2696" s="10" t="s">
        <v>1418</v>
      </c>
      <c r="D2696" s="10" t="s">
        <v>1419</v>
      </c>
      <c r="E2696" s="11" t="str">
        <f t="array" ref="E2696">_xlfn.XLOOKUP(D2696,Insumos!B:B,Insumos!C:$C)</f>
        <v>M2</v>
      </c>
      <c r="F2696" s="14">
        <v>1.05</v>
      </c>
      <c r="G2696" s="87">
        <f t="array" ref="G2696">IF(B2696="insumo",_xlfn.XLOOKUP($D2696,Insumos!$B$1:$B$996,Insumos!$D$1:$D$996),"")</f>
        <v>650</v>
      </c>
      <c r="H2696" s="87">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70</v>
      </c>
      <c r="C2697" s="10" t="s">
        <v>1418</v>
      </c>
      <c r="D2697" s="10" t="s">
        <v>480</v>
      </c>
      <c r="E2697" s="11" t="str">
        <f t="array" ref="E2697">_xlfn.XLOOKUP(D2697,Insumos!B:B,Insumos!C:$C)</f>
        <v>KG</v>
      </c>
      <c r="F2697" s="14">
        <f>9</f>
        <v>9</v>
      </c>
      <c r="G2697" s="87">
        <f t="array" ref="G2697">IF(B2697="insumo",_xlfn.XLOOKUP($D2697,Insumos!$B$1:$B$996,Insumos!$D$1:$D$996),"")</f>
        <v>1.0645</v>
      </c>
      <c r="H2697" s="87">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332">
        <v>1</v>
      </c>
      <c r="B2698" s="332" t="s">
        <v>67</v>
      </c>
      <c r="C2698" s="332" t="s">
        <v>527</v>
      </c>
      <c r="D2698" s="332" t="s">
        <v>527</v>
      </c>
      <c r="E2698" s="333" t="s">
        <v>112</v>
      </c>
      <c r="F2698" s="332"/>
      <c r="G2698" s="334" t="str">
        <f t="array" ref="G2698">IF(B2698="insumo",_xlfn.XLOOKUP($D2698,Insumos!$B$1:$B$996,Insumos!$D$1:$D$996),"")</f>
        <v/>
      </c>
      <c r="H2698" s="334">
        <v>205.98615000000001</v>
      </c>
      <c r="I2698" s="335">
        <v>0</v>
      </c>
      <c r="J2698" s="335">
        <v>0</v>
      </c>
      <c r="K2698" s="335"/>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70</v>
      </c>
      <c r="C2699" s="10" t="s">
        <v>527</v>
      </c>
      <c r="D2699" s="10" t="s">
        <v>528</v>
      </c>
      <c r="E2699" s="11" t="str">
        <f t="array" ref="E2699">_xlfn.XLOOKUP(D2699,Insumos!B:B,Insumos!C:$C)</f>
        <v>M2</v>
      </c>
      <c r="F2699" s="14">
        <f>0.3*1.0416</f>
        <v>0.31248000000000004</v>
      </c>
      <c r="G2699" s="87">
        <f t="array" ref="G2699">IF(B2699="insumo",_xlfn.XLOOKUP($D2699,Insumos!$B$1:$B$996,Insumos!$D$1:$D$996),"")</f>
        <v>650</v>
      </c>
      <c r="H2699" s="87">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70</v>
      </c>
      <c r="C2700" s="10" t="s">
        <v>527</v>
      </c>
      <c r="D2700" s="10" t="s">
        <v>480</v>
      </c>
      <c r="E2700" s="11" t="str">
        <f t="array" ref="E2700">_xlfn.XLOOKUP(D2700,Insumos!B:B,Insumos!C:$C)</f>
        <v>KG</v>
      </c>
      <c r="F2700" s="14">
        <f>9*0.3</f>
        <v>2.6999999999999997</v>
      </c>
      <c r="G2700" s="87">
        <f t="array" ref="G2700">IF(B2700="insumo",_xlfn.XLOOKUP($D2700,Insumos!$B$1:$B$996,Insumos!$D$1:$D$996),"")</f>
        <v>1.0645</v>
      </c>
      <c r="H2700" s="87">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332">
        <v>1</v>
      </c>
      <c r="B2701" s="332" t="s">
        <v>67</v>
      </c>
      <c r="C2701" s="332" t="s">
        <v>2423</v>
      </c>
      <c r="D2701" s="332" t="s">
        <v>2423</v>
      </c>
      <c r="E2701" s="333" t="s">
        <v>69</v>
      </c>
      <c r="F2701" s="332"/>
      <c r="G2701" s="334" t="str">
        <f t="array" ref="G2701">IF(B2701="insumo",_xlfn.XLOOKUP($D2701,Insumos!$B$1:$B$996,Insumos!$D$1:$D$996),"")</f>
        <v/>
      </c>
      <c r="H2701" s="334">
        <v>1374.1547</v>
      </c>
      <c r="I2701" s="335" t="e">
        <v>#REF!</v>
      </c>
      <c r="J2701" s="335" t="e">
        <v>#REF!</v>
      </c>
      <c r="K2701" s="335"/>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70</v>
      </c>
      <c r="C2702" s="10" t="s">
        <v>2423</v>
      </c>
      <c r="D2702" s="10" t="s">
        <v>2409</v>
      </c>
      <c r="E2702" s="11" t="str">
        <f t="array" ref="E2702">_xlfn.XLOOKUP(D2702,Insumos!B:B,Insumos!C:$C)</f>
        <v>M2</v>
      </c>
      <c r="F2702" s="14">
        <v>1.05</v>
      </c>
      <c r="G2702" s="87">
        <f t="array" ref="G2702">IF(B2702="insumo",_xlfn.XLOOKUP($D2702,Insumos!$B$1:$B$996,Insumos!$D$1:$D$996),"")</f>
        <v>1300</v>
      </c>
      <c r="H2702" s="87">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70</v>
      </c>
      <c r="C2703" s="10" t="s">
        <v>2423</v>
      </c>
      <c r="D2703" s="10" t="s">
        <v>480</v>
      </c>
      <c r="E2703" s="11" t="str">
        <f t="array" ref="E2703">_xlfn.XLOOKUP(D2703,Insumos!B:B,Insumos!C:$C)</f>
        <v>KG</v>
      </c>
      <c r="F2703" s="14">
        <v>8.6</v>
      </c>
      <c r="G2703" s="87">
        <f t="array" ref="G2703">IF(B2703="insumo",_xlfn.XLOOKUP($D2703,Insumos!$B$1:$B$996,Insumos!$D$1:$D$996),"")</f>
        <v>1.0645</v>
      </c>
      <c r="H2703" s="87">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332">
        <v>1</v>
      </c>
      <c r="B2704" s="332" t="s">
        <v>67</v>
      </c>
      <c r="C2704" s="332" t="s">
        <v>529</v>
      </c>
      <c r="D2704" s="332" t="s">
        <v>529</v>
      </c>
      <c r="E2704" s="333" t="s">
        <v>69</v>
      </c>
      <c r="F2704" s="332"/>
      <c r="G2704" s="334" t="str">
        <f t="array" ref="G2704">IF(B2704="insumo",_xlfn.XLOOKUP($D2704,Insumos!$B$1:$B$996,Insumos!$D$1:$D$996),"")</f>
        <v/>
      </c>
      <c r="H2704" s="334">
        <v>849.15470000000005</v>
      </c>
      <c r="I2704" s="335" t="e">
        <v>#REF!</v>
      </c>
      <c r="J2704" s="335" t="e">
        <v>#REF!</v>
      </c>
      <c r="K2704" s="335"/>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70</v>
      </c>
      <c r="C2705" s="10" t="s">
        <v>529</v>
      </c>
      <c r="D2705" s="10" t="s">
        <v>530</v>
      </c>
      <c r="E2705" s="11" t="str">
        <f t="array" ref="E2705">_xlfn.XLOOKUP(D2705,Insumos!B:B,Insumos!C:$C)</f>
        <v>M2</v>
      </c>
      <c r="F2705" s="14">
        <v>1.05</v>
      </c>
      <c r="G2705" s="87">
        <f t="array" ref="G2705">IF(B2705="insumo",_xlfn.XLOOKUP($D2705,Insumos!$B$1:$B$996,Insumos!$D$1:$D$996),"")</f>
        <v>800</v>
      </c>
      <c r="H2705" s="87">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70</v>
      </c>
      <c r="C2706" s="10" t="s">
        <v>529</v>
      </c>
      <c r="D2706" s="10" t="s">
        <v>480</v>
      </c>
      <c r="E2706" s="11" t="str">
        <f t="array" ref="E2706">_xlfn.XLOOKUP(D2706,Insumos!B:B,Insumos!C:$C)</f>
        <v>KG</v>
      </c>
      <c r="F2706" s="14">
        <v>8.6</v>
      </c>
      <c r="G2706" s="87">
        <f t="array" ref="G2706">IF(B2706="insumo",_xlfn.XLOOKUP($D2706,Insumos!$B$1:$B$996,Insumos!$D$1:$D$996),"")</f>
        <v>1.0645</v>
      </c>
      <c r="H2706" s="87">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332">
        <v>1</v>
      </c>
      <c r="B2707" s="332" t="s">
        <v>67</v>
      </c>
      <c r="C2707" s="332" t="s">
        <v>531</v>
      </c>
      <c r="D2707" s="332" t="s">
        <v>531</v>
      </c>
      <c r="E2707" s="333" t="s">
        <v>112</v>
      </c>
      <c r="F2707" s="332"/>
      <c r="G2707" s="334" t="str">
        <f t="array" ref="G2707">IF(B2707="insumo",_xlfn.XLOOKUP($D2707,Insumos!$B$1:$B$996,Insumos!$D$1:$D$996),"")</f>
        <v/>
      </c>
      <c r="H2707" s="334">
        <v>205.98615000000001</v>
      </c>
      <c r="I2707" s="335">
        <v>0</v>
      </c>
      <c r="J2707" s="335">
        <v>0</v>
      </c>
      <c r="K2707" s="335"/>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70</v>
      </c>
      <c r="C2708" s="10" t="s">
        <v>531</v>
      </c>
      <c r="D2708" s="10" t="s">
        <v>528</v>
      </c>
      <c r="E2708" s="11" t="str">
        <f t="array" ref="E2708">_xlfn.XLOOKUP(D2708,Insumos!B:B,Insumos!C:$C)</f>
        <v>M2</v>
      </c>
      <c r="F2708" s="14">
        <f>0.3*1.0416</f>
        <v>0.31248000000000004</v>
      </c>
      <c r="G2708" s="87">
        <f t="array" ref="G2708">IF(B2708="insumo",_xlfn.XLOOKUP($D2708,Insumos!$B$1:$B$996,Insumos!$D$1:$D$996),"")</f>
        <v>650</v>
      </c>
      <c r="H2708" s="87">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70</v>
      </c>
      <c r="C2709" s="10" t="s">
        <v>531</v>
      </c>
      <c r="D2709" s="10" t="s">
        <v>480</v>
      </c>
      <c r="E2709" s="11" t="str">
        <f t="array" ref="E2709">_xlfn.XLOOKUP(D2709,Insumos!B:B,Insumos!C:$C)</f>
        <v>KG</v>
      </c>
      <c r="F2709" s="14">
        <f>9*0.3</f>
        <v>2.6999999999999997</v>
      </c>
      <c r="G2709" s="87">
        <f t="array" ref="G2709">IF(B2709="insumo",_xlfn.XLOOKUP($D2709,Insumos!$B$1:$B$996,Insumos!$D$1:$D$996),"")</f>
        <v>1.0645</v>
      </c>
      <c r="H2709" s="87">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332">
        <v>1</v>
      </c>
      <c r="B2710" s="332" t="s">
        <v>67</v>
      </c>
      <c r="C2710" s="332" t="s">
        <v>532</v>
      </c>
      <c r="D2710" s="332" t="s">
        <v>532</v>
      </c>
      <c r="E2710" s="333" t="s">
        <v>533</v>
      </c>
      <c r="F2710" s="332"/>
      <c r="G2710" s="334" t="str">
        <f t="array" ref="G2710">IF(B2710="insumo",_xlfn.XLOOKUP($D2710,Insumos!$B$1:$B$996,Insumos!$D$1:$D$996),"")</f>
        <v/>
      </c>
      <c r="H2710" s="334">
        <v>413.85149999999999</v>
      </c>
      <c r="I2710" s="335">
        <v>0</v>
      </c>
      <c r="J2710" s="335">
        <v>0</v>
      </c>
      <c r="K2710" s="335"/>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70</v>
      </c>
      <c r="C2711" s="10" t="s">
        <v>532</v>
      </c>
      <c r="D2711" s="10" t="s">
        <v>534</v>
      </c>
      <c r="E2711" s="11" t="str">
        <f t="array" ref="E2711">_xlfn.XLOOKUP(D2711,Insumos!B:B,Insumos!C:$C)</f>
        <v>UN</v>
      </c>
      <c r="F2711" s="14">
        <v>1</v>
      </c>
      <c r="G2711" s="87">
        <f t="array" ref="G2711">IF(B2711="insumo",_xlfn.XLOOKUP($D2711,Insumos!$B$1:$B$996,Insumos!$D$1:$D$996),"")</f>
        <v>409</v>
      </c>
      <c r="H2711" s="87">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70</v>
      </c>
      <c r="C2712" s="10" t="s">
        <v>532</v>
      </c>
      <c r="D2712" s="10" t="s">
        <v>480</v>
      </c>
      <c r="E2712" s="11" t="str">
        <f t="array" ref="E2712">_xlfn.XLOOKUP(D2712,Insumos!B:B,Insumos!C:$C)</f>
        <v>KG</v>
      </c>
      <c r="F2712" s="14">
        <v>3</v>
      </c>
      <c r="G2712" s="87">
        <f t="array" ref="G2712">IF(B2712="insumo",_xlfn.XLOOKUP($D2712,Insumos!$B$1:$B$996,Insumos!$D$1:$D$996),"")</f>
        <v>1.0645</v>
      </c>
      <c r="H2712" s="87">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70</v>
      </c>
      <c r="C2713" s="10" t="s">
        <v>532</v>
      </c>
      <c r="D2713" s="10" t="s">
        <v>505</v>
      </c>
      <c r="E2713" s="11" t="str">
        <f t="array" ref="E2713">_xlfn.XLOOKUP(D2713,Insumos!B:B,Insumos!C:$C)</f>
        <v>UN</v>
      </c>
      <c r="F2713" s="14">
        <v>4</v>
      </c>
      <c r="G2713" s="87">
        <f t="array" ref="G2713">IF(B2713="insumo",_xlfn.XLOOKUP($D2713,Insumos!$B$1:$B$996,Insumos!$D$1:$D$996),"")</f>
        <v>0.08</v>
      </c>
      <c r="H2713" s="87">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70</v>
      </c>
      <c r="C2714" s="10" t="s">
        <v>532</v>
      </c>
      <c r="D2714" s="10" t="s">
        <v>506</v>
      </c>
      <c r="E2714" s="11" t="str">
        <f t="array" ref="E2714">_xlfn.XLOOKUP(D2714,Insumos!B:B,Insumos!C:$C)</f>
        <v>KG</v>
      </c>
      <c r="F2714" s="14">
        <v>0.12</v>
      </c>
      <c r="G2714" s="87">
        <f t="array" ref="G2714">IF(B2714="insumo",_xlfn.XLOOKUP($D2714,Insumos!$B$1:$B$996,Insumos!$D$1:$D$996),"")</f>
        <v>11.15</v>
      </c>
      <c r="H2714" s="87">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332">
        <v>1</v>
      </c>
      <c r="B2715" s="332" t="s">
        <v>67</v>
      </c>
      <c r="C2715" s="332" t="s">
        <v>535</v>
      </c>
      <c r="D2715" s="332" t="s">
        <v>535</v>
      </c>
      <c r="E2715" s="333" t="s">
        <v>69</v>
      </c>
      <c r="F2715" s="332"/>
      <c r="G2715" s="334" t="str">
        <f t="array" ref="G2715">IF(B2715="insumo",_xlfn.XLOOKUP($D2715,Insumos!$B$1:$B$996,Insumos!$D$1:$D$996),"")</f>
        <v/>
      </c>
      <c r="H2715" s="334">
        <v>232.74549999999999</v>
      </c>
      <c r="I2715" s="335">
        <v>0</v>
      </c>
      <c r="J2715" s="335">
        <v>0</v>
      </c>
      <c r="K2715" s="335"/>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70</v>
      </c>
      <c r="C2716" s="10" t="s">
        <v>535</v>
      </c>
      <c r="D2716" s="10" t="s">
        <v>536</v>
      </c>
      <c r="E2716" s="11" t="str">
        <f t="array" ref="E2716">_xlfn.XLOOKUP(D2716,Insumos!B:B,Insumos!C:$C)</f>
        <v>M2</v>
      </c>
      <c r="F2716" s="14">
        <v>1.1000000000000001</v>
      </c>
      <c r="G2716" s="87">
        <f t="array" ref="G2716">IF(B2716="insumo",_xlfn.XLOOKUP($D2716,Insumos!$B$1:$B$996,Insumos!$D$1:$D$996),"")</f>
        <v>195</v>
      </c>
      <c r="H2716" s="87">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70</v>
      </c>
      <c r="C2717" s="10" t="s">
        <v>535</v>
      </c>
      <c r="D2717" s="10" t="s">
        <v>480</v>
      </c>
      <c r="E2717" s="11" t="str">
        <f t="array" ref="E2717">_xlfn.XLOOKUP(D2717,Insumos!B:B,Insumos!C:$C)</f>
        <v>KG</v>
      </c>
      <c r="F2717" s="14">
        <v>9</v>
      </c>
      <c r="G2717" s="87">
        <f t="array" ref="G2717">IF(B2717="insumo",_xlfn.XLOOKUP($D2717,Insumos!$B$1:$B$996,Insumos!$D$1:$D$996),"")</f>
        <v>1.0645</v>
      </c>
      <c r="H2717" s="87">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70</v>
      </c>
      <c r="C2718" s="10" t="s">
        <v>535</v>
      </c>
      <c r="D2718" s="10" t="s">
        <v>537</v>
      </c>
      <c r="E2718" s="11" t="str">
        <f t="array" ref="E2718">_xlfn.XLOOKUP(D2718,Insumos!B:B,Insumos!C:$C)</f>
        <v>UN</v>
      </c>
      <c r="F2718" s="14">
        <v>0.5</v>
      </c>
      <c r="G2718" s="87">
        <f t="array" ref="G2718">IF(B2718="insumo",_xlfn.XLOOKUP($D2718,Insumos!$B$1:$B$996,Insumos!$D$1:$D$996),"")</f>
        <v>17.329999999999998</v>
      </c>
      <c r="H2718" s="87">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336">
        <v>1</v>
      </c>
      <c r="B2719" s="336" t="s">
        <v>67</v>
      </c>
      <c r="C2719" s="336" t="s">
        <v>1778</v>
      </c>
      <c r="D2719" s="336" t="s">
        <v>1778</v>
      </c>
      <c r="E2719" s="337" t="s">
        <v>69</v>
      </c>
      <c r="F2719" s="336"/>
      <c r="G2719" s="338" t="str">
        <f t="array" ref="G2719">IF(B2719="insumo",_xlfn.XLOOKUP($D2719,Insumos!$B$1:$B$996,Insumos!$D$1:$D$996),"")</f>
        <v/>
      </c>
      <c r="H2719" s="338">
        <v>691.65470000000005</v>
      </c>
      <c r="I2719" s="339">
        <v>0</v>
      </c>
      <c r="J2719" s="339">
        <v>0</v>
      </c>
      <c r="K2719" s="339"/>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77">
        <v>4</v>
      </c>
      <c r="B2720" s="77" t="s">
        <v>70</v>
      </c>
      <c r="C2720" s="77" t="s">
        <v>1778</v>
      </c>
      <c r="D2720" s="77" t="s">
        <v>1779</v>
      </c>
      <c r="E2720" s="11" t="str">
        <f t="array" ref="E2720">_xlfn.XLOOKUP(D2720,Insumos!B:B,Insumos!C:$C)</f>
        <v>M2</v>
      </c>
      <c r="F2720" s="81">
        <v>1.05</v>
      </c>
      <c r="G2720" s="87">
        <f t="array" ref="G2720">IF(B2720="insumo",_xlfn.XLOOKUP($D2720,Insumos!$B$1:$B$996,Insumos!$D$1:$D$996),"")</f>
        <v>650</v>
      </c>
      <c r="H2720" s="87">
        <v>682.5</v>
      </c>
      <c r="I2720" s="79">
        <v>0</v>
      </c>
      <c r="J2720" s="79">
        <v>0</v>
      </c>
      <c r="K2720" s="79"/>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77">
        <v>191</v>
      </c>
      <c r="B2721" s="77" t="s">
        <v>70</v>
      </c>
      <c r="C2721" s="77" t="s">
        <v>1778</v>
      </c>
      <c r="D2721" s="77" t="s">
        <v>480</v>
      </c>
      <c r="E2721" s="11" t="str">
        <f t="array" ref="E2721">_xlfn.XLOOKUP(D2721,Insumos!B:B,Insumos!C:$C)</f>
        <v>KG</v>
      </c>
      <c r="F2721" s="81">
        <v>8.6</v>
      </c>
      <c r="G2721" s="87">
        <f t="array" ref="G2721">IF(B2721="insumo",_xlfn.XLOOKUP($D2721,Insumos!$B$1:$B$996,Insumos!$D$1:$D$996),"")</f>
        <v>1.0645</v>
      </c>
      <c r="H2721" s="87">
        <v>9.1547000000000001</v>
      </c>
      <c r="I2721" s="79">
        <v>0</v>
      </c>
      <c r="J2721" s="79">
        <v>0</v>
      </c>
      <c r="K2721" s="79"/>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336">
        <v>1</v>
      </c>
      <c r="B2722" s="336" t="s">
        <v>67</v>
      </c>
      <c r="C2722" s="336" t="s">
        <v>1780</v>
      </c>
      <c r="D2722" s="336" t="s">
        <v>1780</v>
      </c>
      <c r="E2722" s="337" t="s">
        <v>69</v>
      </c>
      <c r="F2722" s="336"/>
      <c r="G2722" s="338" t="str">
        <f t="array" ref="G2722">IF(B2722="insumo",_xlfn.XLOOKUP($D2722,Insumos!$B$1:$B$996,Insumos!$D$1:$D$996),"")</f>
        <v/>
      </c>
      <c r="H2722" s="338">
        <v>691.65470000000005</v>
      </c>
      <c r="I2722" s="339">
        <v>0</v>
      </c>
      <c r="J2722" s="339">
        <v>0</v>
      </c>
      <c r="K2722" s="339"/>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77">
        <v>4</v>
      </c>
      <c r="B2723" s="77" t="s">
        <v>70</v>
      </c>
      <c r="C2723" s="77" t="s">
        <v>1780</v>
      </c>
      <c r="D2723" s="77" t="s">
        <v>1779</v>
      </c>
      <c r="E2723" s="11" t="str">
        <f t="array" ref="E2723">_xlfn.XLOOKUP(D2723,Insumos!B:B,Insumos!C:$C)</f>
        <v>M2</v>
      </c>
      <c r="F2723" s="81">
        <v>1.05</v>
      </c>
      <c r="G2723" s="87">
        <f t="array" ref="G2723">IF(B2723="insumo",_xlfn.XLOOKUP($D2723,Insumos!$B$1:$B$996,Insumos!$D$1:$D$996),"")</f>
        <v>650</v>
      </c>
      <c r="H2723" s="87">
        <v>682.5</v>
      </c>
      <c r="I2723" s="79">
        <v>0</v>
      </c>
      <c r="J2723" s="79">
        <v>0</v>
      </c>
      <c r="K2723" s="79"/>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77">
        <v>191</v>
      </c>
      <c r="B2724" s="77" t="s">
        <v>70</v>
      </c>
      <c r="C2724" s="77" t="s">
        <v>1780</v>
      </c>
      <c r="D2724" s="77" t="s">
        <v>480</v>
      </c>
      <c r="E2724" s="11" t="str">
        <f t="array" ref="E2724">_xlfn.XLOOKUP(D2724,Insumos!B:B,Insumos!C:$C)</f>
        <v>KG</v>
      </c>
      <c r="F2724" s="81">
        <v>8.6</v>
      </c>
      <c r="G2724" s="87">
        <f t="array" ref="G2724">IF(B2724="insumo",_xlfn.XLOOKUP($D2724,Insumos!$B$1:$B$996,Insumos!$D$1:$D$996),"")</f>
        <v>1.0645</v>
      </c>
      <c r="H2724" s="87">
        <v>9.1547000000000001</v>
      </c>
      <c r="I2724" s="79">
        <v>0</v>
      </c>
      <c r="J2724" s="79">
        <v>0</v>
      </c>
      <c r="K2724" s="79"/>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336">
        <v>1</v>
      </c>
      <c r="B2725" s="336" t="s">
        <v>67</v>
      </c>
      <c r="C2725" s="336" t="s">
        <v>1781</v>
      </c>
      <c r="D2725" s="336" t="s">
        <v>1781</v>
      </c>
      <c r="E2725" s="337" t="s">
        <v>69</v>
      </c>
      <c r="F2725" s="336"/>
      <c r="G2725" s="338" t="str">
        <f t="array" ref="G2725">IF(B2725="insumo",_xlfn.XLOOKUP($D2725,Insumos!$B$1:$B$996,Insumos!$D$1:$D$996),"")</f>
        <v/>
      </c>
      <c r="H2725" s="338">
        <v>288.34969999999998</v>
      </c>
      <c r="I2725" s="339">
        <v>0</v>
      </c>
      <c r="J2725" s="339">
        <v>0</v>
      </c>
      <c r="K2725" s="339"/>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77">
        <v>1</v>
      </c>
      <c r="B2726" s="77" t="s">
        <v>70</v>
      </c>
      <c r="C2726" s="77" t="s">
        <v>1781</v>
      </c>
      <c r="D2726" s="77" t="s">
        <v>1782</v>
      </c>
      <c r="E2726" s="11" t="str">
        <f t="array" ref="E2726">_xlfn.XLOOKUP(D2726,Insumos!B:B,Insumos!C:$C)</f>
        <v>M2</v>
      </c>
      <c r="F2726" s="81">
        <v>1.05</v>
      </c>
      <c r="G2726" s="87">
        <f t="array" ref="G2726">IF(B2726="insumo",_xlfn.XLOOKUP($D2726,Insumos!$B$1:$B$996,Insumos!$D$1:$D$996),"")</f>
        <v>265.89999999999998</v>
      </c>
      <c r="H2726" s="87">
        <v>279.19499999999999</v>
      </c>
      <c r="I2726" s="79">
        <v>0</v>
      </c>
      <c r="J2726" s="79">
        <v>0</v>
      </c>
      <c r="K2726" s="79"/>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77">
        <v>191</v>
      </c>
      <c r="B2727" s="77" t="s">
        <v>70</v>
      </c>
      <c r="C2727" s="77" t="s">
        <v>1781</v>
      </c>
      <c r="D2727" s="77" t="s">
        <v>480</v>
      </c>
      <c r="E2727" s="11" t="str">
        <f t="array" ref="E2727">_xlfn.XLOOKUP(D2727,Insumos!B:B,Insumos!C:$C)</f>
        <v>KG</v>
      </c>
      <c r="F2727" s="81">
        <v>8.6</v>
      </c>
      <c r="G2727" s="87">
        <f t="array" ref="G2727">IF(B2727="insumo",_xlfn.XLOOKUP($D2727,Insumos!$B$1:$B$996,Insumos!$D$1:$D$996),"")</f>
        <v>1.0645</v>
      </c>
      <c r="H2727" s="87">
        <v>9.1547000000000001</v>
      </c>
      <c r="I2727" s="79">
        <v>0</v>
      </c>
      <c r="J2727" s="79">
        <v>0</v>
      </c>
      <c r="K2727" s="79"/>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336">
        <v>1</v>
      </c>
      <c r="B2728" s="336" t="s">
        <v>67</v>
      </c>
      <c r="C2728" s="336" t="s">
        <v>1783</v>
      </c>
      <c r="D2728" s="336" t="s">
        <v>1783</v>
      </c>
      <c r="E2728" s="337" t="s">
        <v>69</v>
      </c>
      <c r="F2728" s="336"/>
      <c r="G2728" s="338" t="str">
        <f t="array" ref="G2728">IF(B2728="insumo",_xlfn.XLOOKUP($D2728,Insumos!$B$1:$B$996,Insumos!$D$1:$D$996),"")</f>
        <v/>
      </c>
      <c r="H2728" s="338">
        <v>691.65470000000005</v>
      </c>
      <c r="I2728" s="339">
        <v>0</v>
      </c>
      <c r="J2728" s="339">
        <v>0</v>
      </c>
      <c r="K2728" s="339"/>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77">
        <v>3</v>
      </c>
      <c r="B2729" s="77" t="s">
        <v>70</v>
      </c>
      <c r="C2729" s="77" t="s">
        <v>1783</v>
      </c>
      <c r="D2729" s="77" t="s">
        <v>648</v>
      </c>
      <c r="E2729" s="11" t="str">
        <f t="array" ref="E2729">_xlfn.XLOOKUP(D2729,Insumos!B:B,Insumos!C:$C)</f>
        <v>M2</v>
      </c>
      <c r="F2729" s="81">
        <v>1.05</v>
      </c>
      <c r="G2729" s="87">
        <f t="array" ref="G2729">IF(B2729="insumo",_xlfn.XLOOKUP($D2729,Insumos!$B$1:$B$996,Insumos!$D$1:$D$996),"")</f>
        <v>650</v>
      </c>
      <c r="H2729" s="87">
        <v>682.5</v>
      </c>
      <c r="I2729" s="79">
        <v>0</v>
      </c>
      <c r="J2729" s="79">
        <v>0</v>
      </c>
      <c r="K2729" s="79"/>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77">
        <v>191</v>
      </c>
      <c r="B2730" s="77" t="s">
        <v>70</v>
      </c>
      <c r="C2730" s="77" t="s">
        <v>1783</v>
      </c>
      <c r="D2730" s="77" t="s">
        <v>480</v>
      </c>
      <c r="E2730" s="11" t="str">
        <f t="array" ref="E2730">_xlfn.XLOOKUP(D2730,Insumos!B:B,Insumos!C:$C)</f>
        <v>KG</v>
      </c>
      <c r="F2730" s="81">
        <v>8.6</v>
      </c>
      <c r="G2730" s="87">
        <f t="array" ref="G2730">IF(B2730="insumo",_xlfn.XLOOKUP($D2730,Insumos!$B$1:$B$996,Insumos!$D$1:$D$996),"")</f>
        <v>1.0645</v>
      </c>
      <c r="H2730" s="87">
        <v>9.1547000000000001</v>
      </c>
      <c r="I2730" s="79">
        <v>0</v>
      </c>
      <c r="J2730" s="79">
        <v>0</v>
      </c>
      <c r="K2730" s="79"/>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355">
        <v>1</v>
      </c>
      <c r="B2731" s="355" t="s">
        <v>1227</v>
      </c>
      <c r="C2731" s="355" t="s">
        <v>1783</v>
      </c>
      <c r="D2731" s="355" t="s">
        <v>1385</v>
      </c>
      <c r="E2731" s="356"/>
      <c r="F2731" s="357"/>
      <c r="G2731" s="356"/>
      <c r="H2731" s="356">
        <v>0</v>
      </c>
      <c r="I2731" s="357">
        <v>0</v>
      </c>
      <c r="J2731" s="357">
        <v>0</v>
      </c>
      <c r="K2731" s="357"/>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332">
        <v>1</v>
      </c>
      <c r="B2732" s="332" t="s">
        <v>67</v>
      </c>
      <c r="C2732" s="332" t="s">
        <v>541</v>
      </c>
      <c r="D2732" s="332" t="s">
        <v>541</v>
      </c>
      <c r="E2732" s="333" t="s">
        <v>69</v>
      </c>
      <c r="F2732" s="340"/>
      <c r="G2732" s="334" t="str">
        <f t="array" ref="G2732">IF(B2732="insumo",_xlfn.XLOOKUP($D2732,Insumos!$B$1:$B$996,Insumos!$D$1:$D$996),"")</f>
        <v/>
      </c>
      <c r="H2732" s="334">
        <v>42</v>
      </c>
      <c r="I2732" s="335" t="e">
        <v>#REF!</v>
      </c>
      <c r="J2732" s="335" t="e">
        <v>#REF!</v>
      </c>
      <c r="K2732" s="335"/>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70</v>
      </c>
      <c r="C2733" s="10" t="s">
        <v>541</v>
      </c>
      <c r="D2733" s="10" t="s">
        <v>541</v>
      </c>
      <c r="E2733" s="11" t="str">
        <f t="array" ref="E2733">_xlfn.XLOOKUP(D2733,Insumos!B:B,Insumos!C:$C)</f>
        <v>UN</v>
      </c>
      <c r="F2733" s="14">
        <v>1</v>
      </c>
      <c r="G2733" s="87">
        <f t="array" ref="G2733">IF(B2733="insumo",_xlfn.XLOOKUP($D2733,Insumos!$B$1:$B$996,Insumos!$D$1:$D$996),"")</f>
        <v>42</v>
      </c>
      <c r="H2733" s="87">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332">
        <v>1</v>
      </c>
      <c r="B2734" s="332" t="s">
        <v>67</v>
      </c>
      <c r="C2734" s="332" t="s">
        <v>542</v>
      </c>
      <c r="D2734" s="332" t="s">
        <v>542</v>
      </c>
      <c r="E2734" s="333" t="s">
        <v>69</v>
      </c>
      <c r="F2734" s="340"/>
      <c r="G2734" s="334" t="str">
        <f t="array" ref="G2734">IF(B2734="insumo",_xlfn.XLOOKUP($D2734,Insumos!$B$1:$B$996,Insumos!$D$1:$D$996),"")</f>
        <v/>
      </c>
      <c r="H2734" s="334">
        <v>30</v>
      </c>
      <c r="I2734" s="335" t="e">
        <v>#REF!</v>
      </c>
      <c r="J2734" s="335" t="e">
        <v>#REF!</v>
      </c>
      <c r="K2734" s="335"/>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70</v>
      </c>
      <c r="C2735" s="10" t="s">
        <v>542</v>
      </c>
      <c r="D2735" s="10" t="s">
        <v>542</v>
      </c>
      <c r="E2735" s="11" t="str">
        <f t="array" ref="E2735">_xlfn.XLOOKUP(D2735,Insumos!B:B,Insumos!C:$C)</f>
        <v>M2</v>
      </c>
      <c r="F2735" s="14">
        <v>1</v>
      </c>
      <c r="G2735" s="87">
        <f t="array" ref="G2735">IF(B2735="insumo",_xlfn.XLOOKUP($D2735,Insumos!$B$1:$B$996,Insumos!$D$1:$D$996),"")</f>
        <v>30</v>
      </c>
      <c r="H2735" s="87">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355">
        <v>1</v>
      </c>
      <c r="B2736" s="355" t="s">
        <v>1227</v>
      </c>
      <c r="C2736" s="355" t="s">
        <v>542</v>
      </c>
      <c r="D2736" s="355" t="s">
        <v>1388</v>
      </c>
      <c r="E2736" s="356"/>
      <c r="F2736" s="357"/>
      <c r="G2736" s="356"/>
      <c r="H2736" s="356">
        <v>0</v>
      </c>
      <c r="I2736" s="357">
        <v>0</v>
      </c>
      <c r="J2736" s="357">
        <v>0</v>
      </c>
      <c r="K2736" s="357"/>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332">
        <v>1</v>
      </c>
      <c r="B2737" s="332" t="s">
        <v>67</v>
      </c>
      <c r="C2737" s="332" t="s">
        <v>550</v>
      </c>
      <c r="D2737" s="332" t="s">
        <v>550</v>
      </c>
      <c r="E2737" s="333" t="s">
        <v>69</v>
      </c>
      <c r="F2737" s="340"/>
      <c r="G2737" s="334" t="str">
        <f t="array" ref="G2737">IF(B2737="insumo",_xlfn.XLOOKUP($D2737,Insumos!$B$1:$B$996,Insumos!$D$1:$D$996),"")</f>
        <v/>
      </c>
      <c r="H2737" s="334">
        <v>15</v>
      </c>
      <c r="I2737" s="335">
        <v>0</v>
      </c>
      <c r="J2737" s="335">
        <v>0</v>
      </c>
      <c r="K2737" s="335"/>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70</v>
      </c>
      <c r="C2738" s="10" t="s">
        <v>550</v>
      </c>
      <c r="D2738" s="10" t="s">
        <v>550</v>
      </c>
      <c r="E2738" s="11" t="str">
        <f t="array" ref="E2738">_xlfn.XLOOKUP(D2738,Insumos!B:B,Insumos!C:$C)</f>
        <v>UN</v>
      </c>
      <c r="F2738" s="14">
        <v>1</v>
      </c>
      <c r="G2738" s="87">
        <f t="array" ref="G2738">IF(B2738="insumo",_xlfn.XLOOKUP($D2738,Insumos!$B$1:$B$996,Insumos!$D$1:$D$996),"")</f>
        <v>15</v>
      </c>
      <c r="H2738" s="87">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332">
        <v>1</v>
      </c>
      <c r="B2739" s="332" t="s">
        <v>67</v>
      </c>
      <c r="C2739" s="332" t="s">
        <v>551</v>
      </c>
      <c r="D2739" s="332" t="s">
        <v>551</v>
      </c>
      <c r="E2739" s="333" t="s">
        <v>69</v>
      </c>
      <c r="F2739" s="340"/>
      <c r="G2739" s="334" t="str">
        <f t="array" ref="G2739">IF(B2739="insumo",_xlfn.XLOOKUP($D2739,Insumos!$B$1:$B$996,Insumos!$D$1:$D$996),"")</f>
        <v/>
      </c>
      <c r="H2739" s="334">
        <v>15</v>
      </c>
      <c r="I2739" s="335">
        <v>0</v>
      </c>
      <c r="J2739" s="335">
        <v>0</v>
      </c>
      <c r="K2739" s="335"/>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70</v>
      </c>
      <c r="C2740" s="10" t="s">
        <v>551</v>
      </c>
      <c r="D2740" s="10" t="s">
        <v>551</v>
      </c>
      <c r="E2740" s="11" t="str">
        <f t="array" ref="E2740">_xlfn.XLOOKUP(D2740,Insumos!B:B,Insumos!C:$C)</f>
        <v>UN</v>
      </c>
      <c r="F2740" s="14">
        <v>1</v>
      </c>
      <c r="G2740" s="87">
        <f t="array" ref="G2740">IF(B2740="insumo",_xlfn.XLOOKUP($D2740,Insumos!$B$1:$B$996,Insumos!$D$1:$D$996),"")</f>
        <v>15</v>
      </c>
      <c r="H2740" s="87">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355">
        <v>2</v>
      </c>
      <c r="B2741" s="355" t="s">
        <v>1227</v>
      </c>
      <c r="C2741" s="355" t="s">
        <v>551</v>
      </c>
      <c r="D2741" s="355" t="s">
        <v>1387</v>
      </c>
      <c r="E2741" s="356"/>
      <c r="F2741" s="357"/>
      <c r="G2741" s="356"/>
      <c r="H2741" s="356">
        <v>0</v>
      </c>
      <c r="I2741" s="357">
        <v>0</v>
      </c>
      <c r="J2741" s="357">
        <v>0</v>
      </c>
      <c r="K2741" s="357"/>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332">
        <v>1</v>
      </c>
      <c r="B2742" s="332" t="s">
        <v>67</v>
      </c>
      <c r="C2742" s="332" t="s">
        <v>543</v>
      </c>
      <c r="D2742" s="332" t="s">
        <v>543</v>
      </c>
      <c r="E2742" s="333" t="s">
        <v>69</v>
      </c>
      <c r="F2742" s="340"/>
      <c r="G2742" s="334" t="str">
        <f t="array" ref="G2742">IF(B2742="insumo",_xlfn.XLOOKUP($D2742,Insumos!$B$1:$B$996,Insumos!$D$1:$D$996),"")</f>
        <v/>
      </c>
      <c r="H2742" s="334">
        <v>55</v>
      </c>
      <c r="I2742" s="335">
        <v>0</v>
      </c>
      <c r="J2742" s="335">
        <v>0</v>
      </c>
      <c r="K2742" s="335"/>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70</v>
      </c>
      <c r="C2743" s="10" t="s">
        <v>543</v>
      </c>
      <c r="D2743" s="10" t="s">
        <v>543</v>
      </c>
      <c r="E2743" s="11" t="str">
        <f t="array" ref="E2743">_xlfn.XLOOKUP(D2743,Insumos!B:B,Insumos!C:$C)</f>
        <v>UN</v>
      </c>
      <c r="F2743" s="14">
        <v>1</v>
      </c>
      <c r="G2743" s="87">
        <f t="array" ref="G2743">IF(B2743="insumo",_xlfn.XLOOKUP($D2743,Insumos!$B$1:$B$996,Insumos!$D$1:$D$996),"")</f>
        <v>55</v>
      </c>
      <c r="H2743" s="87">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332">
        <v>1</v>
      </c>
      <c r="B2744" s="332" t="s">
        <v>67</v>
      </c>
      <c r="C2744" s="332" t="s">
        <v>2424</v>
      </c>
      <c r="D2744" s="332" t="s">
        <v>2424</v>
      </c>
      <c r="E2744" s="333" t="s">
        <v>69</v>
      </c>
      <c r="F2744" s="340"/>
      <c r="G2744" s="334" t="str">
        <f t="array" ref="G2744">IF(B2744="insumo",_xlfn.XLOOKUP($D2744,Insumos!$B$1:$B$996,Insumos!$D$1:$D$996),"")</f>
        <v/>
      </c>
      <c r="H2744" s="334">
        <v>75</v>
      </c>
      <c r="I2744" s="335" t="e">
        <v>#REF!</v>
      </c>
      <c r="J2744" s="335" t="e">
        <v>#REF!</v>
      </c>
      <c r="K2744" s="335"/>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70</v>
      </c>
      <c r="C2745" s="10" t="s">
        <v>2424</v>
      </c>
      <c r="D2745" s="10" t="s">
        <v>2424</v>
      </c>
      <c r="E2745" s="11" t="str">
        <f t="array" ref="E2745">_xlfn.XLOOKUP(D2745,Insumos!B:B,Insumos!C:$C)</f>
        <v>M2</v>
      </c>
      <c r="F2745" s="14">
        <v>1</v>
      </c>
      <c r="G2745" s="87">
        <f t="array" ref="G2745">IF(B2745="insumo",_xlfn.XLOOKUP($D2745,Insumos!$B$1:$B$996,Insumos!$D$1:$D$996),"")</f>
        <v>75</v>
      </c>
      <c r="H2745" s="87">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332">
        <v>1</v>
      </c>
      <c r="B2746" s="332" t="s">
        <v>67</v>
      </c>
      <c r="C2746" s="332" t="s">
        <v>544</v>
      </c>
      <c r="D2746" s="332" t="s">
        <v>544</v>
      </c>
      <c r="E2746" s="333" t="s">
        <v>69</v>
      </c>
      <c r="F2746" s="340"/>
      <c r="G2746" s="334" t="str">
        <f t="array" ref="G2746">IF(B2746="insumo",_xlfn.XLOOKUP($D2746,Insumos!$B$1:$B$996,Insumos!$D$1:$D$996),"")</f>
        <v/>
      </c>
      <c r="H2746" s="334">
        <v>75</v>
      </c>
      <c r="I2746" s="335" t="e">
        <v>#REF!</v>
      </c>
      <c r="J2746" s="335" t="e">
        <v>#REF!</v>
      </c>
      <c r="K2746" s="335"/>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70</v>
      </c>
      <c r="C2747" s="10" t="s">
        <v>544</v>
      </c>
      <c r="D2747" s="10" t="s">
        <v>544</v>
      </c>
      <c r="E2747" s="11" t="str">
        <f t="array" ref="E2747">_xlfn.XLOOKUP(D2747,Insumos!B:B,Insumos!C:$C)</f>
        <v>UN</v>
      </c>
      <c r="F2747" s="14">
        <v>1</v>
      </c>
      <c r="G2747" s="87">
        <f t="array" ref="G2747">IF(B2747="insumo",_xlfn.XLOOKUP($D2747,Insumos!$B$1:$B$996,Insumos!$D$1:$D$996),"")</f>
        <v>75</v>
      </c>
      <c r="H2747" s="87">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332">
        <v>1</v>
      </c>
      <c r="B2748" s="332" t="s">
        <v>67</v>
      </c>
      <c r="C2748" s="332" t="s">
        <v>545</v>
      </c>
      <c r="D2748" s="332" t="s">
        <v>545</v>
      </c>
      <c r="E2748" s="333" t="s">
        <v>69</v>
      </c>
      <c r="F2748" s="340"/>
      <c r="G2748" s="334" t="str">
        <f t="array" ref="G2748">IF(B2748="insumo",_xlfn.XLOOKUP($D2748,Insumos!$B$1:$B$996,Insumos!$D$1:$D$996),"")</f>
        <v/>
      </c>
      <c r="H2748" s="334">
        <v>75</v>
      </c>
      <c r="I2748" s="335" t="e">
        <v>#REF!</v>
      </c>
      <c r="J2748" s="335" t="e">
        <v>#REF!</v>
      </c>
      <c r="K2748" s="335"/>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70</v>
      </c>
      <c r="C2749" s="10" t="s">
        <v>545</v>
      </c>
      <c r="D2749" s="10" t="s">
        <v>545</v>
      </c>
      <c r="E2749" s="11" t="str">
        <f t="array" ref="E2749">_xlfn.XLOOKUP(D2749,Insumos!B:B,Insumos!C:$C)</f>
        <v>UN</v>
      </c>
      <c r="F2749" s="14">
        <v>1</v>
      </c>
      <c r="G2749" s="87">
        <f t="array" ref="G2749">IF(B2749="insumo",_xlfn.XLOOKUP($D2749,Insumos!$B$1:$B$996,Insumos!$D$1:$D$996),"")</f>
        <v>75</v>
      </c>
      <c r="H2749" s="87">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332">
        <v>1</v>
      </c>
      <c r="B2750" s="332" t="s">
        <v>67</v>
      </c>
      <c r="C2750" s="332" t="s">
        <v>546</v>
      </c>
      <c r="D2750" s="332" t="s">
        <v>546</v>
      </c>
      <c r="E2750" s="333" t="s">
        <v>69</v>
      </c>
      <c r="F2750" s="340"/>
      <c r="G2750" s="334" t="str">
        <f t="array" ref="G2750">IF(B2750="insumo",_xlfn.XLOOKUP($D2750,Insumos!$B$1:$B$996,Insumos!$D$1:$D$996),"")</f>
        <v/>
      </c>
      <c r="H2750" s="334">
        <v>50</v>
      </c>
      <c r="I2750" s="335" t="e">
        <v>#REF!</v>
      </c>
      <c r="J2750" s="335" t="e">
        <v>#REF!</v>
      </c>
      <c r="K2750" s="335"/>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70</v>
      </c>
      <c r="C2751" s="10" t="s">
        <v>546</v>
      </c>
      <c r="D2751" s="10" t="s">
        <v>546</v>
      </c>
      <c r="E2751" s="11" t="str">
        <f t="array" ref="E2751">_xlfn.XLOOKUP(D2751,Insumos!B:B,Insumos!C:$C)</f>
        <v>UN</v>
      </c>
      <c r="F2751" s="14">
        <v>1</v>
      </c>
      <c r="G2751" s="87">
        <f t="array" ref="G2751">IF(B2751="insumo",_xlfn.XLOOKUP($D2751,Insumos!$B$1:$B$996,Insumos!$D$1:$D$996),"")</f>
        <v>50</v>
      </c>
      <c r="H2751" s="87">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332">
        <v>1</v>
      </c>
      <c r="B2752" s="332" t="s">
        <v>67</v>
      </c>
      <c r="C2752" s="332" t="s">
        <v>547</v>
      </c>
      <c r="D2752" s="332" t="s">
        <v>547</v>
      </c>
      <c r="E2752" s="333" t="s">
        <v>69</v>
      </c>
      <c r="F2752" s="340"/>
      <c r="G2752" s="334" t="str">
        <f t="array" ref="G2752">IF(B2752="insumo",_xlfn.XLOOKUP($D2752,Insumos!$B$1:$B$996,Insumos!$D$1:$D$996),"")</f>
        <v/>
      </c>
      <c r="H2752" s="334">
        <v>50</v>
      </c>
      <c r="I2752" s="335">
        <v>0</v>
      </c>
      <c r="J2752" s="335">
        <v>0</v>
      </c>
      <c r="K2752" s="335"/>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70</v>
      </c>
      <c r="C2753" s="10" t="s">
        <v>547</v>
      </c>
      <c r="D2753" s="10" t="s">
        <v>547</v>
      </c>
      <c r="E2753" s="11" t="str">
        <f t="array" ref="E2753">_xlfn.XLOOKUP(D2753,Insumos!B:B,Insumos!C:$C)</f>
        <v>UN</v>
      </c>
      <c r="F2753" s="14">
        <v>1</v>
      </c>
      <c r="G2753" s="87">
        <f t="array" ref="G2753">IF(B2753="insumo",_xlfn.XLOOKUP($D2753,Insumos!$B$1:$B$996,Insumos!$D$1:$D$996),"")</f>
        <v>50</v>
      </c>
      <c r="H2753" s="87">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65</v>
      </c>
      <c r="C2754" s="7" t="s">
        <v>547</v>
      </c>
      <c r="D2754" s="7" t="s">
        <v>552</v>
      </c>
      <c r="E2754" s="8"/>
      <c r="F2754" s="9"/>
      <c r="G2754" s="86" t="str">
        <f t="array" ref="G2754">IF(B2754="insumo",_xlfn.XLOOKUP($D2754,Insumos!$B$1:$B$996,Insumos!$D$1:$D$996),"")</f>
        <v/>
      </c>
      <c r="H2754" s="86">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355">
        <v>1</v>
      </c>
      <c r="B2755" s="355" t="s">
        <v>1227</v>
      </c>
      <c r="C2755" s="355" t="s">
        <v>547</v>
      </c>
      <c r="D2755" s="355" t="s">
        <v>1420</v>
      </c>
      <c r="E2755" s="356"/>
      <c r="F2755" s="357"/>
      <c r="G2755" s="356"/>
      <c r="H2755" s="356">
        <v>0</v>
      </c>
      <c r="I2755" s="357">
        <v>0</v>
      </c>
      <c r="J2755" s="357">
        <v>0</v>
      </c>
      <c r="K2755" s="357"/>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332">
        <v>1</v>
      </c>
      <c r="B2756" s="332" t="s">
        <v>67</v>
      </c>
      <c r="C2756" s="332" t="s">
        <v>553</v>
      </c>
      <c r="D2756" s="332" t="s">
        <v>553</v>
      </c>
      <c r="E2756" s="333" t="s">
        <v>69</v>
      </c>
      <c r="F2756" s="332"/>
      <c r="G2756" s="334" t="str">
        <f t="array" ref="G2756">IF(B2756="insumo",_xlfn.XLOOKUP($D2756,Insumos!$B$1:$B$996,Insumos!$D$1:$D$996),"")</f>
        <v/>
      </c>
      <c r="H2756" s="334">
        <v>3.1560233333333301</v>
      </c>
      <c r="I2756" s="335">
        <v>0</v>
      </c>
      <c r="J2756" s="335">
        <v>0</v>
      </c>
      <c r="K2756" s="335"/>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70</v>
      </c>
      <c r="C2757" s="10" t="s">
        <v>553</v>
      </c>
      <c r="D2757" s="10" t="s">
        <v>444</v>
      </c>
      <c r="E2757" s="11" t="str">
        <f t="array" ref="E2757">_xlfn.XLOOKUP(D2757,Insumos!B:B,Insumos!C:$C)</f>
        <v>M3</v>
      </c>
      <c r="F2757" s="14">
        <v>5.5000000000000005E-3</v>
      </c>
      <c r="G2757" s="87">
        <f t="array" ref="G2757">IF(B2757="insumo",_xlfn.XLOOKUP($D2757,Insumos!$B$1:$B$996,Insumos!$D$1:$D$996),"")</f>
        <v>550</v>
      </c>
      <c r="H2757" s="87">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70</v>
      </c>
      <c r="C2758" s="10" t="s">
        <v>553</v>
      </c>
      <c r="D2758" s="10" t="s">
        <v>502</v>
      </c>
      <c r="E2758" s="11" t="str">
        <f t="array" ref="E2758">_xlfn.XLOOKUP(D2758,Insumos!B:B,Insumos!C:$C)</f>
        <v>L</v>
      </c>
      <c r="F2758" s="14">
        <v>3.5000000000000005E-3</v>
      </c>
      <c r="G2758" s="87">
        <f t="array" ref="G2758">IF(B2758="insumo",_xlfn.XLOOKUP($D2758,Insumos!$B$1:$B$996,Insumos!$D$1:$D$996),"")</f>
        <v>19.34</v>
      </c>
      <c r="H2758" s="87">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70</v>
      </c>
      <c r="C2759" s="10" t="s">
        <v>553</v>
      </c>
      <c r="D2759" s="10" t="s">
        <v>159</v>
      </c>
      <c r="E2759" s="11" t="str">
        <f t="array" ref="E2759">_xlfn.XLOOKUP(D2759,Insumos!B:B,Insumos!C:$C)</f>
        <v>KG</v>
      </c>
      <c r="F2759" s="14">
        <v>8.3333333333333343E-2</v>
      </c>
      <c r="G2759" s="87">
        <f t="array" ref="G2759">IF(B2759="insumo",_xlfn.XLOOKUP($D2759,Insumos!$B$1:$B$996,Insumos!$D$1:$D$996),"")</f>
        <v>0.76</v>
      </c>
      <c r="H2759" s="87">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332">
        <v>1</v>
      </c>
      <c r="B2760" s="332" t="s">
        <v>67</v>
      </c>
      <c r="C2760" s="332" t="s">
        <v>554</v>
      </c>
      <c r="D2760" s="332" t="s">
        <v>554</v>
      </c>
      <c r="E2760" s="333" t="s">
        <v>69</v>
      </c>
      <c r="F2760" s="332"/>
      <c r="G2760" s="334" t="str">
        <f t="array" ref="G2760">IF(B2760="insumo",_xlfn.XLOOKUP($D2760,Insumos!$B$1:$B$996,Insumos!$D$1:$D$996),"")</f>
        <v/>
      </c>
      <c r="H2760" s="334">
        <v>5.1029166666666699</v>
      </c>
      <c r="I2760" s="335" t="e">
        <v>#REF!</v>
      </c>
      <c r="J2760" s="335" t="e">
        <v>#REF!</v>
      </c>
      <c r="K2760" s="335"/>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70</v>
      </c>
      <c r="C2761" s="10" t="s">
        <v>554</v>
      </c>
      <c r="D2761" s="10" t="s">
        <v>159</v>
      </c>
      <c r="E2761" s="11" t="str">
        <f t="array" ref="E2761">_xlfn.XLOOKUP(D2761,Insumos!B:B,Insumos!C:$C)</f>
        <v>KG</v>
      </c>
      <c r="F2761" s="14">
        <v>0.6</v>
      </c>
      <c r="G2761" s="87">
        <f t="array" ref="G2761">IF(B2761="insumo",_xlfn.XLOOKUP($D2761,Insumos!$B$1:$B$996,Insumos!$D$1:$D$996),"")</f>
        <v>0.76</v>
      </c>
      <c r="H2761" s="87">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70</v>
      </c>
      <c r="C2762" s="10" t="s">
        <v>554</v>
      </c>
      <c r="D2762" s="10" t="s">
        <v>498</v>
      </c>
      <c r="E2762" s="11" t="str">
        <f t="array" ref="E2762">_xlfn.XLOOKUP(D2762,Insumos!B:B,Insumos!C:$C)</f>
        <v>UN</v>
      </c>
      <c r="F2762" s="14">
        <v>0.05</v>
      </c>
      <c r="G2762" s="87">
        <f t="array" ref="G2762">IF(B2762="insumo",_xlfn.XLOOKUP($D2762,Insumos!$B$1:$B$996,Insumos!$D$1:$D$996),"")</f>
        <v>3.13</v>
      </c>
      <c r="H2762" s="87">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70</v>
      </c>
      <c r="C2763" s="10" t="s">
        <v>554</v>
      </c>
      <c r="D2763" s="10" t="s">
        <v>499</v>
      </c>
      <c r="E2763" s="11" t="str">
        <f t="array" ref="E2763">_xlfn.XLOOKUP(D2763,Insumos!B:B,Insumos!C:$C)</f>
        <v>KG</v>
      </c>
      <c r="F2763" s="14">
        <v>0.3</v>
      </c>
      <c r="G2763" s="87">
        <f t="array" ref="G2763">IF(B2763="insumo",_xlfn.XLOOKUP($D2763,Insumos!$B$1:$B$996,Insumos!$D$1:$D$996),"")</f>
        <v>3.49</v>
      </c>
      <c r="H2763" s="87">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70</v>
      </c>
      <c r="C2764" s="10" t="s">
        <v>554</v>
      </c>
      <c r="D2764" s="10" t="s">
        <v>500</v>
      </c>
      <c r="E2764" s="11" t="str">
        <f t="array" ref="E2764">_xlfn.XLOOKUP(D2764,Insumos!B:B,Insumos!C:$C)</f>
        <v>KG</v>
      </c>
      <c r="F2764" s="14">
        <v>0.15</v>
      </c>
      <c r="G2764" s="87">
        <f t="array" ref="G2764">IF(B2764="insumo",_xlfn.XLOOKUP($D2764,Insumos!$B$1:$B$996,Insumos!$D$1:$D$996),"")</f>
        <v>22.95611111111111</v>
      </c>
      <c r="H2764" s="87">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336">
        <v>1</v>
      </c>
      <c r="B2765" s="336" t="s">
        <v>67</v>
      </c>
      <c r="C2765" s="336" t="s">
        <v>1786</v>
      </c>
      <c r="D2765" s="336" t="s">
        <v>1786</v>
      </c>
      <c r="E2765" s="337" t="s">
        <v>69</v>
      </c>
      <c r="F2765" s="336"/>
      <c r="G2765" s="338" t="str">
        <f t="array" ref="G2765">IF(B2765="insumo",_xlfn.XLOOKUP($D2765,Insumos!$B$1:$B$996,Insumos!$D$1:$D$996),"")</f>
        <v/>
      </c>
      <c r="H2765" s="338">
        <v>10.11778</v>
      </c>
      <c r="I2765" s="339" t="e">
        <v>#REF!</v>
      </c>
      <c r="J2765" s="339" t="e">
        <v>#REF!</v>
      </c>
      <c r="K2765" s="339"/>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77">
        <v>191</v>
      </c>
      <c r="B2766" s="77" t="s">
        <v>70</v>
      </c>
      <c r="C2766" s="77" t="s">
        <v>1786</v>
      </c>
      <c r="D2766" s="77" t="s">
        <v>480</v>
      </c>
      <c r="E2766" s="11" t="str">
        <f t="array" ref="E2766">_xlfn.XLOOKUP(D2766,Insumos!B:B,Insumos!C:$C)</f>
        <v>KG</v>
      </c>
      <c r="F2766" s="81">
        <v>6.34</v>
      </c>
      <c r="G2766" s="87">
        <f t="array" ref="G2766">IF(B2766="insumo",_xlfn.XLOOKUP($D2766,Insumos!$B$1:$B$996,Insumos!$D$1:$D$996),"")</f>
        <v>1.0645</v>
      </c>
      <c r="H2766" s="87">
        <v>6.7489299999999997</v>
      </c>
      <c r="I2766" s="79" t="e">
        <v>#REF!</v>
      </c>
      <c r="J2766" s="79" t="e">
        <v>#REF!</v>
      </c>
      <c r="K2766" s="79"/>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77">
        <v>4</v>
      </c>
      <c r="B2767" s="77" t="s">
        <v>70</v>
      </c>
      <c r="C2767" s="77" t="s">
        <v>1786</v>
      </c>
      <c r="D2767" s="77" t="s">
        <v>482</v>
      </c>
      <c r="E2767" s="11" t="str">
        <f t="array" ref="E2767">_xlfn.XLOOKUP(D2767,Insumos!B:B,Insumos!C:$C)</f>
        <v>KG</v>
      </c>
      <c r="F2767" s="81">
        <v>0.3</v>
      </c>
      <c r="G2767" s="87">
        <f t="array" ref="G2767">IF(B2767="insumo",_xlfn.XLOOKUP($D2767,Insumos!$B$1:$B$996,Insumos!$D$1:$D$996),"")</f>
        <v>11.2295</v>
      </c>
      <c r="H2767" s="87">
        <v>3.3688500000000001</v>
      </c>
      <c r="I2767" s="79" t="e">
        <v>#REF!</v>
      </c>
      <c r="J2767" s="79" t="e">
        <v>#REF!</v>
      </c>
      <c r="K2767" s="79"/>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332">
        <v>1</v>
      </c>
      <c r="B2768" s="332" t="s">
        <v>67</v>
      </c>
      <c r="C2768" s="332" t="s">
        <v>1424</v>
      </c>
      <c r="D2768" s="332" t="s">
        <v>1424</v>
      </c>
      <c r="E2768" s="333" t="s">
        <v>69</v>
      </c>
      <c r="F2768" s="332"/>
      <c r="G2768" s="334" t="str">
        <f t="array" ref="G2768">IF(B2768="insumo",_xlfn.XLOOKUP($D2768,Insumos!$B$1:$B$996,Insumos!$D$1:$D$996),"")</f>
        <v/>
      </c>
      <c r="H2768" s="334">
        <v>10.893750000000001</v>
      </c>
      <c r="I2768" s="335" t="e">
        <v>#REF!</v>
      </c>
      <c r="J2768" s="335" t="e">
        <v>#REF!</v>
      </c>
      <c r="K2768" s="335"/>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70</v>
      </c>
      <c r="C2769" s="10" t="s">
        <v>1424</v>
      </c>
      <c r="D2769" s="10" t="s">
        <v>495</v>
      </c>
      <c r="E2769" s="11" t="str">
        <f t="array" ref="E2769">_xlfn.XLOOKUP(D2769,Insumos!B:B,Insumos!C:$C)</f>
        <v>M3</v>
      </c>
      <c r="F2769" s="14">
        <v>2.6250000000000002E-2</v>
      </c>
      <c r="G2769" s="87">
        <f t="array" ref="G2769">IF(B2769="insumo",_xlfn.XLOOKUP($D2769,Insumos!$B$1:$B$996,Insumos!$D$1:$D$996),"")</f>
        <v>415</v>
      </c>
      <c r="H2769" s="87">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332">
        <v>1</v>
      </c>
      <c r="B2770" s="332" t="s">
        <v>67</v>
      </c>
      <c r="C2770" s="332" t="s">
        <v>1614</v>
      </c>
      <c r="D2770" s="332" t="s">
        <v>1614</v>
      </c>
      <c r="E2770" s="333" t="s">
        <v>69</v>
      </c>
      <c r="F2770" s="332"/>
      <c r="G2770" s="334" t="str">
        <f t="array" ref="G2770">IF(B2770="insumo",_xlfn.XLOOKUP($D2770,Insumos!$B$1:$B$996,Insumos!$D$1:$D$996),"")</f>
        <v/>
      </c>
      <c r="H2770" s="334">
        <v>19</v>
      </c>
      <c r="I2770" s="335">
        <v>0</v>
      </c>
      <c r="J2770" s="335">
        <v>0</v>
      </c>
      <c r="K2770" s="335"/>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70</v>
      </c>
      <c r="C2771" s="10" t="s">
        <v>1614</v>
      </c>
      <c r="D2771" s="10" t="s">
        <v>1391</v>
      </c>
      <c r="E2771" s="11" t="str">
        <f t="array" ref="E2771">_xlfn.XLOOKUP(D2771,Insumos!B:B,Insumos!C:$C)</f>
        <v>KG</v>
      </c>
      <c r="F2771" s="14">
        <v>20</v>
      </c>
      <c r="G2771" s="87">
        <f t="array" ref="G2771">IF(B2771="insumo",_xlfn.XLOOKUP($D2771,Insumos!$B$1:$B$996,Insumos!$D$1:$D$996),"")</f>
        <v>0.95</v>
      </c>
      <c r="H2771" s="87">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355">
        <v>1</v>
      </c>
      <c r="B2772" s="355" t="s">
        <v>1227</v>
      </c>
      <c r="C2772" s="355" t="s">
        <v>1614</v>
      </c>
      <c r="D2772" s="355" t="s">
        <v>1421</v>
      </c>
      <c r="E2772" s="356"/>
      <c r="F2772" s="357"/>
      <c r="G2772" s="356"/>
      <c r="H2772" s="356">
        <v>0</v>
      </c>
      <c r="I2772" s="357">
        <v>0</v>
      </c>
      <c r="J2772" s="357">
        <v>0</v>
      </c>
      <c r="K2772" s="357"/>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332">
        <v>1</v>
      </c>
      <c r="B2773" s="332" t="s">
        <v>67</v>
      </c>
      <c r="C2773" s="332" t="s">
        <v>555</v>
      </c>
      <c r="D2773" s="332" t="s">
        <v>555</v>
      </c>
      <c r="E2773" s="333" t="s">
        <v>112</v>
      </c>
      <c r="F2773" s="332"/>
      <c r="G2773" s="334" t="str">
        <f t="array" ref="G2773">IF(B2773="insumo",_xlfn.XLOOKUP($D2773,Insumos!$B$1:$B$996,Insumos!$D$1:$D$996),"")</f>
        <v/>
      </c>
      <c r="H2773" s="334">
        <v>44.8</v>
      </c>
      <c r="I2773" s="335">
        <v>0</v>
      </c>
      <c r="J2773" s="335">
        <v>0</v>
      </c>
      <c r="K2773" s="335"/>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70</v>
      </c>
      <c r="C2774" s="10" t="s">
        <v>555</v>
      </c>
      <c r="D2774" s="10" t="s">
        <v>556</v>
      </c>
      <c r="E2774" s="11" t="str">
        <f t="array" ref="E2774">_xlfn.XLOOKUP(D2774,Insumos!B:B,Insumos!C:$C)</f>
        <v>m</v>
      </c>
      <c r="F2774" s="14">
        <v>1</v>
      </c>
      <c r="G2774" s="87">
        <f t="array" ref="G2774">IF(B2774="insumo",_xlfn.XLOOKUP($D2774,Insumos!$B$1:$B$996,Insumos!$D$1:$D$996),"")</f>
        <v>44.8</v>
      </c>
      <c r="H2774" s="87">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332">
        <v>1</v>
      </c>
      <c r="B2775" s="332" t="s">
        <v>67</v>
      </c>
      <c r="C2775" s="332" t="s">
        <v>2464</v>
      </c>
      <c r="D2775" s="332" t="s">
        <v>2464</v>
      </c>
      <c r="E2775" s="333" t="s">
        <v>112</v>
      </c>
      <c r="F2775" s="332"/>
      <c r="G2775" s="334" t="str">
        <f t="array" ref="G2775">IF(B2775="insumo",_xlfn.XLOOKUP($D2775,Insumos!$B$1:$B$996,Insumos!$D$1:$D$996),"")</f>
        <v/>
      </c>
      <c r="H2775" s="334">
        <v>82.373999999999995</v>
      </c>
      <c r="I2775" s="335" t="e">
        <v>#REF!</v>
      </c>
      <c r="J2775" s="335" t="e">
        <v>#REF!</v>
      </c>
      <c r="K2775" s="335"/>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70</v>
      </c>
      <c r="C2776" s="10" t="s">
        <v>2464</v>
      </c>
      <c r="D2776" s="10" t="s">
        <v>2464</v>
      </c>
      <c r="E2776" s="11" t="str">
        <f t="array" ref="E2776">_xlfn.XLOOKUP(D2776,Insumos!B:B,Insumos!C:$C)</f>
        <v>m</v>
      </c>
      <c r="F2776" s="14">
        <v>1.3729</v>
      </c>
      <c r="G2776" s="87">
        <f t="array" ref="G2776">IF(B2776="insumo",_xlfn.XLOOKUP($D2776,Insumos!$B$1:$B$996,Insumos!$D$1:$D$996),"")</f>
        <v>60</v>
      </c>
      <c r="H2776" s="87">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332">
        <v>1</v>
      </c>
      <c r="B2777" s="332" t="s">
        <v>67</v>
      </c>
      <c r="C2777" s="332" t="s">
        <v>2465</v>
      </c>
      <c r="D2777" s="332" t="s">
        <v>2465</v>
      </c>
      <c r="E2777" s="333" t="s">
        <v>112</v>
      </c>
      <c r="F2777" s="332"/>
      <c r="G2777" s="334" t="str">
        <f t="array" ref="G2777">IF(B2777="insumo",_xlfn.XLOOKUP($D2777,Insumos!$B$1:$B$996,Insumos!$D$1:$D$996),"")</f>
        <v/>
      </c>
      <c r="H2777" s="334">
        <v>61.780500000000004</v>
      </c>
      <c r="I2777" s="335" t="e">
        <v>#REF!</v>
      </c>
      <c r="J2777" s="335" t="e">
        <v>#REF!</v>
      </c>
      <c r="K2777" s="335"/>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70</v>
      </c>
      <c r="C2778" s="10" t="s">
        <v>2465</v>
      </c>
      <c r="D2778" s="10" t="s">
        <v>2465</v>
      </c>
      <c r="E2778" s="11" t="str">
        <f t="array" ref="E2778">_xlfn.XLOOKUP(D2778,Insumos!B:B,Insumos!C:$C)</f>
        <v>m</v>
      </c>
      <c r="F2778" s="14">
        <v>1.3729</v>
      </c>
      <c r="G2778" s="87">
        <f t="array" ref="G2778">IF(B2778="insumo",_xlfn.XLOOKUP($D2778,Insumos!$B$1:$B$996,Insumos!$D$1:$D$996),"")</f>
        <v>45</v>
      </c>
      <c r="H2778" s="87">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332">
        <v>1</v>
      </c>
      <c r="B2779" s="332" t="s">
        <v>67</v>
      </c>
      <c r="C2779" s="332" t="s">
        <v>2459</v>
      </c>
      <c r="D2779" s="332" t="s">
        <v>2459</v>
      </c>
      <c r="E2779" s="333" t="s">
        <v>112</v>
      </c>
      <c r="F2779" s="332"/>
      <c r="G2779" s="334" t="str">
        <f t="array" ref="G2779">IF(B2779="insumo",_xlfn.XLOOKUP($D2779,Insumos!$B$1:$B$996,Insumos!$D$1:$D$996),"")</f>
        <v/>
      </c>
      <c r="H2779" s="334">
        <v>32.4</v>
      </c>
      <c r="I2779" s="335">
        <v>0</v>
      </c>
      <c r="J2779" s="335">
        <v>0</v>
      </c>
      <c r="K2779" s="335"/>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70</v>
      </c>
      <c r="C2780" s="10" t="s">
        <v>2459</v>
      </c>
      <c r="D2780" s="10" t="s">
        <v>2459</v>
      </c>
      <c r="E2780" s="11" t="str">
        <f t="array" ref="E2780">_xlfn.XLOOKUP(D2780,Insumos!B:B,Insumos!C:$C)</f>
        <v>m</v>
      </c>
      <c r="F2780" s="14">
        <v>1</v>
      </c>
      <c r="G2780" s="87">
        <f t="array" ref="G2780">IF(B2780="insumo",_xlfn.XLOOKUP($D2780,Insumos!$B$1:$B$996,Insumos!$D$1:$D$996),"")</f>
        <v>32.400000000000006</v>
      </c>
      <c r="H2780" s="87">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332">
        <v>1</v>
      </c>
      <c r="B2781" s="332" t="s">
        <v>67</v>
      </c>
      <c r="C2781" s="332" t="s">
        <v>2460</v>
      </c>
      <c r="D2781" s="332" t="s">
        <v>2460</v>
      </c>
      <c r="E2781" s="333" t="s">
        <v>112</v>
      </c>
      <c r="F2781" s="332"/>
      <c r="G2781" s="334" t="str">
        <f t="array" ref="G2781">IF(B2781="insumo",_xlfn.XLOOKUP($D2781,Insumos!$B$1:$B$996,Insumos!$D$1:$D$996),"")</f>
        <v/>
      </c>
      <c r="H2781" s="334">
        <v>67.2</v>
      </c>
      <c r="I2781" s="335">
        <v>0</v>
      </c>
      <c r="J2781" s="335">
        <v>0</v>
      </c>
      <c r="K2781" s="335"/>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70</v>
      </c>
      <c r="C2782" s="10" t="s">
        <v>2460</v>
      </c>
      <c r="D2782" s="10" t="s">
        <v>2460</v>
      </c>
      <c r="E2782" s="11" t="str">
        <f t="array" ref="E2782">_xlfn.XLOOKUP(D2782,Insumos!B:B,Insumos!C:$C)</f>
        <v>m</v>
      </c>
      <c r="F2782" s="14">
        <v>1</v>
      </c>
      <c r="G2782" s="87">
        <f t="array" ref="G2782">IF(B2782="insumo",_xlfn.XLOOKUP($D2782,Insumos!$B$1:$B$996,Insumos!$D$1:$D$996),"")</f>
        <v>67.199999999999989</v>
      </c>
      <c r="H2782" s="87">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332">
        <v>1</v>
      </c>
      <c r="B2783" s="332" t="s">
        <v>67</v>
      </c>
      <c r="C2783" s="332" t="s">
        <v>2463</v>
      </c>
      <c r="D2783" s="332" t="s">
        <v>2463</v>
      </c>
      <c r="E2783" s="333" t="s">
        <v>112</v>
      </c>
      <c r="F2783" s="332"/>
      <c r="G2783" s="334" t="str">
        <f t="array" ref="G2783">IF(B2783="insumo",_xlfn.XLOOKUP($D2783,Insumos!$B$1:$B$996,Insumos!$D$1:$D$996),"")</f>
        <v/>
      </c>
      <c r="H2783" s="334">
        <v>116.6965</v>
      </c>
      <c r="I2783" s="335" t="e">
        <v>#REF!</v>
      </c>
      <c r="J2783" s="335" t="e">
        <v>#REF!</v>
      </c>
      <c r="K2783" s="335"/>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70</v>
      </c>
      <c r="C2784" s="10" t="s">
        <v>2463</v>
      </c>
      <c r="D2784" s="10" t="s">
        <v>2463</v>
      </c>
      <c r="E2784" s="11" t="str">
        <f t="array" ref="E2784">_xlfn.XLOOKUP(D2784,Insumos!B:B,Insumos!C:$C)</f>
        <v>m</v>
      </c>
      <c r="F2784" s="14">
        <v>1.3729</v>
      </c>
      <c r="G2784" s="87">
        <f t="array" ref="G2784">IF(B2784="insumo",_xlfn.XLOOKUP($D2784,Insumos!$B$1:$B$996,Insumos!$D$1:$D$996),"")</f>
        <v>85</v>
      </c>
      <c r="H2784" s="87">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332">
        <v>1</v>
      </c>
      <c r="B2785" s="332" t="s">
        <v>67</v>
      </c>
      <c r="C2785" s="332" t="s">
        <v>557</v>
      </c>
      <c r="D2785" s="332" t="s">
        <v>557</v>
      </c>
      <c r="E2785" s="333" t="s">
        <v>69</v>
      </c>
      <c r="F2785" s="332"/>
      <c r="G2785" s="334" t="str">
        <f t="array" ref="G2785">IF(B2785="insumo",_xlfn.XLOOKUP($D2785,Insumos!$B$1:$B$996,Insumos!$D$1:$D$996),"")</f>
        <v/>
      </c>
      <c r="H2785" s="334">
        <v>88.427066666666704</v>
      </c>
      <c r="I2785" s="335">
        <v>0</v>
      </c>
      <c r="J2785" s="335">
        <v>0</v>
      </c>
      <c r="K2785" s="335"/>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70</v>
      </c>
      <c r="C2786" s="10" t="s">
        <v>557</v>
      </c>
      <c r="D2786" s="10" t="s">
        <v>558</v>
      </c>
      <c r="E2786" s="11" t="str">
        <f t="array" ref="E2786">_xlfn.XLOOKUP(D2786,Insumos!B:B,Insumos!C:$C)</f>
        <v>M2</v>
      </c>
      <c r="F2786" s="14">
        <v>1</v>
      </c>
      <c r="G2786" s="87">
        <f t="array" ref="G2786">IF(B2786="insumo",_xlfn.XLOOKUP($D2786,Insumos!$B$1:$B$996,Insumos!$D$1:$D$996),"")</f>
        <v>75.598399999999998</v>
      </c>
      <c r="H2786" s="87">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70</v>
      </c>
      <c r="C2787" s="10" t="s">
        <v>557</v>
      </c>
      <c r="D2787" s="10" t="s">
        <v>415</v>
      </c>
      <c r="E2787" s="11" t="str">
        <f t="array" ref="E2787">_xlfn.XLOOKUP(D2787,Insumos!B:B,Insumos!C:$C)</f>
        <v>M2</v>
      </c>
      <c r="F2787" s="14">
        <v>1</v>
      </c>
      <c r="G2787" s="87">
        <f t="array" ref="G2787">IF(B2787="insumo",_xlfn.XLOOKUP($D2787,Insumos!$B$1:$B$996,Insumos!$D$1:$D$996),"")</f>
        <v>12.828666666666667</v>
      </c>
      <c r="H2787" s="87">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332">
        <v>1</v>
      </c>
      <c r="B2788" s="332" t="s">
        <v>67</v>
      </c>
      <c r="C2788" s="332" t="s">
        <v>559</v>
      </c>
      <c r="D2788" s="332" t="s">
        <v>559</v>
      </c>
      <c r="E2788" s="333" t="s">
        <v>69</v>
      </c>
      <c r="F2788" s="332"/>
      <c r="G2788" s="334"/>
      <c r="H2788" s="334">
        <v>55</v>
      </c>
      <c r="I2788" s="335">
        <v>0</v>
      </c>
      <c r="J2788" s="335">
        <v>0</v>
      </c>
      <c r="K2788" s="335"/>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70</v>
      </c>
      <c r="C2789" s="10" t="s">
        <v>559</v>
      </c>
      <c r="D2789" s="10" t="s">
        <v>559</v>
      </c>
      <c r="E2789" s="11" t="str">
        <f t="array" ref="E2789">_xlfn.XLOOKUP(D2789,Insumos!B:B,Insumos!C:$C)</f>
        <v>M2</v>
      </c>
      <c r="F2789" s="14">
        <v>1</v>
      </c>
      <c r="G2789" s="87">
        <f t="array" ref="G2789">IF(B2789="insumo",_xlfn.XLOOKUP($D2789,Insumos!$B$1:$B$996,Insumos!$D$1:$D$996),"")</f>
        <v>55</v>
      </c>
      <c r="H2789" s="87">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332">
        <v>1</v>
      </c>
      <c r="B2790" s="332" t="s">
        <v>67</v>
      </c>
      <c r="C2790" s="332" t="s">
        <v>560</v>
      </c>
      <c r="D2790" s="332" t="s">
        <v>560</v>
      </c>
      <c r="E2790" s="333" t="s">
        <v>69</v>
      </c>
      <c r="F2790" s="332"/>
      <c r="G2790" s="334" t="str">
        <f t="array" ref="G2790">IF(B2790="insumo",_xlfn.XLOOKUP($D2790,Insumos!$B$1:$B$996,Insumos!$D$1:$D$996),"")</f>
        <v/>
      </c>
      <c r="H2790" s="334">
        <v>35</v>
      </c>
      <c r="I2790" s="335">
        <v>0</v>
      </c>
      <c r="J2790" s="335">
        <v>0</v>
      </c>
      <c r="K2790" s="335"/>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70</v>
      </c>
      <c r="C2791" s="10" t="s">
        <v>560</v>
      </c>
      <c r="D2791" s="10" t="s">
        <v>560</v>
      </c>
      <c r="E2791" s="11" t="str">
        <f t="array" ref="E2791">_xlfn.XLOOKUP(D2791,Insumos!B:B,Insumos!C:$C)</f>
        <v>M2</v>
      </c>
      <c r="F2791" s="14">
        <v>1</v>
      </c>
      <c r="G2791" s="87">
        <f t="array" ref="G2791">IF(B2791="insumo",_xlfn.XLOOKUP($D2791,Insumos!$B$1:$B$996,Insumos!$D$1:$D$996),"")</f>
        <v>35</v>
      </c>
      <c r="H2791" s="87">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332">
        <v>1</v>
      </c>
      <c r="B2792" s="332" t="s">
        <v>67</v>
      </c>
      <c r="C2792" s="332" t="s">
        <v>561</v>
      </c>
      <c r="D2792" s="332" t="s">
        <v>561</v>
      </c>
      <c r="E2792" s="333" t="s">
        <v>69</v>
      </c>
      <c r="F2792" s="332"/>
      <c r="G2792" s="364"/>
      <c r="H2792" s="334">
        <v>80.542132157776194</v>
      </c>
      <c r="I2792" s="335" t="e">
        <v>#REF!</v>
      </c>
      <c r="J2792" s="335" t="e">
        <v>#REF!</v>
      </c>
      <c r="K2792" s="335"/>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70</v>
      </c>
      <c r="C2793" s="10" t="s">
        <v>561</v>
      </c>
      <c r="D2793" s="10" t="s">
        <v>562</v>
      </c>
      <c r="E2793" s="11" t="str">
        <f t="array" ref="E2793">_xlfn.XLOOKUP(D2793,Insumos!B:B,Insumos!C:$C)</f>
        <v>M2</v>
      </c>
      <c r="F2793" s="14">
        <v>1.3423688692962701</v>
      </c>
      <c r="G2793" s="87">
        <f t="array" ref="G2793">IF(B2793="insumo",_xlfn.XLOOKUP($D2793,Insumos!$B$1:$B$996,Insumos!$D$1:$D$996),"")</f>
        <v>60</v>
      </c>
      <c r="H2793" s="87">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332">
        <v>1</v>
      </c>
      <c r="B2794" s="332" t="s">
        <v>67</v>
      </c>
      <c r="C2794" s="332" t="s">
        <v>2457</v>
      </c>
      <c r="D2794" s="332" t="s">
        <v>2457</v>
      </c>
      <c r="E2794" s="333" t="s">
        <v>112</v>
      </c>
      <c r="F2794" s="332"/>
      <c r="G2794" s="334" t="str">
        <f t="array" ref="G2794">IF(B2794="insumo",_xlfn.XLOOKUP($D2794,Insumos!$B$1:$B$996,Insumos!$D$1:$D$996),"")</f>
        <v/>
      </c>
      <c r="H2794" s="334">
        <v>343.22500000000002</v>
      </c>
      <c r="I2794" s="335" t="e">
        <v>#REF!</v>
      </c>
      <c r="J2794" s="335" t="e">
        <v>#REF!</v>
      </c>
      <c r="K2794" s="335"/>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70</v>
      </c>
      <c r="C2795" s="10" t="s">
        <v>2457</v>
      </c>
      <c r="D2795" s="10" t="s">
        <v>2458</v>
      </c>
      <c r="E2795" s="11" t="str">
        <f t="array" ref="E2795">_xlfn.XLOOKUP(D2795,Insumos!B:B,Insumos!C:$C)</f>
        <v>M</v>
      </c>
      <c r="F2795" s="14">
        <v>1.3729</v>
      </c>
      <c r="G2795" s="87">
        <f t="array" ref="G2795">IF(B2795="insumo",_xlfn.XLOOKUP($D2795,Insumos!$B$1:$B$996,Insumos!$D$1:$D$996),"")</f>
        <v>250</v>
      </c>
      <c r="H2795" s="87">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332">
        <v>1</v>
      </c>
      <c r="B2796" s="332" t="s">
        <v>67</v>
      </c>
      <c r="C2796" s="332" t="s">
        <v>563</v>
      </c>
      <c r="D2796" s="332" t="s">
        <v>563</v>
      </c>
      <c r="E2796" s="333" t="s">
        <v>69</v>
      </c>
      <c r="F2796" s="332"/>
      <c r="G2796" s="334" t="str">
        <f t="array" ref="G2796">IF(B2796="insumo",_xlfn.XLOOKUP($D2796,Insumos!$B$1:$B$996,Insumos!$D$1:$D$996),"")</f>
        <v/>
      </c>
      <c r="H2796" s="334">
        <v>137.29</v>
      </c>
      <c r="I2796" s="335" t="e">
        <v>#REF!</v>
      </c>
      <c r="J2796" s="335" t="e">
        <v>#REF!</v>
      </c>
      <c r="K2796" s="335"/>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70</v>
      </c>
      <c r="C2797" s="10" t="s">
        <v>563</v>
      </c>
      <c r="D2797" s="10" t="s">
        <v>563</v>
      </c>
      <c r="E2797" s="11" t="str">
        <f t="array" ref="E2797">_xlfn.XLOOKUP(D2797,Insumos!B:B,Insumos!C:$C)</f>
        <v>M2</v>
      </c>
      <c r="F2797" s="14">
        <v>1.3729</v>
      </c>
      <c r="G2797" s="87">
        <f t="array" ref="G2797">IF(B2797="insumo",_xlfn.XLOOKUP($D2797,Insumos!$B$1:$B$996,Insumos!$D$1:$D$996),"")</f>
        <v>100</v>
      </c>
      <c r="H2797" s="87">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332">
        <v>1</v>
      </c>
      <c r="B2798" s="332" t="s">
        <v>67</v>
      </c>
      <c r="C2798" s="332" t="s">
        <v>2474</v>
      </c>
      <c r="D2798" s="332" t="s">
        <v>2474</v>
      </c>
      <c r="E2798" s="333" t="s">
        <v>69</v>
      </c>
      <c r="F2798" s="332"/>
      <c r="G2798" s="334" t="str">
        <f t="array" ref="G2798">IF(B2798="insumo",_xlfn.XLOOKUP($D2798,Insumos!$B$1:$B$996,Insumos!$D$1:$D$996),"")</f>
        <v/>
      </c>
      <c r="H2798" s="334">
        <v>233.393</v>
      </c>
      <c r="I2798" s="335" t="e">
        <v>#REF!</v>
      </c>
      <c r="J2798" s="335" t="e">
        <v>#REF!</v>
      </c>
      <c r="K2798" s="335"/>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70</v>
      </c>
      <c r="C2799" s="10" t="s">
        <v>2474</v>
      </c>
      <c r="D2799" s="10" t="s">
        <v>2474</v>
      </c>
      <c r="E2799" s="11" t="str">
        <f t="array" ref="E2799">_xlfn.XLOOKUP(D2799,Insumos!B:B,Insumos!C:$C)</f>
        <v>M2</v>
      </c>
      <c r="F2799" s="14">
        <v>1.3729</v>
      </c>
      <c r="G2799" s="87">
        <f t="array" ref="G2799">IF(B2799="insumo",_xlfn.XLOOKUP($D2799,Insumos!$B$1:$B$996,Insumos!$D$1:$D$996),"")</f>
        <v>170</v>
      </c>
      <c r="H2799" s="87">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332">
        <v>1</v>
      </c>
      <c r="B2800" s="332" t="s">
        <v>67</v>
      </c>
      <c r="C2800" s="332" t="s">
        <v>564</v>
      </c>
      <c r="D2800" s="332" t="s">
        <v>564</v>
      </c>
      <c r="E2800" s="333" t="s">
        <v>69</v>
      </c>
      <c r="F2800" s="332"/>
      <c r="G2800" s="334" t="str">
        <f t="array" ref="G2800">IF(B2800="insumo",_xlfn.XLOOKUP($D2800,Insumos!$B$1:$B$996,Insumos!$D$1:$D$996),"")</f>
        <v/>
      </c>
      <c r="H2800" s="334">
        <v>49.424399999999999</v>
      </c>
      <c r="I2800" s="335" t="e">
        <v>#REF!</v>
      </c>
      <c r="J2800" s="335" t="e">
        <v>#REF!</v>
      </c>
      <c r="K2800" s="335"/>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70</v>
      </c>
      <c r="C2801" s="10" t="s">
        <v>564</v>
      </c>
      <c r="D2801" s="10" t="s">
        <v>564</v>
      </c>
      <c r="E2801" s="11" t="str">
        <f t="array" ref="E2801">_xlfn.XLOOKUP(D2801,Insumos!B:B,Insumos!C:$C)</f>
        <v>M2</v>
      </c>
      <c r="F2801" s="14">
        <v>1.3729</v>
      </c>
      <c r="G2801" s="87">
        <f t="array" ref="G2801">IF(B2801="insumo",_xlfn.XLOOKUP($D2801,Insumos!$B$1:$B$996,Insumos!$D$1:$D$996),"")</f>
        <v>36</v>
      </c>
      <c r="H2801" s="87">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332">
        <v>1</v>
      </c>
      <c r="B2802" s="332" t="s">
        <v>67</v>
      </c>
      <c r="C2802" s="332" t="s">
        <v>565</v>
      </c>
      <c r="D2802" s="332" t="s">
        <v>565</v>
      </c>
      <c r="E2802" s="333" t="s">
        <v>69</v>
      </c>
      <c r="F2802" s="332"/>
      <c r="G2802" s="334" t="str">
        <f t="array" ref="G2802">IF(B2802="insumo",_xlfn.XLOOKUP($D2802,Insumos!$B$1:$B$996,Insumos!$D$1:$D$996),"")</f>
        <v/>
      </c>
      <c r="H2802" s="334">
        <v>164.74799999999999</v>
      </c>
      <c r="I2802" s="335" t="e">
        <v>#REF!</v>
      </c>
      <c r="J2802" s="335" t="e">
        <v>#REF!</v>
      </c>
      <c r="K2802" s="335"/>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70</v>
      </c>
      <c r="C2803" s="10" t="s">
        <v>565</v>
      </c>
      <c r="D2803" s="10" t="s">
        <v>565</v>
      </c>
      <c r="E2803" s="11" t="str">
        <f t="array" ref="E2803">_xlfn.XLOOKUP(D2803,Insumos!B:B,Insumos!C:$C)</f>
        <v>M2</v>
      </c>
      <c r="F2803" s="14">
        <v>1.3729</v>
      </c>
      <c r="G2803" s="87">
        <f t="array" ref="G2803">IF(B2803="insumo",_xlfn.XLOOKUP($D2803,Insumos!$B$1:$B$996,Insumos!$D$1:$D$996),"")</f>
        <v>120</v>
      </c>
      <c r="H2803" s="87">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332">
        <v>1</v>
      </c>
      <c r="B2804" s="332" t="s">
        <v>67</v>
      </c>
      <c r="C2804" s="332" t="s">
        <v>566</v>
      </c>
      <c r="D2804" s="332" t="s">
        <v>566</v>
      </c>
      <c r="E2804" s="333" t="s">
        <v>69</v>
      </c>
      <c r="F2804" s="332"/>
      <c r="G2804" s="334" t="str">
        <f t="array" ref="G2804">IF(B2804="insumo",_xlfn.XLOOKUP($D2804,Insumos!$B$1:$B$996,Insumos!$D$1:$D$996),"")</f>
        <v/>
      </c>
      <c r="H2804" s="334">
        <v>49.424399999999999</v>
      </c>
      <c r="I2804" s="335" t="e">
        <v>#REF!</v>
      </c>
      <c r="J2804" s="335" t="e">
        <v>#REF!</v>
      </c>
      <c r="K2804" s="335"/>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70</v>
      </c>
      <c r="C2805" s="10" t="s">
        <v>566</v>
      </c>
      <c r="D2805" s="10" t="s">
        <v>566</v>
      </c>
      <c r="E2805" s="11" t="str">
        <f t="array" ref="E2805">_xlfn.XLOOKUP(D2805,Insumos!B:B,Insumos!C:$C)</f>
        <v>M2</v>
      </c>
      <c r="F2805" s="14">
        <v>1.3729</v>
      </c>
      <c r="G2805" s="87">
        <f t="array" ref="G2805">IF(B2805="insumo",_xlfn.XLOOKUP($D2805,Insumos!$B$1:$B$996,Insumos!$D$1:$D$996),"")</f>
        <v>36</v>
      </c>
      <c r="H2805" s="87">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336">
        <v>1</v>
      </c>
      <c r="B2806" s="336" t="s">
        <v>67</v>
      </c>
      <c r="C2806" s="336" t="s">
        <v>1787</v>
      </c>
      <c r="D2806" s="336" t="s">
        <v>1787</v>
      </c>
      <c r="E2806" s="337" t="s">
        <v>69</v>
      </c>
      <c r="F2806" s="336"/>
      <c r="G2806" s="338" t="str">
        <f t="array" ref="G2806">IF(B2806="insumo",_xlfn.XLOOKUP($D2806,Insumos!$B$1:$B$996,Insumos!$D$1:$D$996),"")</f>
        <v/>
      </c>
      <c r="H2806" s="338">
        <v>126.415294</v>
      </c>
      <c r="I2806" s="339">
        <v>0</v>
      </c>
      <c r="J2806" s="339">
        <v>0</v>
      </c>
      <c r="K2806" s="339"/>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77">
        <v>86</v>
      </c>
      <c r="B2807" s="77" t="s">
        <v>70</v>
      </c>
      <c r="C2807" s="77" t="s">
        <v>1787</v>
      </c>
      <c r="D2807" s="77" t="s">
        <v>406</v>
      </c>
      <c r="E2807" s="11" t="str">
        <f t="array" ref="E2807">_xlfn.XLOOKUP(D2807,Insumos!B:B,Insumos!C:$C)</f>
        <v>M2</v>
      </c>
      <c r="F2807" s="81">
        <v>1</v>
      </c>
      <c r="G2807" s="87">
        <f t="array" ref="G2807">IF(B2807="insumo",_xlfn.XLOOKUP($D2807,Insumos!$B$1:$B$996,Insumos!$D$1:$D$996),"")</f>
        <v>70</v>
      </c>
      <c r="H2807" s="87">
        <v>70</v>
      </c>
      <c r="I2807" s="79">
        <v>0</v>
      </c>
      <c r="J2807" s="79">
        <v>0</v>
      </c>
      <c r="K2807" s="79"/>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77">
        <v>49</v>
      </c>
      <c r="B2808" s="77" t="s">
        <v>70</v>
      </c>
      <c r="C2808" s="77" t="s">
        <v>1787</v>
      </c>
      <c r="D2808" s="77" t="s">
        <v>417</v>
      </c>
      <c r="E2808" s="11" t="str">
        <f t="array" ref="E2808">_xlfn.XLOOKUP(D2808,Insumos!B:B,Insumos!C:$C)</f>
        <v>M2</v>
      </c>
      <c r="F2808" s="81">
        <v>1.0529999999999999</v>
      </c>
      <c r="G2808" s="87">
        <f t="array" ref="G2808">IF(B2808="insumo",_xlfn.XLOOKUP($D2808,Insumos!$B$1:$B$996,Insumos!$D$1:$D$996),"")</f>
        <v>27.1</v>
      </c>
      <c r="H2808" s="87">
        <v>28.536300000000001</v>
      </c>
      <c r="I2808" s="79">
        <v>0</v>
      </c>
      <c r="J2808" s="79">
        <v>0</v>
      </c>
      <c r="K2808" s="79"/>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77">
        <v>95</v>
      </c>
      <c r="B2809" s="77" t="s">
        <v>70</v>
      </c>
      <c r="C2809" s="77" t="s">
        <v>1787</v>
      </c>
      <c r="D2809" s="77" t="s">
        <v>408</v>
      </c>
      <c r="E2809" s="11" t="str">
        <f t="array" ref="E2809">_xlfn.XLOOKUP(D2809,Insumos!B:B,Insumos!C:$C)</f>
        <v>UN</v>
      </c>
      <c r="F2809" s="81">
        <v>2.48</v>
      </c>
      <c r="G2809" s="87">
        <f t="array" ref="G2809">IF(B2809="insumo",_xlfn.XLOOKUP($D2809,Insumos!$B$1:$B$996,Insumos!$D$1:$D$996),"")</f>
        <v>0.504</v>
      </c>
      <c r="H2809" s="87">
        <v>1.2499199999999999</v>
      </c>
      <c r="I2809" s="79">
        <v>0</v>
      </c>
      <c r="J2809" s="79">
        <v>0</v>
      </c>
      <c r="K2809" s="79"/>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77">
        <v>26</v>
      </c>
      <c r="B2810" s="77" t="s">
        <v>70</v>
      </c>
      <c r="C2810" s="77" t="s">
        <v>1787</v>
      </c>
      <c r="D2810" s="77" t="s">
        <v>409</v>
      </c>
      <c r="E2810" s="11" t="str">
        <f t="array" ref="E2810">_xlfn.XLOOKUP(D2810,Insumos!B:B,Insumos!C:$C)</f>
        <v>M</v>
      </c>
      <c r="F2810" s="81">
        <v>0.76239999999999997</v>
      </c>
      <c r="G2810" s="87">
        <f t="array" ref="G2810">IF(B2810="insumo",_xlfn.XLOOKUP($D2810,Insumos!$B$1:$B$996,Insumos!$D$1:$D$996),"")</f>
        <v>7.03</v>
      </c>
      <c r="H2810" s="87">
        <v>5.3596719999999998</v>
      </c>
      <c r="I2810" s="79">
        <v>0</v>
      </c>
      <c r="J2810" s="79">
        <v>0</v>
      </c>
      <c r="K2810" s="79"/>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77">
        <v>26</v>
      </c>
      <c r="B2811" s="77" t="s">
        <v>70</v>
      </c>
      <c r="C2811" s="77" t="s">
        <v>1787</v>
      </c>
      <c r="D2811" s="77" t="s">
        <v>410</v>
      </c>
      <c r="E2811" s="11" t="str">
        <f t="array" ref="E2811">_xlfn.XLOOKUP(D2811,Insumos!B:B,Insumos!C:$C)</f>
        <v>M</v>
      </c>
      <c r="F2811" s="81">
        <v>2.0005999999999999</v>
      </c>
      <c r="G2811" s="87">
        <f t="array" ref="G2811">IF(B2811="insumo",_xlfn.XLOOKUP($D2811,Insumos!$B$1:$B$996,Insumos!$D$1:$D$996),"")</f>
        <v>7.98</v>
      </c>
      <c r="H2811" s="87">
        <v>15.964788</v>
      </c>
      <c r="I2811" s="79">
        <v>0</v>
      </c>
      <c r="J2811" s="79">
        <v>0</v>
      </c>
      <c r="K2811" s="79"/>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77">
        <v>95</v>
      </c>
      <c r="B2812" s="77" t="s">
        <v>70</v>
      </c>
      <c r="C2812" s="77" t="s">
        <v>1787</v>
      </c>
      <c r="D2812" s="77" t="s">
        <v>404</v>
      </c>
      <c r="E2812" s="11" t="str">
        <f t="array" ref="E2812">_xlfn.XLOOKUP(D2812,Insumos!B:B,Insumos!C:$C)</f>
        <v>KG</v>
      </c>
      <c r="F2812" s="81">
        <v>0.54890000000000005</v>
      </c>
      <c r="G2812" s="87">
        <f t="array" ref="G2812">IF(B2812="insumo",_xlfn.XLOOKUP($D2812,Insumos!$B$1:$B$996,Insumos!$D$1:$D$996),"")</f>
        <v>3.43</v>
      </c>
      <c r="H2812" s="87">
        <v>1.882727</v>
      </c>
      <c r="I2812" s="79">
        <v>0</v>
      </c>
      <c r="J2812" s="79">
        <v>0</v>
      </c>
      <c r="K2812" s="79"/>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77">
        <v>94</v>
      </c>
      <c r="B2813" s="77" t="s">
        <v>70</v>
      </c>
      <c r="C2813" s="77" t="s">
        <v>1787</v>
      </c>
      <c r="D2813" s="77" t="s">
        <v>411</v>
      </c>
      <c r="E2813" s="11" t="str">
        <f t="array" ref="E2813">_xlfn.XLOOKUP(D2813,Insumos!B:B,Insumos!C:$C)</f>
        <v>M</v>
      </c>
      <c r="F2813" s="81">
        <v>1.2513000000000001</v>
      </c>
      <c r="G2813" s="87">
        <f t="array" ref="G2813">IF(B2813="insumo",_xlfn.XLOOKUP($D2813,Insumos!$B$1:$B$996,Insumos!$D$1:$D$996),"")</f>
        <v>0.31</v>
      </c>
      <c r="H2813" s="87">
        <v>0.387903</v>
      </c>
      <c r="I2813" s="79">
        <v>0</v>
      </c>
      <c r="J2813" s="79">
        <v>0</v>
      </c>
      <c r="K2813" s="79"/>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77">
        <v>94</v>
      </c>
      <c r="B2814" s="77" t="s">
        <v>70</v>
      </c>
      <c r="C2814" s="77" t="s">
        <v>1787</v>
      </c>
      <c r="D2814" s="77" t="s">
        <v>412</v>
      </c>
      <c r="E2814" s="11" t="str">
        <f t="array" ref="E2814">_xlfn.XLOOKUP(D2814,Insumos!B:B,Insumos!C:$C)</f>
        <v>M</v>
      </c>
      <c r="F2814" s="81">
        <v>0.74070000000000003</v>
      </c>
      <c r="G2814" s="87">
        <f t="array" ref="G2814">IF(B2814="insumo",_xlfn.XLOOKUP($D2814,Insumos!$B$1:$B$996,Insumos!$D$1:$D$996),"")</f>
        <v>2.74</v>
      </c>
      <c r="H2814" s="87">
        <v>2.0295179999999999</v>
      </c>
      <c r="I2814" s="79">
        <v>0</v>
      </c>
      <c r="J2814" s="79">
        <v>0</v>
      </c>
      <c r="K2814" s="79"/>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77">
        <v>97</v>
      </c>
      <c r="B2815" s="77" t="s">
        <v>70</v>
      </c>
      <c r="C2815" s="77" t="s">
        <v>1787</v>
      </c>
      <c r="D2815" s="77" t="s">
        <v>413</v>
      </c>
      <c r="E2815" s="11" t="str">
        <f t="array" ref="E2815">_xlfn.XLOOKUP(D2815,Insumos!B:B,Insumos!C:$C)</f>
        <v>UN</v>
      </c>
      <c r="F2815" s="81">
        <v>10.093400000000001</v>
      </c>
      <c r="G2815" s="87">
        <f t="array" ref="G2815">IF(B2815="insumo",_xlfn.XLOOKUP($D2815,Insumos!$B$1:$B$996,Insumos!$D$1:$D$996),"")</f>
        <v>0.09</v>
      </c>
      <c r="H2815" s="87">
        <v>0.90840600000000005</v>
      </c>
      <c r="I2815" s="79">
        <v>0</v>
      </c>
      <c r="J2815" s="79">
        <v>0</v>
      </c>
      <c r="K2815" s="79"/>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77">
        <v>95</v>
      </c>
      <c r="B2816" s="77" t="s">
        <v>70</v>
      </c>
      <c r="C2816" s="77" t="s">
        <v>1787</v>
      </c>
      <c r="D2816" s="77" t="s">
        <v>414</v>
      </c>
      <c r="E2816" s="11" t="str">
        <f t="array" ref="E2816">_xlfn.XLOOKUP(D2816,Insumos!B:B,Insumos!C:$C)</f>
        <v>UN</v>
      </c>
      <c r="F2816" s="81">
        <v>0.4803</v>
      </c>
      <c r="G2816" s="87">
        <f t="array" ref="G2816">IF(B2816="insumo",_xlfn.XLOOKUP($D2816,Insumos!$B$1:$B$996,Insumos!$D$1:$D$996),"")</f>
        <v>0.2</v>
      </c>
      <c r="H2816" s="87">
        <v>9.6060000000000006E-2</v>
      </c>
      <c r="I2816" s="79">
        <v>0</v>
      </c>
      <c r="J2816" s="79">
        <v>0</v>
      </c>
      <c r="K2816" s="79"/>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355">
        <v>1</v>
      </c>
      <c r="B2817" s="355" t="s">
        <v>1227</v>
      </c>
      <c r="C2817" s="355" t="s">
        <v>1787</v>
      </c>
      <c r="D2817" s="355" t="s">
        <v>1422</v>
      </c>
      <c r="E2817" s="356"/>
      <c r="F2817" s="357"/>
      <c r="G2817" s="356"/>
      <c r="H2817" s="356">
        <v>0</v>
      </c>
      <c r="I2817" s="357">
        <v>0</v>
      </c>
      <c r="J2817" s="357">
        <v>0</v>
      </c>
      <c r="K2817" s="357"/>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332">
        <v>1</v>
      </c>
      <c r="B2818" s="332" t="s">
        <v>67</v>
      </c>
      <c r="C2818" s="332" t="s">
        <v>567</v>
      </c>
      <c r="D2818" s="332" t="s">
        <v>567</v>
      </c>
      <c r="E2818" s="333" t="s">
        <v>69</v>
      </c>
      <c r="F2818" s="332"/>
      <c r="G2818" s="334" t="str">
        <f t="array" ref="G2818">IF(B2818="insumo",_xlfn.XLOOKUP($D2818,Insumos!$B$1:$B$996,Insumos!$D$1:$D$996),"")</f>
        <v/>
      </c>
      <c r="H2818" s="334">
        <v>219.20046110145</v>
      </c>
      <c r="I2818" s="335">
        <v>0</v>
      </c>
      <c r="J2818" s="335">
        <v>0</v>
      </c>
      <c r="K2818" s="335"/>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70</v>
      </c>
      <c r="C2819" s="10" t="s">
        <v>567</v>
      </c>
      <c r="D2819" s="10" t="s">
        <v>567</v>
      </c>
      <c r="E2819" s="11" t="str">
        <f t="array" ref="E2819">_xlfn.XLOOKUP(D2819,Insumos!B:B,Insumos!C:$C)</f>
        <v>M2</v>
      </c>
      <c r="F2819" s="14">
        <v>1</v>
      </c>
      <c r="G2819" s="87">
        <f t="array" ref="G2819">IF(B2819="insumo",_xlfn.XLOOKUP($D2819,Insumos!$B$1:$B$996,Insumos!$D$1:$D$996),"")</f>
        <v>219.20046110145017</v>
      </c>
      <c r="H2819" s="87">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332">
        <v>1</v>
      </c>
      <c r="B2820" s="332" t="s">
        <v>67</v>
      </c>
      <c r="C2820" s="332" t="s">
        <v>2441</v>
      </c>
      <c r="D2820" s="332" t="s">
        <v>2441</v>
      </c>
      <c r="E2820" s="333" t="s">
        <v>69</v>
      </c>
      <c r="F2820" s="332"/>
      <c r="G2820" s="334" t="str">
        <f t="array" ref="G2820">IF(B2820="insumo",_xlfn.XLOOKUP($D2820,Insumos!$B$1:$B$996,Insumos!$D$1:$D$996),"")</f>
        <v/>
      </c>
      <c r="H2820" s="334">
        <v>985.16483516483504</v>
      </c>
      <c r="I2820" s="335" t="e">
        <v>#REF!</v>
      </c>
      <c r="J2820" s="335" t="e">
        <v>#REF!</v>
      </c>
      <c r="K2820" s="335"/>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70</v>
      </c>
      <c r="C2821" s="10" t="s">
        <v>2441</v>
      </c>
      <c r="D2821" s="10" t="s">
        <v>2442</v>
      </c>
      <c r="E2821" s="11" t="str">
        <f t="array" ref="E2821">_xlfn.XLOOKUP(D2821,Insumos!B:B,Insumos!C:$C)</f>
        <v>M2</v>
      </c>
      <c r="F2821" s="14">
        <v>1</v>
      </c>
      <c r="G2821" s="87">
        <f t="array" ref="G2821">IF(B2821="insumo",_xlfn.XLOOKUP($D2821,Insumos!$B$1:$B$996,Insumos!$D$1:$D$996),"")</f>
        <v>985.16483516483504</v>
      </c>
      <c r="H2821" s="87">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332">
        <v>1</v>
      </c>
      <c r="B2822" s="341" t="s">
        <v>67</v>
      </c>
      <c r="C2822" s="341" t="s">
        <v>2443</v>
      </c>
      <c r="D2822" s="341" t="s">
        <v>2443</v>
      </c>
      <c r="E2822" s="343" t="s">
        <v>787</v>
      </c>
      <c r="F2822" s="341"/>
      <c r="G2822" s="334" t="str">
        <f t="array" ref="G2822">IF(B2822="insumo",_xlfn.XLOOKUP($D2822,Insumos!$B$1:$B$996,Insumos!$D$1:$D$996),"")</f>
        <v/>
      </c>
      <c r="H2822" s="334">
        <v>11.3</v>
      </c>
      <c r="I2822" s="335">
        <v>0</v>
      </c>
      <c r="J2822" s="335">
        <v>0</v>
      </c>
      <c r="K2822" s="335"/>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235" t="s">
        <v>70</v>
      </c>
      <c r="C2823" s="235" t="s">
        <v>2443</v>
      </c>
      <c r="D2823" s="235" t="s">
        <v>2444</v>
      </c>
      <c r="E2823" s="236" t="s">
        <v>112</v>
      </c>
      <c r="F2823" s="81">
        <v>1</v>
      </c>
      <c r="G2823" s="87">
        <f t="array" ref="G2823">IF(B2823="insumo",_xlfn.XLOOKUP($D2823,Insumos!$B$1:$B$996,Insumos!$D$1:$D$996),"")</f>
        <v>11.3</v>
      </c>
      <c r="H2823" s="87">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332">
        <v>1</v>
      </c>
      <c r="B2824" s="341" t="s">
        <v>67</v>
      </c>
      <c r="C2824" s="341" t="s">
        <v>2445</v>
      </c>
      <c r="D2824" s="341" t="s">
        <v>2445</v>
      </c>
      <c r="E2824" s="343" t="s">
        <v>787</v>
      </c>
      <c r="F2824" s="341"/>
      <c r="G2824" s="334" t="str">
        <f t="array" ref="G2824">IF(B2824="insumo",_xlfn.XLOOKUP($D2824,Insumos!$B$1:$B$996,Insumos!$D$1:$D$996),"")</f>
        <v/>
      </c>
      <c r="H2824" s="334">
        <v>2315.8550312677698</v>
      </c>
      <c r="I2824" s="335">
        <v>0</v>
      </c>
      <c r="J2824" s="335">
        <v>0</v>
      </c>
      <c r="K2824" s="335"/>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235" t="s">
        <v>70</v>
      </c>
      <c r="C2825" s="235" t="s">
        <v>2445</v>
      </c>
      <c r="D2825" s="235" t="s">
        <v>2446</v>
      </c>
      <c r="E2825" s="236" t="s">
        <v>69</v>
      </c>
      <c r="F2825" s="81">
        <v>1</v>
      </c>
      <c r="G2825" s="87">
        <f t="array" ref="G2825">IF(B2825="insumo",_xlfn.XLOOKUP($D2825,Insumos!$B$1:$B$996,Insumos!$D$1:$D$996),"")</f>
        <v>2315.8550312677658</v>
      </c>
      <c r="H2825" s="87">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332">
        <v>1</v>
      </c>
      <c r="B2826" s="341" t="s">
        <v>67</v>
      </c>
      <c r="C2826" s="341" t="s">
        <v>2447</v>
      </c>
      <c r="D2826" s="341" t="s">
        <v>2447</v>
      </c>
      <c r="E2826" s="343" t="s">
        <v>69</v>
      </c>
      <c r="F2826" s="341"/>
      <c r="G2826" s="334" t="str">
        <f t="array" ref="G2826">IF(B2826="insumo",_xlfn.XLOOKUP($D2826,Insumos!$B$1:$B$996,Insumos!$D$1:$D$996),"")</f>
        <v/>
      </c>
      <c r="H2826" s="334">
        <v>85</v>
      </c>
      <c r="I2826" s="335">
        <v>0</v>
      </c>
      <c r="J2826" s="335">
        <v>0</v>
      </c>
      <c r="K2826" s="335"/>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235" t="s">
        <v>70</v>
      </c>
      <c r="C2827" s="235" t="s">
        <v>2447</v>
      </c>
      <c r="D2827" s="235" t="s">
        <v>2448</v>
      </c>
      <c r="E2827" s="236" t="s">
        <v>69</v>
      </c>
      <c r="F2827" s="81">
        <v>1</v>
      </c>
      <c r="G2827" s="87">
        <f t="array" ref="G2827">IF(B2827="insumo",_xlfn.XLOOKUP($D2827,Insumos!$B$1:$B$996,Insumos!$D$1:$D$996),"")</f>
        <v>85</v>
      </c>
      <c r="H2827" s="87">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332">
        <v>1</v>
      </c>
      <c r="B2828" s="341" t="s">
        <v>67</v>
      </c>
      <c r="C2828" s="341" t="s">
        <v>2449</v>
      </c>
      <c r="D2828" s="341" t="s">
        <v>2449</v>
      </c>
      <c r="E2828" s="343" t="s">
        <v>69</v>
      </c>
      <c r="F2828" s="341"/>
      <c r="G2828" s="334" t="str">
        <f t="array" ref="G2828">IF(B2828="insumo",_xlfn.XLOOKUP($D2828,Insumos!$B$1:$B$996,Insumos!$D$1:$D$996),"")</f>
        <v/>
      </c>
      <c r="H2828" s="334">
        <v>100</v>
      </c>
      <c r="I2828" s="335">
        <v>0</v>
      </c>
      <c r="J2828" s="335">
        <v>0</v>
      </c>
      <c r="K2828" s="335"/>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235" t="s">
        <v>70</v>
      </c>
      <c r="C2829" s="235" t="s">
        <v>2449</v>
      </c>
      <c r="D2829" s="235" t="s">
        <v>563</v>
      </c>
      <c r="E2829" s="236" t="s">
        <v>69</v>
      </c>
      <c r="F2829" s="81">
        <v>1</v>
      </c>
      <c r="G2829" s="87">
        <f t="array" ref="G2829">IF(B2829="insumo",_xlfn.XLOOKUP($D2829,Insumos!$B$1:$B$996,Insumos!$D$1:$D$996),"")</f>
        <v>100</v>
      </c>
      <c r="H2829" s="87">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332">
        <v>1</v>
      </c>
      <c r="B2830" s="341" t="s">
        <v>67</v>
      </c>
      <c r="C2830" s="341" t="s">
        <v>2450</v>
      </c>
      <c r="D2830" s="341" t="s">
        <v>2450</v>
      </c>
      <c r="E2830" s="343" t="s">
        <v>69</v>
      </c>
      <c r="F2830" s="341"/>
      <c r="G2830" s="334" t="str">
        <f t="array" ref="G2830">IF(B2830="insumo",_xlfn.XLOOKUP($D2830,Insumos!$B$1:$B$996,Insumos!$D$1:$D$996),"")</f>
        <v/>
      </c>
      <c r="H2830" s="334">
        <v>198.02</v>
      </c>
      <c r="I2830" s="335">
        <v>0</v>
      </c>
      <c r="J2830" s="335">
        <v>0</v>
      </c>
      <c r="K2830" s="335"/>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235" t="s">
        <v>70</v>
      </c>
      <c r="C2831" s="235" t="s">
        <v>2450</v>
      </c>
      <c r="D2831" s="235" t="s">
        <v>2450</v>
      </c>
      <c r="E2831" s="236" t="s">
        <v>69</v>
      </c>
      <c r="F2831" s="81">
        <v>1</v>
      </c>
      <c r="G2831" s="87">
        <f t="array" ref="G2831">IF(B2831="insumo",_xlfn.XLOOKUP($D2831,Insumos!$B$1:$B$996,Insumos!$D$1:$D$996),"")</f>
        <v>198.02</v>
      </c>
      <c r="H2831" s="87">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332">
        <v>1</v>
      </c>
      <c r="B2832" s="332" t="s">
        <v>67</v>
      </c>
      <c r="C2832" s="332" t="s">
        <v>2483</v>
      </c>
      <c r="D2832" s="332" t="s">
        <v>2483</v>
      </c>
      <c r="E2832" s="333" t="s">
        <v>69</v>
      </c>
      <c r="F2832" s="332"/>
      <c r="G2832" s="334" t="str">
        <f t="array" ref="G2832">IF(B2832="insumo",_xlfn.XLOOKUP($D2832,Insumos!$B$1:$B$996,Insumos!$D$1:$D$996),"")</f>
        <v/>
      </c>
      <c r="H2832" s="334">
        <v>283.616352201258</v>
      </c>
      <c r="I2832" s="335" t="e">
        <v>#REF!</v>
      </c>
      <c r="J2832" s="335" t="e">
        <v>#REF!</v>
      </c>
      <c r="K2832" s="335"/>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70</v>
      </c>
      <c r="C2833" s="10" t="s">
        <v>2483</v>
      </c>
      <c r="D2833" s="10" t="s">
        <v>2417</v>
      </c>
      <c r="E2833" s="11" t="str">
        <f t="array" ref="E2833">_xlfn.XLOOKUP(D2833,Insumos!B:B,Insumos!C:$C)</f>
        <v>M2</v>
      </c>
      <c r="F2833" s="14">
        <v>1.3</v>
      </c>
      <c r="G2833" s="87">
        <f t="array" ref="G2833">IF(B2833="insumo",_xlfn.XLOOKUP($D2833,Insumos!$B$1:$B$996,Insumos!$D$1:$D$996),"")</f>
        <v>50</v>
      </c>
      <c r="H2833" s="87">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70</v>
      </c>
      <c r="C2834" s="10" t="s">
        <v>2483</v>
      </c>
      <c r="D2834" s="10" t="s">
        <v>2419</v>
      </c>
      <c r="E2834" s="11" t="str">
        <f t="array" ref="E2834">_xlfn.XLOOKUP(D2834,Insumos!B:B,Insumos!C:$C)</f>
        <v>M2</v>
      </c>
      <c r="F2834" s="14">
        <v>1.1000000000000001</v>
      </c>
      <c r="G2834" s="87">
        <f t="array" ref="G2834">IF(B2834="insumo",_xlfn.XLOOKUP($D2834,Insumos!$B$1:$B$996,Insumos!$D$1:$D$996),"")</f>
        <v>198.74213836477986</v>
      </c>
      <c r="H2834" s="87">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332">
        <v>1</v>
      </c>
      <c r="B2835" s="341" t="s">
        <v>67</v>
      </c>
      <c r="C2835" s="341" t="s">
        <v>2451</v>
      </c>
      <c r="D2835" s="341" t="s">
        <v>2451</v>
      </c>
      <c r="E2835" s="343" t="s">
        <v>69</v>
      </c>
      <c r="F2835" s="341"/>
      <c r="G2835" s="334" t="str">
        <f t="array" ref="G2835">IF(B2835="insumo",_xlfn.XLOOKUP($D2835,Insumos!$B$1:$B$996,Insumos!$D$1:$D$996),"")</f>
        <v/>
      </c>
      <c r="H2835" s="334">
        <v>722</v>
      </c>
      <c r="I2835" s="335">
        <v>0</v>
      </c>
      <c r="J2835" s="335">
        <v>0</v>
      </c>
      <c r="K2835" s="335"/>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235" t="s">
        <v>70</v>
      </c>
      <c r="C2836" s="235" t="s">
        <v>2451</v>
      </c>
      <c r="D2836" s="235" t="s">
        <v>2452</v>
      </c>
      <c r="E2836" s="236" t="s">
        <v>69</v>
      </c>
      <c r="F2836" s="81">
        <v>1.1000000000000001</v>
      </c>
      <c r="G2836" s="87">
        <f t="array" ref="G2836">IF(B2836="insumo",_xlfn.XLOOKUP($D2836,Insumos!$B$1:$B$996,Insumos!$D$1:$D$996),"")</f>
        <v>520</v>
      </c>
      <c r="H2836" s="87">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235" t="s">
        <v>70</v>
      </c>
      <c r="C2837" s="235" t="s">
        <v>2451</v>
      </c>
      <c r="D2837" s="235" t="s">
        <v>571</v>
      </c>
      <c r="E2837" s="236" t="s">
        <v>69</v>
      </c>
      <c r="F2837" s="81">
        <v>1</v>
      </c>
      <c r="G2837" s="87">
        <f t="array" ref="G2837">IF(B2837="insumo",_xlfn.XLOOKUP($D2837,Insumos!$B$1:$B$996,Insumos!$D$1:$D$996),"")</f>
        <v>150</v>
      </c>
      <c r="H2837" s="87">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332">
        <v>1</v>
      </c>
      <c r="B2838" s="341" t="s">
        <v>67</v>
      </c>
      <c r="C2838" s="341" t="s">
        <v>2453</v>
      </c>
      <c r="D2838" s="341" t="s">
        <v>2453</v>
      </c>
      <c r="E2838" s="343" t="s">
        <v>69</v>
      </c>
      <c r="F2838" s="341"/>
      <c r="G2838" s="334" t="str">
        <f t="array" ref="G2838">IF(B2838="insumo",_xlfn.XLOOKUP($D2838,Insumos!$B$1:$B$996,Insumos!$D$1:$D$996),"")</f>
        <v/>
      </c>
      <c r="H2838" s="334">
        <v>788</v>
      </c>
      <c r="I2838" s="335" t="e">
        <v>#REF!</v>
      </c>
      <c r="J2838" s="335" t="e">
        <v>#REF!</v>
      </c>
      <c r="K2838" s="335"/>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235" t="s">
        <v>70</v>
      </c>
      <c r="C2839" s="235" t="s">
        <v>2453</v>
      </c>
      <c r="D2839" s="235" t="s">
        <v>2454</v>
      </c>
      <c r="E2839" s="236" t="s">
        <v>69</v>
      </c>
      <c r="F2839" s="81">
        <v>1.1000000000000001</v>
      </c>
      <c r="G2839" s="87">
        <f t="array" ref="G2839">IF(B2839="insumo",_xlfn.XLOOKUP($D2839,Insumos!$B$1:$B$996,Insumos!$D$1:$D$996),"")</f>
        <v>580</v>
      </c>
      <c r="H2839" s="87">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235" t="s">
        <v>70</v>
      </c>
      <c r="C2840" s="235" t="s">
        <v>2453</v>
      </c>
      <c r="D2840" s="235" t="s">
        <v>571</v>
      </c>
      <c r="E2840" s="236" t="s">
        <v>69</v>
      </c>
      <c r="F2840" s="81">
        <v>1</v>
      </c>
      <c r="G2840" s="87">
        <f t="array" ref="G2840">IF(B2840="insumo",_xlfn.XLOOKUP($D2840,Insumos!$B$1:$B$996,Insumos!$D$1:$D$996),"")</f>
        <v>150</v>
      </c>
      <c r="H2840" s="87">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332">
        <v>1</v>
      </c>
      <c r="B2841" s="332" t="s">
        <v>67</v>
      </c>
      <c r="C2841" s="332" t="s">
        <v>568</v>
      </c>
      <c r="D2841" s="332" t="s">
        <v>568</v>
      </c>
      <c r="E2841" s="333" t="s">
        <v>69</v>
      </c>
      <c r="F2841" s="332"/>
      <c r="G2841" s="334" t="str">
        <f t="array" ref="G2841">IF(B2841="insumo",_xlfn.XLOOKUP($D2841,Insumos!$B$1:$B$996,Insumos!$D$1:$D$996),"")</f>
        <v/>
      </c>
      <c r="H2841" s="334">
        <v>275</v>
      </c>
      <c r="I2841" s="335">
        <v>0</v>
      </c>
      <c r="J2841" s="335">
        <v>0</v>
      </c>
      <c r="K2841" s="335"/>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70</v>
      </c>
      <c r="C2842" s="10" t="s">
        <v>568</v>
      </c>
      <c r="D2842" s="10" t="s">
        <v>568</v>
      </c>
      <c r="E2842" s="11" t="str">
        <f t="array" ref="E2842">_xlfn.XLOOKUP(D2842,Insumos!B:B,Insumos!C:$C)</f>
        <v>M2</v>
      </c>
      <c r="F2842" s="14">
        <v>1</v>
      </c>
      <c r="G2842" s="87">
        <f t="array" ref="G2842">IF(B2842="insumo",_xlfn.XLOOKUP($D2842,Insumos!$B$1:$B$996,Insumos!$D$1:$D$996),"")</f>
        <v>275</v>
      </c>
      <c r="H2842" s="87">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332">
        <v>1</v>
      </c>
      <c r="B2843" s="332" t="s">
        <v>67</v>
      </c>
      <c r="C2843" s="332" t="s">
        <v>2481</v>
      </c>
      <c r="D2843" s="332" t="s">
        <v>2481</v>
      </c>
      <c r="E2843" s="333" t="s">
        <v>69</v>
      </c>
      <c r="F2843" s="332"/>
      <c r="G2843" s="334" t="str">
        <f t="array" ref="G2843">IF(B2843="insumo",_xlfn.XLOOKUP($D2843,Insumos!$B$1:$B$996,Insumos!$D$1:$D$996),"")</f>
        <v/>
      </c>
      <c r="H2843" s="334">
        <v>330</v>
      </c>
      <c r="I2843" s="335" t="e">
        <v>#REF!</v>
      </c>
      <c r="J2843" s="335" t="e">
        <v>#REF!</v>
      </c>
      <c r="K2843" s="335"/>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70</v>
      </c>
      <c r="C2844" s="10" t="s">
        <v>2481</v>
      </c>
      <c r="D2844" s="10" t="s">
        <v>2481</v>
      </c>
      <c r="E2844" s="11" t="str">
        <f t="array" ref="E2844">_xlfn.XLOOKUP(D2844,Insumos!B:B,Insumos!C:$C)</f>
        <v>M2</v>
      </c>
      <c r="F2844" s="14">
        <v>1.1000000000000001</v>
      </c>
      <c r="G2844" s="87">
        <f t="array" ref="G2844">IF(B2844="insumo",_xlfn.XLOOKUP($D2844,Insumos!$B$1:$B$996,Insumos!$D$1:$D$996),"")</f>
        <v>300</v>
      </c>
      <c r="H2844" s="87">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332">
        <v>1</v>
      </c>
      <c r="B2845" s="332" t="s">
        <v>67</v>
      </c>
      <c r="C2845" s="332" t="s">
        <v>2466</v>
      </c>
      <c r="D2845" s="332" t="s">
        <v>2466</v>
      </c>
      <c r="E2845" s="333" t="s">
        <v>69</v>
      </c>
      <c r="F2845" s="332"/>
      <c r="G2845" s="334" t="str">
        <f t="array" ref="G2845">IF(B2845="insumo",_xlfn.XLOOKUP($D2845,Insumos!$B$1:$B$996,Insumos!$D$1:$D$996),"")</f>
        <v/>
      </c>
      <c r="H2845" s="334">
        <v>1056</v>
      </c>
      <c r="I2845" s="335" t="e">
        <v>#REF!</v>
      </c>
      <c r="J2845" s="335" t="e">
        <v>#REF!</v>
      </c>
      <c r="K2845" s="335"/>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70</v>
      </c>
      <c r="C2846" s="10" t="s">
        <v>2466</v>
      </c>
      <c r="D2846" s="10" t="s">
        <v>2467</v>
      </c>
      <c r="E2846" s="11" t="str">
        <f t="array" ref="E2846">_xlfn.XLOOKUP(D2846,Insumos!B:B,Insumos!C:$C)</f>
        <v>M2</v>
      </c>
      <c r="F2846" s="14">
        <v>1.1000000000000001</v>
      </c>
      <c r="G2846" s="87">
        <f t="array" ref="G2846">IF(B2846="insumo",_xlfn.XLOOKUP($D2846,Insumos!$B$1:$B$996,Insumos!$D$1:$D$996),"")</f>
        <v>360</v>
      </c>
      <c r="H2846" s="87">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70</v>
      </c>
      <c r="C2847" s="10" t="s">
        <v>2466</v>
      </c>
      <c r="D2847" s="10" t="s">
        <v>2468</v>
      </c>
      <c r="E2847" s="11" t="str">
        <f t="array" ref="E2847">_xlfn.XLOOKUP(D2847,Insumos!B:B,Insumos!C:$C)</f>
        <v>M2</v>
      </c>
      <c r="F2847" s="14">
        <v>1.1000000000000001</v>
      </c>
      <c r="G2847" s="87">
        <f t="array" ref="G2847">IF(B2847="insumo",_xlfn.XLOOKUP($D2847,Insumos!$B$1:$B$996,Insumos!$D$1:$D$996),"")</f>
        <v>600</v>
      </c>
      <c r="H2847" s="87">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332">
        <v>1</v>
      </c>
      <c r="B2848" s="332" t="s">
        <v>67</v>
      </c>
      <c r="C2848" s="332" t="s">
        <v>2471</v>
      </c>
      <c r="D2848" s="332" t="s">
        <v>2471</v>
      </c>
      <c r="E2848" s="333" t="s">
        <v>69</v>
      </c>
      <c r="F2848" s="332"/>
      <c r="G2848" s="334" t="str">
        <f t="array" ref="G2848">IF(B2848="insumo",_xlfn.XLOOKUP($D2848,Insumos!$B$1:$B$996,Insumos!$D$1:$D$996),"")</f>
        <v/>
      </c>
      <c r="H2848" s="334">
        <v>737</v>
      </c>
      <c r="I2848" s="335" t="e">
        <v>#REF!</v>
      </c>
      <c r="J2848" s="335" t="e">
        <v>#REF!</v>
      </c>
      <c r="K2848" s="335"/>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70</v>
      </c>
      <c r="C2849" s="10" t="s">
        <v>2471</v>
      </c>
      <c r="D2849" s="10" t="s">
        <v>2473</v>
      </c>
      <c r="E2849" s="11" t="str">
        <f t="array" ref="E2849">_xlfn.XLOOKUP(D2849,Insumos!B:B,Insumos!C:$C)</f>
        <v>M2</v>
      </c>
      <c r="F2849" s="14">
        <v>1.1000000000000001</v>
      </c>
      <c r="G2849" s="87">
        <f t="array" ref="G2849">IF(B2849="insumo",_xlfn.XLOOKUP($D2849,Insumos!$B$1:$B$996,Insumos!$D$1:$D$996),"")</f>
        <v>350</v>
      </c>
      <c r="H2849" s="87">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70</v>
      </c>
      <c r="C2850" s="10" t="s">
        <v>2471</v>
      </c>
      <c r="D2850" s="10" t="s">
        <v>2472</v>
      </c>
      <c r="E2850" s="11" t="str">
        <f t="array" ref="E2850">_xlfn.XLOOKUP(D2850,Insumos!B:B,Insumos!C:$C)</f>
        <v>M2</v>
      </c>
      <c r="F2850" s="14">
        <v>1.1000000000000001</v>
      </c>
      <c r="G2850" s="87">
        <f t="array" ref="G2850">IF(B2850="insumo",_xlfn.XLOOKUP($D2850,Insumos!$B$1:$B$996,Insumos!$D$1:$D$996),"")</f>
        <v>320</v>
      </c>
      <c r="H2850" s="87">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332">
        <v>1</v>
      </c>
      <c r="B2851" s="332" t="s">
        <v>67</v>
      </c>
      <c r="C2851" s="332" t="s">
        <v>569</v>
      </c>
      <c r="D2851" s="332" t="s">
        <v>569</v>
      </c>
      <c r="E2851" s="333" t="s">
        <v>69</v>
      </c>
      <c r="F2851" s="332"/>
      <c r="G2851" s="334" t="str">
        <f t="array" ref="G2851">IF(B2851="insumo",_xlfn.XLOOKUP($D2851,Insumos!$B$1:$B$996,Insumos!$D$1:$D$996),"")</f>
        <v/>
      </c>
      <c r="H2851" s="334">
        <v>249</v>
      </c>
      <c r="I2851" s="335">
        <v>0</v>
      </c>
      <c r="J2851" s="335">
        <v>0</v>
      </c>
      <c r="K2851" s="335"/>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70</v>
      </c>
      <c r="C2852" s="10" t="s">
        <v>569</v>
      </c>
      <c r="D2852" s="10" t="s">
        <v>570</v>
      </c>
      <c r="E2852" s="11" t="str">
        <f t="array" ref="E2852">_xlfn.XLOOKUP(D2852,Insumos!B:B,Insumos!C:$C)</f>
        <v>M2</v>
      </c>
      <c r="F2852" s="14">
        <v>1.1000000000000001</v>
      </c>
      <c r="G2852" s="87">
        <f t="array" ref="G2852">IF(B2852="insumo",_xlfn.XLOOKUP($D2852,Insumos!$B$1:$B$996,Insumos!$D$1:$D$996),"")</f>
        <v>90</v>
      </c>
      <c r="H2852" s="87">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70</v>
      </c>
      <c r="C2853" s="10" t="s">
        <v>569</v>
      </c>
      <c r="D2853" s="10" t="s">
        <v>571</v>
      </c>
      <c r="E2853" s="11" t="str">
        <f t="array" ref="E2853">_xlfn.XLOOKUP(D2853,Insumos!B:B,Insumos!C:$C)</f>
        <v>M2</v>
      </c>
      <c r="F2853" s="14">
        <v>1</v>
      </c>
      <c r="G2853" s="87">
        <f t="array" ref="G2853">IF(B2853="insumo",_xlfn.XLOOKUP($D2853,Insumos!$B$1:$B$996,Insumos!$D$1:$D$996),"")</f>
        <v>150</v>
      </c>
      <c r="H2853" s="87">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332">
        <v>1</v>
      </c>
      <c r="B2854" s="332" t="s">
        <v>67</v>
      </c>
      <c r="C2854" s="332" t="s">
        <v>2477</v>
      </c>
      <c r="D2854" s="332" t="s">
        <v>2477</v>
      </c>
      <c r="E2854" s="333" t="s">
        <v>69</v>
      </c>
      <c r="F2854" s="332"/>
      <c r="G2854" s="334" t="str">
        <f t="array" ref="G2854">IF(B2854="insumo",_xlfn.XLOOKUP($D2854,Insumos!$B$1:$B$996,Insumos!$D$1:$D$996),"")</f>
        <v/>
      </c>
      <c r="H2854" s="334">
        <v>1080</v>
      </c>
      <c r="I2854" s="335" t="e">
        <v>#REF!</v>
      </c>
      <c r="J2854" s="335" t="e">
        <v>#REF!</v>
      </c>
      <c r="K2854" s="335"/>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70</v>
      </c>
      <c r="C2855" s="10" t="s">
        <v>2477</v>
      </c>
      <c r="D2855" s="10" t="s">
        <v>2405</v>
      </c>
      <c r="E2855" s="11" t="str">
        <f t="array" ref="E2855">_xlfn.XLOOKUP(D2855,Insumos!B:B,Insumos!C:$C)</f>
        <v>M2</v>
      </c>
      <c r="F2855" s="14">
        <v>1.1000000000000001</v>
      </c>
      <c r="G2855" s="87">
        <f t="array" ref="G2855">IF(B2855="insumo",_xlfn.XLOOKUP($D2855,Insumos!$B$1:$B$996,Insumos!$D$1:$D$996),"")</f>
        <v>800</v>
      </c>
      <c r="H2855" s="87">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70</v>
      </c>
      <c r="C2856" s="10" t="s">
        <v>2477</v>
      </c>
      <c r="D2856" s="10" t="s">
        <v>2476</v>
      </c>
      <c r="E2856" s="11" t="str">
        <f t="array" ref="E2856">_xlfn.XLOOKUP(D2856,Insumos!B:B,Insumos!C:$C)</f>
        <v>UN</v>
      </c>
      <c r="F2856" s="14">
        <v>1</v>
      </c>
      <c r="G2856" s="87">
        <f t="array" ref="G2856">IF(B2856="insumo",_xlfn.XLOOKUP($D2856,Insumos!$B$1:$B$996,Insumos!$D$1:$D$996),"")</f>
        <v>200</v>
      </c>
      <c r="H2856" s="87">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332">
        <v>1</v>
      </c>
      <c r="B2857" s="332" t="s">
        <v>67</v>
      </c>
      <c r="C2857" s="332" t="s">
        <v>2475</v>
      </c>
      <c r="D2857" s="332" t="s">
        <v>2475</v>
      </c>
      <c r="E2857" s="333" t="s">
        <v>69</v>
      </c>
      <c r="F2857" s="332"/>
      <c r="G2857" s="334" t="str">
        <f t="array" ref="G2857">IF(B2857="insumo",_xlfn.XLOOKUP($D2857,Insumos!$B$1:$B$996,Insumos!$D$1:$D$996),"")</f>
        <v/>
      </c>
      <c r="H2857" s="334">
        <v>1630</v>
      </c>
      <c r="I2857" s="335">
        <v>0</v>
      </c>
      <c r="J2857" s="335">
        <v>0</v>
      </c>
      <c r="K2857" s="335"/>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70</v>
      </c>
      <c r="C2858" s="10" t="s">
        <v>2475</v>
      </c>
      <c r="D2858" s="10" t="s">
        <v>2409</v>
      </c>
      <c r="E2858" s="11" t="str">
        <f t="array" ref="E2858">_xlfn.XLOOKUP(D2858,Insumos!B:B,Insumos!C:$C)</f>
        <v>M2</v>
      </c>
      <c r="F2858" s="14">
        <v>1.1000000000000001</v>
      </c>
      <c r="G2858" s="87">
        <f t="array" ref="G2858">IF(B2858="insumo",_xlfn.XLOOKUP($D2858,Insumos!$B$1:$B$996,Insumos!$D$1:$D$996),"")</f>
        <v>1300</v>
      </c>
      <c r="H2858" s="87">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70</v>
      </c>
      <c r="C2859" s="10" t="s">
        <v>2475</v>
      </c>
      <c r="D2859" s="10" t="s">
        <v>2476</v>
      </c>
      <c r="E2859" s="11" t="str">
        <f t="array" ref="E2859">_xlfn.XLOOKUP(D2859,Insumos!B:B,Insumos!C:$C)</f>
        <v>UN</v>
      </c>
      <c r="F2859" s="14">
        <v>1</v>
      </c>
      <c r="G2859" s="87">
        <f t="array" ref="G2859">IF(B2859="insumo",_xlfn.XLOOKUP($D2859,Insumos!$B$1:$B$996,Insumos!$D$1:$D$996),"")</f>
        <v>200</v>
      </c>
      <c r="H2859" s="87">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332">
        <v>1</v>
      </c>
      <c r="B2860" s="332" t="s">
        <v>67</v>
      </c>
      <c r="C2860" s="332" t="s">
        <v>572</v>
      </c>
      <c r="D2860" s="332" t="s">
        <v>572</v>
      </c>
      <c r="E2860" s="333" t="s">
        <v>69</v>
      </c>
      <c r="F2860" s="332"/>
      <c r="G2860" s="334" t="str">
        <f t="array" ref="G2860">IF(B2860="insumo",_xlfn.XLOOKUP($D2860,Insumos!$B$1:$B$996,Insumos!$D$1:$D$996),"")</f>
        <v/>
      </c>
      <c r="H2860" s="334">
        <v>273.44749999999999</v>
      </c>
      <c r="I2860" s="335">
        <v>0</v>
      </c>
      <c r="J2860" s="335">
        <v>0</v>
      </c>
      <c r="K2860" s="335"/>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70</v>
      </c>
      <c r="C2861" s="10" t="s">
        <v>572</v>
      </c>
      <c r="D2861" s="10" t="s">
        <v>507</v>
      </c>
      <c r="E2861" s="11" t="str">
        <f t="array" ref="E2861">_xlfn.XLOOKUP(D2861,Insumos!B:B,Insumos!C:$C)</f>
        <v>M2</v>
      </c>
      <c r="F2861" s="14">
        <v>1.1000000000000001</v>
      </c>
      <c r="G2861" s="87">
        <f t="array" ref="G2861">IF(B2861="insumo",_xlfn.XLOOKUP($D2861,Insumos!$B$1:$B$996,Insumos!$D$1:$D$996),"")</f>
        <v>112.22500000000001</v>
      </c>
      <c r="H2861" s="87">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70</v>
      </c>
      <c r="C2862" s="10" t="s">
        <v>572</v>
      </c>
      <c r="D2862" s="10" t="s">
        <v>573</v>
      </c>
      <c r="E2862" s="11" t="str">
        <f t="array" ref="E2862">_xlfn.XLOOKUP(D2862,Insumos!B:B,Insumos!C:$C)</f>
        <v>M2</v>
      </c>
      <c r="F2862" s="14">
        <v>1</v>
      </c>
      <c r="G2862" s="87">
        <f t="array" ref="G2862">IF(B2862="insumo",_xlfn.XLOOKUP($D2862,Insumos!$B$1:$B$996,Insumos!$D$1:$D$996),"")</f>
        <v>150</v>
      </c>
      <c r="H2862" s="87">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332">
        <v>1</v>
      </c>
      <c r="B2863" s="332" t="s">
        <v>67</v>
      </c>
      <c r="C2863" s="332" t="s">
        <v>1435</v>
      </c>
      <c r="D2863" s="332" t="s">
        <v>1435</v>
      </c>
      <c r="E2863" s="333" t="s">
        <v>69</v>
      </c>
      <c r="F2863" s="332"/>
      <c r="G2863" s="334" t="str">
        <f t="array" ref="G2863">IF(B2863="insumo",_xlfn.XLOOKUP($D2863,Insumos!$B$1:$B$996,Insumos!$D$1:$D$996),"")</f>
        <v/>
      </c>
      <c r="H2863" s="334">
        <v>160.06444450000001</v>
      </c>
      <c r="I2863" s="335">
        <v>0</v>
      </c>
      <c r="J2863" s="335">
        <v>0</v>
      </c>
      <c r="K2863" s="335"/>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70</v>
      </c>
      <c r="C2864" s="10" t="s">
        <v>1435</v>
      </c>
      <c r="D2864" s="10" t="s">
        <v>406</v>
      </c>
      <c r="E2864" s="11" t="str">
        <f t="array" ref="E2864">_xlfn.XLOOKUP(D2864,Insumos!B:B,Insumos!C:$C)</f>
        <v>M2</v>
      </c>
      <c r="F2864" s="14">
        <v>1</v>
      </c>
      <c r="G2864" s="87">
        <f t="array" ref="G2864">IF(B2864="insumo",_xlfn.XLOOKUP($D2864,Insumos!$B$1:$B$996,Insumos!$D$1:$D$996),"")</f>
        <v>70</v>
      </c>
      <c r="H2864" s="87">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70</v>
      </c>
      <c r="C2865" s="10" t="s">
        <v>1435</v>
      </c>
      <c r="D2865" s="10" t="s">
        <v>407</v>
      </c>
      <c r="E2865" s="11" t="str">
        <f t="array" ref="E2865">_xlfn.XLOOKUP(D2865,Insumos!B:B,Insumos!C:$C)</f>
        <v>M2</v>
      </c>
      <c r="F2865" s="14">
        <v>1.1060000000000001</v>
      </c>
      <c r="G2865" s="87">
        <f t="array" ref="G2865">IF(B2865="insumo",_xlfn.XLOOKUP($D2865,Insumos!$B$1:$B$996,Insumos!$D$1:$D$996),"")</f>
        <v>20.16</v>
      </c>
      <c r="H2865" s="87">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70</v>
      </c>
      <c r="C2866" s="10" t="s">
        <v>1435</v>
      </c>
      <c r="D2866" s="10" t="s">
        <v>408</v>
      </c>
      <c r="E2866" s="11" t="str">
        <f t="array" ref="E2866">_xlfn.XLOOKUP(D2866,Insumos!B:B,Insumos!C:$C)</f>
        <v>UN</v>
      </c>
      <c r="F2866" s="14">
        <v>5.92</v>
      </c>
      <c r="G2866" s="87">
        <f t="array" ref="G2866">IF(B2866="insumo",_xlfn.XLOOKUP($D2866,Insumos!$B$1:$B$996,Insumos!$D$1:$D$996),"")</f>
        <v>0.504</v>
      </c>
      <c r="H2866" s="87">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70</v>
      </c>
      <c r="C2867" s="10" t="s">
        <v>1435</v>
      </c>
      <c r="D2867" s="10" t="s">
        <v>409</v>
      </c>
      <c r="E2867" s="11" t="str">
        <f t="array" ref="E2867">_xlfn.XLOOKUP(D2867,Insumos!B:B,Insumos!C:$C)</f>
        <v>M</v>
      </c>
      <c r="F2867" s="14">
        <v>1.8233999999999999</v>
      </c>
      <c r="G2867" s="87">
        <f t="array" ref="G2867">IF(B2867="insumo",_xlfn.XLOOKUP($D2867,Insumos!$B$1:$B$996,Insumos!$D$1:$D$996),"")</f>
        <v>7.03</v>
      </c>
      <c r="H2867" s="87">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70</v>
      </c>
      <c r="C2868" s="10" t="s">
        <v>1435</v>
      </c>
      <c r="D2868" s="10" t="s">
        <v>410</v>
      </c>
      <c r="E2868" s="11" t="str">
        <f t="array" ref="E2868">_xlfn.XLOOKUP(D2868,Insumos!B:B,Insumos!C:$C)</f>
        <v>M</v>
      </c>
      <c r="F2868" s="14">
        <v>5.8277999999999999</v>
      </c>
      <c r="G2868" s="87">
        <f t="array" ref="G2868">IF(B2868="insumo",_xlfn.XLOOKUP($D2868,Insumos!$B$1:$B$996,Insumos!$D$1:$D$996),"")</f>
        <v>7.98</v>
      </c>
      <c r="H2868" s="87">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70</v>
      </c>
      <c r="C2869" s="10" t="s">
        <v>1435</v>
      </c>
      <c r="D2869" s="10" t="s">
        <v>404</v>
      </c>
      <c r="E2869" s="11" t="str">
        <f t="array" ref="E2869">_xlfn.XLOOKUP(D2869,Insumos!B:B,Insumos!C:$C)</f>
        <v>KG</v>
      </c>
      <c r="F2869" s="14">
        <f>1.0978/2</f>
        <v>0.54890000000000005</v>
      </c>
      <c r="G2869" s="87">
        <f t="array" ref="G2869">IF(B2869="insumo",_xlfn.XLOOKUP($D2869,Insumos!$B$1:$B$996,Insumos!$D$1:$D$996),"")</f>
        <v>3.43</v>
      </c>
      <c r="H2869" s="87">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70</v>
      </c>
      <c r="C2870" s="10" t="s">
        <v>1435</v>
      </c>
      <c r="D2870" s="10" t="s">
        <v>411</v>
      </c>
      <c r="E2870" s="11" t="str">
        <f t="array" ref="E2870">_xlfn.XLOOKUP(D2870,Insumos!B:B,Insumos!C:$C)</f>
        <v>M</v>
      </c>
      <c r="F2870" s="14">
        <f>2.5027/2</f>
        <v>1.25135</v>
      </c>
      <c r="G2870" s="87">
        <f t="array" ref="G2870">IF(B2870="insumo",_xlfn.XLOOKUP($D2870,Insumos!$B$1:$B$996,Insumos!$D$1:$D$996),"")</f>
        <v>0.31</v>
      </c>
      <c r="H2870" s="87">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70</v>
      </c>
      <c r="C2871" s="10" t="s">
        <v>1435</v>
      </c>
      <c r="D2871" s="10" t="s">
        <v>412</v>
      </c>
      <c r="E2871" s="11" t="str">
        <f t="array" ref="E2871">_xlfn.XLOOKUP(D2871,Insumos!B:B,Insumos!C:$C)</f>
        <v>M</v>
      </c>
      <c r="F2871" s="14">
        <f>1.5851/2</f>
        <v>0.79254999999999998</v>
      </c>
      <c r="G2871" s="87">
        <f t="array" ref="G2871">IF(B2871="insumo",_xlfn.XLOOKUP($D2871,Insumos!$B$1:$B$996,Insumos!$D$1:$D$996),"")</f>
        <v>2.74</v>
      </c>
      <c r="H2871" s="87">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70</v>
      </c>
      <c r="C2872" s="10" t="s">
        <v>1435</v>
      </c>
      <c r="D2872" s="10" t="s">
        <v>413</v>
      </c>
      <c r="E2872" s="11" t="str">
        <f t="array" ref="E2872">_xlfn.XLOOKUP(D2872,Insumos!B:B,Insumos!C:$C)</f>
        <v>UN</v>
      </c>
      <c r="F2872" s="14">
        <f>20.1868/2</f>
        <v>10.093400000000001</v>
      </c>
      <c r="G2872" s="87">
        <f t="array" ref="G2872">IF(B2872="insumo",_xlfn.XLOOKUP($D2872,Insumos!$B$1:$B$996,Insumos!$D$1:$D$996),"")</f>
        <v>0.09</v>
      </c>
      <c r="H2872" s="87">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70</v>
      </c>
      <c r="C2873" s="10" t="s">
        <v>1435</v>
      </c>
      <c r="D2873" s="10" t="s">
        <v>414</v>
      </c>
      <c r="E2873" s="11" t="str">
        <f t="array" ref="E2873">_xlfn.XLOOKUP(D2873,Insumos!B:B,Insumos!C:$C)</f>
        <v>UN</v>
      </c>
      <c r="F2873" s="14">
        <v>0.54410000000000003</v>
      </c>
      <c r="G2873" s="87">
        <f t="array" ref="G2873">IF(B2873="insumo",_xlfn.XLOOKUP($D2873,Insumos!$B$1:$B$996,Insumos!$D$1:$D$996),"")</f>
        <v>0.2</v>
      </c>
      <c r="H2873" s="87">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332">
        <v>1</v>
      </c>
      <c r="B2874" s="332" t="s">
        <v>67</v>
      </c>
      <c r="C2874" s="332" t="s">
        <v>1606</v>
      </c>
      <c r="D2874" s="332" t="s">
        <v>1606</v>
      </c>
      <c r="E2874" s="333" t="s">
        <v>69</v>
      </c>
      <c r="F2874" s="332"/>
      <c r="G2874" s="334" t="str">
        <f t="array" ref="G2874">IF(B2874="insumo",_xlfn.XLOOKUP($D2874,Insumos!$B$1:$B$996,Insumos!$D$1:$D$996),"")</f>
        <v/>
      </c>
      <c r="H2874" s="334">
        <v>160</v>
      </c>
      <c r="I2874" s="335">
        <v>0</v>
      </c>
      <c r="J2874" s="335">
        <v>0</v>
      </c>
      <c r="K2874" s="335"/>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70</v>
      </c>
      <c r="C2875" s="10" t="s">
        <v>1606</v>
      </c>
      <c r="D2875" s="10" t="s">
        <v>1606</v>
      </c>
      <c r="E2875" s="11" t="str">
        <f t="array" ref="E2875">_xlfn.XLOOKUP(D2875,Insumos!B:B,Insumos!C:$C)</f>
        <v>M2</v>
      </c>
      <c r="F2875" s="14">
        <v>1</v>
      </c>
      <c r="G2875" s="87">
        <f t="array" ref="G2875">IF(B2875="insumo",_xlfn.XLOOKUP($D2875,Insumos!$B$1:$B$996,Insumos!$D$1:$D$996),"")</f>
        <v>160</v>
      </c>
      <c r="H2875" s="87">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332">
        <v>1</v>
      </c>
      <c r="B2876" s="332" t="s">
        <v>67</v>
      </c>
      <c r="C2876" s="332" t="s">
        <v>1434</v>
      </c>
      <c r="D2876" s="332" t="s">
        <v>1434</v>
      </c>
      <c r="E2876" s="333" t="s">
        <v>69</v>
      </c>
      <c r="F2876" s="332"/>
      <c r="G2876" s="334" t="str">
        <f t="array" ref="G2876">IF(B2876="insumo",_xlfn.XLOOKUP($D2876,Insumos!$B$1:$B$996,Insumos!$D$1:$D$996),"")</f>
        <v/>
      </c>
      <c r="H2876" s="334">
        <v>313.69355000000002</v>
      </c>
      <c r="I2876" s="335">
        <v>0</v>
      </c>
      <c r="J2876" s="335">
        <v>0</v>
      </c>
      <c r="K2876" s="335"/>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70</v>
      </c>
      <c r="C2877" s="10" t="s">
        <v>1434</v>
      </c>
      <c r="D2877" s="10" t="s">
        <v>1431</v>
      </c>
      <c r="E2877" s="11" t="str">
        <f t="array" ref="E2877">_xlfn.XLOOKUP(D2877,Insumos!B:B,Insumos!C:$C)</f>
        <v>M2</v>
      </c>
      <c r="F2877" s="14">
        <v>1</v>
      </c>
      <c r="G2877" s="87">
        <f t="array" ref="G2877">IF(B2877="insumo",_xlfn.XLOOKUP($D2877,Insumos!$B$1:$B$996,Insumos!$D$1:$D$996),"")</f>
        <v>70</v>
      </c>
      <c r="H2877" s="87">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70</v>
      </c>
      <c r="C2878" s="10" t="s">
        <v>1434</v>
      </c>
      <c r="D2878" s="10" t="s">
        <v>1426</v>
      </c>
      <c r="E2878" s="11" t="str">
        <f t="array" ref="E2878">_xlfn.XLOOKUP(D2878,Insumos!B:B,Insumos!C:$C)</f>
        <v>M2</v>
      </c>
      <c r="F2878" s="14">
        <v>1.05</v>
      </c>
      <c r="G2878" s="87">
        <f t="array" ref="G2878">IF(B2878="insumo",_xlfn.XLOOKUP($D2878,Insumos!$B$1:$B$996,Insumos!$D$1:$D$996),"")</f>
        <v>95</v>
      </c>
      <c r="H2878" s="87">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70</v>
      </c>
      <c r="C2879" s="10" t="s">
        <v>1434</v>
      </c>
      <c r="D2879" s="10" t="s">
        <v>1427</v>
      </c>
      <c r="E2879" s="11" t="str">
        <f t="array" ref="E2879">_xlfn.XLOOKUP(D2879,Insumos!B:B,Insumos!C:$C)</f>
        <v>M</v>
      </c>
      <c r="F2879" s="14">
        <v>5.92</v>
      </c>
      <c r="G2879" s="87">
        <f t="array" ref="G2879">IF(B2879="insumo",_xlfn.XLOOKUP($D2879,Insumos!$B$1:$B$996,Insumos!$D$1:$D$996),"")</f>
        <v>7.5</v>
      </c>
      <c r="H2879" s="87">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70</v>
      </c>
      <c r="C2880" s="10" t="s">
        <v>1434</v>
      </c>
      <c r="D2880" s="10" t="s">
        <v>1428</v>
      </c>
      <c r="E2880" s="11" t="str">
        <f t="array" ref="E2880">_xlfn.XLOOKUP(D2880,Insumos!B:B,Insumos!C:$C)</f>
        <v>M</v>
      </c>
      <c r="F2880" s="14">
        <v>1.8233999999999999</v>
      </c>
      <c r="G2880" s="87">
        <f t="array" ref="G2880">IF(B2880="insumo",_xlfn.XLOOKUP($D2880,Insumos!$B$1:$B$996,Insumos!$D$1:$D$996),"")</f>
        <v>6.5</v>
      </c>
      <c r="H2880" s="87">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70</v>
      </c>
      <c r="C2881" s="10" t="s">
        <v>1434</v>
      </c>
      <c r="D2881" s="10" t="s">
        <v>1429</v>
      </c>
      <c r="E2881" s="11" t="str">
        <f t="array" ref="E2881">_xlfn.XLOOKUP(D2881,Insumos!B:B,Insumos!C:$C)</f>
        <v>M</v>
      </c>
      <c r="F2881" s="14">
        <v>5.8277999999999999</v>
      </c>
      <c r="G2881" s="87">
        <f t="array" ref="G2881">IF(B2881="insumo",_xlfn.XLOOKUP($D2881,Insumos!$B$1:$B$996,Insumos!$D$1:$D$996),"")</f>
        <v>15</v>
      </c>
      <c r="H2881" s="87">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70</v>
      </c>
      <c r="C2882" s="10" t="s">
        <v>1434</v>
      </c>
      <c r="D2882" s="10" t="s">
        <v>1430</v>
      </c>
      <c r="E2882" s="11" t="str">
        <f t="array" ref="E2882">_xlfn.XLOOKUP(D2882,Insumos!B:B,Insumos!C:$C)</f>
        <v>UN</v>
      </c>
      <c r="F2882" s="14">
        <f>1.0978/2</f>
        <v>0.54890000000000005</v>
      </c>
      <c r="G2882" s="87">
        <f t="array" ref="G2882">IF(B2882="insumo",_xlfn.XLOOKUP($D2882,Insumos!$B$1:$B$996,Insumos!$D$1:$D$996),"")</f>
        <v>0.5</v>
      </c>
      <c r="H2882" s="87">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336">
        <v>1</v>
      </c>
      <c r="B2883" s="336" t="s">
        <v>67</v>
      </c>
      <c r="C2883" s="336" t="s">
        <v>1788</v>
      </c>
      <c r="D2883" s="336" t="s">
        <v>1788</v>
      </c>
      <c r="E2883" s="337" t="s">
        <v>69</v>
      </c>
      <c r="F2883" s="336"/>
      <c r="G2883" s="338" t="str">
        <f t="array" ref="G2883">IF(B2883="insumo",_xlfn.XLOOKUP($D2883,Insumos!$B$1:$B$996,Insumos!$D$1:$D$996),"")</f>
        <v/>
      </c>
      <c r="H2883" s="338">
        <v>180</v>
      </c>
      <c r="I2883" s="339">
        <v>0</v>
      </c>
      <c r="J2883" s="339">
        <v>0</v>
      </c>
      <c r="K2883" s="339"/>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77">
        <v>1</v>
      </c>
      <c r="B2884" s="77" t="s">
        <v>70</v>
      </c>
      <c r="C2884" s="77" t="s">
        <v>1788</v>
      </c>
      <c r="D2884" s="77" t="s">
        <v>1788</v>
      </c>
      <c r="E2884" s="11" t="str">
        <f t="array" ref="E2884">_xlfn.XLOOKUP(D2884,Insumos!B:B,Insumos!C:$C)</f>
        <v>M2</v>
      </c>
      <c r="F2884" s="81">
        <v>1</v>
      </c>
      <c r="G2884" s="87">
        <f t="array" ref="G2884">IF(B2884="insumo",_xlfn.XLOOKUP($D2884,Insumos!$B$1:$B$996,Insumos!$D$1:$D$996),"")</f>
        <v>180</v>
      </c>
      <c r="H2884" s="87">
        <v>180</v>
      </c>
      <c r="I2884" s="79">
        <v>0</v>
      </c>
      <c r="J2884" s="79">
        <v>0</v>
      </c>
      <c r="K2884" s="79"/>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332">
        <v>1</v>
      </c>
      <c r="B2885" s="332" t="s">
        <v>67</v>
      </c>
      <c r="C2885" s="332" t="s">
        <v>1432</v>
      </c>
      <c r="D2885" s="332" t="s">
        <v>1432</v>
      </c>
      <c r="E2885" s="333" t="s">
        <v>69</v>
      </c>
      <c r="F2885" s="332"/>
      <c r="G2885" s="334" t="str">
        <f t="array" ref="G2885">IF(B2885="insumo",_xlfn.XLOOKUP($D2885,Insumos!$B$1:$B$996,Insumos!$D$1:$D$996),"")</f>
        <v/>
      </c>
      <c r="H2885" s="334">
        <v>262.85377499999998</v>
      </c>
      <c r="I2885" s="335">
        <v>0</v>
      </c>
      <c r="J2885" s="335">
        <v>0</v>
      </c>
      <c r="K2885" s="335"/>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70</v>
      </c>
      <c r="C2886" s="10" t="s">
        <v>1432</v>
      </c>
      <c r="D2886" s="10" t="s">
        <v>1404</v>
      </c>
      <c r="E2886" s="11" t="str">
        <f t="array" ref="E2886">_xlfn.XLOOKUP(D2886,Insumos!B:B,Insumos!C:$C)</f>
        <v>M2</v>
      </c>
      <c r="F2886" s="14">
        <v>1.1000000000000001</v>
      </c>
      <c r="G2886" s="87">
        <f t="array" ref="G2886">IF(B2886="insumo",_xlfn.XLOOKUP($D2886,Insumos!$B$1:$B$996,Insumos!$D$1:$D$996),"")</f>
        <v>233.37</v>
      </c>
      <c r="H2886" s="87">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70</v>
      </c>
      <c r="C2887" s="10" t="s">
        <v>1432</v>
      </c>
      <c r="D2887" s="10" t="s">
        <v>480</v>
      </c>
      <c r="E2887" s="11" t="str">
        <f t="array" ref="E2887">_xlfn.XLOOKUP(D2887,Insumos!B:B,Insumos!C:$C)</f>
        <v>KG</v>
      </c>
      <c r="F2887" s="14">
        <v>4.95</v>
      </c>
      <c r="G2887" s="87">
        <f t="array" ref="G2887">IF(B2887="insumo",_xlfn.XLOOKUP($D2887,Insumos!$B$1:$B$996,Insumos!$D$1:$D$996),"")</f>
        <v>1.0645</v>
      </c>
      <c r="H2887" s="87">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70</v>
      </c>
      <c r="C2888" s="10" t="s">
        <v>1432</v>
      </c>
      <c r="D2888" s="10" t="s">
        <v>505</v>
      </c>
      <c r="E2888" s="11" t="str">
        <f t="array" ref="E2888">_xlfn.XLOOKUP(D2888,Insumos!B:B,Insumos!C:$C)</f>
        <v>UN</v>
      </c>
      <c r="F2888" s="14">
        <v>4</v>
      </c>
      <c r="G2888" s="87">
        <f t="array" ref="G2888">IF(B2888="insumo",_xlfn.XLOOKUP($D2888,Insumos!$B$1:$B$996,Insumos!$D$1:$D$996),"")</f>
        <v>0.08</v>
      </c>
      <c r="H2888" s="87">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70</v>
      </c>
      <c r="C2889" s="10" t="s">
        <v>1432</v>
      </c>
      <c r="D2889" s="10" t="s">
        <v>506</v>
      </c>
      <c r="E2889" s="11" t="str">
        <f t="array" ref="E2889">_xlfn.XLOOKUP(D2889,Insumos!B:B,Insumos!C:$C)</f>
        <v>KG</v>
      </c>
      <c r="F2889" s="14">
        <v>0.05</v>
      </c>
      <c r="G2889" s="87">
        <f t="array" ref="G2889">IF(B2889="insumo",_xlfn.XLOOKUP($D2889,Insumos!$B$1:$B$996,Insumos!$D$1:$D$996),"")</f>
        <v>11.15</v>
      </c>
      <c r="H2889" s="87">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336">
        <v>1</v>
      </c>
      <c r="B2890" s="336" t="s">
        <v>67</v>
      </c>
      <c r="C2890" s="336" t="s">
        <v>2489</v>
      </c>
      <c r="D2890" s="336" t="s">
        <v>2489</v>
      </c>
      <c r="E2890" s="337" t="s">
        <v>69</v>
      </c>
      <c r="F2890" s="336"/>
      <c r="G2890" s="338" t="str">
        <f t="array" ref="G2890">IF(B2890="insumo",_xlfn.XLOOKUP($D2890,Insumos!$B$1:$B$996,Insumos!$D$1:$D$996),"")</f>
        <v/>
      </c>
      <c r="H2890" s="338">
        <v>78.581999999999994</v>
      </c>
      <c r="I2890" s="339" t="e">
        <v>#REF!</v>
      </c>
      <c r="J2890" s="339" t="e">
        <v>#REF!</v>
      </c>
      <c r="K2890" s="339"/>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77">
        <v>6</v>
      </c>
      <c r="B2891" s="77" t="s">
        <v>70</v>
      </c>
      <c r="C2891" s="77" t="s">
        <v>2489</v>
      </c>
      <c r="D2891" s="77" t="s">
        <v>1730</v>
      </c>
      <c r="E2891" s="11" t="str">
        <f t="array" ref="E2891">_xlfn.XLOOKUP(D2891,Insumos!B:B,Insumos!C:$C)</f>
        <v>M2</v>
      </c>
      <c r="F2891" s="83">
        <v>1.1000000000000001</v>
      </c>
      <c r="G2891" s="87">
        <f t="array" ref="G2891">IF(B2891="insumo",_xlfn.XLOOKUP($D2891,Insumos!$B$1:$B$996,Insumos!$D$1:$D$996),"")</f>
        <v>63.59</v>
      </c>
      <c r="H2891" s="87">
        <v>69.948999999999998</v>
      </c>
      <c r="I2891" s="79" t="e">
        <v>#REF!</v>
      </c>
      <c r="J2891" s="79" t="e">
        <v>#REF!</v>
      </c>
      <c r="K2891" s="79"/>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77">
        <v>16</v>
      </c>
      <c r="B2892" s="77" t="s">
        <v>70</v>
      </c>
      <c r="C2892" s="77" t="s">
        <v>2489</v>
      </c>
      <c r="D2892" s="77" t="s">
        <v>657</v>
      </c>
      <c r="E2892" s="11" t="str">
        <f t="array" ref="E2892">_xlfn.XLOOKUP(D2892,Insumos!B:B,Insumos!C:$C)</f>
        <v>KG</v>
      </c>
      <c r="F2892" s="83">
        <v>8.8000000000000007</v>
      </c>
      <c r="G2892" s="87">
        <f t="array" ref="G2892">IF(B2892="insumo",_xlfn.XLOOKUP($D2892,Insumos!$B$1:$B$996,Insumos!$D$1:$D$996),"")</f>
        <v>0.95</v>
      </c>
      <c r="H2892" s="87">
        <v>8.36</v>
      </c>
      <c r="I2892" s="79" t="e">
        <v>#REF!</v>
      </c>
      <c r="J2892" s="79" t="e">
        <v>#REF!</v>
      </c>
      <c r="K2892" s="79"/>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77">
        <v>17</v>
      </c>
      <c r="B2893" s="77" t="s">
        <v>70</v>
      </c>
      <c r="C2893" s="77" t="s">
        <v>2489</v>
      </c>
      <c r="D2893" s="77" t="s">
        <v>520</v>
      </c>
      <c r="E2893" s="11" t="str">
        <f t="array" ref="E2893">_xlfn.XLOOKUP(D2893,Insumos!B:B,Insumos!C:$C)</f>
        <v>UN</v>
      </c>
      <c r="F2893" s="83">
        <v>1</v>
      </c>
      <c r="G2893" s="87">
        <f t="array" ref="G2893">IF(B2893="insumo",_xlfn.XLOOKUP($D2893,Insumos!$B$1:$B$996,Insumos!$D$1:$D$996),"")</f>
        <v>0.05</v>
      </c>
      <c r="H2893" s="87">
        <v>0.05</v>
      </c>
      <c r="I2893" s="79" t="e">
        <v>#REF!</v>
      </c>
      <c r="J2893" s="79" t="e">
        <v>#REF!</v>
      </c>
      <c r="K2893" s="79"/>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77">
        <v>101</v>
      </c>
      <c r="B2894" s="77" t="s">
        <v>70</v>
      </c>
      <c r="C2894" s="77" t="s">
        <v>2489</v>
      </c>
      <c r="D2894" s="77" t="s">
        <v>506</v>
      </c>
      <c r="E2894" s="11" t="str">
        <f t="array" ref="E2894">_xlfn.XLOOKUP(D2894,Insumos!B:B,Insumos!C:$C)</f>
        <v>KG</v>
      </c>
      <c r="F2894" s="83">
        <v>0.02</v>
      </c>
      <c r="G2894" s="87">
        <f t="array" ref="G2894">IF(B2894="insumo",_xlfn.XLOOKUP($D2894,Insumos!$B$1:$B$996,Insumos!$D$1:$D$996),"")</f>
        <v>11.15</v>
      </c>
      <c r="H2894" s="87">
        <v>0.223</v>
      </c>
      <c r="I2894" s="79" t="e">
        <v>#REF!</v>
      </c>
      <c r="J2894" s="79" t="e">
        <v>#REF!</v>
      </c>
      <c r="K2894" s="79"/>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336">
        <v>1</v>
      </c>
      <c r="B2895" s="336" t="s">
        <v>67</v>
      </c>
      <c r="C2895" s="336" t="s">
        <v>2490</v>
      </c>
      <c r="D2895" s="336" t="s">
        <v>2490</v>
      </c>
      <c r="E2895" s="337" t="s">
        <v>69</v>
      </c>
      <c r="F2895" s="336"/>
      <c r="G2895" s="338" t="str">
        <f t="array" ref="G2895">IF(B2895="insumo",_xlfn.XLOOKUP($D2895,Insumos!$B$1:$B$996,Insumos!$D$1:$D$996),"")</f>
        <v/>
      </c>
      <c r="H2895" s="338">
        <v>89.938599999999994</v>
      </c>
      <c r="I2895" s="339">
        <v>0</v>
      </c>
      <c r="J2895" s="339">
        <v>0</v>
      </c>
      <c r="K2895" s="339"/>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77">
        <v>3</v>
      </c>
      <c r="B2896" s="77" t="s">
        <v>70</v>
      </c>
      <c r="C2896" s="84" t="s">
        <v>2490</v>
      </c>
      <c r="D2896" s="84" t="s">
        <v>1762</v>
      </c>
      <c r="E2896" s="11" t="str">
        <f t="array" ref="E2896">_xlfn.XLOOKUP(D2896,Insumos!B:B,Insumos!C:$C)</f>
        <v>M2</v>
      </c>
      <c r="F2896" s="81">
        <v>1.1000000000000001</v>
      </c>
      <c r="G2896" s="87">
        <f t="array" ref="G2896">IF(B2896="insumo",_xlfn.XLOOKUP($D2896,Insumos!$B$1:$B$996,Insumos!$D$1:$D$996),"")</f>
        <v>72.63</v>
      </c>
      <c r="H2896" s="87">
        <v>79.893000000000001</v>
      </c>
      <c r="I2896" s="79">
        <v>0</v>
      </c>
      <c r="J2896" s="79">
        <v>0</v>
      </c>
      <c r="K2896" s="79"/>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77">
        <v>191</v>
      </c>
      <c r="B2897" s="77" t="s">
        <v>70</v>
      </c>
      <c r="C2897" s="77" t="s">
        <v>2490</v>
      </c>
      <c r="D2897" s="77" t="s">
        <v>480</v>
      </c>
      <c r="E2897" s="11" t="str">
        <f t="array" ref="E2897">_xlfn.XLOOKUP(D2897,Insumos!B:B,Insumos!C:$C)</f>
        <v>KG</v>
      </c>
      <c r="F2897" s="81">
        <v>8.8000000000000007</v>
      </c>
      <c r="G2897" s="87">
        <f t="array" ref="G2897">IF(B2897="insumo",_xlfn.XLOOKUP($D2897,Insumos!$B$1:$B$996,Insumos!$D$1:$D$996),"")</f>
        <v>1.0645</v>
      </c>
      <c r="H2897" s="87">
        <v>9.3675999999999995</v>
      </c>
      <c r="I2897" s="79">
        <v>0</v>
      </c>
      <c r="J2897" s="79">
        <v>0</v>
      </c>
      <c r="K2897" s="79"/>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77">
        <v>142</v>
      </c>
      <c r="B2898" s="77" t="s">
        <v>70</v>
      </c>
      <c r="C2898" s="77" t="s">
        <v>2490</v>
      </c>
      <c r="D2898" s="77" t="s">
        <v>505</v>
      </c>
      <c r="E2898" s="11" t="str">
        <f t="array" ref="E2898">_xlfn.XLOOKUP(D2898,Insumos!B:B,Insumos!C:$C)</f>
        <v>UN</v>
      </c>
      <c r="F2898" s="81">
        <v>3</v>
      </c>
      <c r="G2898" s="87">
        <f t="array" ref="G2898">IF(B2898="insumo",_xlfn.XLOOKUP($D2898,Insumos!$B$1:$B$996,Insumos!$D$1:$D$996),"")</f>
        <v>0.08</v>
      </c>
      <c r="H2898" s="87">
        <v>0.24</v>
      </c>
      <c r="I2898" s="79">
        <v>0</v>
      </c>
      <c r="J2898" s="79">
        <v>0</v>
      </c>
      <c r="K2898" s="79"/>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77">
        <v>22</v>
      </c>
      <c r="B2899" s="77" t="s">
        <v>70</v>
      </c>
      <c r="C2899" s="77" t="s">
        <v>2490</v>
      </c>
      <c r="D2899" s="77" t="s">
        <v>1765</v>
      </c>
      <c r="E2899" s="11" t="str">
        <f t="array" ref="E2899">_xlfn.XLOOKUP(D2899,Insumos!B:B,Insumos!C:$C)</f>
        <v>KG</v>
      </c>
      <c r="F2899" s="81">
        <v>0.01</v>
      </c>
      <c r="G2899" s="87">
        <f t="array" ref="G2899">IF(B2899="insumo",_xlfn.XLOOKUP($D2899,Insumos!$B$1:$B$996,Insumos!$D$1:$D$996),"")</f>
        <v>43.8</v>
      </c>
      <c r="H2899" s="87">
        <v>0.438</v>
      </c>
      <c r="I2899" s="79">
        <v>0</v>
      </c>
      <c r="J2899" s="79">
        <v>0</v>
      </c>
      <c r="K2899" s="79"/>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336">
        <v>1</v>
      </c>
      <c r="B2900" s="336" t="s">
        <v>67</v>
      </c>
      <c r="C2900" s="336" t="s">
        <v>2488</v>
      </c>
      <c r="D2900" s="336" t="s">
        <v>2488</v>
      </c>
      <c r="E2900" s="337" t="s">
        <v>69</v>
      </c>
      <c r="F2900" s="336"/>
      <c r="G2900" s="338" t="str">
        <f t="array" ref="G2900">IF(B2900="insumo",_xlfn.XLOOKUP($D2900,Insumos!$B$1:$B$996,Insumos!$D$1:$D$996),"")</f>
        <v/>
      </c>
      <c r="H2900" s="338">
        <v>61.8386</v>
      </c>
      <c r="I2900" s="339" t="e">
        <v>#REF!</v>
      </c>
      <c r="J2900" s="339" t="e">
        <v>#REF!</v>
      </c>
      <c r="K2900" s="339"/>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77">
        <v>6</v>
      </c>
      <c r="B2901" s="77" t="s">
        <v>70</v>
      </c>
      <c r="C2901" s="84" t="s">
        <v>2488</v>
      </c>
      <c r="D2901" s="84" t="s">
        <v>504</v>
      </c>
      <c r="E2901" s="11" t="str">
        <f t="array" ref="E2901">_xlfn.XLOOKUP(D2901,Insumos!B:B,Insumos!C:$C)</f>
        <v>M2</v>
      </c>
      <c r="F2901" s="81">
        <v>1.1000000000000001</v>
      </c>
      <c r="G2901" s="87">
        <f t="array" ref="G2901">IF(B2901="insumo",_xlfn.XLOOKUP($D2901,Insumos!$B$1:$B$996,Insumos!$D$1:$D$996),"")</f>
        <v>47.23</v>
      </c>
      <c r="H2901" s="87">
        <v>51.953000000000003</v>
      </c>
      <c r="I2901" s="79" t="e">
        <v>#REF!</v>
      </c>
      <c r="J2901" s="79" t="e">
        <v>#REF!</v>
      </c>
      <c r="K2901" s="79"/>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77">
        <v>191</v>
      </c>
      <c r="B2902" s="77" t="s">
        <v>70</v>
      </c>
      <c r="C2902" s="77" t="s">
        <v>2488</v>
      </c>
      <c r="D2902" s="77" t="s">
        <v>480</v>
      </c>
      <c r="E2902" s="11" t="str">
        <f t="array" ref="E2902">_xlfn.XLOOKUP(D2902,Insumos!B:B,Insumos!C:$C)</f>
        <v>KG</v>
      </c>
      <c r="F2902" s="81">
        <v>8.8000000000000007</v>
      </c>
      <c r="G2902" s="87">
        <f t="array" ref="G2902">IF(B2902="insumo",_xlfn.XLOOKUP($D2902,Insumos!$B$1:$B$996,Insumos!$D$1:$D$996),"")</f>
        <v>1.0645</v>
      </c>
      <c r="H2902" s="87">
        <v>9.3675999999999995</v>
      </c>
      <c r="I2902" s="79" t="e">
        <v>#REF!</v>
      </c>
      <c r="J2902" s="79" t="e">
        <v>#REF!</v>
      </c>
      <c r="K2902" s="79"/>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77">
        <v>142</v>
      </c>
      <c r="B2903" s="77" t="s">
        <v>70</v>
      </c>
      <c r="C2903" s="77" t="s">
        <v>2488</v>
      </c>
      <c r="D2903" s="77" t="s">
        <v>505</v>
      </c>
      <c r="E2903" s="11" t="str">
        <f t="array" ref="E2903">_xlfn.XLOOKUP(D2903,Insumos!B:B,Insumos!C:$C)</f>
        <v>UN</v>
      </c>
      <c r="F2903" s="81">
        <v>1</v>
      </c>
      <c r="G2903" s="87">
        <f t="array" ref="G2903">IF(B2903="insumo",_xlfn.XLOOKUP($D2903,Insumos!$B$1:$B$996,Insumos!$D$1:$D$996),"")</f>
        <v>0.08</v>
      </c>
      <c r="H2903" s="87">
        <v>0.08</v>
      </c>
      <c r="I2903" s="79" t="e">
        <v>#REF!</v>
      </c>
      <c r="J2903" s="79" t="e">
        <v>#REF!</v>
      </c>
      <c r="K2903" s="79"/>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77">
        <v>22</v>
      </c>
      <c r="B2904" s="77" t="s">
        <v>70</v>
      </c>
      <c r="C2904" s="77" t="s">
        <v>2488</v>
      </c>
      <c r="D2904" s="77" t="s">
        <v>1765</v>
      </c>
      <c r="E2904" s="11" t="str">
        <f t="array" ref="E2904">_xlfn.XLOOKUP(D2904,Insumos!B:B,Insumos!C:$C)</f>
        <v>KG</v>
      </c>
      <c r="F2904" s="81">
        <v>0.01</v>
      </c>
      <c r="G2904" s="87">
        <f t="array" ref="G2904">IF(B2904="insumo",_xlfn.XLOOKUP($D2904,Insumos!$B$1:$B$996,Insumos!$D$1:$D$996),"")</f>
        <v>43.8</v>
      </c>
      <c r="H2904" s="87">
        <v>0.438</v>
      </c>
      <c r="I2904" s="79" t="e">
        <v>#REF!</v>
      </c>
      <c r="J2904" s="79" t="e">
        <v>#REF!</v>
      </c>
      <c r="K2904" s="79"/>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332">
        <v>1</v>
      </c>
      <c r="B2905" s="332" t="s">
        <v>67</v>
      </c>
      <c r="C2905" s="332" t="s">
        <v>1433</v>
      </c>
      <c r="D2905" s="332" t="s">
        <v>1433</v>
      </c>
      <c r="E2905" s="333" t="s">
        <v>69</v>
      </c>
      <c r="F2905" s="332"/>
      <c r="G2905" s="334" t="str">
        <f t="array" ref="G2905">IF(B2905="insumo",_xlfn.XLOOKUP($D2905,Insumos!$B$1:$B$996,Insumos!$D$1:$D$996),"")</f>
        <v/>
      </c>
      <c r="H2905" s="334">
        <v>269.76</v>
      </c>
      <c r="I2905" s="335">
        <v>0</v>
      </c>
      <c r="J2905" s="335">
        <v>0</v>
      </c>
      <c r="K2905" s="335"/>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70</v>
      </c>
      <c r="C2906" s="10" t="s">
        <v>1433</v>
      </c>
      <c r="D2906" s="10" t="s">
        <v>1487</v>
      </c>
      <c r="E2906" s="11" t="str">
        <f t="array" ref="E2906">_xlfn.XLOOKUP(D2906,Insumos!B:B,Insumos!C:$C)</f>
        <v>M2</v>
      </c>
      <c r="F2906" s="14">
        <v>1</v>
      </c>
      <c r="G2906" s="87">
        <f t="array" ref="G2906">IF(B2906="insumo",_xlfn.XLOOKUP($D2906,Insumos!$B$1:$B$996,Insumos!$D$1:$D$996),"")</f>
        <v>269.76</v>
      </c>
      <c r="H2906" s="87">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332">
        <v>1</v>
      </c>
      <c r="B2907" s="332" t="s">
        <v>67</v>
      </c>
      <c r="C2907" s="332" t="s">
        <v>1436</v>
      </c>
      <c r="D2907" s="332" t="s">
        <v>1436</v>
      </c>
      <c r="E2907" s="333" t="s">
        <v>69</v>
      </c>
      <c r="F2907" s="332"/>
      <c r="G2907" s="334" t="str">
        <f t="array" ref="G2907">IF(B2907="insumo",_xlfn.XLOOKUP($D2907,Insumos!$B$1:$B$996,Insumos!$D$1:$D$996),"")</f>
        <v/>
      </c>
      <c r="H2907" s="334">
        <v>986.4</v>
      </c>
      <c r="I2907" s="335">
        <v>0</v>
      </c>
      <c r="J2907" s="335">
        <v>0</v>
      </c>
      <c r="K2907" s="335"/>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70</v>
      </c>
      <c r="C2908" s="10" t="s">
        <v>1436</v>
      </c>
      <c r="D2908" s="10" t="s">
        <v>1437</v>
      </c>
      <c r="E2908" s="11" t="str">
        <f t="array" ref="E2908">_xlfn.XLOOKUP(D2908,Insumos!B:B,Insumos!C:$C)</f>
        <v>M2</v>
      </c>
      <c r="F2908" s="14">
        <v>1</v>
      </c>
      <c r="G2908" s="87">
        <f t="array" ref="G2908">IF(B2908="insumo",_xlfn.XLOOKUP($D2908,Insumos!$B$1:$B$996,Insumos!$D$1:$D$996),"")</f>
        <v>986.4</v>
      </c>
      <c r="H2908" s="87">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332">
        <v>1</v>
      </c>
      <c r="B2909" s="332" t="s">
        <v>67</v>
      </c>
      <c r="C2909" s="332" t="s">
        <v>1438</v>
      </c>
      <c r="D2909" s="332" t="s">
        <v>1438</v>
      </c>
      <c r="E2909" s="333" t="s">
        <v>69</v>
      </c>
      <c r="F2909" s="332"/>
      <c r="G2909" s="334" t="str">
        <f t="array" ref="G2909">IF(B2909="insumo",_xlfn.XLOOKUP($D2909,Insumos!$B$1:$B$996,Insumos!$D$1:$D$996),"")</f>
        <v/>
      </c>
      <c r="H2909" s="334">
        <v>613</v>
      </c>
      <c r="I2909" s="335">
        <v>0</v>
      </c>
      <c r="J2909" s="335">
        <v>0</v>
      </c>
      <c r="K2909" s="335"/>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70</v>
      </c>
      <c r="C2910" s="10" t="s">
        <v>1438</v>
      </c>
      <c r="D2910" s="10" t="s">
        <v>1416</v>
      </c>
      <c r="E2910" s="11" t="str">
        <f t="array" ref="E2910">_xlfn.XLOOKUP(D2910,Insumos!B:B,Insumos!C:$C)</f>
        <v>M2</v>
      </c>
      <c r="F2910" s="14">
        <v>1</v>
      </c>
      <c r="G2910" s="87">
        <f t="array" ref="G2910">IF(B2910="insumo",_xlfn.XLOOKUP($D2910,Insumos!$B$1:$B$996,Insumos!$D$1:$D$996),"")</f>
        <v>613</v>
      </c>
      <c r="H2910" s="87">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355">
        <v>6</v>
      </c>
      <c r="B2911" s="355" t="s">
        <v>1227</v>
      </c>
      <c r="C2911" s="355" t="s">
        <v>1438</v>
      </c>
      <c r="D2911" s="355" t="s">
        <v>1423</v>
      </c>
      <c r="E2911" s="356"/>
      <c r="F2911" s="357"/>
      <c r="G2911" s="356"/>
      <c r="H2911" s="356">
        <v>0</v>
      </c>
      <c r="I2911" s="357">
        <v>0</v>
      </c>
      <c r="J2911" s="357">
        <v>0</v>
      </c>
      <c r="K2911" s="357"/>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332">
        <v>1</v>
      </c>
      <c r="B2912" s="332" t="s">
        <v>67</v>
      </c>
      <c r="C2912" s="332" t="s">
        <v>574</v>
      </c>
      <c r="D2912" s="332" t="s">
        <v>574</v>
      </c>
      <c r="E2912" s="333" t="s">
        <v>69</v>
      </c>
      <c r="F2912" s="340"/>
      <c r="G2912" s="334" t="str">
        <f t="array" ref="G2912">IF(B2912="insumo",_xlfn.XLOOKUP($D2912,Insumos!$B$1:$B$996,Insumos!$D$1:$D$996),"")</f>
        <v/>
      </c>
      <c r="H2912" s="334">
        <v>25</v>
      </c>
      <c r="I2912" s="335" t="e">
        <v>#REF!</v>
      </c>
      <c r="J2912" s="335" t="e">
        <v>#REF!</v>
      </c>
      <c r="K2912" s="335"/>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70</v>
      </c>
      <c r="C2913" s="10" t="s">
        <v>574</v>
      </c>
      <c r="D2913" s="10" t="s">
        <v>574</v>
      </c>
      <c r="E2913" s="11" t="str">
        <f t="array" ref="E2913">_xlfn.XLOOKUP(D2913,Insumos!B:B,Insumos!C:$C)</f>
        <v>M2</v>
      </c>
      <c r="F2913" s="14">
        <v>1</v>
      </c>
      <c r="G2913" s="87">
        <f t="array" ref="G2913">IF(B2913="insumo",_xlfn.XLOOKUP($D2913,Insumos!$B$1:$B$996,Insumos!$D$1:$D$996),"")</f>
        <v>25</v>
      </c>
      <c r="H2913" s="87">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332">
        <v>1</v>
      </c>
      <c r="B2914" s="332" t="s">
        <v>67</v>
      </c>
      <c r="C2914" s="332" t="s">
        <v>1425</v>
      </c>
      <c r="D2914" s="332" t="s">
        <v>1425</v>
      </c>
      <c r="E2914" s="333" t="s">
        <v>69</v>
      </c>
      <c r="F2914" s="340"/>
      <c r="G2914" s="334" t="str">
        <f t="array" ref="G2914">IF(B2914="insumo",_xlfn.XLOOKUP($D2914,Insumos!$B$1:$B$996,Insumos!$D$1:$D$996),"")</f>
        <v/>
      </c>
      <c r="H2914" s="334">
        <v>40</v>
      </c>
      <c r="I2914" s="335" t="e">
        <v>#REF!</v>
      </c>
      <c r="J2914" s="335" t="e">
        <v>#REF!</v>
      </c>
      <c r="K2914" s="335"/>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70</v>
      </c>
      <c r="C2915" s="10" t="s">
        <v>1425</v>
      </c>
      <c r="D2915" s="10" t="s">
        <v>1425</v>
      </c>
      <c r="E2915" s="11" t="str">
        <f t="array" ref="E2915">_xlfn.XLOOKUP(D2915,Insumos!B:B,Insumos!C:$C)</f>
        <v>M2</v>
      </c>
      <c r="F2915" s="14">
        <v>1</v>
      </c>
      <c r="G2915" s="87">
        <f t="array" ref="G2915">IF(B2915="insumo",_xlfn.XLOOKUP($D2915,Insumos!$B$1:$B$996,Insumos!$D$1:$D$996),"")</f>
        <v>40</v>
      </c>
      <c r="H2915" s="87">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332">
        <v>1</v>
      </c>
      <c r="B2916" s="332" t="s">
        <v>67</v>
      </c>
      <c r="C2916" s="332" t="s">
        <v>1439</v>
      </c>
      <c r="D2916" s="332" t="s">
        <v>1439</v>
      </c>
      <c r="E2916" s="333" t="s">
        <v>69</v>
      </c>
      <c r="F2916" s="340"/>
      <c r="G2916" s="334" t="str">
        <f t="array" ref="G2916">IF(B2916="insumo",_xlfn.XLOOKUP($D2916,Insumos!$B$1:$B$996,Insumos!$D$1:$D$996),"")</f>
        <v/>
      </c>
      <c r="H2916" s="334">
        <v>75</v>
      </c>
      <c r="I2916" s="335">
        <v>0</v>
      </c>
      <c r="J2916" s="335">
        <v>0</v>
      </c>
      <c r="K2916" s="335"/>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70</v>
      </c>
      <c r="C2917" s="10" t="s">
        <v>1439</v>
      </c>
      <c r="D2917" s="10" t="s">
        <v>1439</v>
      </c>
      <c r="E2917" s="11" t="str">
        <f t="array" ref="E2917">_xlfn.XLOOKUP(D2917,Insumos!B:B,Insumos!C:$C)</f>
        <v>M2</v>
      </c>
      <c r="F2917" s="14">
        <v>1</v>
      </c>
      <c r="G2917" s="87">
        <f t="array" ref="G2917">IF(B2917="insumo",_xlfn.XLOOKUP($D2917,Insumos!$B$1:$B$996,Insumos!$D$1:$D$996),"")</f>
        <v>75</v>
      </c>
      <c r="H2917" s="87">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65</v>
      </c>
      <c r="C2918" s="7" t="s">
        <v>1439</v>
      </c>
      <c r="D2918" s="7" t="s">
        <v>575</v>
      </c>
      <c r="E2918" s="8"/>
      <c r="F2918" s="9"/>
      <c r="G2918" s="86" t="str">
        <f t="array" ref="G2918">IF(B2918="insumo",_xlfn.XLOOKUP($D2918,Insumos!$B$1:$B$996,Insumos!$D$1:$D$996),"")</f>
        <v/>
      </c>
      <c r="H2918" s="86">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355">
        <v>1</v>
      </c>
      <c r="B2919" s="355" t="s">
        <v>1227</v>
      </c>
      <c r="C2919" s="355" t="s">
        <v>1439</v>
      </c>
      <c r="D2919" s="355" t="s">
        <v>1440</v>
      </c>
      <c r="E2919" s="356"/>
      <c r="F2919" s="357"/>
      <c r="G2919" s="356"/>
      <c r="H2919" s="356">
        <v>0</v>
      </c>
      <c r="I2919" s="357">
        <v>0</v>
      </c>
      <c r="J2919" s="357">
        <v>0</v>
      </c>
      <c r="K2919" s="357"/>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332">
        <v>1</v>
      </c>
      <c r="B2920" s="332" t="s">
        <v>67</v>
      </c>
      <c r="C2920" s="332" t="s">
        <v>539</v>
      </c>
      <c r="D2920" s="332" t="s">
        <v>539</v>
      </c>
      <c r="E2920" s="333" t="s">
        <v>69</v>
      </c>
      <c r="F2920" s="332"/>
      <c r="G2920" s="334" t="str">
        <f t="array" ref="G2920">IF(B2920="insumo",_xlfn.XLOOKUP($D2920,Insumos!$B$1:$B$996,Insumos!$D$1:$D$996),"")</f>
        <v/>
      </c>
      <c r="H2920" s="334">
        <v>166.666666666667</v>
      </c>
      <c r="I2920" s="335">
        <v>0</v>
      </c>
      <c r="J2920" s="335">
        <v>0</v>
      </c>
      <c r="K2920" s="335"/>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70</v>
      </c>
      <c r="C2921" s="10" t="s">
        <v>539</v>
      </c>
      <c r="D2921" s="10" t="s">
        <v>540</v>
      </c>
      <c r="E2921" s="11" t="str">
        <f t="array" ref="E2921">_xlfn.XLOOKUP(D2921,Insumos!B:B,Insumos!C:$C)</f>
        <v>M2</v>
      </c>
      <c r="F2921" s="14">
        <v>1.1000000000000001</v>
      </c>
      <c r="G2921" s="87">
        <f t="array" ref="G2921">IF(B2921="insumo",_xlfn.XLOOKUP($D2921,Insumos!$B$1:$B$996,Insumos!$D$1:$D$996),"")</f>
        <v>151.5151515151515</v>
      </c>
      <c r="H2921" s="87">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332">
        <v>1</v>
      </c>
      <c r="B2922" s="332" t="s">
        <v>67</v>
      </c>
      <c r="C2922" s="332" t="s">
        <v>576</v>
      </c>
      <c r="D2922" s="332" t="s">
        <v>576</v>
      </c>
      <c r="E2922" s="333" t="s">
        <v>151</v>
      </c>
      <c r="F2922" s="332"/>
      <c r="G2922" s="334" t="str">
        <f t="array" ref="G2922">IF(B2922="insumo",_xlfn.XLOOKUP($D2922,Insumos!$B$1:$B$996,Insumos!$D$1:$D$996),"")</f>
        <v/>
      </c>
      <c r="H2922" s="334">
        <v>495.24700000000001</v>
      </c>
      <c r="I2922" s="335">
        <v>0</v>
      </c>
      <c r="J2922" s="335">
        <v>0</v>
      </c>
      <c r="K2922" s="335"/>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70</v>
      </c>
      <c r="C2923" s="10" t="s">
        <v>576</v>
      </c>
      <c r="D2923" s="10" t="s">
        <v>157</v>
      </c>
      <c r="E2923" s="11" t="str">
        <f t="array" ref="E2923">_xlfn.XLOOKUP(D2923,Insumos!B:B,Insumos!C:$C)</f>
        <v>M3</v>
      </c>
      <c r="F2923" s="14">
        <v>1.05</v>
      </c>
      <c r="G2923" s="87">
        <f t="array" ref="G2923">IF(B2923="insumo",_xlfn.XLOOKUP($D2923,Insumos!$B$1:$B$996,Insumos!$D$1:$D$996),"")</f>
        <v>430.94</v>
      </c>
      <c r="H2923" s="87">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70</v>
      </c>
      <c r="C2924" s="10" t="s">
        <v>576</v>
      </c>
      <c r="D2924" s="10" t="s">
        <v>158</v>
      </c>
      <c r="E2924" s="11" t="str">
        <f t="array" ref="E2924">_xlfn.XLOOKUP(D2924,Insumos!B:B,Insumos!C:$C)</f>
        <v>M3</v>
      </c>
      <c r="F2924" s="14">
        <v>1.05</v>
      </c>
      <c r="G2924" s="87">
        <f t="array" ref="G2924">IF(B2924="insumo",_xlfn.XLOOKUP($D2924,Insumos!$B$1:$B$996,Insumos!$D$1:$D$996),"")</f>
        <v>40</v>
      </c>
      <c r="H2924" s="87">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70</v>
      </c>
      <c r="C2925" s="10" t="s">
        <v>576</v>
      </c>
      <c r="D2925" s="10" t="s">
        <v>159</v>
      </c>
      <c r="E2925" s="11" t="str">
        <f t="array" ref="E2925">_xlfn.XLOOKUP(D2925,Insumos!B:B,Insumos!C:$C)</f>
        <v>KG</v>
      </c>
      <c r="F2925" s="14">
        <v>1</v>
      </c>
      <c r="G2925" s="87">
        <f t="array" ref="G2925">IF(B2925="insumo",_xlfn.XLOOKUP($D2925,Insumos!$B$1:$B$996,Insumos!$D$1:$D$996),"")</f>
        <v>0.76</v>
      </c>
      <c r="H2925" s="87">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332">
        <v>1</v>
      </c>
      <c r="B2926" s="332" t="s">
        <v>67</v>
      </c>
      <c r="C2926" s="332" t="s">
        <v>625</v>
      </c>
      <c r="D2926" s="332" t="s">
        <v>625</v>
      </c>
      <c r="E2926" s="333" t="s">
        <v>69</v>
      </c>
      <c r="F2926" s="332"/>
      <c r="G2926" s="334" t="str">
        <f t="array" ref="G2926">IF(B2926="insumo",_xlfn.XLOOKUP($D2926,Insumos!$B$1:$B$996,Insumos!$D$1:$D$996),"")</f>
        <v/>
      </c>
      <c r="H2926" s="334">
        <v>189.3</v>
      </c>
      <c r="I2926" s="335">
        <v>0</v>
      </c>
      <c r="J2926" s="335">
        <v>0</v>
      </c>
      <c r="K2926" s="335"/>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70</v>
      </c>
      <c r="C2927" s="10" t="s">
        <v>625</v>
      </c>
      <c r="D2927" s="10" t="s">
        <v>626</v>
      </c>
      <c r="E2927" s="11" t="str">
        <f t="array" ref="E2927">_xlfn.XLOOKUP(D2927,Insumos!B:B,Insumos!C:$C)</f>
        <v>M2</v>
      </c>
      <c r="F2927" s="14">
        <v>1</v>
      </c>
      <c r="G2927" s="87">
        <f t="array" ref="G2927">IF(B2927="insumo",_xlfn.XLOOKUP($D2927,Insumos!$B$1:$B$996,Insumos!$D$1:$D$996),"")</f>
        <v>16.75</v>
      </c>
      <c r="H2927" s="87">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70</v>
      </c>
      <c r="C2928" s="10" t="s">
        <v>625</v>
      </c>
      <c r="D2928" s="10" t="s">
        <v>442</v>
      </c>
      <c r="E2928" s="11" t="str">
        <f t="array" ref="E2928">_xlfn.XLOOKUP(D2928,Insumos!B:B,Insumos!C:$C)</f>
        <v>M3</v>
      </c>
      <c r="F2928" s="14">
        <v>1.19</v>
      </c>
      <c r="G2928" s="87">
        <f t="array" ref="G2928">IF(B2928="insumo",_xlfn.XLOOKUP($D2928,Insumos!$B$1:$B$996,Insumos!$D$1:$D$996),"")</f>
        <v>145</v>
      </c>
      <c r="H2928" s="87">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332">
        <v>1</v>
      </c>
      <c r="B2929" s="332" t="s">
        <v>67</v>
      </c>
      <c r="C2929" s="332" t="s">
        <v>1493</v>
      </c>
      <c r="D2929" s="332" t="s">
        <v>1493</v>
      </c>
      <c r="E2929" s="333" t="s">
        <v>69</v>
      </c>
      <c r="F2929" s="332"/>
      <c r="G2929" s="334" t="str">
        <f t="array" ref="G2929">IF(B2929="insumo",_xlfn.XLOOKUP($D2929,Insumos!$B$1:$B$996,Insumos!$D$1:$D$996),"")</f>
        <v/>
      </c>
      <c r="H2929" s="334">
        <v>296.7</v>
      </c>
      <c r="I2929" s="335">
        <v>0</v>
      </c>
      <c r="J2929" s="335">
        <v>0</v>
      </c>
      <c r="K2929" s="335"/>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70</v>
      </c>
      <c r="C2930" s="10" t="s">
        <v>1493</v>
      </c>
      <c r="D2930" s="10" t="s">
        <v>637</v>
      </c>
      <c r="E2930" s="11" t="str">
        <f t="array" ref="E2930">_xlfn.XLOOKUP(D2930,Insumos!B:B,Insumos!C:$C)</f>
        <v>M2</v>
      </c>
      <c r="F2930" s="14">
        <v>1</v>
      </c>
      <c r="G2930" s="87">
        <f t="array" ref="G2930">IF(B2930="insumo",_xlfn.XLOOKUP($D2930,Insumos!$B$1:$B$996,Insumos!$D$1:$D$996),"")</f>
        <v>146.69999999999999</v>
      </c>
      <c r="H2930" s="87">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70</v>
      </c>
      <c r="C2931" s="10" t="s">
        <v>1493</v>
      </c>
      <c r="D2931" s="10" t="s">
        <v>638</v>
      </c>
      <c r="E2931" s="11" t="str">
        <f t="array" ref="E2931">_xlfn.XLOOKUP(D2931,Insumos!B:B,Insumos!C:$C)</f>
        <v>M2</v>
      </c>
      <c r="F2931" s="14">
        <v>1</v>
      </c>
      <c r="G2931" s="87">
        <f t="array" ref="G2931">IF(B2931="insumo",_xlfn.XLOOKUP($D2931,Insumos!$B$1:$B$996,Insumos!$D$1:$D$996),"")</f>
        <v>150</v>
      </c>
      <c r="H2931" s="87">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332">
        <v>1</v>
      </c>
      <c r="B2932" s="332" t="s">
        <v>67</v>
      </c>
      <c r="C2932" s="332" t="s">
        <v>1494</v>
      </c>
      <c r="D2932" s="332" t="s">
        <v>1494</v>
      </c>
      <c r="E2932" s="333" t="s">
        <v>69</v>
      </c>
      <c r="F2932" s="332"/>
      <c r="G2932" s="334" t="str">
        <f t="array" ref="G2932">IF(B2932="insumo",_xlfn.XLOOKUP($D2932,Insumos!$B$1:$B$996,Insumos!$D$1:$D$996),"")</f>
        <v/>
      </c>
      <c r="H2932" s="334">
        <v>233.42500000000001</v>
      </c>
      <c r="I2932" s="335">
        <v>0</v>
      </c>
      <c r="J2932" s="335">
        <v>0</v>
      </c>
      <c r="K2932" s="335"/>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70</v>
      </c>
      <c r="C2933" s="10" t="s">
        <v>1494</v>
      </c>
      <c r="D2933" s="10" t="s">
        <v>344</v>
      </c>
      <c r="E2933" s="11" t="str">
        <f t="array" ref="E2933">_xlfn.XLOOKUP(D2933,Insumos!B:B,Insumos!C:$C)</f>
        <v>UN</v>
      </c>
      <c r="F2933" s="14">
        <f>ROUNDUP((1/(0.19*0.19)),)</f>
        <v>28</v>
      </c>
      <c r="G2933" s="87">
        <f t="array" ref="G2933">IF(B2933="insumo",_xlfn.XLOOKUP($D2933,Insumos!$B$1:$B$996,Insumos!$D$1:$D$996),"")</f>
        <v>2.6</v>
      </c>
      <c r="H2933" s="87">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70</v>
      </c>
      <c r="C2934" s="10" t="s">
        <v>1494</v>
      </c>
      <c r="D2934" s="10" t="s">
        <v>355</v>
      </c>
      <c r="E2934" s="11" t="str">
        <f t="array" ref="E2934">_xlfn.XLOOKUP(D2934,Insumos!B:B,Insumos!C:$C)</f>
        <v>M3</v>
      </c>
      <c r="F2934" s="14">
        <v>2.5000000000000001E-2</v>
      </c>
      <c r="G2934" s="87">
        <f t="array" ref="G2934">IF(B2934="insumo",_xlfn.XLOOKUP($D2934,Insumos!$B$1:$B$996,Insumos!$D$1:$D$996),"")</f>
        <v>425</v>
      </c>
      <c r="H2934" s="87">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70</v>
      </c>
      <c r="C2935" s="10" t="s">
        <v>1494</v>
      </c>
      <c r="D2935" s="10" t="s">
        <v>638</v>
      </c>
      <c r="E2935" s="11" t="str">
        <f t="array" ref="E2935">_xlfn.XLOOKUP(D2935,Insumos!B:B,Insumos!C:$C)</f>
        <v>M2</v>
      </c>
      <c r="F2935" s="14">
        <v>1</v>
      </c>
      <c r="G2935" s="87">
        <f t="array" ref="G2935">IF(B2935="insumo",_xlfn.XLOOKUP($D2935,Insumos!$B$1:$B$996,Insumos!$D$1:$D$996),"")</f>
        <v>150</v>
      </c>
      <c r="H2935" s="87">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355">
        <v>1</v>
      </c>
      <c r="B2936" s="355" t="s">
        <v>1227</v>
      </c>
      <c r="C2936" s="355" t="s">
        <v>1494</v>
      </c>
      <c r="D2936" s="355" t="s">
        <v>1441</v>
      </c>
      <c r="E2936" s="356"/>
      <c r="F2936" s="357"/>
      <c r="G2936" s="356"/>
      <c r="H2936" s="356">
        <v>0</v>
      </c>
      <c r="I2936" s="357">
        <v>0</v>
      </c>
      <c r="J2936" s="357">
        <v>0</v>
      </c>
      <c r="K2936" s="357"/>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332">
        <v>1</v>
      </c>
      <c r="B2937" s="332" t="s">
        <v>67</v>
      </c>
      <c r="C2937" s="332" t="s">
        <v>6578</v>
      </c>
      <c r="D2937" s="332" t="s">
        <v>577</v>
      </c>
      <c r="E2937" s="333" t="s">
        <v>69</v>
      </c>
      <c r="F2937" s="332"/>
      <c r="G2937" s="334" t="str">
        <f t="array" ref="G2937">IF(B2937="insumo",_xlfn.XLOOKUP($D2937,Insumos!$B$1:$B$996,Insumos!$D$1:$D$996),"")</f>
        <v/>
      </c>
      <c r="H2937" s="334">
        <v>21.08614</v>
      </c>
      <c r="I2937" s="335">
        <v>0</v>
      </c>
      <c r="J2937" s="335">
        <v>0</v>
      </c>
      <c r="K2937" s="335"/>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70</v>
      </c>
      <c r="C2938" s="10" t="s">
        <v>6578</v>
      </c>
      <c r="D2938" s="10" t="s">
        <v>3013</v>
      </c>
      <c r="E2938" s="11" t="str">
        <f t="array" ref="E2938">_xlfn.XLOOKUP(D2938,Insumos!B:B,Insumos!C:$C)</f>
        <v>M3</v>
      </c>
      <c r="F2938" s="14">
        <v>2.2000000000000002E-2</v>
      </c>
      <c r="G2938" s="87">
        <f t="array" ref="G2938">IF(B2938="insumo",_xlfn.XLOOKUP($D2938,Insumos!$B$1:$B$996,Insumos!$D$1:$D$996),"")</f>
        <v>515</v>
      </c>
      <c r="H2938" s="87">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70</v>
      </c>
      <c r="C2939" s="10" t="s">
        <v>6578</v>
      </c>
      <c r="D2939" s="10" t="s">
        <v>502</v>
      </c>
      <c r="E2939" s="11" t="str">
        <f t="array" ref="E2939">_xlfn.XLOOKUP(D2939,Insumos!B:B,Insumos!C:$C)</f>
        <v>L</v>
      </c>
      <c r="F2939" s="14">
        <v>2.1000000000000001E-2</v>
      </c>
      <c r="G2939" s="87">
        <f t="array" ref="G2939">IF(B2939="insumo",_xlfn.XLOOKUP($D2939,Insumos!$B$1:$B$996,Insumos!$D$1:$D$996),"")</f>
        <v>19.34</v>
      </c>
      <c r="H2939" s="87">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70</v>
      </c>
      <c r="C2940" s="10" t="s">
        <v>6578</v>
      </c>
      <c r="D2940" s="10" t="s">
        <v>578</v>
      </c>
      <c r="E2940" s="11" t="str">
        <f t="array" ref="E2940">_xlfn.XLOOKUP(D2940,Insumos!B:B,Insumos!C:$C)</f>
        <v>KG</v>
      </c>
      <c r="F2940" s="14">
        <v>2.2000000000000002</v>
      </c>
      <c r="G2940" s="87">
        <f t="array" ref="G2940">IF(B2940="insumo",_xlfn.XLOOKUP($D2940,Insumos!$B$1:$B$996,Insumos!$D$1:$D$996),"")</f>
        <v>4.25</v>
      </c>
      <c r="H2940" s="87">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332">
        <v>1</v>
      </c>
      <c r="B2941" s="332" t="s">
        <v>67</v>
      </c>
      <c r="C2941" s="332" t="s">
        <v>6579</v>
      </c>
      <c r="D2941" s="332" t="s">
        <v>579</v>
      </c>
      <c r="E2941" s="333" t="s">
        <v>69</v>
      </c>
      <c r="F2941" s="332"/>
      <c r="G2941" s="334" t="str">
        <f t="array" ref="G2941">IF(B2941="insumo",_xlfn.XLOOKUP($D2941,Insumos!$B$1:$B$996,Insumos!$D$1:$D$996),"")</f>
        <v/>
      </c>
      <c r="H2941" s="334">
        <v>23.91864</v>
      </c>
      <c r="I2941" s="335">
        <v>0</v>
      </c>
      <c r="J2941" s="335">
        <v>0</v>
      </c>
      <c r="K2941" s="335"/>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70</v>
      </c>
      <c r="C2942" s="10" t="s">
        <v>6579</v>
      </c>
      <c r="D2942" s="10" t="s">
        <v>3013</v>
      </c>
      <c r="E2942" s="11" t="str">
        <f t="array" ref="E2942">_xlfn.XLOOKUP(D2942,Insumos!B:B,Insumos!C:$C)</f>
        <v>M3</v>
      </c>
      <c r="F2942" s="14">
        <v>2.7500000000000004E-2</v>
      </c>
      <c r="G2942" s="87">
        <f t="array" ref="G2942">IF(B2942="insumo",_xlfn.XLOOKUP($D2942,Insumos!$B$1:$B$996,Insumos!$D$1:$D$996),"")</f>
        <v>515</v>
      </c>
      <c r="H2942" s="87">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70</v>
      </c>
      <c r="C2943" s="10" t="s">
        <v>6579</v>
      </c>
      <c r="D2943" s="10" t="s">
        <v>502</v>
      </c>
      <c r="E2943" s="11" t="str">
        <f t="array" ref="E2943">_xlfn.XLOOKUP(D2943,Insumos!B:B,Insumos!C:$C)</f>
        <v>L</v>
      </c>
      <c r="F2943" s="14">
        <v>2.1000000000000001E-2</v>
      </c>
      <c r="G2943" s="87">
        <f t="array" ref="G2943">IF(B2943="insumo",_xlfn.XLOOKUP($D2943,Insumos!$B$1:$B$996,Insumos!$D$1:$D$996),"")</f>
        <v>19.34</v>
      </c>
      <c r="H2943" s="87">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70</v>
      </c>
      <c r="C2944" s="10" t="s">
        <v>6579</v>
      </c>
      <c r="D2944" s="10" t="s">
        <v>578</v>
      </c>
      <c r="E2944" s="11" t="str">
        <f t="array" ref="E2944">_xlfn.XLOOKUP(D2944,Insumos!B:B,Insumos!C:$C)</f>
        <v>KG</v>
      </c>
      <c r="F2944" s="14">
        <v>2.2000000000000002</v>
      </c>
      <c r="G2944" s="87">
        <f t="array" ref="G2944">IF(B2944="insumo",_xlfn.XLOOKUP($D2944,Insumos!$B$1:$B$996,Insumos!$D$1:$D$996),"")</f>
        <v>4.25</v>
      </c>
      <c r="H2944" s="87">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332">
        <v>1</v>
      </c>
      <c r="B2945" s="332" t="s">
        <v>67</v>
      </c>
      <c r="C2945" s="332" t="s">
        <v>1789</v>
      </c>
      <c r="D2945" s="332" t="s">
        <v>1789</v>
      </c>
      <c r="E2945" s="333" t="s">
        <v>69</v>
      </c>
      <c r="F2945" s="332"/>
      <c r="G2945" s="334" t="str">
        <f t="array" ref="G2945">IF(B2945="insumo",_xlfn.XLOOKUP($D2945,Insumos!$B$1:$B$996,Insumos!$D$1:$D$996),"")</f>
        <v/>
      </c>
      <c r="H2945" s="334">
        <v>35.668186666666699</v>
      </c>
      <c r="I2945" s="335">
        <v>0</v>
      </c>
      <c r="J2945" s="335">
        <v>0</v>
      </c>
      <c r="K2945" s="335"/>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70</v>
      </c>
      <c r="C2946" s="10" t="s">
        <v>1789</v>
      </c>
      <c r="D2946" s="10" t="s">
        <v>3013</v>
      </c>
      <c r="E2946" s="11" t="str">
        <f t="array" ref="E2946">_xlfn.XLOOKUP(D2946,Insumos!B:B,Insumos!C:$C)</f>
        <v>M3</v>
      </c>
      <c r="F2946" s="14">
        <f>0.033*4/3</f>
        <v>4.4000000000000004E-2</v>
      </c>
      <c r="G2946" s="87">
        <f t="array" ref="G2946">IF(B2946="insumo",_xlfn.XLOOKUP($D2946,Insumos!$B$1:$B$996,Insumos!$D$1:$D$996),"")</f>
        <v>515</v>
      </c>
      <c r="H2946" s="87">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70</v>
      </c>
      <c r="C2947" s="10" t="s">
        <v>1789</v>
      </c>
      <c r="D2947" s="10" t="s">
        <v>502</v>
      </c>
      <c r="E2947" s="11" t="str">
        <f t="array" ref="E2947">_xlfn.XLOOKUP(D2947,Insumos!B:B,Insumos!C:$C)</f>
        <v>L</v>
      </c>
      <c r="F2947" s="14">
        <f>0.021*4/3</f>
        <v>2.8000000000000001E-2</v>
      </c>
      <c r="G2947" s="87">
        <f t="array" ref="G2947">IF(B2947="insumo",_xlfn.XLOOKUP($D2947,Insumos!$B$1:$B$996,Insumos!$D$1:$D$996),"")</f>
        <v>19.34</v>
      </c>
      <c r="H2947" s="87">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70</v>
      </c>
      <c r="C2948" s="10" t="s">
        <v>1789</v>
      </c>
      <c r="D2948" s="10" t="s">
        <v>578</v>
      </c>
      <c r="E2948" s="11" t="str">
        <f t="array" ref="E2948">_xlfn.XLOOKUP(D2948,Insumos!B:B,Insumos!C:$C)</f>
        <v>KG</v>
      </c>
      <c r="F2948" s="14">
        <f>2.2*4/3</f>
        <v>2.9333333333333336</v>
      </c>
      <c r="G2948" s="87">
        <f t="array" ref="G2948">IF(B2948="insumo",_xlfn.XLOOKUP($D2948,Insumos!$B$1:$B$996,Insumos!$D$1:$D$996),"")</f>
        <v>4.25</v>
      </c>
      <c r="H2948" s="87">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332">
        <v>1</v>
      </c>
      <c r="B2949" s="332" t="s">
        <v>67</v>
      </c>
      <c r="C2949" s="332" t="s">
        <v>6580</v>
      </c>
      <c r="D2949" s="332" t="s">
        <v>580</v>
      </c>
      <c r="E2949" s="333" t="s">
        <v>69</v>
      </c>
      <c r="F2949" s="332"/>
      <c r="G2949" s="334" t="str">
        <f t="array" ref="G2949">IF(B2949="insumo",_xlfn.XLOOKUP($D2949,Insumos!$B$1:$B$996,Insumos!$D$1:$D$996),"")</f>
        <v/>
      </c>
      <c r="H2949" s="334">
        <v>26.751139999999999</v>
      </c>
      <c r="I2949" s="335">
        <v>0</v>
      </c>
      <c r="J2949" s="335">
        <v>0</v>
      </c>
      <c r="K2949" s="335"/>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70</v>
      </c>
      <c r="C2950" s="10" t="s">
        <v>6580</v>
      </c>
      <c r="D2950" s="10" t="s">
        <v>3013</v>
      </c>
      <c r="E2950" s="11" t="str">
        <f t="array" ref="E2950">_xlfn.XLOOKUP(D2950,Insumos!B:B,Insumos!C:$C)</f>
        <v>M3</v>
      </c>
      <c r="F2950" s="14">
        <v>3.3000000000000002E-2</v>
      </c>
      <c r="G2950" s="87">
        <f t="array" ref="G2950">IF(B2950="insumo",_xlfn.XLOOKUP($D2950,Insumos!$B$1:$B$996,Insumos!$D$1:$D$996),"")</f>
        <v>515</v>
      </c>
      <c r="H2950" s="87">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70</v>
      </c>
      <c r="C2951" s="10" t="s">
        <v>6580</v>
      </c>
      <c r="D2951" s="10" t="s">
        <v>502</v>
      </c>
      <c r="E2951" s="11" t="str">
        <f t="array" ref="E2951">_xlfn.XLOOKUP(D2951,Insumos!B:B,Insumos!C:$C)</f>
        <v>L</v>
      </c>
      <c r="F2951" s="14">
        <v>2.1000000000000001E-2</v>
      </c>
      <c r="G2951" s="87">
        <f t="array" ref="G2951">IF(B2951="insumo",_xlfn.XLOOKUP($D2951,Insumos!$B$1:$B$996,Insumos!$D$1:$D$996),"")</f>
        <v>19.34</v>
      </c>
      <c r="H2951" s="87">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70</v>
      </c>
      <c r="C2952" s="10" t="s">
        <v>6580</v>
      </c>
      <c r="D2952" s="10" t="s">
        <v>578</v>
      </c>
      <c r="E2952" s="11" t="str">
        <f t="array" ref="E2952">_xlfn.XLOOKUP(D2952,Insumos!B:B,Insumos!C:$C)</f>
        <v>KG</v>
      </c>
      <c r="F2952" s="14">
        <v>2.2000000000000002</v>
      </c>
      <c r="G2952" s="87">
        <f t="array" ref="G2952">IF(B2952="insumo",_xlfn.XLOOKUP($D2952,Insumos!$B$1:$B$996,Insumos!$D$1:$D$996),"")</f>
        <v>4.25</v>
      </c>
      <c r="H2952" s="87">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332">
        <v>1</v>
      </c>
      <c r="B2953" s="332" t="s">
        <v>67</v>
      </c>
      <c r="C2953" s="332" t="s">
        <v>2505</v>
      </c>
      <c r="D2953" s="332" t="s">
        <v>2504</v>
      </c>
      <c r="E2953" s="333" t="s">
        <v>69</v>
      </c>
      <c r="F2953" s="332"/>
      <c r="G2953" s="334" t="str">
        <f t="array" ref="G2953">IF(B2953="insumo",_xlfn.XLOOKUP($D2953,Insumos!$B$1:$B$996,Insumos!$D$1:$D$996),"")</f>
        <v/>
      </c>
      <c r="H2953" s="334">
        <v>44.585233333333299</v>
      </c>
      <c r="I2953" s="335" t="e">
        <v>#REF!</v>
      </c>
      <c r="J2953" s="335" t="e">
        <v>#REF!</v>
      </c>
      <c r="K2953" s="335"/>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70</v>
      </c>
      <c r="C2954" s="10" t="s">
        <v>2505</v>
      </c>
      <c r="D2954" s="10" t="s">
        <v>3013</v>
      </c>
      <c r="E2954" s="11" t="str">
        <f t="array" ref="E2954">_xlfn.XLOOKUP(D2954,Insumos!B:B,Insumos!C:$C)</f>
        <v>M3</v>
      </c>
      <c r="F2954" s="14">
        <v>5.5E-2</v>
      </c>
      <c r="G2954" s="87">
        <f t="array" ref="G2954">IF(B2954="insumo",_xlfn.XLOOKUP($D2954,Insumos!$B$1:$B$996,Insumos!$D$1:$D$996),"")</f>
        <v>515</v>
      </c>
      <c r="H2954" s="87">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70</v>
      </c>
      <c r="C2955" s="10" t="s">
        <v>2505</v>
      </c>
      <c r="D2955" s="10" t="s">
        <v>502</v>
      </c>
      <c r="E2955" s="11" t="str">
        <f t="array" ref="E2955">_xlfn.XLOOKUP(D2955,Insumos!B:B,Insumos!C:$C)</f>
        <v>L</v>
      </c>
      <c r="F2955" s="14">
        <f>0.021*5/3</f>
        <v>3.5000000000000003E-2</v>
      </c>
      <c r="G2955" s="87">
        <f t="array" ref="G2955">IF(B2955="insumo",_xlfn.XLOOKUP($D2955,Insumos!$B$1:$B$996,Insumos!$D$1:$D$996),"")</f>
        <v>19.34</v>
      </c>
      <c r="H2955" s="87">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70</v>
      </c>
      <c r="C2956" s="10" t="s">
        <v>2505</v>
      </c>
      <c r="D2956" s="10" t="s">
        <v>578</v>
      </c>
      <c r="E2956" s="11" t="str">
        <f t="array" ref="E2956">_xlfn.XLOOKUP(D2956,Insumos!B:B,Insumos!C:$C)</f>
        <v>KG</v>
      </c>
      <c r="F2956" s="14">
        <f>2.2*5/3</f>
        <v>3.6666666666666665</v>
      </c>
      <c r="G2956" s="87">
        <f t="array" ref="G2956">IF(B2956="insumo",_xlfn.XLOOKUP($D2956,Insumos!$B$1:$B$996,Insumos!$D$1:$D$996),"")</f>
        <v>4.25</v>
      </c>
      <c r="H2956" s="87">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332">
        <v>1</v>
      </c>
      <c r="B2957" s="332" t="s">
        <v>67</v>
      </c>
      <c r="C2957" s="332" t="s">
        <v>6581</v>
      </c>
      <c r="D2957" s="332" t="s">
        <v>581</v>
      </c>
      <c r="E2957" s="333" t="s">
        <v>69</v>
      </c>
      <c r="F2957" s="332"/>
      <c r="G2957" s="334" t="str">
        <f t="array" ref="G2957">IF(B2957="insumo",_xlfn.XLOOKUP($D2957,Insumos!$B$1:$B$996,Insumos!$D$1:$D$996),"")</f>
        <v/>
      </c>
      <c r="H2957" s="334">
        <v>69.276373333333297</v>
      </c>
      <c r="I2957" s="335">
        <v>0</v>
      </c>
      <c r="J2957" s="335">
        <v>0</v>
      </c>
      <c r="K2957" s="335"/>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70</v>
      </c>
      <c r="C2958" s="10" t="s">
        <v>6581</v>
      </c>
      <c r="D2958" s="10" t="s">
        <v>3013</v>
      </c>
      <c r="E2958" s="11" t="str">
        <f t="array" ref="E2958">_xlfn.XLOOKUP(D2958,Insumos!B:B,Insumos!C:$C)</f>
        <v>M3</v>
      </c>
      <c r="F2958" s="14">
        <f>0.08*1.05</f>
        <v>8.4000000000000005E-2</v>
      </c>
      <c r="G2958" s="87">
        <f t="array" ref="G2958">IF(B2958="insumo",_xlfn.XLOOKUP($D2958,Insumos!$B$1:$B$996,Insumos!$D$1:$D$996),"")</f>
        <v>515</v>
      </c>
      <c r="H2958" s="87">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70</v>
      </c>
      <c r="C2959" s="10" t="s">
        <v>6581</v>
      </c>
      <c r="D2959" s="10" t="s">
        <v>502</v>
      </c>
      <c r="E2959" s="11" t="str">
        <f t="array" ref="E2959">_xlfn.XLOOKUP(D2959,Insumos!B:B,Insumos!C:$C)</f>
        <v>L</v>
      </c>
      <c r="F2959" s="14">
        <f>0.021*8/3</f>
        <v>5.6000000000000001E-2</v>
      </c>
      <c r="G2959" s="87">
        <f t="array" ref="G2959">IF(B2959="insumo",_xlfn.XLOOKUP($D2959,Insumos!$B$1:$B$996,Insumos!$D$1:$D$996),"")</f>
        <v>19.34</v>
      </c>
      <c r="H2959" s="87">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70</v>
      </c>
      <c r="C2960" s="10" t="s">
        <v>6581</v>
      </c>
      <c r="D2960" s="10" t="s">
        <v>578</v>
      </c>
      <c r="E2960" s="11" t="str">
        <f t="array" ref="E2960">_xlfn.XLOOKUP(D2960,Insumos!B:B,Insumos!C:$C)</f>
        <v>KG</v>
      </c>
      <c r="F2960" s="14">
        <f>2.2*8/3</f>
        <v>5.8666666666666671</v>
      </c>
      <c r="G2960" s="87">
        <f t="array" ref="G2960">IF(B2960="insumo",_xlfn.XLOOKUP($D2960,Insumos!$B$1:$B$996,Insumos!$D$1:$D$996),"")</f>
        <v>4.25</v>
      </c>
      <c r="H2960" s="87">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355">
        <v>1</v>
      </c>
      <c r="B2961" s="355" t="s">
        <v>1227</v>
      </c>
      <c r="C2961" s="355" t="s">
        <v>6581</v>
      </c>
      <c r="D2961" s="355" t="s">
        <v>1442</v>
      </c>
      <c r="E2961" s="356"/>
      <c r="F2961" s="357"/>
      <c r="G2961" s="356"/>
      <c r="H2961" s="356">
        <v>0</v>
      </c>
      <c r="I2961" s="357">
        <v>0</v>
      </c>
      <c r="J2961" s="357">
        <v>0</v>
      </c>
      <c r="K2961" s="357"/>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332">
        <v>1</v>
      </c>
      <c r="B2962" s="332" t="s">
        <v>67</v>
      </c>
      <c r="C2962" s="332" t="s">
        <v>1790</v>
      </c>
      <c r="D2962" s="332" t="s">
        <v>1790</v>
      </c>
      <c r="E2962" s="333" t="s">
        <v>69</v>
      </c>
      <c r="F2962" s="332"/>
      <c r="G2962" s="334" t="str">
        <f t="array" ref="G2962">IF(B2962="insumo",_xlfn.XLOOKUP($D2962,Insumos!$B$1:$B$996,Insumos!$D$1:$D$996),"")</f>
        <v/>
      </c>
      <c r="H2962" s="334">
        <v>9.8611400000000007</v>
      </c>
      <c r="I2962" s="335">
        <v>0</v>
      </c>
      <c r="J2962" s="335">
        <v>0</v>
      </c>
      <c r="K2962" s="335"/>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70</v>
      </c>
      <c r="C2963" s="10" t="s">
        <v>1790</v>
      </c>
      <c r="D2963" s="10" t="s">
        <v>444</v>
      </c>
      <c r="E2963" s="11" t="str">
        <f t="array" ref="E2963">_xlfn.XLOOKUP(D2963,Insumos!B:B,Insumos!C:$C)</f>
        <v>M3</v>
      </c>
      <c r="F2963" s="14">
        <v>1.6500000000000001E-2</v>
      </c>
      <c r="G2963" s="87">
        <f t="array" ref="G2963">IF(B2963="insumo",_xlfn.XLOOKUP($D2963,Insumos!$B$1:$B$996,Insumos!$D$1:$D$996),"")</f>
        <v>550</v>
      </c>
      <c r="H2963" s="87">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70</v>
      </c>
      <c r="C2964" s="10" t="s">
        <v>1790</v>
      </c>
      <c r="D2964" s="10" t="s">
        <v>502</v>
      </c>
      <c r="E2964" s="11" t="str">
        <f t="array" ref="E2964">_xlfn.XLOOKUP(D2964,Insumos!B:B,Insumos!C:$C)</f>
        <v>L</v>
      </c>
      <c r="F2964" s="14">
        <v>2.1000000000000001E-2</v>
      </c>
      <c r="G2964" s="87">
        <f t="array" ref="G2964">IF(B2964="insumo",_xlfn.XLOOKUP($D2964,Insumos!$B$1:$B$996,Insumos!$D$1:$D$996),"")</f>
        <v>19.34</v>
      </c>
      <c r="H2964" s="87">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70</v>
      </c>
      <c r="C2965" s="10" t="s">
        <v>1790</v>
      </c>
      <c r="D2965" s="10" t="s">
        <v>159</v>
      </c>
      <c r="E2965" s="11" t="str">
        <f t="array" ref="E2965">_xlfn.XLOOKUP(D2965,Insumos!B:B,Insumos!C:$C)</f>
        <v>KG</v>
      </c>
      <c r="F2965" s="14">
        <v>0.5</v>
      </c>
      <c r="G2965" s="87">
        <f t="array" ref="G2965">IF(B2965="insumo",_xlfn.XLOOKUP($D2965,Insumos!$B$1:$B$996,Insumos!$D$1:$D$996),"")</f>
        <v>0.76</v>
      </c>
      <c r="H2965" s="87">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332">
        <v>1</v>
      </c>
      <c r="B2966" s="332" t="s">
        <v>67</v>
      </c>
      <c r="C2966" s="332" t="s">
        <v>582</v>
      </c>
      <c r="D2966" s="332" t="s">
        <v>582</v>
      </c>
      <c r="E2966" s="333" t="s">
        <v>69</v>
      </c>
      <c r="F2966" s="332"/>
      <c r="G2966" s="334" t="str">
        <f t="array" ref="G2966">IF(B2966="insumo",_xlfn.XLOOKUP($D2966,Insumos!$B$1:$B$996,Insumos!$D$1:$D$996),"")</f>
        <v/>
      </c>
      <c r="H2966" s="334">
        <v>12.886139999999999</v>
      </c>
      <c r="I2966" s="335">
        <v>0</v>
      </c>
      <c r="J2966" s="335">
        <v>0</v>
      </c>
      <c r="K2966" s="335"/>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70</v>
      </c>
      <c r="C2967" s="10" t="s">
        <v>582</v>
      </c>
      <c r="D2967" s="10" t="s">
        <v>444</v>
      </c>
      <c r="E2967" s="11" t="str">
        <f t="array" ref="E2967">_xlfn.XLOOKUP(D2967,Insumos!B:B,Insumos!C:$C)</f>
        <v>M3</v>
      </c>
      <c r="F2967" s="14">
        <v>2.2000000000000002E-2</v>
      </c>
      <c r="G2967" s="87">
        <f t="array" ref="G2967">IF(B2967="insumo",_xlfn.XLOOKUP($D2967,Insumos!$B$1:$B$996,Insumos!$D$1:$D$996),"")</f>
        <v>550</v>
      </c>
      <c r="H2967" s="87">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70</v>
      </c>
      <c r="C2968" s="10" t="s">
        <v>582</v>
      </c>
      <c r="D2968" s="10" t="s">
        <v>502</v>
      </c>
      <c r="E2968" s="11" t="str">
        <f t="array" ref="E2968">_xlfn.XLOOKUP(D2968,Insumos!B:B,Insumos!C:$C)</f>
        <v>L</v>
      </c>
      <c r="F2968" s="14">
        <v>2.1000000000000001E-2</v>
      </c>
      <c r="G2968" s="87">
        <f t="array" ref="G2968">IF(B2968="insumo",_xlfn.XLOOKUP($D2968,Insumos!$B$1:$B$996,Insumos!$D$1:$D$996),"")</f>
        <v>19.34</v>
      </c>
      <c r="H2968" s="87">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70</v>
      </c>
      <c r="C2969" s="10" t="s">
        <v>582</v>
      </c>
      <c r="D2969" s="10" t="s">
        <v>159</v>
      </c>
      <c r="E2969" s="11" t="str">
        <f t="array" ref="E2969">_xlfn.XLOOKUP(D2969,Insumos!B:B,Insumos!C:$C)</f>
        <v>KG</v>
      </c>
      <c r="F2969" s="14">
        <v>0.5</v>
      </c>
      <c r="G2969" s="87">
        <f t="array" ref="G2969">IF(B2969="insumo",_xlfn.XLOOKUP($D2969,Insumos!$B$1:$B$996,Insumos!$D$1:$D$996),"")</f>
        <v>0.76</v>
      </c>
      <c r="H2969" s="87">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332">
        <v>1</v>
      </c>
      <c r="B2970" s="332" t="s">
        <v>67</v>
      </c>
      <c r="C2970" s="332" t="s">
        <v>583</v>
      </c>
      <c r="D2970" s="332" t="s">
        <v>583</v>
      </c>
      <c r="E2970" s="333" t="s">
        <v>69</v>
      </c>
      <c r="F2970" s="332"/>
      <c r="G2970" s="334" t="str">
        <f t="array" ref="G2970">IF(B2970="insumo",_xlfn.XLOOKUP($D2970,Insumos!$B$1:$B$996,Insumos!$D$1:$D$996),"")</f>
        <v/>
      </c>
      <c r="H2970" s="334">
        <v>15.91114</v>
      </c>
      <c r="I2970" s="335">
        <v>0</v>
      </c>
      <c r="J2970" s="335">
        <v>0</v>
      </c>
      <c r="K2970" s="335"/>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70</v>
      </c>
      <c r="C2971" s="10" t="s">
        <v>583</v>
      </c>
      <c r="D2971" s="10" t="s">
        <v>444</v>
      </c>
      <c r="E2971" s="11" t="str">
        <f t="array" ref="E2971">_xlfn.XLOOKUP(D2971,Insumos!B:B,Insumos!C:$C)</f>
        <v>M3</v>
      </c>
      <c r="F2971" s="14">
        <v>2.7500000000000004E-2</v>
      </c>
      <c r="G2971" s="87">
        <f t="array" ref="G2971">IF(B2971="insumo",_xlfn.XLOOKUP($D2971,Insumos!$B$1:$B$996,Insumos!$D$1:$D$996),"")</f>
        <v>550</v>
      </c>
      <c r="H2971" s="87">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70</v>
      </c>
      <c r="C2972" s="10" t="s">
        <v>583</v>
      </c>
      <c r="D2972" s="10" t="s">
        <v>502</v>
      </c>
      <c r="E2972" s="11" t="str">
        <f t="array" ref="E2972">_xlfn.XLOOKUP(D2972,Insumos!B:B,Insumos!C:$C)</f>
        <v>L</v>
      </c>
      <c r="F2972" s="14">
        <v>2.1000000000000001E-2</v>
      </c>
      <c r="G2972" s="87">
        <f t="array" ref="G2972">IF(B2972="insumo",_xlfn.XLOOKUP($D2972,Insumos!$B$1:$B$996,Insumos!$D$1:$D$996),"")</f>
        <v>19.34</v>
      </c>
      <c r="H2972" s="87">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70</v>
      </c>
      <c r="C2973" s="10" t="s">
        <v>583</v>
      </c>
      <c r="D2973" s="10" t="s">
        <v>159</v>
      </c>
      <c r="E2973" s="11" t="str">
        <f t="array" ref="E2973">_xlfn.XLOOKUP(D2973,Insumos!B:B,Insumos!C:$C)</f>
        <v>KG</v>
      </c>
      <c r="F2973" s="14">
        <v>0.5</v>
      </c>
      <c r="G2973" s="87">
        <f t="array" ref="G2973">IF(B2973="insumo",_xlfn.XLOOKUP($D2973,Insumos!$B$1:$B$996,Insumos!$D$1:$D$996),"")</f>
        <v>0.76</v>
      </c>
      <c r="H2973" s="87">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332">
        <v>1</v>
      </c>
      <c r="B2974" s="332" t="s">
        <v>67</v>
      </c>
      <c r="C2974" s="332" t="s">
        <v>584</v>
      </c>
      <c r="D2974" s="332" t="s">
        <v>584</v>
      </c>
      <c r="E2974" s="333" t="s">
        <v>69</v>
      </c>
      <c r="F2974" s="332"/>
      <c r="G2974" s="334" t="str">
        <f t="array" ref="G2974">IF(B2974="insumo",_xlfn.XLOOKUP($D2974,Insumos!$B$1:$B$996,Insumos!$D$1:$D$996),"")</f>
        <v/>
      </c>
      <c r="H2974" s="334">
        <v>18.936140000000002</v>
      </c>
      <c r="I2974" s="335">
        <v>0</v>
      </c>
      <c r="J2974" s="335">
        <v>0</v>
      </c>
      <c r="K2974" s="335"/>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70</v>
      </c>
      <c r="C2975" s="10" t="s">
        <v>584</v>
      </c>
      <c r="D2975" s="10" t="s">
        <v>444</v>
      </c>
      <c r="E2975" s="11" t="str">
        <f t="array" ref="E2975">_xlfn.XLOOKUP(D2975,Insumos!B:B,Insumos!C:$C)</f>
        <v>M3</v>
      </c>
      <c r="F2975" s="14">
        <v>3.3000000000000002E-2</v>
      </c>
      <c r="G2975" s="87">
        <f t="array" ref="G2975">IF(B2975="insumo",_xlfn.XLOOKUP($D2975,Insumos!$B$1:$B$996,Insumos!$D$1:$D$996),"")</f>
        <v>550</v>
      </c>
      <c r="H2975" s="87">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70</v>
      </c>
      <c r="C2976" s="10" t="s">
        <v>584</v>
      </c>
      <c r="D2976" s="10" t="s">
        <v>502</v>
      </c>
      <c r="E2976" s="11" t="str">
        <f t="array" ref="E2976">_xlfn.XLOOKUP(D2976,Insumos!B:B,Insumos!C:$C)</f>
        <v>L</v>
      </c>
      <c r="F2976" s="14">
        <v>2.1000000000000001E-2</v>
      </c>
      <c r="G2976" s="87">
        <f t="array" ref="G2976">IF(B2976="insumo",_xlfn.XLOOKUP($D2976,Insumos!$B$1:$B$996,Insumos!$D$1:$D$996),"")</f>
        <v>19.34</v>
      </c>
      <c r="H2976" s="87">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70</v>
      </c>
      <c r="C2977" s="10" t="s">
        <v>584</v>
      </c>
      <c r="D2977" s="10" t="s">
        <v>159</v>
      </c>
      <c r="E2977" s="11" t="str">
        <f t="array" ref="E2977">_xlfn.XLOOKUP(D2977,Insumos!B:B,Insumos!C:$C)</f>
        <v>KG</v>
      </c>
      <c r="F2977" s="14">
        <v>0.5</v>
      </c>
      <c r="G2977" s="87">
        <f t="array" ref="G2977">IF(B2977="insumo",_xlfn.XLOOKUP($D2977,Insumos!$B$1:$B$996,Insumos!$D$1:$D$996),"")</f>
        <v>0.76</v>
      </c>
      <c r="H2977" s="87">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332">
        <v>1</v>
      </c>
      <c r="B2978" s="332" t="s">
        <v>67</v>
      </c>
      <c r="C2978" s="332" t="s">
        <v>1459</v>
      </c>
      <c r="D2978" s="332" t="s">
        <v>1459</v>
      </c>
      <c r="E2978" s="333" t="s">
        <v>69</v>
      </c>
      <c r="F2978" s="332"/>
      <c r="G2978" s="334" t="str">
        <f t="array" ref="G2978">IF(B2978="insumo",_xlfn.XLOOKUP($D2978,Insumos!$B$1:$B$996,Insumos!$D$1:$D$996),"")</f>
        <v/>
      </c>
      <c r="H2978" s="334">
        <v>21.96114</v>
      </c>
      <c r="I2978" s="335">
        <v>0</v>
      </c>
      <c r="J2978" s="335">
        <v>0</v>
      </c>
      <c r="K2978" s="335"/>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70</v>
      </c>
      <c r="C2979" s="10" t="s">
        <v>1459</v>
      </c>
      <c r="D2979" s="10" t="s">
        <v>444</v>
      </c>
      <c r="E2979" s="11" t="str">
        <f t="array" ref="E2979">_xlfn.XLOOKUP(D2979,Insumos!B:B,Insumos!C:$C)</f>
        <v>M3</v>
      </c>
      <c r="F2979" s="14">
        <f>0.035*1.1</f>
        <v>3.8500000000000006E-2</v>
      </c>
      <c r="G2979" s="87">
        <f t="array" ref="G2979">IF(B2979="insumo",_xlfn.XLOOKUP($D2979,Insumos!$B$1:$B$996,Insumos!$D$1:$D$996),"")</f>
        <v>550</v>
      </c>
      <c r="H2979" s="87">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70</v>
      </c>
      <c r="C2980" s="10" t="s">
        <v>1459</v>
      </c>
      <c r="D2980" s="10" t="s">
        <v>502</v>
      </c>
      <c r="E2980" s="11" t="str">
        <f t="array" ref="E2980">_xlfn.XLOOKUP(D2980,Insumos!B:B,Insumos!C:$C)</f>
        <v>L</v>
      </c>
      <c r="F2980" s="14">
        <v>2.1000000000000001E-2</v>
      </c>
      <c r="G2980" s="87">
        <f t="array" ref="G2980">IF(B2980="insumo",_xlfn.XLOOKUP($D2980,Insumos!$B$1:$B$996,Insumos!$D$1:$D$996),"")</f>
        <v>19.34</v>
      </c>
      <c r="H2980" s="87">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70</v>
      </c>
      <c r="C2981" s="10" t="s">
        <v>1459</v>
      </c>
      <c r="D2981" s="10" t="s">
        <v>159</v>
      </c>
      <c r="E2981" s="11" t="str">
        <f t="array" ref="E2981">_xlfn.XLOOKUP(D2981,Insumos!B:B,Insumos!C:$C)</f>
        <v>KG</v>
      </c>
      <c r="F2981" s="14">
        <v>0.5</v>
      </c>
      <c r="G2981" s="87">
        <f t="array" ref="G2981">IF(B2981="insumo",_xlfn.XLOOKUP($D2981,Insumos!$B$1:$B$996,Insumos!$D$1:$D$996),"")</f>
        <v>0.76</v>
      </c>
      <c r="H2981" s="87">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332">
        <v>1</v>
      </c>
      <c r="B2982" s="332" t="s">
        <v>67</v>
      </c>
      <c r="C2982" s="332" t="s">
        <v>1460</v>
      </c>
      <c r="D2982" s="332" t="s">
        <v>1460</v>
      </c>
      <c r="E2982" s="333" t="s">
        <v>69</v>
      </c>
      <c r="F2982" s="332"/>
      <c r="G2982" s="334" t="str">
        <f t="array" ref="G2982">IF(B2982="insumo",_xlfn.XLOOKUP($D2982,Insumos!$B$1:$B$996,Insumos!$D$1:$D$996),"")</f>
        <v/>
      </c>
      <c r="H2982" s="334">
        <v>24.986139999999999</v>
      </c>
      <c r="I2982" s="335">
        <v>0</v>
      </c>
      <c r="J2982" s="335">
        <v>0</v>
      </c>
      <c r="K2982" s="335"/>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70</v>
      </c>
      <c r="C2983" s="10" t="s">
        <v>1460</v>
      </c>
      <c r="D2983" s="10" t="s">
        <v>444</v>
      </c>
      <c r="E2983" s="11" t="str">
        <f t="array" ref="E2983">_xlfn.XLOOKUP(D2983,Insumos!B:B,Insumos!C:$C)</f>
        <v>M3</v>
      </c>
      <c r="F2983" s="14">
        <f>0.04*1.1</f>
        <v>4.4000000000000004E-2</v>
      </c>
      <c r="G2983" s="87">
        <f t="array" ref="G2983">IF(B2983="insumo",_xlfn.XLOOKUP($D2983,Insumos!$B$1:$B$996,Insumos!$D$1:$D$996),"")</f>
        <v>550</v>
      </c>
      <c r="H2983" s="87">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70</v>
      </c>
      <c r="C2984" s="10" t="s">
        <v>1460</v>
      </c>
      <c r="D2984" s="10" t="s">
        <v>502</v>
      </c>
      <c r="E2984" s="11" t="str">
        <f t="array" ref="E2984">_xlfn.XLOOKUP(D2984,Insumos!B:B,Insumos!C:$C)</f>
        <v>L</v>
      </c>
      <c r="F2984" s="14">
        <v>2.1000000000000001E-2</v>
      </c>
      <c r="G2984" s="87">
        <f t="array" ref="G2984">IF(B2984="insumo",_xlfn.XLOOKUP($D2984,Insumos!$B$1:$B$996,Insumos!$D$1:$D$996),"")</f>
        <v>19.34</v>
      </c>
      <c r="H2984" s="87">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70</v>
      </c>
      <c r="C2985" s="10" t="s">
        <v>1460</v>
      </c>
      <c r="D2985" s="10" t="s">
        <v>159</v>
      </c>
      <c r="E2985" s="11" t="str">
        <f t="array" ref="E2985">_xlfn.XLOOKUP(D2985,Insumos!B:B,Insumos!C:$C)</f>
        <v>KG</v>
      </c>
      <c r="F2985" s="14">
        <v>0.5</v>
      </c>
      <c r="G2985" s="87">
        <f t="array" ref="G2985">IF(B2985="insumo",_xlfn.XLOOKUP($D2985,Insumos!$B$1:$B$996,Insumos!$D$1:$D$996),"")</f>
        <v>0.76</v>
      </c>
      <c r="H2985" s="87">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332">
        <v>1</v>
      </c>
      <c r="B2986" s="332" t="s">
        <v>67</v>
      </c>
      <c r="C2986" s="332" t="s">
        <v>585</v>
      </c>
      <c r="D2986" s="332" t="s">
        <v>585</v>
      </c>
      <c r="E2986" s="333" t="s">
        <v>69</v>
      </c>
      <c r="F2986" s="332"/>
      <c r="G2986" s="334" t="str">
        <f t="array" ref="G2986">IF(B2986="insumo",_xlfn.XLOOKUP($D2986,Insumos!$B$1:$B$996,Insumos!$D$1:$D$996),"")</f>
        <v/>
      </c>
      <c r="H2986" s="334">
        <v>31.560233333333301</v>
      </c>
      <c r="I2986" s="335">
        <v>0</v>
      </c>
      <c r="J2986" s="335">
        <v>0</v>
      </c>
      <c r="K2986" s="335"/>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70</v>
      </c>
      <c r="C2987" s="10" t="s">
        <v>585</v>
      </c>
      <c r="D2987" s="10" t="s">
        <v>444</v>
      </c>
      <c r="E2987" s="11" t="str">
        <f t="array" ref="E2987">_xlfn.XLOOKUP(D2987,Insumos!B:B,Insumos!C:$C)</f>
        <v>M3</v>
      </c>
      <c r="F2987" s="14">
        <v>5.5000000000000007E-2</v>
      </c>
      <c r="G2987" s="87">
        <f t="array" ref="G2987">IF(B2987="insumo",_xlfn.XLOOKUP($D2987,Insumos!$B$1:$B$996,Insumos!$D$1:$D$996),"")</f>
        <v>550</v>
      </c>
      <c r="H2987" s="87">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70</v>
      </c>
      <c r="C2988" s="10" t="s">
        <v>585</v>
      </c>
      <c r="D2988" s="10" t="s">
        <v>502</v>
      </c>
      <c r="E2988" s="11" t="str">
        <f t="array" ref="E2988">_xlfn.XLOOKUP(D2988,Insumos!B:B,Insumos!C:$C)</f>
        <v>L</v>
      </c>
      <c r="F2988" s="14">
        <v>3.5000000000000003E-2</v>
      </c>
      <c r="G2988" s="87">
        <f t="array" ref="G2988">IF(B2988="insumo",_xlfn.XLOOKUP($D2988,Insumos!$B$1:$B$996,Insumos!$D$1:$D$996),"")</f>
        <v>19.34</v>
      </c>
      <c r="H2988" s="87">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70</v>
      </c>
      <c r="C2989" s="10" t="s">
        <v>585</v>
      </c>
      <c r="D2989" s="10" t="s">
        <v>159</v>
      </c>
      <c r="E2989" s="11" t="str">
        <f t="array" ref="E2989">_xlfn.XLOOKUP(D2989,Insumos!B:B,Insumos!C:$C)</f>
        <v>KG</v>
      </c>
      <c r="F2989" s="14">
        <v>0.83333333333333348</v>
      </c>
      <c r="G2989" s="87">
        <f t="array" ref="G2989">IF(B2989="insumo",_xlfn.XLOOKUP($D2989,Insumos!$B$1:$B$996,Insumos!$D$1:$D$996),"")</f>
        <v>0.76</v>
      </c>
      <c r="H2989" s="87">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332">
        <v>1</v>
      </c>
      <c r="B2990" s="332" t="s">
        <v>67</v>
      </c>
      <c r="C2990" s="332" t="s">
        <v>586</v>
      </c>
      <c r="D2990" s="332" t="s">
        <v>586</v>
      </c>
      <c r="E2990" s="333" t="s">
        <v>69</v>
      </c>
      <c r="F2990" s="332"/>
      <c r="G2990" s="334" t="str">
        <f t="array" ref="G2990">IF(B2990="insumo",_xlfn.XLOOKUP($D2990,Insumos!$B$1:$B$996,Insumos!$D$1:$D$996),"")</f>
        <v/>
      </c>
      <c r="H2990" s="334">
        <v>34.716256666666702</v>
      </c>
      <c r="I2990" s="335">
        <v>0</v>
      </c>
      <c r="J2990" s="335">
        <v>0</v>
      </c>
      <c r="K2990" s="335"/>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70</v>
      </c>
      <c r="C2991" s="10" t="s">
        <v>586</v>
      </c>
      <c r="D2991" s="10" t="s">
        <v>444</v>
      </c>
      <c r="E2991" s="11" t="str">
        <f t="array" ref="E2991">_xlfn.XLOOKUP(D2991,Insumos!B:B,Insumos!C:$C)</f>
        <v>M3</v>
      </c>
      <c r="F2991" s="14">
        <v>6.0500000000000005E-2</v>
      </c>
      <c r="G2991" s="87">
        <f t="array" ref="G2991">IF(B2991="insumo",_xlfn.XLOOKUP($D2991,Insumos!$B$1:$B$996,Insumos!$D$1:$D$996),"")</f>
        <v>550</v>
      </c>
      <c r="H2991" s="87">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70</v>
      </c>
      <c r="C2992" s="10" t="s">
        <v>586</v>
      </c>
      <c r="D2992" s="10" t="s">
        <v>502</v>
      </c>
      <c r="E2992" s="11" t="str">
        <f t="array" ref="E2992">_xlfn.XLOOKUP(D2992,Insumos!B:B,Insumos!C:$C)</f>
        <v>L</v>
      </c>
      <c r="F2992" s="14">
        <v>3.8500000000000006E-2</v>
      </c>
      <c r="G2992" s="87">
        <f t="array" ref="G2992">IF(B2992="insumo",_xlfn.XLOOKUP($D2992,Insumos!$B$1:$B$996,Insumos!$D$1:$D$996),"")</f>
        <v>19.34</v>
      </c>
      <c r="H2992" s="87">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70</v>
      </c>
      <c r="C2993" s="10" t="s">
        <v>586</v>
      </c>
      <c r="D2993" s="10" t="s">
        <v>159</v>
      </c>
      <c r="E2993" s="11" t="str">
        <f t="array" ref="E2993">_xlfn.XLOOKUP(D2993,Insumos!B:B,Insumos!C:$C)</f>
        <v>KG</v>
      </c>
      <c r="F2993" s="14">
        <v>0.91666666666666674</v>
      </c>
      <c r="G2993" s="87">
        <f t="array" ref="G2993">IF(B2993="insumo",_xlfn.XLOOKUP($D2993,Insumos!$B$1:$B$996,Insumos!$D$1:$D$996),"")</f>
        <v>0.76</v>
      </c>
      <c r="H2993" s="87">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332">
        <v>1</v>
      </c>
      <c r="B2994" s="332" t="s">
        <v>67</v>
      </c>
      <c r="C2994" s="332" t="s">
        <v>587</v>
      </c>
      <c r="D2994" s="332" t="s">
        <v>587</v>
      </c>
      <c r="E2994" s="333" t="s">
        <v>69</v>
      </c>
      <c r="F2994" s="332"/>
      <c r="G2994" s="334" t="str">
        <f t="array" ref="G2994">IF(B2994="insumo",_xlfn.XLOOKUP($D2994,Insumos!$B$1:$B$996,Insumos!$D$1:$D$996),"")</f>
        <v/>
      </c>
      <c r="H2994" s="334">
        <v>37.872280000000003</v>
      </c>
      <c r="I2994" s="335">
        <v>0</v>
      </c>
      <c r="J2994" s="335">
        <v>0</v>
      </c>
      <c r="K2994" s="335"/>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70</v>
      </c>
      <c r="C2995" s="10" t="s">
        <v>587</v>
      </c>
      <c r="D2995" s="10" t="s">
        <v>444</v>
      </c>
      <c r="E2995" s="11" t="str">
        <f t="array" ref="E2995">_xlfn.XLOOKUP(D2995,Insumos!B:B,Insumos!C:$C)</f>
        <v>M3</v>
      </c>
      <c r="F2995" s="14">
        <v>6.6000000000000003E-2</v>
      </c>
      <c r="G2995" s="87">
        <f t="array" ref="G2995">IF(B2995="insumo",_xlfn.XLOOKUP($D2995,Insumos!$B$1:$B$996,Insumos!$D$1:$D$996),"")</f>
        <v>550</v>
      </c>
      <c r="H2995" s="87">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70</v>
      </c>
      <c r="C2996" s="10" t="s">
        <v>587</v>
      </c>
      <c r="D2996" s="10" t="s">
        <v>502</v>
      </c>
      <c r="E2996" s="11" t="str">
        <f t="array" ref="E2996">_xlfn.XLOOKUP(D2996,Insumos!B:B,Insumos!C:$C)</f>
        <v>L</v>
      </c>
      <c r="F2996" s="14">
        <v>4.2000000000000003E-2</v>
      </c>
      <c r="G2996" s="87">
        <f t="array" ref="G2996">IF(B2996="insumo",_xlfn.XLOOKUP($D2996,Insumos!$B$1:$B$996,Insumos!$D$1:$D$996),"")</f>
        <v>19.34</v>
      </c>
      <c r="H2996" s="87">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70</v>
      </c>
      <c r="C2997" s="10" t="s">
        <v>587</v>
      </c>
      <c r="D2997" s="10" t="s">
        <v>159</v>
      </c>
      <c r="E2997" s="11" t="str">
        <f t="array" ref="E2997">_xlfn.XLOOKUP(D2997,Insumos!B:B,Insumos!C:$C)</f>
        <v>KG</v>
      </c>
      <c r="F2997" s="14">
        <v>1</v>
      </c>
      <c r="G2997" s="87">
        <f t="array" ref="G2997">IF(B2997="insumo",_xlfn.XLOOKUP($D2997,Insumos!$B$1:$B$996,Insumos!$D$1:$D$996),"")</f>
        <v>0.76</v>
      </c>
      <c r="H2997" s="87">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332">
        <v>1</v>
      </c>
      <c r="B2998" s="332" t="s">
        <v>67</v>
      </c>
      <c r="C2998" s="332" t="s">
        <v>1791</v>
      </c>
      <c r="D2998" s="332" t="s">
        <v>1791</v>
      </c>
      <c r="E2998" s="333" t="s">
        <v>69</v>
      </c>
      <c r="F2998" s="332"/>
      <c r="G2998" s="334" t="str">
        <f t="array" ref="G2998">IF(B2998="insumo",_xlfn.XLOOKUP($D2998,Insumos!$B$1:$B$996,Insumos!$D$1:$D$996),"")</f>
        <v/>
      </c>
      <c r="H2998" s="334">
        <v>45.49456</v>
      </c>
      <c r="I2998" s="335">
        <v>0</v>
      </c>
      <c r="J2998" s="335">
        <v>0</v>
      </c>
      <c r="K2998" s="335"/>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70</v>
      </c>
      <c r="C2999" s="10" t="s">
        <v>1791</v>
      </c>
      <c r="D2999" s="10" t="s">
        <v>444</v>
      </c>
      <c r="E2999" s="11" t="str">
        <f t="array" ref="E2999">_xlfn.XLOOKUP(D2999,Insumos!B:B,Insumos!C:$C)</f>
        <v>M3</v>
      </c>
      <c r="F2999" s="14">
        <f>0.07*1.1</f>
        <v>7.7000000000000013E-2</v>
      </c>
      <c r="G2999" s="87">
        <f t="array" ref="G2999">IF(B2999="insumo",_xlfn.XLOOKUP($D2999,Insumos!$B$1:$B$996,Insumos!$D$1:$D$996),"")</f>
        <v>550</v>
      </c>
      <c r="H2999" s="87">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70</v>
      </c>
      <c r="C3000" s="10" t="s">
        <v>1791</v>
      </c>
      <c r="D3000" s="10" t="s">
        <v>502</v>
      </c>
      <c r="E3000" s="11" t="str">
        <f t="array" ref="E3000">_xlfn.XLOOKUP(D3000,Insumos!B:B,Insumos!C:$C)</f>
        <v>L</v>
      </c>
      <c r="F3000" s="14">
        <f>(0.021*0.8)/0.2</f>
        <v>8.4000000000000005E-2</v>
      </c>
      <c r="G3000" s="87">
        <f t="array" ref="G3000">IF(B3000="insumo",_xlfn.XLOOKUP($D3000,Insumos!$B$1:$B$996,Insumos!$D$1:$D$996),"")</f>
        <v>19.34</v>
      </c>
      <c r="H3000" s="87">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70</v>
      </c>
      <c r="C3001" s="10" t="s">
        <v>1791</v>
      </c>
      <c r="D3001" s="10" t="s">
        <v>159</v>
      </c>
      <c r="E3001" s="11" t="str">
        <f t="array" ref="E3001">_xlfn.XLOOKUP(D3001,Insumos!B:B,Insumos!C:$C)</f>
        <v>KG</v>
      </c>
      <c r="F3001" s="14">
        <f>(0.5*0.8)/0.2</f>
        <v>2</v>
      </c>
      <c r="G3001" s="87">
        <f t="array" ref="G3001">IF(B3001="insumo",_xlfn.XLOOKUP($D3001,Insumos!$B$1:$B$996,Insumos!$D$1:$D$996),"")</f>
        <v>0.76</v>
      </c>
      <c r="H3001" s="87">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332">
        <v>1</v>
      </c>
      <c r="B3002" s="332" t="s">
        <v>67</v>
      </c>
      <c r="C3002" s="332" t="s">
        <v>588</v>
      </c>
      <c r="D3002" s="332" t="s">
        <v>588</v>
      </c>
      <c r="E3002" s="333" t="s">
        <v>69</v>
      </c>
      <c r="F3002" s="332"/>
      <c r="G3002" s="334" t="str">
        <f t="array" ref="G3002">IF(B3002="insumo",_xlfn.XLOOKUP($D3002,Insumos!$B$1:$B$996,Insumos!$D$1:$D$996),"")</f>
        <v/>
      </c>
      <c r="H3002" s="334">
        <v>51.544559999999997</v>
      </c>
      <c r="I3002" s="335">
        <v>0</v>
      </c>
      <c r="J3002" s="335">
        <v>0</v>
      </c>
      <c r="K3002" s="335"/>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70</v>
      </c>
      <c r="C3003" s="10" t="s">
        <v>588</v>
      </c>
      <c r="D3003" s="10" t="s">
        <v>444</v>
      </c>
      <c r="E3003" s="11" t="str">
        <f t="array" ref="E3003">_xlfn.XLOOKUP(D3003,Insumos!B:B,Insumos!C:$C)</f>
        <v>M3</v>
      </c>
      <c r="F3003" s="14">
        <f>0.08*1.1</f>
        <v>8.8000000000000009E-2</v>
      </c>
      <c r="G3003" s="87">
        <f t="array" ref="G3003">IF(B3003="insumo",_xlfn.XLOOKUP($D3003,Insumos!$B$1:$B$996,Insumos!$D$1:$D$996),"")</f>
        <v>550</v>
      </c>
      <c r="H3003" s="87">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70</v>
      </c>
      <c r="C3004" s="10" t="s">
        <v>588</v>
      </c>
      <c r="D3004" s="10" t="s">
        <v>502</v>
      </c>
      <c r="E3004" s="11" t="str">
        <f t="array" ref="E3004">_xlfn.XLOOKUP(D3004,Insumos!B:B,Insumos!C:$C)</f>
        <v>L</v>
      </c>
      <c r="F3004" s="14">
        <f>(0.021*0.8)/0.2</f>
        <v>8.4000000000000005E-2</v>
      </c>
      <c r="G3004" s="87">
        <f t="array" ref="G3004">IF(B3004="insumo",_xlfn.XLOOKUP($D3004,Insumos!$B$1:$B$996,Insumos!$D$1:$D$996),"")</f>
        <v>19.34</v>
      </c>
      <c r="H3004" s="87">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70</v>
      </c>
      <c r="C3005" s="10" t="s">
        <v>588</v>
      </c>
      <c r="D3005" s="10" t="s">
        <v>159</v>
      </c>
      <c r="E3005" s="11" t="str">
        <f t="array" ref="E3005">_xlfn.XLOOKUP(D3005,Insumos!B:B,Insumos!C:$C)</f>
        <v>KG</v>
      </c>
      <c r="F3005" s="14">
        <f>(0.5*0.8)/0.2</f>
        <v>2</v>
      </c>
      <c r="G3005" s="87">
        <f t="array" ref="G3005">IF(B3005="insumo",_xlfn.XLOOKUP($D3005,Insumos!$B$1:$B$996,Insumos!$D$1:$D$996),"")</f>
        <v>0.76</v>
      </c>
      <c r="H3005" s="87">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332">
        <v>1</v>
      </c>
      <c r="B3006" s="332" t="s">
        <v>67</v>
      </c>
      <c r="C3006" s="332" t="s">
        <v>589</v>
      </c>
      <c r="D3006" s="332" t="s">
        <v>589</v>
      </c>
      <c r="E3006" s="333" t="s">
        <v>69</v>
      </c>
      <c r="F3006" s="332"/>
      <c r="G3006" s="334" t="str">
        <f t="array" ref="G3006">IF(B3006="insumo",_xlfn.XLOOKUP($D3006,Insumos!$B$1:$B$996,Insumos!$D$1:$D$996),"")</f>
        <v/>
      </c>
      <c r="H3006" s="334">
        <v>64.430700000000002</v>
      </c>
      <c r="I3006" s="335">
        <v>0</v>
      </c>
      <c r="J3006" s="335">
        <v>0</v>
      </c>
      <c r="K3006" s="335"/>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70</v>
      </c>
      <c r="C3007" s="10" t="s">
        <v>589</v>
      </c>
      <c r="D3007" s="10" t="s">
        <v>444</v>
      </c>
      <c r="E3007" s="11" t="str">
        <f t="array" ref="E3007">_xlfn.XLOOKUP(D3007,Insumos!B:B,Insumos!C:$C)</f>
        <v>M3</v>
      </c>
      <c r="F3007" s="14">
        <f>(0.022*1)/0.2</f>
        <v>0.10999999999999999</v>
      </c>
      <c r="G3007" s="87">
        <f t="array" ref="G3007">IF(B3007="insumo",_xlfn.XLOOKUP($D3007,Insumos!$B$1:$B$996,Insumos!$D$1:$D$996),"")</f>
        <v>550</v>
      </c>
      <c r="H3007" s="87">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70</v>
      </c>
      <c r="C3008" s="10" t="s">
        <v>589</v>
      </c>
      <c r="D3008" s="10" t="s">
        <v>502</v>
      </c>
      <c r="E3008" s="11" t="str">
        <f t="array" ref="E3008">_xlfn.XLOOKUP(D3008,Insumos!B:B,Insumos!C:$C)</f>
        <v>L</v>
      </c>
      <c r="F3008" s="14">
        <f>(0.021*1)/0.2</f>
        <v>0.105</v>
      </c>
      <c r="G3008" s="87">
        <f t="array" ref="G3008">IF(B3008="insumo",_xlfn.XLOOKUP($D3008,Insumos!$B$1:$B$996,Insumos!$D$1:$D$996),"")</f>
        <v>19.34</v>
      </c>
      <c r="H3008" s="87">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70</v>
      </c>
      <c r="C3009" s="10" t="s">
        <v>589</v>
      </c>
      <c r="D3009" s="10" t="s">
        <v>159</v>
      </c>
      <c r="E3009" s="11" t="str">
        <f t="array" ref="E3009">_xlfn.XLOOKUP(D3009,Insumos!B:B,Insumos!C:$C)</f>
        <v>KG</v>
      </c>
      <c r="F3009" s="14">
        <f>(0.5*1)/0.2</f>
        <v>2.5</v>
      </c>
      <c r="G3009" s="87">
        <f t="array" ref="G3009">IF(B3009="insumo",_xlfn.XLOOKUP($D3009,Insumos!$B$1:$B$996,Insumos!$D$1:$D$996),"")</f>
        <v>0.76</v>
      </c>
      <c r="H3009" s="87">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332">
        <v>1</v>
      </c>
      <c r="B3010" s="332" t="s">
        <v>67</v>
      </c>
      <c r="C3010" s="332" t="s">
        <v>590</v>
      </c>
      <c r="D3010" s="332" t="s">
        <v>590</v>
      </c>
      <c r="E3010" s="333" t="s">
        <v>69</v>
      </c>
      <c r="F3010" s="332"/>
      <c r="G3010" s="334" t="str">
        <f t="array" ref="G3010">IF(B3010="insumo",_xlfn.XLOOKUP($D3010,Insumos!$B$1:$B$996,Insumos!$D$1:$D$996),"")</f>
        <v/>
      </c>
      <c r="H3010" s="334">
        <v>77.316839999999999</v>
      </c>
      <c r="I3010" s="335">
        <v>0</v>
      </c>
      <c r="J3010" s="335">
        <v>0</v>
      </c>
      <c r="K3010" s="335"/>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70</v>
      </c>
      <c r="C3011" s="10" t="s">
        <v>590</v>
      </c>
      <c r="D3011" s="10" t="s">
        <v>444</v>
      </c>
      <c r="E3011" s="11" t="str">
        <f t="array" ref="E3011">_xlfn.XLOOKUP(D3011,Insumos!B:B,Insumos!C:$C)</f>
        <v>M3</v>
      </c>
      <c r="F3011" s="14">
        <f>(0.022*1.2)/0.2</f>
        <v>0.13199999999999998</v>
      </c>
      <c r="G3011" s="87">
        <f t="array" ref="G3011">IF(B3011="insumo",_xlfn.XLOOKUP($D3011,Insumos!$B$1:$B$996,Insumos!$D$1:$D$996),"")</f>
        <v>550</v>
      </c>
      <c r="H3011" s="87">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70</v>
      </c>
      <c r="C3012" s="10" t="s">
        <v>590</v>
      </c>
      <c r="D3012" s="10" t="s">
        <v>502</v>
      </c>
      <c r="E3012" s="11" t="str">
        <f t="array" ref="E3012">_xlfn.XLOOKUP(D3012,Insumos!B:B,Insumos!C:$C)</f>
        <v>L</v>
      </c>
      <c r="F3012" s="14">
        <f>(0.021*1.2)/0.2</f>
        <v>0.126</v>
      </c>
      <c r="G3012" s="87">
        <f t="array" ref="G3012">IF(B3012="insumo",_xlfn.XLOOKUP($D3012,Insumos!$B$1:$B$996,Insumos!$D$1:$D$996),"")</f>
        <v>19.34</v>
      </c>
      <c r="H3012" s="87">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70</v>
      </c>
      <c r="C3013" s="10" t="s">
        <v>590</v>
      </c>
      <c r="D3013" s="10" t="s">
        <v>159</v>
      </c>
      <c r="E3013" s="11" t="str">
        <f t="array" ref="E3013">_xlfn.XLOOKUP(D3013,Insumos!B:B,Insumos!C:$C)</f>
        <v>KG</v>
      </c>
      <c r="F3013" s="14">
        <f>(0.5*1.2)/0.2</f>
        <v>2.9999999999999996</v>
      </c>
      <c r="G3013" s="87">
        <f t="array" ref="G3013">IF(B3013="insumo",_xlfn.XLOOKUP($D3013,Insumos!$B$1:$B$996,Insumos!$D$1:$D$996),"")</f>
        <v>0.76</v>
      </c>
      <c r="H3013" s="87">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332">
        <v>1</v>
      </c>
      <c r="B3014" s="332" t="s">
        <v>67</v>
      </c>
      <c r="C3014" s="332" t="s">
        <v>591</v>
      </c>
      <c r="D3014" s="332" t="s">
        <v>591</v>
      </c>
      <c r="E3014" s="333" t="s">
        <v>69</v>
      </c>
      <c r="F3014" s="332"/>
      <c r="G3014" s="334" t="str">
        <f t="array" ref="G3014">IF(B3014="insumo",_xlfn.XLOOKUP($D3014,Insumos!$B$1:$B$996,Insumos!$D$1:$D$996),"")</f>
        <v/>
      </c>
      <c r="H3014" s="334">
        <v>83.759910000000005</v>
      </c>
      <c r="I3014" s="335">
        <v>0</v>
      </c>
      <c r="J3014" s="335">
        <v>0</v>
      </c>
      <c r="K3014" s="335"/>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70</v>
      </c>
      <c r="C3015" s="10" t="s">
        <v>591</v>
      </c>
      <c r="D3015" s="10" t="s">
        <v>444</v>
      </c>
      <c r="E3015" s="11" t="str">
        <f t="array" ref="E3015">_xlfn.XLOOKUP(D3015,Insumos!B:B,Insumos!C:$C)</f>
        <v>M3</v>
      </c>
      <c r="F3015" s="14">
        <f>(0.022*1.3)/0.2</f>
        <v>0.14299999999999999</v>
      </c>
      <c r="G3015" s="87">
        <f t="array" ref="G3015">IF(B3015="insumo",_xlfn.XLOOKUP($D3015,Insumos!$B$1:$B$996,Insumos!$D$1:$D$996),"")</f>
        <v>550</v>
      </c>
      <c r="H3015" s="87">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70</v>
      </c>
      <c r="C3016" s="10" t="s">
        <v>591</v>
      </c>
      <c r="D3016" s="10" t="s">
        <v>502</v>
      </c>
      <c r="E3016" s="11" t="str">
        <f t="array" ref="E3016">_xlfn.XLOOKUP(D3016,Insumos!B:B,Insumos!C:$C)</f>
        <v>L</v>
      </c>
      <c r="F3016" s="14">
        <f>(0.021*1.3)/0.2</f>
        <v>0.13650000000000001</v>
      </c>
      <c r="G3016" s="87">
        <f t="array" ref="G3016">IF(B3016="insumo",_xlfn.XLOOKUP($D3016,Insumos!$B$1:$B$996,Insumos!$D$1:$D$996),"")</f>
        <v>19.34</v>
      </c>
      <c r="H3016" s="87">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70</v>
      </c>
      <c r="C3017" s="10" t="s">
        <v>591</v>
      </c>
      <c r="D3017" s="10" t="s">
        <v>159</v>
      </c>
      <c r="E3017" s="11" t="str">
        <f t="array" ref="E3017">_xlfn.XLOOKUP(D3017,Insumos!B:B,Insumos!C:$C)</f>
        <v>KG</v>
      </c>
      <c r="F3017" s="14">
        <f>(0.5*1.3)/0.2</f>
        <v>3.25</v>
      </c>
      <c r="G3017" s="87">
        <f t="array" ref="G3017">IF(B3017="insumo",_xlfn.XLOOKUP($D3017,Insumos!$B$1:$B$996,Insumos!$D$1:$D$996),"")</f>
        <v>0.76</v>
      </c>
      <c r="H3017" s="87">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332">
        <v>1</v>
      </c>
      <c r="B3018" s="332" t="s">
        <v>67</v>
      </c>
      <c r="C3018" s="332" t="s">
        <v>592</v>
      </c>
      <c r="D3018" s="332" t="s">
        <v>592</v>
      </c>
      <c r="E3018" s="333" t="s">
        <v>69</v>
      </c>
      <c r="F3018" s="332"/>
      <c r="G3018" s="334" t="str">
        <f t="array" ref="G3018">IF(B3018="insumo",_xlfn.XLOOKUP($D3018,Insumos!$B$1:$B$996,Insumos!$D$1:$D$996),"")</f>
        <v/>
      </c>
      <c r="H3018" s="334">
        <v>96.646050000000002</v>
      </c>
      <c r="I3018" s="335">
        <v>0</v>
      </c>
      <c r="J3018" s="335">
        <v>0</v>
      </c>
      <c r="K3018" s="335"/>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70</v>
      </c>
      <c r="C3019" s="10" t="s">
        <v>592</v>
      </c>
      <c r="D3019" s="10" t="s">
        <v>444</v>
      </c>
      <c r="E3019" s="11" t="str">
        <f t="array" ref="E3019">_xlfn.XLOOKUP(D3019,Insumos!B:B,Insumos!C:$C)</f>
        <v>M3</v>
      </c>
      <c r="F3019" s="14">
        <f>(0.022*1.5)/0.2</f>
        <v>0.16500000000000001</v>
      </c>
      <c r="G3019" s="87">
        <f t="array" ref="G3019">IF(B3019="insumo",_xlfn.XLOOKUP($D3019,Insumos!$B$1:$B$996,Insumos!$D$1:$D$996),"")</f>
        <v>550</v>
      </c>
      <c r="H3019" s="87">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70</v>
      </c>
      <c r="C3020" s="10" t="s">
        <v>592</v>
      </c>
      <c r="D3020" s="10" t="s">
        <v>502</v>
      </c>
      <c r="E3020" s="11" t="str">
        <f t="array" ref="E3020">_xlfn.XLOOKUP(D3020,Insumos!B:B,Insumos!C:$C)</f>
        <v>L</v>
      </c>
      <c r="F3020" s="14">
        <f>(0.021*1.5)/0.2</f>
        <v>0.1575</v>
      </c>
      <c r="G3020" s="87">
        <f t="array" ref="G3020">IF(B3020="insumo",_xlfn.XLOOKUP($D3020,Insumos!$B$1:$B$996,Insumos!$D$1:$D$996),"")</f>
        <v>19.34</v>
      </c>
      <c r="H3020" s="87">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70</v>
      </c>
      <c r="C3021" s="10" t="s">
        <v>592</v>
      </c>
      <c r="D3021" s="10" t="s">
        <v>159</v>
      </c>
      <c r="E3021" s="11" t="str">
        <f t="array" ref="E3021">_xlfn.XLOOKUP(D3021,Insumos!B:B,Insumos!C:$C)</f>
        <v>KG</v>
      </c>
      <c r="F3021" s="14">
        <f>(0.5*1.5)/0.2</f>
        <v>3.75</v>
      </c>
      <c r="G3021" s="87">
        <f t="array" ref="G3021">IF(B3021="insumo",_xlfn.XLOOKUP($D3021,Insumos!$B$1:$B$996,Insumos!$D$1:$D$996),"")</f>
        <v>0.76</v>
      </c>
      <c r="H3021" s="87">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355">
        <v>1</v>
      </c>
      <c r="B3022" s="355" t="s">
        <v>1227</v>
      </c>
      <c r="C3022" s="355" t="s">
        <v>592</v>
      </c>
      <c r="D3022" s="355" t="s">
        <v>1443</v>
      </c>
      <c r="E3022" s="356"/>
      <c r="F3022" s="357"/>
      <c r="G3022" s="356"/>
      <c r="H3022" s="356">
        <v>0</v>
      </c>
      <c r="I3022" s="357">
        <v>0</v>
      </c>
      <c r="J3022" s="357">
        <v>0</v>
      </c>
      <c r="K3022" s="357"/>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332">
        <v>1</v>
      </c>
      <c r="B3023" s="332" t="s">
        <v>67</v>
      </c>
      <c r="C3023" s="332" t="s">
        <v>593</v>
      </c>
      <c r="D3023" s="332" t="s">
        <v>593</v>
      </c>
      <c r="E3023" s="333" t="s">
        <v>69</v>
      </c>
      <c r="F3023" s="332"/>
      <c r="G3023" s="334" t="str">
        <f t="array" ref="G3023">IF(B3023="insumo",_xlfn.XLOOKUP($D3023,Insumos!$B$1:$B$996,Insumos!$D$1:$D$996),"")</f>
        <v/>
      </c>
      <c r="H3023" s="334">
        <v>35.310233333333301</v>
      </c>
      <c r="I3023" s="335">
        <v>0</v>
      </c>
      <c r="J3023" s="335">
        <v>0</v>
      </c>
      <c r="K3023" s="335"/>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70</v>
      </c>
      <c r="C3024" s="10" t="s">
        <v>593</v>
      </c>
      <c r="D3024" s="10" t="s">
        <v>594</v>
      </c>
      <c r="E3024" s="11" t="str">
        <f t="array" ref="E3024">_xlfn.XLOOKUP(D3024,Insumos!B:B,Insumos!C:$C)</f>
        <v>KG</v>
      </c>
      <c r="F3024" s="14">
        <f>1.7*5</f>
        <v>8.5</v>
      </c>
      <c r="G3024" s="87">
        <f t="array" ref="G3024">IF(B3024="insumo",_xlfn.XLOOKUP($D3024,Insumos!$B$1:$B$996,Insumos!$D$1:$D$996),"")</f>
        <v>4</v>
      </c>
      <c r="H3024" s="87">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70</v>
      </c>
      <c r="C3025" s="10" t="s">
        <v>593</v>
      </c>
      <c r="D3025" s="10" t="s">
        <v>502</v>
      </c>
      <c r="E3025" s="11" t="str">
        <f t="array" ref="E3025">_xlfn.XLOOKUP(D3025,Insumos!B:B,Insumos!C:$C)</f>
        <v>L</v>
      </c>
      <c r="F3025" s="14">
        <v>3.5000000000000003E-2</v>
      </c>
      <c r="G3025" s="87">
        <f t="array" ref="G3025">IF(B3025="insumo",_xlfn.XLOOKUP($D3025,Insumos!$B$1:$B$996,Insumos!$D$1:$D$996),"")</f>
        <v>19.34</v>
      </c>
      <c r="H3025" s="87">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70</v>
      </c>
      <c r="C3026" s="10" t="s">
        <v>593</v>
      </c>
      <c r="D3026" s="10" t="s">
        <v>159</v>
      </c>
      <c r="E3026" s="11" t="str">
        <f t="array" ref="E3026">_xlfn.XLOOKUP(D3026,Insumos!B:B,Insumos!C:$C)</f>
        <v>KG</v>
      </c>
      <c r="F3026" s="14">
        <v>0.83333333333333348</v>
      </c>
      <c r="G3026" s="87">
        <f t="array" ref="G3026">IF(B3026="insumo",_xlfn.XLOOKUP($D3026,Insumos!$B$1:$B$996,Insumos!$D$1:$D$996),"")</f>
        <v>0.76</v>
      </c>
      <c r="H3026" s="87">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332">
        <v>1</v>
      </c>
      <c r="B3027" s="332" t="s">
        <v>67</v>
      </c>
      <c r="C3027" s="332" t="s">
        <v>595</v>
      </c>
      <c r="D3027" s="332" t="s">
        <v>595</v>
      </c>
      <c r="E3027" s="333" t="s">
        <v>69</v>
      </c>
      <c r="F3027" s="332"/>
      <c r="G3027" s="334" t="str">
        <f t="array" ref="G3027">IF(B3027="insumo",_xlfn.XLOOKUP($D3027,Insumos!$B$1:$B$996,Insumos!$D$1:$D$996),"")</f>
        <v/>
      </c>
      <c r="H3027" s="334">
        <v>55.972279999999998</v>
      </c>
      <c r="I3027" s="335">
        <v>0</v>
      </c>
      <c r="J3027" s="335">
        <v>0</v>
      </c>
      <c r="K3027" s="335"/>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70</v>
      </c>
      <c r="C3028" s="10" t="s">
        <v>595</v>
      </c>
      <c r="D3028" s="10" t="s">
        <v>594</v>
      </c>
      <c r="E3028" s="11" t="str">
        <f t="array" ref="E3028">_xlfn.XLOOKUP(D3028,Insumos!B:B,Insumos!C:$C)</f>
        <v>KG</v>
      </c>
      <c r="F3028" s="14">
        <f>1.7*8</f>
        <v>13.6</v>
      </c>
      <c r="G3028" s="87">
        <f t="array" ref="G3028">IF(B3028="insumo",_xlfn.XLOOKUP($D3028,Insumos!$B$1:$B$996,Insumos!$D$1:$D$996),"")</f>
        <v>4</v>
      </c>
      <c r="H3028" s="87">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70</v>
      </c>
      <c r="C3029" s="10" t="s">
        <v>595</v>
      </c>
      <c r="D3029" s="10" t="s">
        <v>502</v>
      </c>
      <c r="E3029" s="11" t="str">
        <f t="array" ref="E3029">_xlfn.XLOOKUP(D3029,Insumos!B:B,Insumos!C:$C)</f>
        <v>L</v>
      </c>
      <c r="F3029" s="14">
        <v>4.2000000000000003E-2</v>
      </c>
      <c r="G3029" s="87">
        <f t="array" ref="G3029">IF(B3029="insumo",_xlfn.XLOOKUP($D3029,Insumos!$B$1:$B$996,Insumos!$D$1:$D$996),"")</f>
        <v>19.34</v>
      </c>
      <c r="H3029" s="87">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70</v>
      </c>
      <c r="C3030" s="10" t="s">
        <v>595</v>
      </c>
      <c r="D3030" s="10" t="s">
        <v>159</v>
      </c>
      <c r="E3030" s="11" t="str">
        <f t="array" ref="E3030">_xlfn.XLOOKUP(D3030,Insumos!B:B,Insumos!C:$C)</f>
        <v>KG</v>
      </c>
      <c r="F3030" s="14">
        <v>1</v>
      </c>
      <c r="G3030" s="87">
        <f t="array" ref="G3030">IF(B3030="insumo",_xlfn.XLOOKUP($D3030,Insumos!$B$1:$B$996,Insumos!$D$1:$D$996),"")</f>
        <v>0.76</v>
      </c>
      <c r="H3030" s="87">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332">
        <v>1</v>
      </c>
      <c r="B3031" s="332" t="s">
        <v>67</v>
      </c>
      <c r="C3031" s="332" t="s">
        <v>596</v>
      </c>
      <c r="D3031" s="332" t="s">
        <v>596</v>
      </c>
      <c r="E3031" s="333" t="s">
        <v>69</v>
      </c>
      <c r="F3031" s="332"/>
      <c r="G3031" s="334" t="str">
        <f t="array" ref="G3031">IF(B3031="insumo",_xlfn.XLOOKUP($D3031,Insumos!$B$1:$B$996,Insumos!$D$1:$D$996),"")</f>
        <v/>
      </c>
      <c r="H3031" s="334">
        <v>71.144559999999998</v>
      </c>
      <c r="I3031" s="335">
        <v>0</v>
      </c>
      <c r="J3031" s="335">
        <v>0</v>
      </c>
      <c r="K3031" s="335"/>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70</v>
      </c>
      <c r="C3032" s="10" t="s">
        <v>596</v>
      </c>
      <c r="D3032" s="10" t="s">
        <v>594</v>
      </c>
      <c r="E3032" s="11" t="str">
        <f t="array" ref="E3032">_xlfn.XLOOKUP(D3032,Insumos!B:B,Insumos!C:$C)</f>
        <v>KG</v>
      </c>
      <c r="F3032" s="14">
        <f>1.7*10</f>
        <v>17</v>
      </c>
      <c r="G3032" s="87">
        <f t="array" ref="G3032">IF(B3032="insumo",_xlfn.XLOOKUP($D3032,Insumos!$B$1:$B$996,Insumos!$D$1:$D$996),"")</f>
        <v>4</v>
      </c>
      <c r="H3032" s="87">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70</v>
      </c>
      <c r="C3033" s="10" t="s">
        <v>596</v>
      </c>
      <c r="D3033" s="10" t="s">
        <v>502</v>
      </c>
      <c r="E3033" s="11" t="str">
        <f t="array" ref="E3033">_xlfn.XLOOKUP(D3033,Insumos!B:B,Insumos!C:$C)</f>
        <v>L</v>
      </c>
      <c r="F3033" s="14">
        <f>(0.021*0.8)/0.2</f>
        <v>8.4000000000000005E-2</v>
      </c>
      <c r="G3033" s="87">
        <f t="array" ref="G3033">IF(B3033="insumo",_xlfn.XLOOKUP($D3033,Insumos!$B$1:$B$996,Insumos!$D$1:$D$996),"")</f>
        <v>19.34</v>
      </c>
      <c r="H3033" s="87">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70</v>
      </c>
      <c r="C3034" s="10" t="s">
        <v>596</v>
      </c>
      <c r="D3034" s="10" t="s">
        <v>159</v>
      </c>
      <c r="E3034" s="11" t="str">
        <f t="array" ref="E3034">_xlfn.XLOOKUP(D3034,Insumos!B:B,Insumos!C:$C)</f>
        <v>KG</v>
      </c>
      <c r="F3034" s="14">
        <f>(0.5*0.8)/0.2</f>
        <v>2</v>
      </c>
      <c r="G3034" s="87">
        <f t="array" ref="G3034">IF(B3034="insumo",_xlfn.XLOOKUP($D3034,Insumos!$B$1:$B$996,Insumos!$D$1:$D$996),"")</f>
        <v>0.76</v>
      </c>
      <c r="H3034" s="87">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332">
        <v>1</v>
      </c>
      <c r="B3035" s="332" t="s">
        <v>67</v>
      </c>
      <c r="C3035" s="332" t="s">
        <v>597</v>
      </c>
      <c r="D3035" s="332" t="s">
        <v>597</v>
      </c>
      <c r="E3035" s="333" t="s">
        <v>69</v>
      </c>
      <c r="F3035" s="332"/>
      <c r="G3035" s="334" t="str">
        <f t="array" ref="G3035">IF(B3035="insumo",_xlfn.XLOOKUP($D3035,Insumos!$B$1:$B$996,Insumos!$D$1:$D$996),"")</f>
        <v/>
      </c>
      <c r="H3035" s="334">
        <v>85.530699999999996</v>
      </c>
      <c r="I3035" s="335">
        <v>0</v>
      </c>
      <c r="J3035" s="335">
        <v>0</v>
      </c>
      <c r="K3035" s="335"/>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70</v>
      </c>
      <c r="C3036" s="10" t="s">
        <v>597</v>
      </c>
      <c r="D3036" s="10" t="s">
        <v>594</v>
      </c>
      <c r="E3036" s="11" t="str">
        <f t="array" ref="E3036">_xlfn.XLOOKUP(D3036,Insumos!B:B,Insumos!C:$C)</f>
        <v>KG</v>
      </c>
      <c r="F3036" s="14">
        <f>1.7*12</f>
        <v>20.399999999999999</v>
      </c>
      <c r="G3036" s="87">
        <f t="array" ref="G3036">IF(B3036="insumo",_xlfn.XLOOKUP($D3036,Insumos!$B$1:$B$996,Insumos!$D$1:$D$996),"")</f>
        <v>4</v>
      </c>
      <c r="H3036" s="87">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70</v>
      </c>
      <c r="C3037" s="10" t="s">
        <v>597</v>
      </c>
      <c r="D3037" s="10" t="s">
        <v>502</v>
      </c>
      <c r="E3037" s="11" t="str">
        <f t="array" ref="E3037">_xlfn.XLOOKUP(D3037,Insumos!B:B,Insumos!C:$C)</f>
        <v>L</v>
      </c>
      <c r="F3037" s="14">
        <f>(0.021*1)/0.2</f>
        <v>0.105</v>
      </c>
      <c r="G3037" s="87">
        <f t="array" ref="G3037">IF(B3037="insumo",_xlfn.XLOOKUP($D3037,Insumos!$B$1:$B$996,Insumos!$D$1:$D$996),"")</f>
        <v>19.34</v>
      </c>
      <c r="H3037" s="87">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70</v>
      </c>
      <c r="C3038" s="10" t="s">
        <v>597</v>
      </c>
      <c r="D3038" s="10" t="s">
        <v>159</v>
      </c>
      <c r="E3038" s="11" t="str">
        <f t="array" ref="E3038">_xlfn.XLOOKUP(D3038,Insumos!B:B,Insumos!C:$C)</f>
        <v>KG</v>
      </c>
      <c r="F3038" s="14">
        <f>(0.5*1)/0.2</f>
        <v>2.5</v>
      </c>
      <c r="G3038" s="87">
        <f t="array" ref="G3038">IF(B3038="insumo",_xlfn.XLOOKUP($D3038,Insumos!$B$1:$B$996,Insumos!$D$1:$D$996),"")</f>
        <v>0.76</v>
      </c>
      <c r="H3038" s="87">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332">
        <v>1</v>
      </c>
      <c r="B3039" s="332" t="s">
        <v>67</v>
      </c>
      <c r="C3039" s="332" t="s">
        <v>598</v>
      </c>
      <c r="D3039" s="332" t="s">
        <v>598</v>
      </c>
      <c r="E3039" s="333" t="s">
        <v>69</v>
      </c>
      <c r="F3039" s="332"/>
      <c r="G3039" s="334" t="str">
        <f t="array" ref="G3039">IF(B3039="insumo",_xlfn.XLOOKUP($D3039,Insumos!$B$1:$B$996,Insumos!$D$1:$D$996),"")</f>
        <v/>
      </c>
      <c r="H3039" s="334">
        <v>93.116839999999996</v>
      </c>
      <c r="I3039" s="335">
        <v>0</v>
      </c>
      <c r="J3039" s="335">
        <v>0</v>
      </c>
      <c r="K3039" s="335"/>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70</v>
      </c>
      <c r="C3040" s="10" t="s">
        <v>598</v>
      </c>
      <c r="D3040" s="10" t="s">
        <v>594</v>
      </c>
      <c r="E3040" s="11" t="str">
        <f t="array" ref="E3040">_xlfn.XLOOKUP(D3040,Insumos!B:B,Insumos!C:$C)</f>
        <v>KG</v>
      </c>
      <c r="F3040" s="14">
        <f>1.7*13</f>
        <v>22.099999999999998</v>
      </c>
      <c r="G3040" s="87">
        <f t="array" ref="G3040">IF(B3040="insumo",_xlfn.XLOOKUP($D3040,Insumos!$B$1:$B$996,Insumos!$D$1:$D$996),"")</f>
        <v>4</v>
      </c>
      <c r="H3040" s="87">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70</v>
      </c>
      <c r="C3041" s="10" t="s">
        <v>598</v>
      </c>
      <c r="D3041" s="10" t="s">
        <v>502</v>
      </c>
      <c r="E3041" s="11" t="str">
        <f t="array" ref="E3041">_xlfn.XLOOKUP(D3041,Insumos!B:B,Insumos!C:$C)</f>
        <v>L</v>
      </c>
      <c r="F3041" s="14">
        <f>(0.021*1.2)/0.2</f>
        <v>0.126</v>
      </c>
      <c r="G3041" s="87">
        <f t="array" ref="G3041">IF(B3041="insumo",_xlfn.XLOOKUP($D3041,Insumos!$B$1:$B$996,Insumos!$D$1:$D$996),"")</f>
        <v>19.34</v>
      </c>
      <c r="H3041" s="87">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70</v>
      </c>
      <c r="C3042" s="10" t="s">
        <v>598</v>
      </c>
      <c r="D3042" s="10" t="s">
        <v>159</v>
      </c>
      <c r="E3042" s="11" t="str">
        <f t="array" ref="E3042">_xlfn.XLOOKUP(D3042,Insumos!B:B,Insumos!C:$C)</f>
        <v>KG</v>
      </c>
      <c r="F3042" s="14">
        <f>(0.5*1.2)/0.2</f>
        <v>2.9999999999999996</v>
      </c>
      <c r="G3042" s="87">
        <f t="array" ref="G3042">IF(B3042="insumo",_xlfn.XLOOKUP($D3042,Insumos!$B$1:$B$996,Insumos!$D$1:$D$996),"")</f>
        <v>0.76</v>
      </c>
      <c r="H3042" s="87">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332">
        <v>1</v>
      </c>
      <c r="B3043" s="332" t="s">
        <v>67</v>
      </c>
      <c r="C3043" s="332" t="s">
        <v>599</v>
      </c>
      <c r="D3043" s="332" t="s">
        <v>599</v>
      </c>
      <c r="E3043" s="333" t="s">
        <v>69</v>
      </c>
      <c r="F3043" s="332"/>
      <c r="G3043" s="334" t="str">
        <f t="array" ref="G3043">IF(B3043="insumo",_xlfn.XLOOKUP($D3043,Insumos!$B$1:$B$996,Insumos!$D$1:$D$996),"")</f>
        <v/>
      </c>
      <c r="H3043" s="334">
        <v>107.10991</v>
      </c>
      <c r="I3043" s="335">
        <v>0</v>
      </c>
      <c r="J3043" s="335">
        <v>0</v>
      </c>
      <c r="K3043" s="335"/>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70</v>
      </c>
      <c r="C3044" s="10" t="s">
        <v>599</v>
      </c>
      <c r="D3044" s="10" t="s">
        <v>594</v>
      </c>
      <c r="E3044" s="11" t="str">
        <f t="array" ref="E3044">_xlfn.XLOOKUP(D3044,Insumos!B:B,Insumos!C:$C)</f>
        <v>KG</v>
      </c>
      <c r="F3044" s="14">
        <f>1.7*15</f>
        <v>25.5</v>
      </c>
      <c r="G3044" s="87">
        <f t="array" ref="G3044">IF(B3044="insumo",_xlfn.XLOOKUP($D3044,Insumos!$B$1:$B$996,Insumos!$D$1:$D$996),"")</f>
        <v>4</v>
      </c>
      <c r="H3044" s="87">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70</v>
      </c>
      <c r="C3045" s="10" t="s">
        <v>599</v>
      </c>
      <c r="D3045" s="10" t="s">
        <v>502</v>
      </c>
      <c r="E3045" s="11" t="str">
        <f t="array" ref="E3045">_xlfn.XLOOKUP(D3045,Insumos!B:B,Insumos!C:$C)</f>
        <v>L</v>
      </c>
      <c r="F3045" s="14">
        <f>(0.021*1.3)/0.2</f>
        <v>0.13650000000000001</v>
      </c>
      <c r="G3045" s="87">
        <f t="array" ref="G3045">IF(B3045="insumo",_xlfn.XLOOKUP($D3045,Insumos!$B$1:$B$996,Insumos!$D$1:$D$996),"")</f>
        <v>19.34</v>
      </c>
      <c r="H3045" s="87">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70</v>
      </c>
      <c r="C3046" s="10" t="s">
        <v>599</v>
      </c>
      <c r="D3046" s="10" t="s">
        <v>159</v>
      </c>
      <c r="E3046" s="11" t="str">
        <f t="array" ref="E3046">_xlfn.XLOOKUP(D3046,Insumos!B:B,Insumos!C:$C)</f>
        <v>KG</v>
      </c>
      <c r="F3046" s="14">
        <f>(0.5*1.3)/0.2</f>
        <v>3.25</v>
      </c>
      <c r="G3046" s="87">
        <f t="array" ref="G3046">IF(B3046="insumo",_xlfn.XLOOKUP($D3046,Insumos!$B$1:$B$996,Insumos!$D$1:$D$996),"")</f>
        <v>0.76</v>
      </c>
      <c r="H3046" s="87">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355">
        <v>1</v>
      </c>
      <c r="B3047" s="355" t="s">
        <v>1227</v>
      </c>
      <c r="C3047" s="355" t="s">
        <v>599</v>
      </c>
      <c r="D3047" s="355" t="s">
        <v>1444</v>
      </c>
      <c r="E3047" s="356"/>
      <c r="F3047" s="357"/>
      <c r="G3047" s="356"/>
      <c r="H3047" s="356">
        <v>0</v>
      </c>
      <c r="I3047" s="357">
        <v>0</v>
      </c>
      <c r="J3047" s="357">
        <v>0</v>
      </c>
      <c r="K3047" s="357"/>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332">
        <v>1</v>
      </c>
      <c r="B3048" s="332" t="s">
        <v>67</v>
      </c>
      <c r="C3048" s="332" t="s">
        <v>600</v>
      </c>
      <c r="D3048" s="332" t="s">
        <v>600</v>
      </c>
      <c r="E3048" s="333" t="s">
        <v>69</v>
      </c>
      <c r="F3048" s="332"/>
      <c r="G3048" s="334" t="str">
        <f t="array" ref="G3048">IF(B3048="insumo",_xlfn.XLOOKUP($D3048,Insumos!$B$1:$B$996,Insumos!$D$1:$D$996),"")</f>
        <v/>
      </c>
      <c r="H3048" s="334">
        <v>26.58521</v>
      </c>
      <c r="I3048" s="335">
        <v>0</v>
      </c>
      <c r="J3048" s="335">
        <v>0</v>
      </c>
      <c r="K3048" s="335"/>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70</v>
      </c>
      <c r="C3049" s="10" t="s">
        <v>600</v>
      </c>
      <c r="D3049" s="10" t="s">
        <v>601</v>
      </c>
      <c r="E3049" s="11" t="str">
        <f t="array" ref="E3049">_xlfn.XLOOKUP(D3049,Insumos!B:B,Insumos!C:$C)</f>
        <v>L</v>
      </c>
      <c r="F3049" s="14">
        <v>1.4350000000000001</v>
      </c>
      <c r="G3049" s="87">
        <f t="array" ref="G3049">IF(B3049="insumo",_xlfn.XLOOKUP($D3049,Insumos!$B$1:$B$996,Insumos!$D$1:$D$996),"")</f>
        <v>7.16</v>
      </c>
      <c r="H3049" s="87">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70</v>
      </c>
      <c r="C3050" s="10" t="s">
        <v>600</v>
      </c>
      <c r="D3050" s="10" t="s">
        <v>445</v>
      </c>
      <c r="E3050" s="11" t="str">
        <f t="array" ref="E3050">_xlfn.XLOOKUP(D3050,Insumos!B:B,Insumos!C:$C)</f>
        <v>M2</v>
      </c>
      <c r="F3050" s="14">
        <v>1.143</v>
      </c>
      <c r="G3050" s="87">
        <f t="array" ref="G3050">IF(B3050="insumo",_xlfn.XLOOKUP($D3050,Insumos!$B$1:$B$996,Insumos!$D$1:$D$996),"")</f>
        <v>14.27</v>
      </c>
      <c r="H3050" s="87">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332">
        <v>1</v>
      </c>
      <c r="B3051" s="332" t="s">
        <v>67</v>
      </c>
      <c r="C3051" s="332" t="s">
        <v>602</v>
      </c>
      <c r="D3051" s="332" t="s">
        <v>602</v>
      </c>
      <c r="E3051" s="333" t="s">
        <v>69</v>
      </c>
      <c r="F3051" s="332"/>
      <c r="G3051" s="334" t="str">
        <f t="array" ref="G3051">IF(B3051="insumo",_xlfn.XLOOKUP($D3051,Insumos!$B$1:$B$996,Insumos!$D$1:$D$996),"")</f>
        <v/>
      </c>
      <c r="H3051" s="334">
        <v>49.921721111111097</v>
      </c>
      <c r="I3051" s="335">
        <v>5725.7</v>
      </c>
      <c r="J3051" s="335">
        <v>285836.79856588901</v>
      </c>
      <c r="K3051" s="335"/>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70</v>
      </c>
      <c r="C3052" s="10" t="s">
        <v>602</v>
      </c>
      <c r="D3052" s="10" t="s">
        <v>603</v>
      </c>
      <c r="E3052" s="11" t="str">
        <f t="array" ref="E3052">_xlfn.XLOOKUP(D3052,Insumos!B:B,Insumos!C:$C)</f>
        <v>M2</v>
      </c>
      <c r="F3052" s="14">
        <v>1.1000000000000001</v>
      </c>
      <c r="G3052" s="87">
        <f t="array" ref="G3052">IF(B3052="insumo",_xlfn.XLOOKUP($D3052,Insumos!$B$1:$B$996,Insumos!$D$1:$D$996),"")</f>
        <v>30.555555555555557</v>
      </c>
      <c r="H3052" s="87">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70</v>
      </c>
      <c r="C3053" s="10" t="s">
        <v>602</v>
      </c>
      <c r="D3053" s="10" t="s">
        <v>445</v>
      </c>
      <c r="E3053" s="11" t="str">
        <f t="array" ref="E3053">_xlfn.XLOOKUP(D3053,Insumos!B:B,Insumos!C:$C)</f>
        <v>M2</v>
      </c>
      <c r="F3053" s="14">
        <v>1.143</v>
      </c>
      <c r="G3053" s="87">
        <f t="array" ref="G3053">IF(B3053="insumo",_xlfn.XLOOKUP($D3053,Insumos!$B$1:$B$996,Insumos!$D$1:$D$996),"")</f>
        <v>14.27</v>
      </c>
      <c r="H3053" s="87">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332">
        <v>1</v>
      </c>
      <c r="B3054" s="332" t="s">
        <v>67</v>
      </c>
      <c r="C3054" s="332" t="s">
        <v>604</v>
      </c>
      <c r="D3054" s="332" t="s">
        <v>604</v>
      </c>
      <c r="E3054" s="333" t="s">
        <v>69</v>
      </c>
      <c r="F3054" s="332"/>
      <c r="G3054" s="334" t="str">
        <f t="array" ref="G3054">IF(B3054="insumo",_xlfn.XLOOKUP($D3054,Insumos!$B$1:$B$996,Insumos!$D$1:$D$996),"")</f>
        <v/>
      </c>
      <c r="H3054" s="334">
        <v>38.118383333333298</v>
      </c>
      <c r="I3054" s="335">
        <v>0</v>
      </c>
      <c r="J3054" s="335">
        <v>0</v>
      </c>
      <c r="K3054" s="335"/>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70</v>
      </c>
      <c r="C3055" s="10" t="s">
        <v>604</v>
      </c>
      <c r="D3055" s="10" t="s">
        <v>605</v>
      </c>
      <c r="E3055" s="11" t="str">
        <f t="array" ref="E3055">_xlfn.XLOOKUP(D3055,Insumos!B:B,Insumos!C:$C)</f>
        <v>L</v>
      </c>
      <c r="F3055" s="14">
        <v>1.4350000000000001</v>
      </c>
      <c r="G3055" s="87">
        <f t="array" ref="G3055">IF(B3055="insumo",_xlfn.XLOOKUP($D3055,Insumos!$B$1:$B$996,Insumos!$D$1:$D$996),"")</f>
        <v>26.563333333333333</v>
      </c>
      <c r="H3055" s="87">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336">
        <v>1</v>
      </c>
      <c r="B3056" s="336" t="s">
        <v>67</v>
      </c>
      <c r="C3056" s="336" t="s">
        <v>1792</v>
      </c>
      <c r="D3056" s="336" t="s">
        <v>1792</v>
      </c>
      <c r="E3056" s="337" t="s">
        <v>69</v>
      </c>
      <c r="F3056" s="336"/>
      <c r="G3056" s="338" t="str">
        <f t="array" ref="G3056">IF(B3056="insumo",_xlfn.XLOOKUP($D3056,Insumos!$B$1:$B$996,Insumos!$D$1:$D$996),"")</f>
        <v/>
      </c>
      <c r="H3056" s="338">
        <v>143</v>
      </c>
      <c r="I3056" s="339">
        <v>0</v>
      </c>
      <c r="J3056" s="339">
        <v>0</v>
      </c>
      <c r="K3056" s="339"/>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77">
        <v>1</v>
      </c>
      <c r="B3057" s="77" t="s">
        <v>70</v>
      </c>
      <c r="C3057" s="77" t="s">
        <v>1792</v>
      </c>
      <c r="D3057" s="77" t="s">
        <v>1792</v>
      </c>
      <c r="E3057" s="11" t="str">
        <f t="array" ref="E3057">_xlfn.XLOOKUP(D3057,Insumos!B:B,Insumos!C:$C)</f>
        <v>M2</v>
      </c>
      <c r="F3057" s="81">
        <v>1.1000000000000001</v>
      </c>
      <c r="G3057" s="87">
        <f t="array" ref="G3057">IF(B3057="insumo",_xlfn.XLOOKUP($D3057,Insumos!$B$1:$B$996,Insumos!$D$1:$D$996),"")</f>
        <v>130</v>
      </c>
      <c r="H3057" s="87">
        <v>143</v>
      </c>
      <c r="I3057" s="79">
        <v>0</v>
      </c>
      <c r="J3057" s="79">
        <v>0</v>
      </c>
      <c r="K3057" s="79"/>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336">
        <v>1</v>
      </c>
      <c r="B3058" s="336" t="s">
        <v>67</v>
      </c>
      <c r="C3058" s="336" t="s">
        <v>1793</v>
      </c>
      <c r="D3058" s="336" t="s">
        <v>1793</v>
      </c>
      <c r="E3058" s="337" t="s">
        <v>69</v>
      </c>
      <c r="F3058" s="336"/>
      <c r="G3058" s="338" t="str">
        <f t="array" ref="G3058">IF(B3058="insumo",_xlfn.XLOOKUP($D3058,Insumos!$B$1:$B$996,Insumos!$D$1:$D$996),"")</f>
        <v/>
      </c>
      <c r="H3058" s="338">
        <v>33.6111111111111</v>
      </c>
      <c r="I3058" s="339">
        <v>0</v>
      </c>
      <c r="J3058" s="339">
        <v>0</v>
      </c>
      <c r="K3058" s="339"/>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77">
        <v>2</v>
      </c>
      <c r="B3059" s="77" t="s">
        <v>70</v>
      </c>
      <c r="C3059" s="77" t="s">
        <v>1793</v>
      </c>
      <c r="D3059" s="77" t="s">
        <v>603</v>
      </c>
      <c r="E3059" s="11" t="str">
        <f t="array" ref="E3059">_xlfn.XLOOKUP(D3059,Insumos!B:B,Insumos!C:$C)</f>
        <v>M2</v>
      </c>
      <c r="F3059" s="81">
        <v>1.1000000000000001</v>
      </c>
      <c r="G3059" s="87">
        <f t="array" ref="G3059">IF(B3059="insumo",_xlfn.XLOOKUP($D3059,Insumos!$B$1:$B$996,Insumos!$D$1:$D$996),"")</f>
        <v>30.555555555555557</v>
      </c>
      <c r="H3059" s="87">
        <v>33.6111111111111</v>
      </c>
      <c r="I3059" s="79">
        <v>0</v>
      </c>
      <c r="J3059" s="79">
        <v>0</v>
      </c>
      <c r="K3059" s="79"/>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336">
        <v>1</v>
      </c>
      <c r="B3060" s="336" t="s">
        <v>67</v>
      </c>
      <c r="C3060" s="336" t="s">
        <v>1794</v>
      </c>
      <c r="D3060" s="336" t="s">
        <v>1794</v>
      </c>
      <c r="E3060" s="337" t="s">
        <v>69</v>
      </c>
      <c r="F3060" s="336"/>
      <c r="G3060" s="338" t="str">
        <f t="array" ref="G3060">IF(B3060="insumo",_xlfn.XLOOKUP($D3060,Insumos!$B$1:$B$996,Insumos!$D$1:$D$996),"")</f>
        <v/>
      </c>
      <c r="H3060" s="338">
        <v>242</v>
      </c>
      <c r="I3060" s="339">
        <v>0</v>
      </c>
      <c r="J3060" s="339">
        <v>0</v>
      </c>
      <c r="K3060" s="339"/>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77">
        <v>1</v>
      </c>
      <c r="B3061" s="77" t="s">
        <v>70</v>
      </c>
      <c r="C3061" s="77" t="s">
        <v>1794</v>
      </c>
      <c r="D3061" s="77" t="s">
        <v>1794</v>
      </c>
      <c r="E3061" s="11" t="str">
        <f t="array" ref="E3061">_xlfn.XLOOKUP(D3061,Insumos!B:B,Insumos!C:$C)</f>
        <v>M2</v>
      </c>
      <c r="F3061" s="81">
        <v>1.1000000000000001</v>
      </c>
      <c r="G3061" s="87">
        <f t="array" ref="G3061">IF(B3061="insumo",_xlfn.XLOOKUP($D3061,Insumos!$B$1:$B$996,Insumos!$D$1:$D$996),"")</f>
        <v>220</v>
      </c>
      <c r="H3061" s="87">
        <v>242</v>
      </c>
      <c r="I3061" s="79">
        <v>0</v>
      </c>
      <c r="J3061" s="79">
        <v>0</v>
      </c>
      <c r="K3061" s="79"/>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336">
        <v>1</v>
      </c>
      <c r="B3062" s="336" t="s">
        <v>67</v>
      </c>
      <c r="C3062" s="336" t="s">
        <v>1795</v>
      </c>
      <c r="D3062" s="336" t="s">
        <v>1795</v>
      </c>
      <c r="E3062" s="337" t="s">
        <v>69</v>
      </c>
      <c r="F3062" s="336"/>
      <c r="G3062" s="338" t="str">
        <f t="array" ref="G3062">IF(B3062="insumo",_xlfn.XLOOKUP($D3062,Insumos!$B$1:$B$996,Insumos!$D$1:$D$996),"")</f>
        <v/>
      </c>
      <c r="H3062" s="338">
        <v>1320</v>
      </c>
      <c r="I3062" s="339">
        <v>0</v>
      </c>
      <c r="J3062" s="339">
        <v>0</v>
      </c>
      <c r="K3062" s="339"/>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77">
        <v>1</v>
      </c>
      <c r="B3063" s="77" t="s">
        <v>70</v>
      </c>
      <c r="C3063" s="77" t="s">
        <v>1795</v>
      </c>
      <c r="D3063" s="77" t="s">
        <v>1795</v>
      </c>
      <c r="E3063" s="11" t="str">
        <f t="array" ref="E3063">_xlfn.XLOOKUP(D3063,Insumos!B:B,Insumos!C:$C)</f>
        <v>M2</v>
      </c>
      <c r="F3063" s="81">
        <v>1.1000000000000001</v>
      </c>
      <c r="G3063" s="87">
        <f t="array" ref="G3063">IF(B3063="insumo",_xlfn.XLOOKUP($D3063,Insumos!$B$1:$B$996,Insumos!$D$1:$D$996),"")</f>
        <v>1200</v>
      </c>
      <c r="H3063" s="87">
        <v>1320</v>
      </c>
      <c r="I3063" s="79">
        <v>0</v>
      </c>
      <c r="J3063" s="79">
        <v>0</v>
      </c>
      <c r="K3063" s="79"/>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355">
        <v>1</v>
      </c>
      <c r="B3064" s="355" t="s">
        <v>1227</v>
      </c>
      <c r="C3064" s="355" t="s">
        <v>1795</v>
      </c>
      <c r="D3064" s="355" t="s">
        <v>1445</v>
      </c>
      <c r="E3064" s="356"/>
      <c r="F3064" s="357"/>
      <c r="G3064" s="356"/>
      <c r="H3064" s="356">
        <v>0</v>
      </c>
      <c r="I3064" s="357">
        <v>0</v>
      </c>
      <c r="J3064" s="357">
        <v>0</v>
      </c>
      <c r="K3064" s="357"/>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332">
        <v>1</v>
      </c>
      <c r="B3065" s="332" t="s">
        <v>67</v>
      </c>
      <c r="C3065" s="332" t="s">
        <v>606</v>
      </c>
      <c r="D3065" s="332" t="s">
        <v>606</v>
      </c>
      <c r="E3065" s="333" t="s">
        <v>69</v>
      </c>
      <c r="F3065" s="332"/>
      <c r="G3065" s="334" t="str">
        <f t="array" ref="G3065">IF(B3065="insumo",_xlfn.XLOOKUP($D3065,Insumos!$B$1:$B$996,Insumos!$D$1:$D$996),"")</f>
        <v/>
      </c>
      <c r="H3065" s="334">
        <v>12.442690000000001</v>
      </c>
      <c r="I3065" s="335">
        <v>0</v>
      </c>
      <c r="J3065" s="335">
        <v>0</v>
      </c>
      <c r="K3065" s="335"/>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70</v>
      </c>
      <c r="C3066" s="10" t="s">
        <v>606</v>
      </c>
      <c r="D3066" s="10" t="s">
        <v>444</v>
      </c>
      <c r="E3066" s="11" t="str">
        <f t="array" ref="E3066">_xlfn.XLOOKUP(D3066,Insumos!B:B,Insumos!C:$C)</f>
        <v>M3</v>
      </c>
      <c r="F3066" s="14">
        <v>5.5000000000000005E-3</v>
      </c>
      <c r="G3066" s="87">
        <f t="array" ref="G3066">IF(B3066="insumo",_xlfn.XLOOKUP($D3066,Insumos!$B$1:$B$996,Insumos!$D$1:$D$996),"")</f>
        <v>550</v>
      </c>
      <c r="H3066" s="87">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70</v>
      </c>
      <c r="C3067" s="10" t="s">
        <v>606</v>
      </c>
      <c r="D3067" s="10" t="s">
        <v>502</v>
      </c>
      <c r="E3067" s="11" t="str">
        <f t="array" ref="E3067">_xlfn.XLOOKUP(D3067,Insumos!B:B,Insumos!C:$C)</f>
        <v>L</v>
      </c>
      <c r="F3067" s="14">
        <v>3.5000000000000005E-3</v>
      </c>
      <c r="G3067" s="87">
        <f t="array" ref="G3067">IF(B3067="insumo",_xlfn.XLOOKUP($D3067,Insumos!$B$1:$B$996,Insumos!$D$1:$D$996),"")</f>
        <v>19.34</v>
      </c>
      <c r="H3067" s="87">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70</v>
      </c>
      <c r="C3068" s="10" t="s">
        <v>606</v>
      </c>
      <c r="D3068" s="10" t="s">
        <v>578</v>
      </c>
      <c r="E3068" s="11" t="str">
        <f t="array" ref="E3068">_xlfn.XLOOKUP(D3068,Insumos!B:B,Insumos!C:$C)</f>
        <v>KG</v>
      </c>
      <c r="F3068" s="14">
        <v>2.2000000000000002</v>
      </c>
      <c r="G3068" s="87">
        <f t="array" ref="G3068">IF(B3068="insumo",_xlfn.XLOOKUP($D3068,Insumos!$B$1:$B$996,Insumos!$D$1:$D$996),"")</f>
        <v>4.25</v>
      </c>
      <c r="H3068" s="87">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332">
        <v>1</v>
      </c>
      <c r="B3069" s="332" t="s">
        <v>67</v>
      </c>
      <c r="C3069" s="332" t="s">
        <v>607</v>
      </c>
      <c r="D3069" s="332" t="s">
        <v>607</v>
      </c>
      <c r="E3069" s="333" t="s">
        <v>69</v>
      </c>
      <c r="F3069" s="332"/>
      <c r="G3069" s="334" t="str">
        <f t="array" ref="G3069">IF(B3069="insumo",_xlfn.XLOOKUP($D3069,Insumos!$B$1:$B$996,Insumos!$D$1:$D$996),"")</f>
        <v/>
      </c>
      <c r="H3069" s="334">
        <v>3.1560233333333301</v>
      </c>
      <c r="I3069" s="335">
        <v>0</v>
      </c>
      <c r="J3069" s="335">
        <v>0</v>
      </c>
      <c r="K3069" s="335"/>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70</v>
      </c>
      <c r="C3070" s="10" t="s">
        <v>607</v>
      </c>
      <c r="D3070" s="10" t="s">
        <v>444</v>
      </c>
      <c r="E3070" s="11" t="str">
        <f t="array" ref="E3070">_xlfn.XLOOKUP(D3070,Insumos!B:B,Insumos!C:$C)</f>
        <v>M3</v>
      </c>
      <c r="F3070" s="14">
        <v>5.5000000000000005E-3</v>
      </c>
      <c r="G3070" s="87">
        <f t="array" ref="G3070">IF(B3070="insumo",_xlfn.XLOOKUP($D3070,Insumos!$B$1:$B$996,Insumos!$D$1:$D$996),"")</f>
        <v>550</v>
      </c>
      <c r="H3070" s="87">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70</v>
      </c>
      <c r="C3071" s="10" t="s">
        <v>607</v>
      </c>
      <c r="D3071" s="10" t="s">
        <v>502</v>
      </c>
      <c r="E3071" s="11" t="str">
        <f t="array" ref="E3071">_xlfn.XLOOKUP(D3071,Insumos!B:B,Insumos!C:$C)</f>
        <v>L</v>
      </c>
      <c r="F3071" s="14">
        <v>3.5000000000000005E-3</v>
      </c>
      <c r="G3071" s="87">
        <f t="array" ref="G3071">IF(B3071="insumo",_xlfn.XLOOKUP($D3071,Insumos!$B$1:$B$996,Insumos!$D$1:$D$996),"")</f>
        <v>19.34</v>
      </c>
      <c r="H3071" s="87">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70</v>
      </c>
      <c r="C3072" s="10" t="s">
        <v>607</v>
      </c>
      <c r="D3072" s="10" t="s">
        <v>159</v>
      </c>
      <c r="E3072" s="11" t="str">
        <f t="array" ref="E3072">_xlfn.XLOOKUP(D3072,Insumos!B:B,Insumos!C:$C)</f>
        <v>KG</v>
      </c>
      <c r="F3072" s="14">
        <v>8.3333333333333343E-2</v>
      </c>
      <c r="G3072" s="87">
        <f t="array" ref="G3072">IF(B3072="insumo",_xlfn.XLOOKUP($D3072,Insumos!$B$1:$B$996,Insumos!$D$1:$D$996),"")</f>
        <v>0.76</v>
      </c>
      <c r="H3072" s="87">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332">
        <v>1</v>
      </c>
      <c r="B3073" s="332" t="s">
        <v>67</v>
      </c>
      <c r="C3073" s="332" t="s">
        <v>608</v>
      </c>
      <c r="D3073" s="332" t="s">
        <v>608</v>
      </c>
      <c r="E3073" s="333" t="s">
        <v>69</v>
      </c>
      <c r="F3073" s="332"/>
      <c r="G3073" s="334" t="str">
        <f t="array" ref="G3073">IF(B3073="insumo",_xlfn.XLOOKUP($D3073,Insumos!$B$1:$B$996,Insumos!$D$1:$D$996),"")</f>
        <v/>
      </c>
      <c r="H3073" s="334">
        <v>6.3120466666666699</v>
      </c>
      <c r="I3073" s="335">
        <v>0</v>
      </c>
      <c r="J3073" s="335">
        <v>0</v>
      </c>
      <c r="K3073" s="335"/>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70</v>
      </c>
      <c r="C3074" s="10" t="s">
        <v>608</v>
      </c>
      <c r="D3074" s="10" t="s">
        <v>444</v>
      </c>
      <c r="E3074" s="11" t="str">
        <f t="array" ref="E3074">_xlfn.XLOOKUP(D3074,Insumos!B:B,Insumos!C:$C)</f>
        <v>M3</v>
      </c>
      <c r="F3074" s="14">
        <v>1.1000000000000001E-2</v>
      </c>
      <c r="G3074" s="87">
        <f t="array" ref="G3074">IF(B3074="insumo",_xlfn.XLOOKUP($D3074,Insumos!$B$1:$B$996,Insumos!$D$1:$D$996),"")</f>
        <v>550</v>
      </c>
      <c r="H3074" s="87">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70</v>
      </c>
      <c r="C3075" s="10" t="s">
        <v>608</v>
      </c>
      <c r="D3075" s="10" t="s">
        <v>502</v>
      </c>
      <c r="E3075" s="11" t="str">
        <f t="array" ref="E3075">_xlfn.XLOOKUP(D3075,Insumos!B:B,Insumos!C:$C)</f>
        <v>L</v>
      </c>
      <c r="F3075" s="14">
        <v>7.000000000000001E-3</v>
      </c>
      <c r="G3075" s="87">
        <f t="array" ref="G3075">IF(B3075="insumo",_xlfn.XLOOKUP($D3075,Insumos!$B$1:$B$996,Insumos!$D$1:$D$996),"")</f>
        <v>19.34</v>
      </c>
      <c r="H3075" s="87">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70</v>
      </c>
      <c r="C3076" s="10" t="s">
        <v>608</v>
      </c>
      <c r="D3076" s="10" t="s">
        <v>159</v>
      </c>
      <c r="E3076" s="11" t="str">
        <f t="array" ref="E3076">_xlfn.XLOOKUP(D3076,Insumos!B:B,Insumos!C:$C)</f>
        <v>KG</v>
      </c>
      <c r="F3076" s="14">
        <v>0.16666666666666669</v>
      </c>
      <c r="G3076" s="87">
        <f t="array" ref="G3076">IF(B3076="insumo",_xlfn.XLOOKUP($D3076,Insumos!$B$1:$B$996,Insumos!$D$1:$D$996),"")</f>
        <v>0.76</v>
      </c>
      <c r="H3076" s="87">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332">
        <v>1</v>
      </c>
      <c r="B3077" s="332" t="s">
        <v>67</v>
      </c>
      <c r="C3077" s="332" t="s">
        <v>609</v>
      </c>
      <c r="D3077" s="332" t="s">
        <v>609</v>
      </c>
      <c r="E3077" s="333" t="s">
        <v>69</v>
      </c>
      <c r="F3077" s="332"/>
      <c r="G3077" s="334" t="str">
        <f t="array" ref="G3077">IF(B3077="insumo",_xlfn.XLOOKUP($D3077,Insumos!$B$1:$B$996,Insumos!$D$1:$D$996),"")</f>
        <v/>
      </c>
      <c r="H3077" s="334">
        <v>9.4680700000000009</v>
      </c>
      <c r="I3077" s="335">
        <v>0</v>
      </c>
      <c r="J3077" s="335">
        <v>0</v>
      </c>
      <c r="K3077" s="335"/>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70</v>
      </c>
      <c r="C3078" s="10" t="s">
        <v>609</v>
      </c>
      <c r="D3078" s="10" t="s">
        <v>444</v>
      </c>
      <c r="E3078" s="11" t="str">
        <f t="array" ref="E3078">_xlfn.XLOOKUP(D3078,Insumos!B:B,Insumos!C:$C)</f>
        <v>M3</v>
      </c>
      <c r="F3078" s="14">
        <v>1.6500000000000001E-2</v>
      </c>
      <c r="G3078" s="87">
        <f t="array" ref="G3078">IF(B3078="insumo",_xlfn.XLOOKUP($D3078,Insumos!$B$1:$B$996,Insumos!$D$1:$D$996),"")</f>
        <v>550</v>
      </c>
      <c r="H3078" s="87">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70</v>
      </c>
      <c r="C3079" s="10" t="s">
        <v>609</v>
      </c>
      <c r="D3079" s="10" t="s">
        <v>502</v>
      </c>
      <c r="E3079" s="11" t="str">
        <f t="array" ref="E3079">_xlfn.XLOOKUP(D3079,Insumos!B:B,Insumos!C:$C)</f>
        <v>L</v>
      </c>
      <c r="F3079" s="14">
        <v>1.0500000000000001E-2</v>
      </c>
      <c r="G3079" s="87">
        <f t="array" ref="G3079">IF(B3079="insumo",_xlfn.XLOOKUP($D3079,Insumos!$B$1:$B$996,Insumos!$D$1:$D$996),"")</f>
        <v>19.34</v>
      </c>
      <c r="H3079" s="87">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70</v>
      </c>
      <c r="C3080" s="10" t="s">
        <v>609</v>
      </c>
      <c r="D3080" s="10" t="s">
        <v>159</v>
      </c>
      <c r="E3080" s="11" t="str">
        <f t="array" ref="E3080">_xlfn.XLOOKUP(D3080,Insumos!B:B,Insumos!C:$C)</f>
        <v>KG</v>
      </c>
      <c r="F3080" s="14">
        <v>0.25</v>
      </c>
      <c r="G3080" s="87">
        <f t="array" ref="G3080">IF(B3080="insumo",_xlfn.XLOOKUP($D3080,Insumos!$B$1:$B$996,Insumos!$D$1:$D$996),"")</f>
        <v>0.76</v>
      </c>
      <c r="H3080" s="87">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332">
        <v>1</v>
      </c>
      <c r="B3081" s="332" t="s">
        <v>67</v>
      </c>
      <c r="C3081" s="332" t="s">
        <v>610</v>
      </c>
      <c r="D3081" s="332" t="s">
        <v>610</v>
      </c>
      <c r="E3081" s="333" t="s">
        <v>69</v>
      </c>
      <c r="F3081" s="332"/>
      <c r="G3081" s="334" t="str">
        <f t="array" ref="G3081">IF(B3081="insumo",_xlfn.XLOOKUP($D3081,Insumos!$B$1:$B$996,Insumos!$D$1:$D$996),"")</f>
        <v/>
      </c>
      <c r="H3081" s="334">
        <v>12.624093333333301</v>
      </c>
      <c r="I3081" s="335">
        <v>0</v>
      </c>
      <c r="J3081" s="335">
        <v>0</v>
      </c>
      <c r="K3081" s="335"/>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70</v>
      </c>
      <c r="C3082" s="10" t="s">
        <v>610</v>
      </c>
      <c r="D3082" s="10" t="s">
        <v>444</v>
      </c>
      <c r="E3082" s="11" t="str">
        <f t="array" ref="E3082">_xlfn.XLOOKUP(D3082,Insumos!B:B,Insumos!C:$C)</f>
        <v>M3</v>
      </c>
      <c r="F3082" s="14">
        <v>2.2000000000000002E-2</v>
      </c>
      <c r="G3082" s="87">
        <f t="array" ref="G3082">IF(B3082="insumo",_xlfn.XLOOKUP($D3082,Insumos!$B$1:$B$996,Insumos!$D$1:$D$996),"")</f>
        <v>550</v>
      </c>
      <c r="H3082" s="87">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70</v>
      </c>
      <c r="C3083" s="10" t="s">
        <v>610</v>
      </c>
      <c r="D3083" s="10" t="s">
        <v>502</v>
      </c>
      <c r="E3083" s="11" t="str">
        <f t="array" ref="E3083">_xlfn.XLOOKUP(D3083,Insumos!B:B,Insumos!C:$C)</f>
        <v>L</v>
      </c>
      <c r="F3083" s="14">
        <v>1.4000000000000002E-2</v>
      </c>
      <c r="G3083" s="87">
        <f t="array" ref="G3083">IF(B3083="insumo",_xlfn.XLOOKUP($D3083,Insumos!$B$1:$B$996,Insumos!$D$1:$D$996),"")</f>
        <v>19.34</v>
      </c>
      <c r="H3083" s="87">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70</v>
      </c>
      <c r="C3084" s="10" t="s">
        <v>610</v>
      </c>
      <c r="D3084" s="10" t="s">
        <v>159</v>
      </c>
      <c r="E3084" s="11" t="str">
        <f t="array" ref="E3084">_xlfn.XLOOKUP(D3084,Insumos!B:B,Insumos!C:$C)</f>
        <v>KG</v>
      </c>
      <c r="F3084" s="14">
        <v>0.33333333333333337</v>
      </c>
      <c r="G3084" s="87">
        <f t="array" ref="G3084">IF(B3084="insumo",_xlfn.XLOOKUP($D3084,Insumos!$B$1:$B$996,Insumos!$D$1:$D$996),"")</f>
        <v>0.76</v>
      </c>
      <c r="H3084" s="87">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332">
        <v>1</v>
      </c>
      <c r="B3085" s="332" t="s">
        <v>67</v>
      </c>
      <c r="C3085" s="332" t="s">
        <v>611</v>
      </c>
      <c r="D3085" s="332" t="s">
        <v>611</v>
      </c>
      <c r="E3085" s="333" t="s">
        <v>69</v>
      </c>
      <c r="F3085" s="332"/>
      <c r="G3085" s="334" t="str">
        <f t="array" ref="G3085">IF(B3085="insumo",_xlfn.XLOOKUP($D3085,Insumos!$B$1:$B$996,Insumos!$D$1:$D$996),"")</f>
        <v/>
      </c>
      <c r="H3085" s="334">
        <v>18.936140000000002</v>
      </c>
      <c r="I3085" s="335">
        <v>0</v>
      </c>
      <c r="J3085" s="335">
        <v>0</v>
      </c>
      <c r="K3085" s="335"/>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70</v>
      </c>
      <c r="C3086" s="10" t="s">
        <v>611</v>
      </c>
      <c r="D3086" s="10" t="s">
        <v>444</v>
      </c>
      <c r="E3086" s="11" t="str">
        <f t="array" ref="E3086">_xlfn.XLOOKUP(D3086,Insumos!B:B,Insumos!C:$C)</f>
        <v>M3</v>
      </c>
      <c r="F3086" s="14">
        <v>3.3000000000000002E-2</v>
      </c>
      <c r="G3086" s="87">
        <f t="array" ref="G3086">IF(B3086="insumo",_xlfn.XLOOKUP($D3086,Insumos!$B$1:$B$996,Insumos!$D$1:$D$996),"")</f>
        <v>550</v>
      </c>
      <c r="H3086" s="87">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70</v>
      </c>
      <c r="C3087" s="10" t="s">
        <v>611</v>
      </c>
      <c r="D3087" s="10" t="s">
        <v>502</v>
      </c>
      <c r="E3087" s="11" t="str">
        <f t="array" ref="E3087">_xlfn.XLOOKUP(D3087,Insumos!B:B,Insumos!C:$C)</f>
        <v>L</v>
      </c>
      <c r="F3087" s="14">
        <f>0.007*3</f>
        <v>2.1000000000000001E-2</v>
      </c>
      <c r="G3087" s="87">
        <f t="array" ref="G3087">IF(B3087="insumo",_xlfn.XLOOKUP($D3087,Insumos!$B$1:$B$996,Insumos!$D$1:$D$996),"")</f>
        <v>19.34</v>
      </c>
      <c r="H3087" s="87">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70</v>
      </c>
      <c r="C3088" s="10" t="s">
        <v>611</v>
      </c>
      <c r="D3088" s="10" t="s">
        <v>159</v>
      </c>
      <c r="E3088" s="11" t="str">
        <f t="array" ref="E3088">_xlfn.XLOOKUP(D3088,Insumos!B:B,Insumos!C:$C)</f>
        <v>KG</v>
      </c>
      <c r="F3088" s="14">
        <f>0.166666666666667*3</f>
        <v>0.500000000000001</v>
      </c>
      <c r="G3088" s="87">
        <f t="array" ref="G3088">IF(B3088="insumo",_xlfn.XLOOKUP($D3088,Insumos!$B$1:$B$996,Insumos!$D$1:$D$996),"")</f>
        <v>0.76</v>
      </c>
      <c r="H3088" s="87">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332">
        <v>1</v>
      </c>
      <c r="B3089" s="332" t="s">
        <v>67</v>
      </c>
      <c r="C3089" s="332" t="s">
        <v>612</v>
      </c>
      <c r="D3089" s="332" t="s">
        <v>612</v>
      </c>
      <c r="E3089" s="333" t="s">
        <v>69</v>
      </c>
      <c r="F3089" s="332"/>
      <c r="G3089" s="334" t="str">
        <f t="array" ref="G3089">IF(B3089="insumo",_xlfn.XLOOKUP($D3089,Insumos!$B$1:$B$996,Insumos!$D$1:$D$996),"")</f>
        <v/>
      </c>
      <c r="H3089" s="334">
        <v>24.1481866666667</v>
      </c>
      <c r="I3089" s="335">
        <v>0</v>
      </c>
      <c r="J3089" s="335">
        <v>0</v>
      </c>
      <c r="K3089" s="335"/>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70</v>
      </c>
      <c r="C3090" s="10" t="s">
        <v>612</v>
      </c>
      <c r="D3090" s="10" t="s">
        <v>444</v>
      </c>
      <c r="E3090" s="11" t="str">
        <f t="array" ref="E3090">_xlfn.XLOOKUP(D3090,Insumos!B:B,Insumos!C:$C)</f>
        <v>M3</v>
      </c>
      <c r="F3090" s="14">
        <f>0.04*1.05</f>
        <v>4.2000000000000003E-2</v>
      </c>
      <c r="G3090" s="87">
        <f t="array" ref="G3090">IF(B3090="insumo",_xlfn.XLOOKUP($D3090,Insumos!$B$1:$B$996,Insumos!$D$1:$D$996),"")</f>
        <v>550</v>
      </c>
      <c r="H3090" s="87">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70</v>
      </c>
      <c r="C3091" s="10" t="s">
        <v>612</v>
      </c>
      <c r="D3091" s="10" t="s">
        <v>502</v>
      </c>
      <c r="E3091" s="11" t="str">
        <f t="array" ref="E3091">_xlfn.XLOOKUP(D3091,Insumos!B:B,Insumos!C:$C)</f>
        <v>L</v>
      </c>
      <c r="F3091" s="14">
        <f>0.007*4</f>
        <v>2.8000000000000001E-2</v>
      </c>
      <c r="G3091" s="87">
        <f t="array" ref="G3091">IF(B3091="insumo",_xlfn.XLOOKUP($D3091,Insumos!$B$1:$B$996,Insumos!$D$1:$D$996),"")</f>
        <v>19.34</v>
      </c>
      <c r="H3091" s="87">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70</v>
      </c>
      <c r="C3092" s="10" t="s">
        <v>612</v>
      </c>
      <c r="D3092" s="10" t="s">
        <v>159</v>
      </c>
      <c r="E3092" s="11" t="str">
        <f t="array" ref="E3092">_xlfn.XLOOKUP(D3092,Insumos!B:B,Insumos!C:$C)</f>
        <v>KG</v>
      </c>
      <c r="F3092" s="14">
        <f>0.166666666666667*4</f>
        <v>0.66666666666666796</v>
      </c>
      <c r="G3092" s="87">
        <f t="array" ref="G3092">IF(B3092="insumo",_xlfn.XLOOKUP($D3092,Insumos!$B$1:$B$996,Insumos!$D$1:$D$996),"")</f>
        <v>0.76</v>
      </c>
      <c r="H3092" s="87">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332">
        <v>1</v>
      </c>
      <c r="B3093" s="332" t="s">
        <v>67</v>
      </c>
      <c r="C3093" s="332" t="s">
        <v>2510</v>
      </c>
      <c r="D3093" s="332" t="s">
        <v>2510</v>
      </c>
      <c r="E3093" s="333" t="s">
        <v>69</v>
      </c>
      <c r="F3093" s="332"/>
      <c r="G3093" s="334" t="str">
        <f t="array" ref="G3093">IF(B3093="insumo",_xlfn.XLOOKUP($D3093,Insumos!$B$1:$B$996,Insumos!$D$1:$D$996),"")</f>
        <v/>
      </c>
      <c r="H3093" s="334">
        <v>34.468566666666703</v>
      </c>
      <c r="I3093" s="335">
        <v>0</v>
      </c>
      <c r="J3093" s="335">
        <v>0</v>
      </c>
      <c r="K3093" s="335"/>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70</v>
      </c>
      <c r="C3094" s="10" t="s">
        <v>2510</v>
      </c>
      <c r="D3094" s="10" t="s">
        <v>444</v>
      </c>
      <c r="E3094" s="11" t="str">
        <f t="array" ref="E3094">_xlfn.XLOOKUP(D3094,Insumos!B:B,Insumos!C:$C)</f>
        <v>M3</v>
      </c>
      <c r="F3094" s="14">
        <f>0.011*5</f>
        <v>5.4999999999999993E-2</v>
      </c>
      <c r="G3094" s="87">
        <f t="array" ref="G3094">IF(B3094="insumo",_xlfn.XLOOKUP($D3094,Insumos!$B$1:$B$996,Insumos!$D$1:$D$996),"")</f>
        <v>550</v>
      </c>
      <c r="H3094" s="87">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70</v>
      </c>
      <c r="C3095" s="10" t="s">
        <v>2510</v>
      </c>
      <c r="D3095" s="10" t="s">
        <v>502</v>
      </c>
      <c r="E3095" s="11" t="str">
        <f t="array" ref="E3095">_xlfn.XLOOKUP(D3095,Insumos!B:B,Insumos!C:$C)</f>
        <v>L</v>
      </c>
      <c r="F3095" s="14">
        <f>5*0.007</f>
        <v>3.5000000000000003E-2</v>
      </c>
      <c r="G3095" s="87">
        <f t="array" ref="G3095">IF(B3095="insumo",_xlfn.XLOOKUP($D3095,Insumos!$B$1:$B$996,Insumos!$D$1:$D$996),"")</f>
        <v>19.34</v>
      </c>
      <c r="H3095" s="87">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70</v>
      </c>
      <c r="C3096" s="10" t="s">
        <v>2510</v>
      </c>
      <c r="D3096" s="10" t="s">
        <v>578</v>
      </c>
      <c r="E3096" s="11" t="str">
        <f t="array" ref="E3096">_xlfn.XLOOKUP(D3096,Insumos!B:B,Insumos!C:$C)</f>
        <v>KG</v>
      </c>
      <c r="F3096" s="14">
        <f>5*0.166666666666667</f>
        <v>0.83333333333333492</v>
      </c>
      <c r="G3096" s="87">
        <f t="array" ref="G3096">IF(B3096="insumo",_xlfn.XLOOKUP($D3096,Insumos!$B$1:$B$996,Insumos!$D$1:$D$996),"")</f>
        <v>4.25</v>
      </c>
      <c r="H3096" s="87">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336">
        <v>1</v>
      </c>
      <c r="B3097" s="336" t="s">
        <v>67</v>
      </c>
      <c r="C3097" s="336" t="s">
        <v>1796</v>
      </c>
      <c r="D3097" s="336" t="s">
        <v>1796</v>
      </c>
      <c r="E3097" s="337" t="s">
        <v>69</v>
      </c>
      <c r="F3097" s="336"/>
      <c r="G3097" s="338" t="str">
        <f t="array" ref="G3097">IF(B3097="insumo",_xlfn.XLOOKUP($D3097,Insumos!$B$1:$B$996,Insumos!$D$1:$D$996),"")</f>
        <v/>
      </c>
      <c r="H3097" s="338">
        <v>15.0006</v>
      </c>
      <c r="I3097" s="339">
        <v>0</v>
      </c>
      <c r="J3097" s="339">
        <v>0</v>
      </c>
      <c r="K3097" s="339"/>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77">
        <v>1</v>
      </c>
      <c r="B3098" s="77" t="s">
        <v>70</v>
      </c>
      <c r="C3098" s="77" t="s">
        <v>1796</v>
      </c>
      <c r="D3098" s="77" t="s">
        <v>1797</v>
      </c>
      <c r="E3098" s="11" t="str">
        <f t="array" ref="E3098">_xlfn.XLOOKUP(D3098,Insumos!B:B,Insumos!C:$C)</f>
        <v>M3</v>
      </c>
      <c r="F3098" s="81">
        <v>0.34499999999999997</v>
      </c>
      <c r="G3098" s="87">
        <f t="array" ref="G3098">IF(B3098="insumo",_xlfn.XLOOKUP($D3098,Insumos!$B$1:$B$996,Insumos!$D$1:$D$996),"")</f>
        <v>43.48</v>
      </c>
      <c r="H3098" s="87">
        <v>15.0006</v>
      </c>
      <c r="I3098" s="79">
        <v>0</v>
      </c>
      <c r="J3098" s="79">
        <v>0</v>
      </c>
      <c r="K3098" s="79"/>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332">
        <v>1</v>
      </c>
      <c r="B3099" s="332" t="s">
        <v>67</v>
      </c>
      <c r="C3099" s="332" t="s">
        <v>613</v>
      </c>
      <c r="D3099" s="332" t="s">
        <v>613</v>
      </c>
      <c r="E3099" s="333" t="s">
        <v>69</v>
      </c>
      <c r="F3099" s="332"/>
      <c r="G3099" s="334" t="str">
        <f t="array" ref="G3099">IF(B3099="insumo",_xlfn.XLOOKUP($D3099,Insumos!$B$1:$B$996,Insumos!$D$1:$D$996),"")</f>
        <v/>
      </c>
      <c r="H3099" s="334">
        <v>30.185233333333301</v>
      </c>
      <c r="I3099" s="335" t="e">
        <v>#REF!</v>
      </c>
      <c r="J3099" s="335" t="e">
        <v>#REF!</v>
      </c>
      <c r="K3099" s="335"/>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70</v>
      </c>
      <c r="C3100" s="10" t="s">
        <v>613</v>
      </c>
      <c r="D3100" s="10" t="s">
        <v>444</v>
      </c>
      <c r="E3100" s="11" t="str">
        <f t="array" ref="E3100">_xlfn.XLOOKUP(D3100,Insumos!B:B,Insumos!C:$C)</f>
        <v>M3</v>
      </c>
      <c r="F3100" s="14">
        <f>0.05*1.05</f>
        <v>5.2500000000000005E-2</v>
      </c>
      <c r="G3100" s="87">
        <f t="array" ref="G3100">IF(B3100="insumo",_xlfn.XLOOKUP($D3100,Insumos!$B$1:$B$996,Insumos!$D$1:$D$996),"")</f>
        <v>550</v>
      </c>
      <c r="H3100" s="87">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70</v>
      </c>
      <c r="C3101" s="10" t="s">
        <v>613</v>
      </c>
      <c r="D3101" s="10" t="s">
        <v>502</v>
      </c>
      <c r="E3101" s="11" t="str">
        <f t="array" ref="E3101">_xlfn.XLOOKUP(D3101,Insumos!B:B,Insumos!C:$C)</f>
        <v>L</v>
      </c>
      <c r="F3101" s="14">
        <f>0.007*5</f>
        <v>3.5000000000000003E-2</v>
      </c>
      <c r="G3101" s="87">
        <f t="array" ref="G3101">IF(B3101="insumo",_xlfn.XLOOKUP($D3101,Insumos!$B$1:$B$996,Insumos!$D$1:$D$996),"")</f>
        <v>19.34</v>
      </c>
      <c r="H3101" s="87">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70</v>
      </c>
      <c r="C3102" s="10" t="s">
        <v>613</v>
      </c>
      <c r="D3102" s="10" t="s">
        <v>159</v>
      </c>
      <c r="E3102" s="11" t="str">
        <f t="array" ref="E3102">_xlfn.XLOOKUP(D3102,Insumos!B:B,Insumos!C:$C)</f>
        <v>KG</v>
      </c>
      <c r="F3102" s="14">
        <f>0.166666666666667*5</f>
        <v>0.83333333333333492</v>
      </c>
      <c r="G3102" s="87">
        <f t="array" ref="G3102">IF(B3102="insumo",_xlfn.XLOOKUP($D3102,Insumos!$B$1:$B$996,Insumos!$D$1:$D$996),"")</f>
        <v>0.76</v>
      </c>
      <c r="H3102" s="87">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332">
        <v>1</v>
      </c>
      <c r="B3103" s="332" t="s">
        <v>67</v>
      </c>
      <c r="C3103" s="332" t="s">
        <v>614</v>
      </c>
      <c r="D3103" s="332" t="s">
        <v>614</v>
      </c>
      <c r="E3103" s="333" t="s">
        <v>69</v>
      </c>
      <c r="F3103" s="332"/>
      <c r="G3103" s="334" t="str">
        <f t="array" ref="G3103">IF(B3103="insumo",_xlfn.XLOOKUP($D3103,Insumos!$B$1:$B$996,Insumos!$D$1:$D$996),"")</f>
        <v/>
      </c>
      <c r="H3103" s="334">
        <v>23.124199999999998</v>
      </c>
      <c r="I3103" s="335">
        <v>0</v>
      </c>
      <c r="J3103" s="335">
        <v>0</v>
      </c>
      <c r="K3103" s="335"/>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70</v>
      </c>
      <c r="C3104" s="10" t="s">
        <v>614</v>
      </c>
      <c r="D3104" s="10" t="s">
        <v>444</v>
      </c>
      <c r="E3104" s="11" t="str">
        <f t="array" ref="E3104">_xlfn.XLOOKUP(D3104,Insumos!B:B,Insumos!C:$C)</f>
        <v>M3</v>
      </c>
      <c r="F3104" s="14">
        <v>3.3000000000000002E-2</v>
      </c>
      <c r="G3104" s="87">
        <f t="array" ref="G3104">IF(B3104="insumo",_xlfn.XLOOKUP($D3104,Insumos!$B$1:$B$996,Insumos!$D$1:$D$996),"")</f>
        <v>550</v>
      </c>
      <c r="H3104" s="87">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70</v>
      </c>
      <c r="C3105" s="10" t="s">
        <v>614</v>
      </c>
      <c r="D3105" s="10" t="s">
        <v>615</v>
      </c>
      <c r="E3105" s="11" t="str">
        <f t="array" ref="E3105">_xlfn.XLOOKUP(D3105,Insumos!B:B,Insumos!C:$C)</f>
        <v>KG</v>
      </c>
      <c r="F3105" s="14">
        <v>1.56</v>
      </c>
      <c r="G3105" s="87">
        <f t="array" ref="G3105">IF(B3105="insumo",_xlfn.XLOOKUP($D3105,Insumos!$B$1:$B$996,Insumos!$D$1:$D$996),"")</f>
        <v>2.9449999999999998</v>
      </c>
      <c r="H3105" s="87">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70</v>
      </c>
      <c r="C3106" s="10" t="s">
        <v>614</v>
      </c>
      <c r="D3106" s="10" t="s">
        <v>159</v>
      </c>
      <c r="E3106" s="11" t="str">
        <f t="array" ref="E3106">_xlfn.XLOOKUP(D3106,Insumos!B:B,Insumos!C:$C)</f>
        <v>KG</v>
      </c>
      <c r="F3106" s="14">
        <v>0.5</v>
      </c>
      <c r="G3106" s="87">
        <f t="array" ref="G3106">IF(B3106="insumo",_xlfn.XLOOKUP($D3106,Insumos!$B$1:$B$996,Insumos!$D$1:$D$996),"")</f>
        <v>0.76</v>
      </c>
      <c r="H3106" s="87">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355">
        <v>1</v>
      </c>
      <c r="B3107" s="355" t="s">
        <v>1227</v>
      </c>
      <c r="C3107" s="355" t="s">
        <v>614</v>
      </c>
      <c r="D3107" s="355" t="s">
        <v>1446</v>
      </c>
      <c r="E3107" s="356"/>
      <c r="F3107" s="357"/>
      <c r="G3107" s="356"/>
      <c r="H3107" s="356">
        <v>0</v>
      </c>
      <c r="I3107" s="357">
        <v>0</v>
      </c>
      <c r="J3107" s="357">
        <v>0</v>
      </c>
      <c r="K3107" s="357"/>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332">
        <v>1</v>
      </c>
      <c r="B3108" s="332" t="s">
        <v>67</v>
      </c>
      <c r="C3108" s="332" t="s">
        <v>616</v>
      </c>
      <c r="D3108" s="332" t="s">
        <v>616</v>
      </c>
      <c r="E3108" s="333" t="s">
        <v>69</v>
      </c>
      <c r="F3108" s="332"/>
      <c r="G3108" s="334" t="str">
        <f t="array" ref="G3108">IF(B3108="insumo",_xlfn.XLOOKUP($D3108,Insumos!$B$1:$B$996,Insumos!$D$1:$D$996),"")</f>
        <v/>
      </c>
      <c r="H3108" s="334">
        <v>30.774093333333301</v>
      </c>
      <c r="I3108" s="335">
        <v>0</v>
      </c>
      <c r="J3108" s="335">
        <v>0</v>
      </c>
      <c r="K3108" s="335"/>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70</v>
      </c>
      <c r="C3109" s="10" t="s">
        <v>616</v>
      </c>
      <c r="D3109" s="10" t="s">
        <v>444</v>
      </c>
      <c r="E3109" s="11" t="str">
        <f t="array" ref="E3109">_xlfn.XLOOKUP(D3109,Insumos!B:B,Insumos!C:$C)</f>
        <v>M3</v>
      </c>
      <c r="F3109" s="14">
        <f>0.05*1.1</f>
        <v>5.5000000000000007E-2</v>
      </c>
      <c r="G3109" s="87">
        <f t="array" ref="G3109">IF(B3109="insumo",_xlfn.XLOOKUP($D3109,Insumos!$B$1:$B$996,Insumos!$D$1:$D$996),"")</f>
        <v>550</v>
      </c>
      <c r="H3109" s="87">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70</v>
      </c>
      <c r="C3110" s="10" t="s">
        <v>616</v>
      </c>
      <c r="D3110" s="10" t="s">
        <v>502</v>
      </c>
      <c r="E3110" s="11" t="str">
        <f t="array" ref="E3110">_xlfn.XLOOKUP(D3110,Insumos!B:B,Insumos!C:$C)</f>
        <v>L</v>
      </c>
      <c r="F3110" s="14">
        <v>1.4000000000000002E-2</v>
      </c>
      <c r="G3110" s="87">
        <f t="array" ref="G3110">IF(B3110="insumo",_xlfn.XLOOKUP($D3110,Insumos!$B$1:$B$996,Insumos!$D$1:$D$996),"")</f>
        <v>19.34</v>
      </c>
      <c r="H3110" s="87">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70</v>
      </c>
      <c r="C3111" s="10" t="s">
        <v>616</v>
      </c>
      <c r="D3111" s="10" t="s">
        <v>159</v>
      </c>
      <c r="E3111" s="11" t="str">
        <f t="array" ref="E3111">_xlfn.XLOOKUP(D3111,Insumos!B:B,Insumos!C:$C)</f>
        <v>KG</v>
      </c>
      <c r="F3111" s="14">
        <v>0.33333333333333337</v>
      </c>
      <c r="G3111" s="87">
        <f t="array" ref="G3111">IF(B3111="insumo",_xlfn.XLOOKUP($D3111,Insumos!$B$1:$B$996,Insumos!$D$1:$D$996),"")</f>
        <v>0.76</v>
      </c>
      <c r="H3111" s="87">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332">
        <v>1</v>
      </c>
      <c r="B3112" s="332" t="s">
        <v>67</v>
      </c>
      <c r="C3112" s="332" t="s">
        <v>617</v>
      </c>
      <c r="D3112" s="332" t="s">
        <v>617</v>
      </c>
      <c r="E3112" s="333" t="s">
        <v>69</v>
      </c>
      <c r="F3112" s="332"/>
      <c r="G3112" s="334" t="str">
        <f t="array" ref="G3112">IF(B3112="insumo",_xlfn.XLOOKUP($D3112,Insumos!$B$1:$B$996,Insumos!$D$1:$D$996),"")</f>
        <v/>
      </c>
      <c r="H3112" s="334">
        <v>61.444938999999998</v>
      </c>
      <c r="I3112" s="335" t="e">
        <v>#REF!</v>
      </c>
      <c r="J3112" s="335" t="e">
        <v>#REF!</v>
      </c>
      <c r="K3112" s="335"/>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70</v>
      </c>
      <c r="C3113" s="10" t="s">
        <v>617</v>
      </c>
      <c r="D3113" s="10" t="s">
        <v>250</v>
      </c>
      <c r="E3113" s="11" t="str">
        <f t="array" ref="E3113">_xlfn.XLOOKUP(D3113,Insumos!B:B,Insumos!C:$C)</f>
        <v>M3</v>
      </c>
      <c r="F3113" s="14">
        <v>2.4299999999999999E-2</v>
      </c>
      <c r="G3113" s="87">
        <f t="array" ref="G3113">IF(B3113="insumo",_xlfn.XLOOKUP($D3113,Insumos!$B$1:$B$996,Insumos!$D$1:$D$996),"")</f>
        <v>604.73</v>
      </c>
      <c r="H3113" s="87">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70</v>
      </c>
      <c r="C3114" s="10" t="s">
        <v>617</v>
      </c>
      <c r="D3114" s="10" t="s">
        <v>618</v>
      </c>
      <c r="E3114" s="11" t="str">
        <f t="array" ref="E3114">_xlfn.XLOOKUP(D3114,Insumos!B:B,Insumos!C:$C)</f>
        <v>KG</v>
      </c>
      <c r="F3114" s="14">
        <v>5</v>
      </c>
      <c r="G3114" s="87">
        <f t="array" ref="G3114">IF(B3114="insumo",_xlfn.XLOOKUP($D3114,Insumos!$B$1:$B$996,Insumos!$D$1:$D$996),"")</f>
        <v>9.35</v>
      </c>
      <c r="H3114" s="87">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332">
        <v>1</v>
      </c>
      <c r="B3115" s="332" t="s">
        <v>67</v>
      </c>
      <c r="C3115" s="332" t="s">
        <v>619</v>
      </c>
      <c r="D3115" s="332" t="s">
        <v>619</v>
      </c>
      <c r="E3115" s="333" t="s">
        <v>69</v>
      </c>
      <c r="F3115" s="332"/>
      <c r="G3115" s="334" t="str">
        <f t="array" ref="G3115">IF(B3115="insumo",_xlfn.XLOOKUP($D3115,Insumos!$B$1:$B$996,Insumos!$D$1:$D$996),"")</f>
        <v/>
      </c>
      <c r="H3115" s="334">
        <v>59.442408499999999</v>
      </c>
      <c r="I3115" s="335">
        <v>0</v>
      </c>
      <c r="J3115" s="335">
        <v>0</v>
      </c>
      <c r="K3115" s="335"/>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70</v>
      </c>
      <c r="C3116" s="10" t="s">
        <v>619</v>
      </c>
      <c r="D3116" s="10" t="s">
        <v>250</v>
      </c>
      <c r="E3116" s="11" t="str">
        <f t="array" ref="E3116">_xlfn.XLOOKUP(D3116,Insumos!B:B,Insumos!C:$C)</f>
        <v>M3</v>
      </c>
      <c r="F3116" s="14">
        <f>0.0243*3/2</f>
        <v>3.6449999999999996E-2</v>
      </c>
      <c r="G3116" s="87">
        <f t="array" ref="G3116">IF(B3116="insumo",_xlfn.XLOOKUP($D3116,Insumos!$B$1:$B$996,Insumos!$D$1:$D$996),"")</f>
        <v>604.73</v>
      </c>
      <c r="H3116" s="87">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70</v>
      </c>
      <c r="C3117" s="10" t="s">
        <v>619</v>
      </c>
      <c r="D3117" s="10" t="s">
        <v>618</v>
      </c>
      <c r="E3117" s="11" t="str">
        <f t="array" ref="E3117">_xlfn.XLOOKUP(D3117,Insumos!B:B,Insumos!C:$C)</f>
        <v>KG</v>
      </c>
      <c r="F3117" s="14">
        <v>4</v>
      </c>
      <c r="G3117" s="87">
        <f t="array" ref="G3117">IF(B3117="insumo",_xlfn.XLOOKUP($D3117,Insumos!$B$1:$B$996,Insumos!$D$1:$D$996),"")</f>
        <v>9.35</v>
      </c>
      <c r="H3117" s="87">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332">
        <v>1</v>
      </c>
      <c r="B3118" s="332" t="s">
        <v>67</v>
      </c>
      <c r="C3118" s="332" t="s">
        <v>620</v>
      </c>
      <c r="D3118" s="332" t="s">
        <v>620</v>
      </c>
      <c r="E3118" s="333" t="s">
        <v>69</v>
      </c>
      <c r="F3118" s="332"/>
      <c r="G3118" s="334" t="str">
        <f t="array" ref="G3118">IF(B3118="insumo",_xlfn.XLOOKUP($D3118,Insumos!$B$1:$B$996,Insumos!$D$1:$D$996),"")</f>
        <v/>
      </c>
      <c r="H3118" s="334">
        <v>12.624093333333301</v>
      </c>
      <c r="I3118" s="335" t="e">
        <v>#REF!</v>
      </c>
      <c r="J3118" s="335" t="e">
        <v>#REF!</v>
      </c>
      <c r="K3118" s="335"/>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70</v>
      </c>
      <c r="C3119" s="10" t="s">
        <v>620</v>
      </c>
      <c r="D3119" s="10" t="s">
        <v>444</v>
      </c>
      <c r="E3119" s="11" t="str">
        <f t="array" ref="E3119">_xlfn.XLOOKUP(D3119,Insumos!B:B,Insumos!C:$C)</f>
        <v>M3</v>
      </c>
      <c r="F3119" s="14">
        <v>2.2000000000000002E-2</v>
      </c>
      <c r="G3119" s="87">
        <f t="array" ref="G3119">IF(B3119="insumo",_xlfn.XLOOKUP($D3119,Insumos!$B$1:$B$996,Insumos!$D$1:$D$996),"")</f>
        <v>550</v>
      </c>
      <c r="H3119" s="87">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70</v>
      </c>
      <c r="C3120" s="10" t="s">
        <v>620</v>
      </c>
      <c r="D3120" s="10" t="s">
        <v>502</v>
      </c>
      <c r="E3120" s="11" t="str">
        <f t="array" ref="E3120">_xlfn.XLOOKUP(D3120,Insumos!B:B,Insumos!C:$C)</f>
        <v>L</v>
      </c>
      <c r="F3120" s="14">
        <v>1.4000000000000002E-2</v>
      </c>
      <c r="G3120" s="87">
        <f t="array" ref="G3120">IF(B3120="insumo",_xlfn.XLOOKUP($D3120,Insumos!$B$1:$B$996,Insumos!$D$1:$D$996),"")</f>
        <v>19.34</v>
      </c>
      <c r="H3120" s="87">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70</v>
      </c>
      <c r="C3121" s="10" t="s">
        <v>620</v>
      </c>
      <c r="D3121" s="10" t="s">
        <v>159</v>
      </c>
      <c r="E3121" s="11" t="str">
        <f t="array" ref="E3121">_xlfn.XLOOKUP(D3121,Insumos!B:B,Insumos!C:$C)</f>
        <v>KG</v>
      </c>
      <c r="F3121" s="14">
        <v>0.33333333333333337</v>
      </c>
      <c r="G3121" s="87">
        <f t="array" ref="G3121">IF(B3121="insumo",_xlfn.XLOOKUP($D3121,Insumos!$B$1:$B$996,Insumos!$D$1:$D$996),"")</f>
        <v>0.76</v>
      </c>
      <c r="H3121" s="87">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332">
        <v>1</v>
      </c>
      <c r="B3122" s="332" t="s">
        <v>67</v>
      </c>
      <c r="C3122" s="332" t="s">
        <v>621</v>
      </c>
      <c r="D3122" s="332" t="s">
        <v>621</v>
      </c>
      <c r="E3122" s="333" t="s">
        <v>69</v>
      </c>
      <c r="F3122" s="332"/>
      <c r="G3122" s="334" t="str">
        <f t="array" ref="G3122">IF(B3122="insumo",_xlfn.XLOOKUP($D3122,Insumos!$B$1:$B$996,Insumos!$D$1:$D$996),"")</f>
        <v/>
      </c>
      <c r="H3122" s="334">
        <v>33</v>
      </c>
      <c r="I3122" s="335">
        <v>0</v>
      </c>
      <c r="J3122" s="335">
        <v>0</v>
      </c>
      <c r="K3122" s="335"/>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70</v>
      </c>
      <c r="C3123" s="10" t="s">
        <v>621</v>
      </c>
      <c r="D3123" s="10" t="s">
        <v>444</v>
      </c>
      <c r="E3123" s="11" t="str">
        <f t="array" ref="E3123">_xlfn.XLOOKUP(D3123,Insumos!B:B,Insumos!C:$C)</f>
        <v>M3</v>
      </c>
      <c r="F3123" s="14">
        <v>0.06</v>
      </c>
      <c r="G3123" s="87">
        <f t="array" ref="G3123">IF(B3123="insumo",_xlfn.XLOOKUP($D3123,Insumos!$B$1:$B$996,Insumos!$D$1:$D$996),"")</f>
        <v>550</v>
      </c>
      <c r="H3123" s="87">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332">
        <v>1</v>
      </c>
      <c r="B3124" s="332" t="s">
        <v>67</v>
      </c>
      <c r="C3124" s="332" t="s">
        <v>622</v>
      </c>
      <c r="D3124" s="332" t="s">
        <v>622</v>
      </c>
      <c r="E3124" s="333" t="s">
        <v>69</v>
      </c>
      <c r="F3124" s="332"/>
      <c r="G3124" s="334" t="str">
        <f t="array" ref="G3124">IF(B3124="insumo",_xlfn.XLOOKUP($D3124,Insumos!$B$1:$B$996,Insumos!$D$1:$D$996),"")</f>
        <v/>
      </c>
      <c r="H3124" s="334">
        <v>182.79599999999999</v>
      </c>
      <c r="I3124" s="335">
        <v>0</v>
      </c>
      <c r="J3124" s="335">
        <v>0</v>
      </c>
      <c r="K3124" s="335"/>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70</v>
      </c>
      <c r="C3125" s="10" t="s">
        <v>622</v>
      </c>
      <c r="D3125" s="10" t="s">
        <v>128</v>
      </c>
      <c r="E3125" s="11" t="str">
        <f t="array" ref="E3125">_xlfn.XLOOKUP(D3125,Insumos!B:B,Insumos!C:$C)</f>
        <v>M3</v>
      </c>
      <c r="F3125" s="14">
        <v>1.125E-2</v>
      </c>
      <c r="G3125" s="87">
        <f t="array" ref="G3125">IF(B3125="insumo",_xlfn.XLOOKUP($D3125,Insumos!$B$1:$B$996,Insumos!$D$1:$D$996),"")</f>
        <v>1350</v>
      </c>
      <c r="H3125" s="87">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70</v>
      </c>
      <c r="C3126" s="10" t="s">
        <v>622</v>
      </c>
      <c r="D3126" s="10" t="s">
        <v>73</v>
      </c>
      <c r="E3126" s="11" t="str">
        <f t="array" ref="E3126">_xlfn.XLOOKUP(D3126,Insumos!B:B,Insumos!C:$C)</f>
        <v>M3</v>
      </c>
      <c r="F3126" s="14">
        <v>7.2900000000000006E-2</v>
      </c>
      <c r="G3126" s="87">
        <f t="array" ref="G3126">IF(B3126="insumo",_xlfn.XLOOKUP($D3126,Insumos!$B$1:$B$996,Insumos!$D$1:$D$996),"")</f>
        <v>490</v>
      </c>
      <c r="H3126" s="87">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70</v>
      </c>
      <c r="C3127" s="10" t="s">
        <v>622</v>
      </c>
      <c r="D3127" s="10" t="s">
        <v>623</v>
      </c>
      <c r="E3127" s="11" t="str">
        <f t="array" ref="E3127">_xlfn.XLOOKUP(D3127,Insumos!B:B,Insumos!C:$C)</f>
        <v>M3</v>
      </c>
      <c r="F3127" s="14">
        <v>1.8749999999999999E-2</v>
      </c>
      <c r="G3127" s="87">
        <f t="array" ref="G3127">IF(B3127="insumo",_xlfn.XLOOKUP($D3127,Insumos!$B$1:$B$996,Insumos!$D$1:$D$996),"")</f>
        <v>1050</v>
      </c>
      <c r="H3127" s="87">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70</v>
      </c>
      <c r="C3128" s="10" t="s">
        <v>622</v>
      </c>
      <c r="D3128" s="10" t="s">
        <v>618</v>
      </c>
      <c r="E3128" s="11" t="str">
        <f t="array" ref="E3128">_xlfn.XLOOKUP(D3128,Insumos!B:B,Insumos!C:$C)</f>
        <v>KG</v>
      </c>
      <c r="F3128" s="14">
        <v>12</v>
      </c>
      <c r="G3128" s="87">
        <f t="array" ref="G3128">IF(B3128="insumo",_xlfn.XLOOKUP($D3128,Insumos!$B$1:$B$996,Insumos!$D$1:$D$996),"")</f>
        <v>9.35</v>
      </c>
      <c r="H3128" s="87">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336">
        <v>1</v>
      </c>
      <c r="B3129" s="336" t="s">
        <v>67</v>
      </c>
      <c r="C3129" s="336" t="s">
        <v>1798</v>
      </c>
      <c r="D3129" s="336" t="s">
        <v>1798</v>
      </c>
      <c r="E3129" s="337" t="s">
        <v>69</v>
      </c>
      <c r="F3129" s="336"/>
      <c r="G3129" s="338" t="str">
        <f t="array" ref="G3129">IF(B3129="insumo",_xlfn.XLOOKUP($D3129,Insumos!$B$1:$B$996,Insumos!$D$1:$D$996),"")</f>
        <v/>
      </c>
      <c r="H3129" s="338">
        <v>77.366820666666698</v>
      </c>
      <c r="I3129" s="339" t="e">
        <v>#REF!</v>
      </c>
      <c r="J3129" s="339" t="e">
        <v>#REF!</v>
      </c>
      <c r="K3129" s="339"/>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77">
        <v>19</v>
      </c>
      <c r="B3130" s="77" t="s">
        <v>70</v>
      </c>
      <c r="C3130" s="77" t="s">
        <v>1798</v>
      </c>
      <c r="D3130" s="77" t="s">
        <v>128</v>
      </c>
      <c r="E3130" s="11" t="str">
        <f t="array" ref="E3130">_xlfn.XLOOKUP(D3130,Insumos!B:B,Insumos!C:$C)</f>
        <v>M3</v>
      </c>
      <c r="F3130" s="81">
        <v>4.4999999999999997E-3</v>
      </c>
      <c r="G3130" s="87">
        <f t="array" ref="G3130">IF(B3130="insumo",_xlfn.XLOOKUP($D3130,Insumos!$B$1:$B$996,Insumos!$D$1:$D$996),"")</f>
        <v>1350</v>
      </c>
      <c r="H3130" s="87">
        <v>6.0750000000000002</v>
      </c>
      <c r="I3130" s="79" t="e">
        <v>#REF!</v>
      </c>
      <c r="J3130" s="79" t="e">
        <v>#REF!</v>
      </c>
      <c r="K3130" s="79"/>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77">
        <v>9</v>
      </c>
      <c r="B3131" s="77" t="s">
        <v>70</v>
      </c>
      <c r="C3131" s="77" t="s">
        <v>1798</v>
      </c>
      <c r="D3131" s="77" t="s">
        <v>73</v>
      </c>
      <c r="E3131" s="11" t="str">
        <f t="array" ref="E3131">_xlfn.XLOOKUP(D3131,Insumos!B:B,Insumos!C:$C)</f>
        <v>M3</v>
      </c>
      <c r="F3131" s="81">
        <v>7.3899999999999993E-2</v>
      </c>
      <c r="G3131" s="87">
        <f t="array" ref="G3131">IF(B3131="insumo",_xlfn.XLOOKUP($D3131,Insumos!$B$1:$B$996,Insumos!$D$1:$D$996),"")</f>
        <v>490</v>
      </c>
      <c r="H3131" s="87">
        <v>36.210999999999999</v>
      </c>
      <c r="I3131" s="79" t="e">
        <v>#REF!</v>
      </c>
      <c r="J3131" s="79" t="e">
        <v>#REF!</v>
      </c>
      <c r="K3131" s="79"/>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77">
        <v>1</v>
      </c>
      <c r="B3132" s="77" t="s">
        <v>70</v>
      </c>
      <c r="C3132" s="77" t="s">
        <v>1798</v>
      </c>
      <c r="D3132" s="77" t="s">
        <v>1799</v>
      </c>
      <c r="E3132" s="11" t="str">
        <f t="array" ref="E3132">_xlfn.XLOOKUP(D3132,Insumos!B:B,Insumos!C:$C)</f>
        <v>KG</v>
      </c>
      <c r="F3132" s="81">
        <v>6.6699999999999995E-2</v>
      </c>
      <c r="G3132" s="87">
        <f t="array" ref="G3132">IF(B3132="insumo",_xlfn.XLOOKUP($D3132,Insumos!$B$1:$B$996,Insumos!$D$1:$D$996),"")</f>
        <v>21.666666666666668</v>
      </c>
      <c r="H3132" s="87">
        <v>1.44516666666667</v>
      </c>
      <c r="I3132" s="79" t="e">
        <v>#REF!</v>
      </c>
      <c r="J3132" s="79" t="e">
        <v>#REF!</v>
      </c>
      <c r="K3132" s="79"/>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77">
        <v>1</v>
      </c>
      <c r="B3133" s="77" t="s">
        <v>70</v>
      </c>
      <c r="C3133" s="77" t="s">
        <v>1798</v>
      </c>
      <c r="D3133" s="77" t="s">
        <v>1800</v>
      </c>
      <c r="E3133" s="11" t="str">
        <f t="array" ref="E3133">_xlfn.XLOOKUP(D3133,Insumos!B:B,Insumos!C:$C)</f>
        <v>M2</v>
      </c>
      <c r="F3133" s="81">
        <v>2.5000000000000001E-3</v>
      </c>
      <c r="G3133" s="87">
        <f t="array" ref="G3133">IF(B3133="insumo",_xlfn.XLOOKUP($D3133,Insumos!$B$1:$B$996,Insumos!$D$1:$D$996),"")</f>
        <v>650</v>
      </c>
      <c r="H3133" s="87">
        <v>1.625</v>
      </c>
      <c r="I3133" s="79" t="e">
        <v>#REF!</v>
      </c>
      <c r="J3133" s="79" t="e">
        <v>#REF!</v>
      </c>
      <c r="K3133" s="79"/>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77">
        <v>40</v>
      </c>
      <c r="B3134" s="77" t="s">
        <v>70</v>
      </c>
      <c r="C3134" s="77" t="s">
        <v>1798</v>
      </c>
      <c r="D3134" s="77" t="s">
        <v>86</v>
      </c>
      <c r="E3134" s="11" t="str">
        <f t="array" ref="E3134">_xlfn.XLOOKUP(D3134,Insumos!B:B,Insumos!C:$C)</f>
        <v>KG</v>
      </c>
      <c r="F3134" s="81">
        <v>2.4E-2</v>
      </c>
      <c r="G3134" s="87">
        <f t="array" ref="G3134">IF(B3134="insumo",_xlfn.XLOOKUP($D3134,Insumos!$B$1:$B$996,Insumos!$D$1:$D$996),"")</f>
        <v>18.13</v>
      </c>
      <c r="H3134" s="87">
        <v>0.43512000000000001</v>
      </c>
      <c r="I3134" s="79" t="e">
        <v>#REF!</v>
      </c>
      <c r="J3134" s="79" t="e">
        <v>#REF!</v>
      </c>
      <c r="K3134" s="79"/>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77">
        <v>1</v>
      </c>
      <c r="B3135" s="77" t="s">
        <v>70</v>
      </c>
      <c r="C3135" s="77" t="s">
        <v>1798</v>
      </c>
      <c r="D3135" s="77" t="s">
        <v>1801</v>
      </c>
      <c r="E3135" s="11" t="str">
        <f t="array" ref="E3135">_xlfn.XLOOKUP(D3135,Insumos!B:B,Insumos!C:$C)</f>
        <v>KG</v>
      </c>
      <c r="F3135" s="81">
        <v>1.7391000000000001</v>
      </c>
      <c r="G3135" s="87">
        <f t="array" ref="G3135">IF(B3135="insumo",_xlfn.XLOOKUP($D3135,Insumos!$B$1:$B$996,Insumos!$D$1:$D$996),"")</f>
        <v>15.780000000000001</v>
      </c>
      <c r="H3135" s="87">
        <v>27.442997999999999</v>
      </c>
      <c r="I3135" s="79" t="e">
        <v>#REF!</v>
      </c>
      <c r="J3135" s="79" t="e">
        <v>#REF!</v>
      </c>
      <c r="K3135" s="79"/>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77">
        <v>1</v>
      </c>
      <c r="B3136" s="77" t="s">
        <v>70</v>
      </c>
      <c r="C3136" s="77" t="s">
        <v>1798</v>
      </c>
      <c r="D3136" s="77" t="s">
        <v>1205</v>
      </c>
      <c r="E3136" s="11" t="str">
        <f t="array" ref="E3136">_xlfn.XLOOKUP(D3136,Insumos!B:B,Insumos!C:$C)</f>
        <v>L</v>
      </c>
      <c r="F3136" s="81">
        <v>0.1636</v>
      </c>
      <c r="G3136" s="87">
        <f t="array" ref="G3136">IF(B3136="insumo",_xlfn.XLOOKUP($D3136,Insumos!$B$1:$B$996,Insumos!$D$1:$D$996),"")</f>
        <v>25.26</v>
      </c>
      <c r="H3136" s="87">
        <v>4.132536</v>
      </c>
      <c r="I3136" s="79" t="e">
        <v>#REF!</v>
      </c>
      <c r="J3136" s="79" t="e">
        <v>#REF!</v>
      </c>
      <c r="K3136" s="79"/>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332">
        <v>1</v>
      </c>
      <c r="B3137" s="332" t="s">
        <v>67</v>
      </c>
      <c r="C3137" s="332" t="s">
        <v>624</v>
      </c>
      <c r="D3137" s="332" t="s">
        <v>624</v>
      </c>
      <c r="E3137" s="333" t="s">
        <v>69</v>
      </c>
      <c r="F3137" s="332"/>
      <c r="G3137" s="334" t="str">
        <f t="array" ref="G3137">IF(B3137="insumo",_xlfn.XLOOKUP($D3137,Insumos!$B$1:$B$996,Insumos!$D$1:$D$996),"")</f>
        <v/>
      </c>
      <c r="H3137" s="334">
        <v>75</v>
      </c>
      <c r="I3137" s="335">
        <v>0</v>
      </c>
      <c r="J3137" s="335">
        <v>0</v>
      </c>
      <c r="K3137" s="335"/>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70</v>
      </c>
      <c r="C3138" s="10" t="s">
        <v>624</v>
      </c>
      <c r="D3138" s="10" t="s">
        <v>624</v>
      </c>
      <c r="E3138" s="11" t="str">
        <f t="array" ref="E3138">_xlfn.XLOOKUP(D3138,Insumos!B:B,Insumos!C:$C)</f>
        <v>M2</v>
      </c>
      <c r="F3138" s="14">
        <v>1</v>
      </c>
      <c r="G3138" s="87">
        <f t="array" ref="G3138">IF(B3138="insumo",_xlfn.XLOOKUP($D3138,Insumos!$B$1:$B$996,Insumos!$D$1:$D$996),"")</f>
        <v>75</v>
      </c>
      <c r="H3138" s="87">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336">
        <v>1</v>
      </c>
      <c r="B3139" s="336" t="s">
        <v>67</v>
      </c>
      <c r="C3139" s="336" t="s">
        <v>1828</v>
      </c>
      <c r="D3139" s="336" t="s">
        <v>1828</v>
      </c>
      <c r="E3139" s="337" t="s">
        <v>69</v>
      </c>
      <c r="F3139" s="336"/>
      <c r="G3139" s="338" t="str">
        <f t="array" ref="G3139">IF(B3139="insumo",_xlfn.XLOOKUP($D3139,Insumos!$B$1:$B$996,Insumos!$D$1:$D$996),"")</f>
        <v/>
      </c>
      <c r="H3139" s="338">
        <v>138.044797111111</v>
      </c>
      <c r="I3139" s="339">
        <v>0</v>
      </c>
      <c r="J3139" s="339">
        <v>0</v>
      </c>
      <c r="K3139" s="339"/>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77">
        <v>2</v>
      </c>
      <c r="B3140" s="77" t="s">
        <v>70</v>
      </c>
      <c r="C3140" s="77" t="s">
        <v>1828</v>
      </c>
      <c r="D3140" s="77" t="s">
        <v>730</v>
      </c>
      <c r="E3140" s="11" t="str">
        <f t="array" ref="E3140">_xlfn.XLOOKUP(D3140,Insumos!B:B,Insumos!C:$C)</f>
        <v>M2</v>
      </c>
      <c r="F3140" s="81">
        <v>1.05</v>
      </c>
      <c r="G3140" s="87">
        <f t="array" ref="G3140">IF(B3140="insumo",_xlfn.XLOOKUP($D3140,Insumos!$B$1:$B$996,Insumos!$D$1:$D$996),"")</f>
        <v>122.96296296296295</v>
      </c>
      <c r="H3140" s="87">
        <v>129.111111111111</v>
      </c>
      <c r="I3140" s="79">
        <v>0</v>
      </c>
      <c r="J3140" s="79">
        <v>0</v>
      </c>
      <c r="K3140" s="79"/>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77">
        <v>8</v>
      </c>
      <c r="B3141" s="77" t="s">
        <v>70</v>
      </c>
      <c r="C3141" s="77" t="s">
        <v>1828</v>
      </c>
      <c r="D3141" s="77" t="s">
        <v>728</v>
      </c>
      <c r="E3141" s="11" t="str">
        <f t="array" ref="E3141">_xlfn.XLOOKUP(D3141,Insumos!B:B,Insumos!C:$C)</f>
        <v>M3</v>
      </c>
      <c r="F3141" s="81">
        <v>6.6E-3</v>
      </c>
      <c r="G3141" s="87">
        <f t="array" ref="G3141">IF(B3141="insumo",_xlfn.XLOOKUP($D3141,Insumos!$B$1:$B$996,Insumos!$D$1:$D$996),"")</f>
        <v>105.71</v>
      </c>
      <c r="H3141" s="87">
        <v>0.69768600000000003</v>
      </c>
      <c r="I3141" s="79">
        <v>0</v>
      </c>
      <c r="J3141" s="79">
        <v>0</v>
      </c>
      <c r="K3141" s="79"/>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77">
        <v>10</v>
      </c>
      <c r="B3142" s="77" t="s">
        <v>70</v>
      </c>
      <c r="C3142" s="77" t="s">
        <v>1828</v>
      </c>
      <c r="D3142" s="77" t="s">
        <v>442</v>
      </c>
      <c r="E3142" s="11" t="str">
        <f t="array" ref="E3142">_xlfn.XLOOKUP(D3142,Insumos!B:B,Insumos!C:$C)</f>
        <v>M3</v>
      </c>
      <c r="F3142" s="81">
        <v>5.6800000000000003E-2</v>
      </c>
      <c r="G3142" s="87">
        <f t="array" ref="G3142">IF(B3142="insumo",_xlfn.XLOOKUP($D3142,Insumos!$B$1:$B$996,Insumos!$D$1:$D$996),"")</f>
        <v>145</v>
      </c>
      <c r="H3142" s="87">
        <v>8.2360000000000007</v>
      </c>
      <c r="I3142" s="79">
        <v>0</v>
      </c>
      <c r="J3142" s="79">
        <v>0</v>
      </c>
      <c r="K3142" s="79"/>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355">
        <v>1</v>
      </c>
      <c r="B3143" s="355" t="s">
        <v>1227</v>
      </c>
      <c r="C3143" s="355" t="s">
        <v>1828</v>
      </c>
      <c r="D3143" s="355" t="s">
        <v>1447</v>
      </c>
      <c r="E3143" s="356"/>
      <c r="F3143" s="357"/>
      <c r="G3143" s="356"/>
      <c r="H3143" s="356">
        <v>0</v>
      </c>
      <c r="I3143" s="357">
        <v>0</v>
      </c>
      <c r="J3143" s="357">
        <v>0</v>
      </c>
      <c r="K3143" s="357"/>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332">
        <v>1</v>
      </c>
      <c r="B3144" s="332" t="s">
        <v>67</v>
      </c>
      <c r="C3144" s="332" t="s">
        <v>627</v>
      </c>
      <c r="D3144" s="332" t="s">
        <v>627</v>
      </c>
      <c r="E3144" s="333" t="s">
        <v>69</v>
      </c>
      <c r="F3144" s="332"/>
      <c r="G3144" s="334" t="str">
        <f t="array" ref="G3144">IF(B3144="insumo",_xlfn.XLOOKUP($D3144,Insumos!$B$1:$B$996,Insumos!$D$1:$D$996),"")</f>
        <v/>
      </c>
      <c r="H3144" s="334">
        <v>822.7</v>
      </c>
      <c r="I3144" s="335">
        <v>0</v>
      </c>
      <c r="J3144" s="335">
        <v>0</v>
      </c>
      <c r="K3144" s="335"/>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70</v>
      </c>
      <c r="C3145" s="10" t="s">
        <v>627</v>
      </c>
      <c r="D3145" s="10" t="s">
        <v>628</v>
      </c>
      <c r="E3145" s="11" t="str">
        <f t="array" ref="E3145">_xlfn.XLOOKUP(D3145,Insumos!B:B,Insumos!C:$C)</f>
        <v>M2</v>
      </c>
      <c r="F3145" s="14">
        <v>1.1000000000000001</v>
      </c>
      <c r="G3145" s="87">
        <f t="array" ref="G3145">IF(B3145="insumo",_xlfn.XLOOKUP($D3145,Insumos!$B$1:$B$996,Insumos!$D$1:$D$996),"")</f>
        <v>557</v>
      </c>
      <c r="H3145" s="87">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70</v>
      </c>
      <c r="C3146" s="10" t="s">
        <v>627</v>
      </c>
      <c r="D3146" s="10" t="s">
        <v>629</v>
      </c>
      <c r="E3146" s="11" t="str">
        <f t="array" ref="E3146">_xlfn.XLOOKUP(D3146,Insumos!B:B,Insumos!C:$C)</f>
        <v>M2</v>
      </c>
      <c r="F3146" s="14">
        <v>1</v>
      </c>
      <c r="G3146" s="87">
        <f t="array" ref="G3146">IF(B3146="insumo",_xlfn.XLOOKUP($D3146,Insumos!$B$1:$B$996,Insumos!$D$1:$D$996),"")</f>
        <v>210</v>
      </c>
      <c r="H3146" s="87">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332">
        <v>1</v>
      </c>
      <c r="B3147" s="332" t="s">
        <v>67</v>
      </c>
      <c r="C3147" s="332" t="s">
        <v>2546</v>
      </c>
      <c r="D3147" s="332" t="s">
        <v>2546</v>
      </c>
      <c r="E3147" s="333" t="s">
        <v>69</v>
      </c>
      <c r="F3147" s="332"/>
      <c r="G3147" s="334" t="str">
        <f t="array" ref="G3147">IF(B3147="insumo",_xlfn.XLOOKUP($D3147,Insumos!$B$1:$B$996,Insumos!$D$1:$D$996),"")</f>
        <v/>
      </c>
      <c r="H3147" s="334">
        <v>935</v>
      </c>
      <c r="I3147" s="335" t="e">
        <v>#REF!</v>
      </c>
      <c r="J3147" s="335" t="e">
        <v>#REF!</v>
      </c>
      <c r="K3147" s="335"/>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70</v>
      </c>
      <c r="C3148" s="10" t="s">
        <v>2546</v>
      </c>
      <c r="D3148" s="10" t="s">
        <v>2543</v>
      </c>
      <c r="E3148" s="11" t="str">
        <f t="array" ref="E3148">_xlfn.XLOOKUP(D3148,Insumos!B:B,Insumos!C:$C)</f>
        <v>M2</v>
      </c>
      <c r="F3148" s="14">
        <v>1.1000000000000001</v>
      </c>
      <c r="G3148" s="87">
        <f t="array" ref="G3148">IF(B3148="insumo",_xlfn.XLOOKUP($D3148,Insumos!$B$1:$B$996,Insumos!$D$1:$D$996),"")</f>
        <v>850</v>
      </c>
      <c r="H3148" s="87">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332">
        <v>1</v>
      </c>
      <c r="B3149" s="332" t="s">
        <v>67</v>
      </c>
      <c r="C3149" s="332" t="s">
        <v>2554</v>
      </c>
      <c r="D3149" s="332" t="s">
        <v>2554</v>
      </c>
      <c r="E3149" s="333" t="s">
        <v>69</v>
      </c>
      <c r="F3149" s="332"/>
      <c r="G3149" s="334" t="str">
        <f t="array" ref="G3149">IF(B3149="insumo",_xlfn.XLOOKUP($D3149,Insumos!$B$1:$B$996,Insumos!$D$1:$D$996),"")</f>
        <v/>
      </c>
      <c r="H3149" s="334">
        <v>1155</v>
      </c>
      <c r="I3149" s="335">
        <v>0</v>
      </c>
      <c r="J3149" s="335">
        <v>0</v>
      </c>
      <c r="K3149" s="335"/>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70</v>
      </c>
      <c r="C3150" s="10" t="s">
        <v>2554</v>
      </c>
      <c r="D3150" s="10" t="s">
        <v>2554</v>
      </c>
      <c r="E3150" s="11" t="str">
        <f t="array" ref="E3150">_xlfn.XLOOKUP(D3150,Insumos!B:B,Insumos!C:$C)</f>
        <v>M2</v>
      </c>
      <c r="F3150" s="14">
        <v>1.1000000000000001</v>
      </c>
      <c r="G3150" s="87">
        <f t="array" ref="G3150">IF(B3150="insumo",_xlfn.XLOOKUP($D3150,Insumos!$B$1:$B$996,Insumos!$D$1:$D$996),"")</f>
        <v>1050</v>
      </c>
      <c r="H3150" s="87">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332">
        <v>1</v>
      </c>
      <c r="B3151" s="332" t="s">
        <v>67</v>
      </c>
      <c r="C3151" s="332" t="s">
        <v>2555</v>
      </c>
      <c r="D3151" s="332" t="s">
        <v>2555</v>
      </c>
      <c r="E3151" s="333" t="s">
        <v>69</v>
      </c>
      <c r="F3151" s="332"/>
      <c r="G3151" s="334" t="str">
        <f t="array" ref="G3151">IF(B3151="insumo",_xlfn.XLOOKUP($D3151,Insumos!$B$1:$B$996,Insumos!$D$1:$D$996),"")</f>
        <v/>
      </c>
      <c r="H3151" s="334">
        <v>858</v>
      </c>
      <c r="I3151" s="335">
        <v>0</v>
      </c>
      <c r="J3151" s="335">
        <v>0</v>
      </c>
      <c r="K3151" s="335"/>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70</v>
      </c>
      <c r="C3152" s="10" t="s">
        <v>2555</v>
      </c>
      <c r="D3152" s="10" t="s">
        <v>2555</v>
      </c>
      <c r="E3152" s="11" t="str">
        <f t="array" ref="E3152">_xlfn.XLOOKUP(D3152,Insumos!B:B,Insumos!C:$C)</f>
        <v>M2</v>
      </c>
      <c r="F3152" s="14">
        <v>1.1000000000000001</v>
      </c>
      <c r="G3152" s="87">
        <f t="array" ref="G3152">IF(B3152="insumo",_xlfn.XLOOKUP($D3152,Insumos!$B$1:$B$996,Insumos!$D$1:$D$996),"")</f>
        <v>780</v>
      </c>
      <c r="H3152" s="87">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332">
        <v>1</v>
      </c>
      <c r="B3153" s="332" t="s">
        <v>67</v>
      </c>
      <c r="C3153" s="332" t="s">
        <v>2556</v>
      </c>
      <c r="D3153" s="332" t="s">
        <v>2556</v>
      </c>
      <c r="E3153" s="333" t="s">
        <v>69</v>
      </c>
      <c r="F3153" s="332"/>
      <c r="G3153" s="334" t="str">
        <f t="array" ref="G3153">IF(B3153="insumo",_xlfn.XLOOKUP($D3153,Insumos!$B$1:$B$996,Insumos!$D$1:$D$996),"")</f>
        <v/>
      </c>
      <c r="H3153" s="334">
        <v>1210</v>
      </c>
      <c r="I3153" s="335">
        <v>0</v>
      </c>
      <c r="J3153" s="335">
        <v>0</v>
      </c>
      <c r="K3153" s="335"/>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70</v>
      </c>
      <c r="C3154" s="10" t="s">
        <v>2556</v>
      </c>
      <c r="D3154" s="10" t="s">
        <v>2556</v>
      </c>
      <c r="E3154" s="11" t="str">
        <f t="array" ref="E3154">_xlfn.XLOOKUP(D3154,Insumos!B:B,Insumos!C:$C)</f>
        <v>M2</v>
      </c>
      <c r="F3154" s="14">
        <v>1.1000000000000001</v>
      </c>
      <c r="G3154" s="87">
        <f t="array" ref="G3154">IF(B3154="insumo",_xlfn.XLOOKUP($D3154,Insumos!$B$1:$B$996,Insumos!$D$1:$D$996),"")</f>
        <v>1100</v>
      </c>
      <c r="H3154" s="87">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332">
        <v>1</v>
      </c>
      <c r="B3155" s="332" t="s">
        <v>67</v>
      </c>
      <c r="C3155" s="332" t="s">
        <v>2557</v>
      </c>
      <c r="D3155" s="332" t="s">
        <v>2557</v>
      </c>
      <c r="E3155" s="333" t="s">
        <v>69</v>
      </c>
      <c r="F3155" s="332"/>
      <c r="G3155" s="334" t="str">
        <f t="array" ref="G3155">IF(B3155="insumo",_xlfn.XLOOKUP($D3155,Insumos!$B$1:$B$996,Insumos!$D$1:$D$996),"")</f>
        <v/>
      </c>
      <c r="H3155" s="334">
        <v>825</v>
      </c>
      <c r="I3155" s="335" t="e">
        <v>#REF!</v>
      </c>
      <c r="J3155" s="335" t="e">
        <v>#REF!</v>
      </c>
      <c r="K3155" s="335"/>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70</v>
      </c>
      <c r="C3156" s="10" t="s">
        <v>2557</v>
      </c>
      <c r="D3156" s="10" t="s">
        <v>2557</v>
      </c>
      <c r="E3156" s="11" t="str">
        <f t="array" ref="E3156">_xlfn.XLOOKUP(D3156,Insumos!B:B,Insumos!C:$C)</f>
        <v>M2</v>
      </c>
      <c r="F3156" s="14">
        <v>1.1000000000000001</v>
      </c>
      <c r="G3156" s="87">
        <f t="array" ref="G3156">IF(B3156="insumo",_xlfn.XLOOKUP($D3156,Insumos!$B$1:$B$996,Insumos!$D$1:$D$996),"")</f>
        <v>750</v>
      </c>
      <c r="H3156" s="87">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332">
        <v>1</v>
      </c>
      <c r="B3157" s="332" t="s">
        <v>67</v>
      </c>
      <c r="C3157" s="332" t="s">
        <v>2547</v>
      </c>
      <c r="D3157" s="332" t="s">
        <v>2547</v>
      </c>
      <c r="E3157" s="333" t="s">
        <v>69</v>
      </c>
      <c r="F3157" s="332"/>
      <c r="G3157" s="334" t="str">
        <f t="array" ref="G3157">IF(B3157="insumo",_xlfn.XLOOKUP($D3157,Insumos!$B$1:$B$996,Insumos!$D$1:$D$996),"")</f>
        <v/>
      </c>
      <c r="H3157" s="334">
        <v>870</v>
      </c>
      <c r="I3157" s="335">
        <v>0</v>
      </c>
      <c r="J3157" s="335">
        <v>0</v>
      </c>
      <c r="K3157" s="335"/>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70</v>
      </c>
      <c r="C3158" s="10" t="s">
        <v>2547</v>
      </c>
      <c r="D3158" s="10" t="s">
        <v>2540</v>
      </c>
      <c r="E3158" s="11" t="str">
        <f t="array" ref="E3158">_xlfn.XLOOKUP(D3158,Insumos!B:B,Insumos!C:$C)</f>
        <v>M2</v>
      </c>
      <c r="F3158" s="14">
        <v>1.1000000000000001</v>
      </c>
      <c r="G3158" s="87">
        <f t="array" ref="G3158">IF(B3158="insumo",_xlfn.XLOOKUP($D3158,Insumos!$B$1:$B$996,Insumos!$D$1:$D$996),"")</f>
        <v>600</v>
      </c>
      <c r="H3158" s="87">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70</v>
      </c>
      <c r="C3159" s="10" t="s">
        <v>2547</v>
      </c>
      <c r="D3159" s="10" t="s">
        <v>2548</v>
      </c>
      <c r="E3159" s="11" t="str">
        <f t="array" ref="E3159">_xlfn.XLOOKUP(D3159,Insumos!B:B,Insumos!C:$C)</f>
        <v>M2</v>
      </c>
      <c r="F3159" s="14">
        <v>1</v>
      </c>
      <c r="G3159" s="87">
        <f t="array" ref="G3159">IF(B3159="insumo",_xlfn.XLOOKUP($D3159,Insumos!$B$1:$B$996,Insumos!$D$1:$D$996),"")</f>
        <v>210</v>
      </c>
      <c r="H3159" s="87">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332">
        <v>1</v>
      </c>
      <c r="B3160" s="332" t="s">
        <v>67</v>
      </c>
      <c r="C3160" s="332" t="s">
        <v>2549</v>
      </c>
      <c r="D3160" s="332" t="s">
        <v>2549</v>
      </c>
      <c r="E3160" s="333" t="s">
        <v>69</v>
      </c>
      <c r="F3160" s="332"/>
      <c r="G3160" s="334" t="str">
        <f t="array" ref="G3160">IF(B3160="insumo",_xlfn.XLOOKUP($D3160,Insumos!$B$1:$B$996,Insumos!$D$1:$D$996),"")</f>
        <v/>
      </c>
      <c r="H3160" s="334">
        <v>859</v>
      </c>
      <c r="I3160" s="335" t="e">
        <v>#REF!</v>
      </c>
      <c r="J3160" s="335" t="e">
        <v>#REF!</v>
      </c>
      <c r="K3160" s="335"/>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70</v>
      </c>
      <c r="C3161" s="10" t="s">
        <v>2549</v>
      </c>
      <c r="D3161" s="10" t="s">
        <v>2539</v>
      </c>
      <c r="E3161" s="11" t="str">
        <f t="array" ref="E3161">_xlfn.XLOOKUP(D3161,Insumos!B:B,Insumos!C:$C)</f>
        <v>M2</v>
      </c>
      <c r="F3161" s="14">
        <v>1.1000000000000001</v>
      </c>
      <c r="G3161" s="87">
        <f t="array" ref="G3161">IF(B3161="insumo",_xlfn.XLOOKUP($D3161,Insumos!$B$1:$B$996,Insumos!$D$1:$D$996),"")</f>
        <v>590</v>
      </c>
      <c r="H3161" s="87">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70</v>
      </c>
      <c r="C3162" s="10" t="s">
        <v>2549</v>
      </c>
      <c r="D3162" s="10" t="s">
        <v>2548</v>
      </c>
      <c r="E3162" s="11" t="str">
        <f t="array" ref="E3162">_xlfn.XLOOKUP(D3162,Insumos!B:B,Insumos!C:$C)</f>
        <v>M2</v>
      </c>
      <c r="F3162" s="14">
        <v>1</v>
      </c>
      <c r="G3162" s="87">
        <f t="array" ref="G3162">IF(B3162="insumo",_xlfn.XLOOKUP($D3162,Insumos!$B$1:$B$996,Insumos!$D$1:$D$996),"")</f>
        <v>210</v>
      </c>
      <c r="H3162" s="87">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332">
        <v>1</v>
      </c>
      <c r="B3163" s="332" t="s">
        <v>67</v>
      </c>
      <c r="C3163" s="332" t="s">
        <v>2550</v>
      </c>
      <c r="D3163" s="332" t="s">
        <v>2550</v>
      </c>
      <c r="E3163" s="333" t="s">
        <v>69</v>
      </c>
      <c r="F3163" s="332"/>
      <c r="G3163" s="334" t="str">
        <f t="array" ref="G3163">IF(B3163="insumo",_xlfn.XLOOKUP($D3163,Insumos!$B$1:$B$996,Insumos!$D$1:$D$996),"")</f>
        <v/>
      </c>
      <c r="H3163" s="334">
        <v>859</v>
      </c>
      <c r="I3163" s="335" t="e">
        <v>#REF!</v>
      </c>
      <c r="J3163" s="335" t="e">
        <v>#REF!</v>
      </c>
      <c r="K3163" s="335"/>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70</v>
      </c>
      <c r="C3164" s="10" t="s">
        <v>2550</v>
      </c>
      <c r="D3164" s="10" t="s">
        <v>2541</v>
      </c>
      <c r="E3164" s="11" t="str">
        <f t="array" ref="E3164">_xlfn.XLOOKUP(D3164,Insumos!B:B,Insumos!C:$C)</f>
        <v>M2</v>
      </c>
      <c r="F3164" s="14">
        <v>1.1000000000000001</v>
      </c>
      <c r="G3164" s="87">
        <f t="array" ref="G3164">IF(B3164="insumo",_xlfn.XLOOKUP($D3164,Insumos!$B$1:$B$996,Insumos!$D$1:$D$996),"")</f>
        <v>590</v>
      </c>
      <c r="H3164" s="87">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70</v>
      </c>
      <c r="C3165" s="10" t="s">
        <v>2550</v>
      </c>
      <c r="D3165" s="10" t="s">
        <v>2548</v>
      </c>
      <c r="E3165" s="11" t="str">
        <f t="array" ref="E3165">_xlfn.XLOOKUP(D3165,Insumos!B:B,Insumos!C:$C)</f>
        <v>M2</v>
      </c>
      <c r="F3165" s="14">
        <v>1</v>
      </c>
      <c r="G3165" s="87">
        <f t="array" ref="G3165">IF(B3165="insumo",_xlfn.XLOOKUP($D3165,Insumos!$B$1:$B$996,Insumos!$D$1:$D$996),"")</f>
        <v>210</v>
      </c>
      <c r="H3165" s="87">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332">
        <v>1</v>
      </c>
      <c r="B3166" s="332" t="s">
        <v>67</v>
      </c>
      <c r="C3166" s="332" t="s">
        <v>2551</v>
      </c>
      <c r="D3166" s="332" t="s">
        <v>2551</v>
      </c>
      <c r="E3166" s="333" t="s">
        <v>69</v>
      </c>
      <c r="F3166" s="332"/>
      <c r="G3166" s="334" t="str">
        <f t="array" ref="G3166">IF(B3166="insumo",_xlfn.XLOOKUP($D3166,Insumos!$B$1:$B$996,Insumos!$D$1:$D$996),"")</f>
        <v/>
      </c>
      <c r="H3166" s="334">
        <v>1145</v>
      </c>
      <c r="I3166" s="335">
        <v>0</v>
      </c>
      <c r="J3166" s="335">
        <v>0</v>
      </c>
      <c r="K3166" s="335"/>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70</v>
      </c>
      <c r="C3167" s="10" t="s">
        <v>2551</v>
      </c>
      <c r="D3167" s="10" t="s">
        <v>2542</v>
      </c>
      <c r="E3167" s="11" t="str">
        <f t="array" ref="E3167">_xlfn.XLOOKUP(D3167,Insumos!B:B,Insumos!C:$C)</f>
        <v>M2</v>
      </c>
      <c r="F3167" s="14">
        <v>1.1000000000000001</v>
      </c>
      <c r="G3167" s="87">
        <f t="array" ref="G3167">IF(B3167="insumo",_xlfn.XLOOKUP($D3167,Insumos!$B$1:$B$996,Insumos!$D$1:$D$996),"")</f>
        <v>850</v>
      </c>
      <c r="H3167" s="87">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70</v>
      </c>
      <c r="C3168" s="10" t="s">
        <v>2551</v>
      </c>
      <c r="D3168" s="10" t="s">
        <v>2548</v>
      </c>
      <c r="E3168" s="11" t="str">
        <f t="array" ref="E3168">_xlfn.XLOOKUP(D3168,Insumos!B:B,Insumos!C:$C)</f>
        <v>M2</v>
      </c>
      <c r="F3168" s="14">
        <v>1</v>
      </c>
      <c r="G3168" s="87">
        <f t="array" ref="G3168">IF(B3168="insumo",_xlfn.XLOOKUP($D3168,Insumos!$B$1:$B$996,Insumos!$D$1:$D$996),"")</f>
        <v>210</v>
      </c>
      <c r="H3168" s="87">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332">
        <v>1</v>
      </c>
      <c r="B3169" s="332" t="s">
        <v>67</v>
      </c>
      <c r="C3169" s="332" t="s">
        <v>2552</v>
      </c>
      <c r="D3169" s="332" t="s">
        <v>2552</v>
      </c>
      <c r="E3169" s="333" t="s">
        <v>69</v>
      </c>
      <c r="F3169" s="332"/>
      <c r="G3169" s="334" t="str">
        <f t="array" ref="G3169">IF(B3169="insumo",_xlfn.XLOOKUP($D3169,Insumos!$B$1:$B$996,Insumos!$D$1:$D$996),"")</f>
        <v/>
      </c>
      <c r="H3169" s="334">
        <v>1200</v>
      </c>
      <c r="I3169" s="335" t="e">
        <v>#REF!</v>
      </c>
      <c r="J3169" s="335" t="e">
        <v>#REF!</v>
      </c>
      <c r="K3169" s="335"/>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70</v>
      </c>
      <c r="C3170" s="10" t="s">
        <v>2552</v>
      </c>
      <c r="D3170" s="10" t="s">
        <v>2544</v>
      </c>
      <c r="E3170" s="11" t="str">
        <f t="array" ref="E3170">_xlfn.XLOOKUP(D3170,Insumos!B:B,Insumos!C:$C)</f>
        <v>M2</v>
      </c>
      <c r="F3170" s="14">
        <v>1.1000000000000001</v>
      </c>
      <c r="G3170" s="87">
        <f t="array" ref="G3170">IF(B3170="insumo",_xlfn.XLOOKUP($D3170,Insumos!$B$1:$B$996,Insumos!$D$1:$D$996),"")</f>
        <v>900</v>
      </c>
      <c r="H3170" s="87">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70</v>
      </c>
      <c r="C3171" s="10" t="s">
        <v>2552</v>
      </c>
      <c r="D3171" s="10" t="s">
        <v>2548</v>
      </c>
      <c r="E3171" s="11" t="str">
        <f t="array" ref="E3171">_xlfn.XLOOKUP(D3171,Insumos!B:B,Insumos!C:$C)</f>
        <v>M2</v>
      </c>
      <c r="F3171" s="14">
        <v>1</v>
      </c>
      <c r="G3171" s="87">
        <f t="array" ref="G3171">IF(B3171="insumo",_xlfn.XLOOKUP($D3171,Insumos!$B$1:$B$996,Insumos!$D$1:$D$996),"")</f>
        <v>210</v>
      </c>
      <c r="H3171" s="87">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332">
        <v>1</v>
      </c>
      <c r="B3172" s="332" t="s">
        <v>67</v>
      </c>
      <c r="C3172" s="332" t="s">
        <v>2553</v>
      </c>
      <c r="D3172" s="332" t="s">
        <v>2553</v>
      </c>
      <c r="E3172" s="333" t="s">
        <v>69</v>
      </c>
      <c r="F3172" s="332"/>
      <c r="G3172" s="334" t="str">
        <f t="array" ref="G3172">IF(B3172="insumo",_xlfn.XLOOKUP($D3172,Insumos!$B$1:$B$996,Insumos!$D$1:$D$996),"")</f>
        <v/>
      </c>
      <c r="H3172" s="334">
        <v>1145</v>
      </c>
      <c r="I3172" s="335">
        <v>0</v>
      </c>
      <c r="J3172" s="335">
        <v>0</v>
      </c>
      <c r="K3172" s="335"/>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70</v>
      </c>
      <c r="C3173" s="10" t="s">
        <v>2553</v>
      </c>
      <c r="D3173" s="10" t="s">
        <v>2545</v>
      </c>
      <c r="E3173" s="11" t="str">
        <f t="array" ref="E3173">_xlfn.XLOOKUP(D3173,Insumos!B:B,Insumos!C:$C)</f>
        <v>M2</v>
      </c>
      <c r="F3173" s="14">
        <v>1.1000000000000001</v>
      </c>
      <c r="G3173" s="87">
        <f t="array" ref="G3173">IF(B3173="insumo",_xlfn.XLOOKUP($D3173,Insumos!$B$1:$B$996,Insumos!$D$1:$D$996),"")</f>
        <v>850</v>
      </c>
      <c r="H3173" s="87">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70</v>
      </c>
      <c r="C3174" s="10" t="s">
        <v>2553</v>
      </c>
      <c r="D3174" s="10" t="s">
        <v>629</v>
      </c>
      <c r="E3174" s="11" t="str">
        <f t="array" ref="E3174">_xlfn.XLOOKUP(D3174,Insumos!B:B,Insumos!C:$C)</f>
        <v>M2</v>
      </c>
      <c r="F3174" s="14">
        <v>1</v>
      </c>
      <c r="G3174" s="87">
        <f t="array" ref="G3174">IF(B3174="insumo",_xlfn.XLOOKUP($D3174,Insumos!$B$1:$B$996,Insumos!$D$1:$D$996),"")</f>
        <v>210</v>
      </c>
      <c r="H3174" s="87">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332">
        <v>1</v>
      </c>
      <c r="B3175" s="332" t="s">
        <v>67</v>
      </c>
      <c r="C3175" s="346" t="s">
        <v>630</v>
      </c>
      <c r="D3175" s="346" t="s">
        <v>630</v>
      </c>
      <c r="E3175" s="333" t="s">
        <v>69</v>
      </c>
      <c r="F3175" s="346"/>
      <c r="G3175" s="334" t="str">
        <f t="array" ref="G3175">IF(B3175="insumo",_xlfn.XLOOKUP($D3175,Insumos!$B$1:$B$996,Insumos!$D$1:$D$996),"")</f>
        <v/>
      </c>
      <c r="H3175" s="334">
        <v>138.4</v>
      </c>
      <c r="I3175" s="347">
        <v>0</v>
      </c>
      <c r="J3175" s="347">
        <v>0</v>
      </c>
      <c r="K3175" s="347"/>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70</v>
      </c>
      <c r="C3176" s="10" t="s">
        <v>630</v>
      </c>
      <c r="D3176" s="10" t="s">
        <v>631</v>
      </c>
      <c r="E3176" s="11" t="str">
        <f t="array" ref="E3176">_xlfn.XLOOKUP(D3176,Insumos!B:B,Insumos!C:$C)</f>
        <v>M2</v>
      </c>
      <c r="F3176" s="14">
        <v>1</v>
      </c>
      <c r="G3176" s="87">
        <f t="array" ref="G3176">IF(B3176="insumo",_xlfn.XLOOKUP($D3176,Insumos!$B$1:$B$996,Insumos!$D$1:$D$996),"")</f>
        <v>138.4</v>
      </c>
      <c r="H3176" s="87">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336">
        <v>1</v>
      </c>
      <c r="B3177" s="336" t="s">
        <v>67</v>
      </c>
      <c r="C3177" s="336" t="s">
        <v>2571</v>
      </c>
      <c r="D3177" s="336" t="s">
        <v>2571</v>
      </c>
      <c r="E3177" s="337" t="s">
        <v>69</v>
      </c>
      <c r="F3177" s="336"/>
      <c r="G3177" s="338" t="str">
        <f t="array" ref="G3177">IF(B3177="insumo",_xlfn.XLOOKUP($D3177,Insumos!$B$1:$B$996,Insumos!$D$1:$D$996),"")</f>
        <v/>
      </c>
      <c r="H3177" s="338">
        <v>540</v>
      </c>
      <c r="I3177" s="339" t="e">
        <v>#REF!</v>
      </c>
      <c r="J3177" s="339" t="e">
        <v>#REF!</v>
      </c>
      <c r="K3177" s="339"/>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77">
        <v>1</v>
      </c>
      <c r="B3178" s="77" t="s">
        <v>70</v>
      </c>
      <c r="C3178" s="10" t="s">
        <v>2571</v>
      </c>
      <c r="D3178" s="10" t="s">
        <v>2571</v>
      </c>
      <c r="E3178" s="11" t="str">
        <f t="array" ref="E3178">_xlfn.XLOOKUP(D3178,Insumos!B:B,Insumos!C:$C)</f>
        <v>M2</v>
      </c>
      <c r="F3178" s="81">
        <v>1</v>
      </c>
      <c r="G3178" s="87">
        <f t="array" ref="G3178">IF(B3178="insumo",_xlfn.XLOOKUP($D3178,Insumos!$B$1:$B$996,Insumos!$D$1:$D$996),"")</f>
        <v>540</v>
      </c>
      <c r="H3178" s="87">
        <v>540</v>
      </c>
      <c r="I3178" s="79" t="e">
        <v>#REF!</v>
      </c>
      <c r="J3178" s="79" t="e">
        <v>#REF!</v>
      </c>
      <c r="K3178" s="79"/>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336">
        <v>1</v>
      </c>
      <c r="B3179" s="336" t="s">
        <v>67</v>
      </c>
      <c r="C3179" s="336" t="s">
        <v>2572</v>
      </c>
      <c r="D3179" s="336" t="s">
        <v>2572</v>
      </c>
      <c r="E3179" s="337" t="s">
        <v>69</v>
      </c>
      <c r="F3179" s="336"/>
      <c r="G3179" s="338" t="str">
        <f t="array" ref="G3179">IF(B3179="insumo",_xlfn.XLOOKUP($D3179,Insumos!$B$1:$B$996,Insumos!$D$1:$D$996),"")</f>
        <v/>
      </c>
      <c r="H3179" s="338">
        <v>610</v>
      </c>
      <c r="I3179" s="339" t="e">
        <v>#REF!</v>
      </c>
      <c r="J3179" s="339" t="e">
        <v>#REF!</v>
      </c>
      <c r="K3179" s="339"/>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77">
        <v>1</v>
      </c>
      <c r="B3180" s="77" t="s">
        <v>70</v>
      </c>
      <c r="C3180" s="10" t="s">
        <v>2572</v>
      </c>
      <c r="D3180" s="10" t="s">
        <v>2572</v>
      </c>
      <c r="E3180" s="11" t="str">
        <f t="array" ref="E3180">_xlfn.XLOOKUP(D3180,Insumos!B:B,Insumos!C:$C)</f>
        <v>M2</v>
      </c>
      <c r="F3180" s="81">
        <v>1</v>
      </c>
      <c r="G3180" s="87">
        <f t="array" ref="G3180">IF(B3180="insumo",_xlfn.XLOOKUP($D3180,Insumos!$B$1:$B$996,Insumos!$D$1:$D$996),"")</f>
        <v>610</v>
      </c>
      <c r="H3180" s="87">
        <v>610</v>
      </c>
      <c r="I3180" s="79" t="e">
        <v>#REF!</v>
      </c>
      <c r="J3180" s="79" t="e">
        <v>#REF!</v>
      </c>
      <c r="K3180" s="79"/>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336">
        <v>1</v>
      </c>
      <c r="B3181" s="336" t="s">
        <v>67</v>
      </c>
      <c r="C3181" s="336" t="s">
        <v>1756</v>
      </c>
      <c r="D3181" s="336" t="s">
        <v>1756</v>
      </c>
      <c r="E3181" s="337" t="s">
        <v>69</v>
      </c>
      <c r="F3181" s="336"/>
      <c r="G3181" s="338" t="str">
        <f t="array" ref="G3181">IF(B3181="insumo",_xlfn.XLOOKUP($D3181,Insumos!$B$1:$B$996,Insumos!$D$1:$D$996),"")</f>
        <v/>
      </c>
      <c r="H3181" s="338">
        <v>160</v>
      </c>
      <c r="I3181" s="339">
        <v>0</v>
      </c>
      <c r="J3181" s="339">
        <v>0</v>
      </c>
      <c r="K3181" s="339"/>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77">
        <v>1</v>
      </c>
      <c r="B3182" s="77" t="s">
        <v>70</v>
      </c>
      <c r="C3182" s="77" t="s">
        <v>1756</v>
      </c>
      <c r="D3182" s="77" t="s">
        <v>1756</v>
      </c>
      <c r="E3182" s="11" t="str">
        <f t="array" ref="E3182">_xlfn.XLOOKUP(D3182,Insumos!B:B,Insumos!C:$C)</f>
        <v>M2</v>
      </c>
      <c r="F3182" s="81">
        <v>1</v>
      </c>
      <c r="G3182" s="87">
        <f t="array" ref="G3182">IF(B3182="insumo",_xlfn.XLOOKUP($D3182,Insumos!$B$1:$B$996,Insumos!$D$1:$D$996),"")</f>
        <v>160</v>
      </c>
      <c r="H3182" s="87">
        <v>160</v>
      </c>
      <c r="I3182" s="79">
        <v>0</v>
      </c>
      <c r="J3182" s="79">
        <v>0</v>
      </c>
      <c r="K3182" s="79"/>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336">
        <v>1</v>
      </c>
      <c r="B3183" s="336" t="s">
        <v>67</v>
      </c>
      <c r="C3183" s="336" t="s">
        <v>1759</v>
      </c>
      <c r="D3183" s="336" t="s">
        <v>1759</v>
      </c>
      <c r="E3183" s="337" t="s">
        <v>69</v>
      </c>
      <c r="F3183" s="336"/>
      <c r="G3183" s="338" t="str">
        <f t="array" ref="G3183">IF(B3183="insumo",_xlfn.XLOOKUP($D3183,Insumos!$B$1:$B$996,Insumos!$D$1:$D$996),"")</f>
        <v/>
      </c>
      <c r="H3183" s="338">
        <v>200</v>
      </c>
      <c r="I3183" s="339">
        <v>0</v>
      </c>
      <c r="J3183" s="339">
        <v>0</v>
      </c>
      <c r="K3183" s="339"/>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77">
        <v>1</v>
      </c>
      <c r="B3184" s="77" t="s">
        <v>70</v>
      </c>
      <c r="C3184" s="77" t="s">
        <v>1759</v>
      </c>
      <c r="D3184" s="77" t="s">
        <v>1759</v>
      </c>
      <c r="E3184" s="11" t="str">
        <f t="array" ref="E3184">_xlfn.XLOOKUP(D3184,Insumos!B:B,Insumos!C:$C)</f>
        <v>M2</v>
      </c>
      <c r="F3184" s="81">
        <v>1</v>
      </c>
      <c r="G3184" s="87">
        <f t="array" ref="G3184">IF(B3184="insumo",_xlfn.XLOOKUP($D3184,Insumos!$B$1:$B$996,Insumos!$D$1:$D$996),"")</f>
        <v>200</v>
      </c>
      <c r="H3184" s="87">
        <v>200</v>
      </c>
      <c r="I3184" s="79">
        <v>0</v>
      </c>
      <c r="J3184" s="79">
        <v>0</v>
      </c>
      <c r="K3184" s="79"/>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336">
        <v>1</v>
      </c>
      <c r="B3185" s="336" t="s">
        <v>67</v>
      </c>
      <c r="C3185" s="336" t="s">
        <v>1760</v>
      </c>
      <c r="D3185" s="336" t="s">
        <v>1760</v>
      </c>
      <c r="E3185" s="337" t="s">
        <v>69</v>
      </c>
      <c r="F3185" s="336"/>
      <c r="G3185" s="338" t="str">
        <f t="array" ref="G3185">IF(B3185="insumo",_xlfn.XLOOKUP($D3185,Insumos!$B$1:$B$996,Insumos!$D$1:$D$996),"")</f>
        <v/>
      </c>
      <c r="H3185" s="338">
        <v>250</v>
      </c>
      <c r="I3185" s="339">
        <v>0</v>
      </c>
      <c r="J3185" s="339">
        <v>0</v>
      </c>
      <c r="K3185" s="339"/>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77">
        <v>1</v>
      </c>
      <c r="B3186" s="77" t="s">
        <v>70</v>
      </c>
      <c r="C3186" s="77" t="s">
        <v>1760</v>
      </c>
      <c r="D3186" s="77" t="s">
        <v>1760</v>
      </c>
      <c r="E3186" s="11" t="str">
        <f t="array" ref="E3186">_xlfn.XLOOKUP(D3186,Insumos!B:B,Insumos!C:$C)</f>
        <v>M2</v>
      </c>
      <c r="F3186" s="81">
        <v>1</v>
      </c>
      <c r="G3186" s="87">
        <f t="array" ref="G3186">IF(B3186="insumo",_xlfn.XLOOKUP($D3186,Insumos!$B$1:$B$996,Insumos!$D$1:$D$996),"")</f>
        <v>250</v>
      </c>
      <c r="H3186" s="87">
        <v>250</v>
      </c>
      <c r="I3186" s="79">
        <v>0</v>
      </c>
      <c r="J3186" s="79">
        <v>0</v>
      </c>
      <c r="K3186" s="79"/>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336">
        <v>1</v>
      </c>
      <c r="B3187" s="336" t="s">
        <v>67</v>
      </c>
      <c r="C3187" s="336" t="s">
        <v>1761</v>
      </c>
      <c r="D3187" s="336" t="s">
        <v>1761</v>
      </c>
      <c r="E3187" s="337" t="s">
        <v>69</v>
      </c>
      <c r="F3187" s="336"/>
      <c r="G3187" s="338" t="str">
        <f t="array" ref="G3187">IF(B3187="insumo",_xlfn.XLOOKUP($D3187,Insumos!$B$1:$B$996,Insumos!$D$1:$D$996),"")</f>
        <v/>
      </c>
      <c r="H3187" s="338">
        <v>320</v>
      </c>
      <c r="I3187" s="339">
        <v>0</v>
      </c>
      <c r="J3187" s="339">
        <v>0</v>
      </c>
      <c r="K3187" s="339"/>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77">
        <v>1</v>
      </c>
      <c r="B3188" s="77" t="s">
        <v>70</v>
      </c>
      <c r="C3188" s="77" t="s">
        <v>1761</v>
      </c>
      <c r="D3188" s="77" t="s">
        <v>1761</v>
      </c>
      <c r="E3188" s="11" t="str">
        <f t="array" ref="E3188">_xlfn.XLOOKUP(D3188,Insumos!B:B,Insumos!C:$C)</f>
        <v>M2</v>
      </c>
      <c r="F3188" s="81">
        <v>1</v>
      </c>
      <c r="G3188" s="87">
        <f t="array" ref="G3188">IF(B3188="insumo",_xlfn.XLOOKUP($D3188,Insumos!$B$1:$B$996,Insumos!$D$1:$D$996),"")</f>
        <v>320</v>
      </c>
      <c r="H3188" s="87">
        <v>320</v>
      </c>
      <c r="I3188" s="79">
        <v>0</v>
      </c>
      <c r="J3188" s="79">
        <v>0</v>
      </c>
      <c r="K3188" s="79"/>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336">
        <v>1</v>
      </c>
      <c r="B3189" s="336" t="s">
        <v>67</v>
      </c>
      <c r="C3189" s="336" t="s">
        <v>1750</v>
      </c>
      <c r="D3189" s="336" t="s">
        <v>1750</v>
      </c>
      <c r="E3189" s="337" t="s">
        <v>69</v>
      </c>
      <c r="F3189" s="336"/>
      <c r="G3189" s="338" t="str">
        <f t="array" ref="G3189">IF(B3189="insumo",_xlfn.XLOOKUP($D3189,Insumos!$B$1:$B$996,Insumos!$D$1:$D$996),"")</f>
        <v/>
      </c>
      <c r="H3189" s="338">
        <v>529.65</v>
      </c>
      <c r="I3189" s="339">
        <v>0</v>
      </c>
      <c r="J3189" s="339">
        <v>0</v>
      </c>
      <c r="K3189" s="339"/>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77">
        <v>1</v>
      </c>
      <c r="B3190" s="77" t="s">
        <v>70</v>
      </c>
      <c r="C3190" s="77" t="s">
        <v>1750</v>
      </c>
      <c r="D3190" s="77" t="s">
        <v>1750</v>
      </c>
      <c r="E3190" s="11" t="str">
        <f t="array" ref="E3190">_xlfn.XLOOKUP(D3190,Insumos!B:B,Insumos!C:$C)</f>
        <v>M2</v>
      </c>
      <c r="F3190" s="85">
        <v>1.1000000000000001</v>
      </c>
      <c r="G3190" s="87">
        <f t="array" ref="G3190">IF(B3190="insumo",_xlfn.XLOOKUP($D3190,Insumos!$B$1:$B$996,Insumos!$D$1:$D$996),"")</f>
        <v>481.5</v>
      </c>
      <c r="H3190" s="87">
        <v>529.65</v>
      </c>
      <c r="I3190" s="79">
        <v>0</v>
      </c>
      <c r="J3190" s="79">
        <v>0</v>
      </c>
      <c r="K3190" s="79"/>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332">
        <v>1</v>
      </c>
      <c r="B3191" s="332" t="s">
        <v>67</v>
      </c>
      <c r="C3191" s="346" t="s">
        <v>1491</v>
      </c>
      <c r="D3191" s="346" t="s">
        <v>1491</v>
      </c>
      <c r="E3191" s="333" t="s">
        <v>69</v>
      </c>
      <c r="F3191" s="346"/>
      <c r="G3191" s="334" t="str">
        <f t="array" ref="G3191">IF(B3191="insumo",_xlfn.XLOOKUP($D3191,Insumos!$B$1:$B$996,Insumos!$D$1:$D$996),"")</f>
        <v/>
      </c>
      <c r="H3191" s="334">
        <v>342.63975903614499</v>
      </c>
      <c r="I3191" s="347">
        <v>0</v>
      </c>
      <c r="J3191" s="347">
        <v>0</v>
      </c>
      <c r="K3191" s="347"/>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70</v>
      </c>
      <c r="C3192" s="10" t="s">
        <v>1491</v>
      </c>
      <c r="D3192" s="10" t="s">
        <v>632</v>
      </c>
      <c r="E3192" s="11" t="str">
        <f t="array" ref="E3192">_xlfn.XLOOKUP(D3192,Insumos!B:B,Insumos!C:$C)</f>
        <v>M2</v>
      </c>
      <c r="F3192" s="14">
        <v>1</v>
      </c>
      <c r="G3192" s="87">
        <f t="array" ref="G3192">IF(B3192="insumo",_xlfn.XLOOKUP($D3192,Insumos!$B$1:$B$996,Insumos!$D$1:$D$996),"")</f>
        <v>342.63975903614454</v>
      </c>
      <c r="H3192" s="87">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332">
        <v>1</v>
      </c>
      <c r="B3193" s="332" t="s">
        <v>67</v>
      </c>
      <c r="C3193" s="346" t="s">
        <v>633</v>
      </c>
      <c r="D3193" s="346" t="s">
        <v>633</v>
      </c>
      <c r="E3193" s="333" t="s">
        <v>69</v>
      </c>
      <c r="F3193" s="346"/>
      <c r="G3193" s="334" t="str">
        <f t="array" ref="G3193">IF(B3193="insumo",_xlfn.XLOOKUP($D3193,Insumos!$B$1:$B$996,Insumos!$D$1:$D$996),"")</f>
        <v/>
      </c>
      <c r="H3193" s="334">
        <v>1036.9504748982399</v>
      </c>
      <c r="I3193" s="347">
        <v>0</v>
      </c>
      <c r="J3193" s="347">
        <v>0</v>
      </c>
      <c r="K3193" s="347"/>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70</v>
      </c>
      <c r="C3194" s="10" t="s">
        <v>633</v>
      </c>
      <c r="D3194" s="10" t="s">
        <v>634</v>
      </c>
      <c r="E3194" s="11" t="str">
        <f t="array" ref="E3194">_xlfn.XLOOKUP(D3194,Insumos!B:B,Insumos!C:$C)</f>
        <v>M2</v>
      </c>
      <c r="F3194" s="14">
        <v>1</v>
      </c>
      <c r="G3194" s="87">
        <f t="array" ref="G3194">IF(B3194="insumo",_xlfn.XLOOKUP($D3194,Insumos!$B$1:$B$996,Insumos!$D$1:$D$996),"")</f>
        <v>1036.9504748982358</v>
      </c>
      <c r="H3194" s="87">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336">
        <v>1</v>
      </c>
      <c r="B3195" s="336" t="s">
        <v>67</v>
      </c>
      <c r="C3195" s="336" t="s">
        <v>1802</v>
      </c>
      <c r="D3195" s="336" t="s">
        <v>1802</v>
      </c>
      <c r="E3195" s="337" t="s">
        <v>69</v>
      </c>
      <c r="F3195" s="336"/>
      <c r="G3195" s="338" t="str">
        <f t="array" ref="G3195">IF(B3195="insumo",_xlfn.XLOOKUP($D3195,Insumos!$B$1:$B$996,Insumos!$D$1:$D$996),"")</f>
        <v/>
      </c>
      <c r="H3195" s="338">
        <v>296.7</v>
      </c>
      <c r="I3195" s="339">
        <v>0</v>
      </c>
      <c r="J3195" s="339">
        <v>0</v>
      </c>
      <c r="K3195" s="339"/>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77">
        <v>2</v>
      </c>
      <c r="B3196" s="77" t="s">
        <v>70</v>
      </c>
      <c r="C3196" s="77" t="s">
        <v>1802</v>
      </c>
      <c r="D3196" s="77" t="s">
        <v>637</v>
      </c>
      <c r="E3196" s="11" t="str">
        <f t="array" ref="E3196">_xlfn.XLOOKUP(D3196,Insumos!B:B,Insumos!C:$C)</f>
        <v>M2</v>
      </c>
      <c r="F3196" s="81">
        <v>1</v>
      </c>
      <c r="G3196" s="87">
        <f t="array" ref="G3196">IF(B3196="insumo",_xlfn.XLOOKUP($D3196,Insumos!$B$1:$B$996,Insumos!$D$1:$D$996),"")</f>
        <v>146.69999999999999</v>
      </c>
      <c r="H3196" s="87">
        <v>146.69999999999999</v>
      </c>
      <c r="I3196" s="79">
        <v>0</v>
      </c>
      <c r="J3196" s="79">
        <v>0</v>
      </c>
      <c r="K3196" s="79"/>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77">
        <v>3</v>
      </c>
      <c r="B3197" s="77" t="s">
        <v>70</v>
      </c>
      <c r="C3197" s="77" t="s">
        <v>1802</v>
      </c>
      <c r="D3197" s="77" t="s">
        <v>638</v>
      </c>
      <c r="E3197" s="11" t="str">
        <f t="array" ref="E3197">_xlfn.XLOOKUP(D3197,Insumos!B:B,Insumos!C:$C)</f>
        <v>M2</v>
      </c>
      <c r="F3197" s="81">
        <v>1</v>
      </c>
      <c r="G3197" s="87">
        <f t="array" ref="G3197">IF(B3197="insumo",_xlfn.XLOOKUP($D3197,Insumos!$B$1:$B$996,Insumos!$D$1:$D$996),"")</f>
        <v>150</v>
      </c>
      <c r="H3197" s="87">
        <v>150</v>
      </c>
      <c r="I3197" s="79">
        <v>0</v>
      </c>
      <c r="J3197" s="79">
        <v>0</v>
      </c>
      <c r="K3197" s="79"/>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336">
        <v>1</v>
      </c>
      <c r="B3198" s="336" t="s">
        <v>67</v>
      </c>
      <c r="C3198" s="336" t="s">
        <v>2575</v>
      </c>
      <c r="D3198" s="336" t="s">
        <v>2575</v>
      </c>
      <c r="E3198" s="337" t="s">
        <v>69</v>
      </c>
      <c r="F3198" s="336"/>
      <c r="G3198" s="338" t="str">
        <f t="array" ref="G3198">IF(B3198="insumo",_xlfn.XLOOKUP($D3198,Insumos!$B$1:$B$996,Insumos!$D$1:$D$996),"")</f>
        <v/>
      </c>
      <c r="H3198" s="338">
        <v>1525</v>
      </c>
      <c r="I3198" s="339" t="e">
        <v>#REF!</v>
      </c>
      <c r="J3198" s="339" t="e">
        <v>#REF!</v>
      </c>
      <c r="K3198" s="339"/>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77">
        <v>1</v>
      </c>
      <c r="B3199" s="77" t="s">
        <v>70</v>
      </c>
      <c r="C3199" s="77" t="s">
        <v>2575</v>
      </c>
      <c r="D3199" s="77" t="s">
        <v>2576</v>
      </c>
      <c r="E3199" s="11" t="str">
        <f t="array" ref="E3199">_xlfn.XLOOKUP(D3199,Insumos!B:B,Insumos!C:$C)</f>
        <v>M2</v>
      </c>
      <c r="F3199" s="81">
        <v>1</v>
      </c>
      <c r="G3199" s="87">
        <f t="array" ref="G3199">IF(B3199="insumo",_xlfn.XLOOKUP($D3199,Insumos!$B$1:$B$996,Insumos!$D$1:$D$996),"")</f>
        <v>450</v>
      </c>
      <c r="H3199" s="87">
        <v>450</v>
      </c>
      <c r="I3199" s="79" t="e">
        <v>#REF!</v>
      </c>
      <c r="J3199" s="79" t="e">
        <v>#REF!</v>
      </c>
      <c r="K3199" s="79"/>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77">
        <v>1</v>
      </c>
      <c r="B3200" s="77" t="s">
        <v>70</v>
      </c>
      <c r="C3200" s="77" t="s">
        <v>2575</v>
      </c>
      <c r="D3200" s="77" t="s">
        <v>24</v>
      </c>
      <c r="E3200" s="11" t="str">
        <f t="array" ref="E3200">_xlfn.XLOOKUP(D3200,Insumos!B:B,Insumos!C:$C)</f>
        <v>M2</v>
      </c>
      <c r="F3200" s="81">
        <v>1</v>
      </c>
      <c r="G3200" s="87">
        <f t="array" ref="G3200">IF(B3200="insumo",_xlfn.XLOOKUP($D3200,Insumos!$B$1:$B$996,Insumos!$D$1:$D$996),"")</f>
        <v>80</v>
      </c>
      <c r="H3200" s="87">
        <v>80</v>
      </c>
      <c r="I3200" s="79" t="e">
        <v>#REF!</v>
      </c>
      <c r="J3200" s="79" t="e">
        <v>#REF!</v>
      </c>
      <c r="K3200" s="79"/>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77">
        <v>1</v>
      </c>
      <c r="B3201" s="77" t="s">
        <v>70</v>
      </c>
      <c r="C3201" s="77" t="s">
        <v>2575</v>
      </c>
      <c r="D3201" s="77" t="s">
        <v>2577</v>
      </c>
      <c r="E3201" s="11" t="str">
        <f t="array" ref="E3201">_xlfn.XLOOKUP(D3201,Insumos!B:B,Insumos!C:$C)</f>
        <v>M2</v>
      </c>
      <c r="F3201" s="81">
        <v>1</v>
      </c>
      <c r="G3201" s="87">
        <f t="array" ref="G3201">IF(B3201="insumo",_xlfn.XLOOKUP($D3201,Insumos!$B$1:$B$996,Insumos!$D$1:$D$996),"")</f>
        <v>160</v>
      </c>
      <c r="H3201" s="87">
        <v>160</v>
      </c>
      <c r="I3201" s="79" t="e">
        <v>#REF!</v>
      </c>
      <c r="J3201" s="79" t="e">
        <v>#REF!</v>
      </c>
      <c r="K3201" s="79"/>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77">
        <v>1</v>
      </c>
      <c r="B3202" s="77" t="s">
        <v>70</v>
      </c>
      <c r="C3202" s="77" t="s">
        <v>2575</v>
      </c>
      <c r="D3202" s="77" t="s">
        <v>2578</v>
      </c>
      <c r="E3202" s="11" t="str">
        <f t="array" ref="E3202">_xlfn.XLOOKUP(D3202,Insumos!B:B,Insumos!C:$C)</f>
        <v>M2</v>
      </c>
      <c r="F3202" s="81">
        <v>1</v>
      </c>
      <c r="G3202" s="87">
        <f t="array" ref="G3202">IF(B3202="insumo",_xlfn.XLOOKUP($D3202,Insumos!$B$1:$B$996,Insumos!$D$1:$D$996),"")</f>
        <v>140</v>
      </c>
      <c r="H3202" s="87">
        <v>140</v>
      </c>
      <c r="I3202" s="79" t="e">
        <v>#REF!</v>
      </c>
      <c r="J3202" s="79" t="e">
        <v>#REF!</v>
      </c>
      <c r="K3202" s="79"/>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77">
        <v>1</v>
      </c>
      <c r="B3203" s="77" t="s">
        <v>70</v>
      </c>
      <c r="C3203" s="77" t="s">
        <v>2575</v>
      </c>
      <c r="D3203" s="77" t="s">
        <v>2579</v>
      </c>
      <c r="E3203" s="11" t="str">
        <f t="array" ref="E3203">_xlfn.XLOOKUP(D3203,Insumos!B:B,Insumos!C:$C)</f>
        <v>M2</v>
      </c>
      <c r="F3203" s="81">
        <v>1</v>
      </c>
      <c r="G3203" s="87">
        <f t="array" ref="G3203">IF(B3203="insumo",_xlfn.XLOOKUP($D3203,Insumos!$B$1:$B$996,Insumos!$D$1:$D$996),"")</f>
        <v>25</v>
      </c>
      <c r="H3203" s="87">
        <v>25</v>
      </c>
      <c r="I3203" s="79" t="e">
        <v>#REF!</v>
      </c>
      <c r="J3203" s="79" t="e">
        <v>#REF!</v>
      </c>
      <c r="K3203" s="79"/>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77">
        <v>1</v>
      </c>
      <c r="B3204" s="77" t="s">
        <v>70</v>
      </c>
      <c r="C3204" s="77" t="s">
        <v>2575</v>
      </c>
      <c r="D3204" s="77" t="s">
        <v>2580</v>
      </c>
      <c r="E3204" s="11" t="str">
        <f t="array" ref="E3204">_xlfn.XLOOKUP(D3204,Insumos!B:B,Insumos!C:$C)</f>
        <v>M2</v>
      </c>
      <c r="F3204" s="81">
        <v>1</v>
      </c>
      <c r="G3204" s="87">
        <f t="array" ref="G3204">IF(B3204="insumo",_xlfn.XLOOKUP($D3204,Insumos!$B$1:$B$996,Insumos!$D$1:$D$996),"")</f>
        <v>260</v>
      </c>
      <c r="H3204" s="87">
        <v>260</v>
      </c>
      <c r="I3204" s="79" t="e">
        <v>#REF!</v>
      </c>
      <c r="J3204" s="79" t="e">
        <v>#REF!</v>
      </c>
      <c r="K3204" s="79"/>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77">
        <v>1</v>
      </c>
      <c r="B3205" s="77" t="s">
        <v>70</v>
      </c>
      <c r="C3205" s="77" t="s">
        <v>2575</v>
      </c>
      <c r="D3205" s="77" t="s">
        <v>2581</v>
      </c>
      <c r="E3205" s="11" t="str">
        <f t="array" ref="E3205">_xlfn.XLOOKUP(D3205,Insumos!B:B,Insumos!C:$C)</f>
        <v>M2</v>
      </c>
      <c r="F3205" s="81">
        <v>1</v>
      </c>
      <c r="G3205" s="87">
        <f t="array" ref="G3205">IF(B3205="insumo",_xlfn.XLOOKUP($D3205,Insumos!$B$1:$B$996,Insumos!$D$1:$D$996),"")</f>
        <v>320</v>
      </c>
      <c r="H3205" s="87">
        <v>320</v>
      </c>
      <c r="I3205" s="79" t="e">
        <v>#REF!</v>
      </c>
      <c r="J3205" s="79" t="e">
        <v>#REF!</v>
      </c>
      <c r="K3205" s="79"/>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77">
        <v>1</v>
      </c>
      <c r="B3206" s="77" t="s">
        <v>70</v>
      </c>
      <c r="C3206" s="77" t="s">
        <v>2575</v>
      </c>
      <c r="D3206" s="77" t="s">
        <v>2582</v>
      </c>
      <c r="E3206" s="11" t="str">
        <f t="array" ref="E3206">_xlfn.XLOOKUP(D3206,Insumos!B:B,Insumos!C:$C)</f>
        <v>M2</v>
      </c>
      <c r="F3206" s="81">
        <v>1</v>
      </c>
      <c r="G3206" s="87">
        <f t="array" ref="G3206">IF(B3206="insumo",_xlfn.XLOOKUP($D3206,Insumos!$B$1:$B$996,Insumos!$D$1:$D$996),"")</f>
        <v>90</v>
      </c>
      <c r="H3206" s="87">
        <v>90</v>
      </c>
      <c r="I3206" s="79" t="e">
        <v>#REF!</v>
      </c>
      <c r="J3206" s="79" t="e">
        <v>#REF!</v>
      </c>
      <c r="K3206" s="79"/>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332">
        <v>1</v>
      </c>
      <c r="B3207" s="332" t="s">
        <v>67</v>
      </c>
      <c r="C3207" s="346" t="s">
        <v>2588</v>
      </c>
      <c r="D3207" s="346" t="s">
        <v>2588</v>
      </c>
      <c r="E3207" s="333" t="s">
        <v>112</v>
      </c>
      <c r="F3207" s="346"/>
      <c r="G3207" s="334" t="str">
        <f t="array" ref="G3207">IF(B3207="insumo",_xlfn.XLOOKUP($D3207,Insumos!$B$1:$B$996,Insumos!$D$1:$D$996),"")</f>
        <v/>
      </c>
      <c r="H3207" s="334">
        <v>150</v>
      </c>
      <c r="I3207" s="347" t="e">
        <v>#REF!</v>
      </c>
      <c r="J3207" s="347" t="e">
        <v>#REF!</v>
      </c>
      <c r="K3207" s="347"/>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70</v>
      </c>
      <c r="C3208" s="77" t="s">
        <v>2588</v>
      </c>
      <c r="D3208" s="77" t="s">
        <v>2588</v>
      </c>
      <c r="E3208" s="11" t="str">
        <f t="array" ref="E3208">_xlfn.XLOOKUP(D3208,Insumos!B:B,Insumos!C:$C)</f>
        <v>M</v>
      </c>
      <c r="F3208" s="14">
        <v>1</v>
      </c>
      <c r="G3208" s="87">
        <f t="array" ref="G3208">IF(B3208="insumo",_xlfn.XLOOKUP($D3208,Insumos!$B$1:$B$996,Insumos!$D$1:$D$996),"")</f>
        <v>150</v>
      </c>
      <c r="H3208" s="87">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332">
        <v>1</v>
      </c>
      <c r="B3209" s="332" t="s">
        <v>67</v>
      </c>
      <c r="C3209" s="346" t="s">
        <v>635</v>
      </c>
      <c r="D3209" s="346" t="s">
        <v>635</v>
      </c>
      <c r="E3209" s="333" t="s">
        <v>69</v>
      </c>
      <c r="F3209" s="346"/>
      <c r="G3209" s="334" t="str">
        <f t="array" ref="G3209">IF(B3209="insumo",_xlfn.XLOOKUP($D3209,Insumos!$B$1:$B$996,Insumos!$D$1:$D$996),"")</f>
        <v/>
      </c>
      <c r="H3209" s="334">
        <v>568.92672413793105</v>
      </c>
      <c r="I3209" s="347">
        <v>0</v>
      </c>
      <c r="J3209" s="347">
        <v>0</v>
      </c>
      <c r="K3209" s="347"/>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70</v>
      </c>
      <c r="C3210" s="10" t="s">
        <v>635</v>
      </c>
      <c r="D3210" s="10" t="s">
        <v>636</v>
      </c>
      <c r="E3210" s="11" t="str">
        <f t="array" ref="E3210">_xlfn.XLOOKUP(D3210,Insumos!B:B,Insumos!C:$C)</f>
        <v>M2</v>
      </c>
      <c r="F3210" s="14">
        <v>1</v>
      </c>
      <c r="G3210" s="87">
        <f t="array" ref="G3210">IF(B3210="insumo",_xlfn.XLOOKUP($D3210,Insumos!$B$1:$B$996,Insumos!$D$1:$D$996),"")</f>
        <v>568.92672413793116</v>
      </c>
      <c r="H3210" s="87">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332">
        <v>1</v>
      </c>
      <c r="B3211" s="332" t="s">
        <v>67</v>
      </c>
      <c r="C3211" s="332" t="s">
        <v>704</v>
      </c>
      <c r="D3211" s="332" t="s">
        <v>704</v>
      </c>
      <c r="E3211" s="333" t="s">
        <v>69</v>
      </c>
      <c r="F3211" s="332"/>
      <c r="G3211" s="334" t="str">
        <f t="array" ref="G3211">IF(B3211="insumo",_xlfn.XLOOKUP($D3211,Insumos!$B$1:$B$996,Insumos!$D$1:$D$996),"")</f>
        <v/>
      </c>
      <c r="H3211" s="334">
        <v>150</v>
      </c>
      <c r="I3211" s="335">
        <v>0</v>
      </c>
      <c r="J3211" s="335">
        <v>0</v>
      </c>
      <c r="K3211" s="335"/>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70</v>
      </c>
      <c r="C3212" s="10" t="s">
        <v>704</v>
      </c>
      <c r="D3212" s="10" t="s">
        <v>705</v>
      </c>
      <c r="E3212" s="11" t="str">
        <f t="array" ref="E3212">_xlfn.XLOOKUP(D3212,Insumos!B:B,Insumos!C:$C)</f>
        <v>M2</v>
      </c>
      <c r="F3212" s="14">
        <v>1</v>
      </c>
      <c r="G3212" s="87">
        <f t="array" ref="G3212">IF(B3212="insumo",_xlfn.XLOOKUP($D3212,Insumos!$B$1:$B$996,Insumos!$D$1:$D$996),"")</f>
        <v>150</v>
      </c>
      <c r="H3212" s="87">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332">
        <v>1</v>
      </c>
      <c r="B3213" s="332" t="s">
        <v>67</v>
      </c>
      <c r="C3213" s="332" t="s">
        <v>706</v>
      </c>
      <c r="D3213" s="332" t="s">
        <v>706</v>
      </c>
      <c r="E3213" s="333" t="s">
        <v>69</v>
      </c>
      <c r="F3213" s="332"/>
      <c r="G3213" s="334" t="str">
        <f t="array" ref="G3213">IF(B3213="insumo",_xlfn.XLOOKUP($D3213,Insumos!$B$1:$B$996,Insumos!$D$1:$D$996),"")</f>
        <v/>
      </c>
      <c r="H3213" s="334">
        <v>150</v>
      </c>
      <c r="I3213" s="335">
        <v>0</v>
      </c>
      <c r="J3213" s="335">
        <v>0</v>
      </c>
      <c r="K3213" s="335"/>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70</v>
      </c>
      <c r="C3214" s="10" t="s">
        <v>706</v>
      </c>
      <c r="D3214" s="10" t="s">
        <v>705</v>
      </c>
      <c r="E3214" s="11" t="str">
        <f t="array" ref="E3214">_xlfn.XLOOKUP(D3214,Insumos!B:B,Insumos!C:$C)</f>
        <v>M2</v>
      </c>
      <c r="F3214" s="14">
        <v>1</v>
      </c>
      <c r="G3214" s="87">
        <f t="array" ref="G3214">IF(B3214="insumo",_xlfn.XLOOKUP($D3214,Insumos!$B$1:$B$996,Insumos!$D$1:$D$996),"")</f>
        <v>150</v>
      </c>
      <c r="H3214" s="87">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332">
        <v>1</v>
      </c>
      <c r="B3215" s="332" t="s">
        <v>67</v>
      </c>
      <c r="C3215" s="332" t="s">
        <v>1483</v>
      </c>
      <c r="D3215" s="332" t="s">
        <v>1483</v>
      </c>
      <c r="E3215" s="333" t="s">
        <v>69</v>
      </c>
      <c r="F3215" s="346"/>
      <c r="G3215" s="334" t="str">
        <f t="array" ref="G3215">IF(B3215="insumo",_xlfn.XLOOKUP($D3215,Insumos!$B$1:$B$996,Insumos!$D$1:$D$996),"")</f>
        <v/>
      </c>
      <c r="H3215" s="334">
        <v>240</v>
      </c>
      <c r="I3215" s="347">
        <v>0</v>
      </c>
      <c r="J3215" s="347">
        <v>0</v>
      </c>
      <c r="K3215" s="347"/>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70</v>
      </c>
      <c r="C3216" s="10" t="s">
        <v>1483</v>
      </c>
      <c r="D3216" s="10" t="s">
        <v>1486</v>
      </c>
      <c r="E3216" s="11" t="str">
        <f t="array" ref="E3216">_xlfn.XLOOKUP(D3216,Insumos!B:B,Insumos!C:$C)</f>
        <v>M2</v>
      </c>
      <c r="F3216" s="14">
        <v>1</v>
      </c>
      <c r="G3216" s="87">
        <f t="array" ref="G3216">IF(B3216="insumo",_xlfn.XLOOKUP($D3216,Insumos!$B$1:$B$996,Insumos!$D$1:$D$996),"")</f>
        <v>240</v>
      </c>
      <c r="H3216" s="87">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332">
        <v>1</v>
      </c>
      <c r="B3217" s="332" t="s">
        <v>67</v>
      </c>
      <c r="C3217" s="332" t="s">
        <v>2568</v>
      </c>
      <c r="D3217" s="332" t="s">
        <v>2568</v>
      </c>
      <c r="E3217" s="333" t="s">
        <v>69</v>
      </c>
      <c r="F3217" s="332"/>
      <c r="G3217" s="334" t="str">
        <f t="array" ref="G3217">IF(B3217="insumo",_xlfn.XLOOKUP($D3217,Insumos!$B$1:$B$996,Insumos!$D$1:$D$996),"")</f>
        <v/>
      </c>
      <c r="H3217" s="334">
        <v>590</v>
      </c>
      <c r="I3217" s="335" t="e">
        <v>#REF!</v>
      </c>
      <c r="J3217" s="335" t="e">
        <v>#REF!</v>
      </c>
      <c r="K3217" s="335"/>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70</v>
      </c>
      <c r="C3218" s="10" t="s">
        <v>2568</v>
      </c>
      <c r="D3218" s="10" t="s">
        <v>2567</v>
      </c>
      <c r="E3218" s="11" t="str">
        <f t="array" ref="E3218">_xlfn.XLOOKUP(D3218,Insumos!B:B,Insumos!C:$C)</f>
        <v>M2</v>
      </c>
      <c r="F3218" s="14">
        <v>1</v>
      </c>
      <c r="G3218" s="87">
        <f t="array" ref="G3218">IF(B3218="insumo",_xlfn.XLOOKUP($D3218,Insumos!$B$1:$B$996,Insumos!$D$1:$D$996),"")</f>
        <v>590</v>
      </c>
      <c r="H3218" s="87">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332">
        <v>1</v>
      </c>
      <c r="B3219" s="332" t="s">
        <v>67</v>
      </c>
      <c r="C3219" s="332" t="s">
        <v>2574</v>
      </c>
      <c r="D3219" s="332" t="s">
        <v>2574</v>
      </c>
      <c r="E3219" s="333" t="s">
        <v>69</v>
      </c>
      <c r="F3219" s="332"/>
      <c r="G3219" s="334" t="str">
        <f t="array" ref="G3219">IF(B3219="insumo",_xlfn.XLOOKUP($D3219,Insumos!$B$1:$B$996,Insumos!$D$1:$D$996),"")</f>
        <v/>
      </c>
      <c r="H3219" s="334">
        <v>590</v>
      </c>
      <c r="I3219" s="335" t="e">
        <v>#REF!</v>
      </c>
      <c r="J3219" s="335" t="e">
        <v>#REF!</v>
      </c>
      <c r="K3219" s="335"/>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70</v>
      </c>
      <c r="C3220" s="10" t="s">
        <v>2574</v>
      </c>
      <c r="D3220" s="10" t="s">
        <v>2573</v>
      </c>
      <c r="E3220" s="11" t="str">
        <f t="array" ref="E3220">_xlfn.XLOOKUP(D3220,Insumos!B:B,Insumos!C:$C)</f>
        <v>M2</v>
      </c>
      <c r="F3220" s="14">
        <v>1</v>
      </c>
      <c r="G3220" s="87">
        <f t="array" ref="G3220">IF(B3220="insumo",_xlfn.XLOOKUP($D3220,Insumos!$B$1:$B$996,Insumos!$D$1:$D$996),"")</f>
        <v>590</v>
      </c>
      <c r="H3220" s="87">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332">
        <v>1</v>
      </c>
      <c r="B3221" s="332" t="s">
        <v>67</v>
      </c>
      <c r="C3221" s="332" t="s">
        <v>2569</v>
      </c>
      <c r="D3221" s="332" t="s">
        <v>2569</v>
      </c>
      <c r="E3221" s="333" t="s">
        <v>69</v>
      </c>
      <c r="F3221" s="332"/>
      <c r="G3221" s="334" t="str">
        <f t="array" ref="G3221">IF(B3221="insumo",_xlfn.XLOOKUP($D3221,Insumos!$B$1:$B$996,Insumos!$D$1:$D$996),"")</f>
        <v/>
      </c>
      <c r="H3221" s="334">
        <v>590</v>
      </c>
      <c r="I3221" s="335" t="e">
        <v>#REF!</v>
      </c>
      <c r="J3221" s="335" t="e">
        <v>#REF!</v>
      </c>
      <c r="K3221" s="335"/>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70</v>
      </c>
      <c r="C3222" s="10" t="s">
        <v>2569</v>
      </c>
      <c r="D3222" s="10" t="s">
        <v>2570</v>
      </c>
      <c r="E3222" s="11" t="str">
        <f t="array" ref="E3222">_xlfn.XLOOKUP(D3222,Insumos!B:B,Insumos!C:$C)</f>
        <v>M2</v>
      </c>
      <c r="F3222" s="14">
        <v>1</v>
      </c>
      <c r="G3222" s="87">
        <f t="array" ref="G3222">IF(B3222="insumo",_xlfn.XLOOKUP($D3222,Insumos!$B$1:$B$996,Insumos!$D$1:$D$996),"")</f>
        <v>590</v>
      </c>
      <c r="H3222" s="87">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332">
        <v>1</v>
      </c>
      <c r="B3223" s="332" t="s">
        <v>67</v>
      </c>
      <c r="C3223" s="332" t="s">
        <v>1484</v>
      </c>
      <c r="D3223" s="332" t="s">
        <v>1484</v>
      </c>
      <c r="E3223" s="333" t="s">
        <v>69</v>
      </c>
      <c r="F3223" s="332"/>
      <c r="G3223" s="334" t="str">
        <f t="array" ref="G3223">IF(B3223="insumo",_xlfn.XLOOKUP($D3223,Insumos!$B$1:$B$996,Insumos!$D$1:$D$996),"")</f>
        <v/>
      </c>
      <c r="H3223" s="334">
        <v>269.76</v>
      </c>
      <c r="I3223" s="335">
        <v>0</v>
      </c>
      <c r="J3223" s="335">
        <v>0</v>
      </c>
      <c r="K3223" s="335"/>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70</v>
      </c>
      <c r="C3224" s="10" t="s">
        <v>1484</v>
      </c>
      <c r="D3224" s="10" t="s">
        <v>1487</v>
      </c>
      <c r="E3224" s="11" t="str">
        <f t="array" ref="E3224">_xlfn.XLOOKUP(D3224,Insumos!B:B,Insumos!C:$C)</f>
        <v>M2</v>
      </c>
      <c r="F3224" s="14">
        <v>1</v>
      </c>
      <c r="G3224" s="87">
        <f t="array" ref="G3224">IF(B3224="insumo",_xlfn.XLOOKUP($D3224,Insumos!$B$1:$B$996,Insumos!$D$1:$D$996),"")</f>
        <v>269.76</v>
      </c>
      <c r="H3224" s="87">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332">
        <v>1</v>
      </c>
      <c r="B3225" s="332" t="s">
        <v>67</v>
      </c>
      <c r="C3225" s="332" t="s">
        <v>1485</v>
      </c>
      <c r="D3225" s="332" t="s">
        <v>1485</v>
      </c>
      <c r="E3225" s="333" t="s">
        <v>69</v>
      </c>
      <c r="F3225" s="332"/>
      <c r="G3225" s="334" t="str">
        <f t="array" ref="G3225">IF(B3225="insumo",_xlfn.XLOOKUP($D3225,Insumos!$B$1:$B$996,Insumos!$D$1:$D$996),"")</f>
        <v/>
      </c>
      <c r="H3225" s="334">
        <v>161.80000000000001</v>
      </c>
      <c r="I3225" s="335">
        <v>0</v>
      </c>
      <c r="J3225" s="335">
        <v>0</v>
      </c>
      <c r="K3225" s="335"/>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70</v>
      </c>
      <c r="C3226" s="10" t="s">
        <v>1485</v>
      </c>
      <c r="D3226" s="10" t="s">
        <v>1488</v>
      </c>
      <c r="E3226" s="11" t="str">
        <f t="array" ref="E3226">_xlfn.XLOOKUP(D3226,Insumos!B:B,Insumos!C:$C)</f>
        <v>M2</v>
      </c>
      <c r="F3226" s="14">
        <v>1</v>
      </c>
      <c r="G3226" s="87">
        <f t="array" ref="G3226">IF(B3226="insumo",_xlfn.XLOOKUP($D3226,Insumos!$B$1:$B$996,Insumos!$D$1:$D$996),"")</f>
        <v>161.80000000000001</v>
      </c>
      <c r="H3226" s="87">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336">
        <v>1</v>
      </c>
      <c r="B3227" s="336" t="s">
        <v>67</v>
      </c>
      <c r="C3227" s="336" t="s">
        <v>1731</v>
      </c>
      <c r="D3227" s="336" t="s">
        <v>1731</v>
      </c>
      <c r="E3227" s="337" t="s">
        <v>69</v>
      </c>
      <c r="F3227" s="336"/>
      <c r="G3227" s="338" t="str">
        <f t="array" ref="G3227">IF(B3227="insumo",_xlfn.XLOOKUP($D3227,Insumos!$B$1:$B$996,Insumos!$D$1:$D$996),"")</f>
        <v/>
      </c>
      <c r="H3227" s="338">
        <v>177</v>
      </c>
      <c r="I3227" s="339">
        <v>0</v>
      </c>
      <c r="J3227" s="339">
        <v>0</v>
      </c>
      <c r="K3227" s="339"/>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77">
        <v>1</v>
      </c>
      <c r="B3228" s="77" t="s">
        <v>70</v>
      </c>
      <c r="C3228" s="77" t="s">
        <v>1731</v>
      </c>
      <c r="D3228" s="77" t="s">
        <v>1731</v>
      </c>
      <c r="E3228" s="11" t="str">
        <f t="array" ref="E3228">_xlfn.XLOOKUP(D3228,Insumos!B:B,Insumos!C:$C)</f>
        <v>M2</v>
      </c>
      <c r="F3228" s="81">
        <v>1</v>
      </c>
      <c r="G3228" s="87">
        <f t="array" ref="G3228">IF(B3228="insumo",_xlfn.XLOOKUP($D3228,Insumos!$B$1:$B$996,Insumos!$D$1:$D$996),"")</f>
        <v>177</v>
      </c>
      <c r="H3228" s="87">
        <v>177</v>
      </c>
      <c r="I3228" s="79">
        <v>0</v>
      </c>
      <c r="J3228" s="79">
        <v>0</v>
      </c>
      <c r="K3228" s="79"/>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332">
        <v>1</v>
      </c>
      <c r="B3229" s="332" t="s">
        <v>67</v>
      </c>
      <c r="C3229" s="332" t="s">
        <v>1490</v>
      </c>
      <c r="D3229" s="332" t="s">
        <v>1490</v>
      </c>
      <c r="E3229" s="333" t="s">
        <v>69</v>
      </c>
      <c r="F3229" s="332"/>
      <c r="G3229" s="334" t="str">
        <f t="array" ref="G3229">IF(B3229="insumo",_xlfn.XLOOKUP($D3229,Insumos!$B$1:$B$996,Insumos!$D$1:$D$996),"")</f>
        <v/>
      </c>
      <c r="H3229" s="334">
        <v>250</v>
      </c>
      <c r="I3229" s="335">
        <v>0</v>
      </c>
      <c r="J3229" s="335">
        <v>0</v>
      </c>
      <c r="K3229" s="335"/>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70</v>
      </c>
      <c r="C3230" s="10" t="s">
        <v>1490</v>
      </c>
      <c r="D3230" s="10" t="s">
        <v>1492</v>
      </c>
      <c r="E3230" s="11" t="str">
        <f t="array" ref="E3230">_xlfn.XLOOKUP(D3230,Insumos!B:B,Insumos!C:$C)</f>
        <v>M2</v>
      </c>
      <c r="F3230" s="14">
        <v>1</v>
      </c>
      <c r="G3230" s="87">
        <f t="array" ref="G3230">IF(B3230="insumo",_xlfn.XLOOKUP($D3230,Insumos!$B$1:$B$996,Insumos!$D$1:$D$996),"")</f>
        <v>250</v>
      </c>
      <c r="H3230" s="87">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336">
        <v>1</v>
      </c>
      <c r="B3231" s="336" t="s">
        <v>67</v>
      </c>
      <c r="C3231" s="336" t="s">
        <v>1822</v>
      </c>
      <c r="D3231" s="336" t="s">
        <v>1822</v>
      </c>
      <c r="E3231" s="337" t="s">
        <v>69</v>
      </c>
      <c r="F3231" s="336"/>
      <c r="G3231" s="338" t="str">
        <f t="array" ref="G3231">IF(B3231="insumo",_xlfn.XLOOKUP($D3231,Insumos!$B$1:$B$996,Insumos!$D$1:$D$996),"")</f>
        <v/>
      </c>
      <c r="H3231" s="338">
        <v>101.998107</v>
      </c>
      <c r="I3231" s="339">
        <v>0</v>
      </c>
      <c r="J3231" s="339">
        <v>0</v>
      </c>
      <c r="K3231" s="339"/>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77">
        <v>7</v>
      </c>
      <c r="B3232" s="77" t="s">
        <v>70</v>
      </c>
      <c r="C3232" s="77" t="s">
        <v>1822</v>
      </c>
      <c r="D3232" s="77" t="s">
        <v>699</v>
      </c>
      <c r="E3232" s="11" t="str">
        <f t="array" ref="E3232">_xlfn.XLOOKUP(D3232,Insumos!B:B,Insumos!C:$C)</f>
        <v>KG</v>
      </c>
      <c r="F3232" s="81">
        <v>0.56369999999999998</v>
      </c>
      <c r="G3232" s="87">
        <f t="array" ref="G3232">IF(B3232="insumo",_xlfn.XLOOKUP($D3232,Insumos!$B$1:$B$996,Insumos!$D$1:$D$996),"")</f>
        <v>25.11</v>
      </c>
      <c r="H3232" s="87">
        <v>14.154507000000001</v>
      </c>
      <c r="I3232" s="79">
        <v>0</v>
      </c>
      <c r="J3232" s="79">
        <v>0</v>
      </c>
      <c r="K3232" s="79"/>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77">
        <v>1</v>
      </c>
      <c r="B3233" s="77" t="s">
        <v>70</v>
      </c>
      <c r="C3233" s="77" t="s">
        <v>1822</v>
      </c>
      <c r="D3233" s="77" t="s">
        <v>700</v>
      </c>
      <c r="E3233" s="11" t="str">
        <f t="array" ref="E3233">_xlfn.XLOOKUP(D3233,Insumos!B:B,Insumos!C:$C)</f>
        <v>M2</v>
      </c>
      <c r="F3233" s="81">
        <v>1.1000000000000001</v>
      </c>
      <c r="G3233" s="87">
        <f t="array" ref="G3233">IF(B3233="insumo",_xlfn.XLOOKUP($D3233,Insumos!$B$1:$B$996,Insumos!$D$1:$D$996),"")</f>
        <v>56.675999999999995</v>
      </c>
      <c r="H3233" s="87">
        <v>62.343600000000002</v>
      </c>
      <c r="I3233" s="79">
        <v>0</v>
      </c>
      <c r="J3233" s="79">
        <v>0</v>
      </c>
      <c r="K3233" s="79"/>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77">
        <v>1</v>
      </c>
      <c r="B3234" s="77" t="s">
        <v>70</v>
      </c>
      <c r="C3234" s="77" t="s">
        <v>1822</v>
      </c>
      <c r="D3234" s="77" t="s">
        <v>701</v>
      </c>
      <c r="E3234" s="11" t="str">
        <f t="array" ref="E3234">_xlfn.XLOOKUP(D3234,Insumos!B:B,Insumos!C:$C)</f>
        <v>M2</v>
      </c>
      <c r="F3234" s="81">
        <v>1</v>
      </c>
      <c r="G3234" s="87">
        <f t="array" ref="G3234">IF(B3234="insumo",_xlfn.XLOOKUP($D3234,Insumos!$B$1:$B$996,Insumos!$D$1:$D$996),"")</f>
        <v>25.5</v>
      </c>
      <c r="H3234" s="87">
        <v>25.5</v>
      </c>
      <c r="I3234" s="79">
        <v>0</v>
      </c>
      <c r="J3234" s="79">
        <v>0</v>
      </c>
      <c r="K3234" s="79"/>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332">
        <v>1</v>
      </c>
      <c r="B3235" s="332" t="s">
        <v>67</v>
      </c>
      <c r="C3235" s="332" t="s">
        <v>642</v>
      </c>
      <c r="D3235" s="332" t="s">
        <v>642</v>
      </c>
      <c r="E3235" s="333" t="s">
        <v>69</v>
      </c>
      <c r="F3235" s="332"/>
      <c r="G3235" s="334" t="str">
        <f t="array" ref="G3235">IF(B3235="insumo",_xlfn.XLOOKUP($D3235,Insumos!$B$1:$B$996,Insumos!$D$1:$D$996),"")</f>
        <v/>
      </c>
      <c r="H3235" s="334">
        <v>13.476141999999999</v>
      </c>
      <c r="I3235" s="335">
        <v>0</v>
      </c>
      <c r="J3235" s="335">
        <v>0</v>
      </c>
      <c r="K3235" s="335"/>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70</v>
      </c>
      <c r="C3236" s="10" t="s">
        <v>642</v>
      </c>
      <c r="D3236" s="10" t="s">
        <v>643</v>
      </c>
      <c r="E3236" s="11" t="str">
        <f t="array" ref="E3236">_xlfn.XLOOKUP(D3236,Insumos!B:B,Insumos!C:$C)</f>
        <v>M3</v>
      </c>
      <c r="F3236" s="14">
        <v>4.4600000000000001E-2</v>
      </c>
      <c r="G3236" s="87">
        <f t="array" ref="G3236">IF(B3236="insumo",_xlfn.XLOOKUP($D3236,Insumos!$B$1:$B$996,Insumos!$D$1:$D$996),"")</f>
        <v>143.57</v>
      </c>
      <c r="H3236" s="87">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70</v>
      </c>
      <c r="C3237" s="10" t="s">
        <v>642</v>
      </c>
      <c r="D3237" s="10" t="s">
        <v>644</v>
      </c>
      <c r="E3237" s="11" t="str">
        <f t="array" ref="E3237">_xlfn.XLOOKUP(D3237,Insumos!B:B,Insumos!C:$C)</f>
        <v>M2</v>
      </c>
      <c r="F3237" s="14">
        <v>0.63719999999999999</v>
      </c>
      <c r="G3237" s="87">
        <f t="array" ref="G3237">IF(B3237="insumo",_xlfn.XLOOKUP($D3237,Insumos!$B$1:$B$996,Insumos!$D$1:$D$996),"")</f>
        <v>11.1</v>
      </c>
      <c r="H3237" s="87">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355">
        <v>1</v>
      </c>
      <c r="B3238" s="355" t="s">
        <v>1227</v>
      </c>
      <c r="C3238" s="355" t="s">
        <v>642</v>
      </c>
      <c r="D3238" s="355" t="s">
        <v>1803</v>
      </c>
      <c r="E3238" s="356"/>
      <c r="F3238" s="357"/>
      <c r="G3238" s="356"/>
      <c r="H3238" s="356">
        <v>0</v>
      </c>
      <c r="I3238" s="357">
        <v>0</v>
      </c>
      <c r="J3238" s="357">
        <v>0</v>
      </c>
      <c r="K3238" s="357"/>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332">
        <v>1</v>
      </c>
      <c r="B3239" s="332" t="s">
        <v>67</v>
      </c>
      <c r="C3239" s="332" t="s">
        <v>647</v>
      </c>
      <c r="D3239" s="332" t="s">
        <v>647</v>
      </c>
      <c r="E3239" s="333" t="s">
        <v>69</v>
      </c>
      <c r="F3239" s="332"/>
      <c r="G3239" s="334" t="str">
        <f t="array" ref="G3239">IF(B3239="insumo",_xlfn.XLOOKUP($D3239,Insumos!$B$1:$B$996,Insumos!$D$1:$D$996),"")</f>
        <v/>
      </c>
      <c r="H3239" s="334">
        <v>733.0326</v>
      </c>
      <c r="I3239" s="335">
        <v>0</v>
      </c>
      <c r="J3239" s="335">
        <v>0</v>
      </c>
      <c r="K3239" s="335"/>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70</v>
      </c>
      <c r="C3240" s="10" t="s">
        <v>647</v>
      </c>
      <c r="D3240" s="10" t="s">
        <v>648</v>
      </c>
      <c r="E3240" s="11" t="str">
        <f t="array" ref="E3240">_xlfn.XLOOKUP(D3240,Insumos!B:B,Insumos!C:$C)</f>
        <v>M2</v>
      </c>
      <c r="F3240" s="14">
        <v>1.1000000000000001</v>
      </c>
      <c r="G3240" s="87">
        <f t="array" ref="G3240">IF(B3240="insumo",_xlfn.XLOOKUP($D3240,Insumos!$B$1:$B$996,Insumos!$D$1:$D$996),"")</f>
        <v>650</v>
      </c>
      <c r="H3240" s="87">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70</v>
      </c>
      <c r="C3241" s="10" t="s">
        <v>647</v>
      </c>
      <c r="D3241" s="10" t="s">
        <v>480</v>
      </c>
      <c r="E3241" s="11" t="str">
        <f t="array" ref="E3241">_xlfn.XLOOKUP(D3241,Insumos!B:B,Insumos!C:$C)</f>
        <v>KG</v>
      </c>
      <c r="F3241" s="14">
        <v>8.8000000000000007</v>
      </c>
      <c r="G3241" s="87">
        <f t="array" ref="G3241">IF(B3241="insumo",_xlfn.XLOOKUP($D3241,Insumos!$B$1:$B$996,Insumos!$D$1:$D$996),"")</f>
        <v>1.0645</v>
      </c>
      <c r="H3241" s="87">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70</v>
      </c>
      <c r="C3242" s="10" t="s">
        <v>647</v>
      </c>
      <c r="D3242" s="10" t="s">
        <v>537</v>
      </c>
      <c r="E3242" s="11" t="str">
        <f t="array" ref="E3242">_xlfn.XLOOKUP(D3242,Insumos!B:B,Insumos!C:$C)</f>
        <v>UN</v>
      </c>
      <c r="F3242" s="14">
        <v>0.5</v>
      </c>
      <c r="G3242" s="87">
        <f t="array" ref="G3242">IF(B3242="insumo",_xlfn.XLOOKUP($D3242,Insumos!$B$1:$B$996,Insumos!$D$1:$D$996),"")</f>
        <v>17.329999999999998</v>
      </c>
      <c r="H3242" s="87">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336">
        <v>1</v>
      </c>
      <c r="B3243" s="336" t="s">
        <v>67</v>
      </c>
      <c r="C3243" s="336" t="s">
        <v>1804</v>
      </c>
      <c r="D3243" s="336" t="s">
        <v>1804</v>
      </c>
      <c r="E3243" s="337" t="s">
        <v>69</v>
      </c>
      <c r="F3243" s="336"/>
      <c r="G3243" s="338" t="str">
        <f t="array" ref="G3243">IF(B3243="insumo",_xlfn.XLOOKUP($D3243,Insumos!$B$1:$B$996,Insumos!$D$1:$D$996),"")</f>
        <v/>
      </c>
      <c r="H3243" s="338">
        <v>843.0326</v>
      </c>
      <c r="I3243" s="339">
        <v>0</v>
      </c>
      <c r="J3243" s="339">
        <v>0</v>
      </c>
      <c r="K3243" s="339"/>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77">
        <v>1</v>
      </c>
      <c r="B3244" s="77" t="s">
        <v>70</v>
      </c>
      <c r="C3244" s="77" t="s">
        <v>1804</v>
      </c>
      <c r="D3244" s="77" t="s">
        <v>1785</v>
      </c>
      <c r="E3244" s="11" t="str">
        <f t="array" ref="E3244">_xlfn.XLOOKUP(D3244,Insumos!B:B,Insumos!C:$C)</f>
        <v>M2</v>
      </c>
      <c r="F3244" s="85">
        <v>1.1000000000000001</v>
      </c>
      <c r="G3244" s="87">
        <f t="array" ref="G3244">IF(B3244="insumo",_xlfn.XLOOKUP($D3244,Insumos!$B$1:$B$996,Insumos!$D$1:$D$996),"")</f>
        <v>750</v>
      </c>
      <c r="H3244" s="87">
        <v>825</v>
      </c>
      <c r="I3244" s="79">
        <v>0</v>
      </c>
      <c r="J3244" s="79">
        <v>0</v>
      </c>
      <c r="K3244" s="79"/>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77">
        <v>191</v>
      </c>
      <c r="B3245" s="77" t="s">
        <v>70</v>
      </c>
      <c r="C3245" s="77" t="s">
        <v>1804</v>
      </c>
      <c r="D3245" s="77" t="s">
        <v>480</v>
      </c>
      <c r="E3245" s="11" t="str">
        <f t="array" ref="E3245">_xlfn.XLOOKUP(D3245,Insumos!B:B,Insumos!C:$C)</f>
        <v>KG</v>
      </c>
      <c r="F3245" s="85">
        <v>8.8000000000000007</v>
      </c>
      <c r="G3245" s="87">
        <f t="array" ref="G3245">IF(B3245="insumo",_xlfn.XLOOKUP($D3245,Insumos!$B$1:$B$996,Insumos!$D$1:$D$996),"")</f>
        <v>1.0645</v>
      </c>
      <c r="H3245" s="87">
        <v>9.3675999999999995</v>
      </c>
      <c r="I3245" s="79">
        <v>0</v>
      </c>
      <c r="J3245" s="79">
        <v>0</v>
      </c>
      <c r="K3245" s="79"/>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77">
        <v>34</v>
      </c>
      <c r="B3246" s="77" t="s">
        <v>70</v>
      </c>
      <c r="C3246" s="77" t="s">
        <v>1804</v>
      </c>
      <c r="D3246" s="77" t="s">
        <v>537</v>
      </c>
      <c r="E3246" s="11" t="str">
        <f t="array" ref="E3246">_xlfn.XLOOKUP(D3246,Insumos!B:B,Insumos!C:$C)</f>
        <v>UN</v>
      </c>
      <c r="F3246" s="85">
        <v>0.5</v>
      </c>
      <c r="G3246" s="87">
        <f t="array" ref="G3246">IF(B3246="insumo",_xlfn.XLOOKUP($D3246,Insumos!$B$1:$B$996,Insumos!$D$1:$D$996),"")</f>
        <v>17.329999999999998</v>
      </c>
      <c r="H3246" s="87">
        <v>8.6649999999999991</v>
      </c>
      <c r="I3246" s="79">
        <v>0</v>
      </c>
      <c r="J3246" s="79">
        <v>0</v>
      </c>
      <c r="K3246" s="79"/>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336">
        <v>1</v>
      </c>
      <c r="B3247" s="336" t="s">
        <v>67</v>
      </c>
      <c r="C3247" s="336" t="s">
        <v>1823</v>
      </c>
      <c r="D3247" s="336" t="s">
        <v>1823</v>
      </c>
      <c r="E3247" s="337" t="s">
        <v>69</v>
      </c>
      <c r="F3247" s="336"/>
      <c r="G3247" s="338" t="str">
        <f t="array" ref="G3247">IF(B3247="insumo",_xlfn.XLOOKUP($D3247,Insumos!$B$1:$B$996,Insumos!$D$1:$D$996),"")</f>
        <v/>
      </c>
      <c r="H3247" s="338">
        <v>700.31970000000001</v>
      </c>
      <c r="I3247" s="339">
        <v>0</v>
      </c>
      <c r="J3247" s="339">
        <v>0</v>
      </c>
      <c r="K3247" s="339"/>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77">
        <v>4</v>
      </c>
      <c r="B3248" s="77" t="s">
        <v>70</v>
      </c>
      <c r="C3248" s="77" t="s">
        <v>1823</v>
      </c>
      <c r="D3248" s="77" t="s">
        <v>1779</v>
      </c>
      <c r="E3248" s="11" t="str">
        <f t="array" ref="E3248">_xlfn.XLOOKUP(D3248,Insumos!B:B,Insumos!C:$C)</f>
        <v>M2</v>
      </c>
      <c r="F3248" s="81">
        <v>1.05</v>
      </c>
      <c r="G3248" s="87">
        <f t="array" ref="G3248">IF(B3248="insumo",_xlfn.XLOOKUP($D3248,Insumos!$B$1:$B$996,Insumos!$D$1:$D$996),"")</f>
        <v>650</v>
      </c>
      <c r="H3248" s="87">
        <v>682.5</v>
      </c>
      <c r="I3248" s="79">
        <v>0</v>
      </c>
      <c r="J3248" s="79">
        <v>0</v>
      </c>
      <c r="K3248" s="79"/>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77">
        <v>191</v>
      </c>
      <c r="B3249" s="77" t="s">
        <v>70</v>
      </c>
      <c r="C3249" s="77" t="s">
        <v>1823</v>
      </c>
      <c r="D3249" s="77" t="s">
        <v>480</v>
      </c>
      <c r="E3249" s="11" t="str">
        <f t="array" ref="E3249">_xlfn.XLOOKUP(D3249,Insumos!B:B,Insumos!C:$C)</f>
        <v>KG</v>
      </c>
      <c r="F3249" s="81">
        <v>8.6</v>
      </c>
      <c r="G3249" s="87">
        <f t="array" ref="G3249">IF(B3249="insumo",_xlfn.XLOOKUP($D3249,Insumos!$B$1:$B$996,Insumos!$D$1:$D$996),"")</f>
        <v>1.0645</v>
      </c>
      <c r="H3249" s="87">
        <v>9.1547000000000001</v>
      </c>
      <c r="I3249" s="79">
        <v>0</v>
      </c>
      <c r="J3249" s="79">
        <v>0</v>
      </c>
      <c r="K3249" s="79"/>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77">
        <v>34</v>
      </c>
      <c r="B3250" s="77" t="s">
        <v>70</v>
      </c>
      <c r="C3250" s="77" t="s">
        <v>1823</v>
      </c>
      <c r="D3250" s="77" t="s">
        <v>537</v>
      </c>
      <c r="E3250" s="11" t="str">
        <f t="array" ref="E3250">_xlfn.XLOOKUP(D3250,Insumos!B:B,Insumos!C:$C)</f>
        <v>UN</v>
      </c>
      <c r="F3250" s="81">
        <v>0.5</v>
      </c>
      <c r="G3250" s="87">
        <f t="array" ref="G3250">IF(B3250="insumo",_xlfn.XLOOKUP($D3250,Insumos!$B$1:$B$996,Insumos!$D$1:$D$996),"")</f>
        <v>17.329999999999998</v>
      </c>
      <c r="H3250" s="87">
        <v>8.6649999999999991</v>
      </c>
      <c r="I3250" s="79">
        <v>0</v>
      </c>
      <c r="J3250" s="79">
        <v>0</v>
      </c>
      <c r="K3250" s="79"/>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332">
        <v>1</v>
      </c>
      <c r="B3251" s="332" t="s">
        <v>67</v>
      </c>
      <c r="C3251" s="332" t="s">
        <v>649</v>
      </c>
      <c r="D3251" s="332" t="s">
        <v>649</v>
      </c>
      <c r="E3251" s="333" t="s">
        <v>69</v>
      </c>
      <c r="F3251" s="332"/>
      <c r="G3251" s="334" t="str">
        <f t="array" ref="G3251">IF(B3251="insumo",_xlfn.XLOOKUP($D3251,Insumos!$B$1:$B$996,Insumos!$D$1:$D$996),"")</f>
        <v/>
      </c>
      <c r="H3251" s="334">
        <v>145.74260000000001</v>
      </c>
      <c r="I3251" s="335">
        <v>0</v>
      </c>
      <c r="J3251" s="335">
        <v>0</v>
      </c>
      <c r="K3251" s="335"/>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70</v>
      </c>
      <c r="C3252" s="10" t="s">
        <v>649</v>
      </c>
      <c r="D3252" s="10" t="s">
        <v>650</v>
      </c>
      <c r="E3252" s="11" t="str">
        <f t="array" ref="E3252">_xlfn.XLOOKUP(D3252,Insumos!B:B,Insumos!C:$C)</f>
        <v>M2</v>
      </c>
      <c r="F3252" s="14">
        <v>1.1000000000000001</v>
      </c>
      <c r="G3252" s="87">
        <f t="array" ref="G3252">IF(B3252="insumo",_xlfn.XLOOKUP($D3252,Insumos!$B$1:$B$996,Insumos!$D$1:$D$996),"")</f>
        <v>116.1</v>
      </c>
      <c r="H3252" s="87">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70</v>
      </c>
      <c r="C3253" s="10" t="s">
        <v>649</v>
      </c>
      <c r="D3253" s="10" t="s">
        <v>480</v>
      </c>
      <c r="E3253" s="11" t="str">
        <f t="array" ref="E3253">_xlfn.XLOOKUP(D3253,Insumos!B:B,Insumos!C:$C)</f>
        <v>KG</v>
      </c>
      <c r="F3253" s="14">
        <v>8.8000000000000007</v>
      </c>
      <c r="G3253" s="87">
        <f t="array" ref="G3253">IF(B3253="insumo",_xlfn.XLOOKUP($D3253,Insumos!$B$1:$B$996,Insumos!$D$1:$D$996),"")</f>
        <v>1.0645</v>
      </c>
      <c r="H3253" s="87">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70</v>
      </c>
      <c r="C3254" s="10" t="s">
        <v>649</v>
      </c>
      <c r="D3254" s="10" t="s">
        <v>537</v>
      </c>
      <c r="E3254" s="11" t="str">
        <f t="array" ref="E3254">_xlfn.XLOOKUP(D3254,Insumos!B:B,Insumos!C:$C)</f>
        <v>UN</v>
      </c>
      <c r="F3254" s="14">
        <v>0.5</v>
      </c>
      <c r="G3254" s="87">
        <f t="array" ref="G3254">IF(B3254="insumo",_xlfn.XLOOKUP($D3254,Insumos!$B$1:$B$996,Insumos!$D$1:$D$996),"")</f>
        <v>17.329999999999998</v>
      </c>
      <c r="H3254" s="87">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332">
        <v>1</v>
      </c>
      <c r="B3255" s="332" t="s">
        <v>67</v>
      </c>
      <c r="C3255" s="332" t="s">
        <v>651</v>
      </c>
      <c r="D3255" s="332" t="s">
        <v>651</v>
      </c>
      <c r="E3255" s="333" t="s">
        <v>69</v>
      </c>
      <c r="F3255" s="332"/>
      <c r="G3255" s="334" t="str">
        <f t="array" ref="G3255">IF(B3255="insumo",_xlfn.XLOOKUP($D3255,Insumos!$B$1:$B$996,Insumos!$D$1:$D$996),"")</f>
        <v/>
      </c>
      <c r="H3255" s="334">
        <v>58.688600000000001</v>
      </c>
      <c r="I3255" s="335">
        <v>0</v>
      </c>
      <c r="J3255" s="335">
        <v>0</v>
      </c>
      <c r="K3255" s="335"/>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70</v>
      </c>
      <c r="C3256" s="10" t="s">
        <v>651</v>
      </c>
      <c r="D3256" s="10" t="s">
        <v>652</v>
      </c>
      <c r="E3256" s="11" t="str">
        <f t="array" ref="E3256">_xlfn.XLOOKUP(D3256,Insumos!B:B,Insumos!C:$C)</f>
        <v>M2</v>
      </c>
      <c r="F3256" s="14">
        <v>1.1000000000000001</v>
      </c>
      <c r="G3256" s="87">
        <f t="array" ref="G3256">IF(B3256="insumo",_xlfn.XLOOKUP($D3256,Insumos!$B$1:$B$996,Insumos!$D$1:$D$996),"")</f>
        <v>36.96</v>
      </c>
      <c r="H3256" s="87">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70</v>
      </c>
      <c r="C3257" s="10" t="s">
        <v>651</v>
      </c>
      <c r="D3257" s="10" t="s">
        <v>480</v>
      </c>
      <c r="E3257" s="11" t="str">
        <f t="array" ref="E3257">_xlfn.XLOOKUP(D3257,Insumos!B:B,Insumos!C:$C)</f>
        <v>KG</v>
      </c>
      <c r="F3257" s="14">
        <v>8.8000000000000007</v>
      </c>
      <c r="G3257" s="87">
        <f t="array" ref="G3257">IF(B3257="insumo",_xlfn.XLOOKUP($D3257,Insumos!$B$1:$B$996,Insumos!$D$1:$D$996),"")</f>
        <v>1.0645</v>
      </c>
      <c r="H3257" s="87">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70</v>
      </c>
      <c r="C3258" s="10" t="s">
        <v>651</v>
      </c>
      <c r="D3258" s="10" t="s">
        <v>537</v>
      </c>
      <c r="E3258" s="11" t="str">
        <f t="array" ref="E3258">_xlfn.XLOOKUP(D3258,Insumos!B:B,Insumos!C:$C)</f>
        <v>UN</v>
      </c>
      <c r="F3258" s="14">
        <v>0.5</v>
      </c>
      <c r="G3258" s="87">
        <f t="array" ref="G3258">IF(B3258="insumo",_xlfn.XLOOKUP($D3258,Insumos!$B$1:$B$996,Insumos!$D$1:$D$996),"")</f>
        <v>17.329999999999998</v>
      </c>
      <c r="H3258" s="87">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355">
        <v>1</v>
      </c>
      <c r="B3259" s="355" t="s">
        <v>1227</v>
      </c>
      <c r="C3259" s="355" t="s">
        <v>651</v>
      </c>
      <c r="D3259" s="355" t="s">
        <v>1455</v>
      </c>
      <c r="E3259" s="356"/>
      <c r="F3259" s="357"/>
      <c r="G3259" s="356"/>
      <c r="H3259" s="356">
        <v>0</v>
      </c>
      <c r="I3259" s="357">
        <v>0</v>
      </c>
      <c r="J3259" s="357">
        <v>0</v>
      </c>
      <c r="K3259" s="357"/>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332">
        <v>1</v>
      </c>
      <c r="B3260" s="332" t="s">
        <v>67</v>
      </c>
      <c r="C3260" s="332" t="s">
        <v>655</v>
      </c>
      <c r="D3260" s="332" t="s">
        <v>655</v>
      </c>
      <c r="E3260" s="333" t="s">
        <v>69</v>
      </c>
      <c r="F3260" s="332"/>
      <c r="G3260" s="334" t="str">
        <f t="array" ref="G3260">IF(B3260="insumo",_xlfn.XLOOKUP($D3260,Insumos!$B$1:$B$996,Insumos!$D$1:$D$996),"")</f>
        <v/>
      </c>
      <c r="H3260" s="334">
        <v>52.237000000000002</v>
      </c>
      <c r="I3260" s="335">
        <v>0</v>
      </c>
      <c r="J3260" s="335">
        <v>0</v>
      </c>
      <c r="K3260" s="335"/>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70</v>
      </c>
      <c r="C3261" s="10" t="s">
        <v>655</v>
      </c>
      <c r="D3261" s="10" t="s">
        <v>656</v>
      </c>
      <c r="E3261" s="11" t="str">
        <f t="array" ref="E3261">_xlfn.XLOOKUP(D3261,Insumos!B:B,Insumos!C:$C)</f>
        <v>M2</v>
      </c>
      <c r="F3261" s="14">
        <v>1.1000000000000001</v>
      </c>
      <c r="G3261" s="87">
        <f t="array" ref="G3261">IF(B3261="insumo",_xlfn.XLOOKUP($D3261,Insumos!$B$1:$B$996,Insumos!$D$1:$D$996),"")</f>
        <v>39.64</v>
      </c>
      <c r="H3261" s="87">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70</v>
      </c>
      <c r="C3262" s="10" t="s">
        <v>655</v>
      </c>
      <c r="D3262" s="10" t="s">
        <v>657</v>
      </c>
      <c r="E3262" s="11" t="str">
        <f t="array" ref="E3262">_xlfn.XLOOKUP(D3262,Insumos!B:B,Insumos!C:$C)</f>
        <v>KG</v>
      </c>
      <c r="F3262" s="14">
        <v>8.8000000000000007</v>
      </c>
      <c r="G3262" s="87">
        <f t="array" ref="G3262">IF(B3262="insumo",_xlfn.XLOOKUP($D3262,Insumos!$B$1:$B$996,Insumos!$D$1:$D$996),"")</f>
        <v>0.95</v>
      </c>
      <c r="H3262" s="87">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70</v>
      </c>
      <c r="C3263" s="10" t="s">
        <v>655</v>
      </c>
      <c r="D3263" s="10" t="s">
        <v>520</v>
      </c>
      <c r="E3263" s="11" t="str">
        <f t="array" ref="E3263">_xlfn.XLOOKUP(D3263,Insumos!B:B,Insumos!C:$C)</f>
        <v>UN</v>
      </c>
      <c r="F3263" s="14">
        <v>1</v>
      </c>
      <c r="G3263" s="87">
        <f t="array" ref="G3263">IF(B3263="insumo",_xlfn.XLOOKUP($D3263,Insumos!$B$1:$B$996,Insumos!$D$1:$D$996),"")</f>
        <v>0.05</v>
      </c>
      <c r="H3263" s="87">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70</v>
      </c>
      <c r="C3264" s="10" t="s">
        <v>655</v>
      </c>
      <c r="D3264" s="10" t="s">
        <v>506</v>
      </c>
      <c r="E3264" s="11" t="str">
        <f t="array" ref="E3264">_xlfn.XLOOKUP(D3264,Insumos!B:B,Insumos!C:$C)</f>
        <v>KG</v>
      </c>
      <c r="F3264" s="14">
        <v>0.02</v>
      </c>
      <c r="G3264" s="87">
        <f t="array" ref="G3264">IF(B3264="insumo",_xlfn.XLOOKUP($D3264,Insumos!$B$1:$B$996,Insumos!$D$1:$D$996),"")</f>
        <v>11.15</v>
      </c>
      <c r="H3264" s="87">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332">
        <v>1</v>
      </c>
      <c r="B3265" s="332" t="s">
        <v>67</v>
      </c>
      <c r="C3265" s="332" t="s">
        <v>2513</v>
      </c>
      <c r="D3265" s="332" t="s">
        <v>2513</v>
      </c>
      <c r="E3265" s="333" t="s">
        <v>69</v>
      </c>
      <c r="F3265" s="332"/>
      <c r="G3265" s="334" t="str">
        <f t="array" ref="G3265">IF(B3265="insumo",_xlfn.XLOOKUP($D3265,Insumos!$B$1:$B$996,Insumos!$D$1:$D$996),"")</f>
        <v/>
      </c>
      <c r="H3265" s="334">
        <v>61.7806</v>
      </c>
      <c r="I3265" s="335">
        <v>0</v>
      </c>
      <c r="J3265" s="335">
        <v>0</v>
      </c>
      <c r="K3265" s="335"/>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70</v>
      </c>
      <c r="C3266" s="10" t="s">
        <v>2513</v>
      </c>
      <c r="D3266" s="10" t="s">
        <v>504</v>
      </c>
      <c r="E3266" s="11" t="str">
        <f t="array" ref="E3266">_xlfn.XLOOKUP(D3266,Insumos!B:B,Insumos!C:$C)</f>
        <v>M2</v>
      </c>
      <c r="F3266" s="14">
        <v>1.1000000000000001</v>
      </c>
      <c r="G3266" s="87">
        <f t="array" ref="G3266">IF(B3266="insumo",_xlfn.XLOOKUP($D3266,Insumos!$B$1:$B$996,Insumos!$D$1:$D$996),"")</f>
        <v>47.23</v>
      </c>
      <c r="H3266" s="87">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70</v>
      </c>
      <c r="C3267" s="10" t="s">
        <v>2513</v>
      </c>
      <c r="D3267" s="10" t="s">
        <v>480</v>
      </c>
      <c r="E3267" s="11" t="str">
        <f t="array" ref="E3267">_xlfn.XLOOKUP(D3267,Insumos!B:B,Insumos!C:$C)</f>
        <v>KG</v>
      </c>
      <c r="F3267" s="14">
        <v>8.8000000000000007</v>
      </c>
      <c r="G3267" s="87">
        <f t="array" ref="G3267">IF(B3267="insumo",_xlfn.XLOOKUP($D3267,Insumos!$B$1:$B$996,Insumos!$D$1:$D$996),"")</f>
        <v>1.0645</v>
      </c>
      <c r="H3267" s="87">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70</v>
      </c>
      <c r="C3268" s="10" t="s">
        <v>2513</v>
      </c>
      <c r="D3268" s="10" t="s">
        <v>505</v>
      </c>
      <c r="E3268" s="11" t="str">
        <f t="array" ref="E3268">_xlfn.XLOOKUP(D3268,Insumos!B:B,Insumos!C:$C)</f>
        <v>UN</v>
      </c>
      <c r="F3268" s="14">
        <v>1</v>
      </c>
      <c r="G3268" s="87">
        <f t="array" ref="G3268">IF(B3268="insumo",_xlfn.XLOOKUP($D3268,Insumos!$B$1:$B$996,Insumos!$D$1:$D$996),"")</f>
        <v>0.08</v>
      </c>
      <c r="H3268" s="87">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70</v>
      </c>
      <c r="C3269" s="77" t="s">
        <v>2513</v>
      </c>
      <c r="D3269" s="77" t="s">
        <v>2388</v>
      </c>
      <c r="E3269" s="11" t="str">
        <f t="array" ref="E3269">_xlfn.XLOOKUP(D3269,Insumos!B:B,Insumos!C:$C)</f>
        <v>KG</v>
      </c>
      <c r="F3269" s="14">
        <v>0.01</v>
      </c>
      <c r="G3269" s="87">
        <f t="array" ref="G3269">IF(B3269="insumo",_xlfn.XLOOKUP($D3269,Insumos!$B$1:$B$996,Insumos!$D$1:$D$996),"")</f>
        <v>38</v>
      </c>
      <c r="H3269" s="87">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336">
        <v>1</v>
      </c>
      <c r="B3270" s="336" t="s">
        <v>67</v>
      </c>
      <c r="C3270" s="336" t="s">
        <v>2514</v>
      </c>
      <c r="D3270" s="336" t="s">
        <v>2514</v>
      </c>
      <c r="E3270" s="337" t="s">
        <v>69</v>
      </c>
      <c r="F3270" s="336"/>
      <c r="G3270" s="338" t="str">
        <f t="array" ref="G3270">IF(B3270="insumo",_xlfn.XLOOKUP($D3270,Insumos!$B$1:$B$996,Insumos!$D$1:$D$996),"")</f>
        <v/>
      </c>
      <c r="H3270" s="338">
        <v>79.119</v>
      </c>
      <c r="I3270" s="339">
        <v>0</v>
      </c>
      <c r="J3270" s="339">
        <v>0</v>
      </c>
      <c r="K3270" s="339"/>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77">
        <v>6</v>
      </c>
      <c r="B3271" s="77" t="s">
        <v>70</v>
      </c>
      <c r="C3271" s="77" t="s">
        <v>2514</v>
      </c>
      <c r="D3271" s="77" t="s">
        <v>1730</v>
      </c>
      <c r="E3271" s="11" t="str">
        <f t="array" ref="E3271">_xlfn.XLOOKUP(D3271,Insumos!B:B,Insumos!C:$C)</f>
        <v>M2</v>
      </c>
      <c r="F3271" s="83">
        <v>1.1000000000000001</v>
      </c>
      <c r="G3271" s="87">
        <f t="array" ref="G3271">IF(B3271="insumo",_xlfn.XLOOKUP($D3271,Insumos!$B$1:$B$996,Insumos!$D$1:$D$996),"")</f>
        <v>63.59</v>
      </c>
      <c r="H3271" s="87">
        <v>69.948999999999998</v>
      </c>
      <c r="I3271" s="79">
        <v>0</v>
      </c>
      <c r="J3271" s="79">
        <v>0</v>
      </c>
      <c r="K3271" s="79"/>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77">
        <v>16</v>
      </c>
      <c r="B3272" s="77" t="s">
        <v>70</v>
      </c>
      <c r="C3272" s="77" t="s">
        <v>2514</v>
      </c>
      <c r="D3272" s="77" t="s">
        <v>657</v>
      </c>
      <c r="E3272" s="11" t="str">
        <f t="array" ref="E3272">_xlfn.XLOOKUP(D3272,Insumos!B:B,Insumos!C:$C)</f>
        <v>KG</v>
      </c>
      <c r="F3272" s="83">
        <v>8.8000000000000007</v>
      </c>
      <c r="G3272" s="87">
        <f t="array" ref="G3272">IF(B3272="insumo",_xlfn.XLOOKUP($D3272,Insumos!$B$1:$B$996,Insumos!$D$1:$D$996),"")</f>
        <v>0.95</v>
      </c>
      <c r="H3272" s="87">
        <v>8.36</v>
      </c>
      <c r="I3272" s="79">
        <v>0</v>
      </c>
      <c r="J3272" s="79">
        <v>0</v>
      </c>
      <c r="K3272" s="79"/>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77">
        <v>17</v>
      </c>
      <c r="B3273" s="77" t="s">
        <v>70</v>
      </c>
      <c r="C3273" s="77" t="s">
        <v>2514</v>
      </c>
      <c r="D3273" s="77" t="s">
        <v>520</v>
      </c>
      <c r="E3273" s="11" t="str">
        <f t="array" ref="E3273">_xlfn.XLOOKUP(D3273,Insumos!B:B,Insumos!C:$C)</f>
        <v>UN</v>
      </c>
      <c r="F3273" s="83">
        <v>1</v>
      </c>
      <c r="G3273" s="87">
        <f t="array" ref="G3273">IF(B3273="insumo",_xlfn.XLOOKUP($D3273,Insumos!$B$1:$B$996,Insumos!$D$1:$D$996),"")</f>
        <v>0.05</v>
      </c>
      <c r="H3273" s="87">
        <v>0.05</v>
      </c>
      <c r="I3273" s="79">
        <v>0</v>
      </c>
      <c r="J3273" s="79">
        <v>0</v>
      </c>
      <c r="K3273" s="79"/>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77">
        <v>36</v>
      </c>
      <c r="B3274" s="77" t="s">
        <v>70</v>
      </c>
      <c r="C3274" s="77" t="s">
        <v>2514</v>
      </c>
      <c r="D3274" s="77" t="s">
        <v>2388</v>
      </c>
      <c r="E3274" s="11" t="str">
        <f t="array" ref="E3274">_xlfn.XLOOKUP(D3274,Insumos!B:B,Insumos!C:$C)</f>
        <v>KG</v>
      </c>
      <c r="F3274" s="83">
        <v>0.02</v>
      </c>
      <c r="G3274" s="87">
        <f t="array" ref="G3274">IF(B3274="insumo",_xlfn.XLOOKUP($D3274,Insumos!$B$1:$B$996,Insumos!$D$1:$D$996),"")</f>
        <v>38</v>
      </c>
      <c r="H3274" s="87">
        <v>0.76</v>
      </c>
      <c r="I3274" s="79">
        <v>0</v>
      </c>
      <c r="J3274" s="79">
        <v>0</v>
      </c>
      <c r="K3274" s="79"/>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336">
        <v>1</v>
      </c>
      <c r="B3275" s="336" t="s">
        <v>67</v>
      </c>
      <c r="C3275" s="336" t="s">
        <v>2515</v>
      </c>
      <c r="D3275" s="336" t="s">
        <v>2515</v>
      </c>
      <c r="E3275" s="337" t="s">
        <v>69</v>
      </c>
      <c r="F3275" s="336"/>
      <c r="G3275" s="338" t="str">
        <f t="array" ref="G3275">IF(B3275="insumo",_xlfn.XLOOKUP($D3275,Insumos!$B$1:$B$996,Insumos!$D$1:$D$996),"")</f>
        <v/>
      </c>
      <c r="H3275" s="338">
        <v>89.938599999999994</v>
      </c>
      <c r="I3275" s="339">
        <v>0</v>
      </c>
      <c r="J3275" s="339">
        <v>0</v>
      </c>
      <c r="K3275" s="339"/>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77">
        <v>3</v>
      </c>
      <c r="B3276" s="77" t="s">
        <v>70</v>
      </c>
      <c r="C3276" s="84" t="s">
        <v>2515</v>
      </c>
      <c r="D3276" s="84" t="s">
        <v>1762</v>
      </c>
      <c r="E3276" s="11" t="str">
        <f t="array" ref="E3276">_xlfn.XLOOKUP(D3276,Insumos!B:B,Insumos!C:$C)</f>
        <v>M2</v>
      </c>
      <c r="F3276" s="81">
        <v>1.1000000000000001</v>
      </c>
      <c r="G3276" s="87">
        <f t="array" ref="G3276">IF(B3276="insumo",_xlfn.XLOOKUP($D3276,Insumos!$B$1:$B$996,Insumos!$D$1:$D$996),"")</f>
        <v>72.63</v>
      </c>
      <c r="H3276" s="87">
        <v>79.893000000000001</v>
      </c>
      <c r="I3276" s="79">
        <v>0</v>
      </c>
      <c r="J3276" s="79">
        <v>0</v>
      </c>
      <c r="K3276" s="79"/>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77">
        <v>191</v>
      </c>
      <c r="B3277" s="77" t="s">
        <v>70</v>
      </c>
      <c r="C3277" s="77" t="s">
        <v>2515</v>
      </c>
      <c r="D3277" s="77" t="s">
        <v>480</v>
      </c>
      <c r="E3277" s="11" t="str">
        <f t="array" ref="E3277">_xlfn.XLOOKUP(D3277,Insumos!B:B,Insumos!C:$C)</f>
        <v>KG</v>
      </c>
      <c r="F3277" s="81">
        <v>8.8000000000000007</v>
      </c>
      <c r="G3277" s="87">
        <f t="array" ref="G3277">IF(B3277="insumo",_xlfn.XLOOKUP($D3277,Insumos!$B$1:$B$996,Insumos!$D$1:$D$996),"")</f>
        <v>1.0645</v>
      </c>
      <c r="H3277" s="87">
        <v>9.3675999999999995</v>
      </c>
      <c r="I3277" s="79">
        <v>0</v>
      </c>
      <c r="J3277" s="79">
        <v>0</v>
      </c>
      <c r="K3277" s="79"/>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77">
        <v>142</v>
      </c>
      <c r="B3278" s="77" t="s">
        <v>70</v>
      </c>
      <c r="C3278" s="77" t="s">
        <v>2515</v>
      </c>
      <c r="D3278" s="77" t="s">
        <v>505</v>
      </c>
      <c r="E3278" s="11" t="str">
        <f t="array" ref="E3278">_xlfn.XLOOKUP(D3278,Insumos!B:B,Insumos!C:$C)</f>
        <v>UN</v>
      </c>
      <c r="F3278" s="81">
        <v>3</v>
      </c>
      <c r="G3278" s="87">
        <f t="array" ref="G3278">IF(B3278="insumo",_xlfn.XLOOKUP($D3278,Insumos!$B$1:$B$996,Insumos!$D$1:$D$996),"")</f>
        <v>0.08</v>
      </c>
      <c r="H3278" s="87">
        <v>0.24</v>
      </c>
      <c r="I3278" s="79">
        <v>0</v>
      </c>
      <c r="J3278" s="79">
        <v>0</v>
      </c>
      <c r="K3278" s="79"/>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77">
        <v>22</v>
      </c>
      <c r="B3279" s="77" t="s">
        <v>70</v>
      </c>
      <c r="C3279" s="77" t="s">
        <v>2515</v>
      </c>
      <c r="D3279" s="77" t="s">
        <v>1765</v>
      </c>
      <c r="E3279" s="11" t="str">
        <f t="array" ref="E3279">_xlfn.XLOOKUP(D3279,Insumos!B:B,Insumos!C:$C)</f>
        <v>KG</v>
      </c>
      <c r="F3279" s="81">
        <v>0.01</v>
      </c>
      <c r="G3279" s="87">
        <f t="array" ref="G3279">IF(B3279="insumo",_xlfn.XLOOKUP($D3279,Insumos!$B$1:$B$996,Insumos!$D$1:$D$996),"")</f>
        <v>43.8</v>
      </c>
      <c r="H3279" s="87">
        <v>0.438</v>
      </c>
      <c r="I3279" s="79">
        <v>0</v>
      </c>
      <c r="J3279" s="79">
        <v>0</v>
      </c>
      <c r="K3279" s="79"/>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336">
        <v>1</v>
      </c>
      <c r="B3280" s="336" t="s">
        <v>67</v>
      </c>
      <c r="C3280" s="336" t="s">
        <v>2516</v>
      </c>
      <c r="D3280" s="336" t="s">
        <v>2516</v>
      </c>
      <c r="E3280" s="337" t="s">
        <v>69</v>
      </c>
      <c r="F3280" s="336"/>
      <c r="G3280" s="338" t="str">
        <f t="array" ref="G3280">IF(B3280="insumo",_xlfn.XLOOKUP($D3280,Insumos!$B$1:$B$996,Insumos!$D$1:$D$996),"")</f>
        <v/>
      </c>
      <c r="H3280" s="338">
        <v>61.8386</v>
      </c>
      <c r="I3280" s="339" t="e">
        <v>#REF!</v>
      </c>
      <c r="J3280" s="339" t="e">
        <v>#REF!</v>
      </c>
      <c r="K3280" s="339"/>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77">
        <v>6</v>
      </c>
      <c r="B3281" s="77" t="s">
        <v>70</v>
      </c>
      <c r="C3281" s="84" t="s">
        <v>2516</v>
      </c>
      <c r="D3281" s="84" t="s">
        <v>504</v>
      </c>
      <c r="E3281" s="11" t="str">
        <f t="array" ref="E3281">_xlfn.XLOOKUP(D3281,Insumos!B:B,Insumos!C:$C)</f>
        <v>M2</v>
      </c>
      <c r="F3281" s="81">
        <v>1.1000000000000001</v>
      </c>
      <c r="G3281" s="87">
        <f t="array" ref="G3281">IF(B3281="insumo",_xlfn.XLOOKUP($D3281,Insumos!$B$1:$B$996,Insumos!$D$1:$D$996),"")</f>
        <v>47.23</v>
      </c>
      <c r="H3281" s="87">
        <v>51.953000000000003</v>
      </c>
      <c r="I3281" s="79" t="e">
        <v>#REF!</v>
      </c>
      <c r="J3281" s="79" t="e">
        <v>#REF!</v>
      </c>
      <c r="K3281" s="79"/>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77">
        <v>191</v>
      </c>
      <c r="B3282" s="77" t="s">
        <v>70</v>
      </c>
      <c r="C3282" s="77" t="s">
        <v>2516</v>
      </c>
      <c r="D3282" s="77" t="s">
        <v>480</v>
      </c>
      <c r="E3282" s="11" t="str">
        <f t="array" ref="E3282">_xlfn.XLOOKUP(D3282,Insumos!B:B,Insumos!C:$C)</f>
        <v>KG</v>
      </c>
      <c r="F3282" s="81">
        <v>8.8000000000000007</v>
      </c>
      <c r="G3282" s="87">
        <f t="array" ref="G3282">IF(B3282="insumo",_xlfn.XLOOKUP($D3282,Insumos!$B$1:$B$996,Insumos!$D$1:$D$996),"")</f>
        <v>1.0645</v>
      </c>
      <c r="H3282" s="87">
        <v>9.3675999999999995</v>
      </c>
      <c r="I3282" s="79" t="e">
        <v>#REF!</v>
      </c>
      <c r="J3282" s="79" t="e">
        <v>#REF!</v>
      </c>
      <c r="K3282" s="79"/>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77">
        <v>142</v>
      </c>
      <c r="B3283" s="77" t="s">
        <v>70</v>
      </c>
      <c r="C3283" s="77" t="s">
        <v>2516</v>
      </c>
      <c r="D3283" s="77" t="s">
        <v>505</v>
      </c>
      <c r="E3283" s="11" t="str">
        <f t="array" ref="E3283">_xlfn.XLOOKUP(D3283,Insumos!B:B,Insumos!C:$C)</f>
        <v>UN</v>
      </c>
      <c r="F3283" s="81">
        <v>1</v>
      </c>
      <c r="G3283" s="87">
        <f t="array" ref="G3283">IF(B3283="insumo",_xlfn.XLOOKUP($D3283,Insumos!$B$1:$B$996,Insumos!$D$1:$D$996),"")</f>
        <v>0.08</v>
      </c>
      <c r="H3283" s="87">
        <v>0.08</v>
      </c>
      <c r="I3283" s="79" t="e">
        <v>#REF!</v>
      </c>
      <c r="J3283" s="79" t="e">
        <v>#REF!</v>
      </c>
      <c r="K3283" s="79"/>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77">
        <v>22</v>
      </c>
      <c r="B3284" s="77" t="s">
        <v>70</v>
      </c>
      <c r="C3284" s="77" t="s">
        <v>2516</v>
      </c>
      <c r="D3284" s="77" t="s">
        <v>1765</v>
      </c>
      <c r="E3284" s="11" t="str">
        <f t="array" ref="E3284">_xlfn.XLOOKUP(D3284,Insumos!B:B,Insumos!C:$C)</f>
        <v>KG</v>
      </c>
      <c r="F3284" s="81">
        <v>0.01</v>
      </c>
      <c r="G3284" s="87">
        <f t="array" ref="G3284">IF(B3284="insumo",_xlfn.XLOOKUP($D3284,Insumos!$B$1:$B$996,Insumos!$D$1:$D$996),"")</f>
        <v>43.8</v>
      </c>
      <c r="H3284" s="87">
        <v>0.438</v>
      </c>
      <c r="I3284" s="79" t="e">
        <v>#REF!</v>
      </c>
      <c r="J3284" s="79" t="e">
        <v>#REF!</v>
      </c>
      <c r="K3284" s="79"/>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332">
        <v>1</v>
      </c>
      <c r="B3285" s="332" t="s">
        <v>67</v>
      </c>
      <c r="C3285" s="332" t="s">
        <v>1475</v>
      </c>
      <c r="D3285" s="332" t="s">
        <v>1475</v>
      </c>
      <c r="E3285" s="333" t="s">
        <v>69</v>
      </c>
      <c r="F3285" s="332"/>
      <c r="G3285" s="334" t="str">
        <f t="array" ref="G3285">IF(B3285="insumo",_xlfn.XLOOKUP($D3285,Insumos!$B$1:$B$996,Insumos!$D$1:$D$996),"")</f>
        <v/>
      </c>
      <c r="H3285" s="334">
        <v>58.073</v>
      </c>
      <c r="I3285" s="335">
        <v>0</v>
      </c>
      <c r="J3285" s="335">
        <v>0</v>
      </c>
      <c r="K3285" s="335"/>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70</v>
      </c>
      <c r="C3286" s="77" t="s">
        <v>1475</v>
      </c>
      <c r="D3286" s="77" t="s">
        <v>672</v>
      </c>
      <c r="E3286" s="11" t="str">
        <f t="array" ref="E3286">_xlfn.XLOOKUP(D3286,Insumos!B:B,Insumos!C:$C)</f>
        <v>M2</v>
      </c>
      <c r="F3286" s="14">
        <v>1.1000000000000001</v>
      </c>
      <c r="G3286" s="87">
        <f t="array" ref="G3286">IF(B3286="insumo",_xlfn.XLOOKUP($D3286,Insumos!$B$1:$B$996,Insumos!$D$1:$D$996),"")</f>
        <v>44.9</v>
      </c>
      <c r="H3286" s="87">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70</v>
      </c>
      <c r="C3287" s="10" t="s">
        <v>1475</v>
      </c>
      <c r="D3287" s="10" t="s">
        <v>657</v>
      </c>
      <c r="E3287" s="11" t="str">
        <f t="array" ref="E3287">_xlfn.XLOOKUP(D3287,Insumos!B:B,Insumos!C:$C)</f>
        <v>KG</v>
      </c>
      <c r="F3287" s="14">
        <v>8.8000000000000007</v>
      </c>
      <c r="G3287" s="87">
        <f t="array" ref="G3287">IF(B3287="insumo",_xlfn.XLOOKUP($D3287,Insumos!$B$1:$B$996,Insumos!$D$1:$D$996),"")</f>
        <v>0.95</v>
      </c>
      <c r="H3287" s="87">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70</v>
      </c>
      <c r="C3288" s="10" t="s">
        <v>1475</v>
      </c>
      <c r="D3288" s="10" t="s">
        <v>520</v>
      </c>
      <c r="E3288" s="11" t="str">
        <f t="array" ref="E3288">_xlfn.XLOOKUP(D3288,Insumos!B:B,Insumos!C:$C)</f>
        <v>UN</v>
      </c>
      <c r="F3288" s="14">
        <v>2</v>
      </c>
      <c r="G3288" s="87">
        <f t="array" ref="G3288">IF(B3288="insumo",_xlfn.XLOOKUP($D3288,Insumos!$B$1:$B$996,Insumos!$D$1:$D$996),"")</f>
        <v>0.05</v>
      </c>
      <c r="H3288" s="87">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70</v>
      </c>
      <c r="C3289" s="10" t="s">
        <v>1475</v>
      </c>
      <c r="D3289" s="10" t="s">
        <v>506</v>
      </c>
      <c r="E3289" s="11" t="str">
        <f t="array" ref="E3289">_xlfn.XLOOKUP(D3289,Insumos!B:B,Insumos!C:$C)</f>
        <v>KG</v>
      </c>
      <c r="F3289" s="14">
        <v>0.02</v>
      </c>
      <c r="G3289" s="87">
        <f t="array" ref="G3289">IF(B3289="insumo",_xlfn.XLOOKUP($D3289,Insumos!$B$1:$B$996,Insumos!$D$1:$D$996),"")</f>
        <v>11.15</v>
      </c>
      <c r="H3289" s="87">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336">
        <v>1</v>
      </c>
      <c r="B3290" s="336" t="s">
        <v>67</v>
      </c>
      <c r="C3290" s="336" t="s">
        <v>1807</v>
      </c>
      <c r="D3290" s="336" t="s">
        <v>1807</v>
      </c>
      <c r="E3290" s="337" t="s">
        <v>69</v>
      </c>
      <c r="F3290" s="336"/>
      <c r="G3290" s="338" t="str">
        <f t="array" ref="G3290">IF(B3290="insumo",_xlfn.XLOOKUP($D3290,Insumos!$B$1:$B$996,Insumos!$D$1:$D$996),"")</f>
        <v/>
      </c>
      <c r="H3290" s="338">
        <v>79.119</v>
      </c>
      <c r="I3290" s="339">
        <v>0</v>
      </c>
      <c r="J3290" s="339">
        <v>0</v>
      </c>
      <c r="K3290" s="339"/>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77">
        <v>6</v>
      </c>
      <c r="B3291" s="77" t="s">
        <v>70</v>
      </c>
      <c r="C3291" s="77" t="s">
        <v>1807</v>
      </c>
      <c r="D3291" s="77" t="s">
        <v>1730</v>
      </c>
      <c r="E3291" s="11" t="str">
        <f t="array" ref="E3291">_xlfn.XLOOKUP(D3291,Insumos!B:B,Insumos!C:$C)</f>
        <v>M2</v>
      </c>
      <c r="F3291" s="85">
        <v>1.1000000000000001</v>
      </c>
      <c r="G3291" s="87">
        <f t="array" ref="G3291">IF(B3291="insumo",_xlfn.XLOOKUP($D3291,Insumos!$B$1:$B$996,Insumos!$D$1:$D$996),"")</f>
        <v>63.59</v>
      </c>
      <c r="H3291" s="87">
        <v>69.948999999999998</v>
      </c>
      <c r="I3291" s="79">
        <v>0</v>
      </c>
      <c r="J3291" s="79">
        <v>0</v>
      </c>
      <c r="K3291" s="79"/>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77">
        <v>16</v>
      </c>
      <c r="B3292" s="77" t="s">
        <v>70</v>
      </c>
      <c r="C3292" s="77" t="s">
        <v>1807</v>
      </c>
      <c r="D3292" s="77" t="s">
        <v>657</v>
      </c>
      <c r="E3292" s="11" t="str">
        <f t="array" ref="E3292">_xlfn.XLOOKUP(D3292,Insumos!B:B,Insumos!C:$C)</f>
        <v>KG</v>
      </c>
      <c r="F3292" s="85">
        <v>8.8000000000000007</v>
      </c>
      <c r="G3292" s="87">
        <f t="array" ref="G3292">IF(B3292="insumo",_xlfn.XLOOKUP($D3292,Insumos!$B$1:$B$996,Insumos!$D$1:$D$996),"")</f>
        <v>0.95</v>
      </c>
      <c r="H3292" s="87">
        <v>8.36</v>
      </c>
      <c r="I3292" s="79">
        <v>0</v>
      </c>
      <c r="J3292" s="79">
        <v>0</v>
      </c>
      <c r="K3292" s="79"/>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77">
        <v>17</v>
      </c>
      <c r="B3293" s="77" t="s">
        <v>70</v>
      </c>
      <c r="C3293" s="77" t="s">
        <v>1807</v>
      </c>
      <c r="D3293" s="77" t="s">
        <v>520</v>
      </c>
      <c r="E3293" s="11" t="str">
        <f t="array" ref="E3293">_xlfn.XLOOKUP(D3293,Insumos!B:B,Insumos!C:$C)</f>
        <v>UN</v>
      </c>
      <c r="F3293" s="85">
        <v>1</v>
      </c>
      <c r="G3293" s="87">
        <f t="array" ref="G3293">IF(B3293="insumo",_xlfn.XLOOKUP($D3293,Insumos!$B$1:$B$996,Insumos!$D$1:$D$996),"")</f>
        <v>0.05</v>
      </c>
      <c r="H3293" s="87">
        <v>0.05</v>
      </c>
      <c r="I3293" s="79">
        <v>0</v>
      </c>
      <c r="J3293" s="79">
        <v>0</v>
      </c>
      <c r="K3293" s="79"/>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77">
        <v>36</v>
      </c>
      <c r="B3294" s="77" t="s">
        <v>70</v>
      </c>
      <c r="C3294" s="77" t="s">
        <v>1807</v>
      </c>
      <c r="D3294" s="77" t="s">
        <v>2388</v>
      </c>
      <c r="E3294" s="11" t="str">
        <f t="array" ref="E3294">_xlfn.XLOOKUP(D3294,Insumos!B:B,Insumos!C:$C)</f>
        <v>KG</v>
      </c>
      <c r="F3294" s="85">
        <v>0.02</v>
      </c>
      <c r="G3294" s="87">
        <f t="array" ref="G3294">IF(B3294="insumo",_xlfn.XLOOKUP($D3294,Insumos!$B$1:$B$996,Insumos!$D$1:$D$996),"")</f>
        <v>38</v>
      </c>
      <c r="H3294" s="87">
        <v>0.76</v>
      </c>
      <c r="I3294" s="79">
        <v>0</v>
      </c>
      <c r="J3294" s="79">
        <v>0</v>
      </c>
      <c r="K3294" s="79"/>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336">
        <v>1</v>
      </c>
      <c r="B3295" s="336" t="s">
        <v>67</v>
      </c>
      <c r="C3295" s="336" t="s">
        <v>1808</v>
      </c>
      <c r="D3295" s="336" t="s">
        <v>1808</v>
      </c>
      <c r="E3295" s="337" t="s">
        <v>69</v>
      </c>
      <c r="F3295" s="336"/>
      <c r="G3295" s="338" t="str">
        <f t="array" ref="G3295">IF(B3295="insumo",_xlfn.XLOOKUP($D3295,Insumos!$B$1:$B$996,Insumos!$D$1:$D$996),"")</f>
        <v/>
      </c>
      <c r="H3295" s="338">
        <v>52.237000000000002</v>
      </c>
      <c r="I3295" s="339">
        <v>0</v>
      </c>
      <c r="J3295" s="339">
        <v>0</v>
      </c>
      <c r="K3295" s="339"/>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77">
        <v>2</v>
      </c>
      <c r="B3296" s="77" t="s">
        <v>70</v>
      </c>
      <c r="C3296" s="77" t="s">
        <v>1808</v>
      </c>
      <c r="D3296" s="77" t="s">
        <v>656</v>
      </c>
      <c r="E3296" s="11" t="str">
        <f t="array" ref="E3296">_xlfn.XLOOKUP(D3296,Insumos!B:B,Insumos!C:$C)</f>
        <v>M2</v>
      </c>
      <c r="F3296" s="85">
        <v>1.1000000000000001</v>
      </c>
      <c r="G3296" s="87">
        <f t="array" ref="G3296">IF(B3296="insumo",_xlfn.XLOOKUP($D3296,Insumos!$B$1:$B$996,Insumos!$D$1:$D$996),"")</f>
        <v>39.64</v>
      </c>
      <c r="H3296" s="87">
        <v>43.603999999999999</v>
      </c>
      <c r="I3296" s="79">
        <v>0</v>
      </c>
      <c r="J3296" s="79">
        <v>0</v>
      </c>
      <c r="K3296" s="79"/>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77">
        <v>16</v>
      </c>
      <c r="B3297" s="77" t="s">
        <v>70</v>
      </c>
      <c r="C3297" s="77" t="s">
        <v>1808</v>
      </c>
      <c r="D3297" s="77" t="s">
        <v>657</v>
      </c>
      <c r="E3297" s="11" t="str">
        <f t="array" ref="E3297">_xlfn.XLOOKUP(D3297,Insumos!B:B,Insumos!C:$C)</f>
        <v>KG</v>
      </c>
      <c r="F3297" s="85">
        <v>8.8000000000000007</v>
      </c>
      <c r="G3297" s="87">
        <f t="array" ref="G3297">IF(B3297="insumo",_xlfn.XLOOKUP($D3297,Insumos!$B$1:$B$996,Insumos!$D$1:$D$996),"")</f>
        <v>0.95</v>
      </c>
      <c r="H3297" s="87">
        <v>8.36</v>
      </c>
      <c r="I3297" s="79">
        <v>0</v>
      </c>
      <c r="J3297" s="79">
        <v>0</v>
      </c>
      <c r="K3297" s="79"/>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77">
        <v>17</v>
      </c>
      <c r="B3298" s="77" t="s">
        <v>70</v>
      </c>
      <c r="C3298" s="77" t="s">
        <v>1808</v>
      </c>
      <c r="D3298" s="77" t="s">
        <v>520</v>
      </c>
      <c r="E3298" s="11" t="str">
        <f t="array" ref="E3298">_xlfn.XLOOKUP(D3298,Insumos!B:B,Insumos!C:$C)</f>
        <v>UN</v>
      </c>
      <c r="F3298" s="85">
        <v>1</v>
      </c>
      <c r="G3298" s="87">
        <f t="array" ref="G3298">IF(B3298="insumo",_xlfn.XLOOKUP($D3298,Insumos!$B$1:$B$996,Insumos!$D$1:$D$996),"")</f>
        <v>0.05</v>
      </c>
      <c r="H3298" s="87">
        <v>0.05</v>
      </c>
      <c r="I3298" s="79">
        <v>0</v>
      </c>
      <c r="J3298" s="79">
        <v>0</v>
      </c>
      <c r="K3298" s="79"/>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77">
        <v>101</v>
      </c>
      <c r="B3299" s="77" t="s">
        <v>70</v>
      </c>
      <c r="C3299" s="77" t="s">
        <v>1808</v>
      </c>
      <c r="D3299" s="77" t="s">
        <v>506</v>
      </c>
      <c r="E3299" s="11" t="str">
        <f t="array" ref="E3299">_xlfn.XLOOKUP(D3299,Insumos!B:B,Insumos!C:$C)</f>
        <v>KG</v>
      </c>
      <c r="F3299" s="85">
        <v>0.02</v>
      </c>
      <c r="G3299" s="87">
        <f t="array" ref="G3299">IF(B3299="insumo",_xlfn.XLOOKUP($D3299,Insumos!$B$1:$B$996,Insumos!$D$1:$D$996),"")</f>
        <v>11.15</v>
      </c>
      <c r="H3299" s="87">
        <v>0.223</v>
      </c>
      <c r="I3299" s="79">
        <v>0</v>
      </c>
      <c r="J3299" s="79">
        <v>0</v>
      </c>
      <c r="K3299" s="79"/>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336">
        <v>1</v>
      </c>
      <c r="B3300" s="336" t="s">
        <v>67</v>
      </c>
      <c r="C3300" s="336" t="s">
        <v>1816</v>
      </c>
      <c r="D3300" s="336" t="s">
        <v>1816</v>
      </c>
      <c r="E3300" s="337" t="s">
        <v>69</v>
      </c>
      <c r="F3300" s="336"/>
      <c r="G3300" s="338" t="str">
        <f t="array" ref="G3300">IF(B3300="insumo",_xlfn.XLOOKUP($D3300,Insumos!$B$1:$B$996,Insumos!$D$1:$D$996),"")</f>
        <v/>
      </c>
      <c r="H3300" s="338">
        <v>58.073</v>
      </c>
      <c r="I3300" s="339" t="e">
        <v>#REF!</v>
      </c>
      <c r="J3300" s="339" t="e">
        <v>#REF!</v>
      </c>
      <c r="K3300" s="339"/>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77">
        <v>4</v>
      </c>
      <c r="B3301" s="77" t="s">
        <v>70</v>
      </c>
      <c r="C3301" s="77" t="s">
        <v>1816</v>
      </c>
      <c r="D3301" s="77" t="s">
        <v>672</v>
      </c>
      <c r="E3301" s="11" t="str">
        <f t="array" ref="E3301">_xlfn.XLOOKUP(D3301,Insumos!B:B,Insumos!C:$C)</f>
        <v>M2</v>
      </c>
      <c r="F3301" s="85">
        <v>1.1000000000000001</v>
      </c>
      <c r="G3301" s="87">
        <f t="array" ref="G3301">IF(B3301="insumo",_xlfn.XLOOKUP($D3301,Insumos!$B$1:$B$996,Insumos!$D$1:$D$996),"")</f>
        <v>44.9</v>
      </c>
      <c r="H3301" s="87">
        <v>49.39</v>
      </c>
      <c r="I3301" s="79" t="e">
        <v>#REF!</v>
      </c>
      <c r="J3301" s="79" t="e">
        <v>#REF!</v>
      </c>
      <c r="K3301" s="79"/>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77">
        <v>16</v>
      </c>
      <c r="B3302" s="77" t="s">
        <v>70</v>
      </c>
      <c r="C3302" s="77" t="s">
        <v>1816</v>
      </c>
      <c r="D3302" s="77" t="s">
        <v>657</v>
      </c>
      <c r="E3302" s="11" t="str">
        <f t="array" ref="E3302">_xlfn.XLOOKUP(D3302,Insumos!B:B,Insumos!C:$C)</f>
        <v>KG</v>
      </c>
      <c r="F3302" s="85">
        <v>8.8000000000000007</v>
      </c>
      <c r="G3302" s="87">
        <f t="array" ref="G3302">IF(B3302="insumo",_xlfn.XLOOKUP($D3302,Insumos!$B$1:$B$996,Insumos!$D$1:$D$996),"")</f>
        <v>0.95</v>
      </c>
      <c r="H3302" s="87">
        <v>8.36</v>
      </c>
      <c r="I3302" s="79" t="e">
        <v>#REF!</v>
      </c>
      <c r="J3302" s="79" t="e">
        <v>#REF!</v>
      </c>
      <c r="K3302" s="79"/>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77">
        <v>17</v>
      </c>
      <c r="B3303" s="77" t="s">
        <v>70</v>
      </c>
      <c r="C3303" s="77" t="s">
        <v>1816</v>
      </c>
      <c r="D3303" s="77" t="s">
        <v>520</v>
      </c>
      <c r="E3303" s="11" t="str">
        <f t="array" ref="E3303">_xlfn.XLOOKUP(D3303,Insumos!B:B,Insumos!C:$C)</f>
        <v>UN</v>
      </c>
      <c r="F3303" s="85">
        <v>2</v>
      </c>
      <c r="G3303" s="87">
        <f t="array" ref="G3303">IF(B3303="insumo",_xlfn.XLOOKUP($D3303,Insumos!$B$1:$B$996,Insumos!$D$1:$D$996),"")</f>
        <v>0.05</v>
      </c>
      <c r="H3303" s="87">
        <v>0.1</v>
      </c>
      <c r="I3303" s="79" t="e">
        <v>#REF!</v>
      </c>
      <c r="J3303" s="79" t="e">
        <v>#REF!</v>
      </c>
      <c r="K3303" s="79"/>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77">
        <v>101</v>
      </c>
      <c r="B3304" s="77" t="s">
        <v>70</v>
      </c>
      <c r="C3304" s="77" t="s">
        <v>1816</v>
      </c>
      <c r="D3304" s="77" t="s">
        <v>506</v>
      </c>
      <c r="E3304" s="11" t="str">
        <f t="array" ref="E3304">_xlfn.XLOOKUP(D3304,Insumos!B:B,Insumos!C:$C)</f>
        <v>KG</v>
      </c>
      <c r="F3304" s="85">
        <v>0.02</v>
      </c>
      <c r="G3304" s="87">
        <f t="array" ref="G3304">IF(B3304="insumo",_xlfn.XLOOKUP($D3304,Insumos!$B$1:$B$996,Insumos!$D$1:$D$996),"")</f>
        <v>11.15</v>
      </c>
      <c r="H3304" s="87">
        <v>0.223</v>
      </c>
      <c r="I3304" s="79" t="e">
        <v>#REF!</v>
      </c>
      <c r="J3304" s="79" t="e">
        <v>#REF!</v>
      </c>
      <c r="K3304" s="79"/>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336">
        <v>1</v>
      </c>
      <c r="B3305" s="336" t="s">
        <v>67</v>
      </c>
      <c r="C3305" s="336" t="s">
        <v>1806</v>
      </c>
      <c r="D3305" s="336" t="s">
        <v>1806</v>
      </c>
      <c r="E3305" s="337" t="s">
        <v>69</v>
      </c>
      <c r="F3305" s="336"/>
      <c r="G3305" s="338" t="str">
        <f t="array" ref="G3305">IF(B3305="insumo",_xlfn.XLOOKUP($D3305,Insumos!$B$1:$B$996,Insumos!$D$1:$D$996),"")</f>
        <v/>
      </c>
      <c r="H3305" s="338">
        <v>78.581999999999994</v>
      </c>
      <c r="I3305" s="339">
        <v>0</v>
      </c>
      <c r="J3305" s="339">
        <v>0</v>
      </c>
      <c r="K3305" s="339"/>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77">
        <v>6</v>
      </c>
      <c r="B3306" s="77" t="s">
        <v>70</v>
      </c>
      <c r="C3306" s="77" t="s">
        <v>1806</v>
      </c>
      <c r="D3306" s="77" t="s">
        <v>1730</v>
      </c>
      <c r="E3306" s="11" t="str">
        <f t="array" ref="E3306">_xlfn.XLOOKUP(D3306,Insumos!B:B,Insumos!C:$C)</f>
        <v>M2</v>
      </c>
      <c r="F3306" s="85">
        <v>1.1000000000000001</v>
      </c>
      <c r="G3306" s="87">
        <f t="array" ref="G3306">IF(B3306="insumo",_xlfn.XLOOKUP($D3306,Insumos!$B$1:$B$996,Insumos!$D$1:$D$996),"")</f>
        <v>63.59</v>
      </c>
      <c r="H3306" s="87">
        <v>69.948999999999998</v>
      </c>
      <c r="I3306" s="79">
        <v>0</v>
      </c>
      <c r="J3306" s="79">
        <v>0</v>
      </c>
      <c r="K3306" s="79"/>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77">
        <v>16</v>
      </c>
      <c r="B3307" s="77" t="s">
        <v>70</v>
      </c>
      <c r="C3307" s="77" t="s">
        <v>1806</v>
      </c>
      <c r="D3307" s="77" t="s">
        <v>657</v>
      </c>
      <c r="E3307" s="11" t="str">
        <f t="array" ref="E3307">_xlfn.XLOOKUP(D3307,Insumos!B:B,Insumos!C:$C)</f>
        <v>KG</v>
      </c>
      <c r="F3307" s="85">
        <v>8.8000000000000007</v>
      </c>
      <c r="G3307" s="87">
        <f t="array" ref="G3307">IF(B3307="insumo",_xlfn.XLOOKUP($D3307,Insumos!$B$1:$B$996,Insumos!$D$1:$D$996),"")</f>
        <v>0.95</v>
      </c>
      <c r="H3307" s="87">
        <v>8.36</v>
      </c>
      <c r="I3307" s="79">
        <v>0</v>
      </c>
      <c r="J3307" s="79">
        <v>0</v>
      </c>
      <c r="K3307" s="79"/>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77">
        <v>17</v>
      </c>
      <c r="B3308" s="77" t="s">
        <v>70</v>
      </c>
      <c r="C3308" s="77" t="s">
        <v>1806</v>
      </c>
      <c r="D3308" s="77" t="s">
        <v>520</v>
      </c>
      <c r="E3308" s="11" t="str">
        <f t="array" ref="E3308">_xlfn.XLOOKUP(D3308,Insumos!B:B,Insumos!C:$C)</f>
        <v>UN</v>
      </c>
      <c r="F3308" s="85">
        <v>1</v>
      </c>
      <c r="G3308" s="87">
        <f t="array" ref="G3308">IF(B3308="insumo",_xlfn.XLOOKUP($D3308,Insumos!$B$1:$B$996,Insumos!$D$1:$D$996),"")</f>
        <v>0.05</v>
      </c>
      <c r="H3308" s="87">
        <v>0.05</v>
      </c>
      <c r="I3308" s="79">
        <v>0</v>
      </c>
      <c r="J3308" s="79">
        <v>0</v>
      </c>
      <c r="K3308" s="79"/>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77">
        <v>101</v>
      </c>
      <c r="B3309" s="77" t="s">
        <v>70</v>
      </c>
      <c r="C3309" s="77" t="s">
        <v>1806</v>
      </c>
      <c r="D3309" s="77" t="s">
        <v>506</v>
      </c>
      <c r="E3309" s="11" t="str">
        <f t="array" ref="E3309">_xlfn.XLOOKUP(D3309,Insumos!B:B,Insumos!C:$C)</f>
        <v>KG</v>
      </c>
      <c r="F3309" s="85">
        <v>0.02</v>
      </c>
      <c r="G3309" s="87">
        <f t="array" ref="G3309">IF(B3309="insumo",_xlfn.XLOOKUP($D3309,Insumos!$B$1:$B$996,Insumos!$D$1:$D$996),"")</f>
        <v>11.15</v>
      </c>
      <c r="H3309" s="87">
        <v>0.223</v>
      </c>
      <c r="I3309" s="79">
        <v>0</v>
      </c>
      <c r="J3309" s="79">
        <v>0</v>
      </c>
      <c r="K3309" s="79"/>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355">
        <v>1</v>
      </c>
      <c r="B3310" s="355" t="s">
        <v>1227</v>
      </c>
      <c r="C3310" s="355" t="s">
        <v>1806</v>
      </c>
      <c r="D3310" s="355" t="s">
        <v>1456</v>
      </c>
      <c r="E3310" s="356"/>
      <c r="F3310" s="357"/>
      <c r="G3310" s="356"/>
      <c r="H3310" s="356">
        <v>0</v>
      </c>
      <c r="I3310" s="357">
        <v>0</v>
      </c>
      <c r="J3310" s="357">
        <v>0</v>
      </c>
      <c r="K3310" s="357"/>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332">
        <v>1</v>
      </c>
      <c r="B3311" s="332" t="s">
        <v>67</v>
      </c>
      <c r="C3311" s="332" t="s">
        <v>1481</v>
      </c>
      <c r="D3311" s="332" t="s">
        <v>1481</v>
      </c>
      <c r="E3311" s="333" t="s">
        <v>69</v>
      </c>
      <c r="F3311" s="332"/>
      <c r="G3311" s="334" t="str">
        <f t="array" ref="G3311">IF(B3311="insumo",_xlfn.XLOOKUP($D3311,Insumos!$B$1:$B$996,Insumos!$D$1:$D$996),"")</f>
        <v/>
      </c>
      <c r="H3311" s="334">
        <v>59.060600000000001</v>
      </c>
      <c r="I3311" s="335">
        <v>0</v>
      </c>
      <c r="J3311" s="335">
        <v>0</v>
      </c>
      <c r="K3311" s="335"/>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70</v>
      </c>
      <c r="C3312" s="10" t="s">
        <v>1481</v>
      </c>
      <c r="D3312" s="10" t="s">
        <v>1482</v>
      </c>
      <c r="E3312" s="11" t="str">
        <f t="array" ref="E3312">_xlfn.XLOOKUP(D3312,Insumos!B:B,Insumos!C:$C)</f>
        <v>M2</v>
      </c>
      <c r="F3312" s="14">
        <v>1.1000000000000001</v>
      </c>
      <c r="G3312" s="87">
        <f t="array" ref="G3312">IF(B3312="insumo",_xlfn.XLOOKUP($D3312,Insumos!$B$1:$B$996,Insumos!$D$1:$D$996),"")</f>
        <v>44.9</v>
      </c>
      <c r="H3312" s="87">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70</v>
      </c>
      <c r="C3313" s="10" t="s">
        <v>1481</v>
      </c>
      <c r="D3313" s="10" t="s">
        <v>480</v>
      </c>
      <c r="E3313" s="11" t="str">
        <f t="array" ref="E3313">_xlfn.XLOOKUP(D3313,Insumos!B:B,Insumos!C:$C)</f>
        <v>KG</v>
      </c>
      <c r="F3313" s="14">
        <v>8.8000000000000007</v>
      </c>
      <c r="G3313" s="87">
        <f t="array" ref="G3313">IF(B3313="insumo",_xlfn.XLOOKUP($D3313,Insumos!$B$1:$B$996,Insumos!$D$1:$D$996),"")</f>
        <v>1.0645</v>
      </c>
      <c r="H3313" s="87">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70</v>
      </c>
      <c r="C3314" s="10" t="s">
        <v>1481</v>
      </c>
      <c r="D3314" s="10" t="s">
        <v>505</v>
      </c>
      <c r="E3314" s="11" t="str">
        <f t="array" ref="E3314">_xlfn.XLOOKUP(D3314,Insumos!B:B,Insumos!C:$C)</f>
        <v>UN</v>
      </c>
      <c r="F3314" s="14">
        <v>1</v>
      </c>
      <c r="G3314" s="87">
        <f t="array" ref="G3314">IF(B3314="insumo",_xlfn.XLOOKUP($D3314,Insumos!$B$1:$B$996,Insumos!$D$1:$D$996),"")</f>
        <v>0.08</v>
      </c>
      <c r="H3314" s="87">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70</v>
      </c>
      <c r="C3315" s="10" t="s">
        <v>1481</v>
      </c>
      <c r="D3315" s="10" t="s">
        <v>506</v>
      </c>
      <c r="E3315" s="11" t="str">
        <f t="array" ref="E3315">_xlfn.XLOOKUP(D3315,Insumos!B:B,Insumos!C:$C)</f>
        <v>KG</v>
      </c>
      <c r="F3315" s="14">
        <v>0.02</v>
      </c>
      <c r="G3315" s="87">
        <f t="array" ref="G3315">IF(B3315="insumo",_xlfn.XLOOKUP($D3315,Insumos!$B$1:$B$996,Insumos!$D$1:$D$996),"")</f>
        <v>11.15</v>
      </c>
      <c r="H3315" s="87">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332">
        <v>1</v>
      </c>
      <c r="B3316" s="332" t="s">
        <v>67</v>
      </c>
      <c r="C3316" s="332" t="s">
        <v>645</v>
      </c>
      <c r="D3316" s="332" t="s">
        <v>645</v>
      </c>
      <c r="E3316" s="333" t="s">
        <v>69</v>
      </c>
      <c r="F3316" s="332"/>
      <c r="G3316" s="334" t="str">
        <f t="array" ref="G3316">IF(B3316="insumo",_xlfn.XLOOKUP($D3316,Insumos!$B$1:$B$996,Insumos!$D$1:$D$996),"")</f>
        <v/>
      </c>
      <c r="H3316" s="334">
        <v>130.4066</v>
      </c>
      <c r="I3316" s="335">
        <v>0</v>
      </c>
      <c r="J3316" s="335">
        <v>0</v>
      </c>
      <c r="K3316" s="335"/>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70</v>
      </c>
      <c r="C3317" s="10" t="s">
        <v>645</v>
      </c>
      <c r="D3317" s="10" t="s">
        <v>646</v>
      </c>
      <c r="E3317" s="11" t="str">
        <f t="array" ref="E3317">_xlfn.XLOOKUP(D3317,Insumos!B:B,Insumos!C:$C)</f>
        <v>M2</v>
      </c>
      <c r="F3317" s="14">
        <v>1.1000000000000001</v>
      </c>
      <c r="G3317" s="87">
        <f t="array" ref="G3317">IF(B3317="insumo",_xlfn.XLOOKUP($D3317,Insumos!$B$1:$B$996,Insumos!$D$1:$D$996),"")</f>
        <v>109.89</v>
      </c>
      <c r="H3317" s="87">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70</v>
      </c>
      <c r="C3318" s="10" t="s">
        <v>645</v>
      </c>
      <c r="D3318" s="10" t="s">
        <v>480</v>
      </c>
      <c r="E3318" s="11" t="str">
        <f t="array" ref="E3318">_xlfn.XLOOKUP(D3318,Insumos!B:B,Insumos!C:$C)</f>
        <v>KG</v>
      </c>
      <c r="F3318" s="14">
        <v>8.8000000000000007</v>
      </c>
      <c r="G3318" s="87">
        <f t="array" ref="G3318">IF(B3318="insumo",_xlfn.XLOOKUP($D3318,Insumos!$B$1:$B$996,Insumos!$D$1:$D$996),"")</f>
        <v>1.0645</v>
      </c>
      <c r="H3318" s="87">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70</v>
      </c>
      <c r="C3319" s="10" t="s">
        <v>645</v>
      </c>
      <c r="D3319" s="10" t="s">
        <v>505</v>
      </c>
      <c r="E3319" s="11" t="str">
        <f t="array" ref="E3319">_xlfn.XLOOKUP(D3319,Insumos!B:B,Insumos!C:$C)</f>
        <v>UN</v>
      </c>
      <c r="F3319" s="14">
        <v>2</v>
      </c>
      <c r="G3319" s="87">
        <f t="array" ref="G3319">IF(B3319="insumo",_xlfn.XLOOKUP($D3319,Insumos!$B$1:$B$996,Insumos!$D$1:$D$996),"")</f>
        <v>0.08</v>
      </c>
      <c r="H3319" s="87">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332">
        <v>1</v>
      </c>
      <c r="B3320" s="332" t="s">
        <v>67</v>
      </c>
      <c r="C3320" s="332" t="s">
        <v>1474</v>
      </c>
      <c r="D3320" s="332" t="s">
        <v>1474</v>
      </c>
      <c r="E3320" s="333" t="s">
        <v>69</v>
      </c>
      <c r="F3320" s="332"/>
      <c r="G3320" s="334" t="str">
        <f t="array" ref="G3320">IF(B3320="insumo",_xlfn.XLOOKUP($D3320,Insumos!$B$1:$B$996,Insumos!$D$1:$D$996),"")</f>
        <v/>
      </c>
      <c r="H3320" s="334">
        <v>100.373</v>
      </c>
      <c r="I3320" s="335">
        <v>0</v>
      </c>
      <c r="J3320" s="335">
        <v>0</v>
      </c>
      <c r="K3320" s="335"/>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70</v>
      </c>
      <c r="C3321" s="10" t="s">
        <v>1474</v>
      </c>
      <c r="D3321" s="10" t="s">
        <v>1472</v>
      </c>
      <c r="E3321" s="11" t="str">
        <f t="array" ref="E3321">_xlfn.XLOOKUP(D3321,Insumos!B:B,Insumos!C:$C)</f>
        <v>M2</v>
      </c>
      <c r="F3321" s="14">
        <v>1.1000000000000001</v>
      </c>
      <c r="G3321" s="87">
        <f t="array" ref="G3321">IF(B3321="insumo",_xlfn.XLOOKUP($D3321,Insumos!$B$1:$B$996,Insumos!$D$1:$D$996),"")</f>
        <v>83.4</v>
      </c>
      <c r="H3321" s="87">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70</v>
      </c>
      <c r="C3322" s="10" t="s">
        <v>1474</v>
      </c>
      <c r="D3322" s="10" t="s">
        <v>657</v>
      </c>
      <c r="E3322" s="11" t="str">
        <f t="array" ref="E3322">_xlfn.XLOOKUP(D3322,Insumos!B:B,Insumos!C:$C)</f>
        <v>KG</v>
      </c>
      <c r="F3322" s="14">
        <v>8.8000000000000007</v>
      </c>
      <c r="G3322" s="87">
        <f t="array" ref="G3322">IF(B3322="insumo",_xlfn.XLOOKUP($D3322,Insumos!$B$1:$B$996,Insumos!$D$1:$D$996),"")</f>
        <v>0.95</v>
      </c>
      <c r="H3322" s="87">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70</v>
      </c>
      <c r="C3323" s="10" t="s">
        <v>1474</v>
      </c>
      <c r="D3323" s="10" t="s">
        <v>520</v>
      </c>
      <c r="E3323" s="11" t="str">
        <f t="array" ref="E3323">_xlfn.XLOOKUP(D3323,Insumos!B:B,Insumos!C:$C)</f>
        <v>UN</v>
      </c>
      <c r="F3323" s="14">
        <v>1</v>
      </c>
      <c r="G3323" s="87">
        <f t="array" ref="G3323">IF(B3323="insumo",_xlfn.XLOOKUP($D3323,Insumos!$B$1:$B$996,Insumos!$D$1:$D$996),"")</f>
        <v>0.05</v>
      </c>
      <c r="H3323" s="87">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70</v>
      </c>
      <c r="C3324" s="10" t="s">
        <v>1474</v>
      </c>
      <c r="D3324" s="10" t="s">
        <v>506</v>
      </c>
      <c r="E3324" s="11" t="str">
        <f t="array" ref="E3324">_xlfn.XLOOKUP(D3324,Insumos!B:B,Insumos!C:$C)</f>
        <v>KG</v>
      </c>
      <c r="F3324" s="14">
        <v>0.02</v>
      </c>
      <c r="G3324" s="87">
        <f t="array" ref="G3324">IF(B3324="insumo",_xlfn.XLOOKUP($D3324,Insumos!$B$1:$B$996,Insumos!$D$1:$D$996),"")</f>
        <v>11.15</v>
      </c>
      <c r="H3324" s="87">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332">
        <v>1</v>
      </c>
      <c r="B3325" s="332" t="s">
        <v>67</v>
      </c>
      <c r="C3325" s="332" t="s">
        <v>2590</v>
      </c>
      <c r="D3325" s="332" t="s">
        <v>2590</v>
      </c>
      <c r="E3325" s="333" t="s">
        <v>69</v>
      </c>
      <c r="F3325" s="332"/>
      <c r="G3325" s="334" t="str">
        <f t="array" ref="G3325">IF(B3325="insumo",_xlfn.XLOOKUP($D3325,Insumos!$B$1:$B$996,Insumos!$D$1:$D$996),"")</f>
        <v/>
      </c>
      <c r="H3325" s="334">
        <v>117.6276</v>
      </c>
      <c r="I3325" s="335" t="e">
        <v>#REF!</v>
      </c>
      <c r="J3325" s="335" t="e">
        <v>#REF!</v>
      </c>
      <c r="K3325" s="335"/>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70</v>
      </c>
      <c r="C3326" s="10" t="s">
        <v>2590</v>
      </c>
      <c r="D3326" s="10" t="s">
        <v>2538</v>
      </c>
      <c r="E3326" s="11" t="str">
        <f t="array" ref="E3326">_xlfn.XLOOKUP(D3326,Insumos!B:B,Insumos!C:$C)</f>
        <v>M2</v>
      </c>
      <c r="F3326" s="14">
        <v>1.1000000000000001</v>
      </c>
      <c r="G3326" s="87">
        <f t="array" ref="G3326">IF(B3326="insumo",_xlfn.XLOOKUP($D3326,Insumos!$B$1:$B$996,Insumos!$D$1:$D$996),"")</f>
        <v>98</v>
      </c>
      <c r="H3326" s="87">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70</v>
      </c>
      <c r="C3327" s="10" t="s">
        <v>2590</v>
      </c>
      <c r="D3327" s="10" t="s">
        <v>480</v>
      </c>
      <c r="E3327" s="11" t="str">
        <f t="array" ref="E3327">_xlfn.XLOOKUP(D3327,Insumos!B:B,Insumos!C:$C)</f>
        <v>KG</v>
      </c>
      <c r="F3327" s="14">
        <v>8.8000000000000007</v>
      </c>
      <c r="G3327" s="87">
        <f t="array" ref="G3327">IF(B3327="insumo",_xlfn.XLOOKUP($D3327,Insumos!$B$1:$B$996,Insumos!$D$1:$D$996),"")</f>
        <v>1.0645</v>
      </c>
      <c r="H3327" s="87">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70</v>
      </c>
      <c r="C3328" s="10" t="s">
        <v>2590</v>
      </c>
      <c r="D3328" s="10" t="s">
        <v>505</v>
      </c>
      <c r="E3328" s="11" t="str">
        <f t="array" ref="E3328">_xlfn.XLOOKUP(D3328,Insumos!B:B,Insumos!C:$C)</f>
        <v>UN</v>
      </c>
      <c r="F3328" s="14">
        <v>1</v>
      </c>
      <c r="G3328" s="87">
        <f t="array" ref="G3328">IF(B3328="insumo",_xlfn.XLOOKUP($D3328,Insumos!$B$1:$B$996,Insumos!$D$1:$D$996),"")</f>
        <v>0.08</v>
      </c>
      <c r="H3328" s="87">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70</v>
      </c>
      <c r="C3329" s="77" t="s">
        <v>2590</v>
      </c>
      <c r="D3329" s="77" t="s">
        <v>2388</v>
      </c>
      <c r="E3329" s="11" t="str">
        <f t="array" ref="E3329">_xlfn.XLOOKUP(D3329,Insumos!B:B,Insumos!C:$C)</f>
        <v>KG</v>
      </c>
      <c r="F3329" s="14">
        <v>0.01</v>
      </c>
      <c r="G3329" s="87">
        <f t="array" ref="G3329">IF(B3329="insumo",_xlfn.XLOOKUP($D3329,Insumos!$B$1:$B$996,Insumos!$D$1:$D$996),"")</f>
        <v>38</v>
      </c>
      <c r="H3329" s="87">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332">
        <v>1</v>
      </c>
      <c r="B3330" s="332" t="s">
        <v>67</v>
      </c>
      <c r="C3330" s="332" t="s">
        <v>2511</v>
      </c>
      <c r="D3330" s="332" t="s">
        <v>2511</v>
      </c>
      <c r="E3330" s="333" t="s">
        <v>69</v>
      </c>
      <c r="F3330" s="332"/>
      <c r="G3330" s="334" t="str">
        <f t="array" ref="G3330">IF(B3330="insumo",_xlfn.XLOOKUP($D3330,Insumos!$B$1:$B$996,Insumos!$D$1:$D$996),"")</f>
        <v/>
      </c>
      <c r="H3330" s="334">
        <v>229.82759999999999</v>
      </c>
      <c r="I3330" s="335" t="e">
        <v>#REF!</v>
      </c>
      <c r="J3330" s="335" t="e">
        <v>#REF!</v>
      </c>
      <c r="K3330" s="335"/>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70</v>
      </c>
      <c r="C3331" s="10" t="s">
        <v>2511</v>
      </c>
      <c r="D3331" s="10" t="s">
        <v>2377</v>
      </c>
      <c r="E3331" s="11" t="str">
        <f t="array" ref="E3331">_xlfn.XLOOKUP(D3331,Insumos!B:B,Insumos!C:$C)</f>
        <v>M2</v>
      </c>
      <c r="F3331" s="14">
        <v>1.1000000000000001</v>
      </c>
      <c r="G3331" s="87">
        <f t="array" ref="G3331">IF(B3331="insumo",_xlfn.XLOOKUP($D3331,Insumos!$B$1:$B$996,Insumos!$D$1:$D$996),"")</f>
        <v>200</v>
      </c>
      <c r="H3331" s="87">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70</v>
      </c>
      <c r="C3332" s="10" t="s">
        <v>2511</v>
      </c>
      <c r="D3332" s="10" t="s">
        <v>480</v>
      </c>
      <c r="E3332" s="11" t="str">
        <f t="array" ref="E3332">_xlfn.XLOOKUP(D3332,Insumos!B:B,Insumos!C:$C)</f>
        <v>KG</v>
      </c>
      <c r="F3332" s="14">
        <v>8.8000000000000007</v>
      </c>
      <c r="G3332" s="87">
        <f t="array" ref="G3332">IF(B3332="insumo",_xlfn.XLOOKUP($D3332,Insumos!$B$1:$B$996,Insumos!$D$1:$D$996),"")</f>
        <v>1.0645</v>
      </c>
      <c r="H3332" s="87">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70</v>
      </c>
      <c r="C3333" s="10" t="s">
        <v>2511</v>
      </c>
      <c r="D3333" s="10" t="s">
        <v>505</v>
      </c>
      <c r="E3333" s="11" t="str">
        <f t="array" ref="E3333">_xlfn.XLOOKUP(D3333,Insumos!B:B,Insumos!C:$C)</f>
        <v>UN</v>
      </c>
      <c r="F3333" s="14">
        <v>1</v>
      </c>
      <c r="G3333" s="87">
        <f t="array" ref="G3333">IF(B3333="insumo",_xlfn.XLOOKUP($D3333,Insumos!$B$1:$B$996,Insumos!$D$1:$D$996),"")</f>
        <v>0.08</v>
      </c>
      <c r="H3333" s="87">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70</v>
      </c>
      <c r="C3334" s="77" t="s">
        <v>2511</v>
      </c>
      <c r="D3334" s="77" t="s">
        <v>2388</v>
      </c>
      <c r="E3334" s="11" t="str">
        <f t="array" ref="E3334">_xlfn.XLOOKUP(D3334,Insumos!B:B,Insumos!C:$C)</f>
        <v>KG</v>
      </c>
      <c r="F3334" s="14">
        <v>0.01</v>
      </c>
      <c r="G3334" s="87">
        <f t="array" ref="G3334">IF(B3334="insumo",_xlfn.XLOOKUP($D3334,Insumos!$B$1:$B$996,Insumos!$D$1:$D$996),"")</f>
        <v>38</v>
      </c>
      <c r="H3334" s="87">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332">
        <v>1</v>
      </c>
      <c r="B3335" s="332" t="s">
        <v>67</v>
      </c>
      <c r="C3335" s="332" t="s">
        <v>2512</v>
      </c>
      <c r="D3335" s="332" t="s">
        <v>2512</v>
      </c>
      <c r="E3335" s="333" t="s">
        <v>69</v>
      </c>
      <c r="F3335" s="332"/>
      <c r="G3335" s="334" t="str">
        <f t="array" ref="G3335">IF(B3335="insumo",_xlfn.XLOOKUP($D3335,Insumos!$B$1:$B$996,Insumos!$D$1:$D$996),"")</f>
        <v/>
      </c>
      <c r="H3335" s="334">
        <v>141.82759999999999</v>
      </c>
      <c r="I3335" s="335" t="e">
        <v>#REF!</v>
      </c>
      <c r="J3335" s="335" t="e">
        <v>#REF!</v>
      </c>
      <c r="K3335" s="335"/>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70</v>
      </c>
      <c r="C3336" s="10" t="s">
        <v>2512</v>
      </c>
      <c r="D3336" s="10" t="s">
        <v>2379</v>
      </c>
      <c r="E3336" s="11" t="str">
        <f t="array" ref="E3336">_xlfn.XLOOKUP(D3336,Insumos!B:B,Insumos!C:$C)</f>
        <v>M2</v>
      </c>
      <c r="F3336" s="14">
        <v>1.1000000000000001</v>
      </c>
      <c r="G3336" s="87">
        <f t="array" ref="G3336">IF(B3336="insumo",_xlfn.XLOOKUP($D3336,Insumos!$B$1:$B$996,Insumos!$D$1:$D$996),"")</f>
        <v>120</v>
      </c>
      <c r="H3336" s="87">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70</v>
      </c>
      <c r="C3337" s="10" t="s">
        <v>2512</v>
      </c>
      <c r="D3337" s="10" t="s">
        <v>480</v>
      </c>
      <c r="E3337" s="11" t="str">
        <f t="array" ref="E3337">_xlfn.XLOOKUP(D3337,Insumos!B:B,Insumos!C:$C)</f>
        <v>KG</v>
      </c>
      <c r="F3337" s="14">
        <v>8.8000000000000007</v>
      </c>
      <c r="G3337" s="87">
        <f t="array" ref="G3337">IF(B3337="insumo",_xlfn.XLOOKUP($D3337,Insumos!$B$1:$B$996,Insumos!$D$1:$D$996),"")</f>
        <v>1.0645</v>
      </c>
      <c r="H3337" s="87">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70</v>
      </c>
      <c r="C3338" s="10" t="s">
        <v>2512</v>
      </c>
      <c r="D3338" s="10" t="s">
        <v>505</v>
      </c>
      <c r="E3338" s="11" t="str">
        <f t="array" ref="E3338">_xlfn.XLOOKUP(D3338,Insumos!B:B,Insumos!C:$C)</f>
        <v>UN</v>
      </c>
      <c r="F3338" s="14">
        <v>1</v>
      </c>
      <c r="G3338" s="87">
        <f t="array" ref="G3338">IF(B3338="insumo",_xlfn.XLOOKUP($D3338,Insumos!$B$1:$B$996,Insumos!$D$1:$D$996),"")</f>
        <v>0.08</v>
      </c>
      <c r="H3338" s="87">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70</v>
      </c>
      <c r="C3339" s="77" t="s">
        <v>2512</v>
      </c>
      <c r="D3339" s="77" t="s">
        <v>2388</v>
      </c>
      <c r="E3339" s="11" t="str">
        <f t="array" ref="E3339">_xlfn.XLOOKUP(D3339,Insumos!B:B,Insumos!C:$C)</f>
        <v>KG</v>
      </c>
      <c r="F3339" s="14">
        <v>0.01</v>
      </c>
      <c r="G3339" s="87">
        <f t="array" ref="G3339">IF(B3339="insumo",_xlfn.XLOOKUP($D3339,Insumos!$B$1:$B$996,Insumos!$D$1:$D$996),"")</f>
        <v>38</v>
      </c>
      <c r="H3339" s="87">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332">
        <v>1</v>
      </c>
      <c r="B3340" s="332" t="s">
        <v>67</v>
      </c>
      <c r="C3340" s="332" t="s">
        <v>654</v>
      </c>
      <c r="D3340" s="332" t="s">
        <v>654</v>
      </c>
      <c r="E3340" s="333" t="s">
        <v>69</v>
      </c>
      <c r="F3340" s="332"/>
      <c r="G3340" s="334" t="str">
        <f t="array" ref="G3340">IF(B3340="insumo",_xlfn.XLOOKUP($D3340,Insumos!$B$1:$B$996,Insumos!$D$1:$D$996),"")</f>
        <v/>
      </c>
      <c r="H3340" s="334">
        <v>108.56059999999999</v>
      </c>
      <c r="I3340" s="335">
        <v>0</v>
      </c>
      <c r="J3340" s="335">
        <v>0</v>
      </c>
      <c r="K3340" s="335"/>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70</v>
      </c>
      <c r="C3341" s="10" t="s">
        <v>654</v>
      </c>
      <c r="D3341" s="10" t="s">
        <v>653</v>
      </c>
      <c r="E3341" s="11" t="str">
        <f t="array" ref="E3341">_xlfn.XLOOKUP(D3341,Insumos!B:B,Insumos!C:$C)</f>
        <v>M2</v>
      </c>
      <c r="F3341" s="14">
        <v>1.1000000000000001</v>
      </c>
      <c r="G3341" s="87">
        <f t="array" ref="G3341">IF(B3341="insumo",_xlfn.XLOOKUP($D3341,Insumos!$B$1:$B$996,Insumos!$D$1:$D$996),"")</f>
        <v>89.9</v>
      </c>
      <c r="H3341" s="87">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70</v>
      </c>
      <c r="C3342" s="10" t="s">
        <v>654</v>
      </c>
      <c r="D3342" s="10" t="s">
        <v>480</v>
      </c>
      <c r="E3342" s="11" t="str">
        <f t="array" ref="E3342">_xlfn.XLOOKUP(D3342,Insumos!B:B,Insumos!C:$C)</f>
        <v>KG</v>
      </c>
      <c r="F3342" s="14">
        <v>8.8000000000000007</v>
      </c>
      <c r="G3342" s="87">
        <f t="array" ref="G3342">IF(B3342="insumo",_xlfn.XLOOKUP($D3342,Insumos!$B$1:$B$996,Insumos!$D$1:$D$996),"")</f>
        <v>1.0645</v>
      </c>
      <c r="H3342" s="87">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70</v>
      </c>
      <c r="C3343" s="10" t="s">
        <v>654</v>
      </c>
      <c r="D3343" s="10" t="s">
        <v>505</v>
      </c>
      <c r="E3343" s="11" t="str">
        <f t="array" ref="E3343">_xlfn.XLOOKUP(D3343,Insumos!B:B,Insumos!C:$C)</f>
        <v>UN</v>
      </c>
      <c r="F3343" s="14">
        <v>1</v>
      </c>
      <c r="G3343" s="87">
        <f t="array" ref="G3343">IF(B3343="insumo",_xlfn.XLOOKUP($D3343,Insumos!$B$1:$B$996,Insumos!$D$1:$D$996),"")</f>
        <v>0.08</v>
      </c>
      <c r="H3343" s="87">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70</v>
      </c>
      <c r="C3344" s="10" t="s">
        <v>654</v>
      </c>
      <c r="D3344" s="10" t="s">
        <v>506</v>
      </c>
      <c r="E3344" s="11" t="str">
        <f t="array" ref="E3344">_xlfn.XLOOKUP(D3344,Insumos!B:B,Insumos!C:$C)</f>
        <v>KG</v>
      </c>
      <c r="F3344" s="14">
        <v>0.02</v>
      </c>
      <c r="G3344" s="87">
        <f t="array" ref="G3344">IF(B3344="insumo",_xlfn.XLOOKUP($D3344,Insumos!$B$1:$B$996,Insumos!$D$1:$D$996),"")</f>
        <v>11.15</v>
      </c>
      <c r="H3344" s="87">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332">
        <v>1</v>
      </c>
      <c r="B3345" s="332" t="s">
        <v>67</v>
      </c>
      <c r="C3345" s="332" t="s">
        <v>1617</v>
      </c>
      <c r="D3345" s="332" t="s">
        <v>1617</v>
      </c>
      <c r="E3345" s="333" t="s">
        <v>69</v>
      </c>
      <c r="F3345" s="332"/>
      <c r="G3345" s="334" t="str">
        <f t="array" ref="G3345">IF(B3345="insumo",_xlfn.XLOOKUP($D3345,Insumos!$B$1:$B$996,Insumos!$D$1:$D$996),"")</f>
        <v/>
      </c>
      <c r="H3345" s="334">
        <v>57.805100000000003</v>
      </c>
      <c r="I3345" s="335">
        <v>0</v>
      </c>
      <c r="J3345" s="335">
        <v>0</v>
      </c>
      <c r="K3345" s="335"/>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70</v>
      </c>
      <c r="C3346" s="10" t="s">
        <v>1617</v>
      </c>
      <c r="D3346" s="10" t="s">
        <v>1413</v>
      </c>
      <c r="E3346" s="11" t="str">
        <f t="array" ref="E3346">_xlfn.XLOOKUP(D3346,Insumos!B:B,Insumos!C:$C)</f>
        <v>M2</v>
      </c>
      <c r="F3346" s="14">
        <v>1.1000000000000001</v>
      </c>
      <c r="G3346" s="87">
        <f t="array" ref="G3346">IF(B3346="insumo",_xlfn.XLOOKUP($D3346,Insumos!$B$1:$B$996,Insumos!$D$1:$D$996),"")</f>
        <v>43.86</v>
      </c>
      <c r="H3346" s="87">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70</v>
      </c>
      <c r="C3347" s="10" t="s">
        <v>1617</v>
      </c>
      <c r="D3347" s="10" t="s">
        <v>480</v>
      </c>
      <c r="E3347" s="11" t="str">
        <f t="array" ref="E3347">_xlfn.XLOOKUP(D3347,Insumos!B:B,Insumos!C:$C)</f>
        <v>KG</v>
      </c>
      <c r="F3347" s="14">
        <v>8.8000000000000007</v>
      </c>
      <c r="G3347" s="87">
        <f t="array" ref="G3347">IF(B3347="insumo",_xlfn.XLOOKUP($D3347,Insumos!$B$1:$B$996,Insumos!$D$1:$D$996),"")</f>
        <v>1.0645</v>
      </c>
      <c r="H3347" s="87">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70</v>
      </c>
      <c r="C3348" s="10" t="s">
        <v>1617</v>
      </c>
      <c r="D3348" s="10" t="s">
        <v>505</v>
      </c>
      <c r="E3348" s="11" t="str">
        <f t="array" ref="E3348">_xlfn.XLOOKUP(D3348,Insumos!B:B,Insumos!C:$C)</f>
        <v>UN</v>
      </c>
      <c r="F3348" s="14">
        <v>1</v>
      </c>
      <c r="G3348" s="87">
        <f t="array" ref="G3348">IF(B3348="insumo",_xlfn.XLOOKUP($D3348,Insumos!$B$1:$B$996,Insumos!$D$1:$D$996),"")</f>
        <v>0.08</v>
      </c>
      <c r="H3348" s="87">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70</v>
      </c>
      <c r="C3349" s="10" t="s">
        <v>1617</v>
      </c>
      <c r="D3349" s="10" t="s">
        <v>506</v>
      </c>
      <c r="E3349" s="11" t="str">
        <f t="array" ref="E3349">_xlfn.XLOOKUP(D3349,Insumos!B:B,Insumos!C:$C)</f>
        <v>KG</v>
      </c>
      <c r="F3349" s="14">
        <v>0.01</v>
      </c>
      <c r="G3349" s="87">
        <f t="array" ref="G3349">IF(B3349="insumo",_xlfn.XLOOKUP($D3349,Insumos!$B$1:$B$996,Insumos!$D$1:$D$996),"")</f>
        <v>11.15</v>
      </c>
      <c r="H3349" s="87">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332">
        <v>1</v>
      </c>
      <c r="B3350" s="332" t="s">
        <v>67</v>
      </c>
      <c r="C3350" s="332" t="s">
        <v>661</v>
      </c>
      <c r="D3350" s="332" t="s">
        <v>661</v>
      </c>
      <c r="E3350" s="333" t="s">
        <v>69</v>
      </c>
      <c r="F3350" s="332"/>
      <c r="G3350" s="334" t="str">
        <f t="array" ref="G3350">IF(B3350="insumo",_xlfn.XLOOKUP($D3350,Insumos!$B$1:$B$996,Insumos!$D$1:$D$996),"")</f>
        <v/>
      </c>
      <c r="H3350" s="334">
        <v>108.56059999999999</v>
      </c>
      <c r="I3350" s="335">
        <v>0</v>
      </c>
      <c r="J3350" s="335">
        <v>0</v>
      </c>
      <c r="K3350" s="335"/>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70</v>
      </c>
      <c r="C3351" s="10" t="s">
        <v>661</v>
      </c>
      <c r="D3351" s="10" t="s">
        <v>653</v>
      </c>
      <c r="E3351" s="11" t="str">
        <f t="array" ref="E3351">_xlfn.XLOOKUP(D3351,Insumos!B:B,Insumos!C:$C)</f>
        <v>M2</v>
      </c>
      <c r="F3351" s="14">
        <v>1.1000000000000001</v>
      </c>
      <c r="G3351" s="87">
        <f t="array" ref="G3351">IF(B3351="insumo",_xlfn.XLOOKUP($D3351,Insumos!$B$1:$B$996,Insumos!$D$1:$D$996),"")</f>
        <v>89.9</v>
      </c>
      <c r="H3351" s="87">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70</v>
      </c>
      <c r="C3352" s="10" t="s">
        <v>661</v>
      </c>
      <c r="D3352" s="10" t="s">
        <v>480</v>
      </c>
      <c r="E3352" s="11" t="str">
        <f t="array" ref="E3352">_xlfn.XLOOKUP(D3352,Insumos!B:B,Insumos!C:$C)</f>
        <v>KG</v>
      </c>
      <c r="F3352" s="14">
        <v>8.8000000000000007</v>
      </c>
      <c r="G3352" s="87">
        <f t="array" ref="G3352">IF(B3352="insumo",_xlfn.XLOOKUP($D3352,Insumos!$B$1:$B$996,Insumos!$D$1:$D$996),"")</f>
        <v>1.0645</v>
      </c>
      <c r="H3352" s="87">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70</v>
      </c>
      <c r="C3353" s="10" t="s">
        <v>661</v>
      </c>
      <c r="D3353" s="10" t="s">
        <v>505</v>
      </c>
      <c r="E3353" s="11" t="str">
        <f t="array" ref="E3353">_xlfn.XLOOKUP(D3353,Insumos!B:B,Insumos!C:$C)</f>
        <v>UN</v>
      </c>
      <c r="F3353" s="14">
        <v>1</v>
      </c>
      <c r="G3353" s="87">
        <f t="array" ref="G3353">IF(B3353="insumo",_xlfn.XLOOKUP($D3353,Insumos!$B$1:$B$996,Insumos!$D$1:$D$996),"")</f>
        <v>0.08</v>
      </c>
      <c r="H3353" s="87">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70</v>
      </c>
      <c r="C3354" s="10" t="s">
        <v>661</v>
      </c>
      <c r="D3354" s="10" t="s">
        <v>506</v>
      </c>
      <c r="E3354" s="11" t="str">
        <f t="array" ref="E3354">_xlfn.XLOOKUP(D3354,Insumos!B:B,Insumos!C:$C)</f>
        <v>KG</v>
      </c>
      <c r="F3354" s="14">
        <v>0.02</v>
      </c>
      <c r="G3354" s="87">
        <f t="array" ref="G3354">IF(B3354="insumo",_xlfn.XLOOKUP($D3354,Insumos!$B$1:$B$996,Insumos!$D$1:$D$996),"")</f>
        <v>11.15</v>
      </c>
      <c r="H3354" s="87">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332">
        <v>1</v>
      </c>
      <c r="B3355" s="332" t="s">
        <v>67</v>
      </c>
      <c r="C3355" s="332" t="s">
        <v>665</v>
      </c>
      <c r="D3355" s="332" t="s">
        <v>665</v>
      </c>
      <c r="E3355" s="333" t="s">
        <v>69</v>
      </c>
      <c r="F3355" s="332"/>
      <c r="G3355" s="334" t="str">
        <f t="array" ref="G3355">IF(B3355="insumo",_xlfn.XLOOKUP($D3355,Insumos!$B$1:$B$996,Insumos!$D$1:$D$996),"")</f>
        <v/>
      </c>
      <c r="H3355" s="334">
        <v>93.050600000000003</v>
      </c>
      <c r="I3355" s="335">
        <v>0</v>
      </c>
      <c r="J3355" s="335">
        <v>0</v>
      </c>
      <c r="K3355" s="335"/>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70</v>
      </c>
      <c r="C3356" s="10" t="s">
        <v>665</v>
      </c>
      <c r="D3356" s="10" t="s">
        <v>666</v>
      </c>
      <c r="E3356" s="11" t="str">
        <f t="array" ref="E3356">_xlfn.XLOOKUP(D3356,Insumos!B:B,Insumos!C:$C)</f>
        <v>M2</v>
      </c>
      <c r="F3356" s="14">
        <v>1.1000000000000001</v>
      </c>
      <c r="G3356" s="87">
        <f t="array" ref="G3356">IF(B3356="insumo",_xlfn.XLOOKUP($D3356,Insumos!$B$1:$B$996,Insumos!$D$1:$D$996),"")</f>
        <v>75.8</v>
      </c>
      <c r="H3356" s="87">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70</v>
      </c>
      <c r="C3357" s="10" t="s">
        <v>665</v>
      </c>
      <c r="D3357" s="10" t="s">
        <v>480</v>
      </c>
      <c r="E3357" s="11" t="str">
        <f t="array" ref="E3357">_xlfn.XLOOKUP(D3357,Insumos!B:B,Insumos!C:$C)</f>
        <v>KG</v>
      </c>
      <c r="F3357" s="14">
        <v>8.8000000000000007</v>
      </c>
      <c r="G3357" s="87">
        <f t="array" ref="G3357">IF(B3357="insumo",_xlfn.XLOOKUP($D3357,Insumos!$B$1:$B$996,Insumos!$D$1:$D$996),"")</f>
        <v>1.0645</v>
      </c>
      <c r="H3357" s="87">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70</v>
      </c>
      <c r="C3358" s="10" t="s">
        <v>665</v>
      </c>
      <c r="D3358" s="10" t="s">
        <v>505</v>
      </c>
      <c r="E3358" s="11" t="str">
        <f t="array" ref="E3358">_xlfn.XLOOKUP(D3358,Insumos!B:B,Insumos!C:$C)</f>
        <v>UN</v>
      </c>
      <c r="F3358" s="14">
        <v>1</v>
      </c>
      <c r="G3358" s="87">
        <f t="array" ref="G3358">IF(B3358="insumo",_xlfn.XLOOKUP($D3358,Insumos!$B$1:$B$996,Insumos!$D$1:$D$996),"")</f>
        <v>0.08</v>
      </c>
      <c r="H3358" s="87">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70</v>
      </c>
      <c r="C3359" s="10" t="s">
        <v>665</v>
      </c>
      <c r="D3359" s="10" t="s">
        <v>506</v>
      </c>
      <c r="E3359" s="11" t="str">
        <f t="array" ref="E3359">_xlfn.XLOOKUP(D3359,Insumos!B:B,Insumos!C:$C)</f>
        <v>KG</v>
      </c>
      <c r="F3359" s="14">
        <v>0.02</v>
      </c>
      <c r="G3359" s="87">
        <f t="array" ref="G3359">IF(B3359="insumo",_xlfn.XLOOKUP($D3359,Insumos!$B$1:$B$996,Insumos!$D$1:$D$996),"")</f>
        <v>11.15</v>
      </c>
      <c r="H3359" s="87">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332">
        <v>1</v>
      </c>
      <c r="B3360" s="332" t="s">
        <v>67</v>
      </c>
      <c r="C3360" s="332" t="s">
        <v>673</v>
      </c>
      <c r="D3360" s="332" t="s">
        <v>673</v>
      </c>
      <c r="E3360" s="333" t="s">
        <v>69</v>
      </c>
      <c r="F3360" s="332"/>
      <c r="G3360" s="334" t="str">
        <f t="array" ref="G3360">IF(B3360="insumo",_xlfn.XLOOKUP($D3360,Insumos!$B$1:$B$996,Insumos!$D$1:$D$996),"")</f>
        <v/>
      </c>
      <c r="H3360" s="334">
        <v>133.17500000000001</v>
      </c>
      <c r="I3360" s="335">
        <v>0</v>
      </c>
      <c r="J3360" s="335">
        <v>0</v>
      </c>
      <c r="K3360" s="335"/>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70</v>
      </c>
      <c r="C3361" s="10" t="s">
        <v>673</v>
      </c>
      <c r="D3361" s="10" t="s">
        <v>674</v>
      </c>
      <c r="E3361" s="11" t="str">
        <f t="array" ref="E3361">_xlfn.XLOOKUP(D3361,Insumos!B:B,Insumos!C:$C)</f>
        <v>M2</v>
      </c>
      <c r="F3361" s="14">
        <v>1.1000000000000001</v>
      </c>
      <c r="G3361" s="87">
        <f t="array" ref="G3361">IF(B3361="insumo",_xlfn.XLOOKUP($D3361,Insumos!$B$1:$B$996,Insumos!$D$1:$D$996),"")</f>
        <v>113.22</v>
      </c>
      <c r="H3361" s="87">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70</v>
      </c>
      <c r="C3362" s="10" t="s">
        <v>673</v>
      </c>
      <c r="D3362" s="10" t="s">
        <v>657</v>
      </c>
      <c r="E3362" s="11" t="str">
        <f t="array" ref="E3362">_xlfn.XLOOKUP(D3362,Insumos!B:B,Insumos!C:$C)</f>
        <v>KG</v>
      </c>
      <c r="F3362" s="14">
        <v>8.8000000000000007</v>
      </c>
      <c r="G3362" s="87">
        <f t="array" ref="G3362">IF(B3362="insumo",_xlfn.XLOOKUP($D3362,Insumos!$B$1:$B$996,Insumos!$D$1:$D$996),"")</f>
        <v>0.95</v>
      </c>
      <c r="H3362" s="87">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70</v>
      </c>
      <c r="C3363" s="10" t="s">
        <v>673</v>
      </c>
      <c r="D3363" s="10" t="s">
        <v>520</v>
      </c>
      <c r="E3363" s="11" t="str">
        <f t="array" ref="E3363">_xlfn.XLOOKUP(D3363,Insumos!B:B,Insumos!C:$C)</f>
        <v>UN</v>
      </c>
      <c r="F3363" s="14">
        <v>1</v>
      </c>
      <c r="G3363" s="87">
        <f t="array" ref="G3363">IF(B3363="insumo",_xlfn.XLOOKUP($D3363,Insumos!$B$1:$B$996,Insumos!$D$1:$D$996),"")</f>
        <v>0.05</v>
      </c>
      <c r="H3363" s="87">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70</v>
      </c>
      <c r="C3364" s="10" t="s">
        <v>673</v>
      </c>
      <c r="D3364" s="10" t="s">
        <v>506</v>
      </c>
      <c r="E3364" s="11" t="str">
        <f t="array" ref="E3364">_xlfn.XLOOKUP(D3364,Insumos!B:B,Insumos!C:$C)</f>
        <v>KG</v>
      </c>
      <c r="F3364" s="14">
        <v>0.02</v>
      </c>
      <c r="G3364" s="87">
        <f t="array" ref="G3364">IF(B3364="insumo",_xlfn.XLOOKUP($D3364,Insumos!$B$1:$B$996,Insumos!$D$1:$D$996),"")</f>
        <v>11.15</v>
      </c>
      <c r="H3364" s="87">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332">
        <v>1</v>
      </c>
      <c r="B3365" s="332" t="s">
        <v>67</v>
      </c>
      <c r="C3365" s="332" t="s">
        <v>677</v>
      </c>
      <c r="D3365" s="332" t="s">
        <v>677</v>
      </c>
      <c r="E3365" s="333" t="s">
        <v>69</v>
      </c>
      <c r="F3365" s="332"/>
      <c r="G3365" s="334" t="str">
        <f t="array" ref="G3365">IF(B3365="insumo",_xlfn.XLOOKUP($D3365,Insumos!$B$1:$B$996,Insumos!$D$1:$D$996),"")</f>
        <v/>
      </c>
      <c r="H3365" s="334">
        <v>127.32299999999999</v>
      </c>
      <c r="I3365" s="335">
        <v>0</v>
      </c>
      <c r="J3365" s="335">
        <v>0</v>
      </c>
      <c r="K3365" s="335"/>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70</v>
      </c>
      <c r="C3366" s="10" t="s">
        <v>677</v>
      </c>
      <c r="D3366" s="10" t="s">
        <v>678</v>
      </c>
      <c r="E3366" s="11" t="str">
        <f t="array" ref="E3366">_xlfn.XLOOKUP(D3366,Insumos!B:B,Insumos!C:$C)</f>
        <v>M2</v>
      </c>
      <c r="F3366" s="14">
        <v>1.1000000000000001</v>
      </c>
      <c r="G3366" s="87">
        <f t="array" ref="G3366">IF(B3366="insumo",_xlfn.XLOOKUP($D3366,Insumos!$B$1:$B$996,Insumos!$D$1:$D$996),"")</f>
        <v>107.9</v>
      </c>
      <c r="H3366" s="87">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70</v>
      </c>
      <c r="C3367" s="10" t="s">
        <v>677</v>
      </c>
      <c r="D3367" s="10" t="s">
        <v>657</v>
      </c>
      <c r="E3367" s="11" t="str">
        <f t="array" ref="E3367">_xlfn.XLOOKUP(D3367,Insumos!B:B,Insumos!C:$C)</f>
        <v>KG</v>
      </c>
      <c r="F3367" s="14">
        <v>8.8000000000000007</v>
      </c>
      <c r="G3367" s="87">
        <f t="array" ref="G3367">IF(B3367="insumo",_xlfn.XLOOKUP($D3367,Insumos!$B$1:$B$996,Insumos!$D$1:$D$996),"")</f>
        <v>0.95</v>
      </c>
      <c r="H3367" s="87">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70</v>
      </c>
      <c r="C3368" s="10" t="s">
        <v>677</v>
      </c>
      <c r="D3368" s="10" t="s">
        <v>520</v>
      </c>
      <c r="E3368" s="11" t="str">
        <f t="array" ref="E3368">_xlfn.XLOOKUP(D3368,Insumos!B:B,Insumos!C:$C)</f>
        <v>UN</v>
      </c>
      <c r="F3368" s="14">
        <v>1</v>
      </c>
      <c r="G3368" s="87">
        <f t="array" ref="G3368">IF(B3368="insumo",_xlfn.XLOOKUP($D3368,Insumos!$B$1:$B$996,Insumos!$D$1:$D$996),"")</f>
        <v>0.05</v>
      </c>
      <c r="H3368" s="87">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70</v>
      </c>
      <c r="C3369" s="10" t="s">
        <v>677</v>
      </c>
      <c r="D3369" s="10" t="s">
        <v>506</v>
      </c>
      <c r="E3369" s="11" t="str">
        <f t="array" ref="E3369">_xlfn.XLOOKUP(D3369,Insumos!B:B,Insumos!C:$C)</f>
        <v>KG</v>
      </c>
      <c r="F3369" s="14">
        <v>0.02</v>
      </c>
      <c r="G3369" s="87">
        <f t="array" ref="G3369">IF(B3369="insumo",_xlfn.XLOOKUP($D3369,Insumos!$B$1:$B$996,Insumos!$D$1:$D$996),"")</f>
        <v>11.15</v>
      </c>
      <c r="H3369" s="87">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332">
        <v>1</v>
      </c>
      <c r="B3370" s="332" t="s">
        <v>67</v>
      </c>
      <c r="C3370" s="332" t="s">
        <v>679</v>
      </c>
      <c r="D3370" s="332" t="s">
        <v>679</v>
      </c>
      <c r="E3370" s="333" t="s">
        <v>69</v>
      </c>
      <c r="F3370" s="332"/>
      <c r="G3370" s="334" t="str">
        <f t="array" ref="G3370">IF(B3370="insumo",_xlfn.XLOOKUP($D3370,Insumos!$B$1:$B$996,Insumos!$D$1:$D$996),"")</f>
        <v/>
      </c>
      <c r="H3370" s="334">
        <v>127.32299999999999</v>
      </c>
      <c r="I3370" s="335">
        <v>0</v>
      </c>
      <c r="J3370" s="335">
        <v>0</v>
      </c>
      <c r="K3370" s="335"/>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70</v>
      </c>
      <c r="C3371" s="10" t="s">
        <v>679</v>
      </c>
      <c r="D3371" s="10" t="s">
        <v>678</v>
      </c>
      <c r="E3371" s="11" t="str">
        <f t="array" ref="E3371">_xlfn.XLOOKUP(D3371,Insumos!B:B,Insumos!C:$C)</f>
        <v>M2</v>
      </c>
      <c r="F3371" s="14">
        <v>1.1000000000000001</v>
      </c>
      <c r="G3371" s="87">
        <f t="array" ref="G3371">IF(B3371="insumo",_xlfn.XLOOKUP($D3371,Insumos!$B$1:$B$996,Insumos!$D$1:$D$996),"")</f>
        <v>107.9</v>
      </c>
      <c r="H3371" s="87">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70</v>
      </c>
      <c r="C3372" s="10" t="s">
        <v>679</v>
      </c>
      <c r="D3372" s="10" t="s">
        <v>657</v>
      </c>
      <c r="E3372" s="11" t="str">
        <f t="array" ref="E3372">_xlfn.XLOOKUP(D3372,Insumos!B:B,Insumos!C:$C)</f>
        <v>KG</v>
      </c>
      <c r="F3372" s="14">
        <v>8.8000000000000007</v>
      </c>
      <c r="G3372" s="87">
        <f t="array" ref="G3372">IF(B3372="insumo",_xlfn.XLOOKUP($D3372,Insumos!$B$1:$B$996,Insumos!$D$1:$D$996),"")</f>
        <v>0.95</v>
      </c>
      <c r="H3372" s="87">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70</v>
      </c>
      <c r="C3373" s="10" t="s">
        <v>679</v>
      </c>
      <c r="D3373" s="10" t="s">
        <v>520</v>
      </c>
      <c r="E3373" s="11" t="str">
        <f t="array" ref="E3373">_xlfn.XLOOKUP(D3373,Insumos!B:B,Insumos!C:$C)</f>
        <v>UN</v>
      </c>
      <c r="F3373" s="14">
        <v>1</v>
      </c>
      <c r="G3373" s="87">
        <f t="array" ref="G3373">IF(B3373="insumo",_xlfn.XLOOKUP($D3373,Insumos!$B$1:$B$996,Insumos!$D$1:$D$996),"")</f>
        <v>0.05</v>
      </c>
      <c r="H3373" s="87">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70</v>
      </c>
      <c r="C3374" s="10" t="s">
        <v>679</v>
      </c>
      <c r="D3374" s="10" t="s">
        <v>506</v>
      </c>
      <c r="E3374" s="11" t="str">
        <f t="array" ref="E3374">_xlfn.XLOOKUP(D3374,Insumos!B:B,Insumos!C:$C)</f>
        <v>KG</v>
      </c>
      <c r="F3374" s="14">
        <v>0.02</v>
      </c>
      <c r="G3374" s="87">
        <f t="array" ref="G3374">IF(B3374="insumo",_xlfn.XLOOKUP($D3374,Insumos!$B$1:$B$996,Insumos!$D$1:$D$996),"")</f>
        <v>11.15</v>
      </c>
      <c r="H3374" s="87">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332">
        <v>1</v>
      </c>
      <c r="B3375" s="332" t="s">
        <v>67</v>
      </c>
      <c r="C3375" s="332" t="s">
        <v>1466</v>
      </c>
      <c r="D3375" s="332" t="s">
        <v>1466</v>
      </c>
      <c r="E3375" s="333" t="s">
        <v>69</v>
      </c>
      <c r="F3375" s="332"/>
      <c r="G3375" s="334" t="str">
        <f t="array" ref="G3375">IF(B3375="insumo",_xlfn.XLOOKUP($D3375,Insumos!$B$1:$B$996,Insumos!$D$1:$D$996),"")</f>
        <v/>
      </c>
      <c r="H3375" s="334">
        <v>57.805100000000003</v>
      </c>
      <c r="I3375" s="335">
        <v>0</v>
      </c>
      <c r="J3375" s="335">
        <v>0</v>
      </c>
      <c r="K3375" s="335"/>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70</v>
      </c>
      <c r="C3376" s="10" t="s">
        <v>1466</v>
      </c>
      <c r="D3376" s="10" t="s">
        <v>1413</v>
      </c>
      <c r="E3376" s="11" t="str">
        <f t="array" ref="E3376">_xlfn.XLOOKUP(D3376,Insumos!B:B,Insumos!C:$C)</f>
        <v>M2</v>
      </c>
      <c r="F3376" s="14">
        <v>1.1000000000000001</v>
      </c>
      <c r="G3376" s="87">
        <f t="array" ref="G3376">IF(B3376="insumo",_xlfn.XLOOKUP($D3376,Insumos!$B$1:$B$996,Insumos!$D$1:$D$996),"")</f>
        <v>43.86</v>
      </c>
      <c r="H3376" s="87">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70</v>
      </c>
      <c r="C3377" s="10" t="s">
        <v>1466</v>
      </c>
      <c r="D3377" s="10" t="s">
        <v>480</v>
      </c>
      <c r="E3377" s="11" t="str">
        <f t="array" ref="E3377">_xlfn.XLOOKUP(D3377,Insumos!B:B,Insumos!C:$C)</f>
        <v>KG</v>
      </c>
      <c r="F3377" s="14">
        <v>8.8000000000000007</v>
      </c>
      <c r="G3377" s="87">
        <f t="array" ref="G3377">IF(B3377="insumo",_xlfn.XLOOKUP($D3377,Insumos!$B$1:$B$996,Insumos!$D$1:$D$996),"")</f>
        <v>1.0645</v>
      </c>
      <c r="H3377" s="87">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70</v>
      </c>
      <c r="C3378" s="10" t="s">
        <v>1466</v>
      </c>
      <c r="D3378" s="10" t="s">
        <v>505</v>
      </c>
      <c r="E3378" s="11" t="str">
        <f t="array" ref="E3378">_xlfn.XLOOKUP(D3378,Insumos!B:B,Insumos!C:$C)</f>
        <v>UN</v>
      </c>
      <c r="F3378" s="14">
        <v>1</v>
      </c>
      <c r="G3378" s="87">
        <f t="array" ref="G3378">IF(B3378="insumo",_xlfn.XLOOKUP($D3378,Insumos!$B$1:$B$996,Insumos!$D$1:$D$996),"")</f>
        <v>0.08</v>
      </c>
      <c r="H3378" s="87">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70</v>
      </c>
      <c r="C3379" s="10" t="s">
        <v>1466</v>
      </c>
      <c r="D3379" s="10" t="s">
        <v>506</v>
      </c>
      <c r="E3379" s="11" t="str">
        <f t="array" ref="E3379">_xlfn.XLOOKUP(D3379,Insumos!B:B,Insumos!C:$C)</f>
        <v>KG</v>
      </c>
      <c r="F3379" s="14">
        <v>0.01</v>
      </c>
      <c r="G3379" s="87">
        <f t="array" ref="G3379">IF(B3379="insumo",_xlfn.XLOOKUP($D3379,Insumos!$B$1:$B$996,Insumos!$D$1:$D$996),"")</f>
        <v>11.15</v>
      </c>
      <c r="H3379" s="87">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332">
        <v>1</v>
      </c>
      <c r="B3380" s="332" t="s">
        <v>67</v>
      </c>
      <c r="C3380" s="332" t="s">
        <v>680</v>
      </c>
      <c r="D3380" s="332" t="s">
        <v>680</v>
      </c>
      <c r="E3380" s="333" t="s">
        <v>69</v>
      </c>
      <c r="F3380" s="332"/>
      <c r="G3380" s="334" t="str">
        <f t="array" ref="G3380">IF(B3380="insumo",_xlfn.XLOOKUP($D3380,Insumos!$B$1:$B$996,Insumos!$D$1:$D$996),"")</f>
        <v/>
      </c>
      <c r="H3380" s="334">
        <v>93.489099999999993</v>
      </c>
      <c r="I3380" s="335">
        <v>0</v>
      </c>
      <c r="J3380" s="335">
        <v>0</v>
      </c>
      <c r="K3380" s="335"/>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70</v>
      </c>
      <c r="C3381" s="10" t="s">
        <v>680</v>
      </c>
      <c r="D3381" s="10" t="s">
        <v>681</v>
      </c>
      <c r="E3381" s="11" t="str">
        <f t="array" ref="E3381">_xlfn.XLOOKUP(D3381,Insumos!B:B,Insumos!C:$C)</f>
        <v>M2</v>
      </c>
      <c r="F3381" s="14">
        <v>1.1000000000000001</v>
      </c>
      <c r="G3381" s="87">
        <f t="array" ref="G3381">IF(B3381="insumo",_xlfn.XLOOKUP($D3381,Insumos!$B$1:$B$996,Insumos!$D$1:$D$996),"")</f>
        <v>76.3</v>
      </c>
      <c r="H3381" s="87">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70</v>
      </c>
      <c r="C3382" s="10" t="s">
        <v>680</v>
      </c>
      <c r="D3382" s="10" t="s">
        <v>480</v>
      </c>
      <c r="E3382" s="11" t="str">
        <f t="array" ref="E3382">_xlfn.XLOOKUP(D3382,Insumos!B:B,Insumos!C:$C)</f>
        <v>KG</v>
      </c>
      <c r="F3382" s="14">
        <v>8.8000000000000007</v>
      </c>
      <c r="G3382" s="87">
        <f t="array" ref="G3382">IF(B3382="insumo",_xlfn.XLOOKUP($D3382,Insumos!$B$1:$B$996,Insumos!$D$1:$D$996),"")</f>
        <v>1.0645</v>
      </c>
      <c r="H3382" s="87">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70</v>
      </c>
      <c r="C3383" s="10" t="s">
        <v>680</v>
      </c>
      <c r="D3383" s="10" t="s">
        <v>505</v>
      </c>
      <c r="E3383" s="11" t="str">
        <f t="array" ref="E3383">_xlfn.XLOOKUP(D3383,Insumos!B:B,Insumos!C:$C)</f>
        <v>UN</v>
      </c>
      <c r="F3383" s="14">
        <v>1</v>
      </c>
      <c r="G3383" s="87">
        <f t="array" ref="G3383">IF(B3383="insumo",_xlfn.XLOOKUP($D3383,Insumos!$B$1:$B$996,Insumos!$D$1:$D$996),"")</f>
        <v>0.08</v>
      </c>
      <c r="H3383" s="87">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70</v>
      </c>
      <c r="C3384" s="10" t="s">
        <v>680</v>
      </c>
      <c r="D3384" s="10" t="s">
        <v>506</v>
      </c>
      <c r="E3384" s="11" t="str">
        <f t="array" ref="E3384">_xlfn.XLOOKUP(D3384,Insumos!B:B,Insumos!C:$C)</f>
        <v>KG</v>
      </c>
      <c r="F3384" s="14">
        <v>0.01</v>
      </c>
      <c r="G3384" s="87">
        <f t="array" ref="G3384">IF(B3384="insumo",_xlfn.XLOOKUP($D3384,Insumos!$B$1:$B$996,Insumos!$D$1:$D$996),"")</f>
        <v>11.15</v>
      </c>
      <c r="H3384" s="87">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332">
        <v>1</v>
      </c>
      <c r="B3385" s="332" t="s">
        <v>67</v>
      </c>
      <c r="C3385" s="332" t="s">
        <v>682</v>
      </c>
      <c r="D3385" s="332" t="s">
        <v>682</v>
      </c>
      <c r="E3385" s="333" t="s">
        <v>69</v>
      </c>
      <c r="F3385" s="332"/>
      <c r="G3385" s="334" t="str">
        <f t="array" ref="G3385">IF(B3385="insumo",_xlfn.XLOOKUP($D3385,Insumos!$B$1:$B$996,Insumos!$D$1:$D$996),"")</f>
        <v/>
      </c>
      <c r="H3385" s="334">
        <v>85.349100000000007</v>
      </c>
      <c r="I3385" s="335">
        <v>0</v>
      </c>
      <c r="J3385" s="335">
        <v>0</v>
      </c>
      <c r="K3385" s="335"/>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70</v>
      </c>
      <c r="C3386" s="10" t="s">
        <v>682</v>
      </c>
      <c r="D3386" s="10" t="s">
        <v>683</v>
      </c>
      <c r="E3386" s="11" t="str">
        <f t="array" ref="E3386">_xlfn.XLOOKUP(D3386,Insumos!B:B,Insumos!C:$C)</f>
        <v>M2</v>
      </c>
      <c r="F3386" s="14">
        <v>1.1000000000000001</v>
      </c>
      <c r="G3386" s="87">
        <f t="array" ref="G3386">IF(B3386="insumo",_xlfn.XLOOKUP($D3386,Insumos!$B$1:$B$996,Insumos!$D$1:$D$996),"")</f>
        <v>68.900000000000006</v>
      </c>
      <c r="H3386" s="87">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70</v>
      </c>
      <c r="C3387" s="10" t="s">
        <v>682</v>
      </c>
      <c r="D3387" s="10" t="s">
        <v>480</v>
      </c>
      <c r="E3387" s="11" t="str">
        <f t="array" ref="E3387">_xlfn.XLOOKUP(D3387,Insumos!B:B,Insumos!C:$C)</f>
        <v>KG</v>
      </c>
      <c r="F3387" s="14">
        <v>8.8000000000000007</v>
      </c>
      <c r="G3387" s="87">
        <f t="array" ref="G3387">IF(B3387="insumo",_xlfn.XLOOKUP($D3387,Insumos!$B$1:$B$996,Insumos!$D$1:$D$996),"")</f>
        <v>1.0645</v>
      </c>
      <c r="H3387" s="87">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70</v>
      </c>
      <c r="C3388" s="10" t="s">
        <v>682</v>
      </c>
      <c r="D3388" s="10" t="s">
        <v>505</v>
      </c>
      <c r="E3388" s="11" t="str">
        <f t="array" ref="E3388">_xlfn.XLOOKUP(D3388,Insumos!B:B,Insumos!C:$C)</f>
        <v>UN</v>
      </c>
      <c r="F3388" s="14">
        <v>1</v>
      </c>
      <c r="G3388" s="87">
        <f t="array" ref="G3388">IF(B3388="insumo",_xlfn.XLOOKUP($D3388,Insumos!$B$1:$B$996,Insumos!$D$1:$D$996),"")</f>
        <v>0.08</v>
      </c>
      <c r="H3388" s="87">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70</v>
      </c>
      <c r="C3389" s="10" t="s">
        <v>682</v>
      </c>
      <c r="D3389" s="10" t="s">
        <v>506</v>
      </c>
      <c r="E3389" s="11" t="str">
        <f t="array" ref="E3389">_xlfn.XLOOKUP(D3389,Insumos!B:B,Insumos!C:$C)</f>
        <v>KG</v>
      </c>
      <c r="F3389" s="14">
        <v>0.01</v>
      </c>
      <c r="G3389" s="87">
        <f t="array" ref="G3389">IF(B3389="insumo",_xlfn.XLOOKUP($D3389,Insumos!$B$1:$B$996,Insumos!$D$1:$D$996),"")</f>
        <v>11.15</v>
      </c>
      <c r="H3389" s="87">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332">
        <v>1</v>
      </c>
      <c r="B3390" s="332" t="s">
        <v>67</v>
      </c>
      <c r="C3390" s="332" t="s">
        <v>684</v>
      </c>
      <c r="D3390" s="332" t="s">
        <v>684</v>
      </c>
      <c r="E3390" s="333" t="s">
        <v>69</v>
      </c>
      <c r="F3390" s="332"/>
      <c r="G3390" s="334" t="str">
        <f t="array" ref="G3390">IF(B3390="insumo",_xlfn.XLOOKUP($D3390,Insumos!$B$1:$B$996,Insumos!$D$1:$D$996),"")</f>
        <v/>
      </c>
      <c r="H3390" s="334">
        <v>108.4491</v>
      </c>
      <c r="I3390" s="335">
        <v>0</v>
      </c>
      <c r="J3390" s="335">
        <v>0</v>
      </c>
      <c r="K3390" s="335"/>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70</v>
      </c>
      <c r="C3391" s="10" t="s">
        <v>684</v>
      </c>
      <c r="D3391" s="10" t="s">
        <v>685</v>
      </c>
      <c r="E3391" s="11" t="str">
        <f t="array" ref="E3391">_xlfn.XLOOKUP(D3391,Insumos!B:B,Insumos!C:$C)</f>
        <v>M2</v>
      </c>
      <c r="F3391" s="14">
        <v>1.1000000000000001</v>
      </c>
      <c r="G3391" s="87">
        <f t="array" ref="G3391">IF(B3391="insumo",_xlfn.XLOOKUP($D3391,Insumos!$B$1:$B$996,Insumos!$D$1:$D$996),"")</f>
        <v>89.9</v>
      </c>
      <c r="H3391" s="87">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70</v>
      </c>
      <c r="C3392" s="10" t="s">
        <v>684</v>
      </c>
      <c r="D3392" s="10" t="s">
        <v>480</v>
      </c>
      <c r="E3392" s="11" t="str">
        <f t="array" ref="E3392">_xlfn.XLOOKUP(D3392,Insumos!B:B,Insumos!C:$C)</f>
        <v>KG</v>
      </c>
      <c r="F3392" s="14">
        <v>8.8000000000000007</v>
      </c>
      <c r="G3392" s="87">
        <f t="array" ref="G3392">IF(B3392="insumo",_xlfn.XLOOKUP($D3392,Insumos!$B$1:$B$996,Insumos!$D$1:$D$996),"")</f>
        <v>1.0645</v>
      </c>
      <c r="H3392" s="87">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70</v>
      </c>
      <c r="C3393" s="10" t="s">
        <v>684</v>
      </c>
      <c r="D3393" s="10" t="s">
        <v>505</v>
      </c>
      <c r="E3393" s="11" t="str">
        <f t="array" ref="E3393">_xlfn.XLOOKUP(D3393,Insumos!B:B,Insumos!C:$C)</f>
        <v>UN</v>
      </c>
      <c r="F3393" s="14">
        <v>1</v>
      </c>
      <c r="G3393" s="87">
        <f t="array" ref="G3393">IF(B3393="insumo",_xlfn.XLOOKUP($D3393,Insumos!$B$1:$B$996,Insumos!$D$1:$D$996),"")</f>
        <v>0.08</v>
      </c>
      <c r="H3393" s="87">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70</v>
      </c>
      <c r="C3394" s="10" t="s">
        <v>684</v>
      </c>
      <c r="D3394" s="10" t="s">
        <v>506</v>
      </c>
      <c r="E3394" s="11" t="str">
        <f t="array" ref="E3394">_xlfn.XLOOKUP(D3394,Insumos!B:B,Insumos!C:$C)</f>
        <v>KG</v>
      </c>
      <c r="F3394" s="14">
        <v>0.01</v>
      </c>
      <c r="G3394" s="87">
        <f t="array" ref="G3394">IF(B3394="insumo",_xlfn.XLOOKUP($D3394,Insumos!$B$1:$B$996,Insumos!$D$1:$D$996),"")</f>
        <v>11.15</v>
      </c>
      <c r="H3394" s="87">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332">
        <v>1</v>
      </c>
      <c r="B3395" s="332" t="s">
        <v>67</v>
      </c>
      <c r="C3395" s="332" t="s">
        <v>686</v>
      </c>
      <c r="D3395" s="332" t="s">
        <v>686</v>
      </c>
      <c r="E3395" s="333" t="s">
        <v>69</v>
      </c>
      <c r="F3395" s="332"/>
      <c r="G3395" s="334" t="str">
        <f t="array" ref="G3395">IF(B3395="insumo",_xlfn.XLOOKUP($D3395,Insumos!$B$1:$B$996,Insumos!$D$1:$D$996),"")</f>
        <v/>
      </c>
      <c r="H3395" s="334">
        <v>167.4641</v>
      </c>
      <c r="I3395" s="335">
        <v>0</v>
      </c>
      <c r="J3395" s="335">
        <v>0</v>
      </c>
      <c r="K3395" s="335"/>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70</v>
      </c>
      <c r="C3396" s="10" t="s">
        <v>686</v>
      </c>
      <c r="D3396" s="10" t="s">
        <v>515</v>
      </c>
      <c r="E3396" s="11" t="str">
        <f t="array" ref="E3396">_xlfn.XLOOKUP(D3396,Insumos!B:B,Insumos!C:$C)</f>
        <v>M2</v>
      </c>
      <c r="F3396" s="14">
        <v>1.1000000000000001</v>
      </c>
      <c r="G3396" s="87">
        <f t="array" ref="G3396">IF(B3396="insumo",_xlfn.XLOOKUP($D3396,Insumos!$B$1:$B$996,Insumos!$D$1:$D$996),"")</f>
        <v>143.55000000000001</v>
      </c>
      <c r="H3396" s="87">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70</v>
      </c>
      <c r="C3397" s="10" t="s">
        <v>686</v>
      </c>
      <c r="D3397" s="10" t="s">
        <v>480</v>
      </c>
      <c r="E3397" s="11" t="str">
        <f t="array" ref="E3397">_xlfn.XLOOKUP(D3397,Insumos!B:B,Insumos!C:$C)</f>
        <v>KG</v>
      </c>
      <c r="F3397" s="14">
        <v>8.8000000000000007</v>
      </c>
      <c r="G3397" s="87">
        <f t="array" ref="G3397">IF(B3397="insumo",_xlfn.XLOOKUP($D3397,Insumos!$B$1:$B$996,Insumos!$D$1:$D$996),"")</f>
        <v>1.0645</v>
      </c>
      <c r="H3397" s="87">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70</v>
      </c>
      <c r="C3398" s="10" t="s">
        <v>686</v>
      </c>
      <c r="D3398" s="10" t="s">
        <v>505</v>
      </c>
      <c r="E3398" s="11" t="str">
        <f t="array" ref="E3398">_xlfn.XLOOKUP(D3398,Insumos!B:B,Insumos!C:$C)</f>
        <v>UN</v>
      </c>
      <c r="F3398" s="14">
        <v>1</v>
      </c>
      <c r="G3398" s="87">
        <f t="array" ref="G3398">IF(B3398="insumo",_xlfn.XLOOKUP($D3398,Insumos!$B$1:$B$996,Insumos!$D$1:$D$996),"")</f>
        <v>0.08</v>
      </c>
      <c r="H3398" s="87">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70</v>
      </c>
      <c r="C3399" s="10" t="s">
        <v>686</v>
      </c>
      <c r="D3399" s="10" t="s">
        <v>506</v>
      </c>
      <c r="E3399" s="11" t="str">
        <f t="array" ref="E3399">_xlfn.XLOOKUP(D3399,Insumos!B:B,Insumos!C:$C)</f>
        <v>KG</v>
      </c>
      <c r="F3399" s="14">
        <v>0.01</v>
      </c>
      <c r="G3399" s="87">
        <f t="array" ref="G3399">IF(B3399="insumo",_xlfn.XLOOKUP($D3399,Insumos!$B$1:$B$996,Insumos!$D$1:$D$996),"")</f>
        <v>11.15</v>
      </c>
      <c r="H3399" s="87">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332">
        <v>1</v>
      </c>
      <c r="B3400" s="332" t="s">
        <v>67</v>
      </c>
      <c r="C3400" s="332" t="s">
        <v>687</v>
      </c>
      <c r="D3400" s="332" t="s">
        <v>687</v>
      </c>
      <c r="E3400" s="333" t="s">
        <v>69</v>
      </c>
      <c r="F3400" s="332"/>
      <c r="G3400" s="334" t="str">
        <f t="array" ref="G3400">IF(B3400="insumo",_xlfn.XLOOKUP($D3400,Insumos!$B$1:$B$996,Insumos!$D$1:$D$996),"")</f>
        <v/>
      </c>
      <c r="H3400" s="334">
        <v>47.949100000000001</v>
      </c>
      <c r="I3400" s="335">
        <v>0</v>
      </c>
      <c r="J3400" s="335">
        <v>0</v>
      </c>
      <c r="K3400" s="335"/>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70</v>
      </c>
      <c r="C3401" s="10" t="s">
        <v>687</v>
      </c>
      <c r="D3401" s="10" t="s">
        <v>688</v>
      </c>
      <c r="E3401" s="11" t="str">
        <f t="array" ref="E3401">_xlfn.XLOOKUP(D3401,Insumos!B:B,Insumos!C:$C)</f>
        <v>M2</v>
      </c>
      <c r="F3401" s="14">
        <v>1.1000000000000001</v>
      </c>
      <c r="G3401" s="87">
        <f t="array" ref="G3401">IF(B3401="insumo",_xlfn.XLOOKUP($D3401,Insumos!$B$1:$B$996,Insumos!$D$1:$D$996),"")</f>
        <v>34.9</v>
      </c>
      <c r="H3401" s="87">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70</v>
      </c>
      <c r="C3402" s="10" t="s">
        <v>687</v>
      </c>
      <c r="D3402" s="10" t="s">
        <v>480</v>
      </c>
      <c r="E3402" s="11" t="str">
        <f t="array" ref="E3402">_xlfn.XLOOKUP(D3402,Insumos!B:B,Insumos!C:$C)</f>
        <v>KG</v>
      </c>
      <c r="F3402" s="14">
        <v>8.8000000000000007</v>
      </c>
      <c r="G3402" s="87">
        <f t="array" ref="G3402">IF(B3402="insumo",_xlfn.XLOOKUP($D3402,Insumos!$B$1:$B$996,Insumos!$D$1:$D$996),"")</f>
        <v>1.0645</v>
      </c>
      <c r="H3402" s="87">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70</v>
      </c>
      <c r="C3403" s="10" t="s">
        <v>687</v>
      </c>
      <c r="D3403" s="10" t="s">
        <v>505</v>
      </c>
      <c r="E3403" s="11" t="str">
        <f t="array" ref="E3403">_xlfn.XLOOKUP(D3403,Insumos!B:B,Insumos!C:$C)</f>
        <v>UN</v>
      </c>
      <c r="F3403" s="14">
        <v>1</v>
      </c>
      <c r="G3403" s="87">
        <f t="array" ref="G3403">IF(B3403="insumo",_xlfn.XLOOKUP($D3403,Insumos!$B$1:$B$996,Insumos!$D$1:$D$996),"")</f>
        <v>0.08</v>
      </c>
      <c r="H3403" s="87">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70</v>
      </c>
      <c r="C3404" s="10" t="s">
        <v>687</v>
      </c>
      <c r="D3404" s="10" t="s">
        <v>506</v>
      </c>
      <c r="E3404" s="11" t="str">
        <f t="array" ref="E3404">_xlfn.XLOOKUP(D3404,Insumos!B:B,Insumos!C:$C)</f>
        <v>KG</v>
      </c>
      <c r="F3404" s="14">
        <v>0.01</v>
      </c>
      <c r="G3404" s="87">
        <f t="array" ref="G3404">IF(B3404="insumo",_xlfn.XLOOKUP($D3404,Insumos!$B$1:$B$996,Insumos!$D$1:$D$996),"")</f>
        <v>11.15</v>
      </c>
      <c r="H3404" s="87">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332">
        <v>1</v>
      </c>
      <c r="B3405" s="332" t="s">
        <v>67</v>
      </c>
      <c r="C3405" s="332" t="s">
        <v>689</v>
      </c>
      <c r="D3405" s="332" t="s">
        <v>689</v>
      </c>
      <c r="E3405" s="333" t="s">
        <v>69</v>
      </c>
      <c r="F3405" s="332"/>
      <c r="G3405" s="334" t="str">
        <f t="array" ref="G3405">IF(B3405="insumo",_xlfn.XLOOKUP($D3405,Insumos!$B$1:$B$996,Insumos!$D$1:$D$996),"")</f>
        <v/>
      </c>
      <c r="H3405" s="334">
        <v>102.9491</v>
      </c>
      <c r="I3405" s="335">
        <v>0</v>
      </c>
      <c r="J3405" s="335">
        <v>0</v>
      </c>
      <c r="K3405" s="335"/>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70</v>
      </c>
      <c r="C3406" s="10" t="s">
        <v>689</v>
      </c>
      <c r="D3406" s="10" t="s">
        <v>690</v>
      </c>
      <c r="E3406" s="11" t="str">
        <f t="array" ref="E3406">_xlfn.XLOOKUP(D3406,Insumos!B:B,Insumos!C:$C)</f>
        <v>M2</v>
      </c>
      <c r="F3406" s="14">
        <v>1.1000000000000001</v>
      </c>
      <c r="G3406" s="87">
        <f t="array" ref="G3406">IF(B3406="insumo",_xlfn.XLOOKUP($D3406,Insumos!$B$1:$B$996,Insumos!$D$1:$D$996),"")</f>
        <v>84.9</v>
      </c>
      <c r="H3406" s="87">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70</v>
      </c>
      <c r="C3407" s="10" t="s">
        <v>689</v>
      </c>
      <c r="D3407" s="10" t="s">
        <v>480</v>
      </c>
      <c r="E3407" s="11" t="str">
        <f t="array" ref="E3407">_xlfn.XLOOKUP(D3407,Insumos!B:B,Insumos!C:$C)</f>
        <v>KG</v>
      </c>
      <c r="F3407" s="14">
        <v>8.8000000000000007</v>
      </c>
      <c r="G3407" s="87">
        <f t="array" ref="G3407">IF(B3407="insumo",_xlfn.XLOOKUP($D3407,Insumos!$B$1:$B$996,Insumos!$D$1:$D$996),"")</f>
        <v>1.0645</v>
      </c>
      <c r="H3407" s="87">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70</v>
      </c>
      <c r="C3408" s="10" t="s">
        <v>689</v>
      </c>
      <c r="D3408" s="10" t="s">
        <v>505</v>
      </c>
      <c r="E3408" s="11" t="str">
        <f t="array" ref="E3408">_xlfn.XLOOKUP(D3408,Insumos!B:B,Insumos!C:$C)</f>
        <v>UN</v>
      </c>
      <c r="F3408" s="14">
        <v>1</v>
      </c>
      <c r="G3408" s="87">
        <f t="array" ref="G3408">IF(B3408="insumo",_xlfn.XLOOKUP($D3408,Insumos!$B$1:$B$996,Insumos!$D$1:$D$996),"")</f>
        <v>0.08</v>
      </c>
      <c r="H3408" s="87">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70</v>
      </c>
      <c r="C3409" s="10" t="s">
        <v>689</v>
      </c>
      <c r="D3409" s="10" t="s">
        <v>506</v>
      </c>
      <c r="E3409" s="11" t="str">
        <f t="array" ref="E3409">_xlfn.XLOOKUP(D3409,Insumos!B:B,Insumos!C:$C)</f>
        <v>KG</v>
      </c>
      <c r="F3409" s="14">
        <v>0.01</v>
      </c>
      <c r="G3409" s="87">
        <f t="array" ref="G3409">IF(B3409="insumo",_xlfn.XLOOKUP($D3409,Insumos!$B$1:$B$996,Insumos!$D$1:$D$996),"")</f>
        <v>11.15</v>
      </c>
      <c r="H3409" s="87">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332">
        <v>1</v>
      </c>
      <c r="B3410" s="332" t="s">
        <v>67</v>
      </c>
      <c r="C3410" s="332" t="s">
        <v>667</v>
      </c>
      <c r="D3410" s="332" t="s">
        <v>667</v>
      </c>
      <c r="E3410" s="333" t="s">
        <v>69</v>
      </c>
      <c r="F3410" s="332"/>
      <c r="G3410" s="334" t="str">
        <f t="array" ref="G3410">IF(B3410="insumo",_xlfn.XLOOKUP($D3410,Insumos!$B$1:$B$996,Insumos!$D$1:$D$996),"")</f>
        <v/>
      </c>
      <c r="H3410" s="334">
        <v>97.559100000000001</v>
      </c>
      <c r="I3410" s="335">
        <v>0</v>
      </c>
      <c r="J3410" s="335">
        <v>0</v>
      </c>
      <c r="K3410" s="335"/>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70</v>
      </c>
      <c r="C3411" s="10" t="s">
        <v>667</v>
      </c>
      <c r="D3411" s="10" t="s">
        <v>668</v>
      </c>
      <c r="E3411" s="11" t="str">
        <f t="array" ref="E3411">_xlfn.XLOOKUP(D3411,Insumos!B:B,Insumos!C:$C)</f>
        <v>M2</v>
      </c>
      <c r="F3411" s="14">
        <v>1.1000000000000001</v>
      </c>
      <c r="G3411" s="87">
        <f t="array" ref="G3411">IF(B3411="insumo",_xlfn.XLOOKUP($D3411,Insumos!$B$1:$B$996,Insumos!$D$1:$D$996),"")</f>
        <v>80</v>
      </c>
      <c r="H3411" s="87">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70</v>
      </c>
      <c r="C3412" s="10" t="s">
        <v>667</v>
      </c>
      <c r="D3412" s="10" t="s">
        <v>480</v>
      </c>
      <c r="E3412" s="11" t="str">
        <f t="array" ref="E3412">_xlfn.XLOOKUP(D3412,Insumos!B:B,Insumos!C:$C)</f>
        <v>KG</v>
      </c>
      <c r="F3412" s="14">
        <v>8.8000000000000007</v>
      </c>
      <c r="G3412" s="87">
        <f t="array" ref="G3412">IF(B3412="insumo",_xlfn.XLOOKUP($D3412,Insumos!$B$1:$B$996,Insumos!$D$1:$D$996),"")</f>
        <v>1.0645</v>
      </c>
      <c r="H3412" s="87">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70</v>
      </c>
      <c r="C3413" s="10" t="s">
        <v>667</v>
      </c>
      <c r="D3413" s="10" t="s">
        <v>505</v>
      </c>
      <c r="E3413" s="11" t="str">
        <f t="array" ref="E3413">_xlfn.XLOOKUP(D3413,Insumos!B:B,Insumos!C:$C)</f>
        <v>UN</v>
      </c>
      <c r="F3413" s="14">
        <v>1</v>
      </c>
      <c r="G3413" s="87">
        <f t="array" ref="G3413">IF(B3413="insumo",_xlfn.XLOOKUP($D3413,Insumos!$B$1:$B$996,Insumos!$D$1:$D$996),"")</f>
        <v>0.08</v>
      </c>
      <c r="H3413" s="87">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70</v>
      </c>
      <c r="C3414" s="10" t="s">
        <v>667</v>
      </c>
      <c r="D3414" s="10" t="s">
        <v>506</v>
      </c>
      <c r="E3414" s="11" t="str">
        <f t="array" ref="E3414">_xlfn.XLOOKUP(D3414,Insumos!B:B,Insumos!C:$C)</f>
        <v>KG</v>
      </c>
      <c r="F3414" s="14">
        <v>0.01</v>
      </c>
      <c r="G3414" s="87">
        <f t="array" ref="G3414">IF(B3414="insumo",_xlfn.XLOOKUP($D3414,Insumos!$B$1:$B$996,Insumos!$D$1:$D$996),"")</f>
        <v>11.15</v>
      </c>
      <c r="H3414" s="87">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332">
        <v>1</v>
      </c>
      <c r="B3415" s="332" t="s">
        <v>67</v>
      </c>
      <c r="C3415" s="332" t="s">
        <v>691</v>
      </c>
      <c r="D3415" s="332" t="s">
        <v>691</v>
      </c>
      <c r="E3415" s="333" t="s">
        <v>69</v>
      </c>
      <c r="F3415" s="332"/>
      <c r="G3415" s="334" t="str">
        <f t="array" ref="G3415">IF(B3415="insumo",_xlfn.XLOOKUP($D3415,Insumos!$B$1:$B$996,Insumos!$D$1:$D$996),"")</f>
        <v/>
      </c>
      <c r="H3415" s="334">
        <v>168.94909999999999</v>
      </c>
      <c r="I3415" s="335">
        <v>0</v>
      </c>
      <c r="J3415" s="335">
        <v>0</v>
      </c>
      <c r="K3415" s="335"/>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70</v>
      </c>
      <c r="C3416" s="10" t="s">
        <v>691</v>
      </c>
      <c r="D3416" s="10" t="s">
        <v>692</v>
      </c>
      <c r="E3416" s="11" t="str">
        <f t="array" ref="E3416">_xlfn.XLOOKUP(D3416,Insumos!B:B,Insumos!C:$C)</f>
        <v>M2</v>
      </c>
      <c r="F3416" s="14">
        <v>1.1000000000000001</v>
      </c>
      <c r="G3416" s="87">
        <f t="array" ref="G3416">IF(B3416="insumo",_xlfn.XLOOKUP($D3416,Insumos!$B$1:$B$996,Insumos!$D$1:$D$996),"")</f>
        <v>144.9</v>
      </c>
      <c r="H3416" s="87">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70</v>
      </c>
      <c r="C3417" s="10" t="s">
        <v>691</v>
      </c>
      <c r="D3417" s="10" t="s">
        <v>480</v>
      </c>
      <c r="E3417" s="11" t="str">
        <f t="array" ref="E3417">_xlfn.XLOOKUP(D3417,Insumos!B:B,Insumos!C:$C)</f>
        <v>KG</v>
      </c>
      <c r="F3417" s="14">
        <v>8.8000000000000007</v>
      </c>
      <c r="G3417" s="87">
        <f t="array" ref="G3417">IF(B3417="insumo",_xlfn.XLOOKUP($D3417,Insumos!$B$1:$B$996,Insumos!$D$1:$D$996),"")</f>
        <v>1.0645</v>
      </c>
      <c r="H3417" s="87">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70</v>
      </c>
      <c r="C3418" s="10" t="s">
        <v>691</v>
      </c>
      <c r="D3418" s="10" t="s">
        <v>505</v>
      </c>
      <c r="E3418" s="11" t="str">
        <f t="array" ref="E3418">_xlfn.XLOOKUP(D3418,Insumos!B:B,Insumos!C:$C)</f>
        <v>UN</v>
      </c>
      <c r="F3418" s="14">
        <v>1</v>
      </c>
      <c r="G3418" s="87">
        <f t="array" ref="G3418">IF(B3418="insumo",_xlfn.XLOOKUP($D3418,Insumos!$B$1:$B$996,Insumos!$D$1:$D$996),"")</f>
        <v>0.08</v>
      </c>
      <c r="H3418" s="87">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70</v>
      </c>
      <c r="C3419" s="10" t="s">
        <v>691</v>
      </c>
      <c r="D3419" s="10" t="s">
        <v>506</v>
      </c>
      <c r="E3419" s="11" t="str">
        <f t="array" ref="E3419">_xlfn.XLOOKUP(D3419,Insumos!B:B,Insumos!C:$C)</f>
        <v>KG</v>
      </c>
      <c r="F3419" s="14">
        <v>0.01</v>
      </c>
      <c r="G3419" s="87">
        <f t="array" ref="G3419">IF(B3419="insumo",_xlfn.XLOOKUP($D3419,Insumos!$B$1:$B$996,Insumos!$D$1:$D$996),"")</f>
        <v>11.15</v>
      </c>
      <c r="H3419" s="87">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332">
        <v>1</v>
      </c>
      <c r="B3420" s="332" t="s">
        <v>67</v>
      </c>
      <c r="C3420" s="332" t="s">
        <v>669</v>
      </c>
      <c r="D3420" s="332" t="s">
        <v>669</v>
      </c>
      <c r="E3420" s="333" t="s">
        <v>69</v>
      </c>
      <c r="F3420" s="332"/>
      <c r="G3420" s="334" t="str">
        <f t="array" ref="G3420">IF(B3420="insumo",_xlfn.XLOOKUP($D3420,Insumos!$B$1:$B$996,Insumos!$D$1:$D$996),"")</f>
        <v/>
      </c>
      <c r="H3420" s="334">
        <v>92.939099999999996</v>
      </c>
      <c r="I3420" s="335">
        <v>0</v>
      </c>
      <c r="J3420" s="335">
        <v>0</v>
      </c>
      <c r="K3420" s="335"/>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70</v>
      </c>
      <c r="C3421" s="10" t="s">
        <v>669</v>
      </c>
      <c r="D3421" s="10" t="s">
        <v>666</v>
      </c>
      <c r="E3421" s="11" t="str">
        <f t="array" ref="E3421">_xlfn.XLOOKUP(D3421,Insumos!B:B,Insumos!C:$C)</f>
        <v>M2</v>
      </c>
      <c r="F3421" s="14">
        <v>1.1000000000000001</v>
      </c>
      <c r="G3421" s="87">
        <f t="array" ref="G3421">IF(B3421="insumo",_xlfn.XLOOKUP($D3421,Insumos!$B$1:$B$996,Insumos!$D$1:$D$996),"")</f>
        <v>75.8</v>
      </c>
      <c r="H3421" s="87">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70</v>
      </c>
      <c r="C3422" s="10" t="s">
        <v>669</v>
      </c>
      <c r="D3422" s="10" t="s">
        <v>480</v>
      </c>
      <c r="E3422" s="11" t="str">
        <f t="array" ref="E3422">_xlfn.XLOOKUP(D3422,Insumos!B:B,Insumos!C:$C)</f>
        <v>KG</v>
      </c>
      <c r="F3422" s="14">
        <v>8.8000000000000007</v>
      </c>
      <c r="G3422" s="87">
        <f t="array" ref="G3422">IF(B3422="insumo",_xlfn.XLOOKUP($D3422,Insumos!$B$1:$B$996,Insumos!$D$1:$D$996),"")</f>
        <v>1.0645</v>
      </c>
      <c r="H3422" s="87">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70</v>
      </c>
      <c r="C3423" s="10" t="s">
        <v>669</v>
      </c>
      <c r="D3423" s="10" t="s">
        <v>505</v>
      </c>
      <c r="E3423" s="11" t="str">
        <f t="array" ref="E3423">_xlfn.XLOOKUP(D3423,Insumos!B:B,Insumos!C:$C)</f>
        <v>UN</v>
      </c>
      <c r="F3423" s="14">
        <v>1</v>
      </c>
      <c r="G3423" s="87">
        <f t="array" ref="G3423">IF(B3423="insumo",_xlfn.XLOOKUP($D3423,Insumos!$B$1:$B$996,Insumos!$D$1:$D$996),"")</f>
        <v>0.08</v>
      </c>
      <c r="H3423" s="87">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70</v>
      </c>
      <c r="C3424" s="10" t="s">
        <v>669</v>
      </c>
      <c r="D3424" s="10" t="s">
        <v>506</v>
      </c>
      <c r="E3424" s="11" t="str">
        <f t="array" ref="E3424">_xlfn.XLOOKUP(D3424,Insumos!B:B,Insumos!C:$C)</f>
        <v>KG</v>
      </c>
      <c r="F3424" s="14">
        <v>0.01</v>
      </c>
      <c r="G3424" s="87">
        <f t="array" ref="G3424">IF(B3424="insumo",_xlfn.XLOOKUP($D3424,Insumos!$B$1:$B$996,Insumos!$D$1:$D$996),"")</f>
        <v>11.15</v>
      </c>
      <c r="H3424" s="87">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332">
        <v>1</v>
      </c>
      <c r="B3425" s="332" t="s">
        <v>67</v>
      </c>
      <c r="C3425" s="332" t="s">
        <v>658</v>
      </c>
      <c r="D3425" s="332" t="s">
        <v>658</v>
      </c>
      <c r="E3425" s="333" t="s">
        <v>69</v>
      </c>
      <c r="F3425" s="332"/>
      <c r="G3425" s="334" t="str">
        <f t="array" ref="G3425">IF(B3425="insumo",_xlfn.XLOOKUP($D3425,Insumos!$B$1:$B$996,Insumos!$D$1:$D$996),"")</f>
        <v/>
      </c>
      <c r="H3425" s="334">
        <v>206.53559999999999</v>
      </c>
      <c r="I3425" s="335">
        <v>0</v>
      </c>
      <c r="J3425" s="335">
        <v>0</v>
      </c>
      <c r="K3425" s="335"/>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70</v>
      </c>
      <c r="C3426" s="10" t="s">
        <v>658</v>
      </c>
      <c r="D3426" s="10" t="s">
        <v>659</v>
      </c>
      <c r="E3426" s="11" t="str">
        <f t="array" ref="E3426">_xlfn.XLOOKUP(D3426,Insumos!B:B,Insumos!C:$C)</f>
        <v>M2</v>
      </c>
      <c r="F3426" s="14">
        <v>1.1000000000000001</v>
      </c>
      <c r="G3426" s="87">
        <f t="array" ref="G3426">IF(B3426="insumo",_xlfn.XLOOKUP($D3426,Insumos!$B$1:$B$996,Insumos!$D$1:$D$996),"")</f>
        <v>178.8</v>
      </c>
      <c r="H3426" s="87">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70</v>
      </c>
      <c r="C3427" s="10" t="s">
        <v>658</v>
      </c>
      <c r="D3427" s="10" t="s">
        <v>480</v>
      </c>
      <c r="E3427" s="11" t="str">
        <f t="array" ref="E3427">_xlfn.XLOOKUP(D3427,Insumos!B:B,Insumos!C:$C)</f>
        <v>KG</v>
      </c>
      <c r="F3427" s="14">
        <v>8.8000000000000007</v>
      </c>
      <c r="G3427" s="87">
        <f t="array" ref="G3427">IF(B3427="insumo",_xlfn.XLOOKUP($D3427,Insumos!$B$1:$B$996,Insumos!$D$1:$D$996),"")</f>
        <v>1.0645</v>
      </c>
      <c r="H3427" s="87">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70</v>
      </c>
      <c r="C3428" s="10" t="s">
        <v>658</v>
      </c>
      <c r="D3428" s="10" t="s">
        <v>520</v>
      </c>
      <c r="E3428" s="11" t="str">
        <f t="array" ref="E3428">_xlfn.XLOOKUP(D3428,Insumos!B:B,Insumos!C:$C)</f>
        <v>UN</v>
      </c>
      <c r="F3428" s="14">
        <v>1</v>
      </c>
      <c r="G3428" s="87">
        <f t="array" ref="G3428">IF(B3428="insumo",_xlfn.XLOOKUP($D3428,Insumos!$B$1:$B$996,Insumos!$D$1:$D$996),"")</f>
        <v>0.05</v>
      </c>
      <c r="H3428" s="87">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70</v>
      </c>
      <c r="C3429" s="10" t="s">
        <v>658</v>
      </c>
      <c r="D3429" s="10" t="s">
        <v>660</v>
      </c>
      <c r="E3429" s="11" t="str">
        <f t="array" ref="E3429">_xlfn.XLOOKUP(D3429,Insumos!B:B,Insumos!C:$C)</f>
        <v>KG</v>
      </c>
      <c r="F3429" s="14">
        <v>0.01</v>
      </c>
      <c r="G3429" s="87">
        <f t="array" ref="G3429">IF(B3429="insumo",_xlfn.XLOOKUP($D3429,Insumos!$B$1:$B$996,Insumos!$D$1:$D$996),"")</f>
        <v>43.8</v>
      </c>
      <c r="H3429" s="87">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332">
        <v>1</v>
      </c>
      <c r="B3430" s="332" t="s">
        <v>67</v>
      </c>
      <c r="C3430" s="332" t="s">
        <v>1469</v>
      </c>
      <c r="D3430" s="332" t="s">
        <v>1469</v>
      </c>
      <c r="E3430" s="333" t="s">
        <v>69</v>
      </c>
      <c r="F3430" s="332"/>
      <c r="G3430" s="334" t="str">
        <f t="array" ref="G3430">IF(B3430="insumo",_xlfn.XLOOKUP($D3430,Insumos!$B$1:$B$996,Insumos!$D$1:$D$996),"")</f>
        <v/>
      </c>
      <c r="H3430" s="334">
        <v>128.2491</v>
      </c>
      <c r="I3430" s="335">
        <v>0</v>
      </c>
      <c r="J3430" s="335">
        <v>0</v>
      </c>
      <c r="K3430" s="335"/>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70</v>
      </c>
      <c r="C3431" s="10" t="s">
        <v>1469</v>
      </c>
      <c r="D3431" s="10" t="s">
        <v>1467</v>
      </c>
      <c r="E3431" s="11" t="str">
        <f t="array" ref="E3431">_xlfn.XLOOKUP(D3431,Insumos!B:B,Insumos!C:$C)</f>
        <v>M2</v>
      </c>
      <c r="F3431" s="14">
        <v>1.1000000000000001</v>
      </c>
      <c r="G3431" s="87">
        <f t="array" ref="G3431">IF(B3431="insumo",_xlfn.XLOOKUP($D3431,Insumos!$B$1:$B$996,Insumos!$D$1:$D$996),"")</f>
        <v>107.9</v>
      </c>
      <c r="H3431" s="87">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70</v>
      </c>
      <c r="C3432" s="10" t="s">
        <v>1469</v>
      </c>
      <c r="D3432" s="10" t="s">
        <v>480</v>
      </c>
      <c r="E3432" s="11" t="str">
        <f t="array" ref="E3432">_xlfn.XLOOKUP(D3432,Insumos!B:B,Insumos!C:$C)</f>
        <v>KG</v>
      </c>
      <c r="F3432" s="14">
        <v>8.8000000000000007</v>
      </c>
      <c r="G3432" s="87">
        <f t="array" ref="G3432">IF(B3432="insumo",_xlfn.XLOOKUP($D3432,Insumos!$B$1:$B$996,Insumos!$D$1:$D$996),"")</f>
        <v>1.0645</v>
      </c>
      <c r="H3432" s="87">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70</v>
      </c>
      <c r="C3433" s="10" t="s">
        <v>1469</v>
      </c>
      <c r="D3433" s="10" t="s">
        <v>505</v>
      </c>
      <c r="E3433" s="11" t="str">
        <f t="array" ref="E3433">_xlfn.XLOOKUP(D3433,Insumos!B:B,Insumos!C:$C)</f>
        <v>UN</v>
      </c>
      <c r="F3433" s="14">
        <v>1</v>
      </c>
      <c r="G3433" s="87">
        <f t="array" ref="G3433">IF(B3433="insumo",_xlfn.XLOOKUP($D3433,Insumos!$B$1:$B$996,Insumos!$D$1:$D$996),"")</f>
        <v>0.08</v>
      </c>
      <c r="H3433" s="87">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70</v>
      </c>
      <c r="C3434" s="10" t="s">
        <v>1469</v>
      </c>
      <c r="D3434" s="10" t="s">
        <v>506</v>
      </c>
      <c r="E3434" s="11" t="str">
        <f t="array" ref="E3434">_xlfn.XLOOKUP(D3434,Insumos!B:B,Insumos!C:$C)</f>
        <v>KG</v>
      </c>
      <c r="F3434" s="14">
        <v>0.01</v>
      </c>
      <c r="G3434" s="87">
        <f t="array" ref="G3434">IF(B3434="insumo",_xlfn.XLOOKUP($D3434,Insumos!$B$1:$B$996,Insumos!$D$1:$D$996),"")</f>
        <v>11.15</v>
      </c>
      <c r="H3434" s="87">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332">
        <v>1</v>
      </c>
      <c r="B3435" s="332" t="s">
        <v>67</v>
      </c>
      <c r="C3435" s="332" t="s">
        <v>1470</v>
      </c>
      <c r="D3435" s="332" t="s">
        <v>1470</v>
      </c>
      <c r="E3435" s="333" t="s">
        <v>69</v>
      </c>
      <c r="F3435" s="332"/>
      <c r="G3435" s="334" t="str">
        <f t="array" ref="G3435">IF(B3435="insumo",_xlfn.XLOOKUP($D3435,Insumos!$B$1:$B$996,Insumos!$D$1:$D$996),"")</f>
        <v/>
      </c>
      <c r="H3435" s="334">
        <v>93.5441</v>
      </c>
      <c r="I3435" s="335">
        <v>0</v>
      </c>
      <c r="J3435" s="335">
        <v>0</v>
      </c>
      <c r="K3435" s="335"/>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70</v>
      </c>
      <c r="C3436" s="10" t="s">
        <v>1470</v>
      </c>
      <c r="D3436" s="10" t="s">
        <v>1468</v>
      </c>
      <c r="E3436" s="11" t="str">
        <f t="array" ref="E3436">_xlfn.XLOOKUP(D3436,Insumos!B:B,Insumos!C:$C)</f>
        <v>M2</v>
      </c>
      <c r="F3436" s="14">
        <v>1.1000000000000001</v>
      </c>
      <c r="G3436" s="87">
        <f t="array" ref="G3436">IF(B3436="insumo",_xlfn.XLOOKUP($D3436,Insumos!$B$1:$B$996,Insumos!$D$1:$D$996),"")</f>
        <v>76.349999999999994</v>
      </c>
      <c r="H3436" s="87">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70</v>
      </c>
      <c r="C3437" s="10" t="s">
        <v>1470</v>
      </c>
      <c r="D3437" s="10" t="s">
        <v>480</v>
      </c>
      <c r="E3437" s="11" t="str">
        <f t="array" ref="E3437">_xlfn.XLOOKUP(D3437,Insumos!B:B,Insumos!C:$C)</f>
        <v>KG</v>
      </c>
      <c r="F3437" s="14">
        <v>8.8000000000000007</v>
      </c>
      <c r="G3437" s="87">
        <f t="array" ref="G3437">IF(B3437="insumo",_xlfn.XLOOKUP($D3437,Insumos!$B$1:$B$996,Insumos!$D$1:$D$996),"")</f>
        <v>1.0645</v>
      </c>
      <c r="H3437" s="87">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70</v>
      </c>
      <c r="C3438" s="10" t="s">
        <v>1470</v>
      </c>
      <c r="D3438" s="10" t="s">
        <v>505</v>
      </c>
      <c r="E3438" s="11" t="str">
        <f t="array" ref="E3438">_xlfn.XLOOKUP(D3438,Insumos!B:B,Insumos!C:$C)</f>
        <v>UN</v>
      </c>
      <c r="F3438" s="14">
        <v>1</v>
      </c>
      <c r="G3438" s="87">
        <f t="array" ref="G3438">IF(B3438="insumo",_xlfn.XLOOKUP($D3438,Insumos!$B$1:$B$996,Insumos!$D$1:$D$996),"")</f>
        <v>0.08</v>
      </c>
      <c r="H3438" s="87">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70</v>
      </c>
      <c r="C3439" s="10" t="s">
        <v>1470</v>
      </c>
      <c r="D3439" s="10" t="s">
        <v>506</v>
      </c>
      <c r="E3439" s="11" t="str">
        <f t="array" ref="E3439">_xlfn.XLOOKUP(D3439,Insumos!B:B,Insumos!C:$C)</f>
        <v>KG</v>
      </c>
      <c r="F3439" s="14">
        <v>0.01</v>
      </c>
      <c r="G3439" s="87">
        <f t="array" ref="G3439">IF(B3439="insumo",_xlfn.XLOOKUP($D3439,Insumos!$B$1:$B$996,Insumos!$D$1:$D$996),"")</f>
        <v>11.15</v>
      </c>
      <c r="H3439" s="87">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332">
        <v>1</v>
      </c>
      <c r="B3440" s="332" t="s">
        <v>67</v>
      </c>
      <c r="C3440" s="332" t="s">
        <v>1477</v>
      </c>
      <c r="D3440" s="332" t="s">
        <v>1477</v>
      </c>
      <c r="E3440" s="333" t="s">
        <v>69</v>
      </c>
      <c r="F3440" s="332"/>
      <c r="G3440" s="334" t="str">
        <f t="array" ref="G3440">IF(B3440="insumo",_xlfn.XLOOKUP($D3440,Insumos!$B$1:$B$996,Insumos!$D$1:$D$996),"")</f>
        <v/>
      </c>
      <c r="H3440" s="334">
        <v>117.683833333333</v>
      </c>
      <c r="I3440" s="335">
        <v>0</v>
      </c>
      <c r="J3440" s="335">
        <v>0</v>
      </c>
      <c r="K3440" s="335"/>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70</v>
      </c>
      <c r="C3441" s="10" t="s">
        <v>1477</v>
      </c>
      <c r="D3441" s="10" t="s">
        <v>1478</v>
      </c>
      <c r="E3441" s="11" t="str">
        <f t="array" ref="E3441">_xlfn.XLOOKUP(D3441,Insumos!B:B,Insumos!C:$C)</f>
        <v>M2</v>
      </c>
      <c r="F3441" s="14">
        <v>1.1000000000000001</v>
      </c>
      <c r="G3441" s="87">
        <f t="array" ref="G3441">IF(B3441="insumo",_xlfn.XLOOKUP($D3441,Insumos!$B$1:$B$996,Insumos!$D$1:$D$996),"")</f>
        <v>92.916666666666671</v>
      </c>
      <c r="H3441" s="87">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70</v>
      </c>
      <c r="C3442" s="10" t="s">
        <v>1477</v>
      </c>
      <c r="D3442" s="10" t="s">
        <v>480</v>
      </c>
      <c r="E3442" s="11" t="str">
        <f t="array" ref="E3442">_xlfn.XLOOKUP(D3442,Insumos!B:B,Insumos!C:$C)</f>
        <v>KG</v>
      </c>
      <c r="F3442" s="14">
        <v>9</v>
      </c>
      <c r="G3442" s="87">
        <f t="array" ref="G3442">IF(B3442="insumo",_xlfn.XLOOKUP($D3442,Insumos!$B$1:$B$996,Insumos!$D$1:$D$996),"")</f>
        <v>1.0645</v>
      </c>
      <c r="H3442" s="87">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70</v>
      </c>
      <c r="C3443" s="10" t="s">
        <v>1477</v>
      </c>
      <c r="D3443" s="10" t="s">
        <v>505</v>
      </c>
      <c r="E3443" s="11" t="str">
        <f t="array" ref="E3443">_xlfn.XLOOKUP(D3443,Insumos!B:B,Insumos!C:$C)</f>
        <v>UN</v>
      </c>
      <c r="F3443" s="14">
        <v>4</v>
      </c>
      <c r="G3443" s="87">
        <f t="array" ref="G3443">IF(B3443="insumo",_xlfn.XLOOKUP($D3443,Insumos!$B$1:$B$996,Insumos!$D$1:$D$996),"")</f>
        <v>0.08</v>
      </c>
      <c r="H3443" s="87">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70</v>
      </c>
      <c r="C3444" s="10" t="s">
        <v>1477</v>
      </c>
      <c r="D3444" s="10" t="s">
        <v>506</v>
      </c>
      <c r="E3444" s="11" t="str">
        <f t="array" ref="E3444">_xlfn.XLOOKUP(D3444,Insumos!B:B,Insumos!C:$C)</f>
        <v>KG</v>
      </c>
      <c r="F3444" s="14">
        <v>0.5</v>
      </c>
      <c r="G3444" s="87">
        <f t="array" ref="G3444">IF(B3444="insumo",_xlfn.XLOOKUP($D3444,Insumos!$B$1:$B$996,Insumos!$D$1:$D$996),"")</f>
        <v>11.15</v>
      </c>
      <c r="H3444" s="87">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332">
        <v>1</v>
      </c>
      <c r="B3445" s="332" t="s">
        <v>67</v>
      </c>
      <c r="C3445" s="332" t="s">
        <v>664</v>
      </c>
      <c r="D3445" s="332" t="s">
        <v>664</v>
      </c>
      <c r="E3445" s="333" t="s">
        <v>69</v>
      </c>
      <c r="F3445" s="332"/>
      <c r="G3445" s="334" t="str">
        <f t="array" ref="G3445">IF(B3445="insumo",_xlfn.XLOOKUP($D3445,Insumos!$B$1:$B$996,Insumos!$D$1:$D$996),"")</f>
        <v/>
      </c>
      <c r="H3445" s="334">
        <v>166.05449999999999</v>
      </c>
      <c r="I3445" s="335">
        <v>0</v>
      </c>
      <c r="J3445" s="335">
        <v>0</v>
      </c>
      <c r="K3445" s="335"/>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70</v>
      </c>
      <c r="C3446" s="10" t="s">
        <v>664</v>
      </c>
      <c r="D3446" s="10" t="s">
        <v>663</v>
      </c>
      <c r="E3446" s="11" t="str">
        <f t="array" ref="E3446">_xlfn.XLOOKUP(D3446,Insumos!B:B,Insumos!C:$C)</f>
        <v>M2</v>
      </c>
      <c r="F3446" s="14">
        <v>1.1000000000000001</v>
      </c>
      <c r="G3446" s="87">
        <f t="array" ref="G3446">IF(B3446="insumo",_xlfn.XLOOKUP($D3446,Insumos!$B$1:$B$996,Insumos!$D$1:$D$996),"")</f>
        <v>136.88999999999999</v>
      </c>
      <c r="H3446" s="87">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70</v>
      </c>
      <c r="C3447" s="10" t="s">
        <v>664</v>
      </c>
      <c r="D3447" s="10" t="s">
        <v>480</v>
      </c>
      <c r="E3447" s="11" t="str">
        <f t="array" ref="E3447">_xlfn.XLOOKUP(D3447,Insumos!B:B,Insumos!C:$C)</f>
        <v>KG</v>
      </c>
      <c r="F3447" s="14">
        <v>9</v>
      </c>
      <c r="G3447" s="87">
        <f t="array" ref="G3447">IF(B3447="insumo",_xlfn.XLOOKUP($D3447,Insumos!$B$1:$B$996,Insumos!$D$1:$D$996),"")</f>
        <v>1.0645</v>
      </c>
      <c r="H3447" s="87">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70</v>
      </c>
      <c r="C3448" s="10" t="s">
        <v>664</v>
      </c>
      <c r="D3448" s="10" t="s">
        <v>505</v>
      </c>
      <c r="E3448" s="11" t="str">
        <f t="array" ref="E3448">_xlfn.XLOOKUP(D3448,Insumos!B:B,Insumos!C:$C)</f>
        <v>UN</v>
      </c>
      <c r="F3448" s="14">
        <v>4</v>
      </c>
      <c r="G3448" s="87">
        <f t="array" ref="G3448">IF(B3448="insumo",_xlfn.XLOOKUP($D3448,Insumos!$B$1:$B$996,Insumos!$D$1:$D$996),"")</f>
        <v>0.08</v>
      </c>
      <c r="H3448" s="87">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70</v>
      </c>
      <c r="C3449" s="10" t="s">
        <v>664</v>
      </c>
      <c r="D3449" s="10" t="s">
        <v>506</v>
      </c>
      <c r="E3449" s="11" t="str">
        <f t="array" ref="E3449">_xlfn.XLOOKUP(D3449,Insumos!B:B,Insumos!C:$C)</f>
        <v>KG</v>
      </c>
      <c r="F3449" s="14">
        <v>0.5</v>
      </c>
      <c r="G3449" s="87">
        <f t="array" ref="G3449">IF(B3449="insumo",_xlfn.XLOOKUP($D3449,Insumos!$B$1:$B$996,Insumos!$D$1:$D$996),"")</f>
        <v>11.15</v>
      </c>
      <c r="H3449" s="87">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332">
        <v>1</v>
      </c>
      <c r="B3450" s="332" t="s">
        <v>67</v>
      </c>
      <c r="C3450" s="332" t="s">
        <v>670</v>
      </c>
      <c r="D3450" s="332" t="s">
        <v>670</v>
      </c>
      <c r="E3450" s="333" t="s">
        <v>69</v>
      </c>
      <c r="F3450" s="332"/>
      <c r="G3450" s="334" t="str">
        <f t="array" ref="G3450">IF(B3450="insumo",_xlfn.XLOOKUP($D3450,Insumos!$B$1:$B$996,Insumos!$D$1:$D$996),"")</f>
        <v/>
      </c>
      <c r="H3450" s="334">
        <v>169.47550000000001</v>
      </c>
      <c r="I3450" s="335">
        <v>0</v>
      </c>
      <c r="J3450" s="335">
        <v>0</v>
      </c>
      <c r="K3450" s="335"/>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70</v>
      </c>
      <c r="C3451" s="10" t="s">
        <v>670</v>
      </c>
      <c r="D3451" s="10" t="s">
        <v>671</v>
      </c>
      <c r="E3451" s="11" t="str">
        <f t="array" ref="E3451">_xlfn.XLOOKUP(D3451,Insumos!B:B,Insumos!C:$C)</f>
        <v>M2</v>
      </c>
      <c r="F3451" s="14">
        <v>1.1000000000000001</v>
      </c>
      <c r="G3451" s="87">
        <f t="array" ref="G3451">IF(B3451="insumo",_xlfn.XLOOKUP($D3451,Insumos!$B$1:$B$996,Insumos!$D$1:$D$996),"")</f>
        <v>140</v>
      </c>
      <c r="H3451" s="87">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70</v>
      </c>
      <c r="C3452" s="10" t="s">
        <v>670</v>
      </c>
      <c r="D3452" s="10" t="s">
        <v>480</v>
      </c>
      <c r="E3452" s="11" t="str">
        <f t="array" ref="E3452">_xlfn.XLOOKUP(D3452,Insumos!B:B,Insumos!C:$C)</f>
        <v>KG</v>
      </c>
      <c r="F3452" s="14">
        <v>9</v>
      </c>
      <c r="G3452" s="87">
        <f t="array" ref="G3452">IF(B3452="insumo",_xlfn.XLOOKUP($D3452,Insumos!$B$1:$B$996,Insumos!$D$1:$D$996),"")</f>
        <v>1.0645</v>
      </c>
      <c r="H3452" s="87">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70</v>
      </c>
      <c r="C3453" s="10" t="s">
        <v>670</v>
      </c>
      <c r="D3453" s="10" t="s">
        <v>505</v>
      </c>
      <c r="E3453" s="11" t="str">
        <f t="array" ref="E3453">_xlfn.XLOOKUP(D3453,Insumos!B:B,Insumos!C:$C)</f>
        <v>UN</v>
      </c>
      <c r="F3453" s="14">
        <v>4</v>
      </c>
      <c r="G3453" s="87">
        <f t="array" ref="G3453">IF(B3453="insumo",_xlfn.XLOOKUP($D3453,Insumos!$B$1:$B$996,Insumos!$D$1:$D$996),"")</f>
        <v>0.08</v>
      </c>
      <c r="H3453" s="87">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70</v>
      </c>
      <c r="C3454" s="10" t="s">
        <v>670</v>
      </c>
      <c r="D3454" s="10" t="s">
        <v>506</v>
      </c>
      <c r="E3454" s="11" t="str">
        <f t="array" ref="E3454">_xlfn.XLOOKUP(D3454,Insumos!B:B,Insumos!C:$C)</f>
        <v>KG</v>
      </c>
      <c r="F3454" s="14">
        <v>0.5</v>
      </c>
      <c r="G3454" s="87">
        <f t="array" ref="G3454">IF(B3454="insumo",_xlfn.XLOOKUP($D3454,Insumos!$B$1:$B$996,Insumos!$D$1:$D$996),"")</f>
        <v>11.15</v>
      </c>
      <c r="H3454" s="87">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332">
        <v>1</v>
      </c>
      <c r="B3455" s="332" t="s">
        <v>67</v>
      </c>
      <c r="C3455" s="332" t="s">
        <v>1463</v>
      </c>
      <c r="D3455" s="332" t="s">
        <v>1463</v>
      </c>
      <c r="E3455" s="333" t="s">
        <v>69</v>
      </c>
      <c r="F3455" s="332"/>
      <c r="G3455" s="334" t="str">
        <f t="array" ref="G3455">IF(B3455="insumo",_xlfn.XLOOKUP($D3455,Insumos!$B$1:$B$996,Insumos!$D$1:$D$996),"")</f>
        <v/>
      </c>
      <c r="H3455" s="334">
        <v>156.73910000000001</v>
      </c>
      <c r="I3455" s="335">
        <v>0</v>
      </c>
      <c r="J3455" s="335">
        <v>0</v>
      </c>
      <c r="K3455" s="335"/>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70</v>
      </c>
      <c r="C3456" s="10" t="s">
        <v>1463</v>
      </c>
      <c r="D3456" s="10" t="s">
        <v>1410</v>
      </c>
      <c r="E3456" s="11" t="str">
        <f t="array" ref="E3456">_xlfn.XLOOKUP(D3456,Insumos!B:B,Insumos!C:$C)</f>
        <v>M2</v>
      </c>
      <c r="F3456" s="14">
        <v>1.1000000000000001</v>
      </c>
      <c r="G3456" s="87">
        <f t="array" ref="G3456">IF(B3456="insumo",_xlfn.XLOOKUP($D3456,Insumos!$B$1:$B$996,Insumos!$D$1:$D$996),"")</f>
        <v>133.80000000000001</v>
      </c>
      <c r="H3456" s="87">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70</v>
      </c>
      <c r="C3457" s="10" t="s">
        <v>1463</v>
      </c>
      <c r="D3457" s="10" t="s">
        <v>480</v>
      </c>
      <c r="E3457" s="11" t="str">
        <f t="array" ref="E3457">_xlfn.XLOOKUP(D3457,Insumos!B:B,Insumos!C:$C)</f>
        <v>KG</v>
      </c>
      <c r="F3457" s="14">
        <v>8.8000000000000007</v>
      </c>
      <c r="G3457" s="87">
        <f t="array" ref="G3457">IF(B3457="insumo",_xlfn.XLOOKUP($D3457,Insumos!$B$1:$B$996,Insumos!$D$1:$D$996),"")</f>
        <v>1.0645</v>
      </c>
      <c r="H3457" s="87">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70</v>
      </c>
      <c r="C3458" s="10" t="s">
        <v>1463</v>
      </c>
      <c r="D3458" s="10" t="s">
        <v>505</v>
      </c>
      <c r="E3458" s="11" t="str">
        <f t="array" ref="E3458">_xlfn.XLOOKUP(D3458,Insumos!B:B,Insumos!C:$C)</f>
        <v>UN</v>
      </c>
      <c r="F3458" s="14">
        <v>1</v>
      </c>
      <c r="G3458" s="87">
        <f t="array" ref="G3458">IF(B3458="insumo",_xlfn.XLOOKUP($D3458,Insumos!$B$1:$B$996,Insumos!$D$1:$D$996),"")</f>
        <v>0.08</v>
      </c>
      <c r="H3458" s="87">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70</v>
      </c>
      <c r="C3459" s="10" t="s">
        <v>1463</v>
      </c>
      <c r="D3459" s="10" t="s">
        <v>506</v>
      </c>
      <c r="E3459" s="11" t="str">
        <f t="array" ref="E3459">_xlfn.XLOOKUP(D3459,Insumos!B:B,Insumos!C:$C)</f>
        <v>KG</v>
      </c>
      <c r="F3459" s="14">
        <v>0.01</v>
      </c>
      <c r="G3459" s="87">
        <f t="array" ref="G3459">IF(B3459="insumo",_xlfn.XLOOKUP($D3459,Insumos!$B$1:$B$996,Insumos!$D$1:$D$996),"")</f>
        <v>11.15</v>
      </c>
      <c r="H3459" s="87">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332">
        <v>1</v>
      </c>
      <c r="B3460" s="332" t="s">
        <v>67</v>
      </c>
      <c r="C3460" s="332" t="s">
        <v>1464</v>
      </c>
      <c r="D3460" s="332" t="s">
        <v>1464</v>
      </c>
      <c r="E3460" s="333" t="s">
        <v>69</v>
      </c>
      <c r="F3460" s="332"/>
      <c r="G3460" s="334" t="str">
        <f t="array" ref="G3460">IF(B3460="insumo",_xlfn.XLOOKUP($D3460,Insumos!$B$1:$B$996,Insumos!$D$1:$D$996),"")</f>
        <v/>
      </c>
      <c r="H3460" s="334">
        <v>156.73910000000001</v>
      </c>
      <c r="I3460" s="335">
        <v>0</v>
      </c>
      <c r="J3460" s="335">
        <v>0</v>
      </c>
      <c r="K3460" s="335"/>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70</v>
      </c>
      <c r="C3461" s="10" t="s">
        <v>1464</v>
      </c>
      <c r="D3461" s="10" t="s">
        <v>1411</v>
      </c>
      <c r="E3461" s="11" t="str">
        <f t="array" ref="E3461">_xlfn.XLOOKUP(D3461,Insumos!B:B,Insumos!C:$C)</f>
        <v>M2</v>
      </c>
      <c r="F3461" s="14">
        <v>1.1000000000000001</v>
      </c>
      <c r="G3461" s="87">
        <f t="array" ref="G3461">IF(B3461="insumo",_xlfn.XLOOKUP($D3461,Insumos!$B$1:$B$996,Insumos!$D$1:$D$996),"")</f>
        <v>133.80000000000001</v>
      </c>
      <c r="H3461" s="87">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70</v>
      </c>
      <c r="C3462" s="10" t="s">
        <v>1464</v>
      </c>
      <c r="D3462" s="10" t="s">
        <v>480</v>
      </c>
      <c r="E3462" s="11" t="str">
        <f t="array" ref="E3462">_xlfn.XLOOKUP(D3462,Insumos!B:B,Insumos!C:$C)</f>
        <v>KG</v>
      </c>
      <c r="F3462" s="14">
        <v>8.8000000000000007</v>
      </c>
      <c r="G3462" s="87">
        <f t="array" ref="G3462">IF(B3462="insumo",_xlfn.XLOOKUP($D3462,Insumos!$B$1:$B$996,Insumos!$D$1:$D$996),"")</f>
        <v>1.0645</v>
      </c>
      <c r="H3462" s="87">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70</v>
      </c>
      <c r="C3463" s="10" t="s">
        <v>1464</v>
      </c>
      <c r="D3463" s="10" t="s">
        <v>505</v>
      </c>
      <c r="E3463" s="11" t="str">
        <f t="array" ref="E3463">_xlfn.XLOOKUP(D3463,Insumos!B:B,Insumos!C:$C)</f>
        <v>UN</v>
      </c>
      <c r="F3463" s="14">
        <v>1</v>
      </c>
      <c r="G3463" s="87">
        <f t="array" ref="G3463">IF(B3463="insumo",_xlfn.XLOOKUP($D3463,Insumos!$B$1:$B$996,Insumos!$D$1:$D$996),"")</f>
        <v>0.08</v>
      </c>
      <c r="H3463" s="87">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70</v>
      </c>
      <c r="C3464" s="10" t="s">
        <v>1464</v>
      </c>
      <c r="D3464" s="10" t="s">
        <v>506</v>
      </c>
      <c r="E3464" s="11" t="str">
        <f t="array" ref="E3464">_xlfn.XLOOKUP(D3464,Insumos!B:B,Insumos!C:$C)</f>
        <v>KG</v>
      </c>
      <c r="F3464" s="14">
        <v>0.01</v>
      </c>
      <c r="G3464" s="87">
        <f t="array" ref="G3464">IF(B3464="insumo",_xlfn.XLOOKUP($D3464,Insumos!$B$1:$B$996,Insumos!$D$1:$D$996),"")</f>
        <v>11.15</v>
      </c>
      <c r="H3464" s="87">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332">
        <v>1</v>
      </c>
      <c r="B3465" s="332" t="s">
        <v>67</v>
      </c>
      <c r="C3465" s="332" t="s">
        <v>1465</v>
      </c>
      <c r="D3465" s="332" t="s">
        <v>1465</v>
      </c>
      <c r="E3465" s="333" t="s">
        <v>69</v>
      </c>
      <c r="F3465" s="332"/>
      <c r="G3465" s="334" t="str">
        <f t="array" ref="G3465">IF(B3465="insumo",_xlfn.XLOOKUP($D3465,Insumos!$B$1:$B$996,Insumos!$D$1:$D$996),"")</f>
        <v/>
      </c>
      <c r="H3465" s="334">
        <v>156.73910000000001</v>
      </c>
      <c r="I3465" s="335">
        <v>0</v>
      </c>
      <c r="J3465" s="335">
        <v>0</v>
      </c>
      <c r="K3465" s="335"/>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70</v>
      </c>
      <c r="C3466" s="10" t="s">
        <v>1465</v>
      </c>
      <c r="D3466" s="10" t="s">
        <v>1412</v>
      </c>
      <c r="E3466" s="11" t="str">
        <f t="array" ref="E3466">_xlfn.XLOOKUP(D3466,Insumos!B:B,Insumos!C:$C)</f>
        <v>M2</v>
      </c>
      <c r="F3466" s="14">
        <v>1.1000000000000001</v>
      </c>
      <c r="G3466" s="87">
        <f t="array" ref="G3466">IF(B3466="insumo",_xlfn.XLOOKUP($D3466,Insumos!$B$1:$B$996,Insumos!$D$1:$D$996),"")</f>
        <v>133.80000000000001</v>
      </c>
      <c r="H3466" s="87">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70</v>
      </c>
      <c r="C3467" s="10" t="s">
        <v>1465</v>
      </c>
      <c r="D3467" s="10" t="s">
        <v>480</v>
      </c>
      <c r="E3467" s="11" t="str">
        <f t="array" ref="E3467">_xlfn.XLOOKUP(D3467,Insumos!B:B,Insumos!C:$C)</f>
        <v>KG</v>
      </c>
      <c r="F3467" s="14">
        <v>8.8000000000000007</v>
      </c>
      <c r="G3467" s="87">
        <f t="array" ref="G3467">IF(B3467="insumo",_xlfn.XLOOKUP($D3467,Insumos!$B$1:$B$996,Insumos!$D$1:$D$996),"")</f>
        <v>1.0645</v>
      </c>
      <c r="H3467" s="87">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70</v>
      </c>
      <c r="C3468" s="10" t="s">
        <v>1465</v>
      </c>
      <c r="D3468" s="10" t="s">
        <v>505</v>
      </c>
      <c r="E3468" s="11" t="str">
        <f t="array" ref="E3468">_xlfn.XLOOKUP(D3468,Insumos!B:B,Insumos!C:$C)</f>
        <v>UN</v>
      </c>
      <c r="F3468" s="14">
        <v>1</v>
      </c>
      <c r="G3468" s="87">
        <f t="array" ref="G3468">IF(B3468="insumo",_xlfn.XLOOKUP($D3468,Insumos!$B$1:$B$996,Insumos!$D$1:$D$996),"")</f>
        <v>0.08</v>
      </c>
      <c r="H3468" s="87">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70</v>
      </c>
      <c r="C3469" s="10" t="s">
        <v>1465</v>
      </c>
      <c r="D3469" s="10" t="s">
        <v>506</v>
      </c>
      <c r="E3469" s="11" t="str">
        <f t="array" ref="E3469">_xlfn.XLOOKUP(D3469,Insumos!B:B,Insumos!C:$C)</f>
        <v>KG</v>
      </c>
      <c r="F3469" s="14">
        <v>0.01</v>
      </c>
      <c r="G3469" s="87">
        <f t="array" ref="G3469">IF(B3469="insumo",_xlfn.XLOOKUP($D3469,Insumos!$B$1:$B$996,Insumos!$D$1:$D$996),"")</f>
        <v>11.15</v>
      </c>
      <c r="H3469" s="87">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332">
        <v>1</v>
      </c>
      <c r="B3470" s="332" t="s">
        <v>67</v>
      </c>
      <c r="C3470" s="332" t="s">
        <v>1473</v>
      </c>
      <c r="D3470" s="332" t="s">
        <v>1473</v>
      </c>
      <c r="E3470" s="333" t="s">
        <v>69</v>
      </c>
      <c r="F3470" s="332"/>
      <c r="G3470" s="334" t="str">
        <f t="array" ref="G3470">IF(B3470="insumo",_xlfn.XLOOKUP($D3470,Insumos!$B$1:$B$996,Insumos!$D$1:$D$996),"")</f>
        <v/>
      </c>
      <c r="H3470" s="334">
        <v>217.00649999999999</v>
      </c>
      <c r="I3470" s="335">
        <v>0</v>
      </c>
      <c r="J3470" s="335">
        <v>0</v>
      </c>
      <c r="K3470" s="335"/>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70</v>
      </c>
      <c r="C3471" s="10" t="s">
        <v>1473</v>
      </c>
      <c r="D3471" s="10" t="s">
        <v>1471</v>
      </c>
      <c r="E3471" s="11" t="str">
        <f t="array" ref="E3471">_xlfn.XLOOKUP(D3471,Insumos!B:B,Insumos!C:$C)</f>
        <v>M2</v>
      </c>
      <c r="F3471" s="14">
        <v>1.1000000000000001</v>
      </c>
      <c r="G3471" s="87">
        <f t="array" ref="G3471">IF(B3471="insumo",_xlfn.XLOOKUP($D3471,Insumos!$B$1:$B$996,Insumos!$D$1:$D$996),"")</f>
        <v>183.21</v>
      </c>
      <c r="H3471" s="87">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70</v>
      </c>
      <c r="C3472" s="10" t="s">
        <v>1473</v>
      </c>
      <c r="D3472" s="10" t="s">
        <v>480</v>
      </c>
      <c r="E3472" s="11" t="str">
        <f t="array" ref="E3472">_xlfn.XLOOKUP(D3472,Insumos!B:B,Insumos!C:$C)</f>
        <v>KG</v>
      </c>
      <c r="F3472" s="14">
        <v>9</v>
      </c>
      <c r="G3472" s="87">
        <f t="array" ref="G3472">IF(B3472="insumo",_xlfn.XLOOKUP($D3472,Insumos!$B$1:$B$996,Insumos!$D$1:$D$996),"")</f>
        <v>1.0645</v>
      </c>
      <c r="H3472" s="87">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70</v>
      </c>
      <c r="C3473" s="10" t="s">
        <v>1473</v>
      </c>
      <c r="D3473" s="10" t="s">
        <v>505</v>
      </c>
      <c r="E3473" s="11" t="str">
        <f t="array" ref="E3473">_xlfn.XLOOKUP(D3473,Insumos!B:B,Insumos!C:$C)</f>
        <v>UN</v>
      </c>
      <c r="F3473" s="14">
        <v>4</v>
      </c>
      <c r="G3473" s="87">
        <f t="array" ref="G3473">IF(B3473="insumo",_xlfn.XLOOKUP($D3473,Insumos!$B$1:$B$996,Insumos!$D$1:$D$996),"")</f>
        <v>0.08</v>
      </c>
      <c r="H3473" s="87">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70</v>
      </c>
      <c r="C3474" s="10" t="s">
        <v>1473</v>
      </c>
      <c r="D3474" s="10" t="s">
        <v>506</v>
      </c>
      <c r="E3474" s="11" t="str">
        <f t="array" ref="E3474">_xlfn.XLOOKUP(D3474,Insumos!B:B,Insumos!C:$C)</f>
        <v>KG</v>
      </c>
      <c r="F3474" s="14">
        <v>0.5</v>
      </c>
      <c r="G3474" s="87">
        <f t="array" ref="G3474">IF(B3474="insumo",_xlfn.XLOOKUP($D3474,Insumos!$B$1:$B$996,Insumos!$D$1:$D$996),"")</f>
        <v>11.15</v>
      </c>
      <c r="H3474" s="87">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332">
        <v>1</v>
      </c>
      <c r="B3475" s="332" t="s">
        <v>67</v>
      </c>
      <c r="C3475" s="332" t="s">
        <v>693</v>
      </c>
      <c r="D3475" s="332" t="s">
        <v>693</v>
      </c>
      <c r="E3475" s="333" t="s">
        <v>69</v>
      </c>
      <c r="F3475" s="332"/>
      <c r="G3475" s="334" t="str">
        <f t="array" ref="G3475">IF(B3475="insumo",_xlfn.XLOOKUP($D3475,Insumos!$B$1:$B$996,Insumos!$D$1:$D$996),"")</f>
        <v/>
      </c>
      <c r="H3475" s="334">
        <v>119.42059999999999</v>
      </c>
      <c r="I3475" s="335">
        <v>0</v>
      </c>
      <c r="J3475" s="335">
        <v>0</v>
      </c>
      <c r="K3475" s="335"/>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70</v>
      </c>
      <c r="C3476" s="10" t="s">
        <v>693</v>
      </c>
      <c r="D3476" s="10" t="s">
        <v>694</v>
      </c>
      <c r="E3476" s="11" t="str">
        <f t="array" ref="E3476">_xlfn.XLOOKUP(D3476,Insumos!B:B,Insumos!C:$C)</f>
        <v>M2</v>
      </c>
      <c r="F3476" s="14">
        <v>1.1000000000000001</v>
      </c>
      <c r="G3476" s="87">
        <f t="array" ref="G3476">IF(B3476="insumo",_xlfn.XLOOKUP($D3476,Insumos!$B$1:$B$996,Insumos!$D$1:$D$996),"")</f>
        <v>99.7</v>
      </c>
      <c r="H3476" s="87">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70</v>
      </c>
      <c r="C3477" s="10" t="s">
        <v>693</v>
      </c>
      <c r="D3477" s="10" t="s">
        <v>480</v>
      </c>
      <c r="E3477" s="11" t="str">
        <f t="array" ref="E3477">_xlfn.XLOOKUP(D3477,Insumos!B:B,Insumos!C:$C)</f>
        <v>KG</v>
      </c>
      <c r="F3477" s="14">
        <v>8.8000000000000007</v>
      </c>
      <c r="G3477" s="87">
        <f t="array" ref="G3477">IF(B3477="insumo",_xlfn.XLOOKUP($D3477,Insumos!$B$1:$B$996,Insumos!$D$1:$D$996),"")</f>
        <v>1.0645</v>
      </c>
      <c r="H3477" s="87">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70</v>
      </c>
      <c r="C3478" s="10" t="s">
        <v>693</v>
      </c>
      <c r="D3478" s="10" t="s">
        <v>505</v>
      </c>
      <c r="E3478" s="11" t="str">
        <f t="array" ref="E3478">_xlfn.XLOOKUP(D3478,Insumos!B:B,Insumos!C:$C)</f>
        <v>UN</v>
      </c>
      <c r="F3478" s="14">
        <v>2</v>
      </c>
      <c r="G3478" s="87">
        <f t="array" ref="G3478">IF(B3478="insumo",_xlfn.XLOOKUP($D3478,Insumos!$B$1:$B$996,Insumos!$D$1:$D$996),"")</f>
        <v>0.08</v>
      </c>
      <c r="H3478" s="87">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70</v>
      </c>
      <c r="C3479" s="10" t="s">
        <v>693</v>
      </c>
      <c r="D3479" s="10" t="s">
        <v>506</v>
      </c>
      <c r="E3479" s="11" t="str">
        <f t="array" ref="E3479">_xlfn.XLOOKUP(D3479,Insumos!B:B,Insumos!C:$C)</f>
        <v>KG</v>
      </c>
      <c r="F3479" s="14">
        <v>0.02</v>
      </c>
      <c r="G3479" s="87">
        <f t="array" ref="G3479">IF(B3479="insumo",_xlfn.XLOOKUP($D3479,Insumos!$B$1:$B$996,Insumos!$D$1:$D$996),"")</f>
        <v>11.15</v>
      </c>
      <c r="H3479" s="87">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332">
        <v>1</v>
      </c>
      <c r="B3480" s="332" t="s">
        <v>67</v>
      </c>
      <c r="C3480" s="332" t="s">
        <v>695</v>
      </c>
      <c r="D3480" s="332" t="s">
        <v>695</v>
      </c>
      <c r="E3480" s="333" t="s">
        <v>69</v>
      </c>
      <c r="F3480" s="332"/>
      <c r="G3480" s="334" t="str">
        <f t="array" ref="G3480">IF(B3480="insumo",_xlfn.XLOOKUP($D3480,Insumos!$B$1:$B$996,Insumos!$D$1:$D$996),"")</f>
        <v/>
      </c>
      <c r="H3480" s="334">
        <v>185.75059999999999</v>
      </c>
      <c r="I3480" s="335">
        <v>0</v>
      </c>
      <c r="J3480" s="335">
        <v>0</v>
      </c>
      <c r="K3480" s="335"/>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70</v>
      </c>
      <c r="C3481" s="10" t="s">
        <v>695</v>
      </c>
      <c r="D3481" s="10" t="s">
        <v>696</v>
      </c>
      <c r="E3481" s="11" t="str">
        <f t="array" ref="E3481">_xlfn.XLOOKUP(D3481,Insumos!B:B,Insumos!C:$C)</f>
        <v>M2</v>
      </c>
      <c r="F3481" s="14">
        <v>1.1000000000000001</v>
      </c>
      <c r="G3481" s="87">
        <f t="array" ref="G3481">IF(B3481="insumo",_xlfn.XLOOKUP($D3481,Insumos!$B$1:$B$996,Insumos!$D$1:$D$996),"")</f>
        <v>160</v>
      </c>
      <c r="H3481" s="87">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70</v>
      </c>
      <c r="C3482" s="10" t="s">
        <v>695</v>
      </c>
      <c r="D3482" s="10" t="s">
        <v>480</v>
      </c>
      <c r="E3482" s="11" t="str">
        <f t="array" ref="E3482">_xlfn.XLOOKUP(D3482,Insumos!B:B,Insumos!C:$C)</f>
        <v>KG</v>
      </c>
      <c r="F3482" s="14">
        <v>8.8000000000000007</v>
      </c>
      <c r="G3482" s="87">
        <f t="array" ref="G3482">IF(B3482="insumo",_xlfn.XLOOKUP($D3482,Insumos!$B$1:$B$996,Insumos!$D$1:$D$996),"")</f>
        <v>1.0645</v>
      </c>
      <c r="H3482" s="87">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70</v>
      </c>
      <c r="C3483" s="10" t="s">
        <v>695</v>
      </c>
      <c r="D3483" s="10" t="s">
        <v>505</v>
      </c>
      <c r="E3483" s="11" t="str">
        <f t="array" ref="E3483">_xlfn.XLOOKUP(D3483,Insumos!B:B,Insumos!C:$C)</f>
        <v>UN</v>
      </c>
      <c r="F3483" s="14">
        <v>2</v>
      </c>
      <c r="G3483" s="87">
        <f t="array" ref="G3483">IF(B3483="insumo",_xlfn.XLOOKUP($D3483,Insumos!$B$1:$B$996,Insumos!$D$1:$D$996),"")</f>
        <v>0.08</v>
      </c>
      <c r="H3483" s="87">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70</v>
      </c>
      <c r="C3484" s="10" t="s">
        <v>695</v>
      </c>
      <c r="D3484" s="10" t="s">
        <v>506</v>
      </c>
      <c r="E3484" s="11" t="str">
        <f t="array" ref="E3484">_xlfn.XLOOKUP(D3484,Insumos!B:B,Insumos!C:$C)</f>
        <v>KG</v>
      </c>
      <c r="F3484" s="14">
        <v>0.02</v>
      </c>
      <c r="G3484" s="87">
        <f t="array" ref="G3484">IF(B3484="insumo",_xlfn.XLOOKUP($D3484,Insumos!$B$1:$B$996,Insumos!$D$1:$D$996),"")</f>
        <v>11.15</v>
      </c>
      <c r="H3484" s="87">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336">
        <v>1</v>
      </c>
      <c r="B3485" s="336" t="s">
        <v>67</v>
      </c>
      <c r="C3485" s="336" t="s">
        <v>1805</v>
      </c>
      <c r="D3485" s="336" t="s">
        <v>1805</v>
      </c>
      <c r="E3485" s="337" t="s">
        <v>69</v>
      </c>
      <c r="F3485" s="336"/>
      <c r="G3485" s="338" t="str">
        <f t="array" ref="G3485">IF(B3485="insumo",_xlfn.XLOOKUP($D3485,Insumos!$B$1:$B$996,Insumos!$D$1:$D$996),"")</f>
        <v/>
      </c>
      <c r="H3485" s="338">
        <v>95.456000000000003</v>
      </c>
      <c r="I3485" s="339">
        <v>0</v>
      </c>
      <c r="J3485" s="339">
        <v>0</v>
      </c>
      <c r="K3485" s="339"/>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77">
        <v>1</v>
      </c>
      <c r="B3486" s="77" t="s">
        <v>70</v>
      </c>
      <c r="C3486" s="77" t="s">
        <v>1805</v>
      </c>
      <c r="D3486" s="77" t="s">
        <v>1737</v>
      </c>
      <c r="E3486" s="11" t="str">
        <f t="array" ref="E3486">_xlfn.XLOOKUP(D3486,Insumos!B:B,Insumos!C:$C)</f>
        <v>M2</v>
      </c>
      <c r="F3486" s="85">
        <v>1.1000000000000001</v>
      </c>
      <c r="G3486" s="87">
        <f t="array" ref="G3486">IF(B3486="insumo",_xlfn.XLOOKUP($D3486,Insumos!$B$1:$B$996,Insumos!$D$1:$D$996),"")</f>
        <v>78.930000000000007</v>
      </c>
      <c r="H3486" s="87">
        <v>86.822999999999993</v>
      </c>
      <c r="I3486" s="79">
        <v>0</v>
      </c>
      <c r="J3486" s="79">
        <v>0</v>
      </c>
      <c r="K3486" s="79"/>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77">
        <v>16</v>
      </c>
      <c r="B3487" s="77" t="s">
        <v>70</v>
      </c>
      <c r="C3487" s="77" t="s">
        <v>1805</v>
      </c>
      <c r="D3487" s="77" t="s">
        <v>657</v>
      </c>
      <c r="E3487" s="11" t="str">
        <f t="array" ref="E3487">_xlfn.XLOOKUP(D3487,Insumos!B:B,Insumos!C:$C)</f>
        <v>KG</v>
      </c>
      <c r="F3487" s="85">
        <v>8.8000000000000007</v>
      </c>
      <c r="G3487" s="87">
        <f t="array" ref="G3487">IF(B3487="insumo",_xlfn.XLOOKUP($D3487,Insumos!$B$1:$B$996,Insumos!$D$1:$D$996),"")</f>
        <v>0.95</v>
      </c>
      <c r="H3487" s="87">
        <v>8.36</v>
      </c>
      <c r="I3487" s="79">
        <v>0</v>
      </c>
      <c r="J3487" s="79">
        <v>0</v>
      </c>
      <c r="K3487" s="79"/>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77">
        <v>17</v>
      </c>
      <c r="B3488" s="77" t="s">
        <v>70</v>
      </c>
      <c r="C3488" s="77" t="s">
        <v>1805</v>
      </c>
      <c r="D3488" s="77" t="s">
        <v>520</v>
      </c>
      <c r="E3488" s="11" t="str">
        <f t="array" ref="E3488">_xlfn.XLOOKUP(D3488,Insumos!B:B,Insumos!C:$C)</f>
        <v>UN</v>
      </c>
      <c r="F3488" s="85">
        <v>1</v>
      </c>
      <c r="G3488" s="87">
        <f t="array" ref="G3488">IF(B3488="insumo",_xlfn.XLOOKUP($D3488,Insumos!$B$1:$B$996,Insumos!$D$1:$D$996),"")</f>
        <v>0.05</v>
      </c>
      <c r="H3488" s="87">
        <v>0.05</v>
      </c>
      <c r="I3488" s="79">
        <v>0</v>
      </c>
      <c r="J3488" s="79">
        <v>0</v>
      </c>
      <c r="K3488" s="79"/>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77">
        <v>101</v>
      </c>
      <c r="B3489" s="77" t="s">
        <v>70</v>
      </c>
      <c r="C3489" s="77" t="s">
        <v>1805</v>
      </c>
      <c r="D3489" s="77" t="s">
        <v>506</v>
      </c>
      <c r="E3489" s="11" t="str">
        <f t="array" ref="E3489">_xlfn.XLOOKUP(D3489,Insumos!B:B,Insumos!C:$C)</f>
        <v>KG</v>
      </c>
      <c r="F3489" s="85">
        <v>0.02</v>
      </c>
      <c r="G3489" s="87">
        <f t="array" ref="G3489">IF(B3489="insumo",_xlfn.XLOOKUP($D3489,Insumos!$B$1:$B$996,Insumos!$D$1:$D$996),"")</f>
        <v>11.15</v>
      </c>
      <c r="H3489" s="87">
        <v>0.223</v>
      </c>
      <c r="I3489" s="79">
        <v>0</v>
      </c>
      <c r="J3489" s="79">
        <v>0</v>
      </c>
      <c r="K3489" s="79"/>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336">
        <v>1</v>
      </c>
      <c r="B3490" s="336" t="s">
        <v>67</v>
      </c>
      <c r="C3490" s="336" t="s">
        <v>1809</v>
      </c>
      <c r="D3490" s="336" t="s">
        <v>1809</v>
      </c>
      <c r="E3490" s="337" t="s">
        <v>69</v>
      </c>
      <c r="F3490" s="336"/>
      <c r="G3490" s="338" t="str">
        <f t="array" ref="G3490">IF(B3490="insumo",_xlfn.XLOOKUP($D3490,Insumos!$B$1:$B$996,Insumos!$D$1:$D$996),"")</f>
        <v/>
      </c>
      <c r="H3490" s="338">
        <v>141.54810000000001</v>
      </c>
      <c r="I3490" s="339">
        <v>0</v>
      </c>
      <c r="J3490" s="339">
        <v>0</v>
      </c>
      <c r="K3490" s="339"/>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77">
        <v>2</v>
      </c>
      <c r="B3491" s="77" t="s">
        <v>70</v>
      </c>
      <c r="C3491" s="77" t="s">
        <v>1809</v>
      </c>
      <c r="D3491" s="77" t="s">
        <v>1736</v>
      </c>
      <c r="E3491" s="11" t="str">
        <f t="array" ref="E3491">_xlfn.XLOOKUP(D3491,Insumos!B:B,Insumos!C:$C)</f>
        <v>M2</v>
      </c>
      <c r="F3491" s="85">
        <v>1.1000000000000001</v>
      </c>
      <c r="G3491" s="87">
        <f t="array" ref="G3491">IF(B3491="insumo",_xlfn.XLOOKUP($D3491,Insumos!$B$1:$B$996,Insumos!$D$1:$D$996),"")</f>
        <v>119.99</v>
      </c>
      <c r="H3491" s="87">
        <v>131.989</v>
      </c>
      <c r="I3491" s="79">
        <v>0</v>
      </c>
      <c r="J3491" s="79">
        <v>0</v>
      </c>
      <c r="K3491" s="79"/>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77">
        <v>191</v>
      </c>
      <c r="B3492" s="77" t="s">
        <v>70</v>
      </c>
      <c r="C3492" s="77" t="s">
        <v>1809</v>
      </c>
      <c r="D3492" s="77" t="s">
        <v>480</v>
      </c>
      <c r="E3492" s="11" t="str">
        <f t="array" ref="E3492">_xlfn.XLOOKUP(D3492,Insumos!B:B,Insumos!C:$C)</f>
        <v>KG</v>
      </c>
      <c r="F3492" s="85">
        <v>8.8000000000000007</v>
      </c>
      <c r="G3492" s="87">
        <f t="array" ref="G3492">IF(B3492="insumo",_xlfn.XLOOKUP($D3492,Insumos!$B$1:$B$996,Insumos!$D$1:$D$996),"")</f>
        <v>1.0645</v>
      </c>
      <c r="H3492" s="87">
        <v>9.3675999999999995</v>
      </c>
      <c r="I3492" s="79">
        <v>0</v>
      </c>
      <c r="J3492" s="79">
        <v>0</v>
      </c>
      <c r="K3492" s="79"/>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77">
        <v>142</v>
      </c>
      <c r="B3493" s="77" t="s">
        <v>70</v>
      </c>
      <c r="C3493" s="77" t="s">
        <v>1809</v>
      </c>
      <c r="D3493" s="77" t="s">
        <v>505</v>
      </c>
      <c r="E3493" s="11" t="str">
        <f t="array" ref="E3493">_xlfn.XLOOKUP(D3493,Insumos!B:B,Insumos!C:$C)</f>
        <v>UN</v>
      </c>
      <c r="F3493" s="85">
        <v>1</v>
      </c>
      <c r="G3493" s="87">
        <f t="array" ref="G3493">IF(B3493="insumo",_xlfn.XLOOKUP($D3493,Insumos!$B$1:$B$996,Insumos!$D$1:$D$996),"")</f>
        <v>0.08</v>
      </c>
      <c r="H3493" s="87">
        <v>0.08</v>
      </c>
      <c r="I3493" s="79">
        <v>0</v>
      </c>
      <c r="J3493" s="79">
        <v>0</v>
      </c>
      <c r="K3493" s="79"/>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77">
        <v>101</v>
      </c>
      <c r="B3494" s="77" t="s">
        <v>70</v>
      </c>
      <c r="C3494" s="77" t="s">
        <v>1809</v>
      </c>
      <c r="D3494" s="77" t="s">
        <v>506</v>
      </c>
      <c r="E3494" s="11" t="str">
        <f t="array" ref="E3494">_xlfn.XLOOKUP(D3494,Insumos!B:B,Insumos!C:$C)</f>
        <v>KG</v>
      </c>
      <c r="F3494" s="85">
        <v>0.01</v>
      </c>
      <c r="G3494" s="87">
        <f t="array" ref="G3494">IF(B3494="insumo",_xlfn.XLOOKUP($D3494,Insumos!$B$1:$B$996,Insumos!$D$1:$D$996),"")</f>
        <v>11.15</v>
      </c>
      <c r="H3494" s="87">
        <v>0.1115</v>
      </c>
      <c r="I3494" s="79">
        <v>0</v>
      </c>
      <c r="J3494" s="79">
        <v>0</v>
      </c>
      <c r="K3494" s="79"/>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336">
        <v>1</v>
      </c>
      <c r="B3495" s="336" t="s">
        <v>67</v>
      </c>
      <c r="C3495" s="336" t="s">
        <v>1810</v>
      </c>
      <c r="D3495" s="336" t="s">
        <v>1810</v>
      </c>
      <c r="E3495" s="337" t="s">
        <v>69</v>
      </c>
      <c r="F3495" s="336"/>
      <c r="G3495" s="338" t="str">
        <f t="array" ref="G3495">IF(B3495="insumo",_xlfn.XLOOKUP($D3495,Insumos!$B$1:$B$996,Insumos!$D$1:$D$996),"")</f>
        <v/>
      </c>
      <c r="H3495" s="338">
        <v>99.759100000000004</v>
      </c>
      <c r="I3495" s="339">
        <v>0</v>
      </c>
      <c r="J3495" s="339">
        <v>0</v>
      </c>
      <c r="K3495" s="339"/>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77">
        <v>5</v>
      </c>
      <c r="B3496" s="77" t="s">
        <v>70</v>
      </c>
      <c r="C3496" s="77" t="s">
        <v>1810</v>
      </c>
      <c r="D3496" s="77" t="s">
        <v>662</v>
      </c>
      <c r="E3496" s="11" t="str">
        <f t="array" ref="E3496">_xlfn.XLOOKUP(D3496,Insumos!B:B,Insumos!C:$C)</f>
        <v>M2</v>
      </c>
      <c r="F3496" s="85">
        <v>1.1000000000000001</v>
      </c>
      <c r="G3496" s="87">
        <f t="array" ref="G3496">IF(B3496="insumo",_xlfn.XLOOKUP($D3496,Insumos!$B$1:$B$996,Insumos!$D$1:$D$996),"")</f>
        <v>82</v>
      </c>
      <c r="H3496" s="87">
        <v>90.2</v>
      </c>
      <c r="I3496" s="79">
        <v>0</v>
      </c>
      <c r="J3496" s="79">
        <v>0</v>
      </c>
      <c r="K3496" s="79"/>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77">
        <v>191</v>
      </c>
      <c r="B3497" s="77" t="s">
        <v>70</v>
      </c>
      <c r="C3497" s="77" t="s">
        <v>1810</v>
      </c>
      <c r="D3497" s="77" t="s">
        <v>480</v>
      </c>
      <c r="E3497" s="11" t="str">
        <f t="array" ref="E3497">_xlfn.XLOOKUP(D3497,Insumos!B:B,Insumos!C:$C)</f>
        <v>KG</v>
      </c>
      <c r="F3497" s="85">
        <v>8.8000000000000007</v>
      </c>
      <c r="G3497" s="87">
        <f t="array" ref="G3497">IF(B3497="insumo",_xlfn.XLOOKUP($D3497,Insumos!$B$1:$B$996,Insumos!$D$1:$D$996),"")</f>
        <v>1.0645</v>
      </c>
      <c r="H3497" s="87">
        <v>9.3675999999999995</v>
      </c>
      <c r="I3497" s="79">
        <v>0</v>
      </c>
      <c r="J3497" s="79">
        <v>0</v>
      </c>
      <c r="K3497" s="79"/>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77">
        <v>142</v>
      </c>
      <c r="B3498" s="77" t="s">
        <v>70</v>
      </c>
      <c r="C3498" s="77" t="s">
        <v>1810</v>
      </c>
      <c r="D3498" s="77" t="s">
        <v>505</v>
      </c>
      <c r="E3498" s="11" t="str">
        <f t="array" ref="E3498">_xlfn.XLOOKUP(D3498,Insumos!B:B,Insumos!C:$C)</f>
        <v>UN</v>
      </c>
      <c r="F3498" s="85">
        <v>1</v>
      </c>
      <c r="G3498" s="87">
        <f t="array" ref="G3498">IF(B3498="insumo",_xlfn.XLOOKUP($D3498,Insumos!$B$1:$B$996,Insumos!$D$1:$D$996),"")</f>
        <v>0.08</v>
      </c>
      <c r="H3498" s="87">
        <v>0.08</v>
      </c>
      <c r="I3498" s="79">
        <v>0</v>
      </c>
      <c r="J3498" s="79">
        <v>0</v>
      </c>
      <c r="K3498" s="79"/>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77">
        <v>101</v>
      </c>
      <c r="B3499" s="77" t="s">
        <v>70</v>
      </c>
      <c r="C3499" s="77" t="s">
        <v>1810</v>
      </c>
      <c r="D3499" s="77" t="s">
        <v>506</v>
      </c>
      <c r="E3499" s="11" t="str">
        <f t="array" ref="E3499">_xlfn.XLOOKUP(D3499,Insumos!B:B,Insumos!C:$C)</f>
        <v>KG</v>
      </c>
      <c r="F3499" s="85">
        <v>0.01</v>
      </c>
      <c r="G3499" s="87">
        <f t="array" ref="G3499">IF(B3499="insumo",_xlfn.XLOOKUP($D3499,Insumos!$B$1:$B$996,Insumos!$D$1:$D$996),"")</f>
        <v>11.15</v>
      </c>
      <c r="H3499" s="87">
        <v>0.1115</v>
      </c>
      <c r="I3499" s="79">
        <v>0</v>
      </c>
      <c r="J3499" s="79">
        <v>0</v>
      </c>
      <c r="K3499" s="79"/>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336">
        <v>1</v>
      </c>
      <c r="B3500" s="336" t="s">
        <v>67</v>
      </c>
      <c r="C3500" s="336" t="s">
        <v>2517</v>
      </c>
      <c r="D3500" s="336" t="s">
        <v>2517</v>
      </c>
      <c r="E3500" s="337" t="s">
        <v>69</v>
      </c>
      <c r="F3500" s="336"/>
      <c r="G3500" s="338" t="str">
        <f t="array" ref="G3500">IF(B3500="insumo",_xlfn.XLOOKUP($D3500,Insumos!$B$1:$B$996,Insumos!$D$1:$D$996),"")</f>
        <v/>
      </c>
      <c r="H3500" s="338">
        <v>102.7886</v>
      </c>
      <c r="I3500" s="339" t="e">
        <v>#REF!</v>
      </c>
      <c r="J3500" s="339" t="e">
        <v>#REF!</v>
      </c>
      <c r="K3500" s="339"/>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77">
        <v>1</v>
      </c>
      <c r="B3501" s="77" t="s">
        <v>70</v>
      </c>
      <c r="C3501" s="77" t="s">
        <v>2517</v>
      </c>
      <c r="D3501" s="77" t="s">
        <v>2518</v>
      </c>
      <c r="E3501" s="11" t="str">
        <f t="array" ref="E3501">_xlfn.XLOOKUP(D3501,Insumos!B:B,Insumos!C:$C)</f>
        <v>M2</v>
      </c>
      <c r="F3501" s="85">
        <v>1.1000000000000001</v>
      </c>
      <c r="G3501" s="87">
        <f t="array" ref="G3501">IF(B3501="insumo",_xlfn.XLOOKUP($D3501,Insumos!$B$1:$B$996,Insumos!$D$1:$D$996),"")</f>
        <v>84.51</v>
      </c>
      <c r="H3501" s="87">
        <v>92.960999999999999</v>
      </c>
      <c r="I3501" s="79" t="e">
        <v>#REF!</v>
      </c>
      <c r="J3501" s="79" t="e">
        <v>#REF!</v>
      </c>
      <c r="K3501" s="79"/>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77">
        <v>191</v>
      </c>
      <c r="B3502" s="77" t="s">
        <v>70</v>
      </c>
      <c r="C3502" s="77" t="s">
        <v>2517</v>
      </c>
      <c r="D3502" s="77" t="s">
        <v>480</v>
      </c>
      <c r="E3502" s="11" t="str">
        <f t="array" ref="E3502">_xlfn.XLOOKUP(D3502,Insumos!B:B,Insumos!C:$C)</f>
        <v>KG</v>
      </c>
      <c r="F3502" s="85">
        <v>8.8000000000000007</v>
      </c>
      <c r="G3502" s="87">
        <f t="array" ref="G3502">IF(B3502="insumo",_xlfn.XLOOKUP($D3502,Insumos!$B$1:$B$996,Insumos!$D$1:$D$996),"")</f>
        <v>1.0645</v>
      </c>
      <c r="H3502" s="87">
        <v>9.3675999999999995</v>
      </c>
      <c r="I3502" s="79" t="e">
        <v>#REF!</v>
      </c>
      <c r="J3502" s="79" t="e">
        <v>#REF!</v>
      </c>
      <c r="K3502" s="79"/>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77">
        <v>142</v>
      </c>
      <c r="B3503" s="77" t="s">
        <v>70</v>
      </c>
      <c r="C3503" s="77" t="s">
        <v>2517</v>
      </c>
      <c r="D3503" s="77" t="s">
        <v>505</v>
      </c>
      <c r="E3503" s="11" t="str">
        <f t="array" ref="E3503">_xlfn.XLOOKUP(D3503,Insumos!B:B,Insumos!C:$C)</f>
        <v>UN</v>
      </c>
      <c r="F3503" s="85">
        <v>1</v>
      </c>
      <c r="G3503" s="87">
        <f t="array" ref="G3503">IF(B3503="insumo",_xlfn.XLOOKUP($D3503,Insumos!$B$1:$B$996,Insumos!$D$1:$D$996),"")</f>
        <v>0.08</v>
      </c>
      <c r="H3503" s="87">
        <v>0.08</v>
      </c>
      <c r="I3503" s="79" t="e">
        <v>#REF!</v>
      </c>
      <c r="J3503" s="79" t="e">
        <v>#REF!</v>
      </c>
      <c r="K3503" s="79"/>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77">
        <v>36</v>
      </c>
      <c r="B3504" s="77" t="s">
        <v>70</v>
      </c>
      <c r="C3504" s="77" t="s">
        <v>2517</v>
      </c>
      <c r="D3504" s="77" t="s">
        <v>2388</v>
      </c>
      <c r="E3504" s="11" t="str">
        <f t="array" ref="E3504">_xlfn.XLOOKUP(D3504,Insumos!B:B,Insumos!C:$C)</f>
        <v>KG</v>
      </c>
      <c r="F3504" s="85">
        <v>0.01</v>
      </c>
      <c r="G3504" s="87">
        <f t="array" ref="G3504">IF(B3504="insumo",_xlfn.XLOOKUP($D3504,Insumos!$B$1:$B$996,Insumos!$D$1:$D$996),"")</f>
        <v>38</v>
      </c>
      <c r="H3504" s="87">
        <v>0.38</v>
      </c>
      <c r="I3504" s="79" t="e">
        <v>#REF!</v>
      </c>
      <c r="J3504" s="79" t="e">
        <v>#REF!</v>
      </c>
      <c r="K3504" s="79"/>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336">
        <v>1</v>
      </c>
      <c r="B3505" s="336" t="s">
        <v>67</v>
      </c>
      <c r="C3505" s="336" t="s">
        <v>1811</v>
      </c>
      <c r="D3505" s="336" t="s">
        <v>1811</v>
      </c>
      <c r="E3505" s="337" t="s">
        <v>69</v>
      </c>
      <c r="F3505" s="336"/>
      <c r="G3505" s="338" t="str">
        <f t="array" ref="G3505">IF(B3505="insumo",_xlfn.XLOOKUP($D3505,Insumos!$B$1:$B$996,Insumos!$D$1:$D$996),"")</f>
        <v/>
      </c>
      <c r="H3505" s="338">
        <v>83.820099999999996</v>
      </c>
      <c r="I3505" s="339">
        <v>0</v>
      </c>
      <c r="J3505" s="339">
        <v>0</v>
      </c>
      <c r="K3505" s="339"/>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77">
        <v>1</v>
      </c>
      <c r="B3506" s="77" t="s">
        <v>70</v>
      </c>
      <c r="C3506" s="77" t="s">
        <v>1811</v>
      </c>
      <c r="D3506" s="77" t="s">
        <v>1755</v>
      </c>
      <c r="E3506" s="11" t="str">
        <f t="array" ref="E3506">_xlfn.XLOOKUP(D3506,Insumos!B:B,Insumos!C:$C)</f>
        <v>M2</v>
      </c>
      <c r="F3506" s="85">
        <v>1.1000000000000001</v>
      </c>
      <c r="G3506" s="87">
        <f t="array" ref="G3506">IF(B3506="insumo",_xlfn.XLOOKUP($D3506,Insumos!$B$1:$B$996,Insumos!$D$1:$D$996),"")</f>
        <v>67.510000000000005</v>
      </c>
      <c r="H3506" s="87">
        <v>74.260999999999996</v>
      </c>
      <c r="I3506" s="79">
        <v>0</v>
      </c>
      <c r="J3506" s="79">
        <v>0</v>
      </c>
      <c r="K3506" s="79"/>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77">
        <v>191</v>
      </c>
      <c r="B3507" s="77" t="s">
        <v>70</v>
      </c>
      <c r="C3507" s="77" t="s">
        <v>1811</v>
      </c>
      <c r="D3507" s="77" t="s">
        <v>480</v>
      </c>
      <c r="E3507" s="11" t="str">
        <f t="array" ref="E3507">_xlfn.XLOOKUP(D3507,Insumos!B:B,Insumos!C:$C)</f>
        <v>KG</v>
      </c>
      <c r="F3507" s="85">
        <v>8.8000000000000007</v>
      </c>
      <c r="G3507" s="87">
        <f t="array" ref="G3507">IF(B3507="insumo",_xlfn.XLOOKUP($D3507,Insumos!$B$1:$B$996,Insumos!$D$1:$D$996),"")</f>
        <v>1.0645</v>
      </c>
      <c r="H3507" s="87">
        <v>9.3675999999999995</v>
      </c>
      <c r="I3507" s="79">
        <v>0</v>
      </c>
      <c r="J3507" s="79">
        <v>0</v>
      </c>
      <c r="K3507" s="79"/>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77">
        <v>142</v>
      </c>
      <c r="B3508" s="77" t="s">
        <v>70</v>
      </c>
      <c r="C3508" s="77" t="s">
        <v>1811</v>
      </c>
      <c r="D3508" s="77" t="s">
        <v>505</v>
      </c>
      <c r="E3508" s="11" t="str">
        <f t="array" ref="E3508">_xlfn.XLOOKUP(D3508,Insumos!B:B,Insumos!C:$C)</f>
        <v>UN</v>
      </c>
      <c r="F3508" s="85">
        <v>1</v>
      </c>
      <c r="G3508" s="87">
        <f t="array" ref="G3508">IF(B3508="insumo",_xlfn.XLOOKUP($D3508,Insumos!$B$1:$B$996,Insumos!$D$1:$D$996),"")</f>
        <v>0.08</v>
      </c>
      <c r="H3508" s="87">
        <v>0.08</v>
      </c>
      <c r="I3508" s="79">
        <v>0</v>
      </c>
      <c r="J3508" s="79">
        <v>0</v>
      </c>
      <c r="K3508" s="79"/>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77">
        <v>101</v>
      </c>
      <c r="B3509" s="77" t="s">
        <v>70</v>
      </c>
      <c r="C3509" s="77" t="s">
        <v>1811</v>
      </c>
      <c r="D3509" s="77" t="s">
        <v>506</v>
      </c>
      <c r="E3509" s="11" t="str">
        <f t="array" ref="E3509">_xlfn.XLOOKUP(D3509,Insumos!B:B,Insumos!C:$C)</f>
        <v>KG</v>
      </c>
      <c r="F3509" s="85">
        <v>0.01</v>
      </c>
      <c r="G3509" s="87">
        <f t="array" ref="G3509">IF(B3509="insumo",_xlfn.XLOOKUP($D3509,Insumos!$B$1:$B$996,Insumos!$D$1:$D$996),"")</f>
        <v>11.15</v>
      </c>
      <c r="H3509" s="87">
        <v>0.1115</v>
      </c>
      <c r="I3509" s="79">
        <v>0</v>
      </c>
      <c r="J3509" s="79">
        <v>0</v>
      </c>
      <c r="K3509" s="79"/>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336">
        <v>1</v>
      </c>
      <c r="B3510" s="336" t="s">
        <v>67</v>
      </c>
      <c r="C3510" s="336" t="s">
        <v>1812</v>
      </c>
      <c r="D3510" s="336" t="s">
        <v>1812</v>
      </c>
      <c r="E3510" s="337" t="s">
        <v>69</v>
      </c>
      <c r="F3510" s="336"/>
      <c r="G3510" s="338" t="str">
        <f t="array" ref="G3510">IF(B3510="insumo",_xlfn.XLOOKUP($D3510,Insumos!$B$1:$B$996,Insumos!$D$1:$D$996),"")</f>
        <v/>
      </c>
      <c r="H3510" s="338">
        <v>166.05449999999999</v>
      </c>
      <c r="I3510" s="339">
        <v>0</v>
      </c>
      <c r="J3510" s="339">
        <v>0</v>
      </c>
      <c r="K3510" s="339"/>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77">
        <v>3</v>
      </c>
      <c r="B3511" s="77" t="s">
        <v>70</v>
      </c>
      <c r="C3511" s="77" t="s">
        <v>1812</v>
      </c>
      <c r="D3511" s="77" t="s">
        <v>663</v>
      </c>
      <c r="E3511" s="11" t="str">
        <f t="array" ref="E3511">_xlfn.XLOOKUP(D3511,Insumos!B:B,Insumos!C:$C)</f>
        <v>M2</v>
      </c>
      <c r="F3511" s="81">
        <v>1.1000000000000001</v>
      </c>
      <c r="G3511" s="87">
        <f t="array" ref="G3511">IF(B3511="insumo",_xlfn.XLOOKUP($D3511,Insumos!$B$1:$B$996,Insumos!$D$1:$D$996),"")</f>
        <v>136.88999999999999</v>
      </c>
      <c r="H3511" s="87">
        <v>150.57900000000001</v>
      </c>
      <c r="I3511" s="79">
        <v>0</v>
      </c>
      <c r="J3511" s="79">
        <v>0</v>
      </c>
      <c r="K3511" s="79"/>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77">
        <v>191</v>
      </c>
      <c r="B3512" s="77" t="s">
        <v>70</v>
      </c>
      <c r="C3512" s="77" t="s">
        <v>1812</v>
      </c>
      <c r="D3512" s="77" t="s">
        <v>480</v>
      </c>
      <c r="E3512" s="11" t="str">
        <f t="array" ref="E3512">_xlfn.XLOOKUP(D3512,Insumos!B:B,Insumos!C:$C)</f>
        <v>KG</v>
      </c>
      <c r="F3512" s="81">
        <v>9</v>
      </c>
      <c r="G3512" s="87">
        <f t="array" ref="G3512">IF(B3512="insumo",_xlfn.XLOOKUP($D3512,Insumos!$B$1:$B$996,Insumos!$D$1:$D$996),"")</f>
        <v>1.0645</v>
      </c>
      <c r="H3512" s="87">
        <v>9.5805000000000007</v>
      </c>
      <c r="I3512" s="79">
        <v>0</v>
      </c>
      <c r="J3512" s="79">
        <v>0</v>
      </c>
      <c r="K3512" s="79"/>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77">
        <v>142</v>
      </c>
      <c r="B3513" s="77" t="s">
        <v>70</v>
      </c>
      <c r="C3513" s="77" t="s">
        <v>1812</v>
      </c>
      <c r="D3513" s="77" t="s">
        <v>505</v>
      </c>
      <c r="E3513" s="11" t="str">
        <f t="array" ref="E3513">_xlfn.XLOOKUP(D3513,Insumos!B:B,Insumos!C:$C)</f>
        <v>UN</v>
      </c>
      <c r="F3513" s="81">
        <v>4</v>
      </c>
      <c r="G3513" s="87">
        <f t="array" ref="G3513">IF(B3513="insumo",_xlfn.XLOOKUP($D3513,Insumos!$B$1:$B$996,Insumos!$D$1:$D$996),"")</f>
        <v>0.08</v>
      </c>
      <c r="H3513" s="87">
        <v>0.32</v>
      </c>
      <c r="I3513" s="79">
        <v>0</v>
      </c>
      <c r="J3513" s="79">
        <v>0</v>
      </c>
      <c r="K3513" s="79"/>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77">
        <v>101</v>
      </c>
      <c r="B3514" s="77" t="s">
        <v>70</v>
      </c>
      <c r="C3514" s="77" t="s">
        <v>1812</v>
      </c>
      <c r="D3514" s="77" t="s">
        <v>506</v>
      </c>
      <c r="E3514" s="11" t="str">
        <f t="array" ref="E3514">_xlfn.XLOOKUP(D3514,Insumos!B:B,Insumos!C:$C)</f>
        <v>KG</v>
      </c>
      <c r="F3514" s="81">
        <v>0.5</v>
      </c>
      <c r="G3514" s="87">
        <f t="array" ref="G3514">IF(B3514="insumo",_xlfn.XLOOKUP($D3514,Insumos!$B$1:$B$996,Insumos!$D$1:$D$996),"")</f>
        <v>11.15</v>
      </c>
      <c r="H3514" s="87">
        <v>5.5750000000000002</v>
      </c>
      <c r="I3514" s="79">
        <v>0</v>
      </c>
      <c r="J3514" s="79">
        <v>0</v>
      </c>
      <c r="K3514" s="79"/>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336">
        <v>1</v>
      </c>
      <c r="B3515" s="336" t="s">
        <v>67</v>
      </c>
      <c r="C3515" s="336" t="s">
        <v>1813</v>
      </c>
      <c r="D3515" s="336" t="s">
        <v>1813</v>
      </c>
      <c r="E3515" s="337" t="s">
        <v>69</v>
      </c>
      <c r="F3515" s="336"/>
      <c r="G3515" s="338" t="str">
        <f t="array" ref="G3515">IF(B3515="insumo",_xlfn.XLOOKUP($D3515,Insumos!$B$1:$B$996,Insumos!$D$1:$D$996),"")</f>
        <v/>
      </c>
      <c r="H3515" s="338">
        <v>268.0591</v>
      </c>
      <c r="I3515" s="339">
        <v>0</v>
      </c>
      <c r="J3515" s="339">
        <v>0</v>
      </c>
      <c r="K3515" s="339"/>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77">
        <v>1</v>
      </c>
      <c r="B3516" s="77" t="s">
        <v>70</v>
      </c>
      <c r="C3516" s="77" t="s">
        <v>1813</v>
      </c>
      <c r="D3516" s="77" t="s">
        <v>1742</v>
      </c>
      <c r="E3516" s="11" t="str">
        <f t="array" ref="E3516">_xlfn.XLOOKUP(D3516,Insumos!B:B,Insumos!C:$C)</f>
        <v>M2</v>
      </c>
      <c r="F3516" s="85">
        <v>1.1000000000000001</v>
      </c>
      <c r="G3516" s="87">
        <f t="array" ref="G3516">IF(B3516="insumo",_xlfn.XLOOKUP($D3516,Insumos!$B$1:$B$996,Insumos!$D$1:$D$996),"")</f>
        <v>235</v>
      </c>
      <c r="H3516" s="87">
        <v>258.5</v>
      </c>
      <c r="I3516" s="79">
        <v>0</v>
      </c>
      <c r="J3516" s="79">
        <v>0</v>
      </c>
      <c r="K3516" s="79"/>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77">
        <v>191</v>
      </c>
      <c r="B3517" s="77" t="s">
        <v>70</v>
      </c>
      <c r="C3517" s="77" t="s">
        <v>1813</v>
      </c>
      <c r="D3517" s="77" t="s">
        <v>480</v>
      </c>
      <c r="E3517" s="11" t="str">
        <f t="array" ref="E3517">_xlfn.XLOOKUP(D3517,Insumos!B:B,Insumos!C:$C)</f>
        <v>KG</v>
      </c>
      <c r="F3517" s="85">
        <v>8.8000000000000007</v>
      </c>
      <c r="G3517" s="87">
        <f t="array" ref="G3517">IF(B3517="insumo",_xlfn.XLOOKUP($D3517,Insumos!$B$1:$B$996,Insumos!$D$1:$D$996),"")</f>
        <v>1.0645</v>
      </c>
      <c r="H3517" s="87">
        <v>9.3675999999999995</v>
      </c>
      <c r="I3517" s="79">
        <v>0</v>
      </c>
      <c r="J3517" s="79">
        <v>0</v>
      </c>
      <c r="K3517" s="79"/>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77">
        <v>142</v>
      </c>
      <c r="B3518" s="77" t="s">
        <v>70</v>
      </c>
      <c r="C3518" s="77" t="s">
        <v>1813</v>
      </c>
      <c r="D3518" s="77" t="s">
        <v>505</v>
      </c>
      <c r="E3518" s="11" t="str">
        <f t="array" ref="E3518">_xlfn.XLOOKUP(D3518,Insumos!B:B,Insumos!C:$C)</f>
        <v>UN</v>
      </c>
      <c r="F3518" s="85">
        <v>1</v>
      </c>
      <c r="G3518" s="87">
        <f t="array" ref="G3518">IF(B3518="insumo",_xlfn.XLOOKUP($D3518,Insumos!$B$1:$B$996,Insumos!$D$1:$D$996),"")</f>
        <v>0.08</v>
      </c>
      <c r="H3518" s="87">
        <v>0.08</v>
      </c>
      <c r="I3518" s="79">
        <v>0</v>
      </c>
      <c r="J3518" s="79">
        <v>0</v>
      </c>
      <c r="K3518" s="79"/>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77">
        <v>101</v>
      </c>
      <c r="B3519" s="77" t="s">
        <v>70</v>
      </c>
      <c r="C3519" s="77" t="s">
        <v>1813</v>
      </c>
      <c r="D3519" s="77" t="s">
        <v>506</v>
      </c>
      <c r="E3519" s="11" t="str">
        <f t="array" ref="E3519">_xlfn.XLOOKUP(D3519,Insumos!B:B,Insumos!C:$C)</f>
        <v>KG</v>
      </c>
      <c r="F3519" s="85">
        <v>0.01</v>
      </c>
      <c r="G3519" s="87">
        <f t="array" ref="G3519">IF(B3519="insumo",_xlfn.XLOOKUP($D3519,Insumos!$B$1:$B$996,Insumos!$D$1:$D$996),"")</f>
        <v>11.15</v>
      </c>
      <c r="H3519" s="87">
        <v>0.1115</v>
      </c>
      <c r="I3519" s="79">
        <v>0</v>
      </c>
      <c r="J3519" s="79">
        <v>0</v>
      </c>
      <c r="K3519" s="79"/>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336">
        <v>1</v>
      </c>
      <c r="B3520" s="336" t="s">
        <v>67</v>
      </c>
      <c r="C3520" s="336" t="s">
        <v>1814</v>
      </c>
      <c r="D3520" s="336" t="s">
        <v>1814</v>
      </c>
      <c r="E3520" s="337" t="s">
        <v>69</v>
      </c>
      <c r="F3520" s="336"/>
      <c r="G3520" s="338" t="str">
        <f t="array" ref="G3520">IF(B3520="insumo",_xlfn.XLOOKUP($D3520,Insumos!$B$1:$B$996,Insumos!$D$1:$D$996),"")</f>
        <v/>
      </c>
      <c r="H3520" s="338">
        <v>158.0591</v>
      </c>
      <c r="I3520" s="339">
        <v>0</v>
      </c>
      <c r="J3520" s="339">
        <v>0</v>
      </c>
      <c r="K3520" s="339"/>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77">
        <v>1</v>
      </c>
      <c r="B3521" s="77" t="s">
        <v>70</v>
      </c>
      <c r="C3521" s="77" t="s">
        <v>1814</v>
      </c>
      <c r="D3521" s="77" t="s">
        <v>1739</v>
      </c>
      <c r="E3521" s="11" t="str">
        <f t="array" ref="E3521">_xlfn.XLOOKUP(D3521,Insumos!B:B,Insumos!C:$C)</f>
        <v>M2</v>
      </c>
      <c r="F3521" s="85">
        <v>1.1000000000000001</v>
      </c>
      <c r="G3521" s="87">
        <f t="array" ref="G3521">IF(B3521="insumo",_xlfn.XLOOKUP($D3521,Insumos!$B$1:$B$996,Insumos!$D$1:$D$996),"")</f>
        <v>135</v>
      </c>
      <c r="H3521" s="87">
        <v>148.5</v>
      </c>
      <c r="I3521" s="79">
        <v>0</v>
      </c>
      <c r="J3521" s="79">
        <v>0</v>
      </c>
      <c r="K3521" s="79"/>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77">
        <v>191</v>
      </c>
      <c r="B3522" s="77" t="s">
        <v>70</v>
      </c>
      <c r="C3522" s="77" t="s">
        <v>1814</v>
      </c>
      <c r="D3522" s="77" t="s">
        <v>480</v>
      </c>
      <c r="E3522" s="11" t="str">
        <f t="array" ref="E3522">_xlfn.XLOOKUP(D3522,Insumos!B:B,Insumos!C:$C)</f>
        <v>KG</v>
      </c>
      <c r="F3522" s="85">
        <v>8.8000000000000007</v>
      </c>
      <c r="G3522" s="87">
        <f t="array" ref="G3522">IF(B3522="insumo",_xlfn.XLOOKUP($D3522,Insumos!$B$1:$B$996,Insumos!$D$1:$D$996),"")</f>
        <v>1.0645</v>
      </c>
      <c r="H3522" s="87">
        <v>9.3675999999999995</v>
      </c>
      <c r="I3522" s="79">
        <v>0</v>
      </c>
      <c r="J3522" s="79">
        <v>0</v>
      </c>
      <c r="K3522" s="79"/>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77">
        <v>142</v>
      </c>
      <c r="B3523" s="77" t="s">
        <v>70</v>
      </c>
      <c r="C3523" s="77" t="s">
        <v>1814</v>
      </c>
      <c r="D3523" s="77" t="s">
        <v>505</v>
      </c>
      <c r="E3523" s="11" t="str">
        <f t="array" ref="E3523">_xlfn.XLOOKUP(D3523,Insumos!B:B,Insumos!C:$C)</f>
        <v>UN</v>
      </c>
      <c r="F3523" s="85">
        <v>1</v>
      </c>
      <c r="G3523" s="87">
        <f t="array" ref="G3523">IF(B3523="insumo",_xlfn.XLOOKUP($D3523,Insumos!$B$1:$B$996,Insumos!$D$1:$D$996),"")</f>
        <v>0.08</v>
      </c>
      <c r="H3523" s="87">
        <v>0.08</v>
      </c>
      <c r="I3523" s="79">
        <v>0</v>
      </c>
      <c r="J3523" s="79">
        <v>0</v>
      </c>
      <c r="K3523" s="79"/>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77">
        <v>101</v>
      </c>
      <c r="B3524" s="77" t="s">
        <v>70</v>
      </c>
      <c r="C3524" s="77" t="s">
        <v>1814</v>
      </c>
      <c r="D3524" s="77" t="s">
        <v>506</v>
      </c>
      <c r="E3524" s="11" t="str">
        <f t="array" ref="E3524">_xlfn.XLOOKUP(D3524,Insumos!B:B,Insumos!C:$C)</f>
        <v>KG</v>
      </c>
      <c r="F3524" s="85">
        <v>0.01</v>
      </c>
      <c r="G3524" s="87">
        <f t="array" ref="G3524">IF(B3524="insumo",_xlfn.XLOOKUP($D3524,Insumos!$B$1:$B$996,Insumos!$D$1:$D$996),"")</f>
        <v>11.15</v>
      </c>
      <c r="H3524" s="87">
        <v>0.1115</v>
      </c>
      <c r="I3524" s="79">
        <v>0</v>
      </c>
      <c r="J3524" s="79">
        <v>0</v>
      </c>
      <c r="K3524" s="79"/>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336">
        <v>1</v>
      </c>
      <c r="B3525" s="336" t="s">
        <v>67</v>
      </c>
      <c r="C3525" s="336" t="s">
        <v>1815</v>
      </c>
      <c r="D3525" s="336" t="s">
        <v>1815</v>
      </c>
      <c r="E3525" s="337" t="s">
        <v>69</v>
      </c>
      <c r="F3525" s="336"/>
      <c r="G3525" s="338" t="str">
        <f t="array" ref="G3525">IF(B3525="insumo",_xlfn.XLOOKUP($D3525,Insumos!$B$1:$B$996,Insumos!$D$1:$D$996),"")</f>
        <v/>
      </c>
      <c r="H3525" s="338">
        <v>167.6951</v>
      </c>
      <c r="I3525" s="339">
        <v>0</v>
      </c>
      <c r="J3525" s="339">
        <v>0</v>
      </c>
      <c r="K3525" s="339"/>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77">
        <v>1</v>
      </c>
      <c r="B3526" s="77" t="s">
        <v>70</v>
      </c>
      <c r="C3526" s="77" t="s">
        <v>1815</v>
      </c>
      <c r="D3526" s="77" t="s">
        <v>1738</v>
      </c>
      <c r="E3526" s="11" t="str">
        <f t="array" ref="E3526">_xlfn.XLOOKUP(D3526,Insumos!B:B,Insumos!C:$C)</f>
        <v>M2</v>
      </c>
      <c r="F3526" s="85">
        <v>1.1000000000000001</v>
      </c>
      <c r="G3526" s="87">
        <f t="array" ref="G3526">IF(B3526="insumo",_xlfn.XLOOKUP($D3526,Insumos!$B$1:$B$996,Insumos!$D$1:$D$996),"")</f>
        <v>143.76</v>
      </c>
      <c r="H3526" s="87">
        <v>158.136</v>
      </c>
      <c r="I3526" s="79">
        <v>0</v>
      </c>
      <c r="J3526" s="79">
        <v>0</v>
      </c>
      <c r="K3526" s="79"/>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77">
        <v>191</v>
      </c>
      <c r="B3527" s="77" t="s">
        <v>70</v>
      </c>
      <c r="C3527" s="77" t="s">
        <v>1815</v>
      </c>
      <c r="D3527" s="77" t="s">
        <v>480</v>
      </c>
      <c r="E3527" s="11" t="str">
        <f t="array" ref="E3527">_xlfn.XLOOKUP(D3527,Insumos!B:B,Insumos!C:$C)</f>
        <v>KG</v>
      </c>
      <c r="F3527" s="85">
        <v>8.8000000000000007</v>
      </c>
      <c r="G3527" s="87">
        <f t="array" ref="G3527">IF(B3527="insumo",_xlfn.XLOOKUP($D3527,Insumos!$B$1:$B$996,Insumos!$D$1:$D$996),"")</f>
        <v>1.0645</v>
      </c>
      <c r="H3527" s="87">
        <v>9.3675999999999995</v>
      </c>
      <c r="I3527" s="79">
        <v>0</v>
      </c>
      <c r="J3527" s="79">
        <v>0</v>
      </c>
      <c r="K3527" s="79"/>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77">
        <v>142</v>
      </c>
      <c r="B3528" s="77" t="s">
        <v>70</v>
      </c>
      <c r="C3528" s="77" t="s">
        <v>1815</v>
      </c>
      <c r="D3528" s="77" t="s">
        <v>505</v>
      </c>
      <c r="E3528" s="11" t="str">
        <f t="array" ref="E3528">_xlfn.XLOOKUP(D3528,Insumos!B:B,Insumos!C:$C)</f>
        <v>UN</v>
      </c>
      <c r="F3528" s="85">
        <v>1</v>
      </c>
      <c r="G3528" s="87">
        <f t="array" ref="G3528">IF(B3528="insumo",_xlfn.XLOOKUP($D3528,Insumos!$B$1:$B$996,Insumos!$D$1:$D$996),"")</f>
        <v>0.08</v>
      </c>
      <c r="H3528" s="87">
        <v>0.08</v>
      </c>
      <c r="I3528" s="79">
        <v>0</v>
      </c>
      <c r="J3528" s="79">
        <v>0</v>
      </c>
      <c r="K3528" s="79"/>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77">
        <v>101</v>
      </c>
      <c r="B3529" s="77" t="s">
        <v>70</v>
      </c>
      <c r="C3529" s="77" t="s">
        <v>1815</v>
      </c>
      <c r="D3529" s="77" t="s">
        <v>506</v>
      </c>
      <c r="E3529" s="11" t="str">
        <f t="array" ref="E3529">_xlfn.XLOOKUP(D3529,Insumos!B:B,Insumos!C:$C)</f>
        <v>KG</v>
      </c>
      <c r="F3529" s="85">
        <v>0.01</v>
      </c>
      <c r="G3529" s="87">
        <f t="array" ref="G3529">IF(B3529="insumo",_xlfn.XLOOKUP($D3529,Insumos!$B$1:$B$996,Insumos!$D$1:$D$996),"")</f>
        <v>11.15</v>
      </c>
      <c r="H3529" s="87">
        <v>0.1115</v>
      </c>
      <c r="I3529" s="79">
        <v>0</v>
      </c>
      <c r="J3529" s="79">
        <v>0</v>
      </c>
      <c r="K3529" s="79"/>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336">
        <v>1</v>
      </c>
      <c r="B3530" s="336" t="s">
        <v>67</v>
      </c>
      <c r="C3530" s="336" t="s">
        <v>1818</v>
      </c>
      <c r="D3530" s="336" t="s">
        <v>1818</v>
      </c>
      <c r="E3530" s="337" t="s">
        <v>69</v>
      </c>
      <c r="F3530" s="336"/>
      <c r="G3530" s="338" t="str">
        <f t="array" ref="G3530">IF(B3530="insumo",_xlfn.XLOOKUP($D3530,Insumos!$B$1:$B$996,Insumos!$D$1:$D$996),"")</f>
        <v/>
      </c>
      <c r="H3530" s="338">
        <v>123.95910000000001</v>
      </c>
      <c r="I3530" s="339">
        <v>0</v>
      </c>
      <c r="J3530" s="339">
        <v>0</v>
      </c>
      <c r="K3530" s="339"/>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77">
        <v>1</v>
      </c>
      <c r="B3531" s="77" t="s">
        <v>70</v>
      </c>
      <c r="C3531" s="77" t="s">
        <v>1818</v>
      </c>
      <c r="D3531" s="77" t="s">
        <v>1749</v>
      </c>
      <c r="E3531" s="11" t="str">
        <f t="array" ref="E3531">_xlfn.XLOOKUP(D3531,Insumos!B:B,Insumos!C:$C)</f>
        <v>M2</v>
      </c>
      <c r="F3531" s="85">
        <v>1.1000000000000001</v>
      </c>
      <c r="G3531" s="87">
        <f t="array" ref="G3531">IF(B3531="insumo",_xlfn.XLOOKUP($D3531,Insumos!$B$1:$B$996,Insumos!$D$1:$D$996),"")</f>
        <v>104</v>
      </c>
      <c r="H3531" s="87">
        <v>114.4</v>
      </c>
      <c r="I3531" s="79">
        <v>0</v>
      </c>
      <c r="J3531" s="79">
        <v>0</v>
      </c>
      <c r="K3531" s="79"/>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77">
        <v>191</v>
      </c>
      <c r="B3532" s="77" t="s">
        <v>70</v>
      </c>
      <c r="C3532" s="77" t="s">
        <v>1818</v>
      </c>
      <c r="D3532" s="77" t="s">
        <v>480</v>
      </c>
      <c r="E3532" s="11" t="str">
        <f t="array" ref="E3532">_xlfn.XLOOKUP(D3532,Insumos!B:B,Insumos!C:$C)</f>
        <v>KG</v>
      </c>
      <c r="F3532" s="85">
        <v>8.8000000000000007</v>
      </c>
      <c r="G3532" s="87">
        <f t="array" ref="G3532">IF(B3532="insumo",_xlfn.XLOOKUP($D3532,Insumos!$B$1:$B$996,Insumos!$D$1:$D$996),"")</f>
        <v>1.0645</v>
      </c>
      <c r="H3532" s="87">
        <v>9.3675999999999995</v>
      </c>
      <c r="I3532" s="79">
        <v>0</v>
      </c>
      <c r="J3532" s="79">
        <v>0</v>
      </c>
      <c r="K3532" s="79"/>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77">
        <v>142</v>
      </c>
      <c r="B3533" s="77" t="s">
        <v>70</v>
      </c>
      <c r="C3533" s="77" t="s">
        <v>1818</v>
      </c>
      <c r="D3533" s="77" t="s">
        <v>505</v>
      </c>
      <c r="E3533" s="11" t="str">
        <f t="array" ref="E3533">_xlfn.XLOOKUP(D3533,Insumos!B:B,Insumos!C:$C)</f>
        <v>UN</v>
      </c>
      <c r="F3533" s="85">
        <v>1</v>
      </c>
      <c r="G3533" s="87">
        <f t="array" ref="G3533">IF(B3533="insumo",_xlfn.XLOOKUP($D3533,Insumos!$B$1:$B$996,Insumos!$D$1:$D$996),"")</f>
        <v>0.08</v>
      </c>
      <c r="H3533" s="87">
        <v>0.08</v>
      </c>
      <c r="I3533" s="79">
        <v>0</v>
      </c>
      <c r="J3533" s="79">
        <v>0</v>
      </c>
      <c r="K3533" s="79"/>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77">
        <v>101</v>
      </c>
      <c r="B3534" s="77" t="s">
        <v>70</v>
      </c>
      <c r="C3534" s="77" t="s">
        <v>1818</v>
      </c>
      <c r="D3534" s="77" t="s">
        <v>506</v>
      </c>
      <c r="E3534" s="11" t="str">
        <f t="array" ref="E3534">_xlfn.XLOOKUP(D3534,Insumos!B:B,Insumos!C:$C)</f>
        <v>KG</v>
      </c>
      <c r="F3534" s="85">
        <v>0.01</v>
      </c>
      <c r="G3534" s="87">
        <f t="array" ref="G3534">IF(B3534="insumo",_xlfn.XLOOKUP($D3534,Insumos!$B$1:$B$996,Insumos!$D$1:$D$996),"")</f>
        <v>11.15</v>
      </c>
      <c r="H3534" s="87">
        <v>0.1115</v>
      </c>
      <c r="I3534" s="79">
        <v>0</v>
      </c>
      <c r="J3534" s="79">
        <v>0</v>
      </c>
      <c r="K3534" s="79"/>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336">
        <v>1</v>
      </c>
      <c r="B3535" s="336" t="s">
        <v>67</v>
      </c>
      <c r="C3535" s="336" t="s">
        <v>1819</v>
      </c>
      <c r="D3535" s="336" t="s">
        <v>1819</v>
      </c>
      <c r="E3535" s="337" t="s">
        <v>69</v>
      </c>
      <c r="F3535" s="336"/>
      <c r="G3535" s="338" t="str">
        <f t="array" ref="G3535">IF(B3535="insumo",_xlfn.XLOOKUP($D3535,Insumos!$B$1:$B$996,Insumos!$D$1:$D$996),"")</f>
        <v/>
      </c>
      <c r="H3535" s="338">
        <v>107.45910000000001</v>
      </c>
      <c r="I3535" s="339">
        <v>0</v>
      </c>
      <c r="J3535" s="339">
        <v>0</v>
      </c>
      <c r="K3535" s="339"/>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77">
        <v>1</v>
      </c>
      <c r="B3536" s="77" t="s">
        <v>70</v>
      </c>
      <c r="C3536" s="77" t="s">
        <v>1819</v>
      </c>
      <c r="D3536" s="77" t="s">
        <v>1748</v>
      </c>
      <c r="E3536" s="11" t="str">
        <f t="array" ref="E3536">_xlfn.XLOOKUP(D3536,Insumos!B:B,Insumos!C:$C)</f>
        <v>M2</v>
      </c>
      <c r="F3536" s="85">
        <v>1.1000000000000001</v>
      </c>
      <c r="G3536" s="87">
        <f t="array" ref="G3536">IF(B3536="insumo",_xlfn.XLOOKUP($D3536,Insumos!$B$1:$B$996,Insumos!$D$1:$D$996),"")</f>
        <v>89</v>
      </c>
      <c r="H3536" s="87">
        <v>97.9</v>
      </c>
      <c r="I3536" s="79">
        <v>0</v>
      </c>
      <c r="J3536" s="79">
        <v>0</v>
      </c>
      <c r="K3536" s="79"/>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77">
        <v>191</v>
      </c>
      <c r="B3537" s="77" t="s">
        <v>70</v>
      </c>
      <c r="C3537" s="77" t="s">
        <v>1819</v>
      </c>
      <c r="D3537" s="77" t="s">
        <v>480</v>
      </c>
      <c r="E3537" s="11" t="str">
        <f t="array" ref="E3537">_xlfn.XLOOKUP(D3537,Insumos!B:B,Insumos!C:$C)</f>
        <v>KG</v>
      </c>
      <c r="F3537" s="85">
        <v>8.8000000000000007</v>
      </c>
      <c r="G3537" s="87">
        <f t="array" ref="G3537">IF(B3537="insumo",_xlfn.XLOOKUP($D3537,Insumos!$B$1:$B$996,Insumos!$D$1:$D$996),"")</f>
        <v>1.0645</v>
      </c>
      <c r="H3537" s="87">
        <v>9.3675999999999995</v>
      </c>
      <c r="I3537" s="79">
        <v>0</v>
      </c>
      <c r="J3537" s="79">
        <v>0</v>
      </c>
      <c r="K3537" s="79"/>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77">
        <v>142</v>
      </c>
      <c r="B3538" s="77" t="s">
        <v>70</v>
      </c>
      <c r="C3538" s="77" t="s">
        <v>1819</v>
      </c>
      <c r="D3538" s="77" t="s">
        <v>505</v>
      </c>
      <c r="E3538" s="11" t="str">
        <f t="array" ref="E3538">_xlfn.XLOOKUP(D3538,Insumos!B:B,Insumos!C:$C)</f>
        <v>UN</v>
      </c>
      <c r="F3538" s="85">
        <v>1</v>
      </c>
      <c r="G3538" s="87">
        <f t="array" ref="G3538">IF(B3538="insumo",_xlfn.XLOOKUP($D3538,Insumos!$B$1:$B$996,Insumos!$D$1:$D$996),"")</f>
        <v>0.08</v>
      </c>
      <c r="H3538" s="87">
        <v>0.08</v>
      </c>
      <c r="I3538" s="79">
        <v>0</v>
      </c>
      <c r="J3538" s="79">
        <v>0</v>
      </c>
      <c r="K3538" s="79"/>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77">
        <v>101</v>
      </c>
      <c r="B3539" s="77" t="s">
        <v>70</v>
      </c>
      <c r="C3539" s="77" t="s">
        <v>1819</v>
      </c>
      <c r="D3539" s="77" t="s">
        <v>506</v>
      </c>
      <c r="E3539" s="11" t="str">
        <f t="array" ref="E3539">_xlfn.XLOOKUP(D3539,Insumos!B:B,Insumos!C:$C)</f>
        <v>KG</v>
      </c>
      <c r="F3539" s="85">
        <v>0.01</v>
      </c>
      <c r="G3539" s="87">
        <f t="array" ref="G3539">IF(B3539="insumo",_xlfn.XLOOKUP($D3539,Insumos!$B$1:$B$996,Insumos!$D$1:$D$996),"")</f>
        <v>11.15</v>
      </c>
      <c r="H3539" s="87">
        <v>0.1115</v>
      </c>
      <c r="I3539" s="79">
        <v>0</v>
      </c>
      <c r="J3539" s="79">
        <v>0</v>
      </c>
      <c r="K3539" s="79"/>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336">
        <v>1</v>
      </c>
      <c r="B3540" s="336" t="s">
        <v>67</v>
      </c>
      <c r="C3540" s="336" t="s">
        <v>1820</v>
      </c>
      <c r="D3540" s="336" t="s">
        <v>1820</v>
      </c>
      <c r="E3540" s="337" t="s">
        <v>69</v>
      </c>
      <c r="F3540" s="336"/>
      <c r="G3540" s="338" t="str">
        <f t="array" ref="G3540">IF(B3540="insumo",_xlfn.XLOOKUP($D3540,Insumos!$B$1:$B$996,Insumos!$D$1:$D$996),"")</f>
        <v/>
      </c>
      <c r="H3540" s="338">
        <v>47.949100000000001</v>
      </c>
      <c r="I3540" s="339">
        <v>0</v>
      </c>
      <c r="J3540" s="339">
        <v>0</v>
      </c>
      <c r="K3540" s="339"/>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77">
        <v>2</v>
      </c>
      <c r="B3541" s="77" t="s">
        <v>70</v>
      </c>
      <c r="C3541" s="77" t="s">
        <v>1820</v>
      </c>
      <c r="D3541" s="77" t="s">
        <v>688</v>
      </c>
      <c r="E3541" s="11" t="str">
        <f t="array" ref="E3541">_xlfn.XLOOKUP(D3541,Insumos!B:B,Insumos!C:$C)</f>
        <v>M2</v>
      </c>
      <c r="F3541" s="85">
        <v>1.1000000000000001</v>
      </c>
      <c r="G3541" s="87">
        <f t="array" ref="G3541">IF(B3541="insumo",_xlfn.XLOOKUP($D3541,Insumos!$B$1:$B$996,Insumos!$D$1:$D$996),"")</f>
        <v>34.9</v>
      </c>
      <c r="H3541" s="87">
        <v>38.39</v>
      </c>
      <c r="I3541" s="79">
        <v>0</v>
      </c>
      <c r="J3541" s="79">
        <v>0</v>
      </c>
      <c r="K3541" s="79"/>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77">
        <v>191</v>
      </c>
      <c r="B3542" s="77" t="s">
        <v>70</v>
      </c>
      <c r="C3542" s="77" t="s">
        <v>1820</v>
      </c>
      <c r="D3542" s="77" t="s">
        <v>480</v>
      </c>
      <c r="E3542" s="11" t="str">
        <f t="array" ref="E3542">_xlfn.XLOOKUP(D3542,Insumos!B:B,Insumos!C:$C)</f>
        <v>KG</v>
      </c>
      <c r="F3542" s="85">
        <v>8.8000000000000007</v>
      </c>
      <c r="G3542" s="87">
        <f t="array" ref="G3542">IF(B3542="insumo",_xlfn.XLOOKUP($D3542,Insumos!$B$1:$B$996,Insumos!$D$1:$D$996),"")</f>
        <v>1.0645</v>
      </c>
      <c r="H3542" s="87">
        <v>9.3675999999999995</v>
      </c>
      <c r="I3542" s="79">
        <v>0</v>
      </c>
      <c r="J3542" s="79">
        <v>0</v>
      </c>
      <c r="K3542" s="79"/>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77">
        <v>142</v>
      </c>
      <c r="B3543" s="77" t="s">
        <v>70</v>
      </c>
      <c r="C3543" s="77" t="s">
        <v>1820</v>
      </c>
      <c r="D3543" s="77" t="s">
        <v>505</v>
      </c>
      <c r="E3543" s="11" t="str">
        <f t="array" ref="E3543">_xlfn.XLOOKUP(D3543,Insumos!B:B,Insumos!C:$C)</f>
        <v>UN</v>
      </c>
      <c r="F3543" s="85">
        <v>1</v>
      </c>
      <c r="G3543" s="87">
        <f t="array" ref="G3543">IF(B3543="insumo",_xlfn.XLOOKUP($D3543,Insumos!$B$1:$B$996,Insumos!$D$1:$D$996),"")</f>
        <v>0.08</v>
      </c>
      <c r="H3543" s="87">
        <v>0.08</v>
      </c>
      <c r="I3543" s="79">
        <v>0</v>
      </c>
      <c r="J3543" s="79">
        <v>0</v>
      </c>
      <c r="K3543" s="79"/>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77">
        <v>101</v>
      </c>
      <c r="B3544" s="77" t="s">
        <v>70</v>
      </c>
      <c r="C3544" s="77" t="s">
        <v>1820</v>
      </c>
      <c r="D3544" s="77" t="s">
        <v>506</v>
      </c>
      <c r="E3544" s="11" t="str">
        <f t="array" ref="E3544">_xlfn.XLOOKUP(D3544,Insumos!B:B,Insumos!C:$C)</f>
        <v>KG</v>
      </c>
      <c r="F3544" s="85">
        <v>0.01</v>
      </c>
      <c r="G3544" s="87">
        <f t="array" ref="G3544">IF(B3544="insumo",_xlfn.XLOOKUP($D3544,Insumos!$B$1:$B$996,Insumos!$D$1:$D$996),"")</f>
        <v>11.15</v>
      </c>
      <c r="H3544" s="87">
        <v>0.1115</v>
      </c>
      <c r="I3544" s="79">
        <v>0</v>
      </c>
      <c r="J3544" s="79">
        <v>0</v>
      </c>
      <c r="K3544" s="79"/>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336">
        <v>1</v>
      </c>
      <c r="B3545" s="336" t="s">
        <v>67</v>
      </c>
      <c r="C3545" s="336" t="s">
        <v>1821</v>
      </c>
      <c r="D3545" s="336" t="s">
        <v>1821</v>
      </c>
      <c r="E3545" s="337" t="s">
        <v>69</v>
      </c>
      <c r="F3545" s="336"/>
      <c r="G3545" s="338" t="str">
        <f t="array" ref="G3545">IF(B3545="insumo",_xlfn.XLOOKUP($D3545,Insumos!$B$1:$B$996,Insumos!$D$1:$D$996),"")</f>
        <v/>
      </c>
      <c r="H3545" s="338">
        <v>217.00649999999999</v>
      </c>
      <c r="I3545" s="339">
        <v>0</v>
      </c>
      <c r="J3545" s="339">
        <v>0</v>
      </c>
      <c r="K3545" s="339"/>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77">
        <v>1</v>
      </c>
      <c r="B3546" s="77" t="s">
        <v>70</v>
      </c>
      <c r="C3546" s="77" t="s">
        <v>1821</v>
      </c>
      <c r="D3546" s="77" t="s">
        <v>697</v>
      </c>
      <c r="E3546" s="11" t="str">
        <f t="array" ref="E3546">_xlfn.XLOOKUP(D3546,Insumos!B:B,Insumos!C:$C)</f>
        <v>M2</v>
      </c>
      <c r="F3546" s="81">
        <v>1.1000000000000001</v>
      </c>
      <c r="G3546" s="87">
        <f t="array" ref="G3546">IF(B3546="insumo",_xlfn.XLOOKUP($D3546,Insumos!$B$1:$B$996,Insumos!$D$1:$D$996),"")</f>
        <v>183.21</v>
      </c>
      <c r="H3546" s="87">
        <v>201.53100000000001</v>
      </c>
      <c r="I3546" s="79">
        <v>0</v>
      </c>
      <c r="J3546" s="79">
        <v>0</v>
      </c>
      <c r="K3546" s="79"/>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77">
        <v>191</v>
      </c>
      <c r="B3547" s="77" t="s">
        <v>70</v>
      </c>
      <c r="C3547" s="77" t="s">
        <v>1821</v>
      </c>
      <c r="D3547" s="77" t="s">
        <v>480</v>
      </c>
      <c r="E3547" s="11" t="str">
        <f t="array" ref="E3547">_xlfn.XLOOKUP(D3547,Insumos!B:B,Insumos!C:$C)</f>
        <v>KG</v>
      </c>
      <c r="F3547" s="81">
        <v>9</v>
      </c>
      <c r="G3547" s="87">
        <f t="array" ref="G3547">IF(B3547="insumo",_xlfn.XLOOKUP($D3547,Insumos!$B$1:$B$996,Insumos!$D$1:$D$996),"")</f>
        <v>1.0645</v>
      </c>
      <c r="H3547" s="87">
        <v>9.5805000000000007</v>
      </c>
      <c r="I3547" s="79">
        <v>0</v>
      </c>
      <c r="J3547" s="79">
        <v>0</v>
      </c>
      <c r="K3547" s="79"/>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77">
        <v>142</v>
      </c>
      <c r="B3548" s="77" t="s">
        <v>70</v>
      </c>
      <c r="C3548" s="77" t="s">
        <v>1821</v>
      </c>
      <c r="D3548" s="77" t="s">
        <v>505</v>
      </c>
      <c r="E3548" s="11" t="str">
        <f t="array" ref="E3548">_xlfn.XLOOKUP(D3548,Insumos!B:B,Insumos!C:$C)</f>
        <v>UN</v>
      </c>
      <c r="F3548" s="81">
        <v>4</v>
      </c>
      <c r="G3548" s="87">
        <f t="array" ref="G3548">IF(B3548="insumo",_xlfn.XLOOKUP($D3548,Insumos!$B$1:$B$996,Insumos!$D$1:$D$996),"")</f>
        <v>0.08</v>
      </c>
      <c r="H3548" s="87">
        <v>0.32</v>
      </c>
      <c r="I3548" s="79">
        <v>0</v>
      </c>
      <c r="J3548" s="79">
        <v>0</v>
      </c>
      <c r="K3548" s="79"/>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77">
        <v>101</v>
      </c>
      <c r="B3549" s="77" t="s">
        <v>70</v>
      </c>
      <c r="C3549" s="77" t="s">
        <v>1821</v>
      </c>
      <c r="D3549" s="77" t="s">
        <v>506</v>
      </c>
      <c r="E3549" s="11" t="str">
        <f t="array" ref="E3549">_xlfn.XLOOKUP(D3549,Insumos!B:B,Insumos!C:$C)</f>
        <v>KG</v>
      </c>
      <c r="F3549" s="81">
        <v>0.5</v>
      </c>
      <c r="G3549" s="87">
        <f t="array" ref="G3549">IF(B3549="insumo",_xlfn.XLOOKUP($D3549,Insumos!$B$1:$B$996,Insumos!$D$1:$D$996),"")</f>
        <v>11.15</v>
      </c>
      <c r="H3549" s="87">
        <v>5.5750000000000002</v>
      </c>
      <c r="I3549" s="79">
        <v>0</v>
      </c>
      <c r="J3549" s="79">
        <v>0</v>
      </c>
      <c r="K3549" s="79"/>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355">
        <v>1</v>
      </c>
      <c r="B3550" s="355" t="s">
        <v>1227</v>
      </c>
      <c r="C3550" s="355" t="s">
        <v>1821</v>
      </c>
      <c r="D3550" s="355" t="s">
        <v>1458</v>
      </c>
      <c r="E3550" s="356"/>
      <c r="F3550" s="357"/>
      <c r="G3550" s="356"/>
      <c r="H3550" s="356">
        <v>0</v>
      </c>
      <c r="I3550" s="357">
        <v>0</v>
      </c>
      <c r="J3550" s="357">
        <v>0</v>
      </c>
      <c r="K3550" s="357"/>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332">
        <v>1</v>
      </c>
      <c r="B3551" s="332" t="s">
        <v>67</v>
      </c>
      <c r="C3551" s="332" t="s">
        <v>698</v>
      </c>
      <c r="D3551" s="332" t="s">
        <v>698</v>
      </c>
      <c r="E3551" s="333" t="s">
        <v>69</v>
      </c>
      <c r="F3551" s="332"/>
      <c r="G3551" s="334" t="str">
        <f t="array" ref="G3551">IF(B3551="insumo",_xlfn.XLOOKUP($D3551,Insumos!$B$1:$B$996,Insumos!$D$1:$D$996),"")</f>
        <v/>
      </c>
      <c r="H3551" s="334">
        <v>156.16550000000001</v>
      </c>
      <c r="I3551" s="335">
        <v>0</v>
      </c>
      <c r="J3551" s="335">
        <v>0</v>
      </c>
      <c r="K3551" s="335"/>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70</v>
      </c>
      <c r="C3552" s="10" t="s">
        <v>698</v>
      </c>
      <c r="D3552" s="10" t="s">
        <v>524</v>
      </c>
      <c r="E3552" s="11" t="str">
        <f t="array" ref="E3552">_xlfn.XLOOKUP(D3552,Insumos!B:B,Insumos!C:$C)</f>
        <v>M2</v>
      </c>
      <c r="F3552" s="14">
        <v>1.1000000000000001</v>
      </c>
      <c r="G3552" s="87">
        <f t="array" ref="G3552">IF(B3552="insumo",_xlfn.XLOOKUP($D3552,Insumos!$B$1:$B$996,Insumos!$D$1:$D$996),"")</f>
        <v>127.9</v>
      </c>
      <c r="H3552" s="87">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70</v>
      </c>
      <c r="C3553" s="10" t="s">
        <v>698</v>
      </c>
      <c r="D3553" s="10" t="s">
        <v>480</v>
      </c>
      <c r="E3553" s="11" t="str">
        <f t="array" ref="E3553">_xlfn.XLOOKUP(D3553,Insumos!B:B,Insumos!C:$C)</f>
        <v>KG</v>
      </c>
      <c r="F3553" s="14">
        <v>9</v>
      </c>
      <c r="G3553" s="87">
        <f t="array" ref="G3553">IF(B3553="insumo",_xlfn.XLOOKUP($D3553,Insumos!$B$1:$B$996,Insumos!$D$1:$D$996),"")</f>
        <v>1.0645</v>
      </c>
      <c r="H3553" s="87">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70</v>
      </c>
      <c r="C3554" s="10" t="s">
        <v>698</v>
      </c>
      <c r="D3554" s="10" t="s">
        <v>505</v>
      </c>
      <c r="E3554" s="11" t="str">
        <f t="array" ref="E3554">_xlfn.XLOOKUP(D3554,Insumos!B:B,Insumos!C:$C)</f>
        <v>UN</v>
      </c>
      <c r="F3554" s="14">
        <v>4</v>
      </c>
      <c r="G3554" s="87">
        <f t="array" ref="G3554">IF(B3554="insumo",_xlfn.XLOOKUP($D3554,Insumos!$B$1:$B$996,Insumos!$D$1:$D$996),"")</f>
        <v>0.08</v>
      </c>
      <c r="H3554" s="87">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70</v>
      </c>
      <c r="C3555" s="10" t="s">
        <v>698</v>
      </c>
      <c r="D3555" s="10" t="s">
        <v>506</v>
      </c>
      <c r="E3555" s="11" t="str">
        <f t="array" ref="E3555">_xlfn.XLOOKUP(D3555,Insumos!B:B,Insumos!C:$C)</f>
        <v>KG</v>
      </c>
      <c r="F3555" s="14">
        <v>0.5</v>
      </c>
      <c r="G3555" s="87">
        <f t="array" ref="G3555">IF(B3555="insumo",_xlfn.XLOOKUP($D3555,Insumos!$B$1:$B$996,Insumos!$D$1:$D$996),"")</f>
        <v>11.15</v>
      </c>
      <c r="H3555" s="87">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336">
        <v>1</v>
      </c>
      <c r="B3556" s="336" t="s">
        <v>67</v>
      </c>
      <c r="C3556" s="336" t="s">
        <v>1817</v>
      </c>
      <c r="D3556" s="336" t="s">
        <v>1817</v>
      </c>
      <c r="E3556" s="337" t="s">
        <v>69</v>
      </c>
      <c r="F3556" s="336"/>
      <c r="G3556" s="338" t="str">
        <f t="array" ref="G3556">IF(B3556="insumo",_xlfn.XLOOKUP($D3556,Insumos!$B$1:$B$996,Insumos!$D$1:$D$996),"")</f>
        <v/>
      </c>
      <c r="H3556" s="338">
        <v>533.95527500000003</v>
      </c>
      <c r="I3556" s="339">
        <v>0</v>
      </c>
      <c r="J3556" s="339">
        <v>0</v>
      </c>
      <c r="K3556" s="339"/>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77">
        <v>1</v>
      </c>
      <c r="B3557" s="77" t="s">
        <v>70</v>
      </c>
      <c r="C3557" s="77" t="s">
        <v>1817</v>
      </c>
      <c r="D3557" s="77" t="s">
        <v>1784</v>
      </c>
      <c r="E3557" s="11" t="str">
        <f t="array" ref="E3557">_xlfn.XLOOKUP(D3557,Insumos!B:B,Insumos!C:$C)</f>
        <v>M2</v>
      </c>
      <c r="F3557" s="85">
        <v>1.1000000000000001</v>
      </c>
      <c r="G3557" s="87">
        <f t="array" ref="G3557">IF(B3557="insumo",_xlfn.XLOOKUP($D3557,Insumos!$B$1:$B$996,Insumos!$D$1:$D$996),"")</f>
        <v>480</v>
      </c>
      <c r="H3557" s="87">
        <v>528</v>
      </c>
      <c r="I3557" s="79">
        <v>0</v>
      </c>
      <c r="J3557" s="79">
        <v>0</v>
      </c>
      <c r="K3557" s="79"/>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77">
        <v>191</v>
      </c>
      <c r="B3558" s="77" t="s">
        <v>70</v>
      </c>
      <c r="C3558" s="77" t="s">
        <v>1817</v>
      </c>
      <c r="D3558" s="77" t="s">
        <v>480</v>
      </c>
      <c r="E3558" s="11" t="str">
        <f t="array" ref="E3558">_xlfn.XLOOKUP(D3558,Insumos!B:B,Insumos!C:$C)</f>
        <v>KG</v>
      </c>
      <c r="F3558" s="85">
        <v>4.95</v>
      </c>
      <c r="G3558" s="87">
        <f t="array" ref="G3558">IF(B3558="insumo",_xlfn.XLOOKUP($D3558,Insumos!$B$1:$B$996,Insumos!$D$1:$D$996),"")</f>
        <v>1.0645</v>
      </c>
      <c r="H3558" s="87">
        <v>5.2692750000000004</v>
      </c>
      <c r="I3558" s="79">
        <v>0</v>
      </c>
      <c r="J3558" s="79">
        <v>0</v>
      </c>
      <c r="K3558" s="79"/>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77">
        <v>142</v>
      </c>
      <c r="B3559" s="77" t="s">
        <v>70</v>
      </c>
      <c r="C3559" s="77" t="s">
        <v>1817</v>
      </c>
      <c r="D3559" s="77" t="s">
        <v>505</v>
      </c>
      <c r="E3559" s="11" t="str">
        <f t="array" ref="E3559">_xlfn.XLOOKUP(D3559,Insumos!B:B,Insumos!C:$C)</f>
        <v>UN</v>
      </c>
      <c r="F3559" s="85">
        <v>3</v>
      </c>
      <c r="G3559" s="87">
        <f t="array" ref="G3559">IF(B3559="insumo",_xlfn.XLOOKUP($D3559,Insumos!$B$1:$B$996,Insumos!$D$1:$D$996),"")</f>
        <v>0.08</v>
      </c>
      <c r="H3559" s="87">
        <v>0.24</v>
      </c>
      <c r="I3559" s="79">
        <v>0</v>
      </c>
      <c r="J3559" s="79">
        <v>0</v>
      </c>
      <c r="K3559" s="79"/>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77">
        <v>101</v>
      </c>
      <c r="B3560" s="77" t="s">
        <v>70</v>
      </c>
      <c r="C3560" s="77" t="s">
        <v>1817</v>
      </c>
      <c r="D3560" s="77" t="s">
        <v>506</v>
      </c>
      <c r="E3560" s="11" t="str">
        <f t="array" ref="E3560">_xlfn.XLOOKUP(D3560,Insumos!B:B,Insumos!C:$C)</f>
        <v>KG</v>
      </c>
      <c r="F3560" s="85">
        <v>0.04</v>
      </c>
      <c r="G3560" s="87">
        <f t="array" ref="G3560">IF(B3560="insumo",_xlfn.XLOOKUP($D3560,Insumos!$B$1:$B$996,Insumos!$D$1:$D$996),"")</f>
        <v>11.15</v>
      </c>
      <c r="H3560" s="87">
        <v>0.44600000000000001</v>
      </c>
      <c r="I3560" s="79">
        <v>0</v>
      </c>
      <c r="J3560" s="79">
        <v>0</v>
      </c>
      <c r="K3560" s="79"/>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332">
        <v>1</v>
      </c>
      <c r="B3561" s="332" t="s">
        <v>67</v>
      </c>
      <c r="C3561" s="332" t="s">
        <v>675</v>
      </c>
      <c r="D3561" s="332" t="s">
        <v>675</v>
      </c>
      <c r="E3561" s="333" t="s">
        <v>69</v>
      </c>
      <c r="F3561" s="332"/>
      <c r="G3561" s="334" t="str">
        <f t="array" ref="G3561">IF(B3561="insumo",_xlfn.XLOOKUP($D3561,Insumos!$B$1:$B$996,Insumos!$D$1:$D$996),"")</f>
        <v/>
      </c>
      <c r="H3561" s="334">
        <v>206.65027499999999</v>
      </c>
      <c r="I3561" s="335">
        <v>0</v>
      </c>
      <c r="J3561" s="335">
        <v>0</v>
      </c>
      <c r="K3561" s="335"/>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70</v>
      </c>
      <c r="C3562" s="10" t="s">
        <v>675</v>
      </c>
      <c r="D3562" s="10" t="s">
        <v>676</v>
      </c>
      <c r="E3562" s="11" t="str">
        <f t="array" ref="E3562">_xlfn.XLOOKUP(D3562,Insumos!B:B,Insumos!C:$C)</f>
        <v>M2</v>
      </c>
      <c r="F3562" s="14">
        <v>1.1000000000000001</v>
      </c>
      <c r="G3562" s="87">
        <f t="array" ref="G3562">IF(B3562="insumo",_xlfn.XLOOKUP($D3562,Insumos!$B$1:$B$996,Insumos!$D$1:$D$996),"")</f>
        <v>182.45</v>
      </c>
      <c r="H3562" s="87">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70</v>
      </c>
      <c r="C3563" s="10" t="s">
        <v>675</v>
      </c>
      <c r="D3563" s="10" t="s">
        <v>480</v>
      </c>
      <c r="E3563" s="11" t="str">
        <f t="array" ref="E3563">_xlfn.XLOOKUP(D3563,Insumos!B:B,Insumos!C:$C)</f>
        <v>KG</v>
      </c>
      <c r="F3563" s="14">
        <v>4.95</v>
      </c>
      <c r="G3563" s="87">
        <f t="array" ref="G3563">IF(B3563="insumo",_xlfn.XLOOKUP($D3563,Insumos!$B$1:$B$996,Insumos!$D$1:$D$996),"")</f>
        <v>1.0645</v>
      </c>
      <c r="H3563" s="87">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70</v>
      </c>
      <c r="C3564" s="10" t="s">
        <v>675</v>
      </c>
      <c r="D3564" s="10" t="s">
        <v>505</v>
      </c>
      <c r="E3564" s="11" t="str">
        <f t="array" ref="E3564">_xlfn.XLOOKUP(D3564,Insumos!B:B,Insumos!C:$C)</f>
        <v>UN</v>
      </c>
      <c r="F3564" s="14">
        <v>3</v>
      </c>
      <c r="G3564" s="87">
        <f t="array" ref="G3564">IF(B3564="insumo",_xlfn.XLOOKUP($D3564,Insumos!$B$1:$B$996,Insumos!$D$1:$D$996),"")</f>
        <v>0.08</v>
      </c>
      <c r="H3564" s="87">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70</v>
      </c>
      <c r="C3565" s="10" t="s">
        <v>675</v>
      </c>
      <c r="D3565" s="10" t="s">
        <v>506</v>
      </c>
      <c r="E3565" s="11" t="str">
        <f t="array" ref="E3565">_xlfn.XLOOKUP(D3565,Insumos!B:B,Insumos!C:$C)</f>
        <v>KG</v>
      </c>
      <c r="F3565" s="14">
        <v>0.04</v>
      </c>
      <c r="G3565" s="87">
        <f t="array" ref="G3565">IF(B3565="insumo",_xlfn.XLOOKUP($D3565,Insumos!$B$1:$B$996,Insumos!$D$1:$D$996),"")</f>
        <v>11.15</v>
      </c>
      <c r="H3565" s="87">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332">
        <v>1</v>
      </c>
      <c r="B3566" s="332" t="s">
        <v>67</v>
      </c>
      <c r="C3566" s="332" t="s">
        <v>1461</v>
      </c>
      <c r="D3566" s="332" t="s">
        <v>1461</v>
      </c>
      <c r="E3566" s="333" t="s">
        <v>69</v>
      </c>
      <c r="F3566" s="332"/>
      <c r="G3566" s="334" t="str">
        <f t="array" ref="G3566">IF(B3566="insumo",_xlfn.XLOOKUP($D3566,Insumos!$B$1:$B$996,Insumos!$D$1:$D$996),"")</f>
        <v/>
      </c>
      <c r="H3566" s="334">
        <v>262.85377499999998</v>
      </c>
      <c r="I3566" s="335">
        <v>0</v>
      </c>
      <c r="J3566" s="335">
        <v>0</v>
      </c>
      <c r="K3566" s="335"/>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70</v>
      </c>
      <c r="C3567" s="10" t="s">
        <v>1461</v>
      </c>
      <c r="D3567" s="10" t="s">
        <v>1404</v>
      </c>
      <c r="E3567" s="11" t="str">
        <f t="array" ref="E3567">_xlfn.XLOOKUP(D3567,Insumos!B:B,Insumos!C:$C)</f>
        <v>M2</v>
      </c>
      <c r="F3567" s="14">
        <v>1.1000000000000001</v>
      </c>
      <c r="G3567" s="87">
        <f t="array" ref="G3567">IF(B3567="insumo",_xlfn.XLOOKUP($D3567,Insumos!$B$1:$B$996,Insumos!$D$1:$D$996),"")</f>
        <v>233.37</v>
      </c>
      <c r="H3567" s="87">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70</v>
      </c>
      <c r="C3568" s="10" t="s">
        <v>1461</v>
      </c>
      <c r="D3568" s="10" t="s">
        <v>480</v>
      </c>
      <c r="E3568" s="11" t="str">
        <f t="array" ref="E3568">_xlfn.XLOOKUP(D3568,Insumos!B:B,Insumos!C:$C)</f>
        <v>KG</v>
      </c>
      <c r="F3568" s="14">
        <v>4.95</v>
      </c>
      <c r="G3568" s="87">
        <f t="array" ref="G3568">IF(B3568="insumo",_xlfn.XLOOKUP($D3568,Insumos!$B$1:$B$996,Insumos!$D$1:$D$996),"")</f>
        <v>1.0645</v>
      </c>
      <c r="H3568" s="87">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70</v>
      </c>
      <c r="C3569" s="10" t="s">
        <v>1461</v>
      </c>
      <c r="D3569" s="10" t="s">
        <v>505</v>
      </c>
      <c r="E3569" s="11" t="str">
        <f t="array" ref="E3569">_xlfn.XLOOKUP(D3569,Insumos!B:B,Insumos!C:$C)</f>
        <v>UN</v>
      </c>
      <c r="F3569" s="14">
        <v>4</v>
      </c>
      <c r="G3569" s="87">
        <f t="array" ref="G3569">IF(B3569="insumo",_xlfn.XLOOKUP($D3569,Insumos!$B$1:$B$996,Insumos!$D$1:$D$996),"")</f>
        <v>0.08</v>
      </c>
      <c r="H3569" s="87">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70</v>
      </c>
      <c r="C3570" s="10" t="s">
        <v>1461</v>
      </c>
      <c r="D3570" s="10" t="s">
        <v>506</v>
      </c>
      <c r="E3570" s="11" t="str">
        <f t="array" ref="E3570">_xlfn.XLOOKUP(D3570,Insumos!B:B,Insumos!C:$C)</f>
        <v>KG</v>
      </c>
      <c r="F3570" s="14">
        <v>0.05</v>
      </c>
      <c r="G3570" s="87">
        <f t="array" ref="G3570">IF(B3570="insumo",_xlfn.XLOOKUP($D3570,Insumos!$B$1:$B$996,Insumos!$D$1:$D$996),"")</f>
        <v>11.15</v>
      </c>
      <c r="H3570" s="87">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332">
        <v>1</v>
      </c>
      <c r="B3571" s="332" t="s">
        <v>67</v>
      </c>
      <c r="C3571" s="332" t="s">
        <v>1462</v>
      </c>
      <c r="D3571" s="332" t="s">
        <v>1462</v>
      </c>
      <c r="E3571" s="333" t="s">
        <v>69</v>
      </c>
      <c r="F3571" s="332"/>
      <c r="G3571" s="334" t="str">
        <f t="array" ref="G3571">IF(B3571="insumo",_xlfn.XLOOKUP($D3571,Insumos!$B$1:$B$996,Insumos!$D$1:$D$996),"")</f>
        <v/>
      </c>
      <c r="H3571" s="334">
        <v>186.172775</v>
      </c>
      <c r="I3571" s="335">
        <v>0</v>
      </c>
      <c r="J3571" s="335">
        <v>0</v>
      </c>
      <c r="K3571" s="335"/>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70</v>
      </c>
      <c r="C3572" s="10" t="s">
        <v>1462</v>
      </c>
      <c r="D3572" s="10" t="s">
        <v>1405</v>
      </c>
      <c r="E3572" s="11" t="str">
        <f t="array" ref="E3572">_xlfn.XLOOKUP(D3572,Insumos!B:B,Insumos!C:$C)</f>
        <v>M2</v>
      </c>
      <c r="F3572" s="14">
        <v>1.1000000000000001</v>
      </c>
      <c r="G3572" s="87">
        <f t="array" ref="G3572">IF(B3572="insumo",_xlfn.XLOOKUP($D3572,Insumos!$B$1:$B$996,Insumos!$D$1:$D$996),"")</f>
        <v>163.66</v>
      </c>
      <c r="H3572" s="87">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70</v>
      </c>
      <c r="C3573" s="10" t="s">
        <v>1462</v>
      </c>
      <c r="D3573" s="10" t="s">
        <v>480</v>
      </c>
      <c r="E3573" s="11" t="str">
        <f t="array" ref="E3573">_xlfn.XLOOKUP(D3573,Insumos!B:B,Insumos!C:$C)</f>
        <v>KG</v>
      </c>
      <c r="F3573" s="14">
        <v>4.95</v>
      </c>
      <c r="G3573" s="87">
        <f t="array" ref="G3573">IF(B3573="insumo",_xlfn.XLOOKUP($D3573,Insumos!$B$1:$B$996,Insumos!$D$1:$D$996),"")</f>
        <v>1.0645</v>
      </c>
      <c r="H3573" s="87">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70</v>
      </c>
      <c r="C3574" s="10" t="s">
        <v>1462</v>
      </c>
      <c r="D3574" s="10" t="s">
        <v>505</v>
      </c>
      <c r="E3574" s="11" t="str">
        <f t="array" ref="E3574">_xlfn.XLOOKUP(D3574,Insumos!B:B,Insumos!C:$C)</f>
        <v>UN</v>
      </c>
      <c r="F3574" s="14">
        <v>4</v>
      </c>
      <c r="G3574" s="87">
        <f t="array" ref="G3574">IF(B3574="insumo",_xlfn.XLOOKUP($D3574,Insumos!$B$1:$B$996,Insumos!$D$1:$D$996),"")</f>
        <v>0.08</v>
      </c>
      <c r="H3574" s="87">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70</v>
      </c>
      <c r="C3575" s="10" t="s">
        <v>1462</v>
      </c>
      <c r="D3575" s="10" t="s">
        <v>506</v>
      </c>
      <c r="E3575" s="11" t="str">
        <f t="array" ref="E3575">_xlfn.XLOOKUP(D3575,Insumos!B:B,Insumos!C:$C)</f>
        <v>KG</v>
      </c>
      <c r="F3575" s="14">
        <v>0.05</v>
      </c>
      <c r="G3575" s="87">
        <f t="array" ref="G3575">IF(B3575="insumo",_xlfn.XLOOKUP($D3575,Insumos!$B$1:$B$996,Insumos!$D$1:$D$996),"")</f>
        <v>11.15</v>
      </c>
      <c r="H3575" s="87">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355">
        <v>1</v>
      </c>
      <c r="B3576" s="355" t="s">
        <v>1227</v>
      </c>
      <c r="C3576" s="355" t="s">
        <v>1462</v>
      </c>
      <c r="D3576" s="355" t="s">
        <v>1457</v>
      </c>
      <c r="E3576" s="356"/>
      <c r="F3576" s="357"/>
      <c r="G3576" s="356"/>
      <c r="H3576" s="356">
        <v>0</v>
      </c>
      <c r="I3576" s="357">
        <v>0</v>
      </c>
      <c r="J3576" s="357">
        <v>0</v>
      </c>
      <c r="K3576" s="357"/>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332">
        <v>1</v>
      </c>
      <c r="B3577" s="332" t="s">
        <v>67</v>
      </c>
      <c r="C3577" s="332" t="s">
        <v>1479</v>
      </c>
      <c r="D3577" s="332" t="s">
        <v>1479</v>
      </c>
      <c r="E3577" s="333" t="s">
        <v>69</v>
      </c>
      <c r="F3577" s="332"/>
      <c r="G3577" s="334" t="str">
        <f t="array" ref="G3577">IF(B3577="insumo",_xlfn.XLOOKUP($D3577,Insumos!$B$1:$B$996,Insumos!$D$1:$D$996),"")</f>
        <v/>
      </c>
      <c r="H3577" s="334">
        <v>997.24549999999999</v>
      </c>
      <c r="I3577" s="335">
        <v>0</v>
      </c>
      <c r="J3577" s="335">
        <v>0</v>
      </c>
      <c r="K3577" s="335"/>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70</v>
      </c>
      <c r="C3578" s="10" t="s">
        <v>1479</v>
      </c>
      <c r="D3578" s="10" t="s">
        <v>1480</v>
      </c>
      <c r="E3578" s="11" t="str">
        <f t="array" ref="E3578">_xlfn.XLOOKUP(D3578,Insumos!B:B,Insumos!C:$C)</f>
        <v>M2</v>
      </c>
      <c r="F3578" s="14">
        <v>1.1000000000000001</v>
      </c>
      <c r="G3578" s="87">
        <f t="array" ref="G3578">IF(B3578="insumo",_xlfn.XLOOKUP($D3578,Insumos!$B$1:$B$996,Insumos!$D$1:$D$996),"")</f>
        <v>890</v>
      </c>
      <c r="H3578" s="87">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70</v>
      </c>
      <c r="C3579" s="10" t="s">
        <v>1479</v>
      </c>
      <c r="D3579" s="10" t="s">
        <v>480</v>
      </c>
      <c r="E3579" s="11" t="str">
        <f t="array" ref="E3579">_xlfn.XLOOKUP(D3579,Insumos!B:B,Insumos!C:$C)</f>
        <v>KG</v>
      </c>
      <c r="F3579" s="14">
        <v>9</v>
      </c>
      <c r="G3579" s="87">
        <f t="array" ref="G3579">IF(B3579="insumo",_xlfn.XLOOKUP($D3579,Insumos!$B$1:$B$996,Insumos!$D$1:$D$996),"")</f>
        <v>1.0645</v>
      </c>
      <c r="H3579" s="87">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70</v>
      </c>
      <c r="C3580" s="10" t="s">
        <v>1479</v>
      </c>
      <c r="D3580" s="10" t="s">
        <v>537</v>
      </c>
      <c r="E3580" s="11" t="str">
        <f t="array" ref="E3580">_xlfn.XLOOKUP(D3580,Insumos!B:B,Insumos!C:$C)</f>
        <v>UN</v>
      </c>
      <c r="F3580" s="14">
        <v>0.5</v>
      </c>
      <c r="G3580" s="87">
        <f t="array" ref="G3580">IF(B3580="insumo",_xlfn.XLOOKUP($D3580,Insumos!$B$1:$B$996,Insumos!$D$1:$D$996),"")</f>
        <v>17.329999999999998</v>
      </c>
      <c r="H3580" s="87">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332">
        <v>1</v>
      </c>
      <c r="B3581" s="332" t="s">
        <v>67</v>
      </c>
      <c r="C3581" s="332" t="s">
        <v>702</v>
      </c>
      <c r="D3581" s="332" t="s">
        <v>702</v>
      </c>
      <c r="E3581" s="333" t="s">
        <v>69</v>
      </c>
      <c r="F3581" s="332"/>
      <c r="G3581" s="334" t="str">
        <f t="array" ref="G3581">IF(B3581="insumo",_xlfn.XLOOKUP($D3581,Insumos!$B$1:$B$996,Insumos!$D$1:$D$996),"")</f>
        <v/>
      </c>
      <c r="H3581" s="334">
        <v>546.24549999999999</v>
      </c>
      <c r="I3581" s="335">
        <v>0</v>
      </c>
      <c r="J3581" s="335">
        <v>0</v>
      </c>
      <c r="K3581" s="335"/>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70</v>
      </c>
      <c r="C3582" s="10" t="s">
        <v>702</v>
      </c>
      <c r="D3582" s="10" t="s">
        <v>526</v>
      </c>
      <c r="E3582" s="11" t="str">
        <f t="array" ref="E3582">_xlfn.XLOOKUP(D3582,Insumos!B:B,Insumos!C:$C)</f>
        <v>M2</v>
      </c>
      <c r="F3582" s="14">
        <v>1.1000000000000001</v>
      </c>
      <c r="G3582" s="87">
        <f t="array" ref="G3582">IF(B3582="insumo",_xlfn.XLOOKUP($D3582,Insumos!$B$1:$B$996,Insumos!$D$1:$D$996),"")</f>
        <v>480</v>
      </c>
      <c r="H3582" s="87">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70</v>
      </c>
      <c r="C3583" s="10" t="s">
        <v>702</v>
      </c>
      <c r="D3583" s="10" t="s">
        <v>480</v>
      </c>
      <c r="E3583" s="11" t="str">
        <f t="array" ref="E3583">_xlfn.XLOOKUP(D3583,Insumos!B:B,Insumos!C:$C)</f>
        <v>KG</v>
      </c>
      <c r="F3583" s="14">
        <v>9</v>
      </c>
      <c r="G3583" s="87">
        <f t="array" ref="G3583">IF(B3583="insumo",_xlfn.XLOOKUP($D3583,Insumos!$B$1:$B$996,Insumos!$D$1:$D$996),"")</f>
        <v>1.0645</v>
      </c>
      <c r="H3583" s="87">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70</v>
      </c>
      <c r="C3584" s="10" t="s">
        <v>702</v>
      </c>
      <c r="D3584" s="10" t="s">
        <v>537</v>
      </c>
      <c r="E3584" s="11" t="str">
        <f t="array" ref="E3584">_xlfn.XLOOKUP(D3584,Insumos!B:B,Insumos!C:$C)</f>
        <v>UN</v>
      </c>
      <c r="F3584" s="14">
        <v>0.5</v>
      </c>
      <c r="G3584" s="87">
        <f t="array" ref="G3584">IF(B3584="insumo",_xlfn.XLOOKUP($D3584,Insumos!$B$1:$B$996,Insumos!$D$1:$D$996),"")</f>
        <v>17.329999999999998</v>
      </c>
      <c r="H3584" s="87">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332">
        <v>1</v>
      </c>
      <c r="B3585" s="332" t="s">
        <v>67</v>
      </c>
      <c r="C3585" s="332" t="s">
        <v>703</v>
      </c>
      <c r="D3585" s="332" t="s">
        <v>703</v>
      </c>
      <c r="E3585" s="333" t="s">
        <v>69</v>
      </c>
      <c r="F3585" s="332"/>
      <c r="G3585" s="334" t="str">
        <f t="array" ref="G3585">IF(B3585="insumo",_xlfn.XLOOKUP($D3585,Insumos!$B$1:$B$996,Insumos!$D$1:$D$996),"")</f>
        <v/>
      </c>
      <c r="H3585" s="334">
        <v>898.24549999999999</v>
      </c>
      <c r="I3585" s="335">
        <v>0</v>
      </c>
      <c r="J3585" s="335">
        <v>0</v>
      </c>
      <c r="K3585" s="335"/>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70</v>
      </c>
      <c r="C3586" s="10" t="s">
        <v>703</v>
      </c>
      <c r="D3586" s="10" t="s">
        <v>530</v>
      </c>
      <c r="E3586" s="11" t="str">
        <f t="array" ref="E3586">_xlfn.XLOOKUP(D3586,Insumos!B:B,Insumos!C:$C)</f>
        <v>M2</v>
      </c>
      <c r="F3586" s="14">
        <v>1.1000000000000001</v>
      </c>
      <c r="G3586" s="87">
        <f t="array" ref="G3586">IF(B3586="insumo",_xlfn.XLOOKUP($D3586,Insumos!$B$1:$B$996,Insumos!$D$1:$D$996),"")</f>
        <v>800</v>
      </c>
      <c r="H3586" s="87">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70</v>
      </c>
      <c r="C3587" s="10" t="s">
        <v>703</v>
      </c>
      <c r="D3587" s="10" t="s">
        <v>480</v>
      </c>
      <c r="E3587" s="11" t="str">
        <f t="array" ref="E3587">_xlfn.XLOOKUP(D3587,Insumos!B:B,Insumos!C:$C)</f>
        <v>KG</v>
      </c>
      <c r="F3587" s="14">
        <v>9</v>
      </c>
      <c r="G3587" s="87">
        <f t="array" ref="G3587">IF(B3587="insumo",_xlfn.XLOOKUP($D3587,Insumos!$B$1:$B$996,Insumos!$D$1:$D$996),"")</f>
        <v>1.0645</v>
      </c>
      <c r="H3587" s="87">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70</v>
      </c>
      <c r="C3588" s="10" t="s">
        <v>703</v>
      </c>
      <c r="D3588" s="10" t="s">
        <v>537</v>
      </c>
      <c r="E3588" s="11" t="str">
        <f t="array" ref="E3588">_xlfn.XLOOKUP(D3588,Insumos!B:B,Insumos!C:$C)</f>
        <v>UN</v>
      </c>
      <c r="F3588" s="14">
        <v>0.5</v>
      </c>
      <c r="G3588" s="87">
        <f t="array" ref="G3588">IF(B3588="insumo",_xlfn.XLOOKUP($D3588,Insumos!$B$1:$B$996,Insumos!$D$1:$D$996),"")</f>
        <v>17.329999999999998</v>
      </c>
      <c r="H3588" s="87">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332">
        <v>1</v>
      </c>
      <c r="B3589" s="332" t="s">
        <v>67</v>
      </c>
      <c r="C3589" s="332" t="s">
        <v>2565</v>
      </c>
      <c r="D3589" s="332" t="s">
        <v>2565</v>
      </c>
      <c r="E3589" s="333" t="s">
        <v>69</v>
      </c>
      <c r="F3589" s="332"/>
      <c r="G3589" s="334" t="str">
        <f t="array" ref="G3589">IF(B3589="insumo",_xlfn.XLOOKUP($D3589,Insumos!$B$1:$B$996,Insumos!$D$1:$D$996),"")</f>
        <v/>
      </c>
      <c r="H3589" s="334">
        <v>1498.2455</v>
      </c>
      <c r="I3589" s="335" t="e">
        <v>#REF!</v>
      </c>
      <c r="J3589" s="335" t="e">
        <v>#REF!</v>
      </c>
      <c r="K3589" s="335"/>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70</v>
      </c>
      <c r="C3590" s="10" t="s">
        <v>2565</v>
      </c>
      <c r="D3590" s="10" t="s">
        <v>2405</v>
      </c>
      <c r="E3590" s="11" t="str">
        <f t="array" ref="E3590">_xlfn.XLOOKUP(D3590,Insumos!B:B,Insumos!C:$C)</f>
        <v>M2</v>
      </c>
      <c r="F3590" s="14">
        <v>1.1000000000000001</v>
      </c>
      <c r="G3590" s="87">
        <f t="array" ref="G3590">IF(B3590="insumo",_xlfn.XLOOKUP($D3590,Insumos!$B$1:$B$996,Insumos!$D$1:$D$996),"")</f>
        <v>800</v>
      </c>
      <c r="H3590" s="87">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70</v>
      </c>
      <c r="C3591" s="10" t="s">
        <v>2565</v>
      </c>
      <c r="D3591" s="10" t="s">
        <v>2564</v>
      </c>
      <c r="E3591" s="11" t="str">
        <f t="array" ref="E3591">_xlfn.XLOOKUP(D3591,Insumos!B:B,Insumos!C:$C)</f>
        <v>M2</v>
      </c>
      <c r="F3591" s="14">
        <v>1</v>
      </c>
      <c r="G3591" s="87">
        <f t="array" ref="G3591">IF(B3591="insumo",_xlfn.XLOOKUP($D3591,Insumos!$B$1:$B$996,Insumos!$D$1:$D$996),"")</f>
        <v>600</v>
      </c>
      <c r="H3591" s="87">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70</v>
      </c>
      <c r="C3592" s="10" t="s">
        <v>2565</v>
      </c>
      <c r="D3592" s="10" t="s">
        <v>480</v>
      </c>
      <c r="E3592" s="11" t="str">
        <f t="array" ref="E3592">_xlfn.XLOOKUP(D3592,Insumos!B:B,Insumos!C:$C)</f>
        <v>KG</v>
      </c>
      <c r="F3592" s="14">
        <v>9</v>
      </c>
      <c r="G3592" s="87">
        <f t="array" ref="G3592">IF(B3592="insumo",_xlfn.XLOOKUP($D3592,Insumos!$B$1:$B$996,Insumos!$D$1:$D$996),"")</f>
        <v>1.0645</v>
      </c>
      <c r="H3592" s="87">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70</v>
      </c>
      <c r="C3593" s="10" t="s">
        <v>2565</v>
      </c>
      <c r="D3593" s="10" t="s">
        <v>537</v>
      </c>
      <c r="E3593" s="11" t="str">
        <f t="array" ref="E3593">_xlfn.XLOOKUP(D3593,Insumos!B:B,Insumos!C:$C)</f>
        <v>UN</v>
      </c>
      <c r="F3593" s="14">
        <v>0.5</v>
      </c>
      <c r="G3593" s="87">
        <f t="array" ref="G3593">IF(B3593="insumo",_xlfn.XLOOKUP($D3593,Insumos!$B$1:$B$996,Insumos!$D$1:$D$996),"")</f>
        <v>17.329999999999998</v>
      </c>
      <c r="H3593" s="87">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332">
        <v>1</v>
      </c>
      <c r="B3594" s="332" t="s">
        <v>67</v>
      </c>
      <c r="C3594" s="332" t="s">
        <v>2558</v>
      </c>
      <c r="D3594" s="332" t="s">
        <v>2558</v>
      </c>
      <c r="E3594" s="333" t="s">
        <v>69</v>
      </c>
      <c r="F3594" s="332"/>
      <c r="G3594" s="334" t="str">
        <f t="array" ref="G3594">IF(B3594="insumo",_xlfn.XLOOKUP($D3594,Insumos!$B$1:$B$996,Insumos!$D$1:$D$996),"")</f>
        <v/>
      </c>
      <c r="H3594" s="334">
        <v>898.24549999999999</v>
      </c>
      <c r="I3594" s="335" t="e">
        <v>#REF!</v>
      </c>
      <c r="J3594" s="335" t="e">
        <v>#REF!</v>
      </c>
      <c r="K3594" s="335"/>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70</v>
      </c>
      <c r="C3595" s="10" t="s">
        <v>2558</v>
      </c>
      <c r="D3595" s="10" t="s">
        <v>2405</v>
      </c>
      <c r="E3595" s="11" t="str">
        <f t="array" ref="E3595">_xlfn.XLOOKUP(D3595,Insumos!B:B,Insumos!C:$C)</f>
        <v>M2</v>
      </c>
      <c r="F3595" s="14">
        <v>1.1000000000000001</v>
      </c>
      <c r="G3595" s="87">
        <f t="array" ref="G3595">IF(B3595="insumo",_xlfn.XLOOKUP($D3595,Insumos!$B$1:$B$996,Insumos!$D$1:$D$996),"")</f>
        <v>800</v>
      </c>
      <c r="H3595" s="87">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70</v>
      </c>
      <c r="C3596" s="10" t="s">
        <v>2558</v>
      </c>
      <c r="D3596" s="10" t="s">
        <v>480</v>
      </c>
      <c r="E3596" s="11" t="str">
        <f t="array" ref="E3596">_xlfn.XLOOKUP(D3596,Insumos!B:B,Insumos!C:$C)</f>
        <v>KG</v>
      </c>
      <c r="F3596" s="14">
        <v>9</v>
      </c>
      <c r="G3596" s="87">
        <f t="array" ref="G3596">IF(B3596="insumo",_xlfn.XLOOKUP($D3596,Insumos!$B$1:$B$996,Insumos!$D$1:$D$996),"")</f>
        <v>1.0645</v>
      </c>
      <c r="H3596" s="87">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70</v>
      </c>
      <c r="C3597" s="10" t="s">
        <v>2558</v>
      </c>
      <c r="D3597" s="10" t="s">
        <v>537</v>
      </c>
      <c r="E3597" s="11" t="str">
        <f t="array" ref="E3597">_xlfn.XLOOKUP(D3597,Insumos!B:B,Insumos!C:$C)</f>
        <v>UN</v>
      </c>
      <c r="F3597" s="14">
        <v>0.5</v>
      </c>
      <c r="G3597" s="87">
        <f t="array" ref="G3597">IF(B3597="insumo",_xlfn.XLOOKUP($D3597,Insumos!$B$1:$B$996,Insumos!$D$1:$D$996),"")</f>
        <v>17.329999999999998</v>
      </c>
      <c r="H3597" s="87">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332">
        <v>1</v>
      </c>
      <c r="B3598" s="332" t="s">
        <v>67</v>
      </c>
      <c r="C3598" s="332" t="s">
        <v>2559</v>
      </c>
      <c r="D3598" s="332" t="s">
        <v>2559</v>
      </c>
      <c r="E3598" s="333" t="s">
        <v>69</v>
      </c>
      <c r="F3598" s="332"/>
      <c r="G3598" s="334" t="str">
        <f t="array" ref="G3598">IF(B3598="insumo",_xlfn.XLOOKUP($D3598,Insumos!$B$1:$B$996,Insumos!$D$1:$D$996),"")</f>
        <v/>
      </c>
      <c r="H3598" s="334">
        <v>1008.2455</v>
      </c>
      <c r="I3598" s="335">
        <v>0</v>
      </c>
      <c r="J3598" s="335">
        <v>0</v>
      </c>
      <c r="K3598" s="335"/>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70</v>
      </c>
      <c r="C3599" s="10" t="s">
        <v>2559</v>
      </c>
      <c r="D3599" s="10" t="s">
        <v>2407</v>
      </c>
      <c r="E3599" s="11" t="str">
        <f t="array" ref="E3599">_xlfn.XLOOKUP(D3599,Insumos!B:B,Insumos!C:$C)</f>
        <v>M2</v>
      </c>
      <c r="F3599" s="14">
        <v>1.1000000000000001</v>
      </c>
      <c r="G3599" s="87">
        <f t="array" ref="G3599">IF(B3599="insumo",_xlfn.XLOOKUP($D3599,Insumos!$B$1:$B$996,Insumos!$D$1:$D$996),"")</f>
        <v>900</v>
      </c>
      <c r="H3599" s="87">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70</v>
      </c>
      <c r="C3600" s="10" t="s">
        <v>2559</v>
      </c>
      <c r="D3600" s="10" t="s">
        <v>480</v>
      </c>
      <c r="E3600" s="11" t="str">
        <f t="array" ref="E3600">_xlfn.XLOOKUP(D3600,Insumos!B:B,Insumos!C:$C)</f>
        <v>KG</v>
      </c>
      <c r="F3600" s="14">
        <v>9</v>
      </c>
      <c r="G3600" s="87">
        <f t="array" ref="G3600">IF(B3600="insumo",_xlfn.XLOOKUP($D3600,Insumos!$B$1:$B$996,Insumos!$D$1:$D$996),"")</f>
        <v>1.0645</v>
      </c>
      <c r="H3600" s="87">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70</v>
      </c>
      <c r="C3601" s="10" t="s">
        <v>2559</v>
      </c>
      <c r="D3601" s="10" t="s">
        <v>537</v>
      </c>
      <c r="E3601" s="11" t="str">
        <f t="array" ref="E3601">_xlfn.XLOOKUP(D3601,Insumos!B:B,Insumos!C:$C)</f>
        <v>UN</v>
      </c>
      <c r="F3601" s="14">
        <v>0.5</v>
      </c>
      <c r="G3601" s="87">
        <f t="array" ref="G3601">IF(B3601="insumo",_xlfn.XLOOKUP($D3601,Insumos!$B$1:$B$996,Insumos!$D$1:$D$996),"")</f>
        <v>17.329999999999998</v>
      </c>
      <c r="H3601" s="87">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332">
        <v>1</v>
      </c>
      <c r="B3602" s="332" t="s">
        <v>67</v>
      </c>
      <c r="C3602" s="332" t="s">
        <v>2560</v>
      </c>
      <c r="D3602" s="332" t="s">
        <v>2560</v>
      </c>
      <c r="E3602" s="333" t="s">
        <v>69</v>
      </c>
      <c r="F3602" s="332"/>
      <c r="G3602" s="334" t="str">
        <f t="array" ref="G3602">IF(B3602="insumo",_xlfn.XLOOKUP($D3602,Insumos!$B$1:$B$996,Insumos!$D$1:$D$996),"")</f>
        <v/>
      </c>
      <c r="H3602" s="334">
        <v>1448.2455</v>
      </c>
      <c r="I3602" s="335">
        <v>0</v>
      </c>
      <c r="J3602" s="335">
        <v>0</v>
      </c>
      <c r="K3602" s="335"/>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70</v>
      </c>
      <c r="C3603" s="10" t="s">
        <v>2560</v>
      </c>
      <c r="D3603" s="10" t="s">
        <v>2411</v>
      </c>
      <c r="E3603" s="11" t="str">
        <f t="array" ref="E3603">_xlfn.XLOOKUP(D3603,Insumos!B:B,Insumos!C:$C)</f>
        <v>M2</v>
      </c>
      <c r="F3603" s="14">
        <v>1.1000000000000001</v>
      </c>
      <c r="G3603" s="87">
        <f t="array" ref="G3603">IF(B3603="insumo",_xlfn.XLOOKUP($D3603,Insumos!$B$1:$B$996,Insumos!$D$1:$D$996),"")</f>
        <v>1300</v>
      </c>
      <c r="H3603" s="87">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70</v>
      </c>
      <c r="C3604" s="10" t="s">
        <v>2560</v>
      </c>
      <c r="D3604" s="10" t="s">
        <v>480</v>
      </c>
      <c r="E3604" s="11" t="str">
        <f t="array" ref="E3604">_xlfn.XLOOKUP(D3604,Insumos!B:B,Insumos!C:$C)</f>
        <v>KG</v>
      </c>
      <c r="F3604" s="14">
        <v>9</v>
      </c>
      <c r="G3604" s="87">
        <f t="array" ref="G3604">IF(B3604="insumo",_xlfn.XLOOKUP($D3604,Insumos!$B$1:$B$996,Insumos!$D$1:$D$996),"")</f>
        <v>1.0645</v>
      </c>
      <c r="H3604" s="87">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70</v>
      </c>
      <c r="C3605" s="10" t="s">
        <v>2560</v>
      </c>
      <c r="D3605" s="10" t="s">
        <v>537</v>
      </c>
      <c r="E3605" s="11" t="str">
        <f t="array" ref="E3605">_xlfn.XLOOKUP(D3605,Insumos!B:B,Insumos!C:$C)</f>
        <v>UN</v>
      </c>
      <c r="F3605" s="14">
        <v>0.5</v>
      </c>
      <c r="G3605" s="87">
        <f t="array" ref="G3605">IF(B3605="insumo",_xlfn.XLOOKUP($D3605,Insumos!$B$1:$B$996,Insumos!$D$1:$D$996),"")</f>
        <v>17.329999999999998</v>
      </c>
      <c r="H3605" s="87">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332">
        <v>1</v>
      </c>
      <c r="B3606" s="332" t="s">
        <v>67</v>
      </c>
      <c r="C3606" s="332" t="s">
        <v>2561</v>
      </c>
      <c r="D3606" s="332" t="s">
        <v>2561</v>
      </c>
      <c r="E3606" s="333" t="s">
        <v>69</v>
      </c>
      <c r="F3606" s="332"/>
      <c r="G3606" s="334" t="str">
        <f t="array" ref="G3606">IF(B3606="insumo",_xlfn.XLOOKUP($D3606,Insumos!$B$1:$B$996,Insumos!$D$1:$D$996),"")</f>
        <v/>
      </c>
      <c r="H3606" s="334">
        <v>2438.2455</v>
      </c>
      <c r="I3606" s="335">
        <v>0</v>
      </c>
      <c r="J3606" s="335">
        <v>0</v>
      </c>
      <c r="K3606" s="335"/>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70</v>
      </c>
      <c r="C3607" s="10" t="s">
        <v>2561</v>
      </c>
      <c r="D3607" s="10" t="s">
        <v>2413</v>
      </c>
      <c r="E3607" s="11" t="str">
        <f t="array" ref="E3607">_xlfn.XLOOKUP(D3607,Insumos!B:B,Insumos!C:$C)</f>
        <v>M2</v>
      </c>
      <c r="F3607" s="14">
        <v>1.1000000000000001</v>
      </c>
      <c r="G3607" s="87">
        <f t="array" ref="G3607">IF(B3607="insumo",_xlfn.XLOOKUP($D3607,Insumos!$B$1:$B$996,Insumos!$D$1:$D$996),"")</f>
        <v>2200</v>
      </c>
      <c r="H3607" s="87">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70</v>
      </c>
      <c r="C3608" s="10" t="s">
        <v>2561</v>
      </c>
      <c r="D3608" s="10" t="s">
        <v>480</v>
      </c>
      <c r="E3608" s="11" t="str">
        <f t="array" ref="E3608">_xlfn.XLOOKUP(D3608,Insumos!B:B,Insumos!C:$C)</f>
        <v>KG</v>
      </c>
      <c r="F3608" s="14">
        <v>9</v>
      </c>
      <c r="G3608" s="87">
        <f t="array" ref="G3608">IF(B3608="insumo",_xlfn.XLOOKUP($D3608,Insumos!$B$1:$B$996,Insumos!$D$1:$D$996),"")</f>
        <v>1.0645</v>
      </c>
      <c r="H3608" s="87">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70</v>
      </c>
      <c r="C3609" s="10" t="s">
        <v>2561</v>
      </c>
      <c r="D3609" s="10" t="s">
        <v>537</v>
      </c>
      <c r="E3609" s="11" t="str">
        <f t="array" ref="E3609">_xlfn.XLOOKUP(D3609,Insumos!B:B,Insumos!C:$C)</f>
        <v>UN</v>
      </c>
      <c r="F3609" s="14">
        <v>0.5</v>
      </c>
      <c r="G3609" s="87">
        <f t="array" ref="G3609">IF(B3609="insumo",_xlfn.XLOOKUP($D3609,Insumos!$B$1:$B$996,Insumos!$D$1:$D$996),"")</f>
        <v>17.329999999999998</v>
      </c>
      <c r="H3609" s="87">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332">
        <v>1</v>
      </c>
      <c r="B3610" s="332" t="s">
        <v>67</v>
      </c>
      <c r="C3610" s="332" t="s">
        <v>2562</v>
      </c>
      <c r="D3610" s="332" t="s">
        <v>2562</v>
      </c>
      <c r="E3610" s="333" t="s">
        <v>69</v>
      </c>
      <c r="F3610" s="332"/>
      <c r="G3610" s="334" t="str">
        <f t="array" ref="G3610">IF(B3610="insumo",_xlfn.XLOOKUP($D3610,Insumos!$B$1:$B$996,Insumos!$D$1:$D$996),"")</f>
        <v/>
      </c>
      <c r="H3610" s="334">
        <v>1448.2455</v>
      </c>
      <c r="I3610" s="335" t="e">
        <v>#REF!</v>
      </c>
      <c r="J3610" s="335" t="e">
        <v>#REF!</v>
      </c>
      <c r="K3610" s="335"/>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70</v>
      </c>
      <c r="C3611" s="10" t="s">
        <v>2562</v>
      </c>
      <c r="D3611" s="10" t="s">
        <v>2409</v>
      </c>
      <c r="E3611" s="11" t="str">
        <f t="array" ref="E3611">_xlfn.XLOOKUP(D3611,Insumos!B:B,Insumos!C:$C)</f>
        <v>M2</v>
      </c>
      <c r="F3611" s="14">
        <v>1.1000000000000001</v>
      </c>
      <c r="G3611" s="87">
        <f t="array" ref="G3611">IF(B3611="insumo",_xlfn.XLOOKUP($D3611,Insumos!$B$1:$B$996,Insumos!$D$1:$D$996),"")</f>
        <v>1300</v>
      </c>
      <c r="H3611" s="87">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70</v>
      </c>
      <c r="C3612" s="10" t="s">
        <v>2562</v>
      </c>
      <c r="D3612" s="10" t="s">
        <v>480</v>
      </c>
      <c r="E3612" s="11" t="str">
        <f t="array" ref="E3612">_xlfn.XLOOKUP(D3612,Insumos!B:B,Insumos!C:$C)</f>
        <v>KG</v>
      </c>
      <c r="F3612" s="14">
        <v>9</v>
      </c>
      <c r="G3612" s="87">
        <f t="array" ref="G3612">IF(B3612="insumo",_xlfn.XLOOKUP($D3612,Insumos!$B$1:$B$996,Insumos!$D$1:$D$996),"")</f>
        <v>1.0645</v>
      </c>
      <c r="H3612" s="87">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70</v>
      </c>
      <c r="C3613" s="10" t="s">
        <v>2562</v>
      </c>
      <c r="D3613" s="10" t="s">
        <v>537</v>
      </c>
      <c r="E3613" s="11" t="str">
        <f t="array" ref="E3613">_xlfn.XLOOKUP(D3613,Insumos!B:B,Insumos!C:$C)</f>
        <v>UN</v>
      </c>
      <c r="F3613" s="14">
        <v>0.5</v>
      </c>
      <c r="G3613" s="87">
        <f t="array" ref="G3613">IF(B3613="insumo",_xlfn.XLOOKUP($D3613,Insumos!$B$1:$B$996,Insumos!$D$1:$D$996),"")</f>
        <v>17.329999999999998</v>
      </c>
      <c r="H3613" s="87">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332">
        <v>1</v>
      </c>
      <c r="B3614" s="332" t="s">
        <v>67</v>
      </c>
      <c r="C3614" s="332" t="s">
        <v>2563</v>
      </c>
      <c r="D3614" s="332" t="s">
        <v>2563</v>
      </c>
      <c r="E3614" s="333" t="s">
        <v>69</v>
      </c>
      <c r="F3614" s="332"/>
      <c r="G3614" s="334" t="str">
        <f t="array" ref="G3614">IF(B3614="insumo",_xlfn.XLOOKUP($D3614,Insumos!$B$1:$B$996,Insumos!$D$1:$D$996),"")</f>
        <v/>
      </c>
      <c r="H3614" s="334">
        <v>3538.2455</v>
      </c>
      <c r="I3614" s="335" t="e">
        <v>#REF!</v>
      </c>
      <c r="J3614" s="335" t="e">
        <v>#REF!</v>
      </c>
      <c r="K3614" s="335"/>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70</v>
      </c>
      <c r="C3615" s="10" t="s">
        <v>2563</v>
      </c>
      <c r="D3615" s="10" t="s">
        <v>2422</v>
      </c>
      <c r="E3615" s="11" t="str">
        <f t="array" ref="E3615">_xlfn.XLOOKUP(D3615,Insumos!B:B,Insumos!C:$C)</f>
        <v>M2</v>
      </c>
      <c r="F3615" s="14">
        <v>1.1000000000000001</v>
      </c>
      <c r="G3615" s="87">
        <f t="array" ref="G3615">IF(B3615="insumo",_xlfn.XLOOKUP($D3615,Insumos!$B$1:$B$996,Insumos!$D$1:$D$996),"")</f>
        <v>3200</v>
      </c>
      <c r="H3615" s="87">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70</v>
      </c>
      <c r="C3616" s="10" t="s">
        <v>2563</v>
      </c>
      <c r="D3616" s="10" t="s">
        <v>480</v>
      </c>
      <c r="E3616" s="11" t="str">
        <f t="array" ref="E3616">_xlfn.XLOOKUP(D3616,Insumos!B:B,Insumos!C:$C)</f>
        <v>KG</v>
      </c>
      <c r="F3616" s="14">
        <v>9</v>
      </c>
      <c r="G3616" s="87">
        <f t="array" ref="G3616">IF(B3616="insumo",_xlfn.XLOOKUP($D3616,Insumos!$B$1:$B$996,Insumos!$D$1:$D$996),"")</f>
        <v>1.0645</v>
      </c>
      <c r="H3616" s="87">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70</v>
      </c>
      <c r="C3617" s="10" t="s">
        <v>2563</v>
      </c>
      <c r="D3617" s="10" t="s">
        <v>537</v>
      </c>
      <c r="E3617" s="11" t="str">
        <f t="array" ref="E3617">_xlfn.XLOOKUP(D3617,Insumos!B:B,Insumos!C:$C)</f>
        <v>UN</v>
      </c>
      <c r="F3617" s="14">
        <v>0.5</v>
      </c>
      <c r="G3617" s="87">
        <f t="array" ref="G3617">IF(B3617="insumo",_xlfn.XLOOKUP($D3617,Insumos!$B$1:$B$996,Insumos!$D$1:$D$996),"")</f>
        <v>17.329999999999998</v>
      </c>
      <c r="H3617" s="87">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332">
        <v>1</v>
      </c>
      <c r="B3618" s="332" t="s">
        <v>67</v>
      </c>
      <c r="C3618" s="332" t="s">
        <v>707</v>
      </c>
      <c r="D3618" s="332" t="s">
        <v>707</v>
      </c>
      <c r="E3618" s="333" t="s">
        <v>112</v>
      </c>
      <c r="F3618" s="332"/>
      <c r="G3618" s="334" t="str">
        <f t="array" ref="G3618">IF(B3618="insumo",_xlfn.XLOOKUP($D3618,Insumos!$B$1:$B$996,Insumos!$D$1:$D$996),"")</f>
        <v/>
      </c>
      <c r="H3618" s="334">
        <v>898.0326</v>
      </c>
      <c r="I3618" s="335">
        <v>0</v>
      </c>
      <c r="J3618" s="335">
        <v>0</v>
      </c>
      <c r="K3618" s="335"/>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70</v>
      </c>
      <c r="C3619" s="10" t="s">
        <v>707</v>
      </c>
      <c r="D3619" s="10" t="s">
        <v>530</v>
      </c>
      <c r="E3619" s="11" t="str">
        <f t="array" ref="E3619">_xlfn.XLOOKUP(D3619,Insumos!B:B,Insumos!C:$C)</f>
        <v>M2</v>
      </c>
      <c r="F3619" s="14">
        <v>1.1000000000000001</v>
      </c>
      <c r="G3619" s="87">
        <f t="array" ref="G3619">IF(B3619="insumo",_xlfn.XLOOKUP($D3619,Insumos!$B$1:$B$996,Insumos!$D$1:$D$996),"")</f>
        <v>800</v>
      </c>
      <c r="H3619" s="87">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70</v>
      </c>
      <c r="C3620" s="10" t="s">
        <v>707</v>
      </c>
      <c r="D3620" s="10" t="s">
        <v>480</v>
      </c>
      <c r="E3620" s="11" t="str">
        <f t="array" ref="E3620">_xlfn.XLOOKUP(D3620,Insumos!B:B,Insumos!C:$C)</f>
        <v>KG</v>
      </c>
      <c r="F3620" s="14">
        <v>8.8000000000000007</v>
      </c>
      <c r="G3620" s="87">
        <f t="array" ref="G3620">IF(B3620="insumo",_xlfn.XLOOKUP($D3620,Insumos!$B$1:$B$996,Insumos!$D$1:$D$996),"")</f>
        <v>1.0645</v>
      </c>
      <c r="H3620" s="87">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70</v>
      </c>
      <c r="C3621" s="10" t="s">
        <v>707</v>
      </c>
      <c r="D3621" s="10" t="s">
        <v>537</v>
      </c>
      <c r="E3621" s="11" t="str">
        <f t="array" ref="E3621">_xlfn.XLOOKUP(D3621,Insumos!B:B,Insumos!C:$C)</f>
        <v>UN</v>
      </c>
      <c r="F3621" s="14">
        <v>0.5</v>
      </c>
      <c r="G3621" s="87">
        <f t="array" ref="G3621">IF(B3621="insumo",_xlfn.XLOOKUP($D3621,Insumos!$B$1:$B$996,Insumos!$D$1:$D$996),"")</f>
        <v>17.329999999999998</v>
      </c>
      <c r="H3621" s="87">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355">
        <v>1</v>
      </c>
      <c r="B3622" s="355" t="s">
        <v>1227</v>
      </c>
      <c r="C3622" s="355" t="s">
        <v>707</v>
      </c>
      <c r="D3622" s="355" t="s">
        <v>1454</v>
      </c>
      <c r="E3622" s="356"/>
      <c r="F3622" s="357"/>
      <c r="G3622" s="356"/>
      <c r="H3622" s="356">
        <v>0</v>
      </c>
      <c r="I3622" s="357">
        <v>0</v>
      </c>
      <c r="J3622" s="357">
        <v>0</v>
      </c>
      <c r="K3622" s="357"/>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332">
        <v>1</v>
      </c>
      <c r="B3623" s="332" t="s">
        <v>67</v>
      </c>
      <c r="C3623" s="332" t="s">
        <v>1503</v>
      </c>
      <c r="D3623" s="332" t="s">
        <v>1503</v>
      </c>
      <c r="E3623" s="333" t="s">
        <v>112</v>
      </c>
      <c r="F3623" s="332"/>
      <c r="G3623" s="334" t="str">
        <f t="array" ref="G3623">IF(B3623="insumo",_xlfn.XLOOKUP($D3623,Insumos!$B$1:$B$996,Insumos!$D$1:$D$996),"")</f>
        <v/>
      </c>
      <c r="H3623" s="334">
        <v>19.960488999999999</v>
      </c>
      <c r="I3623" s="335">
        <v>0</v>
      </c>
      <c r="J3623" s="335">
        <v>0</v>
      </c>
      <c r="K3623" s="335"/>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70</v>
      </c>
      <c r="C3624" s="10" t="s">
        <v>1503</v>
      </c>
      <c r="D3624" s="10" t="s">
        <v>1180</v>
      </c>
      <c r="E3624" s="11" t="str">
        <f t="array" ref="E3624">_xlfn.XLOOKUP(D3624,Insumos!B:B,Insumos!C:$C)</f>
        <v>KG</v>
      </c>
      <c r="F3624" s="14">
        <v>4.0300000000000002E-2</v>
      </c>
      <c r="G3624" s="87">
        <f t="array" ref="G3624">IF(B3624="insumo",_xlfn.XLOOKUP($D3624,Insumos!$B$1:$B$996,Insumos!$D$1:$D$996),"")</f>
        <v>17.63</v>
      </c>
      <c r="H3624" s="87">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70</v>
      </c>
      <c r="C3625" s="10" t="s">
        <v>1503</v>
      </c>
      <c r="D3625" s="10" t="s">
        <v>708</v>
      </c>
      <c r="E3625" s="11" t="str">
        <f t="array" ref="E3625">_xlfn.XLOOKUP(D3625,Insumos!B:B,Insumos!C:$C)</f>
        <v>M</v>
      </c>
      <c r="F3625" s="14">
        <v>1</v>
      </c>
      <c r="G3625" s="87">
        <f t="array" ref="G3625">IF(B3625="insumo",_xlfn.XLOOKUP($D3625,Insumos!$B$1:$B$996,Insumos!$D$1:$D$996),"")</f>
        <v>19.25</v>
      </c>
      <c r="H3625" s="87">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332">
        <v>1</v>
      </c>
      <c r="B3626" s="332" t="s">
        <v>67</v>
      </c>
      <c r="C3626" s="332" t="s">
        <v>708</v>
      </c>
      <c r="D3626" s="332" t="s">
        <v>708</v>
      </c>
      <c r="E3626" s="333" t="s">
        <v>112</v>
      </c>
      <c r="F3626" s="332"/>
      <c r="G3626" s="334" t="str">
        <f t="array" ref="G3626">IF(B3626="insumo",_xlfn.XLOOKUP($D3626,Insumos!$B$1:$B$996,Insumos!$D$1:$D$996),"")</f>
        <v/>
      </c>
      <c r="H3626" s="334">
        <v>2.1364390000000002</v>
      </c>
      <c r="I3626" s="335">
        <v>0</v>
      </c>
      <c r="J3626" s="335">
        <v>0</v>
      </c>
      <c r="K3626" s="335"/>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70</v>
      </c>
      <c r="C3627" s="10" t="s">
        <v>708</v>
      </c>
      <c r="D3627" s="10" t="s">
        <v>709</v>
      </c>
      <c r="E3627" s="11" t="str">
        <f t="array" ref="E3627">_xlfn.XLOOKUP(D3627,Insumos!B:B,Insumos!C:$C)</f>
        <v>KG</v>
      </c>
      <c r="F3627" s="14">
        <v>4.0300000000000002E-2</v>
      </c>
      <c r="G3627" s="87">
        <f t="array" ref="G3627">IF(B3627="insumo",_xlfn.XLOOKUP($D3627,Insumos!$B$1:$B$996,Insumos!$D$1:$D$996),"")</f>
        <v>29.13</v>
      </c>
      <c r="H3627" s="87">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70</v>
      </c>
      <c r="C3628" s="10" t="s">
        <v>708</v>
      </c>
      <c r="D3628" s="10" t="s">
        <v>708</v>
      </c>
      <c r="E3628" s="11" t="str">
        <f t="array" ref="E3628">_xlfn.XLOOKUP(D3628,Insumos!B:B,Insumos!C:$C)</f>
        <v>M</v>
      </c>
      <c r="F3628" s="14">
        <v>0.05</v>
      </c>
      <c r="G3628" s="87">
        <f t="array" ref="G3628">IF(B3628="insumo",_xlfn.XLOOKUP($D3628,Insumos!$B$1:$B$996,Insumos!$D$1:$D$996),"")</f>
        <v>19.25</v>
      </c>
      <c r="H3628" s="87">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332">
        <v>1</v>
      </c>
      <c r="B3629" s="332" t="s">
        <v>67</v>
      </c>
      <c r="C3629" s="332" t="s">
        <v>1499</v>
      </c>
      <c r="D3629" s="332" t="s">
        <v>1499</v>
      </c>
      <c r="E3629" s="333" t="s">
        <v>112</v>
      </c>
      <c r="F3629" s="332"/>
      <c r="G3629" s="334" t="str">
        <f t="array" ref="G3629">IF(B3629="insumo",_xlfn.XLOOKUP($D3629,Insumos!$B$1:$B$996,Insumos!$D$1:$D$996),"")</f>
        <v/>
      </c>
      <c r="H3629" s="334">
        <v>16.573938999999999</v>
      </c>
      <c r="I3629" s="335">
        <v>0</v>
      </c>
      <c r="J3629" s="335">
        <v>0</v>
      </c>
      <c r="K3629" s="335"/>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70</v>
      </c>
      <c r="C3630" s="10" t="s">
        <v>1499</v>
      </c>
      <c r="D3630" s="10" t="s">
        <v>709</v>
      </c>
      <c r="E3630" s="11" t="str">
        <f t="array" ref="E3630">_xlfn.XLOOKUP(D3630,Insumos!B:B,Insumos!C:$C)</f>
        <v>KG</v>
      </c>
      <c r="F3630" s="14">
        <v>4.0300000000000002E-2</v>
      </c>
      <c r="G3630" s="87">
        <f t="array" ref="G3630">IF(B3630="insumo",_xlfn.XLOOKUP($D3630,Insumos!$B$1:$B$996,Insumos!$D$1:$D$996),"")</f>
        <v>29.13</v>
      </c>
      <c r="H3630" s="87">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70</v>
      </c>
      <c r="C3631" s="10" t="s">
        <v>1499</v>
      </c>
      <c r="D3631" s="10" t="s">
        <v>1499</v>
      </c>
      <c r="E3631" s="11" t="str">
        <f t="array" ref="E3631">_xlfn.XLOOKUP(D3631,Insumos!B:B,Insumos!C:$C)</f>
        <v>M</v>
      </c>
      <c r="F3631" s="14">
        <v>0.2</v>
      </c>
      <c r="G3631" s="87">
        <f t="array" ref="G3631">IF(B3631="insumo",_xlfn.XLOOKUP($D3631,Insumos!$B$1:$B$996,Insumos!$D$1:$D$996),"")</f>
        <v>77</v>
      </c>
      <c r="H3631" s="87">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332">
        <v>1</v>
      </c>
      <c r="B3632" s="332" t="s">
        <v>67</v>
      </c>
      <c r="C3632" s="332" t="s">
        <v>710</v>
      </c>
      <c r="D3632" s="332" t="s">
        <v>710</v>
      </c>
      <c r="E3632" s="333" t="s">
        <v>112</v>
      </c>
      <c r="F3632" s="332"/>
      <c r="G3632" s="334" t="str">
        <f t="array" ref="G3632">IF(B3632="insumo",_xlfn.XLOOKUP($D3632,Insumos!$B$1:$B$996,Insumos!$D$1:$D$996),"")</f>
        <v/>
      </c>
      <c r="H3632" s="334">
        <v>44.912275000000001</v>
      </c>
      <c r="I3632" s="335">
        <v>0</v>
      </c>
      <c r="J3632" s="335">
        <v>0</v>
      </c>
      <c r="K3632" s="335"/>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70</v>
      </c>
      <c r="C3633" s="10" t="s">
        <v>710</v>
      </c>
      <c r="D3633" s="10" t="s">
        <v>530</v>
      </c>
      <c r="E3633" s="11" t="str">
        <f t="array" ref="E3633">_xlfn.XLOOKUP(D3633,Insumos!B:B,Insumos!C:$C)</f>
        <v>M2</v>
      </c>
      <c r="F3633" s="14">
        <v>5.5000000000000007E-2</v>
      </c>
      <c r="G3633" s="87">
        <f t="array" ref="G3633">IF(B3633="insumo",_xlfn.XLOOKUP($D3633,Insumos!$B$1:$B$996,Insumos!$D$1:$D$996),"")</f>
        <v>800</v>
      </c>
      <c r="H3633" s="87">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70</v>
      </c>
      <c r="C3634" s="10" t="s">
        <v>710</v>
      </c>
      <c r="D3634" s="10" t="s">
        <v>480</v>
      </c>
      <c r="E3634" s="11" t="str">
        <f t="array" ref="E3634">_xlfn.XLOOKUP(D3634,Insumos!B:B,Insumos!C:$C)</f>
        <v>KG</v>
      </c>
      <c r="F3634" s="14">
        <v>0.45</v>
      </c>
      <c r="G3634" s="87">
        <f t="array" ref="G3634">IF(B3634="insumo",_xlfn.XLOOKUP($D3634,Insumos!$B$1:$B$996,Insumos!$D$1:$D$996),"")</f>
        <v>1.0645</v>
      </c>
      <c r="H3634" s="87">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70</v>
      </c>
      <c r="C3635" s="10" t="s">
        <v>710</v>
      </c>
      <c r="D3635" s="10" t="s">
        <v>537</v>
      </c>
      <c r="E3635" s="11" t="str">
        <f t="array" ref="E3635">_xlfn.XLOOKUP(D3635,Insumos!B:B,Insumos!C:$C)</f>
        <v>UN</v>
      </c>
      <c r="F3635" s="14">
        <v>2.5000000000000001E-2</v>
      </c>
      <c r="G3635" s="87">
        <f t="array" ref="G3635">IF(B3635="insumo",_xlfn.XLOOKUP($D3635,Insumos!$B$1:$B$996,Insumos!$D$1:$D$996),"")</f>
        <v>17.329999999999998</v>
      </c>
      <c r="H3635" s="87">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332">
        <v>1</v>
      </c>
      <c r="B3636" s="332" t="s">
        <v>67</v>
      </c>
      <c r="C3636" s="332" t="s">
        <v>711</v>
      </c>
      <c r="D3636" s="332" t="s">
        <v>711</v>
      </c>
      <c r="E3636" s="333" t="s">
        <v>112</v>
      </c>
      <c r="F3636" s="332"/>
      <c r="G3636" s="334" t="str">
        <f t="array" ref="G3636">IF(B3636="insumo",_xlfn.XLOOKUP($D3636,Insumos!$B$1:$B$996,Insumos!$D$1:$D$996),"")</f>
        <v/>
      </c>
      <c r="H3636" s="334">
        <v>134.73682500000001</v>
      </c>
      <c r="I3636" s="335">
        <v>0</v>
      </c>
      <c r="J3636" s="335">
        <v>0</v>
      </c>
      <c r="K3636" s="335"/>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70</v>
      </c>
      <c r="C3637" s="10" t="s">
        <v>711</v>
      </c>
      <c r="D3637" s="10" t="s">
        <v>530</v>
      </c>
      <c r="E3637" s="11" t="str">
        <f t="array" ref="E3637">_xlfn.XLOOKUP(D3637,Insumos!B:B,Insumos!C:$C)</f>
        <v>M2</v>
      </c>
      <c r="F3637" s="14">
        <v>0.16500000000000001</v>
      </c>
      <c r="G3637" s="87">
        <f t="array" ref="G3637">IF(B3637="insumo",_xlfn.XLOOKUP($D3637,Insumos!$B$1:$B$996,Insumos!$D$1:$D$996),"")</f>
        <v>800</v>
      </c>
      <c r="H3637" s="87">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70</v>
      </c>
      <c r="C3638" s="10" t="s">
        <v>711</v>
      </c>
      <c r="D3638" s="10" t="s">
        <v>480</v>
      </c>
      <c r="E3638" s="11" t="str">
        <f t="array" ref="E3638">_xlfn.XLOOKUP(D3638,Insumos!B:B,Insumos!C:$C)</f>
        <v>KG</v>
      </c>
      <c r="F3638" s="14">
        <v>1.3499999999999999</v>
      </c>
      <c r="G3638" s="87">
        <f t="array" ref="G3638">IF(B3638="insumo",_xlfn.XLOOKUP($D3638,Insumos!$B$1:$B$996,Insumos!$D$1:$D$996),"")</f>
        <v>1.0645</v>
      </c>
      <c r="H3638" s="87">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70</v>
      </c>
      <c r="C3639" s="10" t="s">
        <v>711</v>
      </c>
      <c r="D3639" s="10" t="s">
        <v>537</v>
      </c>
      <c r="E3639" s="11" t="str">
        <f t="array" ref="E3639">_xlfn.XLOOKUP(D3639,Insumos!B:B,Insumos!C:$C)</f>
        <v>UN</v>
      </c>
      <c r="F3639" s="14">
        <v>7.4999999999999997E-2</v>
      </c>
      <c r="G3639" s="87">
        <f t="array" ref="G3639">IF(B3639="insumo",_xlfn.XLOOKUP($D3639,Insumos!$B$1:$B$996,Insumos!$D$1:$D$996),"")</f>
        <v>17.329999999999998</v>
      </c>
      <c r="H3639" s="87">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332">
        <v>1</v>
      </c>
      <c r="B3640" s="332" t="s">
        <v>67</v>
      </c>
      <c r="C3640" s="332" t="s">
        <v>1501</v>
      </c>
      <c r="D3640" s="332" t="s">
        <v>1501</v>
      </c>
      <c r="E3640" s="333" t="s">
        <v>112</v>
      </c>
      <c r="F3640" s="332"/>
      <c r="G3640" s="334" t="str">
        <f t="array" ref="G3640">IF(B3640="insumo",_xlfn.XLOOKUP($D3640,Insumos!$B$1:$B$996,Insumos!$D$1:$D$996),"")</f>
        <v/>
      </c>
      <c r="H3640" s="334">
        <v>170.73682500000001</v>
      </c>
      <c r="I3640" s="335">
        <v>0</v>
      </c>
      <c r="J3640" s="335">
        <v>0</v>
      </c>
      <c r="K3640" s="335"/>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70</v>
      </c>
      <c r="C3641" s="10" t="s">
        <v>1501</v>
      </c>
      <c r="D3641" s="10" t="s">
        <v>530</v>
      </c>
      <c r="E3641" s="11" t="str">
        <f t="array" ref="E3641">_xlfn.XLOOKUP(D3641,Insumos!B:B,Insumos!C:$C)</f>
        <v>M2</v>
      </c>
      <c r="F3641" s="14">
        <f>0.2*1.05</f>
        <v>0.21000000000000002</v>
      </c>
      <c r="G3641" s="87">
        <f t="array" ref="G3641">IF(B3641="insumo",_xlfn.XLOOKUP($D3641,Insumos!$B$1:$B$996,Insumos!$D$1:$D$996),"")</f>
        <v>800</v>
      </c>
      <c r="H3641" s="87">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70</v>
      </c>
      <c r="C3642" s="10" t="s">
        <v>1501</v>
      </c>
      <c r="D3642" s="10" t="s">
        <v>480</v>
      </c>
      <c r="E3642" s="11" t="str">
        <f t="array" ref="E3642">_xlfn.XLOOKUP(D3642,Insumos!B:B,Insumos!C:$C)</f>
        <v>KG</v>
      </c>
      <c r="F3642" s="14">
        <v>1.3499999999999999</v>
      </c>
      <c r="G3642" s="87">
        <f t="array" ref="G3642">IF(B3642="insumo",_xlfn.XLOOKUP($D3642,Insumos!$B$1:$B$996,Insumos!$D$1:$D$996),"")</f>
        <v>1.0645</v>
      </c>
      <c r="H3642" s="87">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70</v>
      </c>
      <c r="C3643" s="10" t="s">
        <v>1501</v>
      </c>
      <c r="D3643" s="10" t="s">
        <v>537</v>
      </c>
      <c r="E3643" s="11" t="str">
        <f t="array" ref="E3643">_xlfn.XLOOKUP(D3643,Insumos!B:B,Insumos!C:$C)</f>
        <v>UN</v>
      </c>
      <c r="F3643" s="14">
        <v>7.4999999999999997E-2</v>
      </c>
      <c r="G3643" s="87">
        <f t="array" ref="G3643">IF(B3643="insumo",_xlfn.XLOOKUP($D3643,Insumos!$B$1:$B$996,Insumos!$D$1:$D$996),"")</f>
        <v>17.329999999999998</v>
      </c>
      <c r="H3643" s="87">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332">
        <v>1</v>
      </c>
      <c r="B3644" s="332" t="s">
        <v>67</v>
      </c>
      <c r="C3644" s="332" t="s">
        <v>712</v>
      </c>
      <c r="D3644" s="332" t="s">
        <v>712</v>
      </c>
      <c r="E3644" s="333" t="s">
        <v>112</v>
      </c>
      <c r="F3644" s="332"/>
      <c r="G3644" s="334" t="str">
        <f t="array" ref="G3644">IF(B3644="insumo",_xlfn.XLOOKUP($D3644,Insumos!$B$1:$B$996,Insumos!$D$1:$D$996),"")</f>
        <v/>
      </c>
      <c r="H3644" s="334">
        <v>256.1739</v>
      </c>
      <c r="I3644" s="335">
        <v>0</v>
      </c>
      <c r="J3644" s="335">
        <v>0</v>
      </c>
      <c r="K3644" s="335"/>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70</v>
      </c>
      <c r="C3645" s="10" t="s">
        <v>712</v>
      </c>
      <c r="D3645" s="10" t="s">
        <v>530</v>
      </c>
      <c r="E3645" s="11" t="str">
        <f t="array" ref="E3645">_xlfn.XLOOKUP(D3645,Insumos!B:B,Insumos!C:$C)</f>
        <v>M2</v>
      </c>
      <c r="F3645" s="14">
        <f>0.3*1.05</f>
        <v>0.315</v>
      </c>
      <c r="G3645" s="87">
        <f t="array" ref="G3645">IF(B3645="insumo",_xlfn.XLOOKUP($D3645,Insumos!$B$1:$B$996,Insumos!$D$1:$D$996),"")</f>
        <v>800</v>
      </c>
      <c r="H3645" s="87">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70</v>
      </c>
      <c r="C3646" s="10" t="s">
        <v>712</v>
      </c>
      <c r="D3646" s="10" t="s">
        <v>480</v>
      </c>
      <c r="E3646" s="11" t="str">
        <f t="array" ref="E3646">_xlfn.XLOOKUP(D3646,Insumos!B:B,Insumos!C:$C)</f>
        <v>KG</v>
      </c>
      <c r="F3646" s="14">
        <f>9*0.3</f>
        <v>2.6999999999999997</v>
      </c>
      <c r="G3646" s="87">
        <f t="array" ref="G3646">IF(B3646="insumo",_xlfn.XLOOKUP($D3646,Insumos!$B$1:$B$996,Insumos!$D$1:$D$996),"")</f>
        <v>1.0645</v>
      </c>
      <c r="H3646" s="87">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70</v>
      </c>
      <c r="C3647" s="10" t="s">
        <v>712</v>
      </c>
      <c r="D3647" s="10" t="s">
        <v>537</v>
      </c>
      <c r="E3647" s="11" t="str">
        <f t="array" ref="E3647">_xlfn.XLOOKUP(D3647,Insumos!B:B,Insumos!C:$C)</f>
        <v>UN</v>
      </c>
      <c r="F3647" s="14">
        <v>7.4999999999999997E-2</v>
      </c>
      <c r="G3647" s="87">
        <f t="array" ref="G3647">IF(B3647="insumo",_xlfn.XLOOKUP($D3647,Insumos!$B$1:$B$996,Insumos!$D$1:$D$996),"")</f>
        <v>17.329999999999998</v>
      </c>
      <c r="H3647" s="87">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332">
        <v>1</v>
      </c>
      <c r="B3648" s="332" t="s">
        <v>67</v>
      </c>
      <c r="C3648" s="332" t="s">
        <v>713</v>
      </c>
      <c r="D3648" s="332" t="s">
        <v>713</v>
      </c>
      <c r="E3648" s="333" t="s">
        <v>112</v>
      </c>
      <c r="F3648" s="332"/>
      <c r="G3648" s="334" t="str">
        <f t="array" ref="G3648">IF(B3648="insumo",_xlfn.XLOOKUP($D3648,Insumos!$B$1:$B$996,Insumos!$D$1:$D$996),"")</f>
        <v/>
      </c>
      <c r="H3648" s="334">
        <v>43.820583333333303</v>
      </c>
      <c r="I3648" s="335" t="e">
        <v>#REF!</v>
      </c>
      <c r="J3648" s="335" t="e">
        <v>#REF!</v>
      </c>
      <c r="K3648" s="335"/>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70</v>
      </c>
      <c r="C3649" s="10" t="s">
        <v>713</v>
      </c>
      <c r="D3649" s="10" t="s">
        <v>714</v>
      </c>
      <c r="E3649" s="11" t="str">
        <f t="array" ref="E3649">_xlfn.XLOOKUP(D3649,Insumos!B:B,Insumos!C:$C)</f>
        <v>M</v>
      </c>
      <c r="F3649" s="14">
        <v>1.34</v>
      </c>
      <c r="G3649" s="87">
        <f t="array" ref="G3649">IF(B3649="insumo",_xlfn.XLOOKUP($D3649,Insumos!$B$1:$B$996,Insumos!$D$1:$D$996),"")</f>
        <v>28.954166666666666</v>
      </c>
      <c r="H3649" s="87">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70</v>
      </c>
      <c r="C3650" s="10" t="s">
        <v>713</v>
      </c>
      <c r="D3650" s="10" t="s">
        <v>699</v>
      </c>
      <c r="E3650" s="11" t="str">
        <f t="array" ref="E3650">_xlfn.XLOOKUP(D3650,Insumos!B:B,Insumos!C:$C)</f>
        <v>KG</v>
      </c>
      <c r="F3650" s="14">
        <v>0.2</v>
      </c>
      <c r="G3650" s="87">
        <f t="array" ref="G3650">IF(B3650="insumo",_xlfn.XLOOKUP($D3650,Insumos!$B$1:$B$996,Insumos!$D$1:$D$996),"")</f>
        <v>25.11</v>
      </c>
      <c r="H3650" s="87">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332">
        <v>1</v>
      </c>
      <c r="B3651" s="332" t="s">
        <v>67</v>
      </c>
      <c r="C3651" s="332" t="s">
        <v>715</v>
      </c>
      <c r="D3651" s="332" t="s">
        <v>715</v>
      </c>
      <c r="E3651" s="333" t="s">
        <v>112</v>
      </c>
      <c r="F3651" s="332"/>
      <c r="G3651" s="334" t="str">
        <f t="array" ref="G3651">IF(B3651="insumo",_xlfn.XLOOKUP($D3651,Insumos!$B$1:$B$996,Insumos!$D$1:$D$996),"")</f>
        <v/>
      </c>
      <c r="H3651" s="334">
        <v>72.356999999999999</v>
      </c>
      <c r="I3651" s="335">
        <v>0</v>
      </c>
      <c r="J3651" s="335">
        <v>0</v>
      </c>
      <c r="K3651" s="335"/>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70</v>
      </c>
      <c r="C3652" s="10" t="s">
        <v>715</v>
      </c>
      <c r="D3652" s="10" t="s">
        <v>716</v>
      </c>
      <c r="E3652" s="11" t="str">
        <f t="array" ref="E3652">_xlfn.XLOOKUP(D3652,Insumos!B:B,Insumos!C:$C)</f>
        <v>M</v>
      </c>
      <c r="F3652" s="14">
        <v>1.34</v>
      </c>
      <c r="G3652" s="87">
        <f t="array" ref="G3652">IF(B3652="insumo",_xlfn.XLOOKUP($D3652,Insumos!$B$1:$B$996,Insumos!$D$1:$D$996),"")</f>
        <v>50.25</v>
      </c>
      <c r="H3652" s="87">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70</v>
      </c>
      <c r="C3653" s="10" t="s">
        <v>715</v>
      </c>
      <c r="D3653" s="10" t="s">
        <v>699</v>
      </c>
      <c r="E3653" s="11" t="str">
        <f t="array" ref="E3653">_xlfn.XLOOKUP(D3653,Insumos!B:B,Insumos!C:$C)</f>
        <v>KG</v>
      </c>
      <c r="F3653" s="14">
        <v>0.2</v>
      </c>
      <c r="G3653" s="87">
        <f t="array" ref="G3653">IF(B3653="insumo",_xlfn.XLOOKUP($D3653,Insumos!$B$1:$B$996,Insumos!$D$1:$D$996),"")</f>
        <v>25.11</v>
      </c>
      <c r="H3653" s="87">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332">
        <v>1</v>
      </c>
      <c r="B3654" s="332" t="s">
        <v>67</v>
      </c>
      <c r="C3654" s="332" t="s">
        <v>2585</v>
      </c>
      <c r="D3654" s="332" t="s">
        <v>2585</v>
      </c>
      <c r="E3654" s="333" t="s">
        <v>112</v>
      </c>
      <c r="F3654" s="332"/>
      <c r="G3654" s="334" t="str">
        <f t="array" ref="G3654">IF(B3654="insumo",_xlfn.XLOOKUP($D3654,Insumos!$B$1:$B$996,Insumos!$D$1:$D$996),"")</f>
        <v/>
      </c>
      <c r="H3654" s="334">
        <v>1768.6529250000001</v>
      </c>
      <c r="I3654" s="335" t="e">
        <v>#REF!</v>
      </c>
      <c r="J3654" s="335" t="e">
        <v>#REF!</v>
      </c>
      <c r="K3654" s="335"/>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70</v>
      </c>
      <c r="C3655" s="10" t="s">
        <v>2585</v>
      </c>
      <c r="D3655" s="10" t="s">
        <v>2584</v>
      </c>
      <c r="E3655" s="11" t="str">
        <f t="array" ref="E3655">_xlfn.XLOOKUP(D3655,Insumos!B:B,Insumos!C:$C)</f>
        <v>M2</v>
      </c>
      <c r="F3655" s="14">
        <f>0.35*1.05</f>
        <v>0.36749999999999999</v>
      </c>
      <c r="G3655" s="87">
        <f t="array" ref="G3655">IF(B3655="insumo",_xlfn.XLOOKUP($D3655,Insumos!$B$1:$B$996,Insumos!$D$1:$D$996),"")</f>
        <v>4800</v>
      </c>
      <c r="H3655" s="87">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70</v>
      </c>
      <c r="C3656" s="10" t="s">
        <v>2585</v>
      </c>
      <c r="D3656" s="10" t="s">
        <v>480</v>
      </c>
      <c r="E3656" s="11" t="str">
        <f t="array" ref="E3656">_xlfn.XLOOKUP(D3656,Insumos!B:B,Insumos!C:$C)</f>
        <v>KG</v>
      </c>
      <c r="F3656" s="14">
        <f>9*0.35</f>
        <v>3.15</v>
      </c>
      <c r="G3656" s="87">
        <f t="array" ref="G3656">IF(B3656="insumo",_xlfn.XLOOKUP($D3656,Insumos!$B$1:$B$996,Insumos!$D$1:$D$996),"")</f>
        <v>1.0645</v>
      </c>
      <c r="H3656" s="87">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70</v>
      </c>
      <c r="C3657" s="10" t="s">
        <v>2585</v>
      </c>
      <c r="D3657" s="10" t="s">
        <v>537</v>
      </c>
      <c r="E3657" s="11" t="str">
        <f t="array" ref="E3657">_xlfn.XLOOKUP(D3657,Insumos!B:B,Insumos!C:$C)</f>
        <v>UN</v>
      </c>
      <c r="F3657" s="14">
        <v>7.4999999999999997E-2</v>
      </c>
      <c r="G3657" s="87">
        <f t="array" ref="G3657">IF(B3657="insumo",_xlfn.XLOOKUP($D3657,Insumos!$B$1:$B$996,Insumos!$D$1:$D$996),"")</f>
        <v>17.329999999999998</v>
      </c>
      <c r="H3657" s="87">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332">
        <v>1</v>
      </c>
      <c r="B3658" s="332" t="s">
        <v>67</v>
      </c>
      <c r="C3658" s="332" t="s">
        <v>717</v>
      </c>
      <c r="D3658" s="332" t="s">
        <v>717</v>
      </c>
      <c r="E3658" s="333" t="s">
        <v>112</v>
      </c>
      <c r="F3658" s="332"/>
      <c r="G3658" s="334" t="str">
        <f t="array" ref="G3658">IF(B3658="insumo",_xlfn.XLOOKUP($D3658,Insumos!$B$1:$B$996,Insumos!$D$1:$D$996),"")</f>
        <v/>
      </c>
      <c r="H3658" s="334">
        <v>81.936824999999999</v>
      </c>
      <c r="I3658" s="335">
        <v>0</v>
      </c>
      <c r="J3658" s="335">
        <v>0</v>
      </c>
      <c r="K3658" s="335"/>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70</v>
      </c>
      <c r="C3659" s="10" t="s">
        <v>717</v>
      </c>
      <c r="D3659" s="10" t="s">
        <v>526</v>
      </c>
      <c r="E3659" s="11" t="str">
        <f t="array" ref="E3659">_xlfn.XLOOKUP(D3659,Insumos!B:B,Insumos!C:$C)</f>
        <v>M2</v>
      </c>
      <c r="F3659" s="14">
        <v>0.16500000000000001</v>
      </c>
      <c r="G3659" s="87">
        <f t="array" ref="G3659">IF(B3659="insumo",_xlfn.XLOOKUP($D3659,Insumos!$B$1:$B$996,Insumos!$D$1:$D$996),"")</f>
        <v>480</v>
      </c>
      <c r="H3659" s="87">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70</v>
      </c>
      <c r="C3660" s="10" t="s">
        <v>717</v>
      </c>
      <c r="D3660" s="10" t="s">
        <v>480</v>
      </c>
      <c r="E3660" s="11" t="str">
        <f t="array" ref="E3660">_xlfn.XLOOKUP(D3660,Insumos!B:B,Insumos!C:$C)</f>
        <v>KG</v>
      </c>
      <c r="F3660" s="14">
        <v>1.3499999999999999</v>
      </c>
      <c r="G3660" s="87">
        <f t="array" ref="G3660">IF(B3660="insumo",_xlfn.XLOOKUP($D3660,Insumos!$B$1:$B$996,Insumos!$D$1:$D$996),"")</f>
        <v>1.0645</v>
      </c>
      <c r="H3660" s="87">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70</v>
      </c>
      <c r="C3661" s="10" t="s">
        <v>717</v>
      </c>
      <c r="D3661" s="10" t="s">
        <v>537</v>
      </c>
      <c r="E3661" s="11" t="str">
        <f t="array" ref="E3661">_xlfn.XLOOKUP(D3661,Insumos!B:B,Insumos!C:$C)</f>
        <v>UN</v>
      </c>
      <c r="F3661" s="14">
        <v>7.4999999999999997E-2</v>
      </c>
      <c r="G3661" s="87">
        <f t="array" ref="G3661">IF(B3661="insumo",_xlfn.XLOOKUP($D3661,Insumos!$B$1:$B$996,Insumos!$D$1:$D$996),"")</f>
        <v>17.329999999999998</v>
      </c>
      <c r="H3661" s="87">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332">
        <v>1</v>
      </c>
      <c r="B3662" s="332" t="s">
        <v>67</v>
      </c>
      <c r="C3662" s="332" t="s">
        <v>1497</v>
      </c>
      <c r="D3662" s="332" t="s">
        <v>1497</v>
      </c>
      <c r="E3662" s="333" t="s">
        <v>112</v>
      </c>
      <c r="F3662" s="332"/>
      <c r="G3662" s="334" t="str">
        <f t="array" ref="G3662">IF(B3662="insumo",_xlfn.XLOOKUP($D3662,Insumos!$B$1:$B$996,Insumos!$D$1:$D$996),"")</f>
        <v/>
      </c>
      <c r="H3662" s="334">
        <v>34.111166666666698</v>
      </c>
      <c r="I3662" s="335">
        <v>0</v>
      </c>
      <c r="J3662" s="335">
        <v>0</v>
      </c>
      <c r="K3662" s="335"/>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70</v>
      </c>
      <c r="C3663" s="10" t="s">
        <v>1497</v>
      </c>
      <c r="D3663" s="10" t="s">
        <v>699</v>
      </c>
      <c r="E3663" s="11" t="str">
        <f t="array" ref="E3663">_xlfn.XLOOKUP(D3663,Insumos!B:B,Insumos!C:$C)</f>
        <v>KG</v>
      </c>
      <c r="F3663" s="14">
        <v>0.2</v>
      </c>
      <c r="G3663" s="87">
        <f t="array" ref="G3663">IF(B3663="insumo",_xlfn.XLOOKUP($D3663,Insumos!$B$1:$B$996,Insumos!$D$1:$D$996),"")</f>
        <v>25.11</v>
      </c>
      <c r="H3663" s="87">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70</v>
      </c>
      <c r="C3664" s="10" t="s">
        <v>1497</v>
      </c>
      <c r="D3664" s="10" t="s">
        <v>1498</v>
      </c>
      <c r="E3664" s="11" t="str">
        <f t="array" ref="E3664">_xlfn.XLOOKUP(D3664,Insumos!B:B,Insumos!C:$C)</f>
        <v>M</v>
      </c>
      <c r="F3664" s="14">
        <v>1.34</v>
      </c>
      <c r="G3664" s="87">
        <f t="array" ref="G3664">IF(B3664="insumo",_xlfn.XLOOKUP($D3664,Insumos!$B$1:$B$996,Insumos!$D$1:$D$996),"")</f>
        <v>21.708333333333336</v>
      </c>
      <c r="H3664" s="87">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332">
        <v>1</v>
      </c>
      <c r="B3665" s="332" t="s">
        <v>67</v>
      </c>
      <c r="C3665" s="332" t="s">
        <v>1502</v>
      </c>
      <c r="D3665" s="332" t="s">
        <v>1502</v>
      </c>
      <c r="E3665" s="333" t="s">
        <v>112</v>
      </c>
      <c r="F3665" s="332"/>
      <c r="G3665" s="334" t="str">
        <f t="array" ref="G3665">IF(B3665="insumo",_xlfn.XLOOKUP($D3665,Insumos!$B$1:$B$996,Insumos!$D$1:$D$996),"")</f>
        <v/>
      </c>
      <c r="H3665" s="334">
        <v>51.921999999999997</v>
      </c>
      <c r="I3665" s="335">
        <v>0</v>
      </c>
      <c r="J3665" s="335">
        <v>0</v>
      </c>
      <c r="K3665" s="335"/>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70</v>
      </c>
      <c r="C3666" s="10" t="s">
        <v>1502</v>
      </c>
      <c r="D3666" s="10" t="s">
        <v>699</v>
      </c>
      <c r="E3666" s="11" t="str">
        <f t="array" ref="E3666">_xlfn.XLOOKUP(D3666,Insumos!B:B,Insumos!C:$C)</f>
        <v>KG</v>
      </c>
      <c r="F3666" s="14">
        <v>0.2</v>
      </c>
      <c r="G3666" s="87">
        <f t="array" ref="G3666">IF(B3666="insumo",_xlfn.XLOOKUP($D3666,Insumos!$B$1:$B$996,Insumos!$D$1:$D$996),"")</f>
        <v>25.11</v>
      </c>
      <c r="H3666" s="87">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70</v>
      </c>
      <c r="C3667" s="10" t="s">
        <v>1502</v>
      </c>
      <c r="D3667" s="10" t="s">
        <v>1502</v>
      </c>
      <c r="E3667" s="11" t="str">
        <f t="array" ref="E3667">_xlfn.XLOOKUP(D3667,Insumos!B:B,Insumos!C:$C)</f>
        <v>M</v>
      </c>
      <c r="F3667" s="14">
        <v>1.34</v>
      </c>
      <c r="G3667" s="87">
        <f t="array" ref="G3667">IF(B3667="insumo",_xlfn.XLOOKUP($D3667,Insumos!$B$1:$B$996,Insumos!$D$1:$D$996),"")</f>
        <v>35</v>
      </c>
      <c r="H3667" s="87">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332">
        <v>1</v>
      </c>
      <c r="B3668" s="332" t="s">
        <v>67</v>
      </c>
      <c r="C3668" s="332" t="s">
        <v>718</v>
      </c>
      <c r="D3668" s="332" t="s">
        <v>718</v>
      </c>
      <c r="E3668" s="333" t="s">
        <v>112</v>
      </c>
      <c r="F3668" s="332"/>
      <c r="G3668" s="334" t="str">
        <f t="array" ref="G3668">IF(B3668="insumo",_xlfn.XLOOKUP($D3668,Insumos!$B$1:$B$996,Insumos!$D$1:$D$996),"")</f>
        <v/>
      </c>
      <c r="H3668" s="334">
        <v>33.872199999999999</v>
      </c>
      <c r="I3668" s="335">
        <v>0</v>
      </c>
      <c r="J3668" s="335">
        <v>0</v>
      </c>
      <c r="K3668" s="335"/>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70</v>
      </c>
      <c r="C3669" s="10" t="s">
        <v>718</v>
      </c>
      <c r="D3669" s="10" t="s">
        <v>699</v>
      </c>
      <c r="E3669" s="11" t="str">
        <f t="array" ref="E3669">_xlfn.XLOOKUP(D3669,Insumos!B:B,Insumos!C:$C)</f>
        <v>KG</v>
      </c>
      <c r="F3669" s="14">
        <v>0.2</v>
      </c>
      <c r="G3669" s="87">
        <f t="array" ref="G3669">IF(B3669="insumo",_xlfn.XLOOKUP($D3669,Insumos!$B$1:$B$996,Insumos!$D$1:$D$996),"")</f>
        <v>25.11</v>
      </c>
      <c r="H3669" s="87">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70</v>
      </c>
      <c r="C3670" s="10" t="s">
        <v>718</v>
      </c>
      <c r="D3670" s="10" t="s">
        <v>719</v>
      </c>
      <c r="E3670" s="11" t="str">
        <f t="array" ref="E3670">_xlfn.XLOOKUP(D3670,Insumos!B:B,Insumos!C:$C)</f>
        <v>M</v>
      </c>
      <c r="F3670" s="14">
        <v>1.34</v>
      </c>
      <c r="G3670" s="87">
        <f t="array" ref="G3670">IF(B3670="insumo",_xlfn.XLOOKUP($D3670,Insumos!$B$1:$B$996,Insumos!$D$1:$D$996),"")</f>
        <v>21.53</v>
      </c>
      <c r="H3670" s="87">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332">
        <v>1</v>
      </c>
      <c r="B3671" s="332" t="s">
        <v>67</v>
      </c>
      <c r="C3671" s="332" t="s">
        <v>720</v>
      </c>
      <c r="D3671" s="332" t="s">
        <v>720</v>
      </c>
      <c r="E3671" s="333" t="s">
        <v>112</v>
      </c>
      <c r="F3671" s="332"/>
      <c r="G3671" s="334" t="str">
        <f t="array" ref="G3671">IF(B3671="insumo",_xlfn.XLOOKUP($D3671,Insumos!$B$1:$B$996,Insumos!$D$1:$D$996),"")</f>
        <v/>
      </c>
      <c r="H3671" s="334">
        <v>27.926352000000001</v>
      </c>
      <c r="I3671" s="335">
        <v>0</v>
      </c>
      <c r="J3671" s="335">
        <v>0</v>
      </c>
      <c r="K3671" s="335"/>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70</v>
      </c>
      <c r="C3672" s="10" t="s">
        <v>720</v>
      </c>
      <c r="D3672" s="10" t="s">
        <v>699</v>
      </c>
      <c r="E3672" s="11" t="str">
        <f t="array" ref="E3672">_xlfn.XLOOKUP(D3672,Insumos!B:B,Insumos!C:$C)</f>
        <v>KG</v>
      </c>
      <c r="F3672" s="14">
        <v>0.2</v>
      </c>
      <c r="G3672" s="87">
        <f t="array" ref="G3672">IF(B3672="insumo",_xlfn.XLOOKUP($D3672,Insumos!$B$1:$B$996,Insumos!$D$1:$D$996),"")</f>
        <v>25.11</v>
      </c>
      <c r="H3672" s="87">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70</v>
      </c>
      <c r="C3673" s="10" t="s">
        <v>720</v>
      </c>
      <c r="D3673" s="10" t="s">
        <v>721</v>
      </c>
      <c r="E3673" s="11" t="str">
        <f t="array" ref="E3673">_xlfn.XLOOKUP(D3673,Insumos!B:B,Insumos!C:$C)</f>
        <v>UN</v>
      </c>
      <c r="F3673" s="14">
        <v>1.34</v>
      </c>
      <c r="G3673" s="87">
        <f t="array" ref="G3673">IF(B3673="insumo",_xlfn.XLOOKUP($D3673,Insumos!$B$1:$B$996,Insumos!$D$1:$D$996),"")</f>
        <v>17.0928</v>
      </c>
      <c r="H3673" s="87">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336">
        <v>1</v>
      </c>
      <c r="B3674" s="336" t="s">
        <v>67</v>
      </c>
      <c r="C3674" s="336" t="s">
        <v>1824</v>
      </c>
      <c r="D3674" s="336" t="s">
        <v>1824</v>
      </c>
      <c r="E3674" s="337" t="s">
        <v>112</v>
      </c>
      <c r="F3674" s="336"/>
      <c r="G3674" s="338" t="str">
        <f t="array" ref="G3674">IF(B3674="insumo",_xlfn.XLOOKUP($D3674,Insumos!$B$1:$B$996,Insumos!$D$1:$D$996),"")</f>
        <v/>
      </c>
      <c r="H3674" s="338">
        <v>8.1190499999999997</v>
      </c>
      <c r="I3674" s="339">
        <v>0</v>
      </c>
      <c r="J3674" s="339">
        <v>0</v>
      </c>
      <c r="K3674" s="339"/>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77">
        <v>4</v>
      </c>
      <c r="B3675" s="77" t="s">
        <v>70</v>
      </c>
      <c r="C3675" s="77" t="s">
        <v>1824</v>
      </c>
      <c r="D3675" s="77" t="s">
        <v>672</v>
      </c>
      <c r="E3675" s="11" t="str">
        <f t="array" ref="E3675">_xlfn.XLOOKUP(D3675,Insumos!B:B,Insumos!C:$C)</f>
        <v>M2</v>
      </c>
      <c r="F3675" s="81">
        <v>0.11000000000000001</v>
      </c>
      <c r="G3675" s="87">
        <f t="array" ref="G3675">IF(B3675="insumo",_xlfn.XLOOKUP($D3675,Insumos!$B$1:$B$996,Insumos!$D$1:$D$996),"")</f>
        <v>44.9</v>
      </c>
      <c r="H3675" s="87">
        <v>4.9390000000000001</v>
      </c>
      <c r="I3675" s="79">
        <v>0</v>
      </c>
      <c r="J3675" s="79">
        <v>0</v>
      </c>
      <c r="K3675" s="79"/>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77">
        <v>191</v>
      </c>
      <c r="B3676" s="77" t="s">
        <v>70</v>
      </c>
      <c r="C3676" s="77" t="s">
        <v>1824</v>
      </c>
      <c r="D3676" s="77" t="s">
        <v>480</v>
      </c>
      <c r="E3676" s="11" t="str">
        <f t="array" ref="E3676">_xlfn.XLOOKUP(D3676,Insumos!B:B,Insumos!C:$C)</f>
        <v>KG</v>
      </c>
      <c r="F3676" s="81">
        <v>0.9</v>
      </c>
      <c r="G3676" s="87">
        <f t="array" ref="G3676">IF(B3676="insumo",_xlfn.XLOOKUP($D3676,Insumos!$B$1:$B$996,Insumos!$D$1:$D$996),"")</f>
        <v>1.0645</v>
      </c>
      <c r="H3676" s="87">
        <v>0.95804999999999996</v>
      </c>
      <c r="I3676" s="79">
        <v>0</v>
      </c>
      <c r="J3676" s="79">
        <v>0</v>
      </c>
      <c r="K3676" s="79"/>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77">
        <v>142</v>
      </c>
      <c r="B3677" s="77" t="s">
        <v>70</v>
      </c>
      <c r="C3677" s="77" t="s">
        <v>1824</v>
      </c>
      <c r="D3677" s="77" t="s">
        <v>505</v>
      </c>
      <c r="E3677" s="11" t="str">
        <f t="array" ref="E3677">_xlfn.XLOOKUP(D3677,Insumos!B:B,Insumos!C:$C)</f>
        <v>UN</v>
      </c>
      <c r="F3677" s="81">
        <v>0.4</v>
      </c>
      <c r="G3677" s="87">
        <f t="array" ref="G3677">IF(B3677="insumo",_xlfn.XLOOKUP($D3677,Insumos!$B$1:$B$996,Insumos!$D$1:$D$996),"")</f>
        <v>0.08</v>
      </c>
      <c r="H3677" s="87">
        <v>3.2000000000000001E-2</v>
      </c>
      <c r="I3677" s="79">
        <v>0</v>
      </c>
      <c r="J3677" s="79">
        <v>0</v>
      </c>
      <c r="K3677" s="79"/>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77">
        <v>22</v>
      </c>
      <c r="B3678" s="77" t="s">
        <v>70</v>
      </c>
      <c r="C3678" s="77" t="s">
        <v>1824</v>
      </c>
      <c r="D3678" s="77" t="s">
        <v>1765</v>
      </c>
      <c r="E3678" s="11" t="str">
        <f t="array" ref="E3678">_xlfn.XLOOKUP(D3678,Insumos!B:B,Insumos!C:$C)</f>
        <v>KG</v>
      </c>
      <c r="F3678" s="81">
        <v>0.05</v>
      </c>
      <c r="G3678" s="87">
        <f t="array" ref="G3678">IF(B3678="insumo",_xlfn.XLOOKUP($D3678,Insumos!$B$1:$B$996,Insumos!$D$1:$D$996),"")</f>
        <v>43.8</v>
      </c>
      <c r="H3678" s="87">
        <v>2.19</v>
      </c>
      <c r="I3678" s="79">
        <v>0</v>
      </c>
      <c r="J3678" s="79">
        <v>0</v>
      </c>
      <c r="K3678" s="79"/>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332">
        <v>1</v>
      </c>
      <c r="B3679" s="332" t="s">
        <v>67</v>
      </c>
      <c r="C3679" s="332" t="s">
        <v>1500</v>
      </c>
      <c r="D3679" s="332" t="s">
        <v>1500</v>
      </c>
      <c r="E3679" s="333" t="s">
        <v>112</v>
      </c>
      <c r="F3679" s="332"/>
      <c r="G3679" s="334" t="str">
        <f t="array" ref="G3679">IF(B3679="insumo",_xlfn.XLOOKUP($D3679,Insumos!$B$1:$B$996,Insumos!$D$1:$D$996),"")</f>
        <v/>
      </c>
      <c r="H3679" s="334">
        <v>10.114274999999999</v>
      </c>
      <c r="I3679" s="335" t="e">
        <v>#REF!</v>
      </c>
      <c r="J3679" s="335" t="e">
        <v>#REF!</v>
      </c>
      <c r="K3679" s="335"/>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70</v>
      </c>
      <c r="C3680" s="10" t="s">
        <v>1500</v>
      </c>
      <c r="D3680" s="10" t="s">
        <v>504</v>
      </c>
      <c r="E3680" s="11" t="str">
        <f t="array" ref="E3680">_xlfn.XLOOKUP(D3680,Insumos!B:B,Insumos!C:$C)</f>
        <v>M2</v>
      </c>
      <c r="F3680" s="14">
        <v>0.16500000000000001</v>
      </c>
      <c r="G3680" s="87">
        <f t="array" ref="G3680">IF(B3680="insumo",_xlfn.XLOOKUP($D3680,Insumos!$B$1:$B$996,Insumos!$D$1:$D$996),"")</f>
        <v>47.23</v>
      </c>
      <c r="H3680" s="87">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70</v>
      </c>
      <c r="C3681" s="10" t="s">
        <v>1500</v>
      </c>
      <c r="D3681" s="10" t="s">
        <v>480</v>
      </c>
      <c r="E3681" s="11" t="str">
        <f t="array" ref="E3681">_xlfn.XLOOKUP(D3681,Insumos!B:B,Insumos!C:$C)</f>
        <v>KG</v>
      </c>
      <c r="F3681" s="14">
        <v>1.3499999999999999</v>
      </c>
      <c r="G3681" s="87">
        <f t="array" ref="G3681">IF(B3681="insumo",_xlfn.XLOOKUP($D3681,Insumos!$B$1:$B$996,Insumos!$D$1:$D$996),"")</f>
        <v>1.0645</v>
      </c>
      <c r="H3681" s="87">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70</v>
      </c>
      <c r="C3682" s="10" t="s">
        <v>1500</v>
      </c>
      <c r="D3682" s="10" t="s">
        <v>505</v>
      </c>
      <c r="E3682" s="11" t="str">
        <f t="array" ref="E3682">_xlfn.XLOOKUP(D3682,Insumos!B:B,Insumos!C:$C)</f>
        <v>UN</v>
      </c>
      <c r="F3682" s="14">
        <v>0.6</v>
      </c>
      <c r="G3682" s="87">
        <f t="array" ref="G3682">IF(B3682="insumo",_xlfn.XLOOKUP($D3682,Insumos!$B$1:$B$996,Insumos!$D$1:$D$996),"")</f>
        <v>0.08</v>
      </c>
      <c r="H3682" s="87">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70</v>
      </c>
      <c r="C3683" s="10" t="s">
        <v>1500</v>
      </c>
      <c r="D3683" s="10" t="s">
        <v>506</v>
      </c>
      <c r="E3683" s="11" t="str">
        <f t="array" ref="E3683">_xlfn.XLOOKUP(D3683,Insumos!B:B,Insumos!C:$C)</f>
        <v>KG</v>
      </c>
      <c r="F3683" s="14">
        <v>7.4999999999999997E-2</v>
      </c>
      <c r="G3683" s="87">
        <f t="array" ref="G3683">IF(B3683="insumo",_xlfn.XLOOKUP($D3683,Insumos!$B$1:$B$996,Insumos!$D$1:$D$996),"")</f>
        <v>11.15</v>
      </c>
      <c r="H3683" s="87">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336">
        <v>1</v>
      </c>
      <c r="B3684" s="336" t="s">
        <v>67</v>
      </c>
      <c r="C3684" s="336" t="s">
        <v>1825</v>
      </c>
      <c r="D3684" s="336" t="s">
        <v>1825</v>
      </c>
      <c r="E3684" s="337" t="s">
        <v>112</v>
      </c>
      <c r="F3684" s="336"/>
      <c r="G3684" s="338" t="str">
        <f t="array" ref="G3684">IF(B3684="insumo",_xlfn.XLOOKUP($D3684,Insumos!$B$1:$B$996,Insumos!$D$1:$D$996),"")</f>
        <v/>
      </c>
      <c r="H3684" s="338">
        <v>22.48705</v>
      </c>
      <c r="I3684" s="339">
        <v>0</v>
      </c>
      <c r="J3684" s="339">
        <v>0</v>
      </c>
      <c r="K3684" s="339"/>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77">
        <v>4</v>
      </c>
      <c r="B3685" s="77" t="s">
        <v>70</v>
      </c>
      <c r="C3685" s="77" t="s">
        <v>1825</v>
      </c>
      <c r="D3685" s="77" t="s">
        <v>672</v>
      </c>
      <c r="E3685" s="11" t="str">
        <f t="array" ref="E3685">_xlfn.XLOOKUP(D3685,Insumos!B:B,Insumos!C:$C)</f>
        <v>M2</v>
      </c>
      <c r="F3685" s="81">
        <f>1*0.43</f>
        <v>0.43</v>
      </c>
      <c r="G3685" s="87">
        <f t="array" ref="G3685">IF(B3685="insumo",_xlfn.XLOOKUP($D3685,Insumos!$B$1:$B$996,Insumos!$D$1:$D$996),"")</f>
        <v>44.9</v>
      </c>
      <c r="H3685" s="87">
        <v>19.306999999999999</v>
      </c>
      <c r="I3685" s="79">
        <v>0</v>
      </c>
      <c r="J3685" s="79">
        <v>0</v>
      </c>
      <c r="K3685" s="79"/>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77">
        <v>191</v>
      </c>
      <c r="B3686" s="77" t="s">
        <v>70</v>
      </c>
      <c r="C3686" s="77" t="s">
        <v>1825</v>
      </c>
      <c r="D3686" s="77" t="s">
        <v>480</v>
      </c>
      <c r="E3686" s="11" t="str">
        <f t="array" ref="E3686">_xlfn.XLOOKUP(D3686,Insumos!B:B,Insumos!C:$C)</f>
        <v>KG</v>
      </c>
      <c r="F3686" s="81">
        <v>0.9</v>
      </c>
      <c r="G3686" s="87">
        <f t="array" ref="G3686">IF(B3686="insumo",_xlfn.XLOOKUP($D3686,Insumos!$B$1:$B$996,Insumos!$D$1:$D$996),"")</f>
        <v>1.0645</v>
      </c>
      <c r="H3686" s="87">
        <v>0.95804999999999996</v>
      </c>
      <c r="I3686" s="79">
        <v>0</v>
      </c>
      <c r="J3686" s="79">
        <v>0</v>
      </c>
      <c r="K3686" s="79"/>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77">
        <v>142</v>
      </c>
      <c r="B3687" s="77" t="s">
        <v>70</v>
      </c>
      <c r="C3687" s="77" t="s">
        <v>1825</v>
      </c>
      <c r="D3687" s="77" t="s">
        <v>505</v>
      </c>
      <c r="E3687" s="11" t="str">
        <f t="array" ref="E3687">_xlfn.XLOOKUP(D3687,Insumos!B:B,Insumos!C:$C)</f>
        <v>UN</v>
      </c>
      <c r="F3687" s="81">
        <v>0.4</v>
      </c>
      <c r="G3687" s="87">
        <f t="array" ref="G3687">IF(B3687="insumo",_xlfn.XLOOKUP($D3687,Insumos!$B$1:$B$996,Insumos!$D$1:$D$996),"")</f>
        <v>0.08</v>
      </c>
      <c r="H3687" s="87">
        <v>3.2000000000000001E-2</v>
      </c>
      <c r="I3687" s="79">
        <v>0</v>
      </c>
      <c r="J3687" s="79">
        <v>0</v>
      </c>
      <c r="K3687" s="79"/>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77">
        <v>22</v>
      </c>
      <c r="B3688" s="77" t="s">
        <v>70</v>
      </c>
      <c r="C3688" s="77" t="s">
        <v>1825</v>
      </c>
      <c r="D3688" s="77" t="s">
        <v>1765</v>
      </c>
      <c r="E3688" s="11" t="str">
        <f t="array" ref="E3688">_xlfn.XLOOKUP(D3688,Insumos!B:B,Insumos!C:$C)</f>
        <v>KG</v>
      </c>
      <c r="F3688" s="81">
        <v>0.05</v>
      </c>
      <c r="G3688" s="87">
        <f t="array" ref="G3688">IF(B3688="insumo",_xlfn.XLOOKUP($D3688,Insumos!$B$1:$B$996,Insumos!$D$1:$D$996),"")</f>
        <v>43.8</v>
      </c>
      <c r="H3688" s="87">
        <v>2.19</v>
      </c>
      <c r="I3688" s="79">
        <v>0</v>
      </c>
      <c r="J3688" s="79">
        <v>0</v>
      </c>
      <c r="K3688" s="79"/>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332">
        <v>1</v>
      </c>
      <c r="B3689" s="332" t="s">
        <v>67</v>
      </c>
      <c r="C3689" s="332" t="s">
        <v>722</v>
      </c>
      <c r="D3689" s="332" t="s">
        <v>722</v>
      </c>
      <c r="E3689" s="333" t="s">
        <v>112</v>
      </c>
      <c r="F3689" s="332"/>
      <c r="G3689" s="334" t="str">
        <f t="array" ref="G3689">IF(B3689="insumo",_xlfn.XLOOKUP($D3689,Insumos!$B$1:$B$996,Insumos!$D$1:$D$996),"")</f>
        <v/>
      </c>
      <c r="H3689" s="334">
        <v>10.567550000000001</v>
      </c>
      <c r="I3689" s="335">
        <v>0</v>
      </c>
      <c r="J3689" s="335">
        <v>0</v>
      </c>
      <c r="K3689" s="335"/>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70</v>
      </c>
      <c r="C3690" s="10" t="s">
        <v>722</v>
      </c>
      <c r="D3690" s="10" t="s">
        <v>662</v>
      </c>
      <c r="E3690" s="11" t="str">
        <f t="array" ref="E3690">_xlfn.XLOOKUP(D3690,Insumos!B:B,Insumos!C:$C)</f>
        <v>M2</v>
      </c>
      <c r="F3690" s="14">
        <v>0.11000000000000001</v>
      </c>
      <c r="G3690" s="87">
        <f t="array" ref="G3690">IF(B3690="insumo",_xlfn.XLOOKUP($D3690,Insumos!$B$1:$B$996,Insumos!$D$1:$D$996),"")</f>
        <v>82</v>
      </c>
      <c r="H3690" s="87">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70</v>
      </c>
      <c r="C3691" s="10" t="s">
        <v>722</v>
      </c>
      <c r="D3691" s="10" t="s">
        <v>480</v>
      </c>
      <c r="E3691" s="11" t="str">
        <f t="array" ref="E3691">_xlfn.XLOOKUP(D3691,Insumos!B:B,Insumos!C:$C)</f>
        <v>KG</v>
      </c>
      <c r="F3691" s="14">
        <v>0.9</v>
      </c>
      <c r="G3691" s="87">
        <f t="array" ref="G3691">IF(B3691="insumo",_xlfn.XLOOKUP($D3691,Insumos!$B$1:$B$996,Insumos!$D$1:$D$996),"")</f>
        <v>1.0645</v>
      </c>
      <c r="H3691" s="87">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70</v>
      </c>
      <c r="C3692" s="10" t="s">
        <v>722</v>
      </c>
      <c r="D3692" s="10" t="s">
        <v>505</v>
      </c>
      <c r="E3692" s="11" t="str">
        <f t="array" ref="E3692">_xlfn.XLOOKUP(D3692,Insumos!B:B,Insumos!C:$C)</f>
        <v>UN</v>
      </c>
      <c r="F3692" s="14">
        <v>0.4</v>
      </c>
      <c r="G3692" s="87">
        <f t="array" ref="G3692">IF(B3692="insumo",_xlfn.XLOOKUP($D3692,Insumos!$B$1:$B$996,Insumos!$D$1:$D$996),"")</f>
        <v>0.08</v>
      </c>
      <c r="H3692" s="87">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70</v>
      </c>
      <c r="C3693" s="10" t="s">
        <v>722</v>
      </c>
      <c r="D3693" s="10" t="s">
        <v>506</v>
      </c>
      <c r="E3693" s="11" t="str">
        <f t="array" ref="E3693">_xlfn.XLOOKUP(D3693,Insumos!B:B,Insumos!C:$C)</f>
        <v>KG</v>
      </c>
      <c r="F3693" s="14">
        <v>0.05</v>
      </c>
      <c r="G3693" s="87">
        <f t="array" ref="G3693">IF(B3693="insumo",_xlfn.XLOOKUP($D3693,Insumos!$B$1:$B$996,Insumos!$D$1:$D$996),"")</f>
        <v>11.15</v>
      </c>
      <c r="H3693" s="87">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332">
        <v>1</v>
      </c>
      <c r="B3694" s="332" t="s">
        <v>67</v>
      </c>
      <c r="C3694" s="332" t="s">
        <v>723</v>
      </c>
      <c r="D3694" s="332" t="s">
        <v>723</v>
      </c>
      <c r="E3694" s="333" t="s">
        <v>112</v>
      </c>
      <c r="F3694" s="332"/>
      <c r="G3694" s="334" t="str">
        <f t="array" ref="G3694">IF(B3694="insumo",_xlfn.XLOOKUP($D3694,Insumos!$B$1:$B$996,Insumos!$D$1:$D$996),"")</f>
        <v/>
      </c>
      <c r="H3694" s="334">
        <v>15.851324999999999</v>
      </c>
      <c r="I3694" s="335">
        <v>0</v>
      </c>
      <c r="J3694" s="335">
        <v>0</v>
      </c>
      <c r="K3694" s="335"/>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70</v>
      </c>
      <c r="C3695" s="10" t="s">
        <v>723</v>
      </c>
      <c r="D3695" s="10" t="s">
        <v>662</v>
      </c>
      <c r="E3695" s="11" t="str">
        <f t="array" ref="E3695">_xlfn.XLOOKUP(D3695,Insumos!B:B,Insumos!C:$C)</f>
        <v>M2</v>
      </c>
      <c r="F3695" s="14">
        <v>0.16500000000000001</v>
      </c>
      <c r="G3695" s="87">
        <f t="array" ref="G3695">IF(B3695="insumo",_xlfn.XLOOKUP($D3695,Insumos!$B$1:$B$996,Insumos!$D$1:$D$996),"")</f>
        <v>82</v>
      </c>
      <c r="H3695" s="87">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70</v>
      </c>
      <c r="C3696" s="10" t="s">
        <v>723</v>
      </c>
      <c r="D3696" s="10" t="s">
        <v>480</v>
      </c>
      <c r="E3696" s="11" t="str">
        <f t="array" ref="E3696">_xlfn.XLOOKUP(D3696,Insumos!B:B,Insumos!C:$C)</f>
        <v>KG</v>
      </c>
      <c r="F3696" s="14">
        <v>1.3499999999999999</v>
      </c>
      <c r="G3696" s="87">
        <f t="array" ref="G3696">IF(B3696="insumo",_xlfn.XLOOKUP($D3696,Insumos!$B$1:$B$996,Insumos!$D$1:$D$996),"")</f>
        <v>1.0645</v>
      </c>
      <c r="H3696" s="87">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70</v>
      </c>
      <c r="C3697" s="10" t="s">
        <v>723</v>
      </c>
      <c r="D3697" s="10" t="s">
        <v>505</v>
      </c>
      <c r="E3697" s="11" t="str">
        <f t="array" ref="E3697">_xlfn.XLOOKUP(D3697,Insumos!B:B,Insumos!C:$C)</f>
        <v>UN</v>
      </c>
      <c r="F3697" s="14">
        <v>0.6</v>
      </c>
      <c r="G3697" s="87">
        <f t="array" ref="G3697">IF(B3697="insumo",_xlfn.XLOOKUP($D3697,Insumos!$B$1:$B$996,Insumos!$D$1:$D$996),"")</f>
        <v>0.08</v>
      </c>
      <c r="H3697" s="87">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70</v>
      </c>
      <c r="C3698" s="10" t="s">
        <v>723</v>
      </c>
      <c r="D3698" s="10" t="s">
        <v>506</v>
      </c>
      <c r="E3698" s="11" t="str">
        <f t="array" ref="E3698">_xlfn.XLOOKUP(D3698,Insumos!B:B,Insumos!C:$C)</f>
        <v>KG</v>
      </c>
      <c r="F3698" s="14">
        <v>7.4999999999999997E-2</v>
      </c>
      <c r="G3698" s="87">
        <f t="array" ref="G3698">IF(B3698="insumo",_xlfn.XLOOKUP($D3698,Insumos!$B$1:$B$996,Insumos!$D$1:$D$996),"")</f>
        <v>11.15</v>
      </c>
      <c r="H3698" s="87">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336">
        <v>1</v>
      </c>
      <c r="B3699" s="336" t="s">
        <v>67</v>
      </c>
      <c r="C3699" s="336" t="s">
        <v>2583</v>
      </c>
      <c r="D3699" s="336" t="s">
        <v>2583</v>
      </c>
      <c r="E3699" s="337" t="s">
        <v>112</v>
      </c>
      <c r="F3699" s="336"/>
      <c r="G3699" s="338" t="str">
        <f t="array" ref="G3699">IF(B3699="insumo",_xlfn.XLOOKUP($D3699,Insumos!$B$1:$B$996,Insumos!$D$1:$D$996),"")</f>
        <v/>
      </c>
      <c r="H3699" s="338">
        <v>22.121324999999999</v>
      </c>
      <c r="I3699" s="339" t="e">
        <v>#REF!</v>
      </c>
      <c r="J3699" s="339" t="e">
        <v>#REF!</v>
      </c>
      <c r="K3699" s="339"/>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77">
        <v>3</v>
      </c>
      <c r="B3700" s="77" t="s">
        <v>70</v>
      </c>
      <c r="C3700" s="77" t="s">
        <v>2583</v>
      </c>
      <c r="D3700" s="77" t="s">
        <v>2379</v>
      </c>
      <c r="E3700" s="11" t="str">
        <f t="array" ref="E3700">_xlfn.XLOOKUP(D3700,Insumos!B:B,Insumos!C:$C)</f>
        <v>M2</v>
      </c>
      <c r="F3700" s="81">
        <v>0.16500000000000001</v>
      </c>
      <c r="G3700" s="87">
        <f t="array" ref="G3700">IF(B3700="insumo",_xlfn.XLOOKUP($D3700,Insumos!$B$1:$B$996,Insumos!$D$1:$D$996),"")</f>
        <v>120</v>
      </c>
      <c r="H3700" s="87">
        <v>19.8</v>
      </c>
      <c r="I3700" s="79" t="e">
        <v>#REF!</v>
      </c>
      <c r="J3700" s="79" t="e">
        <v>#REF!</v>
      </c>
      <c r="K3700" s="79"/>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77">
        <v>191</v>
      </c>
      <c r="B3701" s="77" t="s">
        <v>70</v>
      </c>
      <c r="C3701" s="77" t="s">
        <v>2583</v>
      </c>
      <c r="D3701" s="77" t="s">
        <v>480</v>
      </c>
      <c r="E3701" s="11" t="str">
        <f t="array" ref="E3701">_xlfn.XLOOKUP(D3701,Insumos!B:B,Insumos!C:$C)</f>
        <v>KG</v>
      </c>
      <c r="F3701" s="81">
        <v>1.3499999999999999</v>
      </c>
      <c r="G3701" s="87">
        <f t="array" ref="G3701">IF(B3701="insumo",_xlfn.XLOOKUP($D3701,Insumos!$B$1:$B$996,Insumos!$D$1:$D$996),"")</f>
        <v>1.0645</v>
      </c>
      <c r="H3701" s="87">
        <v>1.4370750000000001</v>
      </c>
      <c r="I3701" s="79" t="e">
        <v>#REF!</v>
      </c>
      <c r="J3701" s="79" t="e">
        <v>#REF!</v>
      </c>
      <c r="K3701" s="79"/>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77">
        <v>142</v>
      </c>
      <c r="B3702" s="77" t="s">
        <v>70</v>
      </c>
      <c r="C3702" s="77" t="s">
        <v>2583</v>
      </c>
      <c r="D3702" s="77" t="s">
        <v>505</v>
      </c>
      <c r="E3702" s="11" t="str">
        <f t="array" ref="E3702">_xlfn.XLOOKUP(D3702,Insumos!B:B,Insumos!C:$C)</f>
        <v>UN</v>
      </c>
      <c r="F3702" s="81">
        <v>0.6</v>
      </c>
      <c r="G3702" s="87">
        <f t="array" ref="G3702">IF(B3702="insumo",_xlfn.XLOOKUP($D3702,Insumos!$B$1:$B$996,Insumos!$D$1:$D$996),"")</f>
        <v>0.08</v>
      </c>
      <c r="H3702" s="87">
        <v>4.8000000000000001E-2</v>
      </c>
      <c r="I3702" s="79" t="e">
        <v>#REF!</v>
      </c>
      <c r="J3702" s="79" t="e">
        <v>#REF!</v>
      </c>
      <c r="K3702" s="79"/>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77">
        <v>101</v>
      </c>
      <c r="B3703" s="77" t="s">
        <v>70</v>
      </c>
      <c r="C3703" s="77" t="s">
        <v>2583</v>
      </c>
      <c r="D3703" s="77" t="s">
        <v>506</v>
      </c>
      <c r="E3703" s="11" t="str">
        <f t="array" ref="E3703">_xlfn.XLOOKUP(D3703,Insumos!B:B,Insumos!C:$C)</f>
        <v>KG</v>
      </c>
      <c r="F3703" s="81">
        <v>7.4999999999999997E-2</v>
      </c>
      <c r="G3703" s="87">
        <f t="array" ref="G3703">IF(B3703="insumo",_xlfn.XLOOKUP($D3703,Insumos!$B$1:$B$996,Insumos!$D$1:$D$996),"")</f>
        <v>11.15</v>
      </c>
      <c r="H3703" s="87">
        <v>0.83625000000000005</v>
      </c>
      <c r="I3703" s="79" t="e">
        <v>#REF!</v>
      </c>
      <c r="J3703" s="79" t="e">
        <v>#REF!</v>
      </c>
      <c r="K3703" s="79"/>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336">
        <v>1</v>
      </c>
      <c r="B3704" s="336" t="s">
        <v>67</v>
      </c>
      <c r="C3704" s="336" t="s">
        <v>1826</v>
      </c>
      <c r="D3704" s="336" t="s">
        <v>1826</v>
      </c>
      <c r="E3704" s="337" t="s">
        <v>112</v>
      </c>
      <c r="F3704" s="336"/>
      <c r="G3704" s="338" t="str">
        <f t="array" ref="G3704">IF(B3704="insumo",_xlfn.XLOOKUP($D3704,Insumos!$B$1:$B$996,Insumos!$D$1:$D$996),"")</f>
        <v/>
      </c>
      <c r="H3704" s="338">
        <v>22.119675000000001</v>
      </c>
      <c r="I3704" s="339">
        <v>0</v>
      </c>
      <c r="J3704" s="339">
        <v>0</v>
      </c>
      <c r="K3704" s="339"/>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77">
        <v>2</v>
      </c>
      <c r="B3705" s="77" t="s">
        <v>70</v>
      </c>
      <c r="C3705" s="77" t="s">
        <v>1826</v>
      </c>
      <c r="D3705" s="77" t="s">
        <v>1736</v>
      </c>
      <c r="E3705" s="11" t="str">
        <f t="array" ref="E3705">_xlfn.XLOOKUP(D3705,Insumos!B:B,Insumos!C:$C)</f>
        <v>M2</v>
      </c>
      <c r="F3705" s="81">
        <v>0.16500000000000001</v>
      </c>
      <c r="G3705" s="87">
        <f t="array" ref="G3705">IF(B3705="insumo",_xlfn.XLOOKUP($D3705,Insumos!$B$1:$B$996,Insumos!$D$1:$D$996),"")</f>
        <v>119.99</v>
      </c>
      <c r="H3705" s="87">
        <v>19.798349999999999</v>
      </c>
      <c r="I3705" s="79">
        <v>0</v>
      </c>
      <c r="J3705" s="79">
        <v>0</v>
      </c>
      <c r="K3705" s="79"/>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77">
        <v>191</v>
      </c>
      <c r="B3706" s="77" t="s">
        <v>70</v>
      </c>
      <c r="C3706" s="77" t="s">
        <v>1826</v>
      </c>
      <c r="D3706" s="77" t="s">
        <v>480</v>
      </c>
      <c r="E3706" s="11" t="str">
        <f t="array" ref="E3706">_xlfn.XLOOKUP(D3706,Insumos!B:B,Insumos!C:$C)</f>
        <v>KG</v>
      </c>
      <c r="F3706" s="81">
        <v>1.3499999999999999</v>
      </c>
      <c r="G3706" s="87">
        <f t="array" ref="G3706">IF(B3706="insumo",_xlfn.XLOOKUP($D3706,Insumos!$B$1:$B$996,Insumos!$D$1:$D$996),"")</f>
        <v>1.0645</v>
      </c>
      <c r="H3706" s="87">
        <v>1.4370750000000001</v>
      </c>
      <c r="I3706" s="79">
        <v>0</v>
      </c>
      <c r="J3706" s="79">
        <v>0</v>
      </c>
      <c r="K3706" s="79"/>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77">
        <v>142</v>
      </c>
      <c r="B3707" s="77" t="s">
        <v>70</v>
      </c>
      <c r="C3707" s="77" t="s">
        <v>1826</v>
      </c>
      <c r="D3707" s="77" t="s">
        <v>505</v>
      </c>
      <c r="E3707" s="11" t="str">
        <f t="array" ref="E3707">_xlfn.XLOOKUP(D3707,Insumos!B:B,Insumos!C:$C)</f>
        <v>UN</v>
      </c>
      <c r="F3707" s="81">
        <v>0.6</v>
      </c>
      <c r="G3707" s="87">
        <f t="array" ref="G3707">IF(B3707="insumo",_xlfn.XLOOKUP($D3707,Insumos!$B$1:$B$996,Insumos!$D$1:$D$996),"")</f>
        <v>0.08</v>
      </c>
      <c r="H3707" s="87">
        <v>4.8000000000000001E-2</v>
      </c>
      <c r="I3707" s="79">
        <v>0</v>
      </c>
      <c r="J3707" s="79">
        <v>0</v>
      </c>
      <c r="K3707" s="79"/>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77">
        <v>101</v>
      </c>
      <c r="B3708" s="77" t="s">
        <v>70</v>
      </c>
      <c r="C3708" s="77" t="s">
        <v>1826</v>
      </c>
      <c r="D3708" s="77" t="s">
        <v>506</v>
      </c>
      <c r="E3708" s="11" t="str">
        <f t="array" ref="E3708">_xlfn.XLOOKUP(D3708,Insumos!B:B,Insumos!C:$C)</f>
        <v>KG</v>
      </c>
      <c r="F3708" s="81">
        <v>7.4999999999999997E-2</v>
      </c>
      <c r="G3708" s="87">
        <f t="array" ref="G3708">IF(B3708="insumo",_xlfn.XLOOKUP($D3708,Insumos!$B$1:$B$996,Insumos!$D$1:$D$996),"")</f>
        <v>11.15</v>
      </c>
      <c r="H3708" s="87">
        <v>0.83625000000000005</v>
      </c>
      <c r="I3708" s="79">
        <v>0</v>
      </c>
      <c r="J3708" s="79">
        <v>0</v>
      </c>
      <c r="K3708" s="79"/>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332">
        <v>1</v>
      </c>
      <c r="B3709" s="332" t="s">
        <v>67</v>
      </c>
      <c r="C3709" s="332" t="s">
        <v>724</v>
      </c>
      <c r="D3709" s="332" t="s">
        <v>724</v>
      </c>
      <c r="E3709" s="333" t="s">
        <v>112</v>
      </c>
      <c r="F3709" s="332"/>
      <c r="G3709" s="334" t="str">
        <f t="array" ref="G3709">IF(B3709="insumo",_xlfn.XLOOKUP($D3709,Insumos!$B$1:$B$996,Insumos!$D$1:$D$996),"")</f>
        <v/>
      </c>
      <c r="H3709" s="334">
        <v>17.436457499999999</v>
      </c>
      <c r="I3709" s="335">
        <v>0</v>
      </c>
      <c r="J3709" s="335">
        <v>0</v>
      </c>
      <c r="K3709" s="335"/>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70</v>
      </c>
      <c r="C3710" s="10" t="s">
        <v>724</v>
      </c>
      <c r="D3710" s="10" t="s">
        <v>662</v>
      </c>
      <c r="E3710" s="11" t="str">
        <f t="array" ref="E3710">_xlfn.XLOOKUP(D3710,Insumos!B:B,Insumos!C:$C)</f>
        <v>M2</v>
      </c>
      <c r="F3710" s="14">
        <v>0.18150000000000002</v>
      </c>
      <c r="G3710" s="87">
        <f t="array" ref="G3710">IF(B3710="insumo",_xlfn.XLOOKUP($D3710,Insumos!$B$1:$B$996,Insumos!$D$1:$D$996),"")</f>
        <v>82</v>
      </c>
      <c r="H3710" s="87">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70</v>
      </c>
      <c r="C3711" s="10" t="s">
        <v>724</v>
      </c>
      <c r="D3711" s="10" t="s">
        <v>480</v>
      </c>
      <c r="E3711" s="11" t="str">
        <f t="array" ref="E3711">_xlfn.XLOOKUP(D3711,Insumos!B:B,Insumos!C:$C)</f>
        <v>KG</v>
      </c>
      <c r="F3711" s="14">
        <v>1.4850000000000001</v>
      </c>
      <c r="G3711" s="87">
        <f t="array" ref="G3711">IF(B3711="insumo",_xlfn.XLOOKUP($D3711,Insumos!$B$1:$B$996,Insumos!$D$1:$D$996),"")</f>
        <v>1.0645</v>
      </c>
      <c r="H3711" s="87">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70</v>
      </c>
      <c r="C3712" s="10" t="s">
        <v>724</v>
      </c>
      <c r="D3712" s="10" t="s">
        <v>505</v>
      </c>
      <c r="E3712" s="11" t="str">
        <f t="array" ref="E3712">_xlfn.XLOOKUP(D3712,Insumos!B:B,Insumos!C:$C)</f>
        <v>UN</v>
      </c>
      <c r="F3712" s="14">
        <v>0.66</v>
      </c>
      <c r="G3712" s="87">
        <f t="array" ref="G3712">IF(B3712="insumo",_xlfn.XLOOKUP($D3712,Insumos!$B$1:$B$996,Insumos!$D$1:$D$996),"")</f>
        <v>0.08</v>
      </c>
      <c r="H3712" s="87">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70</v>
      </c>
      <c r="C3713" s="10" t="s">
        <v>724</v>
      </c>
      <c r="D3713" s="10" t="s">
        <v>506</v>
      </c>
      <c r="E3713" s="11" t="str">
        <f t="array" ref="E3713">_xlfn.XLOOKUP(D3713,Insumos!B:B,Insumos!C:$C)</f>
        <v>KG</v>
      </c>
      <c r="F3713" s="14">
        <v>8.2500000000000004E-2</v>
      </c>
      <c r="G3713" s="87">
        <f t="array" ref="G3713">IF(B3713="insumo",_xlfn.XLOOKUP($D3713,Insumos!$B$1:$B$996,Insumos!$D$1:$D$996),"")</f>
        <v>11.15</v>
      </c>
      <c r="H3713" s="87">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355">
        <v>1</v>
      </c>
      <c r="B3714" s="355" t="s">
        <v>1227</v>
      </c>
      <c r="C3714" s="355" t="s">
        <v>724</v>
      </c>
      <c r="D3714" s="355" t="s">
        <v>1448</v>
      </c>
      <c r="E3714" s="356"/>
      <c r="F3714" s="357"/>
      <c r="G3714" s="356"/>
      <c r="H3714" s="356">
        <v>0</v>
      </c>
      <c r="I3714" s="357">
        <v>0</v>
      </c>
      <c r="J3714" s="357">
        <v>0</v>
      </c>
      <c r="K3714" s="357"/>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332">
        <v>1</v>
      </c>
      <c r="B3715" s="332" t="s">
        <v>67</v>
      </c>
      <c r="C3715" s="332" t="s">
        <v>639</v>
      </c>
      <c r="D3715" s="332" t="s">
        <v>639</v>
      </c>
      <c r="E3715" s="333" t="s">
        <v>112</v>
      </c>
      <c r="F3715" s="332"/>
      <c r="G3715" s="334" t="str">
        <f t="array" ref="G3715">IF(B3715="insumo",_xlfn.XLOOKUP($D3715,Insumos!$B$1:$B$996,Insumos!$D$1:$D$996),"")</f>
        <v/>
      </c>
      <c r="H3715" s="334">
        <v>133.333333333333</v>
      </c>
      <c r="I3715" s="335">
        <v>0</v>
      </c>
      <c r="J3715" s="335">
        <v>0</v>
      </c>
      <c r="K3715" s="335"/>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70</v>
      </c>
      <c r="C3716" s="10" t="s">
        <v>639</v>
      </c>
      <c r="D3716" s="10" t="s">
        <v>639</v>
      </c>
      <c r="E3716" s="11" t="str">
        <f t="array" ref="E3716">_xlfn.XLOOKUP(D3716,Insumos!B:B,Insumos!C:$C)</f>
        <v>M</v>
      </c>
      <c r="F3716" s="14">
        <v>1</v>
      </c>
      <c r="G3716" s="87">
        <f t="array" ref="G3716">IF(B3716="insumo",_xlfn.XLOOKUP($D3716,Insumos!$B$1:$B$996,Insumos!$D$1:$D$996),"")</f>
        <v>133.33333333333334</v>
      </c>
      <c r="H3716" s="87">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332">
        <v>1</v>
      </c>
      <c r="B3717" s="332" t="s">
        <v>67</v>
      </c>
      <c r="C3717" s="332" t="s">
        <v>640</v>
      </c>
      <c r="D3717" s="332" t="s">
        <v>640</v>
      </c>
      <c r="E3717" s="333" t="s">
        <v>641</v>
      </c>
      <c r="F3717" s="332"/>
      <c r="G3717" s="334" t="str">
        <f t="array" ref="G3717">IF(B3717="insumo",_xlfn.XLOOKUP($D3717,Insumos!$B$1:$B$996,Insumos!$D$1:$D$996),"")</f>
        <v/>
      </c>
      <c r="H3717" s="334">
        <v>133.333333333333</v>
      </c>
      <c r="I3717" s="335">
        <v>0</v>
      </c>
      <c r="J3717" s="335">
        <v>0</v>
      </c>
      <c r="K3717" s="335"/>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70</v>
      </c>
      <c r="C3718" s="10" t="s">
        <v>640</v>
      </c>
      <c r="D3718" s="10" t="s">
        <v>640</v>
      </c>
      <c r="E3718" s="11" t="str">
        <f t="array" ref="E3718">_xlfn.XLOOKUP(D3718,Insumos!B:B,Insumos!C:$C)</f>
        <v>M2</v>
      </c>
      <c r="F3718" s="14">
        <f>1*0.07</f>
        <v>7.0000000000000007E-2</v>
      </c>
      <c r="G3718" s="87">
        <f t="array" ref="G3718">IF(B3718="insumo",_xlfn.XLOOKUP($D3718,Insumos!$B$1:$B$996,Insumos!$D$1:$D$996),"")</f>
        <v>1904.7619047619048</v>
      </c>
      <c r="H3718" s="87">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332">
        <v>1</v>
      </c>
      <c r="B3719" s="332" t="s">
        <v>67</v>
      </c>
      <c r="C3719" s="332" t="s">
        <v>725</v>
      </c>
      <c r="D3719" s="332" t="s">
        <v>725</v>
      </c>
      <c r="E3719" s="333" t="s">
        <v>641</v>
      </c>
      <c r="F3719" s="332"/>
      <c r="G3719" s="334" t="str">
        <f t="array" ref="G3719">IF(B3719="insumo",_xlfn.XLOOKUP($D3719,Insumos!$B$1:$B$996,Insumos!$D$1:$D$996),"")</f>
        <v/>
      </c>
      <c r="H3719" s="334">
        <v>153.10210000000001</v>
      </c>
      <c r="I3719" s="335">
        <v>0</v>
      </c>
      <c r="J3719" s="335">
        <v>0</v>
      </c>
      <c r="K3719" s="335"/>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70</v>
      </c>
      <c r="C3720" s="10" t="s">
        <v>725</v>
      </c>
      <c r="D3720" s="10" t="s">
        <v>663</v>
      </c>
      <c r="E3720" s="11" t="str">
        <f t="array" ref="E3720">_xlfn.XLOOKUP(D3720,Insumos!B:B,Insumos!C:$C)</f>
        <v>M2</v>
      </c>
      <c r="F3720" s="14">
        <f>1.05</f>
        <v>1.05</v>
      </c>
      <c r="G3720" s="87">
        <f t="array" ref="G3720">IF(B3720="insumo",_xlfn.XLOOKUP($D3720,Insumos!$B$1:$B$996,Insumos!$D$1:$D$996),"")</f>
        <v>136.88999999999999</v>
      </c>
      <c r="H3720" s="87">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70</v>
      </c>
      <c r="C3721" s="10" t="s">
        <v>725</v>
      </c>
      <c r="D3721" s="10" t="s">
        <v>480</v>
      </c>
      <c r="E3721" s="11" t="str">
        <f t="array" ref="E3721">_xlfn.XLOOKUP(D3721,Insumos!B:B,Insumos!C:$C)</f>
        <v>KG</v>
      </c>
      <c r="F3721" s="14">
        <v>8.8000000000000007</v>
      </c>
      <c r="G3721" s="87">
        <f t="array" ref="G3721">IF(B3721="insumo",_xlfn.XLOOKUP($D3721,Insumos!$B$1:$B$996,Insumos!$D$1:$D$996),"")</f>
        <v>1.0645</v>
      </c>
      <c r="H3721" s="87">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336">
        <v>1</v>
      </c>
      <c r="B3722" s="336" t="s">
        <v>67</v>
      </c>
      <c r="C3722" s="336" t="s">
        <v>1827</v>
      </c>
      <c r="D3722" s="336" t="s">
        <v>1827</v>
      </c>
      <c r="E3722" s="337" t="s">
        <v>641</v>
      </c>
      <c r="F3722" s="336"/>
      <c r="G3722" s="338" t="str">
        <f t="array" ref="G3722">IF(B3722="insumo",_xlfn.XLOOKUP($D3722,Insumos!$B$1:$B$996,Insumos!$D$1:$D$996),"")</f>
        <v/>
      </c>
      <c r="H3722" s="338">
        <v>691.86760000000004</v>
      </c>
      <c r="I3722" s="339">
        <v>0</v>
      </c>
      <c r="J3722" s="339">
        <v>0</v>
      </c>
      <c r="K3722" s="339"/>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77">
        <v>4</v>
      </c>
      <c r="B3723" s="77" t="s">
        <v>70</v>
      </c>
      <c r="C3723" s="77" t="s">
        <v>1827</v>
      </c>
      <c r="D3723" s="77" t="s">
        <v>1779</v>
      </c>
      <c r="E3723" s="11" t="str">
        <f t="array" ref="E3723">_xlfn.XLOOKUP(D3723,Insumos!B:B,Insumos!C:$C)</f>
        <v>M2</v>
      </c>
      <c r="F3723" s="81">
        <f>1.05</f>
        <v>1.05</v>
      </c>
      <c r="G3723" s="87">
        <f t="array" ref="G3723">IF(B3723="insumo",_xlfn.XLOOKUP($D3723,Insumos!$B$1:$B$996,Insumos!$D$1:$D$996),"")</f>
        <v>650</v>
      </c>
      <c r="H3723" s="87">
        <v>682.5</v>
      </c>
      <c r="I3723" s="79">
        <v>0</v>
      </c>
      <c r="J3723" s="79">
        <v>0</v>
      </c>
      <c r="K3723" s="79"/>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77">
        <v>191</v>
      </c>
      <c r="B3724" s="77" t="s">
        <v>70</v>
      </c>
      <c r="C3724" s="77" t="s">
        <v>1827</v>
      </c>
      <c r="D3724" s="77" t="s">
        <v>480</v>
      </c>
      <c r="E3724" s="11" t="str">
        <f t="array" ref="E3724">_xlfn.XLOOKUP(D3724,Insumos!B:B,Insumos!C:$C)</f>
        <v>KG</v>
      </c>
      <c r="F3724" s="81">
        <v>8.8000000000000007</v>
      </c>
      <c r="G3724" s="87">
        <f t="array" ref="G3724">IF(B3724="insumo",_xlfn.XLOOKUP($D3724,Insumos!$B$1:$B$996,Insumos!$D$1:$D$996),"")</f>
        <v>1.0645</v>
      </c>
      <c r="H3724" s="87">
        <v>9.3675999999999995</v>
      </c>
      <c r="I3724" s="79">
        <v>0</v>
      </c>
      <c r="J3724" s="79">
        <v>0</v>
      </c>
      <c r="K3724" s="79"/>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332">
        <v>1</v>
      </c>
      <c r="B3725" s="332" t="s">
        <v>67</v>
      </c>
      <c r="C3725" s="332" t="s">
        <v>1507</v>
      </c>
      <c r="D3725" s="332" t="s">
        <v>1507</v>
      </c>
      <c r="E3725" s="333" t="s">
        <v>641</v>
      </c>
      <c r="F3725" s="332"/>
      <c r="G3725" s="334" t="str">
        <f t="array" ref="G3725">IF(B3725="insumo",_xlfn.XLOOKUP($D3725,Insumos!$B$1:$B$996,Insumos!$D$1:$D$996),"")</f>
        <v/>
      </c>
      <c r="H3725" s="334">
        <v>691.86760000000004</v>
      </c>
      <c r="I3725" s="335">
        <v>0</v>
      </c>
      <c r="J3725" s="335">
        <v>0</v>
      </c>
      <c r="K3725" s="335"/>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70</v>
      </c>
      <c r="C3726" s="10" t="s">
        <v>1507</v>
      </c>
      <c r="D3726" s="10" t="s">
        <v>1419</v>
      </c>
      <c r="E3726" s="11" t="str">
        <f t="array" ref="E3726">_xlfn.XLOOKUP(D3726,Insumos!B:B,Insumos!C:$C)</f>
        <v>M2</v>
      </c>
      <c r="F3726" s="14">
        <f>1.05</f>
        <v>1.05</v>
      </c>
      <c r="G3726" s="87">
        <f t="array" ref="G3726">IF(B3726="insumo",_xlfn.XLOOKUP($D3726,Insumos!$B$1:$B$996,Insumos!$D$1:$D$996),"")</f>
        <v>650</v>
      </c>
      <c r="H3726" s="87">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70</v>
      </c>
      <c r="C3727" s="10" t="s">
        <v>1507</v>
      </c>
      <c r="D3727" s="10" t="s">
        <v>480</v>
      </c>
      <c r="E3727" s="11" t="str">
        <f t="array" ref="E3727">_xlfn.XLOOKUP(D3727,Insumos!B:B,Insumos!C:$C)</f>
        <v>KG</v>
      </c>
      <c r="F3727" s="14">
        <v>8.8000000000000007</v>
      </c>
      <c r="G3727" s="87">
        <f t="array" ref="G3727">IF(B3727="insumo",_xlfn.XLOOKUP($D3727,Insumos!$B$1:$B$996,Insumos!$D$1:$D$996),"")</f>
        <v>1.0645</v>
      </c>
      <c r="H3727" s="87">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332">
        <v>1</v>
      </c>
      <c r="B3728" s="332" t="s">
        <v>67</v>
      </c>
      <c r="C3728" s="332" t="s">
        <v>1508</v>
      </c>
      <c r="D3728" s="332" t="s">
        <v>1508</v>
      </c>
      <c r="E3728" s="333" t="s">
        <v>641</v>
      </c>
      <c r="F3728" s="332"/>
      <c r="G3728" s="334" t="str">
        <f t="array" ref="G3728">IF(B3728="insumo",_xlfn.XLOOKUP($D3728,Insumos!$B$1:$B$996,Insumos!$D$1:$D$996),"")</f>
        <v/>
      </c>
      <c r="H3728" s="334">
        <v>1951.8676</v>
      </c>
      <c r="I3728" s="335">
        <v>0</v>
      </c>
      <c r="J3728" s="335">
        <v>0</v>
      </c>
      <c r="K3728" s="335"/>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70</v>
      </c>
      <c r="C3729" s="10" t="s">
        <v>1508</v>
      </c>
      <c r="D3729" s="10" t="s">
        <v>1509</v>
      </c>
      <c r="E3729" s="11" t="str">
        <f t="array" ref="E3729">_xlfn.XLOOKUP(D3729,Insumos!B:B,Insumos!C:$C)</f>
        <v>M2</v>
      </c>
      <c r="F3729" s="14">
        <f>1.05</f>
        <v>1.05</v>
      </c>
      <c r="G3729" s="87">
        <f t="array" ref="G3729">IF(B3729="insumo",_xlfn.XLOOKUP($D3729,Insumos!$B$1:$B$996,Insumos!$D$1:$D$996),"")</f>
        <v>1850</v>
      </c>
      <c r="H3729" s="87">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70</v>
      </c>
      <c r="C3730" s="10" t="s">
        <v>1508</v>
      </c>
      <c r="D3730" s="10" t="s">
        <v>480</v>
      </c>
      <c r="E3730" s="11" t="str">
        <f t="array" ref="E3730">_xlfn.XLOOKUP(D3730,Insumos!B:B,Insumos!C:$C)</f>
        <v>KG</v>
      </c>
      <c r="F3730" s="14">
        <v>8.8000000000000007</v>
      </c>
      <c r="G3730" s="87">
        <f t="array" ref="G3730">IF(B3730="insumo",_xlfn.XLOOKUP($D3730,Insumos!$B$1:$B$996,Insumos!$D$1:$D$996),"")</f>
        <v>1.0645</v>
      </c>
      <c r="H3730" s="87">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355">
        <v>1</v>
      </c>
      <c r="B3731" s="355" t="s">
        <v>1227</v>
      </c>
      <c r="C3731" s="355" t="s">
        <v>1508</v>
      </c>
      <c r="D3731" s="355" t="s">
        <v>1449</v>
      </c>
      <c r="E3731" s="356"/>
      <c r="F3731" s="357"/>
      <c r="G3731" s="356"/>
      <c r="H3731" s="356">
        <v>0</v>
      </c>
      <c r="I3731" s="357">
        <v>0</v>
      </c>
      <c r="J3731" s="357">
        <v>0</v>
      </c>
      <c r="K3731" s="357"/>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332">
        <v>1</v>
      </c>
      <c r="B3732" s="332" t="s">
        <v>67</v>
      </c>
      <c r="C3732" s="332" t="s">
        <v>726</v>
      </c>
      <c r="D3732" s="332" t="s">
        <v>726</v>
      </c>
      <c r="E3732" s="333" t="s">
        <v>69</v>
      </c>
      <c r="F3732" s="332"/>
      <c r="G3732" s="334" t="str">
        <f t="array" ref="G3732">IF(B3732="insumo",_xlfn.XLOOKUP($D3732,Insumos!$B$1:$B$996,Insumos!$D$1:$D$996),"")</f>
        <v/>
      </c>
      <c r="H3732" s="334">
        <v>91.883685999999997</v>
      </c>
      <c r="I3732" s="335">
        <v>0</v>
      </c>
      <c r="J3732" s="335">
        <v>0</v>
      </c>
      <c r="K3732" s="335"/>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70</v>
      </c>
      <c r="C3733" s="10" t="s">
        <v>726</v>
      </c>
      <c r="D3733" s="10" t="s">
        <v>727</v>
      </c>
      <c r="E3733" s="11" t="str">
        <f t="array" ref="E3733">_xlfn.XLOOKUP(D3733,Insumos!B:B,Insumos!C:$C)</f>
        <v>M2</v>
      </c>
      <c r="F3733" s="14">
        <v>1.05</v>
      </c>
      <c r="G3733" s="87">
        <f t="array" ref="G3733">IF(B3733="insumo",_xlfn.XLOOKUP($D3733,Insumos!$B$1:$B$996,Insumos!$D$1:$D$996),"")</f>
        <v>79</v>
      </c>
      <c r="H3733" s="87">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70</v>
      </c>
      <c r="C3734" s="10" t="s">
        <v>726</v>
      </c>
      <c r="D3734" s="10" t="s">
        <v>728</v>
      </c>
      <c r="E3734" s="11" t="str">
        <f t="array" ref="E3734">_xlfn.XLOOKUP(D3734,Insumos!B:B,Insumos!C:$C)</f>
        <v>M3</v>
      </c>
      <c r="F3734" s="14">
        <v>6.6E-3</v>
      </c>
      <c r="G3734" s="87">
        <f t="array" ref="G3734">IF(B3734="insumo",_xlfn.XLOOKUP($D3734,Insumos!$B$1:$B$996,Insumos!$D$1:$D$996),"")</f>
        <v>105.71</v>
      </c>
      <c r="H3734" s="87">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70</v>
      </c>
      <c r="C3735" s="10" t="s">
        <v>726</v>
      </c>
      <c r="D3735" s="10" t="s">
        <v>442</v>
      </c>
      <c r="E3735" s="11" t="str">
        <f t="array" ref="E3735">_xlfn.XLOOKUP(D3735,Insumos!B:B,Insumos!C:$C)</f>
        <v>M3</v>
      </c>
      <c r="F3735" s="14">
        <v>5.6800000000000003E-2</v>
      </c>
      <c r="G3735" s="87">
        <f t="array" ref="G3735">IF(B3735="insumo",_xlfn.XLOOKUP($D3735,Insumos!$B$1:$B$996,Insumos!$D$1:$D$996),"")</f>
        <v>145</v>
      </c>
      <c r="H3735" s="87">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332">
        <v>1</v>
      </c>
      <c r="B3736" s="332" t="s">
        <v>67</v>
      </c>
      <c r="C3736" s="332" t="s">
        <v>729</v>
      </c>
      <c r="D3736" s="332" t="s">
        <v>729</v>
      </c>
      <c r="E3736" s="333" t="s">
        <v>69</v>
      </c>
      <c r="F3736" s="332"/>
      <c r="G3736" s="334" t="str">
        <f t="array" ref="G3736">IF(B3736="insumo",_xlfn.XLOOKUP($D3736,Insumos!$B$1:$B$996,Insumos!$D$1:$D$996),"")</f>
        <v/>
      </c>
      <c r="H3736" s="334">
        <v>138.044797111111</v>
      </c>
      <c r="I3736" s="335">
        <v>0</v>
      </c>
      <c r="J3736" s="335">
        <v>0</v>
      </c>
      <c r="K3736" s="335"/>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70</v>
      </c>
      <c r="C3737" s="10" t="s">
        <v>729</v>
      </c>
      <c r="D3737" s="10" t="s">
        <v>730</v>
      </c>
      <c r="E3737" s="11" t="str">
        <f t="array" ref="E3737">_xlfn.XLOOKUP(D3737,Insumos!B:B,Insumos!C:$C)</f>
        <v>M2</v>
      </c>
      <c r="F3737" s="14">
        <v>1.05</v>
      </c>
      <c r="G3737" s="87">
        <f t="array" ref="G3737">IF(B3737="insumo",_xlfn.XLOOKUP($D3737,Insumos!$B$1:$B$996,Insumos!$D$1:$D$996),"")</f>
        <v>122.96296296296295</v>
      </c>
      <c r="H3737" s="87">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70</v>
      </c>
      <c r="C3738" s="10" t="s">
        <v>729</v>
      </c>
      <c r="D3738" s="10" t="s">
        <v>728</v>
      </c>
      <c r="E3738" s="11" t="str">
        <f t="array" ref="E3738">_xlfn.XLOOKUP(D3738,Insumos!B:B,Insumos!C:$C)</f>
        <v>M3</v>
      </c>
      <c r="F3738" s="14">
        <v>6.6E-3</v>
      </c>
      <c r="G3738" s="87">
        <f t="array" ref="G3738">IF(B3738="insumo",_xlfn.XLOOKUP($D3738,Insumos!$B$1:$B$996,Insumos!$D$1:$D$996),"")</f>
        <v>105.71</v>
      </c>
      <c r="H3738" s="87">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70</v>
      </c>
      <c r="C3739" s="10" t="s">
        <v>729</v>
      </c>
      <c r="D3739" s="10" t="s">
        <v>442</v>
      </c>
      <c r="E3739" s="11" t="str">
        <f t="array" ref="E3739">_xlfn.XLOOKUP(D3739,Insumos!B:B,Insumos!C:$C)</f>
        <v>M3</v>
      </c>
      <c r="F3739" s="14">
        <v>5.6800000000000003E-2</v>
      </c>
      <c r="G3739" s="87">
        <f t="array" ref="G3739">IF(B3739="insumo",_xlfn.XLOOKUP($D3739,Insumos!$B$1:$B$996,Insumos!$D$1:$D$996),"")</f>
        <v>145</v>
      </c>
      <c r="H3739" s="87">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332">
        <v>1</v>
      </c>
      <c r="B3740" s="332" t="s">
        <v>67</v>
      </c>
      <c r="C3740" s="332" t="s">
        <v>731</v>
      </c>
      <c r="D3740" s="332" t="s">
        <v>731</v>
      </c>
      <c r="E3740" s="333" t="s">
        <v>69</v>
      </c>
      <c r="F3740" s="332"/>
      <c r="G3740" s="334" t="str">
        <f t="array" ref="G3740">IF(B3740="insumo",_xlfn.XLOOKUP($D3740,Insumos!$B$1:$B$996,Insumos!$D$1:$D$996),"")</f>
        <v/>
      </c>
      <c r="H3740" s="334">
        <v>78.128686000000002</v>
      </c>
      <c r="I3740" s="335">
        <v>0</v>
      </c>
      <c r="J3740" s="335">
        <v>0</v>
      </c>
      <c r="K3740" s="335"/>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70</v>
      </c>
      <c r="C3741" s="10" t="s">
        <v>731</v>
      </c>
      <c r="D3741" s="10" t="s">
        <v>732</v>
      </c>
      <c r="E3741" s="11" t="str">
        <f t="array" ref="E3741">_xlfn.XLOOKUP(D3741,Insumos!B:B,Insumos!C:$C)</f>
        <v>M2</v>
      </c>
      <c r="F3741" s="14">
        <v>1.05</v>
      </c>
      <c r="G3741" s="87">
        <f t="array" ref="G3741">IF(B3741="insumo",_xlfn.XLOOKUP($D3741,Insumos!$B$1:$B$996,Insumos!$D$1:$D$996),"")</f>
        <v>65.900000000000006</v>
      </c>
      <c r="H3741" s="87">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70</v>
      </c>
      <c r="C3742" s="10" t="s">
        <v>731</v>
      </c>
      <c r="D3742" s="10" t="s">
        <v>728</v>
      </c>
      <c r="E3742" s="11" t="str">
        <f t="array" ref="E3742">_xlfn.XLOOKUP(D3742,Insumos!B:B,Insumos!C:$C)</f>
        <v>M3</v>
      </c>
      <c r="F3742" s="14">
        <v>6.6E-3</v>
      </c>
      <c r="G3742" s="87">
        <f t="array" ref="G3742">IF(B3742="insumo",_xlfn.XLOOKUP($D3742,Insumos!$B$1:$B$996,Insumos!$D$1:$D$996),"")</f>
        <v>105.71</v>
      </c>
      <c r="H3742" s="87">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70</v>
      </c>
      <c r="C3743" s="10" t="s">
        <v>731</v>
      </c>
      <c r="D3743" s="10" t="s">
        <v>442</v>
      </c>
      <c r="E3743" s="11" t="str">
        <f t="array" ref="E3743">_xlfn.XLOOKUP(D3743,Insumos!B:B,Insumos!C:$C)</f>
        <v>M3</v>
      </c>
      <c r="F3743" s="14">
        <v>5.6800000000000003E-2</v>
      </c>
      <c r="G3743" s="87">
        <f t="array" ref="G3743">IF(B3743="insumo",_xlfn.XLOOKUP($D3743,Insumos!$B$1:$B$996,Insumos!$D$1:$D$996),"")</f>
        <v>145</v>
      </c>
      <c r="H3743" s="87">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332">
        <v>1</v>
      </c>
      <c r="B3744" s="332" t="s">
        <v>67</v>
      </c>
      <c r="C3744" s="332" t="s">
        <v>1495</v>
      </c>
      <c r="D3744" s="332" t="s">
        <v>1495</v>
      </c>
      <c r="E3744" s="333" t="s">
        <v>69</v>
      </c>
      <c r="F3744" s="332"/>
      <c r="G3744" s="334" t="str">
        <f t="array" ref="G3744">IF(B3744="insumo",_xlfn.XLOOKUP($D3744,Insumos!$B$1:$B$996,Insumos!$D$1:$D$996),"")</f>
        <v/>
      </c>
      <c r="H3744" s="334">
        <v>204.05</v>
      </c>
      <c r="I3744" s="335">
        <v>0</v>
      </c>
      <c r="J3744" s="335">
        <v>0</v>
      </c>
      <c r="K3744" s="335"/>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70</v>
      </c>
      <c r="C3745" s="10" t="s">
        <v>1495</v>
      </c>
      <c r="D3745" s="10" t="s">
        <v>1489</v>
      </c>
      <c r="E3745" s="11" t="str">
        <f t="array" ref="E3745">_xlfn.XLOOKUP(D3745,Insumos!B:B,Insumos!C:$C)</f>
        <v>M2</v>
      </c>
      <c r="F3745" s="14">
        <v>1.05</v>
      </c>
      <c r="G3745" s="87">
        <f t="array" ref="G3745">IF(B3745="insumo",_xlfn.XLOOKUP($D3745,Insumos!$B$1:$B$996,Insumos!$D$1:$D$996),"")</f>
        <v>180</v>
      </c>
      <c r="H3745" s="87">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70</v>
      </c>
      <c r="C3746" s="10" t="s">
        <v>1495</v>
      </c>
      <c r="D3746" s="10" t="s">
        <v>657</v>
      </c>
      <c r="E3746" s="11" t="str">
        <f t="array" ref="E3746">_xlfn.XLOOKUP(D3746,Insumos!B:B,Insumos!C:$C)</f>
        <v>KG</v>
      </c>
      <c r="F3746" s="14">
        <v>8.8000000000000007</v>
      </c>
      <c r="G3746" s="87">
        <f t="array" ref="G3746">IF(B3746="insumo",_xlfn.XLOOKUP($D3746,Insumos!$B$1:$B$996,Insumos!$D$1:$D$996),"")</f>
        <v>0.95</v>
      </c>
      <c r="H3746" s="87">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70</v>
      </c>
      <c r="C3747" s="10" t="s">
        <v>1495</v>
      </c>
      <c r="D3747" s="10" t="s">
        <v>506</v>
      </c>
      <c r="E3747" s="11" t="str">
        <f t="array" ref="E3747">_xlfn.XLOOKUP(D3747,Insumos!B:B,Insumos!C:$C)</f>
        <v>KG</v>
      </c>
      <c r="F3747" s="14">
        <v>0.6</v>
      </c>
      <c r="G3747" s="87">
        <f t="array" ref="G3747">IF(B3747="insumo",_xlfn.XLOOKUP($D3747,Insumos!$B$1:$B$996,Insumos!$D$1:$D$996),"")</f>
        <v>11.15</v>
      </c>
      <c r="H3747" s="87">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332">
        <v>2</v>
      </c>
      <c r="B3748" s="332" t="s">
        <v>67</v>
      </c>
      <c r="C3748" s="332" t="s">
        <v>775</v>
      </c>
      <c r="D3748" s="332" t="s">
        <v>775</v>
      </c>
      <c r="E3748" s="333" t="s">
        <v>69</v>
      </c>
      <c r="F3748" s="332"/>
      <c r="G3748" s="334" t="str">
        <f t="array" ref="G3748">IF(B3748="insumo",_xlfn.XLOOKUP($D3748,Insumos!$B$1:$B$996,Insumos!$D$1:$D$996),"")</f>
        <v/>
      </c>
      <c r="H3748" s="334">
        <v>234.38605799999999</v>
      </c>
      <c r="I3748" s="335">
        <v>0</v>
      </c>
      <c r="J3748" s="335">
        <v>0</v>
      </c>
      <c r="K3748" s="335"/>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70</v>
      </c>
      <c r="C3749" s="10" t="s">
        <v>775</v>
      </c>
      <c r="D3749" s="10" t="s">
        <v>732</v>
      </c>
      <c r="E3749" s="11" t="str">
        <f t="array" ref="E3749">_xlfn.XLOOKUP(D3749,Insumos!B:B,Insumos!C:$C)</f>
        <v>M2</v>
      </c>
      <c r="F3749" s="14">
        <v>1.05</v>
      </c>
      <c r="G3749" s="87">
        <f t="array" ref="G3749">IF(B3749="insumo",_xlfn.XLOOKUP($D3749,Insumos!$B$1:$B$996,Insumos!$D$1:$D$996),"")</f>
        <v>65.900000000000006</v>
      </c>
      <c r="H3749" s="87">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70</v>
      </c>
      <c r="C3750" s="10" t="s">
        <v>775</v>
      </c>
      <c r="D3750" s="10" t="s">
        <v>728</v>
      </c>
      <c r="E3750" s="11" t="str">
        <f t="array" ref="E3750">_xlfn.XLOOKUP(D3750,Insumos!B:B,Insumos!C:$C)</f>
        <v>M3</v>
      </c>
      <c r="F3750" s="14">
        <v>6.6E-3</v>
      </c>
      <c r="G3750" s="87">
        <f t="array" ref="G3750">IF(B3750="insumo",_xlfn.XLOOKUP($D3750,Insumos!$B$1:$B$996,Insumos!$D$1:$D$996),"")</f>
        <v>105.71</v>
      </c>
      <c r="H3750" s="87">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70</v>
      </c>
      <c r="C3751" s="10" t="s">
        <v>775</v>
      </c>
      <c r="D3751" s="10" t="s">
        <v>442</v>
      </c>
      <c r="E3751" s="11" t="str">
        <f t="array" ref="E3751">_xlfn.XLOOKUP(D3751,Insumos!B:B,Insumos!C:$C)</f>
        <v>M3</v>
      </c>
      <c r="F3751" s="14">
        <v>5.6800000000000003E-2</v>
      </c>
      <c r="G3751" s="87">
        <f t="array" ref="G3751">IF(B3751="insumo",_xlfn.XLOOKUP($D3751,Insumos!$B$1:$B$996,Insumos!$D$1:$D$996),"")</f>
        <v>145</v>
      </c>
      <c r="H3751" s="87">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332">
        <v>2</v>
      </c>
      <c r="B3752" s="332" t="s">
        <v>67</v>
      </c>
      <c r="C3752" s="332" t="s">
        <v>776</v>
      </c>
      <c r="D3752" s="332" t="s">
        <v>776</v>
      </c>
      <c r="E3752" s="333" t="s">
        <v>69</v>
      </c>
      <c r="F3752" s="332"/>
      <c r="G3752" s="334" t="str">
        <f t="array" ref="G3752">IF(B3752="insumo",_xlfn.XLOOKUP($D3752,Insumos!$B$1:$B$996,Insumos!$D$1:$D$996),"")</f>
        <v/>
      </c>
      <c r="H3752" s="334">
        <v>350.936058</v>
      </c>
      <c r="I3752" s="335">
        <v>0</v>
      </c>
      <c r="J3752" s="335">
        <v>0</v>
      </c>
      <c r="K3752" s="335"/>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70</v>
      </c>
      <c r="C3753" s="10" t="s">
        <v>776</v>
      </c>
      <c r="D3753" s="10" t="s">
        <v>777</v>
      </c>
      <c r="E3753" s="11" t="str">
        <f t="array" ref="E3753">_xlfn.XLOOKUP(D3753,Insumos!B:B,Insumos!C:$C)</f>
        <v>M2</v>
      </c>
      <c r="F3753" s="14">
        <v>1.05</v>
      </c>
      <c r="G3753" s="87">
        <f t="array" ref="G3753">IF(B3753="insumo",_xlfn.XLOOKUP($D3753,Insumos!$B$1:$B$996,Insumos!$D$1:$D$996),"")</f>
        <v>102.9</v>
      </c>
      <c r="H3753" s="87">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70</v>
      </c>
      <c r="C3754" s="10" t="s">
        <v>776</v>
      </c>
      <c r="D3754" s="10" t="s">
        <v>728</v>
      </c>
      <c r="E3754" s="11" t="str">
        <f t="array" ref="E3754">_xlfn.XLOOKUP(D3754,Insumos!B:B,Insumos!C:$C)</f>
        <v>M3</v>
      </c>
      <c r="F3754" s="14">
        <v>6.6E-3</v>
      </c>
      <c r="G3754" s="87">
        <f t="array" ref="G3754">IF(B3754="insumo",_xlfn.XLOOKUP($D3754,Insumos!$B$1:$B$996,Insumos!$D$1:$D$996),"")</f>
        <v>105.71</v>
      </c>
      <c r="H3754" s="87">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70</v>
      </c>
      <c r="C3755" s="10" t="s">
        <v>776</v>
      </c>
      <c r="D3755" s="10" t="s">
        <v>442</v>
      </c>
      <c r="E3755" s="11" t="str">
        <f t="array" ref="E3755">_xlfn.XLOOKUP(D3755,Insumos!B:B,Insumos!C:$C)</f>
        <v>M3</v>
      </c>
      <c r="F3755" s="14">
        <v>5.6800000000000003E-2</v>
      </c>
      <c r="G3755" s="87">
        <f t="array" ref="G3755">IF(B3755="insumo",_xlfn.XLOOKUP($D3755,Insumos!$B$1:$B$996,Insumos!$D$1:$D$996),"")</f>
        <v>145</v>
      </c>
      <c r="H3755" s="87">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355">
        <v>1</v>
      </c>
      <c r="B3756" s="355" t="s">
        <v>1227</v>
      </c>
      <c r="C3756" s="355" t="s">
        <v>776</v>
      </c>
      <c r="D3756" s="355" t="s">
        <v>1450</v>
      </c>
      <c r="E3756" s="356"/>
      <c r="F3756" s="357"/>
      <c r="G3756" s="356"/>
      <c r="H3756" s="356">
        <v>0</v>
      </c>
      <c r="I3756" s="357">
        <v>0</v>
      </c>
      <c r="J3756" s="357">
        <v>0</v>
      </c>
      <c r="K3756" s="357"/>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332">
        <v>1</v>
      </c>
      <c r="B3757" s="332" t="s">
        <v>67</v>
      </c>
      <c r="C3757" s="332" t="s">
        <v>548</v>
      </c>
      <c r="D3757" s="332" t="s">
        <v>548</v>
      </c>
      <c r="E3757" s="333" t="s">
        <v>69</v>
      </c>
      <c r="F3757" s="340"/>
      <c r="G3757" s="334" t="str">
        <f t="array" ref="G3757">IF(B3757="insumo",_xlfn.XLOOKUP($D3757,Insumos!$B$1:$B$996,Insumos!$D$1:$D$996),"")</f>
        <v/>
      </c>
      <c r="H3757" s="334">
        <v>60</v>
      </c>
      <c r="I3757" s="335">
        <v>0</v>
      </c>
      <c r="J3757" s="335">
        <v>0</v>
      </c>
      <c r="K3757" s="335"/>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70</v>
      </c>
      <c r="C3758" s="10" t="s">
        <v>548</v>
      </c>
      <c r="D3758" s="10" t="s">
        <v>548</v>
      </c>
      <c r="E3758" s="11" t="str">
        <f t="array" ref="E3758">_xlfn.XLOOKUP(D3758,Insumos!B:B,Insumos!C:$C)</f>
        <v>UN</v>
      </c>
      <c r="F3758" s="14">
        <v>1</v>
      </c>
      <c r="G3758" s="87">
        <f t="array" ref="G3758">IF(B3758="insumo",_xlfn.XLOOKUP($D3758,Insumos!$B$1:$B$996,Insumos!$D$1:$D$996),"")</f>
        <v>60</v>
      </c>
      <c r="H3758" s="87">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332">
        <v>1</v>
      </c>
      <c r="B3759" s="332" t="s">
        <v>67</v>
      </c>
      <c r="C3759" s="332" t="s">
        <v>733</v>
      </c>
      <c r="D3759" s="332" t="s">
        <v>733</v>
      </c>
      <c r="E3759" s="333" t="s">
        <v>69</v>
      </c>
      <c r="F3759" s="332"/>
      <c r="G3759" s="334" t="str">
        <f t="array" ref="G3759">IF(B3759="insumo",_xlfn.XLOOKUP($D3759,Insumos!$B$1:$B$996,Insumos!$D$1:$D$996),"")</f>
        <v/>
      </c>
      <c r="H3759" s="334">
        <v>40</v>
      </c>
      <c r="I3759" s="335" t="e">
        <v>#REF!</v>
      </c>
      <c r="J3759" s="335" t="e">
        <v>#REF!</v>
      </c>
      <c r="K3759" s="335"/>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70</v>
      </c>
      <c r="C3760" s="10" t="s">
        <v>733</v>
      </c>
      <c r="D3760" s="10" t="s">
        <v>733</v>
      </c>
      <c r="E3760" s="11" t="str">
        <f t="array" ref="E3760">_xlfn.XLOOKUP(D3760,Insumos!B:B,Insumos!C:$C)</f>
        <v>M2</v>
      </c>
      <c r="F3760" s="14">
        <v>1</v>
      </c>
      <c r="G3760" s="87">
        <f t="array" ref="G3760">IF(B3760="insumo",_xlfn.XLOOKUP($D3760,Insumos!$B$1:$B$996,Insumos!$D$1:$D$996),"")</f>
        <v>40</v>
      </c>
      <c r="H3760" s="87">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332">
        <v>1</v>
      </c>
      <c r="B3761" s="332" t="s">
        <v>67</v>
      </c>
      <c r="C3761" s="332" t="s">
        <v>734</v>
      </c>
      <c r="D3761" s="332" t="s">
        <v>734</v>
      </c>
      <c r="E3761" s="333" t="s">
        <v>69</v>
      </c>
      <c r="F3761" s="340"/>
      <c r="G3761" s="334" t="str">
        <f t="array" ref="G3761">IF(B3761="insumo",_xlfn.XLOOKUP($D3761,Insumos!$B$1:$B$996,Insumos!$D$1:$D$996),"")</f>
        <v/>
      </c>
      <c r="H3761" s="334">
        <v>40</v>
      </c>
      <c r="I3761" s="335" t="e">
        <v>#REF!</v>
      </c>
      <c r="J3761" s="335" t="e">
        <v>#REF!</v>
      </c>
      <c r="K3761" s="335"/>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70</v>
      </c>
      <c r="C3762" s="10" t="s">
        <v>734</v>
      </c>
      <c r="D3762" s="10" t="s">
        <v>734</v>
      </c>
      <c r="E3762" s="11" t="str">
        <f t="array" ref="E3762">_xlfn.XLOOKUP(D3762,Insumos!B:B,Insumos!C:$C)</f>
        <v>M2</v>
      </c>
      <c r="F3762" s="14">
        <v>1</v>
      </c>
      <c r="G3762" s="87">
        <f t="array" ref="G3762">IF(B3762="insumo",_xlfn.XLOOKUP($D3762,Insumos!$B$1:$B$996,Insumos!$D$1:$D$996),"")</f>
        <v>40</v>
      </c>
      <c r="H3762" s="87">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332">
        <v>1</v>
      </c>
      <c r="B3763" s="332" t="s">
        <v>67</v>
      </c>
      <c r="C3763" s="332" t="s">
        <v>735</v>
      </c>
      <c r="D3763" s="332" t="s">
        <v>735</v>
      </c>
      <c r="E3763" s="333" t="s">
        <v>69</v>
      </c>
      <c r="F3763" s="340"/>
      <c r="G3763" s="334" t="str">
        <f t="array" ref="G3763">IF(B3763="insumo",_xlfn.XLOOKUP($D3763,Insumos!$B$1:$B$996,Insumos!$D$1:$D$996),"")</f>
        <v/>
      </c>
      <c r="H3763" s="334">
        <v>40</v>
      </c>
      <c r="I3763" s="335">
        <v>0</v>
      </c>
      <c r="J3763" s="335">
        <v>0</v>
      </c>
      <c r="K3763" s="335"/>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70</v>
      </c>
      <c r="C3764" s="10" t="s">
        <v>735</v>
      </c>
      <c r="D3764" s="10" t="s">
        <v>735</v>
      </c>
      <c r="E3764" s="11" t="str">
        <f t="array" ref="E3764">_xlfn.XLOOKUP(D3764,Insumos!B:B,Insumos!C:$C)</f>
        <v>M2</v>
      </c>
      <c r="F3764" s="14">
        <v>1</v>
      </c>
      <c r="G3764" s="87">
        <f t="array" ref="G3764">IF(B3764="insumo",_xlfn.XLOOKUP($D3764,Insumos!$B$1:$B$996,Insumos!$D$1:$D$996),"")</f>
        <v>40</v>
      </c>
      <c r="H3764" s="87">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332">
        <v>1</v>
      </c>
      <c r="B3765" s="332" t="s">
        <v>67</v>
      </c>
      <c r="C3765" s="332" t="s">
        <v>736</v>
      </c>
      <c r="D3765" s="332" t="s">
        <v>736</v>
      </c>
      <c r="E3765" s="333" t="s">
        <v>69</v>
      </c>
      <c r="F3765" s="340"/>
      <c r="G3765" s="334" t="str">
        <f t="array" ref="G3765">IF(B3765="insumo",_xlfn.XLOOKUP($D3765,Insumos!$B$1:$B$996,Insumos!$D$1:$D$996),"")</f>
        <v/>
      </c>
      <c r="H3765" s="334">
        <v>40</v>
      </c>
      <c r="I3765" s="335" t="e">
        <v>#REF!</v>
      </c>
      <c r="J3765" s="335" t="e">
        <v>#REF!</v>
      </c>
      <c r="K3765" s="335"/>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70</v>
      </c>
      <c r="C3766" s="10" t="s">
        <v>736</v>
      </c>
      <c r="D3766" s="10" t="s">
        <v>736</v>
      </c>
      <c r="E3766" s="11" t="str">
        <f t="array" ref="E3766">_xlfn.XLOOKUP(D3766,Insumos!B:B,Insumos!C:$C)</f>
        <v>M2</v>
      </c>
      <c r="F3766" s="14">
        <v>1</v>
      </c>
      <c r="G3766" s="87">
        <f t="array" ref="G3766">IF(B3766="insumo",_xlfn.XLOOKUP($D3766,Insumos!$B$1:$B$996,Insumos!$D$1:$D$996),"")</f>
        <v>40</v>
      </c>
      <c r="H3766" s="87">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355">
        <v>1</v>
      </c>
      <c r="B3767" s="355" t="s">
        <v>1227</v>
      </c>
      <c r="C3767" s="355" t="s">
        <v>736</v>
      </c>
      <c r="D3767" s="355" t="s">
        <v>1451</v>
      </c>
      <c r="E3767" s="356"/>
      <c r="F3767" s="357"/>
      <c r="G3767" s="356"/>
      <c r="H3767" s="356">
        <v>0</v>
      </c>
      <c r="I3767" s="357">
        <v>0</v>
      </c>
      <c r="J3767" s="357">
        <v>0</v>
      </c>
      <c r="K3767" s="357"/>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332">
        <v>1</v>
      </c>
      <c r="B3768" s="332" t="s">
        <v>67</v>
      </c>
      <c r="C3768" s="332" t="s">
        <v>738</v>
      </c>
      <c r="D3768" s="332" t="s">
        <v>738</v>
      </c>
      <c r="E3768" s="333" t="s">
        <v>69</v>
      </c>
      <c r="F3768" s="340"/>
      <c r="G3768" s="334" t="str">
        <f t="array" ref="G3768">IF(B3768="insumo",_xlfn.XLOOKUP($D3768,Insumos!$B$1:$B$996,Insumos!$D$1:$D$996),"")</f>
        <v/>
      </c>
      <c r="H3768" s="334">
        <v>25</v>
      </c>
      <c r="I3768" s="335">
        <v>0</v>
      </c>
      <c r="J3768" s="335">
        <v>0</v>
      </c>
      <c r="K3768" s="335"/>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70</v>
      </c>
      <c r="C3769" s="10" t="s">
        <v>738</v>
      </c>
      <c r="D3769" s="10" t="s">
        <v>738</v>
      </c>
      <c r="E3769" s="11" t="str">
        <f t="array" ref="E3769">_xlfn.XLOOKUP(D3769,Insumos!B:B,Insumos!C:$C)</f>
        <v>UN</v>
      </c>
      <c r="F3769" s="14">
        <v>1</v>
      </c>
      <c r="G3769" s="87">
        <f t="array" ref="G3769">IF(B3769="insumo",_xlfn.XLOOKUP($D3769,Insumos!$B$1:$B$996,Insumos!$D$1:$D$996),"")</f>
        <v>25</v>
      </c>
      <c r="H3769" s="87">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332">
        <v>1</v>
      </c>
      <c r="B3770" s="332" t="s">
        <v>67</v>
      </c>
      <c r="C3770" s="332" t="s">
        <v>739</v>
      </c>
      <c r="D3770" s="332" t="s">
        <v>739</v>
      </c>
      <c r="E3770" s="333" t="s">
        <v>69</v>
      </c>
      <c r="F3770" s="340"/>
      <c r="G3770" s="334" t="str">
        <f t="array" ref="G3770">IF(B3770="insumo",_xlfn.XLOOKUP($D3770,Insumos!$B$1:$B$996,Insumos!$D$1:$D$996),"")</f>
        <v/>
      </c>
      <c r="H3770" s="334">
        <v>25</v>
      </c>
      <c r="I3770" s="335">
        <v>0</v>
      </c>
      <c r="J3770" s="335">
        <v>0</v>
      </c>
      <c r="K3770" s="335"/>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70</v>
      </c>
      <c r="C3771" s="10" t="s">
        <v>739</v>
      </c>
      <c r="D3771" s="10" t="s">
        <v>739</v>
      </c>
      <c r="E3771" s="11" t="str">
        <f t="array" ref="E3771">_xlfn.XLOOKUP(D3771,Insumos!B:B,Insumos!C:$C)</f>
        <v>UN</v>
      </c>
      <c r="F3771" s="14">
        <v>1</v>
      </c>
      <c r="G3771" s="87">
        <f t="array" ref="G3771">IF(B3771="insumo",_xlfn.XLOOKUP($D3771,Insumos!$B$1:$B$996,Insumos!$D$1:$D$996),"")</f>
        <v>25</v>
      </c>
      <c r="H3771" s="87">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332">
        <v>1</v>
      </c>
      <c r="B3772" s="332" t="s">
        <v>67</v>
      </c>
      <c r="C3772" s="332" t="s">
        <v>740</v>
      </c>
      <c r="D3772" s="332" t="s">
        <v>740</v>
      </c>
      <c r="E3772" s="333" t="s">
        <v>69</v>
      </c>
      <c r="F3772" s="340"/>
      <c r="G3772" s="334" t="str">
        <f t="array" ref="G3772">IF(B3772="insumo",_xlfn.XLOOKUP($D3772,Insumos!$B$1:$B$996,Insumos!$D$1:$D$996),"")</f>
        <v/>
      </c>
      <c r="H3772" s="334">
        <v>25</v>
      </c>
      <c r="I3772" s="335" t="e">
        <v>#REF!</v>
      </c>
      <c r="J3772" s="335" t="e">
        <v>#REF!</v>
      </c>
      <c r="K3772" s="335"/>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70</v>
      </c>
      <c r="C3773" s="10" t="s">
        <v>740</v>
      </c>
      <c r="D3773" s="10" t="s">
        <v>740</v>
      </c>
      <c r="E3773" s="11" t="str">
        <f t="array" ref="E3773">_xlfn.XLOOKUP(D3773,Insumos!B:B,Insumos!C:$C)</f>
        <v>M2</v>
      </c>
      <c r="F3773" s="14">
        <v>1</v>
      </c>
      <c r="G3773" s="87">
        <f t="array" ref="G3773">IF(B3773="insumo",_xlfn.XLOOKUP($D3773,Insumos!$B$1:$B$996,Insumos!$D$1:$D$996),"")</f>
        <v>25</v>
      </c>
      <c r="H3773" s="87">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355">
        <v>1</v>
      </c>
      <c r="B3774" s="355" t="s">
        <v>1227</v>
      </c>
      <c r="C3774" s="355" t="s">
        <v>740</v>
      </c>
      <c r="D3774" s="355" t="s">
        <v>1386</v>
      </c>
      <c r="E3774" s="356"/>
      <c r="F3774" s="357"/>
      <c r="G3774" s="356"/>
      <c r="H3774" s="356">
        <v>0</v>
      </c>
      <c r="I3774" s="357">
        <v>0</v>
      </c>
      <c r="J3774" s="357">
        <v>0</v>
      </c>
      <c r="K3774" s="357"/>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332">
        <v>1</v>
      </c>
      <c r="B3775" s="332" t="s">
        <v>67</v>
      </c>
      <c r="C3775" s="332" t="s">
        <v>737</v>
      </c>
      <c r="D3775" s="332" t="s">
        <v>737</v>
      </c>
      <c r="E3775" s="333" t="s">
        <v>69</v>
      </c>
      <c r="F3775" s="340"/>
      <c r="G3775" s="334" t="str">
        <f t="array" ref="G3775">IF(B3775="insumo",_xlfn.XLOOKUP($D3775,Insumos!$B$1:$B$996,Insumos!$D$1:$D$996),"")</f>
        <v/>
      </c>
      <c r="H3775" s="334">
        <v>75</v>
      </c>
      <c r="I3775" s="335" t="e">
        <v>#REF!</v>
      </c>
      <c r="J3775" s="335" t="e">
        <v>#REF!</v>
      </c>
      <c r="K3775" s="335"/>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70</v>
      </c>
      <c r="C3776" s="10" t="s">
        <v>737</v>
      </c>
      <c r="D3776" s="10" t="s">
        <v>737</v>
      </c>
      <c r="E3776" s="11" t="str">
        <f t="array" ref="E3776">_xlfn.XLOOKUP(D3776,Insumos!B:B,Insumos!C:$C)</f>
        <v>UN</v>
      </c>
      <c r="F3776" s="14">
        <v>1</v>
      </c>
      <c r="G3776" s="87">
        <f t="array" ref="G3776">IF(B3776="insumo",_xlfn.XLOOKUP($D3776,Insumos!$B$1:$B$996,Insumos!$D$1:$D$996),"")</f>
        <v>75</v>
      </c>
      <c r="H3776" s="87">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332">
        <v>1</v>
      </c>
      <c r="B3777" s="332" t="s">
        <v>67</v>
      </c>
      <c r="C3777" s="332" t="s">
        <v>741</v>
      </c>
      <c r="D3777" s="332" t="s">
        <v>741</v>
      </c>
      <c r="E3777" s="333" t="s">
        <v>69</v>
      </c>
      <c r="F3777" s="340"/>
      <c r="G3777" s="334" t="str">
        <f t="array" ref="G3777">IF(B3777="insumo",_xlfn.XLOOKUP($D3777,Insumos!$B$1:$B$996,Insumos!$D$1:$D$996),"")</f>
        <v/>
      </c>
      <c r="H3777" s="334">
        <v>22</v>
      </c>
      <c r="I3777" s="335">
        <v>0</v>
      </c>
      <c r="J3777" s="335">
        <v>0</v>
      </c>
      <c r="K3777" s="335"/>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70</v>
      </c>
      <c r="C3778" s="10" t="s">
        <v>741</v>
      </c>
      <c r="D3778" s="10" t="s">
        <v>741</v>
      </c>
      <c r="E3778" s="11" t="str">
        <f t="array" ref="E3778">_xlfn.XLOOKUP(D3778,Insumos!B:B,Insumos!C:$C)</f>
        <v>UN</v>
      </c>
      <c r="F3778" s="14">
        <v>1</v>
      </c>
      <c r="G3778" s="87">
        <f t="array" ref="G3778">IF(B3778="insumo",_xlfn.XLOOKUP($D3778,Insumos!$B$1:$B$996,Insumos!$D$1:$D$996),"")</f>
        <v>22</v>
      </c>
      <c r="H3778" s="87">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332">
        <v>1</v>
      </c>
      <c r="B3779" s="332" t="s">
        <v>67</v>
      </c>
      <c r="C3779" s="332" t="s">
        <v>2591</v>
      </c>
      <c r="D3779" s="332" t="s">
        <v>2591</v>
      </c>
      <c r="E3779" s="333" t="s">
        <v>69</v>
      </c>
      <c r="F3779" s="340"/>
      <c r="G3779" s="334" t="str">
        <f t="array" ref="G3779">IF(B3779="insumo",_xlfn.XLOOKUP($D3779,Insumos!$B$1:$B$996,Insumos!$D$1:$D$996),"")</f>
        <v/>
      </c>
      <c r="H3779" s="334">
        <v>85</v>
      </c>
      <c r="I3779" s="335" t="e">
        <v>#REF!</v>
      </c>
      <c r="J3779" s="335" t="e">
        <v>#REF!</v>
      </c>
      <c r="K3779" s="335"/>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70</v>
      </c>
      <c r="C3780" s="10" t="s">
        <v>2591</v>
      </c>
      <c r="D3780" s="10" t="s">
        <v>2591</v>
      </c>
      <c r="E3780" s="11" t="str">
        <f t="array" ref="E3780">_xlfn.XLOOKUP(D3780,Insumos!B:B,Insumos!C:$C)</f>
        <v>M2</v>
      </c>
      <c r="F3780" s="14">
        <v>1</v>
      </c>
      <c r="G3780" s="87">
        <f t="array" ref="G3780">IF(B3780="insumo",_xlfn.XLOOKUP($D3780,Insumos!$B$1:$B$996,Insumos!$D$1:$D$996),"")</f>
        <v>85</v>
      </c>
      <c r="H3780" s="87">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332">
        <v>1</v>
      </c>
      <c r="B3781" s="332" t="s">
        <v>67</v>
      </c>
      <c r="C3781" s="332" t="s">
        <v>2592</v>
      </c>
      <c r="D3781" s="332" t="s">
        <v>2592</v>
      </c>
      <c r="E3781" s="333" t="s">
        <v>69</v>
      </c>
      <c r="F3781" s="340"/>
      <c r="G3781" s="334" t="str">
        <f t="array" ref="G3781">IF(B3781="insumo",_xlfn.XLOOKUP($D3781,Insumos!$B$1:$B$996,Insumos!$D$1:$D$996),"")</f>
        <v/>
      </c>
      <c r="H3781" s="334">
        <v>85</v>
      </c>
      <c r="I3781" s="335" t="e">
        <v>#REF!</v>
      </c>
      <c r="J3781" s="335" t="e">
        <v>#REF!</v>
      </c>
      <c r="K3781" s="335"/>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70</v>
      </c>
      <c r="C3782" s="10" t="s">
        <v>2592</v>
      </c>
      <c r="D3782" s="10" t="s">
        <v>549</v>
      </c>
      <c r="E3782" s="11" t="str">
        <f t="array" ref="E3782">_xlfn.XLOOKUP(D3782,Insumos!B:B,Insumos!C:$C)</f>
        <v>M2</v>
      </c>
      <c r="F3782" s="14">
        <v>1</v>
      </c>
      <c r="G3782" s="87">
        <f t="array" ref="G3782">IF(B3782="insumo",_xlfn.XLOOKUP($D3782,Insumos!$B$1:$B$996,Insumos!$D$1:$D$996),"")</f>
        <v>85</v>
      </c>
      <c r="H3782" s="87">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355">
        <v>1</v>
      </c>
      <c r="B3783" s="355" t="s">
        <v>1227</v>
      </c>
      <c r="C3783" s="355" t="s">
        <v>2592</v>
      </c>
      <c r="D3783" s="355" t="s">
        <v>1452</v>
      </c>
      <c r="E3783" s="356"/>
      <c r="F3783" s="357"/>
      <c r="G3783" s="356"/>
      <c r="H3783" s="356">
        <v>0</v>
      </c>
      <c r="I3783" s="357">
        <v>0</v>
      </c>
      <c r="J3783" s="357">
        <v>0</v>
      </c>
      <c r="K3783" s="357"/>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332">
        <v>1</v>
      </c>
      <c r="B3784" s="332" t="s">
        <v>67</v>
      </c>
      <c r="C3784" s="332" t="s">
        <v>742</v>
      </c>
      <c r="D3784" s="332" t="s">
        <v>742</v>
      </c>
      <c r="E3784" s="333" t="s">
        <v>69</v>
      </c>
      <c r="F3784" s="340"/>
      <c r="G3784" s="334" t="str">
        <f t="array" ref="G3784">IF(B3784="insumo",_xlfn.XLOOKUP($D3784,Insumos!$B$1:$B$996,Insumos!$D$1:$D$996),"")</f>
        <v/>
      </c>
      <c r="H3784" s="334">
        <v>28</v>
      </c>
      <c r="I3784" s="335" t="e">
        <v>#REF!</v>
      </c>
      <c r="J3784" s="335" t="e">
        <v>#REF!</v>
      </c>
      <c r="K3784" s="335"/>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70</v>
      </c>
      <c r="C3785" s="10" t="s">
        <v>742</v>
      </c>
      <c r="D3785" s="10" t="s">
        <v>742</v>
      </c>
      <c r="E3785" s="11" t="str">
        <f t="array" ref="E3785">_xlfn.XLOOKUP(D3785,Insumos!B:B,Insumos!C:$C)</f>
        <v>UN</v>
      </c>
      <c r="F3785" s="14">
        <v>1</v>
      </c>
      <c r="G3785" s="87">
        <f t="array" ref="G3785">IF(B3785="insumo",_xlfn.XLOOKUP($D3785,Insumos!$B$1:$B$996,Insumos!$D$1:$D$996),"")</f>
        <v>28</v>
      </c>
      <c r="H3785" s="87">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332">
        <v>1</v>
      </c>
      <c r="B3786" s="332" t="s">
        <v>67</v>
      </c>
      <c r="C3786" s="332" t="s">
        <v>743</v>
      </c>
      <c r="D3786" s="332" t="s">
        <v>743</v>
      </c>
      <c r="E3786" s="333" t="s">
        <v>69</v>
      </c>
      <c r="F3786" s="340"/>
      <c r="G3786" s="334" t="str">
        <f t="array" ref="G3786">IF(B3786="insumo",_xlfn.XLOOKUP($D3786,Insumos!$B$1:$B$996,Insumos!$D$1:$D$996),"")</f>
        <v/>
      </c>
      <c r="H3786" s="334">
        <v>24</v>
      </c>
      <c r="I3786" s="335" t="e">
        <v>#REF!</v>
      </c>
      <c r="J3786" s="335" t="e">
        <v>#REF!</v>
      </c>
      <c r="K3786" s="335"/>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70</v>
      </c>
      <c r="C3787" s="10" t="s">
        <v>743</v>
      </c>
      <c r="D3787" s="10" t="s">
        <v>743</v>
      </c>
      <c r="E3787" s="11" t="str">
        <f t="array" ref="E3787">_xlfn.XLOOKUP(D3787,Insumos!B:B,Insumos!C:$C)</f>
        <v>UN</v>
      </c>
      <c r="F3787" s="14">
        <v>1</v>
      </c>
      <c r="G3787" s="87">
        <f t="array" ref="G3787">IF(B3787="insumo",_xlfn.XLOOKUP($D3787,Insumos!$B$1:$B$996,Insumos!$D$1:$D$996),"")</f>
        <v>24</v>
      </c>
      <c r="H3787" s="87">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332">
        <v>1</v>
      </c>
      <c r="B3788" s="332" t="s">
        <v>67</v>
      </c>
      <c r="C3788" s="332" t="s">
        <v>1505</v>
      </c>
      <c r="D3788" s="332" t="s">
        <v>1505</v>
      </c>
      <c r="E3788" s="333" t="s">
        <v>69</v>
      </c>
      <c r="F3788" s="340"/>
      <c r="G3788" s="334" t="str">
        <f t="array" ref="G3788">IF(B3788="insumo",_xlfn.XLOOKUP($D3788,Insumos!$B$1:$B$996,Insumos!$D$1:$D$996),"")</f>
        <v/>
      </c>
      <c r="H3788" s="334">
        <v>24.5</v>
      </c>
      <c r="I3788" s="335">
        <v>0</v>
      </c>
      <c r="J3788" s="335">
        <v>0</v>
      </c>
      <c r="K3788" s="335"/>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70</v>
      </c>
      <c r="C3789" s="10" t="s">
        <v>1505</v>
      </c>
      <c r="D3789" s="10" t="s">
        <v>1505</v>
      </c>
      <c r="E3789" s="11" t="str">
        <f t="array" ref="E3789">_xlfn.XLOOKUP(D3789,Insumos!B:B,Insumos!C:$C)</f>
        <v>UN</v>
      </c>
      <c r="F3789" s="14">
        <v>1</v>
      </c>
      <c r="G3789" s="87">
        <f t="array" ref="G3789">IF(B3789="insumo",_xlfn.XLOOKUP($D3789,Insumos!$B$1:$B$996,Insumos!$D$1:$D$996),"")</f>
        <v>24.5</v>
      </c>
      <c r="H3789" s="87">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332">
        <v>1</v>
      </c>
      <c r="B3790" s="332" t="s">
        <v>67</v>
      </c>
      <c r="C3790" s="332" t="s">
        <v>2586</v>
      </c>
      <c r="D3790" s="332" t="s">
        <v>2586</v>
      </c>
      <c r="E3790" s="333" t="s">
        <v>69</v>
      </c>
      <c r="F3790" s="340"/>
      <c r="G3790" s="334" t="str">
        <f t="array" ref="G3790">IF(B3790="insumo",_xlfn.XLOOKUP($D3790,Insumos!$B$1:$B$996,Insumos!$D$1:$D$996),"")</f>
        <v/>
      </c>
      <c r="H3790" s="334">
        <v>24</v>
      </c>
      <c r="I3790" s="335" t="e">
        <v>#REF!</v>
      </c>
      <c r="J3790" s="335" t="e">
        <v>#REF!</v>
      </c>
      <c r="K3790" s="335"/>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70</v>
      </c>
      <c r="C3791" s="10" t="s">
        <v>2586</v>
      </c>
      <c r="D3791" s="10" t="s">
        <v>2586</v>
      </c>
      <c r="E3791" s="11" t="str">
        <f t="array" ref="E3791">_xlfn.XLOOKUP(D3791,Insumos!B:B,Insumos!C:$C)</f>
        <v>M</v>
      </c>
      <c r="F3791" s="14">
        <v>1</v>
      </c>
      <c r="G3791" s="87">
        <f t="array" ref="G3791">IF(B3791="insumo",_xlfn.XLOOKUP($D3791,Insumos!$B$1:$B$996,Insumos!$D$1:$D$996),"")</f>
        <v>24</v>
      </c>
      <c r="H3791" s="87">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332">
        <v>1</v>
      </c>
      <c r="B3792" s="332" t="s">
        <v>67</v>
      </c>
      <c r="C3792" s="332" t="s">
        <v>1506</v>
      </c>
      <c r="D3792" s="332" t="s">
        <v>1506</v>
      </c>
      <c r="E3792" s="333" t="s">
        <v>69</v>
      </c>
      <c r="F3792" s="340"/>
      <c r="G3792" s="334" t="str">
        <f t="array" ref="G3792">IF(B3792="insumo",_xlfn.XLOOKUP($D3792,Insumos!$B$1:$B$996,Insumos!$D$1:$D$996),"")</f>
        <v/>
      </c>
      <c r="H3792" s="334">
        <v>22</v>
      </c>
      <c r="I3792" s="335">
        <v>0</v>
      </c>
      <c r="J3792" s="335">
        <v>0</v>
      </c>
      <c r="K3792" s="335"/>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70</v>
      </c>
      <c r="C3793" s="10" t="s">
        <v>1506</v>
      </c>
      <c r="D3793" s="10" t="s">
        <v>1506</v>
      </c>
      <c r="E3793" s="11" t="str">
        <f t="array" ref="E3793">_xlfn.XLOOKUP(D3793,Insumos!B:B,Insumos!C:$C)</f>
        <v>UN</v>
      </c>
      <c r="F3793" s="14">
        <v>1</v>
      </c>
      <c r="G3793" s="87">
        <f t="array" ref="G3793">IF(B3793="insumo",_xlfn.XLOOKUP($D3793,Insumos!$B$1:$B$996,Insumos!$D$1:$D$996),"")</f>
        <v>22</v>
      </c>
      <c r="H3793" s="87">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355">
        <v>1</v>
      </c>
      <c r="B3794" s="355" t="s">
        <v>1227</v>
      </c>
      <c r="C3794" s="355" t="s">
        <v>1506</v>
      </c>
      <c r="D3794" s="355" t="s">
        <v>1453</v>
      </c>
      <c r="E3794" s="356"/>
      <c r="F3794" s="357"/>
      <c r="G3794" s="356"/>
      <c r="H3794" s="356">
        <v>0</v>
      </c>
      <c r="I3794" s="357">
        <v>0</v>
      </c>
      <c r="J3794" s="357">
        <v>0</v>
      </c>
      <c r="K3794" s="357"/>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332">
        <v>1</v>
      </c>
      <c r="B3795" s="332" t="s">
        <v>67</v>
      </c>
      <c r="C3795" s="332" t="s">
        <v>744</v>
      </c>
      <c r="D3795" s="332" t="s">
        <v>744</v>
      </c>
      <c r="E3795" s="333" t="s">
        <v>69</v>
      </c>
      <c r="F3795" s="340"/>
      <c r="G3795" s="334" t="str">
        <f t="array" ref="G3795">IF(B3795="insumo",_xlfn.XLOOKUP($D3795,Insumos!$B$1:$B$996,Insumos!$D$1:$D$996),"")</f>
        <v/>
      </c>
      <c r="H3795" s="334">
        <v>50</v>
      </c>
      <c r="I3795" s="335">
        <v>0</v>
      </c>
      <c r="J3795" s="335">
        <v>0</v>
      </c>
      <c r="K3795" s="335"/>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70</v>
      </c>
      <c r="C3796" s="10" t="s">
        <v>744</v>
      </c>
      <c r="D3796" s="10" t="s">
        <v>744</v>
      </c>
      <c r="E3796" s="11" t="str">
        <f t="array" ref="E3796">_xlfn.XLOOKUP(D3796,Insumos!B:B,Insumos!C:$C)</f>
        <v>UN</v>
      </c>
      <c r="F3796" s="14">
        <v>1</v>
      </c>
      <c r="G3796" s="87">
        <f t="array" ref="G3796">IF(B3796="insumo",_xlfn.XLOOKUP($D3796,Insumos!$B$1:$B$996,Insumos!$D$1:$D$996),"")</f>
        <v>50</v>
      </c>
      <c r="H3796" s="87">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332">
        <v>1</v>
      </c>
      <c r="B3797" s="332" t="s">
        <v>67</v>
      </c>
      <c r="C3797" s="332" t="s">
        <v>745</v>
      </c>
      <c r="D3797" s="332" t="s">
        <v>745</v>
      </c>
      <c r="E3797" s="333" t="s">
        <v>69</v>
      </c>
      <c r="F3797" s="340"/>
      <c r="G3797" s="334" t="str">
        <f t="array" ref="G3797">IF(B3797="insumo",_xlfn.XLOOKUP($D3797,Insumos!$B$1:$B$996,Insumos!$D$1:$D$996),"")</f>
        <v/>
      </c>
      <c r="H3797" s="334">
        <v>22</v>
      </c>
      <c r="I3797" s="335">
        <v>0</v>
      </c>
      <c r="J3797" s="335">
        <v>0</v>
      </c>
      <c r="K3797" s="335"/>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70</v>
      </c>
      <c r="C3798" s="10" t="s">
        <v>745</v>
      </c>
      <c r="D3798" s="10" t="s">
        <v>745</v>
      </c>
      <c r="E3798" s="11" t="str">
        <f t="array" ref="E3798">_xlfn.XLOOKUP(D3798,Insumos!B:B,Insumos!C:$C)</f>
        <v>UN</v>
      </c>
      <c r="F3798" s="14">
        <v>1</v>
      </c>
      <c r="G3798" s="87">
        <f t="array" ref="G3798">IF(B3798="insumo",_xlfn.XLOOKUP($D3798,Insumos!$B$1:$B$996,Insumos!$D$1:$D$996),"")</f>
        <v>22</v>
      </c>
      <c r="H3798" s="87">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332">
        <v>1</v>
      </c>
      <c r="B3799" s="332" t="s">
        <v>67</v>
      </c>
      <c r="C3799" s="332" t="s">
        <v>746</v>
      </c>
      <c r="D3799" s="332" t="s">
        <v>746</v>
      </c>
      <c r="E3799" s="333" t="s">
        <v>69</v>
      </c>
      <c r="F3799" s="340"/>
      <c r="G3799" s="334" t="str">
        <f t="array" ref="G3799">IF(B3799="insumo",_xlfn.XLOOKUP($D3799,Insumos!$B$1:$B$996,Insumos!$D$1:$D$996),"")</f>
        <v/>
      </c>
      <c r="H3799" s="334">
        <v>22</v>
      </c>
      <c r="I3799" s="335">
        <v>0</v>
      </c>
      <c r="J3799" s="335">
        <v>0</v>
      </c>
      <c r="K3799" s="335"/>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70</v>
      </c>
      <c r="C3800" s="10" t="s">
        <v>746</v>
      </c>
      <c r="D3800" s="10" t="s">
        <v>746</v>
      </c>
      <c r="E3800" s="11" t="str">
        <f t="array" ref="E3800">_xlfn.XLOOKUP(D3800,Insumos!B:B,Insumos!C:$C)</f>
        <v>UN</v>
      </c>
      <c r="F3800" s="14">
        <v>1</v>
      </c>
      <c r="G3800" s="87">
        <f t="array" ref="G3800">IF(B3800="insumo",_xlfn.XLOOKUP($D3800,Insumos!$B$1:$B$996,Insumos!$D$1:$D$996),"")</f>
        <v>22</v>
      </c>
      <c r="H3800" s="87">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65</v>
      </c>
      <c r="C3801" s="7" t="s">
        <v>746</v>
      </c>
      <c r="D3801" s="7" t="s">
        <v>50</v>
      </c>
      <c r="E3801" s="8"/>
      <c r="F3801" s="9"/>
      <c r="G3801" s="86" t="str">
        <f t="array" ref="G3801">IF(B3801="insumo",_xlfn.XLOOKUP($D3801,Insumos!$B$1:$B$996,Insumos!$D$1:$D$996),"")</f>
        <v/>
      </c>
      <c r="H3801" s="86">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355">
        <v>1</v>
      </c>
      <c r="B3802" s="355" t="s">
        <v>1227</v>
      </c>
      <c r="C3802" s="355" t="s">
        <v>746</v>
      </c>
      <c r="D3802" s="355" t="s">
        <v>1537</v>
      </c>
      <c r="E3802" s="356"/>
      <c r="F3802" s="357"/>
      <c r="G3802" s="356"/>
      <c r="H3802" s="356">
        <v>0</v>
      </c>
      <c r="I3802" s="357">
        <v>0</v>
      </c>
      <c r="J3802" s="357">
        <v>0</v>
      </c>
      <c r="K3802" s="357"/>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332">
        <v>1</v>
      </c>
      <c r="B3803" s="332" t="s">
        <v>67</v>
      </c>
      <c r="C3803" s="332" t="s">
        <v>747</v>
      </c>
      <c r="D3803" s="332" t="s">
        <v>747</v>
      </c>
      <c r="E3803" s="333" t="s">
        <v>69</v>
      </c>
      <c r="F3803" s="332"/>
      <c r="G3803" s="334" t="str">
        <f t="array" ref="G3803">IF(B3803="insumo",_xlfn.XLOOKUP($D3803,Insumos!$B$1:$B$996,Insumos!$D$1:$D$996),"")</f>
        <v/>
      </c>
      <c r="H3803" s="334">
        <v>70.567030666666696</v>
      </c>
      <c r="I3803" s="335">
        <v>0</v>
      </c>
      <c r="J3803" s="335">
        <v>0</v>
      </c>
      <c r="K3803" s="335"/>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70</v>
      </c>
      <c r="C3804" s="10" t="s">
        <v>747</v>
      </c>
      <c r="D3804" s="10" t="s">
        <v>748</v>
      </c>
      <c r="E3804" s="11" t="str">
        <f t="array" ref="E3804">_xlfn.XLOOKUP(D3804,Insumos!B:B,Insumos!C:$C)</f>
        <v>L</v>
      </c>
      <c r="F3804" s="14">
        <v>6.4000000000000001E-2</v>
      </c>
      <c r="G3804" s="87">
        <f t="array" ref="G3804">IF(B3804="insumo",_xlfn.XLOOKUP($D3804,Insumos!$B$1:$B$996,Insumos!$D$1:$D$996),"")</f>
        <v>50.12</v>
      </c>
      <c r="H3804" s="87">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70</v>
      </c>
      <c r="C3805" s="10" t="s">
        <v>747</v>
      </c>
      <c r="D3805" s="10" t="s">
        <v>749</v>
      </c>
      <c r="E3805" s="11" t="str">
        <f t="array" ref="E3805">_xlfn.XLOOKUP(D3805,Insumos!B:B,Insumos!C:$C)</f>
        <v>UN</v>
      </c>
      <c r="F3805" s="14">
        <v>0.01</v>
      </c>
      <c r="G3805" s="87">
        <f t="array" ref="G3805">IF(B3805="insumo",_xlfn.XLOOKUP($D3805,Insumos!$B$1:$B$996,Insumos!$D$1:$D$996),"")</f>
        <v>11.26</v>
      </c>
      <c r="H3805" s="87">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70</v>
      </c>
      <c r="C3806" s="10" t="s">
        <v>747</v>
      </c>
      <c r="D3806" s="10" t="s">
        <v>750</v>
      </c>
      <c r="E3806" s="11" t="str">
        <f t="array" ref="E3806">_xlfn.XLOOKUP(D3806,Insumos!B:B,Insumos!C:$C)</f>
        <v>L</v>
      </c>
      <c r="F3806" s="14">
        <v>0.2016</v>
      </c>
      <c r="G3806" s="87">
        <f t="array" ref="G3806">IF(B3806="insumo",_xlfn.XLOOKUP($D3806,Insumos!$B$1:$B$996,Insumos!$D$1:$D$996),"")</f>
        <v>137.24</v>
      </c>
      <c r="H3806" s="87">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70</v>
      </c>
      <c r="C3807" s="10" t="s">
        <v>747</v>
      </c>
      <c r="D3807" s="10" t="s">
        <v>751</v>
      </c>
      <c r="E3807" s="11" t="str">
        <f t="array" ref="E3807">_xlfn.XLOOKUP(D3807,Insumos!B:B,Insumos!C:$C)</f>
        <v>L</v>
      </c>
      <c r="F3807" s="14">
        <v>0.48299999999999998</v>
      </c>
      <c r="G3807" s="87">
        <f t="array" ref="G3807">IF(B3807="insumo",_xlfn.XLOOKUP($D3807,Insumos!$B$1:$B$996,Insumos!$D$1:$D$996),"")</f>
        <v>81.944444444444443</v>
      </c>
      <c r="H3807" s="87">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336">
        <v>1</v>
      </c>
      <c r="B3808" s="336" t="s">
        <v>67</v>
      </c>
      <c r="C3808" s="336" t="s">
        <v>1829</v>
      </c>
      <c r="D3808" s="336" t="s">
        <v>1829</v>
      </c>
      <c r="E3808" s="337" t="s">
        <v>112</v>
      </c>
      <c r="F3808" s="336"/>
      <c r="G3808" s="338" t="str">
        <f t="array" ref="G3808">IF(B3808="insumo",_xlfn.XLOOKUP($D3808,Insumos!$B$1:$B$996,Insumos!$D$1:$D$996),"")</f>
        <v/>
      </c>
      <c r="H3808" s="338">
        <v>0.97726000000000002</v>
      </c>
      <c r="I3808" s="339">
        <v>0</v>
      </c>
      <c r="J3808" s="339">
        <v>0</v>
      </c>
      <c r="K3808" s="339"/>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77">
        <v>25</v>
      </c>
      <c r="B3809" s="77" t="s">
        <v>70</v>
      </c>
      <c r="C3809" s="77" t="s">
        <v>1829</v>
      </c>
      <c r="D3809" s="77" t="s">
        <v>749</v>
      </c>
      <c r="E3809" s="11" t="str">
        <f t="array" ref="E3809">_xlfn.XLOOKUP(D3809,Insumos!B:B,Insumos!C:$C)</f>
        <v>UN</v>
      </c>
      <c r="F3809" s="81">
        <f>0.01*0.1</f>
        <v>1E-3</v>
      </c>
      <c r="G3809" s="87">
        <f t="array" ref="G3809">IF(B3809="insumo",_xlfn.XLOOKUP($D3809,Insumos!$B$1:$B$996,Insumos!$D$1:$D$996),"")</f>
        <v>11.26</v>
      </c>
      <c r="H3809" s="87">
        <v>1.1259999999999999E-2</v>
      </c>
      <c r="I3809" s="79">
        <v>0</v>
      </c>
      <c r="J3809" s="79">
        <v>0</v>
      </c>
      <c r="K3809" s="79"/>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77">
        <v>2</v>
      </c>
      <c r="B3810" s="77" t="s">
        <v>70</v>
      </c>
      <c r="C3810" s="77" t="s">
        <v>1829</v>
      </c>
      <c r="D3810" s="77" t="s">
        <v>1830</v>
      </c>
      <c r="E3810" s="11" t="str">
        <f t="array" ref="E3810">_xlfn.XLOOKUP(D3810,Insumos!B:B,Insumos!C:$C)</f>
        <v>L</v>
      </c>
      <c r="F3810" s="81">
        <f>0.483*0.1</f>
        <v>4.8300000000000003E-2</v>
      </c>
      <c r="G3810" s="87">
        <f t="array" ref="G3810">IF(B3810="insumo",_xlfn.XLOOKUP($D3810,Insumos!$B$1:$B$996,Insumos!$D$1:$D$996),"")</f>
        <v>20</v>
      </c>
      <c r="H3810" s="87">
        <v>0.96599999999999997</v>
      </c>
      <c r="I3810" s="79">
        <v>0</v>
      </c>
      <c r="J3810" s="79">
        <v>0</v>
      </c>
      <c r="K3810" s="79"/>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336">
        <v>1</v>
      </c>
      <c r="B3811" s="336" t="s">
        <v>67</v>
      </c>
      <c r="C3811" s="336" t="s">
        <v>1831</v>
      </c>
      <c r="D3811" s="336" t="s">
        <v>1831</v>
      </c>
      <c r="E3811" s="337" t="s">
        <v>112</v>
      </c>
      <c r="F3811" s="336"/>
      <c r="G3811" s="338" t="str">
        <f t="array" ref="G3811">IF(B3811="insumo",_xlfn.XLOOKUP($D3811,Insumos!$B$1:$B$996,Insumos!$D$1:$D$996),"")</f>
        <v/>
      </c>
      <c r="H3811" s="338">
        <v>7.0567030666666701</v>
      </c>
      <c r="I3811" s="339">
        <v>0</v>
      </c>
      <c r="J3811" s="339">
        <v>0</v>
      </c>
      <c r="K3811" s="339"/>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77">
        <v>9</v>
      </c>
      <c r="B3812" s="77" t="s">
        <v>70</v>
      </c>
      <c r="C3812" s="77" t="s">
        <v>1831</v>
      </c>
      <c r="D3812" s="77" t="s">
        <v>748</v>
      </c>
      <c r="E3812" s="11" t="str">
        <f t="array" ref="E3812">_xlfn.XLOOKUP(D3812,Insumos!B:B,Insumos!C:$C)</f>
        <v>L</v>
      </c>
      <c r="F3812" s="81">
        <f>0.064*0.1</f>
        <v>6.4000000000000003E-3</v>
      </c>
      <c r="G3812" s="87">
        <f t="array" ref="G3812">IF(B3812="insumo",_xlfn.XLOOKUP($D3812,Insumos!$B$1:$B$996,Insumos!$D$1:$D$996),"")</f>
        <v>50.12</v>
      </c>
      <c r="H3812" s="87">
        <v>0.320768</v>
      </c>
      <c r="I3812" s="79">
        <v>0</v>
      </c>
      <c r="J3812" s="79">
        <v>0</v>
      </c>
      <c r="K3812" s="79"/>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77">
        <v>25</v>
      </c>
      <c r="B3813" s="77" t="s">
        <v>70</v>
      </c>
      <c r="C3813" s="77" t="s">
        <v>1831</v>
      </c>
      <c r="D3813" s="77" t="s">
        <v>749</v>
      </c>
      <c r="E3813" s="11" t="str">
        <f t="array" ref="E3813">_xlfn.XLOOKUP(D3813,Insumos!B:B,Insumos!C:$C)</f>
        <v>UN</v>
      </c>
      <c r="F3813" s="81">
        <f>0.01*0.1</f>
        <v>1E-3</v>
      </c>
      <c r="G3813" s="87">
        <f t="array" ref="G3813">IF(B3813="insumo",_xlfn.XLOOKUP($D3813,Insumos!$B$1:$B$996,Insumos!$D$1:$D$996),"")</f>
        <v>11.26</v>
      </c>
      <c r="H3813" s="87">
        <v>1.1259999999999999E-2</v>
      </c>
      <c r="I3813" s="79">
        <v>0</v>
      </c>
      <c r="J3813" s="79">
        <v>0</v>
      </c>
      <c r="K3813" s="79"/>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77">
        <v>8</v>
      </c>
      <c r="B3814" s="77" t="s">
        <v>70</v>
      </c>
      <c r="C3814" s="77" t="s">
        <v>1831</v>
      </c>
      <c r="D3814" s="77" t="s">
        <v>750</v>
      </c>
      <c r="E3814" s="11" t="str">
        <f t="array" ref="E3814">_xlfn.XLOOKUP(D3814,Insumos!B:B,Insumos!C:$C)</f>
        <v>L</v>
      </c>
      <c r="F3814" s="81">
        <f>0.2016*0.1</f>
        <v>2.0160000000000001E-2</v>
      </c>
      <c r="G3814" s="87">
        <f t="array" ref="G3814">IF(B3814="insumo",_xlfn.XLOOKUP($D3814,Insumos!$B$1:$B$996,Insumos!$D$1:$D$996),"")</f>
        <v>137.24</v>
      </c>
      <c r="H3814" s="87">
        <v>2.7667584000000001</v>
      </c>
      <c r="I3814" s="79">
        <v>0</v>
      </c>
      <c r="J3814" s="79">
        <v>0</v>
      </c>
      <c r="K3814" s="79"/>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77">
        <v>9</v>
      </c>
      <c r="B3815" s="77" t="s">
        <v>70</v>
      </c>
      <c r="C3815" s="77" t="s">
        <v>1831</v>
      </c>
      <c r="D3815" s="77" t="s">
        <v>751</v>
      </c>
      <c r="E3815" s="11" t="str">
        <f t="array" ref="E3815">_xlfn.XLOOKUP(D3815,Insumos!B:B,Insumos!C:$C)</f>
        <v>L</v>
      </c>
      <c r="F3815" s="81">
        <f>0.483*0.1</f>
        <v>4.8300000000000003E-2</v>
      </c>
      <c r="G3815" s="87">
        <f t="array" ref="G3815">IF(B3815="insumo",_xlfn.XLOOKUP($D3815,Insumos!$B$1:$B$996,Insumos!$D$1:$D$996),"")</f>
        <v>81.944444444444443</v>
      </c>
      <c r="H3815" s="87">
        <v>3.9579166666666699</v>
      </c>
      <c r="I3815" s="79">
        <v>0</v>
      </c>
      <c r="J3815" s="79">
        <v>0</v>
      </c>
      <c r="K3815" s="79"/>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332">
        <v>1</v>
      </c>
      <c r="B3816" s="332" t="s">
        <v>67</v>
      </c>
      <c r="C3816" s="332" t="s">
        <v>752</v>
      </c>
      <c r="D3816" s="332" t="s">
        <v>752</v>
      </c>
      <c r="E3816" s="333" t="s">
        <v>69</v>
      </c>
      <c r="F3816" s="332"/>
      <c r="G3816" s="334" t="str">
        <f t="array" ref="G3816">IF(B3816="insumo",_xlfn.XLOOKUP($D3816,Insumos!$B$1:$B$996,Insumos!$D$1:$D$996),"")</f>
        <v/>
      </c>
      <c r="H3816" s="334">
        <v>7.0567030666666701</v>
      </c>
      <c r="I3816" s="335">
        <v>0</v>
      </c>
      <c r="J3816" s="335">
        <v>0</v>
      </c>
      <c r="K3816" s="335"/>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70</v>
      </c>
      <c r="C3817" s="10" t="s">
        <v>752</v>
      </c>
      <c r="D3817" s="10" t="s">
        <v>748</v>
      </c>
      <c r="E3817" s="11" t="str">
        <f t="array" ref="E3817">_xlfn.XLOOKUP(D3817,Insumos!B:B,Insumos!C:$C)</f>
        <v>L</v>
      </c>
      <c r="F3817" s="14">
        <f>0.064*0.1</f>
        <v>6.4000000000000003E-3</v>
      </c>
      <c r="G3817" s="87">
        <f t="array" ref="G3817">IF(B3817="insumo",_xlfn.XLOOKUP($D3817,Insumos!$B$1:$B$996,Insumos!$D$1:$D$996),"")</f>
        <v>50.12</v>
      </c>
      <c r="H3817" s="87">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70</v>
      </c>
      <c r="C3818" s="10" t="s">
        <v>752</v>
      </c>
      <c r="D3818" s="10" t="s">
        <v>749</v>
      </c>
      <c r="E3818" s="11" t="str">
        <f t="array" ref="E3818">_xlfn.XLOOKUP(D3818,Insumos!B:B,Insumos!C:$C)</f>
        <v>UN</v>
      </c>
      <c r="F3818" s="14">
        <f>0.01*0.1</f>
        <v>1E-3</v>
      </c>
      <c r="G3818" s="87">
        <f t="array" ref="G3818">IF(B3818="insumo",_xlfn.XLOOKUP($D3818,Insumos!$B$1:$B$996,Insumos!$D$1:$D$996),"")</f>
        <v>11.26</v>
      </c>
      <c r="H3818" s="87">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70</v>
      </c>
      <c r="C3819" s="10" t="s">
        <v>752</v>
      </c>
      <c r="D3819" s="10" t="s">
        <v>750</v>
      </c>
      <c r="E3819" s="11" t="str">
        <f t="array" ref="E3819">_xlfn.XLOOKUP(D3819,Insumos!B:B,Insumos!C:$C)</f>
        <v>L</v>
      </c>
      <c r="F3819" s="14">
        <f>0.2016*0.1</f>
        <v>2.0160000000000001E-2</v>
      </c>
      <c r="G3819" s="87">
        <f t="array" ref="G3819">IF(B3819="insumo",_xlfn.XLOOKUP($D3819,Insumos!$B$1:$B$996,Insumos!$D$1:$D$996),"")</f>
        <v>137.24</v>
      </c>
      <c r="H3819" s="87">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70</v>
      </c>
      <c r="C3820" s="10" t="s">
        <v>752</v>
      </c>
      <c r="D3820" s="10" t="s">
        <v>751</v>
      </c>
      <c r="E3820" s="11" t="str">
        <f t="array" ref="E3820">_xlfn.XLOOKUP(D3820,Insumos!B:B,Insumos!C:$C)</f>
        <v>L</v>
      </c>
      <c r="F3820" s="14">
        <f>0.483*0.1</f>
        <v>4.8300000000000003E-2</v>
      </c>
      <c r="G3820" s="87">
        <f t="array" ref="G3820">IF(B3820="insumo",_xlfn.XLOOKUP($D3820,Insumos!$B$1:$B$996,Insumos!$D$1:$D$996),"")</f>
        <v>81.944444444444443</v>
      </c>
      <c r="H3820" s="87">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332">
        <v>1</v>
      </c>
      <c r="B3821" s="332" t="s">
        <v>67</v>
      </c>
      <c r="C3821" s="332" t="s">
        <v>753</v>
      </c>
      <c r="D3821" s="332" t="s">
        <v>753</v>
      </c>
      <c r="E3821" s="333" t="s">
        <v>69</v>
      </c>
      <c r="F3821" s="332"/>
      <c r="G3821" s="334" t="str">
        <f t="array" ref="G3821">IF(B3821="insumo",_xlfn.XLOOKUP($D3821,Insumos!$B$1:$B$996,Insumos!$D$1:$D$996),"")</f>
        <v/>
      </c>
      <c r="H3821" s="334">
        <v>70.567030666666696</v>
      </c>
      <c r="I3821" s="335">
        <v>0</v>
      </c>
      <c r="J3821" s="335">
        <v>0</v>
      </c>
      <c r="K3821" s="335"/>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70</v>
      </c>
      <c r="C3822" s="10" t="s">
        <v>753</v>
      </c>
      <c r="D3822" s="10" t="s">
        <v>748</v>
      </c>
      <c r="E3822" s="11" t="str">
        <f t="array" ref="E3822">_xlfn.XLOOKUP(D3822,Insumos!B:B,Insumos!C:$C)</f>
        <v>L</v>
      </c>
      <c r="F3822" s="14">
        <v>6.4000000000000001E-2</v>
      </c>
      <c r="G3822" s="87">
        <f t="array" ref="G3822">IF(B3822="insumo",_xlfn.XLOOKUP($D3822,Insumos!$B$1:$B$996,Insumos!$D$1:$D$996),"")</f>
        <v>50.12</v>
      </c>
      <c r="H3822" s="87">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70</v>
      </c>
      <c r="C3823" s="10" t="s">
        <v>753</v>
      </c>
      <c r="D3823" s="10" t="s">
        <v>749</v>
      </c>
      <c r="E3823" s="11" t="str">
        <f t="array" ref="E3823">_xlfn.XLOOKUP(D3823,Insumos!B:B,Insumos!C:$C)</f>
        <v>UN</v>
      </c>
      <c r="F3823" s="14">
        <v>0.01</v>
      </c>
      <c r="G3823" s="87">
        <f t="array" ref="G3823">IF(B3823="insumo",_xlfn.XLOOKUP($D3823,Insumos!$B$1:$B$996,Insumos!$D$1:$D$996),"")</f>
        <v>11.26</v>
      </c>
      <c r="H3823" s="87">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70</v>
      </c>
      <c r="C3824" s="10" t="s">
        <v>753</v>
      </c>
      <c r="D3824" s="10" t="s">
        <v>750</v>
      </c>
      <c r="E3824" s="11" t="str">
        <f t="array" ref="E3824">_xlfn.XLOOKUP(D3824,Insumos!B:B,Insumos!C:$C)</f>
        <v>L</v>
      </c>
      <c r="F3824" s="14">
        <v>0.2016</v>
      </c>
      <c r="G3824" s="87">
        <f t="array" ref="G3824">IF(B3824="insumo",_xlfn.XLOOKUP($D3824,Insumos!$B$1:$B$996,Insumos!$D$1:$D$996),"")</f>
        <v>137.24</v>
      </c>
      <c r="H3824" s="87">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70</v>
      </c>
      <c r="C3825" s="10" t="s">
        <v>753</v>
      </c>
      <c r="D3825" s="10" t="s">
        <v>751</v>
      </c>
      <c r="E3825" s="11" t="str">
        <f t="array" ref="E3825">_xlfn.XLOOKUP(D3825,Insumos!B:B,Insumos!C:$C)</f>
        <v>L</v>
      </c>
      <c r="F3825" s="14">
        <v>0.48299999999999998</v>
      </c>
      <c r="G3825" s="87">
        <f t="array" ref="G3825">IF(B3825="insumo",_xlfn.XLOOKUP($D3825,Insumos!$B$1:$B$996,Insumos!$D$1:$D$996),"")</f>
        <v>81.944444444444443</v>
      </c>
      <c r="H3825" s="87">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332">
        <v>1</v>
      </c>
      <c r="B3826" s="332" t="s">
        <v>67</v>
      </c>
      <c r="C3826" s="332" t="s">
        <v>754</v>
      </c>
      <c r="D3826" s="332" t="s">
        <v>754</v>
      </c>
      <c r="E3826" s="333" t="s">
        <v>69</v>
      </c>
      <c r="F3826" s="332"/>
      <c r="G3826" s="334" t="str">
        <f t="array" ref="G3826">IF(B3826="insumo",_xlfn.XLOOKUP($D3826,Insumos!$B$1:$B$996,Insumos!$D$1:$D$996),"")</f>
        <v/>
      </c>
      <c r="H3826" s="334">
        <v>8.5043174074074095</v>
      </c>
      <c r="I3826" s="335">
        <v>0</v>
      </c>
      <c r="J3826" s="335">
        <v>0</v>
      </c>
      <c r="K3826" s="335"/>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70</v>
      </c>
      <c r="C3827" s="10" t="s">
        <v>754</v>
      </c>
      <c r="D3827" s="10" t="s">
        <v>755</v>
      </c>
      <c r="E3827" s="11" t="str">
        <f t="array" ref="E3827">_xlfn.XLOOKUP(D3827,Insumos!B:B,Insumos!C:$C)</f>
        <v>L</v>
      </c>
      <c r="F3827" s="14">
        <v>2.1000000000000001E-2</v>
      </c>
      <c r="G3827" s="87">
        <f t="array" ref="G3827">IF(B3827="insumo",_xlfn.XLOOKUP($D3827,Insumos!$B$1:$B$996,Insumos!$D$1:$D$996),"")</f>
        <v>21.99</v>
      </c>
      <c r="H3827" s="87">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70</v>
      </c>
      <c r="C3828" s="10" t="s">
        <v>754</v>
      </c>
      <c r="D3828" s="10" t="s">
        <v>749</v>
      </c>
      <c r="E3828" s="11" t="str">
        <f t="array" ref="E3828">_xlfn.XLOOKUP(D3828,Insumos!B:B,Insumos!C:$C)</f>
        <v>UN</v>
      </c>
      <c r="F3828" s="14">
        <v>1.2E-2</v>
      </c>
      <c r="G3828" s="87">
        <f t="array" ref="G3828">IF(B3828="insumo",_xlfn.XLOOKUP($D3828,Insumos!$B$1:$B$996,Insumos!$D$1:$D$996),"")</f>
        <v>11.26</v>
      </c>
      <c r="H3828" s="87">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70</v>
      </c>
      <c r="C3829" s="10" t="s">
        <v>754</v>
      </c>
      <c r="D3829" s="10" t="s">
        <v>110</v>
      </c>
      <c r="E3829" s="11" t="str">
        <f t="array" ref="E3829">_xlfn.XLOOKUP(D3829,Insumos!B:B,Insumos!C:$C)</f>
        <v>L</v>
      </c>
      <c r="F3829" s="14">
        <v>0.23722222222222222</v>
      </c>
      <c r="G3829" s="87">
        <f t="array" ref="G3829">IF(B3829="insumo",_xlfn.XLOOKUP($D3829,Insumos!$B$1:$B$996,Insumos!$D$1:$D$996),"")</f>
        <v>33.333333333333336</v>
      </c>
      <c r="H3829" s="87">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332">
        <v>1</v>
      </c>
      <c r="B3830" s="332" t="s">
        <v>67</v>
      </c>
      <c r="C3830" s="332" t="s">
        <v>756</v>
      </c>
      <c r="D3830" s="332" t="s">
        <v>756</v>
      </c>
      <c r="E3830" s="333" t="s">
        <v>69</v>
      </c>
      <c r="F3830" s="332"/>
      <c r="G3830" s="334" t="str">
        <f t="array" ref="G3830">IF(B3830="insumo",_xlfn.XLOOKUP($D3830,Insumos!$B$1:$B$996,Insumos!$D$1:$D$996),"")</f>
        <v/>
      </c>
      <c r="H3830" s="334">
        <v>48.294267209876502</v>
      </c>
      <c r="I3830" s="335" t="e">
        <v>#REF!</v>
      </c>
      <c r="J3830" s="335" t="e">
        <v>#REF!</v>
      </c>
      <c r="K3830" s="335"/>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70</v>
      </c>
      <c r="C3831" s="10" t="s">
        <v>756</v>
      </c>
      <c r="D3831" s="10" t="s">
        <v>748</v>
      </c>
      <c r="E3831" s="11" t="str">
        <f t="array" ref="E3831">_xlfn.XLOOKUP(D3831,Insumos!B:B,Insumos!C:$C)</f>
        <v>L</v>
      </c>
      <c r="F3831" s="14">
        <v>2.1000000000000001E-2</v>
      </c>
      <c r="G3831" s="87">
        <f t="array" ref="G3831">IF(B3831="insumo",_xlfn.XLOOKUP($D3831,Insumos!$B$1:$B$996,Insumos!$D$1:$D$996),"")</f>
        <v>50.12</v>
      </c>
      <c r="H3831" s="87">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70</v>
      </c>
      <c r="C3832" s="10" t="s">
        <v>756</v>
      </c>
      <c r="D3832" s="10" t="s">
        <v>749</v>
      </c>
      <c r="E3832" s="11" t="str">
        <f t="array" ref="E3832">_xlfn.XLOOKUP(D3832,Insumos!B:B,Insumos!C:$C)</f>
        <v>UN</v>
      </c>
      <c r="F3832" s="14">
        <v>1.2E-2</v>
      </c>
      <c r="G3832" s="87">
        <f t="array" ref="G3832">IF(B3832="insumo",_xlfn.XLOOKUP($D3832,Insumos!$B$1:$B$996,Insumos!$D$1:$D$996),"")</f>
        <v>11.26</v>
      </c>
      <c r="H3832" s="87">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70</v>
      </c>
      <c r="C3833" s="10" t="s">
        <v>756</v>
      </c>
      <c r="D3833" s="10" t="s">
        <v>750</v>
      </c>
      <c r="E3833" s="11" t="str">
        <f t="array" ref="E3833">_xlfn.XLOOKUP(D3833,Insumos!B:B,Insumos!C:$C)</f>
        <v>L</v>
      </c>
      <c r="F3833" s="14">
        <v>0.2016</v>
      </c>
      <c r="G3833" s="87">
        <f t="array" ref="G3833">IF(B3833="insumo",_xlfn.XLOOKUP($D3833,Insumos!$B$1:$B$996,Insumos!$D$1:$D$996),"")</f>
        <v>137.24</v>
      </c>
      <c r="H3833" s="87">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70</v>
      </c>
      <c r="C3834" s="10" t="s">
        <v>756</v>
      </c>
      <c r="D3834" s="10" t="s">
        <v>751</v>
      </c>
      <c r="E3834" s="11" t="str">
        <f t="array" ref="E3834">_xlfn.XLOOKUP(D3834,Insumos!B:B,Insumos!C:$C)</f>
        <v>L</v>
      </c>
      <c r="F3834" s="14">
        <v>0.23722222222222222</v>
      </c>
      <c r="G3834" s="87">
        <f t="array" ref="G3834">IF(B3834="insumo",_xlfn.XLOOKUP($D3834,Insumos!$B$1:$B$996,Insumos!$D$1:$D$996),"")</f>
        <v>81.944444444444443</v>
      </c>
      <c r="H3834" s="87">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332">
        <v>1</v>
      </c>
      <c r="B3835" s="332" t="s">
        <v>67</v>
      </c>
      <c r="C3835" s="332" t="s">
        <v>757</v>
      </c>
      <c r="D3835" s="332" t="s">
        <v>757</v>
      </c>
      <c r="E3835" s="333" t="s">
        <v>69</v>
      </c>
      <c r="F3835" s="332"/>
      <c r="G3835" s="334" t="str">
        <f t="array" ref="G3835">IF(B3835="insumo",_xlfn.XLOOKUP($D3835,Insumos!$B$1:$B$996,Insumos!$D$1:$D$996),"")</f>
        <v/>
      </c>
      <c r="H3835" s="334">
        <v>14.311766666666699</v>
      </c>
      <c r="I3835" s="335">
        <v>0</v>
      </c>
      <c r="J3835" s="335">
        <v>0</v>
      </c>
      <c r="K3835" s="335"/>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70</v>
      </c>
      <c r="C3836" s="10" t="s">
        <v>757</v>
      </c>
      <c r="D3836" s="10" t="s">
        <v>749</v>
      </c>
      <c r="E3836" s="11" t="str">
        <f t="array" ref="E3836">_xlfn.XLOOKUP(D3836,Insumos!B:B,Insumos!C:$C)</f>
        <v>UN</v>
      </c>
      <c r="F3836" s="14">
        <v>0.01</v>
      </c>
      <c r="G3836" s="87">
        <f t="array" ref="G3836">IF(B3836="insumo",_xlfn.XLOOKUP($D3836,Insumos!$B$1:$B$996,Insumos!$D$1:$D$996),"")</f>
        <v>11.26</v>
      </c>
      <c r="H3836" s="87">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70</v>
      </c>
      <c r="C3837" s="10" t="s">
        <v>757</v>
      </c>
      <c r="D3837" s="10" t="s">
        <v>758</v>
      </c>
      <c r="E3837" s="11" t="str">
        <f t="array" ref="E3837">_xlfn.XLOOKUP(D3837,Insumos!B:B,Insumos!C:$C)</f>
        <v>L</v>
      </c>
      <c r="F3837" s="14">
        <v>0.33</v>
      </c>
      <c r="G3837" s="87">
        <f t="array" ref="G3837">IF(B3837="insumo",_xlfn.XLOOKUP($D3837,Insumos!$B$1:$B$996,Insumos!$D$1:$D$996),"")</f>
        <v>43.027777777777779</v>
      </c>
      <c r="H3837" s="87">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332">
        <v>1</v>
      </c>
      <c r="B3838" s="332" t="s">
        <v>67</v>
      </c>
      <c r="C3838" s="332" t="s">
        <v>759</v>
      </c>
      <c r="D3838" s="332" t="s">
        <v>759</v>
      </c>
      <c r="E3838" s="333" t="s">
        <v>69</v>
      </c>
      <c r="F3838" s="332"/>
      <c r="G3838" s="334" t="str">
        <f t="array" ref="G3838">IF(B3838="insumo",_xlfn.XLOOKUP($D3838,Insumos!$B$1:$B$996,Insumos!$D$1:$D$996),"")</f>
        <v/>
      </c>
      <c r="H3838" s="334">
        <v>20.960709999999999</v>
      </c>
      <c r="I3838" s="335">
        <v>0</v>
      </c>
      <c r="J3838" s="335">
        <v>0</v>
      </c>
      <c r="K3838" s="335"/>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70</v>
      </c>
      <c r="C3839" s="10" t="s">
        <v>759</v>
      </c>
      <c r="D3839" s="10" t="s">
        <v>755</v>
      </c>
      <c r="E3839" s="11" t="str">
        <f t="array" ref="E3839">_xlfn.XLOOKUP(D3839,Insumos!B:B,Insumos!C:$C)</f>
        <v>L</v>
      </c>
      <c r="F3839" s="14">
        <v>6.4000000000000001E-2</v>
      </c>
      <c r="G3839" s="87">
        <f t="array" ref="G3839">IF(B3839="insumo",_xlfn.XLOOKUP($D3839,Insumos!$B$1:$B$996,Insumos!$D$1:$D$996),"")</f>
        <v>21.99</v>
      </c>
      <c r="H3839" s="87">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70</v>
      </c>
      <c r="C3840" s="10" t="s">
        <v>759</v>
      </c>
      <c r="D3840" s="10" t="s">
        <v>749</v>
      </c>
      <c r="E3840" s="11" t="str">
        <f t="array" ref="E3840">_xlfn.XLOOKUP(D3840,Insumos!B:B,Insumos!C:$C)</f>
        <v>UN</v>
      </c>
      <c r="F3840" s="14">
        <v>0.01</v>
      </c>
      <c r="G3840" s="87">
        <f t="array" ref="G3840">IF(B3840="insumo",_xlfn.XLOOKUP($D3840,Insumos!$B$1:$B$996,Insumos!$D$1:$D$996),"")</f>
        <v>11.26</v>
      </c>
      <c r="H3840" s="87">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70</v>
      </c>
      <c r="C3841" s="10" t="s">
        <v>759</v>
      </c>
      <c r="D3841" s="10" t="s">
        <v>760</v>
      </c>
      <c r="E3841" s="11" t="str">
        <f t="array" ref="E3841">_xlfn.XLOOKUP(D3841,Insumos!B:B,Insumos!C:$C)</f>
        <v>L</v>
      </c>
      <c r="F3841" s="14">
        <v>0.48299999999999998</v>
      </c>
      <c r="G3841" s="87">
        <f t="array" ref="G3841">IF(B3841="insumo",_xlfn.XLOOKUP($D3841,Insumos!$B$1:$B$996,Insumos!$D$1:$D$996),"")</f>
        <v>40.25</v>
      </c>
      <c r="H3841" s="87">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332">
        <v>1</v>
      </c>
      <c r="B3842" s="332" t="s">
        <v>67</v>
      </c>
      <c r="C3842" s="332" t="s">
        <v>1553</v>
      </c>
      <c r="D3842" s="332" t="s">
        <v>1553</v>
      </c>
      <c r="E3842" s="333" t="s">
        <v>69</v>
      </c>
      <c r="F3842" s="332"/>
      <c r="G3842" s="334" t="str">
        <f t="array" ref="G3842">IF(B3842="insumo",_xlfn.XLOOKUP($D3842,Insumos!$B$1:$B$996,Insumos!$D$1:$D$996),"")</f>
        <v/>
      </c>
      <c r="H3842" s="334">
        <v>16.930243333333301</v>
      </c>
      <c r="I3842" s="335">
        <v>0</v>
      </c>
      <c r="J3842" s="335">
        <v>0</v>
      </c>
      <c r="K3842" s="335"/>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70</v>
      </c>
      <c r="C3843" s="10" t="s">
        <v>1553</v>
      </c>
      <c r="D3843" s="10" t="s">
        <v>755</v>
      </c>
      <c r="E3843" s="11" t="str">
        <f t="array" ref="E3843">_xlfn.XLOOKUP(D3843,Insumos!B:B,Insumos!C:$C)</f>
        <v>L</v>
      </c>
      <c r="F3843" s="14">
        <v>2.1000000000000001E-2</v>
      </c>
      <c r="G3843" s="87">
        <f t="array" ref="G3843">IF(B3843="insumo",_xlfn.XLOOKUP($D3843,Insumos!$B$1:$B$996,Insumos!$D$1:$D$996),"")</f>
        <v>21.99</v>
      </c>
      <c r="H3843" s="87">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70</v>
      </c>
      <c r="C3844" s="10" t="s">
        <v>1553</v>
      </c>
      <c r="D3844" s="10" t="s">
        <v>749</v>
      </c>
      <c r="E3844" s="11" t="str">
        <f t="array" ref="E3844">_xlfn.XLOOKUP(D3844,Insumos!B:B,Insumos!C:$C)</f>
        <v>UN</v>
      </c>
      <c r="F3844" s="14">
        <v>1.2E-2</v>
      </c>
      <c r="G3844" s="87">
        <f t="array" ref="G3844">IF(B3844="insumo",_xlfn.XLOOKUP($D3844,Insumos!$B$1:$B$996,Insumos!$D$1:$D$996),"")</f>
        <v>11.26</v>
      </c>
      <c r="H3844" s="87">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70</v>
      </c>
      <c r="C3845" s="10" t="s">
        <v>1553</v>
      </c>
      <c r="D3845" s="10" t="s">
        <v>110</v>
      </c>
      <c r="E3845" s="11" t="str">
        <f t="array" ref="E3845">_xlfn.XLOOKUP(D3845,Insumos!B:B,Insumos!C:$C)</f>
        <v>L</v>
      </c>
      <c r="F3845" s="14">
        <v>0.49</v>
      </c>
      <c r="G3845" s="87">
        <f t="array" ref="G3845">IF(B3845="insumo",_xlfn.XLOOKUP($D3845,Insumos!$B$1:$B$996,Insumos!$D$1:$D$996),"")</f>
        <v>33.333333333333336</v>
      </c>
      <c r="H3845" s="87">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332">
        <v>1</v>
      </c>
      <c r="B3846" s="332" t="s">
        <v>67</v>
      </c>
      <c r="C3846" s="332" t="s">
        <v>1552</v>
      </c>
      <c r="D3846" s="332" t="s">
        <v>1552</v>
      </c>
      <c r="E3846" s="333" t="s">
        <v>69</v>
      </c>
      <c r="F3846" s="332"/>
      <c r="G3846" s="334" t="str">
        <f t="array" ref="G3846">IF(B3846="insumo",_xlfn.XLOOKUP($D3846,Insumos!$B$1:$B$996,Insumos!$D$1:$D$996),"")</f>
        <v/>
      </c>
      <c r="H3846" s="334">
        <v>14.714265636363599</v>
      </c>
      <c r="I3846" s="335">
        <v>0</v>
      </c>
      <c r="J3846" s="335">
        <v>0</v>
      </c>
      <c r="K3846" s="335"/>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70</v>
      </c>
      <c r="C3847" s="10" t="s">
        <v>1552</v>
      </c>
      <c r="D3847" s="10" t="s">
        <v>767</v>
      </c>
      <c r="E3847" s="11" t="str">
        <f t="array" ref="E3847">_xlfn.XLOOKUP(D3847,Insumos!B:B,Insumos!C:$C)</f>
        <v>L</v>
      </c>
      <c r="F3847" s="14">
        <v>0.1666</v>
      </c>
      <c r="G3847" s="87">
        <f t="array" ref="G3847">IF(B3847="insumo",_xlfn.XLOOKUP($D3847,Insumos!$B$1:$B$996,Insumos!$D$1:$D$996),"")</f>
        <v>6.47</v>
      </c>
      <c r="H3847" s="87">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70</v>
      </c>
      <c r="C3848" s="10" t="s">
        <v>1552</v>
      </c>
      <c r="D3848" s="10" t="s">
        <v>768</v>
      </c>
      <c r="E3848" s="11" t="str">
        <f t="array" ref="E3848">_xlfn.XLOOKUP(D3848,Insumos!B:B,Insumos!C:$C)</f>
        <v>KG</v>
      </c>
      <c r="F3848" s="14">
        <v>1.5</v>
      </c>
      <c r="G3848" s="87">
        <f t="array" ref="G3848">IF(B3848="insumo",_xlfn.XLOOKUP($D3848,Insumos!$B$1:$B$996,Insumos!$D$1:$D$996),"")</f>
        <v>9.0909090909090917</v>
      </c>
      <c r="H3848" s="87">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332">
        <v>1</v>
      </c>
      <c r="B3849" s="332" t="s">
        <v>67</v>
      </c>
      <c r="C3849" s="332" t="s">
        <v>761</v>
      </c>
      <c r="D3849" s="332" t="s">
        <v>761</v>
      </c>
      <c r="E3849" s="333" t="s">
        <v>69</v>
      </c>
      <c r="F3849" s="332"/>
      <c r="G3849" s="334" t="str">
        <f t="array" ref="G3849">IF(B3849="insumo",_xlfn.XLOOKUP($D3849,Insumos!$B$1:$B$996,Insumos!$D$1:$D$996),"")</f>
        <v/>
      </c>
      <c r="H3849" s="334">
        <v>5.5982500000000002</v>
      </c>
      <c r="I3849" s="335">
        <v>0</v>
      </c>
      <c r="J3849" s="335">
        <v>0</v>
      </c>
      <c r="K3849" s="335"/>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70</v>
      </c>
      <c r="C3850" s="10" t="s">
        <v>761</v>
      </c>
      <c r="D3850" s="10" t="s">
        <v>762</v>
      </c>
      <c r="E3850" s="11" t="str">
        <f t="array" ref="E3850">_xlfn.XLOOKUP(D3850,Insumos!B:B,Insumos!C:$C)</f>
        <v>L</v>
      </c>
      <c r="F3850" s="14">
        <v>0.22850000000000001</v>
      </c>
      <c r="G3850" s="87">
        <f t="array" ref="G3850">IF(B3850="insumo",_xlfn.XLOOKUP($D3850,Insumos!$B$1:$B$996,Insumos!$D$1:$D$996),"")</f>
        <v>24.5</v>
      </c>
      <c r="H3850" s="87">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336">
        <v>1</v>
      </c>
      <c r="B3851" s="336" t="s">
        <v>67</v>
      </c>
      <c r="C3851" s="336" t="s">
        <v>1852</v>
      </c>
      <c r="D3851" s="336" t="s">
        <v>1852</v>
      </c>
      <c r="E3851" s="337" t="s">
        <v>69</v>
      </c>
      <c r="F3851" s="336"/>
      <c r="G3851" s="338" t="str">
        <f t="array" ref="G3851">IF(B3851="insumo",_xlfn.XLOOKUP($D3851,Insumos!$B$1:$B$996,Insumos!$D$1:$D$996),"")</f>
        <v/>
      </c>
      <c r="H3851" s="338">
        <v>9.7726000000000006</v>
      </c>
      <c r="I3851" s="339">
        <v>0</v>
      </c>
      <c r="J3851" s="339">
        <v>0</v>
      </c>
      <c r="K3851" s="339"/>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77">
        <v>25</v>
      </c>
      <c r="B3852" s="77" t="s">
        <v>70</v>
      </c>
      <c r="C3852" s="77" t="s">
        <v>1852</v>
      </c>
      <c r="D3852" s="77" t="s">
        <v>749</v>
      </c>
      <c r="E3852" s="11" t="str">
        <f t="array" ref="E3852">_xlfn.XLOOKUP(D3852,Insumos!B:B,Insumos!C:$C)</f>
        <v>UN</v>
      </c>
      <c r="F3852" s="81">
        <v>0.01</v>
      </c>
      <c r="G3852" s="87">
        <f t="array" ref="G3852">IF(B3852="insumo",_xlfn.XLOOKUP($D3852,Insumos!$B$1:$B$996,Insumos!$D$1:$D$996),"")</f>
        <v>11.26</v>
      </c>
      <c r="H3852" s="87">
        <v>0.11260000000000001</v>
      </c>
      <c r="I3852" s="79">
        <v>0</v>
      </c>
      <c r="J3852" s="79">
        <v>0</v>
      </c>
      <c r="K3852" s="79"/>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77">
        <v>2</v>
      </c>
      <c r="B3853" s="77" t="s">
        <v>70</v>
      </c>
      <c r="C3853" s="77" t="s">
        <v>1852</v>
      </c>
      <c r="D3853" s="77" t="s">
        <v>1830</v>
      </c>
      <c r="E3853" s="11" t="str">
        <f t="array" ref="E3853">_xlfn.XLOOKUP(D3853,Insumos!B:B,Insumos!C:$C)</f>
        <v>L</v>
      </c>
      <c r="F3853" s="81">
        <v>0.48299999999999998</v>
      </c>
      <c r="G3853" s="87">
        <f t="array" ref="G3853">IF(B3853="insumo",_xlfn.XLOOKUP($D3853,Insumos!$B$1:$B$996,Insumos!$D$1:$D$996),"")</f>
        <v>20</v>
      </c>
      <c r="H3853" s="87">
        <v>9.66</v>
      </c>
      <c r="I3853" s="79">
        <v>0</v>
      </c>
      <c r="J3853" s="79">
        <v>0</v>
      </c>
      <c r="K3853" s="79"/>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336">
        <v>1</v>
      </c>
      <c r="B3854" s="336" t="s">
        <v>67</v>
      </c>
      <c r="C3854" s="336" t="s">
        <v>1853</v>
      </c>
      <c r="D3854" s="336" t="s">
        <v>1853</v>
      </c>
      <c r="E3854" s="337" t="s">
        <v>69</v>
      </c>
      <c r="F3854" s="336"/>
      <c r="G3854" s="338" t="str">
        <f t="array" ref="G3854">IF(B3854="insumo",_xlfn.XLOOKUP($D3854,Insumos!$B$1:$B$996,Insumos!$D$1:$D$996),"")</f>
        <v/>
      </c>
      <c r="H3854" s="338">
        <v>42.899446666666698</v>
      </c>
      <c r="I3854" s="339">
        <v>0</v>
      </c>
      <c r="J3854" s="339">
        <v>0</v>
      </c>
      <c r="K3854" s="339"/>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77">
        <v>9</v>
      </c>
      <c r="B3855" s="77" t="s">
        <v>70</v>
      </c>
      <c r="C3855" s="77" t="s">
        <v>1853</v>
      </c>
      <c r="D3855" s="77" t="s">
        <v>748</v>
      </c>
      <c r="E3855" s="11" t="str">
        <f t="array" ref="E3855">_xlfn.XLOOKUP(D3855,Insumos!B:B,Insumos!C:$C)</f>
        <v>L</v>
      </c>
      <c r="F3855" s="81">
        <v>6.4000000000000001E-2</v>
      </c>
      <c r="G3855" s="87">
        <f t="array" ref="G3855">IF(B3855="insumo",_xlfn.XLOOKUP($D3855,Insumos!$B$1:$B$996,Insumos!$D$1:$D$996),"")</f>
        <v>50.12</v>
      </c>
      <c r="H3855" s="87">
        <v>3.2076799999999999</v>
      </c>
      <c r="I3855" s="79">
        <v>0</v>
      </c>
      <c r="J3855" s="79">
        <v>0</v>
      </c>
      <c r="K3855" s="79"/>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77">
        <v>25</v>
      </c>
      <c r="B3856" s="77" t="s">
        <v>70</v>
      </c>
      <c r="C3856" s="77" t="s">
        <v>1853</v>
      </c>
      <c r="D3856" s="77" t="s">
        <v>749</v>
      </c>
      <c r="E3856" s="11" t="str">
        <f t="array" ref="E3856">_xlfn.XLOOKUP(D3856,Insumos!B:B,Insumos!C:$C)</f>
        <v>UN</v>
      </c>
      <c r="F3856" s="81">
        <v>0.01</v>
      </c>
      <c r="G3856" s="87">
        <f t="array" ref="G3856">IF(B3856="insumo",_xlfn.XLOOKUP($D3856,Insumos!$B$1:$B$996,Insumos!$D$1:$D$996),"")</f>
        <v>11.26</v>
      </c>
      <c r="H3856" s="87">
        <v>0.11260000000000001</v>
      </c>
      <c r="I3856" s="79">
        <v>0</v>
      </c>
      <c r="J3856" s="79">
        <v>0</v>
      </c>
      <c r="K3856" s="79"/>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77">
        <v>9</v>
      </c>
      <c r="B3857" s="77" t="s">
        <v>70</v>
      </c>
      <c r="C3857" s="77" t="s">
        <v>1853</v>
      </c>
      <c r="D3857" s="77" t="s">
        <v>751</v>
      </c>
      <c r="E3857" s="11" t="str">
        <f t="array" ref="E3857">_xlfn.XLOOKUP(D3857,Insumos!B:B,Insumos!C:$C)</f>
        <v>L</v>
      </c>
      <c r="F3857" s="81">
        <v>0.48299999999999998</v>
      </c>
      <c r="G3857" s="87">
        <f t="array" ref="G3857">IF(B3857="insumo",_xlfn.XLOOKUP($D3857,Insumos!$B$1:$B$996,Insumos!$D$1:$D$996),"")</f>
        <v>81.944444444444443</v>
      </c>
      <c r="H3857" s="87">
        <v>39.579166666666701</v>
      </c>
      <c r="I3857" s="79">
        <v>0</v>
      </c>
      <c r="J3857" s="79">
        <v>0</v>
      </c>
      <c r="K3857" s="79"/>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355">
        <v>1</v>
      </c>
      <c r="B3858" s="355" t="s">
        <v>1227</v>
      </c>
      <c r="C3858" s="355" t="s">
        <v>1853</v>
      </c>
      <c r="D3858" s="355" t="s">
        <v>1538</v>
      </c>
      <c r="E3858" s="356"/>
      <c r="F3858" s="357"/>
      <c r="G3858" s="356"/>
      <c r="H3858" s="356">
        <v>0</v>
      </c>
      <c r="I3858" s="357">
        <v>0</v>
      </c>
      <c r="J3858" s="357">
        <v>0</v>
      </c>
      <c r="K3858" s="357"/>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332">
        <v>1</v>
      </c>
      <c r="B3859" s="332" t="s">
        <v>67</v>
      </c>
      <c r="C3859" s="332" t="s">
        <v>1542</v>
      </c>
      <c r="D3859" s="332" t="s">
        <v>1542</v>
      </c>
      <c r="E3859" s="333" t="s">
        <v>69</v>
      </c>
      <c r="F3859" s="332"/>
      <c r="G3859" s="334" t="str">
        <f t="array" ref="G3859">IF(B3859="insumo",_xlfn.XLOOKUP($D3859,Insumos!$B$1:$B$996,Insumos!$D$1:$D$996),"")</f>
        <v/>
      </c>
      <c r="H3859" s="334">
        <v>1.7585555555555601</v>
      </c>
      <c r="I3859" s="335" t="e">
        <v>#REF!</v>
      </c>
      <c r="J3859" s="335" t="e">
        <v>#REF!</v>
      </c>
      <c r="K3859" s="335"/>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70</v>
      </c>
      <c r="C3860" s="10" t="s">
        <v>1542</v>
      </c>
      <c r="D3860" s="10" t="s">
        <v>765</v>
      </c>
      <c r="E3860" s="11" t="str">
        <f t="array" ref="E3860">_xlfn.XLOOKUP(D3860,Insumos!B:B,Insumos!C:$C)</f>
        <v>L</v>
      </c>
      <c r="F3860" s="14">
        <v>0.1666</v>
      </c>
      <c r="G3860" s="87">
        <f t="array" ref="G3860">IF(B3860="insumo",_xlfn.XLOOKUP($D3860,Insumos!$B$1:$B$996,Insumos!$D$1:$D$996),"")</f>
        <v>10.555555555555555</v>
      </c>
      <c r="H3860" s="87">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332">
        <v>1</v>
      </c>
      <c r="B3861" s="332" t="s">
        <v>67</v>
      </c>
      <c r="C3861" s="332" t="s">
        <v>1543</v>
      </c>
      <c r="D3861" s="332" t="s">
        <v>1543</v>
      </c>
      <c r="E3861" s="333" t="s">
        <v>69</v>
      </c>
      <c r="F3861" s="332"/>
      <c r="G3861" s="334" t="str">
        <f t="array" ref="G3861">IF(B3861="insumo",_xlfn.XLOOKUP($D3861,Insumos!$B$1:$B$996,Insumos!$D$1:$D$996),"")</f>
        <v/>
      </c>
      <c r="H3861" s="334">
        <v>4.3491600000000004</v>
      </c>
      <c r="I3861" s="335" t="e">
        <v>#REF!</v>
      </c>
      <c r="J3861" s="335" t="e">
        <v>#REF!</v>
      </c>
      <c r="K3861" s="335"/>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70</v>
      </c>
      <c r="C3862" s="10" t="s">
        <v>1543</v>
      </c>
      <c r="D3862" s="10" t="s">
        <v>764</v>
      </c>
      <c r="E3862" s="11" t="str">
        <f t="array" ref="E3862">_xlfn.XLOOKUP(D3862,Insumos!B:B,Insumos!C:$C)</f>
        <v>KG</v>
      </c>
      <c r="F3862" s="14">
        <v>0.86670000000000003</v>
      </c>
      <c r="G3862" s="87">
        <f t="array" ref="G3862">IF(B3862="insumo",_xlfn.XLOOKUP($D3862,Insumos!$B$1:$B$996,Insumos!$D$1:$D$996),"")</f>
        <v>4.8</v>
      </c>
      <c r="H3862" s="87">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70</v>
      </c>
      <c r="C3863" s="10" t="s">
        <v>1543</v>
      </c>
      <c r="D3863" s="10" t="s">
        <v>103</v>
      </c>
      <c r="E3863" s="11" t="str">
        <f t="array" ref="E3863">_xlfn.XLOOKUP(D3863,Insumos!B:B,Insumos!C:$C)</f>
        <v>UN</v>
      </c>
      <c r="F3863" s="14">
        <v>0.1</v>
      </c>
      <c r="G3863" s="87">
        <f t="array" ref="G3863">IF(B3863="insumo",_xlfn.XLOOKUP($D3863,Insumos!$B$1:$B$996,Insumos!$D$1:$D$996),"")</f>
        <v>1.89</v>
      </c>
      <c r="H3863" s="87">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332">
        <v>1</v>
      </c>
      <c r="B3864" s="332" t="s">
        <v>67</v>
      </c>
      <c r="C3864" s="332" t="s">
        <v>1531</v>
      </c>
      <c r="D3864" s="332" t="s">
        <v>1531</v>
      </c>
      <c r="E3864" s="333" t="s">
        <v>69</v>
      </c>
      <c r="F3864" s="332"/>
      <c r="G3864" s="334" t="str">
        <f t="array" ref="G3864">IF(B3864="insumo",_xlfn.XLOOKUP($D3864,Insumos!$B$1:$B$996,Insumos!$D$1:$D$996),"")</f>
        <v/>
      </c>
      <c r="H3864" s="334">
        <v>14.280716065</v>
      </c>
      <c r="I3864" s="335">
        <v>0</v>
      </c>
      <c r="J3864" s="335">
        <v>0</v>
      </c>
      <c r="K3864" s="335"/>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70</v>
      </c>
      <c r="C3865" s="10" t="s">
        <v>1531</v>
      </c>
      <c r="D3865" s="10" t="s">
        <v>1549</v>
      </c>
      <c r="E3865" s="11" t="str">
        <f t="array" ref="E3865">_xlfn.XLOOKUP(D3865,Insumos!B:B,Insumos!C:$C)</f>
        <v>L</v>
      </c>
      <c r="F3865" s="14">
        <v>0.495</v>
      </c>
      <c r="G3865" s="87">
        <f t="array" ref="G3865">IF(B3865="insumo",_xlfn.XLOOKUP($D3865,Insumos!$B$1:$B$996,Insumos!$D$1:$D$996),"")</f>
        <v>27.777777777777779</v>
      </c>
      <c r="H3865" s="87">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70</v>
      </c>
      <c r="C3866" s="10" t="s">
        <v>1531</v>
      </c>
      <c r="D3866" s="10" t="s">
        <v>1608</v>
      </c>
      <c r="E3866" s="11" t="str">
        <f t="array" ref="E3866">_xlfn.XLOOKUP(D3866,Insumos!B:B,Insumos!C:$C)</f>
        <v>L</v>
      </c>
      <c r="F3866" s="14">
        <v>2.2499999999999998E-3</v>
      </c>
      <c r="G3866" s="87">
        <f t="array" ref="G3866">IF(B3866="insumo",_xlfn.XLOOKUP($D3866,Insumos!$B$1:$B$996,Insumos!$D$1:$D$996),"")</f>
        <v>13.5</v>
      </c>
      <c r="H3866" s="87">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70</v>
      </c>
      <c r="C3867" s="10" t="s">
        <v>1531</v>
      </c>
      <c r="D3867" s="10" t="s">
        <v>749</v>
      </c>
      <c r="E3867" s="11" t="str">
        <f t="array" ref="E3867">_xlfn.XLOOKUP(D3867,Insumos!B:B,Insumos!C:$C)</f>
        <v>UN</v>
      </c>
      <c r="F3867" s="14">
        <v>2.1320000000000002E-3</v>
      </c>
      <c r="G3867" s="87">
        <f t="array" ref="G3867">IF(B3867="insumo",_xlfn.XLOOKUP($D3867,Insumos!$B$1:$B$996,Insumos!$D$1:$D$996),"")</f>
        <v>11.26</v>
      </c>
      <c r="H3867" s="87">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70</v>
      </c>
      <c r="C3868" s="10" t="s">
        <v>1531</v>
      </c>
      <c r="D3868" s="10" t="s">
        <v>1609</v>
      </c>
      <c r="E3868" s="11" t="str">
        <f t="array" ref="E3868">_xlfn.XLOOKUP(D3868,Insumos!B:B,Insumos!C:$C)</f>
        <v>UN</v>
      </c>
      <c r="F3868" s="14">
        <v>0.01</v>
      </c>
      <c r="G3868" s="87">
        <f t="array" ref="G3868">IF(B3868="insumo",_xlfn.XLOOKUP($D3868,Insumos!$B$1:$B$996,Insumos!$D$1:$D$996),"")</f>
        <v>6.9</v>
      </c>
      <c r="H3868" s="87">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70</v>
      </c>
      <c r="C3869" s="10" t="s">
        <v>1531</v>
      </c>
      <c r="D3869" s="10" t="s">
        <v>1610</v>
      </c>
      <c r="E3869" s="11" t="str">
        <f t="array" ref="E3869">_xlfn.XLOOKUP(D3869,Insumos!B:B,Insumos!C:$C)</f>
        <v>L</v>
      </c>
      <c r="F3869" s="14">
        <v>2.3579999999999999E-3</v>
      </c>
      <c r="G3869" s="87">
        <f t="array" ref="G3869">IF(B3869="insumo",_xlfn.XLOOKUP($D3869,Insumos!$B$1:$B$996,Insumos!$D$1:$D$996),"")</f>
        <v>6.4</v>
      </c>
      <c r="H3869" s="87">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70</v>
      </c>
      <c r="C3870" s="10" t="s">
        <v>1531</v>
      </c>
      <c r="D3870" s="10" t="s">
        <v>310</v>
      </c>
      <c r="E3870" s="11" t="str">
        <f t="array" ref="E3870">_xlfn.XLOOKUP(D3870,Insumos!B:B,Insumos!C:$C)</f>
        <v>M2</v>
      </c>
      <c r="F3870" s="14">
        <v>2.2499999999999998E-3</v>
      </c>
      <c r="G3870" s="87">
        <f t="array" ref="G3870">IF(B3870="insumo",_xlfn.XLOOKUP($D3870,Insumos!$B$1:$B$996,Insumos!$D$1:$D$996),"")</f>
        <v>2.3025000000000002</v>
      </c>
      <c r="H3870" s="87">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70</v>
      </c>
      <c r="C3871" s="10" t="s">
        <v>1531</v>
      </c>
      <c r="D3871" s="10" t="s">
        <v>1611</v>
      </c>
      <c r="E3871" s="11" t="str">
        <f t="array" ref="E3871">_xlfn.XLOOKUP(D3871,Insumos!B:B,Insumos!C:$C)</f>
        <v>UN</v>
      </c>
      <c r="F3871" s="14">
        <v>2.4879999999999999E-2</v>
      </c>
      <c r="G3871" s="87">
        <f t="array" ref="G3871">IF(B3871="insumo",_xlfn.XLOOKUP($D3871,Insumos!$B$1:$B$996,Insumos!$D$1:$D$996),"")</f>
        <v>5.9889999999999999</v>
      </c>
      <c r="H3871" s="87">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70</v>
      </c>
      <c r="C3872" s="10" t="s">
        <v>1531</v>
      </c>
      <c r="D3872" s="10" t="s">
        <v>1612</v>
      </c>
      <c r="E3872" s="11" t="str">
        <f t="array" ref="E3872">_xlfn.XLOOKUP(D3872,Insumos!B:B,Insumos!C:$C)</f>
        <v>UN</v>
      </c>
      <c r="F3872" s="14">
        <v>2.4879999999999999E-2</v>
      </c>
      <c r="G3872" s="87">
        <f t="array" ref="G3872">IF(B3872="insumo",_xlfn.XLOOKUP($D3872,Insumos!$B$1:$B$996,Insumos!$D$1:$D$996),"")</f>
        <v>5.25</v>
      </c>
      <c r="H3872" s="87">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70</v>
      </c>
      <c r="C3873" s="10" t="s">
        <v>1531</v>
      </c>
      <c r="D3873" s="10" t="s">
        <v>1613</v>
      </c>
      <c r="E3873" s="11" t="str">
        <f t="array" ref="E3873">_xlfn.XLOOKUP(D3873,Insumos!B:B,Insumos!C:$C)</f>
        <v>UN</v>
      </c>
      <c r="F3873" s="14">
        <v>2.1320000000000002E-3</v>
      </c>
      <c r="G3873" s="87">
        <f t="array" ref="G3873">IF(B3873="insumo",_xlfn.XLOOKUP($D3873,Insumos!$B$1:$B$996,Insumos!$D$1:$D$996),"")</f>
        <v>36.9</v>
      </c>
      <c r="H3873" s="87">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70</v>
      </c>
      <c r="C3874" s="10" t="s">
        <v>1531</v>
      </c>
      <c r="D3874" s="10" t="s">
        <v>103</v>
      </c>
      <c r="E3874" s="11" t="str">
        <f t="array" ref="E3874">_xlfn.XLOOKUP(D3874,Insumos!B:B,Insumos!C:$C)</f>
        <v>UN</v>
      </c>
      <c r="F3874" s="14">
        <v>1.5219999999999999E-2</v>
      </c>
      <c r="G3874" s="87">
        <f t="array" ref="G3874">IF(B3874="insumo",_xlfn.XLOOKUP($D3874,Insumos!$B$1:$B$996,Insumos!$D$1:$D$996),"")</f>
        <v>1.89</v>
      </c>
      <c r="H3874" s="87">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332">
        <v>1</v>
      </c>
      <c r="B3875" s="332" t="s">
        <v>67</v>
      </c>
      <c r="C3875" s="332" t="s">
        <v>2891</v>
      </c>
      <c r="D3875" s="332" t="s">
        <v>2891</v>
      </c>
      <c r="E3875" s="333" t="s">
        <v>69</v>
      </c>
      <c r="F3875" s="332"/>
      <c r="G3875" s="334" t="str">
        <f t="array" ref="G3875">IF(B3875="insumo",_xlfn.XLOOKUP($D3875,Insumos!$B$1:$B$996,Insumos!$D$1:$D$996),"")</f>
        <v/>
      </c>
      <c r="H3875" s="334">
        <v>76.674746222222197</v>
      </c>
      <c r="I3875" s="335" t="e">
        <v>#REF!</v>
      </c>
      <c r="J3875" s="335" t="e">
        <v>#REF!</v>
      </c>
      <c r="K3875" s="335"/>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70</v>
      </c>
      <c r="C3876" s="10" t="s">
        <v>2891</v>
      </c>
      <c r="D3876" s="10" t="s">
        <v>748</v>
      </c>
      <c r="E3876" s="11" t="str">
        <f t="array" ref="E3876">_xlfn.XLOOKUP(D3876,Insumos!B:B,Insumos!C:$C)</f>
        <v>L</v>
      </c>
      <c r="F3876" s="14">
        <v>6.4000000000000001E-2</v>
      </c>
      <c r="G3876" s="87">
        <f t="array" ref="G3876">IF(B3876="insumo",_xlfn.XLOOKUP($D3876,Insumos!$B$1:$B$996,Insumos!$D$1:$D$996),"")</f>
        <v>50.12</v>
      </c>
      <c r="H3876" s="87">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70</v>
      </c>
      <c r="C3877" s="10" t="s">
        <v>2891</v>
      </c>
      <c r="D3877" s="10" t="s">
        <v>749</v>
      </c>
      <c r="E3877" s="11" t="str">
        <f t="array" ref="E3877">_xlfn.XLOOKUP(D3877,Insumos!B:B,Insumos!C:$C)</f>
        <v>UN</v>
      </c>
      <c r="F3877" s="14">
        <v>0.01</v>
      </c>
      <c r="G3877" s="87">
        <f t="array" ref="G3877">IF(B3877="insumo",_xlfn.XLOOKUP($D3877,Insumos!$B$1:$B$996,Insumos!$D$1:$D$996),"")</f>
        <v>11.26</v>
      </c>
      <c r="H3877" s="87">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70</v>
      </c>
      <c r="C3878" s="10" t="s">
        <v>2891</v>
      </c>
      <c r="D3878" s="10" t="s">
        <v>765</v>
      </c>
      <c r="E3878" s="11" t="str">
        <f t="array" ref="E3878">_xlfn.XLOOKUP(D3878,Insumos!B:B,Insumos!C:$C)</f>
        <v>L</v>
      </c>
      <c r="F3878" s="14">
        <v>0.1666</v>
      </c>
      <c r="G3878" s="87">
        <f t="array" ref="G3878">IF(B3878="insumo",_xlfn.XLOOKUP($D3878,Insumos!$B$1:$B$996,Insumos!$D$1:$D$996),"")</f>
        <v>10.555555555555555</v>
      </c>
      <c r="H3878" s="87">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70</v>
      </c>
      <c r="C3879" s="10" t="s">
        <v>2891</v>
      </c>
      <c r="D3879" s="10" t="s">
        <v>764</v>
      </c>
      <c r="E3879" s="11" t="str">
        <f t="array" ref="E3879">_xlfn.XLOOKUP(D3879,Insumos!B:B,Insumos!C:$C)</f>
        <v>KG</v>
      </c>
      <c r="F3879" s="14">
        <v>0.86670000000000003</v>
      </c>
      <c r="G3879" s="87">
        <f t="array" ref="G3879">IF(B3879="insumo",_xlfn.XLOOKUP($D3879,Insumos!$B$1:$B$996,Insumos!$D$1:$D$996),"")</f>
        <v>4.8</v>
      </c>
      <c r="H3879" s="87">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70</v>
      </c>
      <c r="C3880" s="10" t="s">
        <v>2891</v>
      </c>
      <c r="D3880" s="10" t="s">
        <v>103</v>
      </c>
      <c r="E3880" s="11" t="str">
        <f t="array" ref="E3880">_xlfn.XLOOKUP(D3880,Insumos!B:B,Insumos!C:$C)</f>
        <v>UN</v>
      </c>
      <c r="F3880" s="14">
        <v>0.1</v>
      </c>
      <c r="G3880" s="87">
        <f t="array" ref="G3880">IF(B3880="insumo",_xlfn.XLOOKUP($D3880,Insumos!$B$1:$B$996,Insumos!$D$1:$D$996),"")</f>
        <v>1.89</v>
      </c>
      <c r="H3880" s="87">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70</v>
      </c>
      <c r="C3881" s="10" t="s">
        <v>2891</v>
      </c>
      <c r="D3881" s="10" t="s">
        <v>750</v>
      </c>
      <c r="E3881" s="11" t="str">
        <f t="array" ref="E3881">_xlfn.XLOOKUP(D3881,Insumos!B:B,Insumos!C:$C)</f>
        <v>L</v>
      </c>
      <c r="F3881" s="14">
        <v>0.2016</v>
      </c>
      <c r="G3881" s="87">
        <f t="array" ref="G3881">IF(B3881="insumo",_xlfn.XLOOKUP($D3881,Insumos!$B$1:$B$996,Insumos!$D$1:$D$996),"")</f>
        <v>137.24</v>
      </c>
      <c r="H3881" s="87">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70</v>
      </c>
      <c r="C3882" s="10" t="s">
        <v>2891</v>
      </c>
      <c r="D3882" s="10" t="s">
        <v>751</v>
      </c>
      <c r="E3882" s="11" t="str">
        <f t="array" ref="E3882">_xlfn.XLOOKUP(D3882,Insumos!B:B,Insumos!C:$C)</f>
        <v>L</v>
      </c>
      <c r="F3882" s="14">
        <v>0.48299999999999998</v>
      </c>
      <c r="G3882" s="87">
        <f t="array" ref="G3882">IF(B3882="insumo",_xlfn.XLOOKUP($D3882,Insumos!$B$1:$B$996,Insumos!$D$1:$D$996),"")</f>
        <v>81.944444444444443</v>
      </c>
      <c r="H3882" s="87">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332">
        <v>1</v>
      </c>
      <c r="B3883" s="332" t="s">
        <v>67</v>
      </c>
      <c r="C3883" s="332" t="s">
        <v>1533</v>
      </c>
      <c r="D3883" s="332" t="s">
        <v>1533</v>
      </c>
      <c r="E3883" s="333" t="s">
        <v>69</v>
      </c>
      <c r="F3883" s="332"/>
      <c r="G3883" s="334" t="str">
        <f t="array" ref="G3883">IF(B3883="insumo",_xlfn.XLOOKUP($D3883,Insumos!$B$1:$B$996,Insumos!$D$1:$D$996),"")</f>
        <v/>
      </c>
      <c r="H3883" s="334">
        <v>18.433216065</v>
      </c>
      <c r="I3883" s="335">
        <v>0</v>
      </c>
      <c r="J3883" s="335">
        <v>0</v>
      </c>
      <c r="K3883" s="335"/>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70</v>
      </c>
      <c r="C3884" s="10" t="s">
        <v>1533</v>
      </c>
      <c r="D3884" s="10" t="s">
        <v>1548</v>
      </c>
      <c r="E3884" s="11" t="str">
        <f t="array" ref="E3884">_xlfn.XLOOKUP(D3884,Insumos!B:B,Insumos!C:$C)</f>
        <v>L</v>
      </c>
      <c r="F3884" s="14">
        <v>0.495</v>
      </c>
      <c r="G3884" s="87">
        <f t="array" ref="G3884">IF(B3884="insumo",_xlfn.XLOOKUP($D3884,Insumos!$B$1:$B$996,Insumos!$D$1:$D$996),"")</f>
        <v>36.166666666666664</v>
      </c>
      <c r="H3884" s="87">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70</v>
      </c>
      <c r="C3885" s="10" t="s">
        <v>1533</v>
      </c>
      <c r="D3885" s="10" t="s">
        <v>1608</v>
      </c>
      <c r="E3885" s="11" t="str">
        <f t="array" ref="E3885">_xlfn.XLOOKUP(D3885,Insumos!B:B,Insumos!C:$C)</f>
        <v>L</v>
      </c>
      <c r="F3885" s="14">
        <v>2.2499999999999998E-3</v>
      </c>
      <c r="G3885" s="87">
        <f t="array" ref="G3885">IF(B3885="insumo",_xlfn.XLOOKUP($D3885,Insumos!$B$1:$B$996,Insumos!$D$1:$D$996),"")</f>
        <v>13.5</v>
      </c>
      <c r="H3885" s="87">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70</v>
      </c>
      <c r="C3886" s="10" t="s">
        <v>1533</v>
      </c>
      <c r="D3886" s="10" t="s">
        <v>749</v>
      </c>
      <c r="E3886" s="11" t="str">
        <f t="array" ref="E3886">_xlfn.XLOOKUP(D3886,Insumos!B:B,Insumos!C:$C)</f>
        <v>UN</v>
      </c>
      <c r="F3886" s="14">
        <v>2.1320000000000002E-3</v>
      </c>
      <c r="G3886" s="87">
        <f t="array" ref="G3886">IF(B3886="insumo",_xlfn.XLOOKUP($D3886,Insumos!$B$1:$B$996,Insumos!$D$1:$D$996),"")</f>
        <v>11.26</v>
      </c>
      <c r="H3886" s="87">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70</v>
      </c>
      <c r="C3887" s="10" t="s">
        <v>1533</v>
      </c>
      <c r="D3887" s="10" t="s">
        <v>1609</v>
      </c>
      <c r="E3887" s="11" t="str">
        <f t="array" ref="E3887">_xlfn.XLOOKUP(D3887,Insumos!B:B,Insumos!C:$C)</f>
        <v>UN</v>
      </c>
      <c r="F3887" s="14">
        <v>0.01</v>
      </c>
      <c r="G3887" s="87">
        <f t="array" ref="G3887">IF(B3887="insumo",_xlfn.XLOOKUP($D3887,Insumos!$B$1:$B$996,Insumos!$D$1:$D$996),"")</f>
        <v>6.9</v>
      </c>
      <c r="H3887" s="87">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70</v>
      </c>
      <c r="C3888" s="10" t="s">
        <v>1533</v>
      </c>
      <c r="D3888" s="10" t="s">
        <v>1610</v>
      </c>
      <c r="E3888" s="11" t="str">
        <f t="array" ref="E3888">_xlfn.XLOOKUP(D3888,Insumos!B:B,Insumos!C:$C)</f>
        <v>L</v>
      </c>
      <c r="F3888" s="14">
        <v>2.3579999999999999E-3</v>
      </c>
      <c r="G3888" s="87">
        <f t="array" ref="G3888">IF(B3888="insumo",_xlfn.XLOOKUP($D3888,Insumos!$B$1:$B$996,Insumos!$D$1:$D$996),"")</f>
        <v>6.4</v>
      </c>
      <c r="H3888" s="87">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70</v>
      </c>
      <c r="C3889" s="10" t="s">
        <v>1533</v>
      </c>
      <c r="D3889" s="10" t="s">
        <v>310</v>
      </c>
      <c r="E3889" s="11" t="str">
        <f t="array" ref="E3889">_xlfn.XLOOKUP(D3889,Insumos!B:B,Insumos!C:$C)</f>
        <v>M2</v>
      </c>
      <c r="F3889" s="14">
        <v>2.2499999999999998E-3</v>
      </c>
      <c r="G3889" s="87">
        <f t="array" ref="G3889">IF(B3889="insumo",_xlfn.XLOOKUP($D3889,Insumos!$B$1:$B$996,Insumos!$D$1:$D$996),"")</f>
        <v>2.3025000000000002</v>
      </c>
      <c r="H3889" s="87">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70</v>
      </c>
      <c r="C3890" s="10" t="s">
        <v>1533</v>
      </c>
      <c r="D3890" s="10" t="s">
        <v>1611</v>
      </c>
      <c r="E3890" s="11" t="str">
        <f t="array" ref="E3890">_xlfn.XLOOKUP(D3890,Insumos!B:B,Insumos!C:$C)</f>
        <v>UN</v>
      </c>
      <c r="F3890" s="14">
        <v>2.4879999999999999E-2</v>
      </c>
      <c r="G3890" s="87">
        <f t="array" ref="G3890">IF(B3890="insumo",_xlfn.XLOOKUP($D3890,Insumos!$B$1:$B$996,Insumos!$D$1:$D$996),"")</f>
        <v>5.9889999999999999</v>
      </c>
      <c r="H3890" s="87">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70</v>
      </c>
      <c r="C3891" s="10" t="s">
        <v>1533</v>
      </c>
      <c r="D3891" s="10" t="s">
        <v>1612</v>
      </c>
      <c r="E3891" s="11" t="str">
        <f t="array" ref="E3891">_xlfn.XLOOKUP(D3891,Insumos!B:B,Insumos!C:$C)</f>
        <v>UN</v>
      </c>
      <c r="F3891" s="14">
        <v>2.4879999999999999E-2</v>
      </c>
      <c r="G3891" s="87">
        <f t="array" ref="G3891">IF(B3891="insumo",_xlfn.XLOOKUP($D3891,Insumos!$B$1:$B$996,Insumos!$D$1:$D$996),"")</f>
        <v>5.25</v>
      </c>
      <c r="H3891" s="87">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70</v>
      </c>
      <c r="C3892" s="10" t="s">
        <v>1533</v>
      </c>
      <c r="D3892" s="10" t="s">
        <v>1613</v>
      </c>
      <c r="E3892" s="11" t="str">
        <f t="array" ref="E3892">_xlfn.XLOOKUP(D3892,Insumos!B:B,Insumos!C:$C)</f>
        <v>UN</v>
      </c>
      <c r="F3892" s="14">
        <v>2.1320000000000002E-3</v>
      </c>
      <c r="G3892" s="87">
        <f t="array" ref="G3892">IF(B3892="insumo",_xlfn.XLOOKUP($D3892,Insumos!$B$1:$B$996,Insumos!$D$1:$D$996),"")</f>
        <v>36.9</v>
      </c>
      <c r="H3892" s="87">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70</v>
      </c>
      <c r="C3893" s="10" t="s">
        <v>1533</v>
      </c>
      <c r="D3893" s="10" t="s">
        <v>103</v>
      </c>
      <c r="E3893" s="11" t="str">
        <f t="array" ref="E3893">_xlfn.XLOOKUP(D3893,Insumos!B:B,Insumos!C:$C)</f>
        <v>UN</v>
      </c>
      <c r="F3893" s="14">
        <v>1.5219999999999999E-2</v>
      </c>
      <c r="G3893" s="87">
        <f t="array" ref="G3893">IF(B3893="insumo",_xlfn.XLOOKUP($D3893,Insumos!$B$1:$B$996,Insumos!$D$1:$D$996),"")</f>
        <v>1.89</v>
      </c>
      <c r="H3893" s="87">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332">
        <v>1</v>
      </c>
      <c r="B3894" s="332" t="s">
        <v>67</v>
      </c>
      <c r="C3894" s="332" t="s">
        <v>1534</v>
      </c>
      <c r="D3894" s="332" t="s">
        <v>1534</v>
      </c>
      <c r="E3894" s="333" t="s">
        <v>69</v>
      </c>
      <c r="F3894" s="332"/>
      <c r="G3894" s="334" t="str">
        <f t="array" ref="G3894">IF(B3894="insumo",_xlfn.XLOOKUP($D3894,Insumos!$B$1:$B$996,Insumos!$D$1:$D$996),"")</f>
        <v/>
      </c>
      <c r="H3894" s="334">
        <v>27.446341064999999</v>
      </c>
      <c r="I3894" s="335">
        <v>0</v>
      </c>
      <c r="J3894" s="335">
        <v>0</v>
      </c>
      <c r="K3894" s="335"/>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70</v>
      </c>
      <c r="C3895" s="10" t="s">
        <v>1534</v>
      </c>
      <c r="D3895" s="10" t="s">
        <v>1547</v>
      </c>
      <c r="E3895" s="11" t="str">
        <f t="array" ref="E3895">_xlfn.XLOOKUP(D3895,Insumos!B:B,Insumos!C:$C)</f>
        <v>L</v>
      </c>
      <c r="F3895" s="14">
        <v>0.495</v>
      </c>
      <c r="G3895" s="87">
        <f t="array" ref="G3895">IF(B3895="insumo",_xlfn.XLOOKUP($D3895,Insumos!$B$1:$B$996,Insumos!$D$1:$D$996),"")</f>
        <v>54.375</v>
      </c>
      <c r="H3895" s="87">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70</v>
      </c>
      <c r="C3896" s="10" t="s">
        <v>1534</v>
      </c>
      <c r="D3896" s="10" t="s">
        <v>1608</v>
      </c>
      <c r="E3896" s="11" t="str">
        <f t="array" ref="E3896">_xlfn.XLOOKUP(D3896,Insumos!B:B,Insumos!C:$C)</f>
        <v>L</v>
      </c>
      <c r="F3896" s="14">
        <v>2.2499999999999998E-3</v>
      </c>
      <c r="G3896" s="87">
        <f t="array" ref="G3896">IF(B3896="insumo",_xlfn.XLOOKUP($D3896,Insumos!$B$1:$B$996,Insumos!$D$1:$D$996),"")</f>
        <v>13.5</v>
      </c>
      <c r="H3896" s="87">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70</v>
      </c>
      <c r="C3897" s="10" t="s">
        <v>1534</v>
      </c>
      <c r="D3897" s="10" t="s">
        <v>749</v>
      </c>
      <c r="E3897" s="11" t="str">
        <f t="array" ref="E3897">_xlfn.XLOOKUP(D3897,Insumos!B:B,Insumos!C:$C)</f>
        <v>UN</v>
      </c>
      <c r="F3897" s="14">
        <v>2.1320000000000002E-3</v>
      </c>
      <c r="G3897" s="87">
        <f t="array" ref="G3897">IF(B3897="insumo",_xlfn.XLOOKUP($D3897,Insumos!$B$1:$B$996,Insumos!$D$1:$D$996),"")</f>
        <v>11.26</v>
      </c>
      <c r="H3897" s="87">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70</v>
      </c>
      <c r="C3898" s="10" t="s">
        <v>1534</v>
      </c>
      <c r="D3898" s="10" t="s">
        <v>1609</v>
      </c>
      <c r="E3898" s="11" t="str">
        <f t="array" ref="E3898">_xlfn.XLOOKUP(D3898,Insumos!B:B,Insumos!C:$C)</f>
        <v>UN</v>
      </c>
      <c r="F3898" s="14">
        <v>0.01</v>
      </c>
      <c r="G3898" s="87">
        <f t="array" ref="G3898">IF(B3898="insumo",_xlfn.XLOOKUP($D3898,Insumos!$B$1:$B$996,Insumos!$D$1:$D$996),"")</f>
        <v>6.9</v>
      </c>
      <c r="H3898" s="87">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70</v>
      </c>
      <c r="C3899" s="10" t="s">
        <v>1534</v>
      </c>
      <c r="D3899" s="10" t="s">
        <v>1610</v>
      </c>
      <c r="E3899" s="11" t="str">
        <f t="array" ref="E3899">_xlfn.XLOOKUP(D3899,Insumos!B:B,Insumos!C:$C)</f>
        <v>L</v>
      </c>
      <c r="F3899" s="14">
        <v>2.3579999999999999E-3</v>
      </c>
      <c r="G3899" s="87">
        <f t="array" ref="G3899">IF(B3899="insumo",_xlfn.XLOOKUP($D3899,Insumos!$B$1:$B$996,Insumos!$D$1:$D$996),"")</f>
        <v>6.4</v>
      </c>
      <c r="H3899" s="87">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70</v>
      </c>
      <c r="C3900" s="10" t="s">
        <v>1534</v>
      </c>
      <c r="D3900" s="10" t="s">
        <v>310</v>
      </c>
      <c r="E3900" s="11" t="str">
        <f t="array" ref="E3900">_xlfn.XLOOKUP(D3900,Insumos!B:B,Insumos!C:$C)</f>
        <v>M2</v>
      </c>
      <c r="F3900" s="14">
        <v>2.2499999999999998E-3</v>
      </c>
      <c r="G3900" s="87">
        <f t="array" ref="G3900">IF(B3900="insumo",_xlfn.XLOOKUP($D3900,Insumos!$B$1:$B$996,Insumos!$D$1:$D$996),"")</f>
        <v>2.3025000000000002</v>
      </c>
      <c r="H3900" s="87">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70</v>
      </c>
      <c r="C3901" s="10" t="s">
        <v>1534</v>
      </c>
      <c r="D3901" s="10" t="s">
        <v>1611</v>
      </c>
      <c r="E3901" s="11" t="str">
        <f t="array" ref="E3901">_xlfn.XLOOKUP(D3901,Insumos!B:B,Insumos!C:$C)</f>
        <v>UN</v>
      </c>
      <c r="F3901" s="14">
        <v>2.4879999999999999E-2</v>
      </c>
      <c r="G3901" s="87">
        <f t="array" ref="G3901">IF(B3901="insumo",_xlfn.XLOOKUP($D3901,Insumos!$B$1:$B$996,Insumos!$D$1:$D$996),"")</f>
        <v>5.9889999999999999</v>
      </c>
      <c r="H3901" s="87">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70</v>
      </c>
      <c r="C3902" s="10" t="s">
        <v>1534</v>
      </c>
      <c r="D3902" s="10" t="s">
        <v>1612</v>
      </c>
      <c r="E3902" s="11" t="str">
        <f t="array" ref="E3902">_xlfn.XLOOKUP(D3902,Insumos!B:B,Insumos!C:$C)</f>
        <v>UN</v>
      </c>
      <c r="F3902" s="14">
        <v>2.4879999999999999E-2</v>
      </c>
      <c r="G3902" s="87">
        <f t="array" ref="G3902">IF(B3902="insumo",_xlfn.XLOOKUP($D3902,Insumos!$B$1:$B$996,Insumos!$D$1:$D$996),"")</f>
        <v>5.25</v>
      </c>
      <c r="H3902" s="87">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70</v>
      </c>
      <c r="C3903" s="10" t="s">
        <v>1534</v>
      </c>
      <c r="D3903" s="10" t="s">
        <v>1613</v>
      </c>
      <c r="E3903" s="11" t="str">
        <f t="array" ref="E3903">_xlfn.XLOOKUP(D3903,Insumos!B:B,Insumos!C:$C)</f>
        <v>UN</v>
      </c>
      <c r="F3903" s="14">
        <v>2.1320000000000002E-3</v>
      </c>
      <c r="G3903" s="87">
        <f t="array" ref="G3903">IF(B3903="insumo",_xlfn.XLOOKUP($D3903,Insumos!$B$1:$B$996,Insumos!$D$1:$D$996),"")</f>
        <v>36.9</v>
      </c>
      <c r="H3903" s="87">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70</v>
      </c>
      <c r="C3904" s="10" t="s">
        <v>1534</v>
      </c>
      <c r="D3904" s="10" t="s">
        <v>103</v>
      </c>
      <c r="E3904" s="11" t="str">
        <f t="array" ref="E3904">_xlfn.XLOOKUP(D3904,Insumos!B:B,Insumos!C:$C)</f>
        <v>UN</v>
      </c>
      <c r="F3904" s="14">
        <v>1.5219999999999999E-2</v>
      </c>
      <c r="G3904" s="87">
        <f t="array" ref="G3904">IF(B3904="insumo",_xlfn.XLOOKUP($D3904,Insumos!$B$1:$B$996,Insumos!$D$1:$D$996),"")</f>
        <v>1.89</v>
      </c>
      <c r="H3904" s="87">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332">
        <v>1</v>
      </c>
      <c r="B3905" s="332" t="s">
        <v>67</v>
      </c>
      <c r="C3905" s="332" t="s">
        <v>1535</v>
      </c>
      <c r="D3905" s="332" t="s">
        <v>1535</v>
      </c>
      <c r="E3905" s="333" t="s">
        <v>69</v>
      </c>
      <c r="F3905" s="332"/>
      <c r="G3905" s="334" t="str">
        <f t="array" ref="G3905">IF(B3905="insumo",_xlfn.XLOOKUP($D3905,Insumos!$B$1:$B$996,Insumos!$D$1:$D$996),"")</f>
        <v/>
      </c>
      <c r="H3905" s="334">
        <v>18.405716065</v>
      </c>
      <c r="I3905" s="335">
        <v>0</v>
      </c>
      <c r="J3905" s="335">
        <v>0</v>
      </c>
      <c r="K3905" s="335"/>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70</v>
      </c>
      <c r="C3906" s="10" t="s">
        <v>1535</v>
      </c>
      <c r="D3906" s="10" t="s">
        <v>1546</v>
      </c>
      <c r="E3906" s="11" t="str">
        <f t="array" ref="E3906">_xlfn.XLOOKUP(D3906,Insumos!B:B,Insumos!C:$C)</f>
        <v>L</v>
      </c>
      <c r="F3906" s="14">
        <v>0.495</v>
      </c>
      <c r="G3906" s="87">
        <f t="array" ref="G3906">IF(B3906="insumo",_xlfn.XLOOKUP($D3906,Insumos!$B$1:$B$996,Insumos!$D$1:$D$996),"")</f>
        <v>36.111111111111114</v>
      </c>
      <c r="H3906" s="87">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70</v>
      </c>
      <c r="C3907" s="10" t="s">
        <v>1535</v>
      </c>
      <c r="D3907" s="10" t="s">
        <v>1608</v>
      </c>
      <c r="E3907" s="11" t="str">
        <f t="array" ref="E3907">_xlfn.XLOOKUP(D3907,Insumos!B:B,Insumos!C:$C)</f>
        <v>L</v>
      </c>
      <c r="F3907" s="14">
        <v>2.2499999999999998E-3</v>
      </c>
      <c r="G3907" s="87">
        <f t="array" ref="G3907">IF(B3907="insumo",_xlfn.XLOOKUP($D3907,Insumos!$B$1:$B$996,Insumos!$D$1:$D$996),"")</f>
        <v>13.5</v>
      </c>
      <c r="H3907" s="87">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70</v>
      </c>
      <c r="C3908" s="10" t="s">
        <v>1535</v>
      </c>
      <c r="D3908" s="10" t="s">
        <v>749</v>
      </c>
      <c r="E3908" s="11" t="str">
        <f t="array" ref="E3908">_xlfn.XLOOKUP(D3908,Insumos!B:B,Insumos!C:$C)</f>
        <v>UN</v>
      </c>
      <c r="F3908" s="14">
        <v>2.1320000000000002E-3</v>
      </c>
      <c r="G3908" s="87">
        <f t="array" ref="G3908">IF(B3908="insumo",_xlfn.XLOOKUP($D3908,Insumos!$B$1:$B$996,Insumos!$D$1:$D$996),"")</f>
        <v>11.26</v>
      </c>
      <c r="H3908" s="87">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70</v>
      </c>
      <c r="C3909" s="10" t="s">
        <v>1535</v>
      </c>
      <c r="D3909" s="10" t="s">
        <v>1609</v>
      </c>
      <c r="E3909" s="11" t="str">
        <f t="array" ref="E3909">_xlfn.XLOOKUP(D3909,Insumos!B:B,Insumos!C:$C)</f>
        <v>UN</v>
      </c>
      <c r="F3909" s="14">
        <v>0.01</v>
      </c>
      <c r="G3909" s="87">
        <f t="array" ref="G3909">IF(B3909="insumo",_xlfn.XLOOKUP($D3909,Insumos!$B$1:$B$996,Insumos!$D$1:$D$996),"")</f>
        <v>6.9</v>
      </c>
      <c r="H3909" s="87">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70</v>
      </c>
      <c r="C3910" s="10" t="s">
        <v>1535</v>
      </c>
      <c r="D3910" s="10" t="s">
        <v>1610</v>
      </c>
      <c r="E3910" s="11" t="str">
        <f t="array" ref="E3910">_xlfn.XLOOKUP(D3910,Insumos!B:B,Insumos!C:$C)</f>
        <v>L</v>
      </c>
      <c r="F3910" s="14">
        <v>2.3579999999999999E-3</v>
      </c>
      <c r="G3910" s="87">
        <f t="array" ref="G3910">IF(B3910="insumo",_xlfn.XLOOKUP($D3910,Insumos!$B$1:$B$996,Insumos!$D$1:$D$996),"")</f>
        <v>6.4</v>
      </c>
      <c r="H3910" s="87">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70</v>
      </c>
      <c r="C3911" s="10" t="s">
        <v>1535</v>
      </c>
      <c r="D3911" s="10" t="s">
        <v>310</v>
      </c>
      <c r="E3911" s="11" t="str">
        <f t="array" ref="E3911">_xlfn.XLOOKUP(D3911,Insumos!B:B,Insumos!C:$C)</f>
        <v>M2</v>
      </c>
      <c r="F3911" s="14">
        <v>2.2499999999999998E-3</v>
      </c>
      <c r="G3911" s="87">
        <f t="array" ref="G3911">IF(B3911="insumo",_xlfn.XLOOKUP($D3911,Insumos!$B$1:$B$996,Insumos!$D$1:$D$996),"")</f>
        <v>2.3025000000000002</v>
      </c>
      <c r="H3911" s="87">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70</v>
      </c>
      <c r="C3912" s="10" t="s">
        <v>1535</v>
      </c>
      <c r="D3912" s="10" t="s">
        <v>1611</v>
      </c>
      <c r="E3912" s="11" t="str">
        <f t="array" ref="E3912">_xlfn.XLOOKUP(D3912,Insumos!B:B,Insumos!C:$C)</f>
        <v>UN</v>
      </c>
      <c r="F3912" s="14">
        <v>2.4879999999999999E-2</v>
      </c>
      <c r="G3912" s="87">
        <f t="array" ref="G3912">IF(B3912="insumo",_xlfn.XLOOKUP($D3912,Insumos!$B$1:$B$996,Insumos!$D$1:$D$996),"")</f>
        <v>5.9889999999999999</v>
      </c>
      <c r="H3912" s="87">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70</v>
      </c>
      <c r="C3913" s="10" t="s">
        <v>1535</v>
      </c>
      <c r="D3913" s="10" t="s">
        <v>1612</v>
      </c>
      <c r="E3913" s="11" t="str">
        <f t="array" ref="E3913">_xlfn.XLOOKUP(D3913,Insumos!B:B,Insumos!C:$C)</f>
        <v>UN</v>
      </c>
      <c r="F3913" s="14">
        <v>2.4879999999999999E-2</v>
      </c>
      <c r="G3913" s="87">
        <f t="array" ref="G3913">IF(B3913="insumo",_xlfn.XLOOKUP($D3913,Insumos!$B$1:$B$996,Insumos!$D$1:$D$996),"")</f>
        <v>5.25</v>
      </c>
      <c r="H3913" s="87">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70</v>
      </c>
      <c r="C3914" s="10" t="s">
        <v>1535</v>
      </c>
      <c r="D3914" s="10" t="s">
        <v>1613</v>
      </c>
      <c r="E3914" s="11" t="str">
        <f t="array" ref="E3914">_xlfn.XLOOKUP(D3914,Insumos!B:B,Insumos!C:$C)</f>
        <v>UN</v>
      </c>
      <c r="F3914" s="14">
        <v>2.1320000000000002E-3</v>
      </c>
      <c r="G3914" s="87">
        <f t="array" ref="G3914">IF(B3914="insumo",_xlfn.XLOOKUP($D3914,Insumos!$B$1:$B$996,Insumos!$D$1:$D$996),"")</f>
        <v>36.9</v>
      </c>
      <c r="H3914" s="87">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70</v>
      </c>
      <c r="C3915" s="10" t="s">
        <v>1535</v>
      </c>
      <c r="D3915" s="10" t="s">
        <v>103</v>
      </c>
      <c r="E3915" s="11" t="str">
        <f t="array" ref="E3915">_xlfn.XLOOKUP(D3915,Insumos!B:B,Insumos!C:$C)</f>
        <v>UN</v>
      </c>
      <c r="F3915" s="14">
        <v>1.5219999999999999E-2</v>
      </c>
      <c r="G3915" s="87">
        <f t="array" ref="G3915">IF(B3915="insumo",_xlfn.XLOOKUP($D3915,Insumos!$B$1:$B$996,Insumos!$D$1:$D$996),"")</f>
        <v>1.89</v>
      </c>
      <c r="H3915" s="87">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332">
        <v>1</v>
      </c>
      <c r="B3916" s="332" t="s">
        <v>67</v>
      </c>
      <c r="C3916" s="332" t="s">
        <v>1536</v>
      </c>
      <c r="D3916" s="332" t="s">
        <v>1536</v>
      </c>
      <c r="E3916" s="333" t="s">
        <v>69</v>
      </c>
      <c r="F3916" s="332"/>
      <c r="G3916" s="334" t="str">
        <f t="array" ref="G3916">IF(B3916="insumo",_xlfn.XLOOKUP($D3916,Insumos!$B$1:$B$996,Insumos!$D$1:$D$996),"")</f>
        <v/>
      </c>
      <c r="H3916" s="334">
        <v>19.278841065000002</v>
      </c>
      <c r="I3916" s="335">
        <v>0</v>
      </c>
      <c r="J3916" s="335">
        <v>0</v>
      </c>
      <c r="K3916" s="335"/>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70</v>
      </c>
      <c r="C3917" s="10" t="s">
        <v>1536</v>
      </c>
      <c r="D3917" s="10" t="s">
        <v>1545</v>
      </c>
      <c r="E3917" s="11" t="str">
        <f t="array" ref="E3917">_xlfn.XLOOKUP(D3917,Insumos!B:B,Insumos!C:$C)</f>
        <v>L</v>
      </c>
      <c r="F3917" s="14">
        <v>0.495</v>
      </c>
      <c r="G3917" s="87">
        <f t="array" ref="G3917">IF(B3917="insumo",_xlfn.XLOOKUP($D3917,Insumos!$B$1:$B$996,Insumos!$D$1:$D$996),"")</f>
        <v>37.875</v>
      </c>
      <c r="H3917" s="87">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70</v>
      </c>
      <c r="C3918" s="10" t="s">
        <v>1536</v>
      </c>
      <c r="D3918" s="10" t="s">
        <v>1608</v>
      </c>
      <c r="E3918" s="11" t="str">
        <f t="array" ref="E3918">_xlfn.XLOOKUP(D3918,Insumos!B:B,Insumos!C:$C)</f>
        <v>L</v>
      </c>
      <c r="F3918" s="14">
        <v>2.2499999999999998E-3</v>
      </c>
      <c r="G3918" s="87">
        <f t="array" ref="G3918">IF(B3918="insumo",_xlfn.XLOOKUP($D3918,Insumos!$B$1:$B$996,Insumos!$D$1:$D$996),"")</f>
        <v>13.5</v>
      </c>
      <c r="H3918" s="87">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70</v>
      </c>
      <c r="C3919" s="10" t="s">
        <v>1536</v>
      </c>
      <c r="D3919" s="10" t="s">
        <v>749</v>
      </c>
      <c r="E3919" s="11" t="str">
        <f t="array" ref="E3919">_xlfn.XLOOKUP(D3919,Insumos!B:B,Insumos!C:$C)</f>
        <v>UN</v>
      </c>
      <c r="F3919" s="14">
        <v>2.1320000000000002E-3</v>
      </c>
      <c r="G3919" s="87">
        <f t="array" ref="G3919">IF(B3919="insumo",_xlfn.XLOOKUP($D3919,Insumos!$B$1:$B$996,Insumos!$D$1:$D$996),"")</f>
        <v>11.26</v>
      </c>
      <c r="H3919" s="87">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70</v>
      </c>
      <c r="C3920" s="10" t="s">
        <v>1536</v>
      </c>
      <c r="D3920" s="10" t="s">
        <v>1609</v>
      </c>
      <c r="E3920" s="11" t="str">
        <f t="array" ref="E3920">_xlfn.XLOOKUP(D3920,Insumos!B:B,Insumos!C:$C)</f>
        <v>UN</v>
      </c>
      <c r="F3920" s="14">
        <v>0.01</v>
      </c>
      <c r="G3920" s="87">
        <f t="array" ref="G3920">IF(B3920="insumo",_xlfn.XLOOKUP($D3920,Insumos!$B$1:$B$996,Insumos!$D$1:$D$996),"")</f>
        <v>6.9</v>
      </c>
      <c r="H3920" s="87">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70</v>
      </c>
      <c r="C3921" s="10" t="s">
        <v>1536</v>
      </c>
      <c r="D3921" s="10" t="s">
        <v>1610</v>
      </c>
      <c r="E3921" s="11" t="str">
        <f t="array" ref="E3921">_xlfn.XLOOKUP(D3921,Insumos!B:B,Insumos!C:$C)</f>
        <v>L</v>
      </c>
      <c r="F3921" s="14">
        <v>2.3579999999999999E-3</v>
      </c>
      <c r="G3921" s="87">
        <f t="array" ref="G3921">IF(B3921="insumo",_xlfn.XLOOKUP($D3921,Insumos!$B$1:$B$996,Insumos!$D$1:$D$996),"")</f>
        <v>6.4</v>
      </c>
      <c r="H3921" s="87">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70</v>
      </c>
      <c r="C3922" s="10" t="s">
        <v>1536</v>
      </c>
      <c r="D3922" s="10" t="s">
        <v>310</v>
      </c>
      <c r="E3922" s="11" t="str">
        <f t="array" ref="E3922">_xlfn.XLOOKUP(D3922,Insumos!B:B,Insumos!C:$C)</f>
        <v>M2</v>
      </c>
      <c r="F3922" s="14">
        <v>2.2499999999999998E-3</v>
      </c>
      <c r="G3922" s="87">
        <f t="array" ref="G3922">IF(B3922="insumo",_xlfn.XLOOKUP($D3922,Insumos!$B$1:$B$996,Insumos!$D$1:$D$996),"")</f>
        <v>2.3025000000000002</v>
      </c>
      <c r="H3922" s="87">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70</v>
      </c>
      <c r="C3923" s="10" t="s">
        <v>1536</v>
      </c>
      <c r="D3923" s="10" t="s">
        <v>1611</v>
      </c>
      <c r="E3923" s="11" t="str">
        <f t="array" ref="E3923">_xlfn.XLOOKUP(D3923,Insumos!B:B,Insumos!C:$C)</f>
        <v>UN</v>
      </c>
      <c r="F3923" s="14">
        <v>2.4879999999999999E-2</v>
      </c>
      <c r="G3923" s="87">
        <f t="array" ref="G3923">IF(B3923="insumo",_xlfn.XLOOKUP($D3923,Insumos!$B$1:$B$996,Insumos!$D$1:$D$996),"")</f>
        <v>5.9889999999999999</v>
      </c>
      <c r="H3923" s="87">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70</v>
      </c>
      <c r="C3924" s="10" t="s">
        <v>1536</v>
      </c>
      <c r="D3924" s="10" t="s">
        <v>1612</v>
      </c>
      <c r="E3924" s="11" t="str">
        <f t="array" ref="E3924">_xlfn.XLOOKUP(D3924,Insumos!B:B,Insumos!C:$C)</f>
        <v>UN</v>
      </c>
      <c r="F3924" s="14">
        <v>2.4879999999999999E-2</v>
      </c>
      <c r="G3924" s="87">
        <f t="array" ref="G3924">IF(B3924="insumo",_xlfn.XLOOKUP($D3924,Insumos!$B$1:$B$996,Insumos!$D$1:$D$996),"")</f>
        <v>5.25</v>
      </c>
      <c r="H3924" s="87">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70</v>
      </c>
      <c r="C3925" s="10" t="s">
        <v>1536</v>
      </c>
      <c r="D3925" s="10" t="s">
        <v>1613</v>
      </c>
      <c r="E3925" s="11" t="str">
        <f t="array" ref="E3925">_xlfn.XLOOKUP(D3925,Insumos!B:B,Insumos!C:$C)</f>
        <v>UN</v>
      </c>
      <c r="F3925" s="14">
        <v>2.1320000000000002E-3</v>
      </c>
      <c r="G3925" s="87">
        <f t="array" ref="G3925">IF(B3925="insumo",_xlfn.XLOOKUP($D3925,Insumos!$B$1:$B$996,Insumos!$D$1:$D$996),"")</f>
        <v>36.9</v>
      </c>
      <c r="H3925" s="87">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70</v>
      </c>
      <c r="C3926" s="10" t="s">
        <v>1536</v>
      </c>
      <c r="D3926" s="10" t="s">
        <v>103</v>
      </c>
      <c r="E3926" s="11" t="str">
        <f t="array" ref="E3926">_xlfn.XLOOKUP(D3926,Insumos!B:B,Insumos!C:$C)</f>
        <v>UN</v>
      </c>
      <c r="F3926" s="14">
        <v>1.5219999999999999E-2</v>
      </c>
      <c r="G3926" s="87">
        <f t="array" ref="G3926">IF(B3926="insumo",_xlfn.XLOOKUP($D3926,Insumos!$B$1:$B$996,Insumos!$D$1:$D$996),"")</f>
        <v>1.89</v>
      </c>
      <c r="H3926" s="87">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332">
        <v>1</v>
      </c>
      <c r="B3927" s="332" t="s">
        <v>67</v>
      </c>
      <c r="C3927" s="332" t="s">
        <v>1532</v>
      </c>
      <c r="D3927" s="332" t="s">
        <v>1532</v>
      </c>
      <c r="E3927" s="333" t="s">
        <v>69</v>
      </c>
      <c r="F3927" s="332"/>
      <c r="G3927" s="334" t="str">
        <f t="array" ref="G3927">IF(B3927="insumo",_xlfn.XLOOKUP($D3927,Insumos!$B$1:$B$996,Insumos!$D$1:$D$996),"")</f>
        <v/>
      </c>
      <c r="H3927" s="334">
        <v>12.658216065</v>
      </c>
      <c r="I3927" s="335">
        <v>0</v>
      </c>
      <c r="J3927" s="335">
        <v>0</v>
      </c>
      <c r="K3927" s="335"/>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70</v>
      </c>
      <c r="C3928" s="10" t="s">
        <v>1532</v>
      </c>
      <c r="D3928" s="10" t="s">
        <v>762</v>
      </c>
      <c r="E3928" s="11" t="str">
        <f t="array" ref="E3928">_xlfn.XLOOKUP(D3928,Insumos!B:B,Insumos!C:$C)</f>
        <v>L</v>
      </c>
      <c r="F3928" s="14">
        <v>0.495</v>
      </c>
      <c r="G3928" s="87">
        <f t="array" ref="G3928">IF(B3928="insumo",_xlfn.XLOOKUP($D3928,Insumos!$B$1:$B$996,Insumos!$D$1:$D$996),"")</f>
        <v>24.5</v>
      </c>
      <c r="H3928" s="87">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70</v>
      </c>
      <c r="C3929" s="10" t="s">
        <v>1532</v>
      </c>
      <c r="D3929" s="10" t="s">
        <v>1608</v>
      </c>
      <c r="E3929" s="11" t="str">
        <f t="array" ref="E3929">_xlfn.XLOOKUP(D3929,Insumos!B:B,Insumos!C:$C)</f>
        <v>L</v>
      </c>
      <c r="F3929" s="14">
        <v>2.2499999999999998E-3</v>
      </c>
      <c r="G3929" s="87">
        <f t="array" ref="G3929">IF(B3929="insumo",_xlfn.XLOOKUP($D3929,Insumos!$B$1:$B$996,Insumos!$D$1:$D$996),"")</f>
        <v>13.5</v>
      </c>
      <c r="H3929" s="87">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70</v>
      </c>
      <c r="C3930" s="10" t="s">
        <v>1532</v>
      </c>
      <c r="D3930" s="10" t="s">
        <v>749</v>
      </c>
      <c r="E3930" s="11" t="str">
        <f t="array" ref="E3930">_xlfn.XLOOKUP(D3930,Insumos!B:B,Insumos!C:$C)</f>
        <v>UN</v>
      </c>
      <c r="F3930" s="14">
        <v>2.1320000000000002E-3</v>
      </c>
      <c r="G3930" s="87">
        <f t="array" ref="G3930">IF(B3930="insumo",_xlfn.XLOOKUP($D3930,Insumos!$B$1:$B$996,Insumos!$D$1:$D$996),"")</f>
        <v>11.26</v>
      </c>
      <c r="H3930" s="87">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70</v>
      </c>
      <c r="C3931" s="10" t="s">
        <v>1532</v>
      </c>
      <c r="D3931" s="10" t="s">
        <v>1609</v>
      </c>
      <c r="E3931" s="11" t="str">
        <f t="array" ref="E3931">_xlfn.XLOOKUP(D3931,Insumos!B:B,Insumos!C:$C)</f>
        <v>UN</v>
      </c>
      <c r="F3931" s="14">
        <v>0.01</v>
      </c>
      <c r="G3931" s="87">
        <f t="array" ref="G3931">IF(B3931="insumo",_xlfn.XLOOKUP($D3931,Insumos!$B$1:$B$996,Insumos!$D$1:$D$996),"")</f>
        <v>6.9</v>
      </c>
      <c r="H3931" s="87">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70</v>
      </c>
      <c r="C3932" s="10" t="s">
        <v>1532</v>
      </c>
      <c r="D3932" s="10" t="s">
        <v>1610</v>
      </c>
      <c r="E3932" s="11" t="str">
        <f t="array" ref="E3932">_xlfn.XLOOKUP(D3932,Insumos!B:B,Insumos!C:$C)</f>
        <v>L</v>
      </c>
      <c r="F3932" s="14">
        <v>2.3579999999999999E-3</v>
      </c>
      <c r="G3932" s="87">
        <f t="array" ref="G3932">IF(B3932="insumo",_xlfn.XLOOKUP($D3932,Insumos!$B$1:$B$996,Insumos!$D$1:$D$996),"")</f>
        <v>6.4</v>
      </c>
      <c r="H3932" s="87">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70</v>
      </c>
      <c r="C3933" s="10" t="s">
        <v>1532</v>
      </c>
      <c r="D3933" s="10" t="s">
        <v>310</v>
      </c>
      <c r="E3933" s="11" t="str">
        <f t="array" ref="E3933">_xlfn.XLOOKUP(D3933,Insumos!B:B,Insumos!C:$C)</f>
        <v>M2</v>
      </c>
      <c r="F3933" s="14">
        <v>2.2499999999999998E-3</v>
      </c>
      <c r="G3933" s="87">
        <f t="array" ref="G3933">IF(B3933="insumo",_xlfn.XLOOKUP($D3933,Insumos!$B$1:$B$996,Insumos!$D$1:$D$996),"")</f>
        <v>2.3025000000000002</v>
      </c>
      <c r="H3933" s="87">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70</v>
      </c>
      <c r="C3934" s="10" t="s">
        <v>1532</v>
      </c>
      <c r="D3934" s="10" t="s">
        <v>1611</v>
      </c>
      <c r="E3934" s="11" t="str">
        <f t="array" ref="E3934">_xlfn.XLOOKUP(D3934,Insumos!B:B,Insumos!C:$C)</f>
        <v>UN</v>
      </c>
      <c r="F3934" s="14">
        <v>2.4879999999999999E-2</v>
      </c>
      <c r="G3934" s="87">
        <f t="array" ref="G3934">IF(B3934="insumo",_xlfn.XLOOKUP($D3934,Insumos!$B$1:$B$996,Insumos!$D$1:$D$996),"")</f>
        <v>5.9889999999999999</v>
      </c>
      <c r="H3934" s="87">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70</v>
      </c>
      <c r="C3935" s="10" t="s">
        <v>1532</v>
      </c>
      <c r="D3935" s="10" t="s">
        <v>1612</v>
      </c>
      <c r="E3935" s="11" t="str">
        <f t="array" ref="E3935">_xlfn.XLOOKUP(D3935,Insumos!B:B,Insumos!C:$C)</f>
        <v>UN</v>
      </c>
      <c r="F3935" s="14">
        <v>2.4879999999999999E-2</v>
      </c>
      <c r="G3935" s="87">
        <f t="array" ref="G3935">IF(B3935="insumo",_xlfn.XLOOKUP($D3935,Insumos!$B$1:$B$996,Insumos!$D$1:$D$996),"")</f>
        <v>5.25</v>
      </c>
      <c r="H3935" s="87">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70</v>
      </c>
      <c r="C3936" s="10" t="s">
        <v>1532</v>
      </c>
      <c r="D3936" s="10" t="s">
        <v>1613</v>
      </c>
      <c r="E3936" s="11" t="str">
        <f t="array" ref="E3936">_xlfn.XLOOKUP(D3936,Insumos!B:B,Insumos!C:$C)</f>
        <v>UN</v>
      </c>
      <c r="F3936" s="14">
        <v>2.1320000000000002E-3</v>
      </c>
      <c r="G3936" s="87">
        <f t="array" ref="G3936">IF(B3936="insumo",_xlfn.XLOOKUP($D3936,Insumos!$B$1:$B$996,Insumos!$D$1:$D$996),"")</f>
        <v>36.9</v>
      </c>
      <c r="H3936" s="87">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70</v>
      </c>
      <c r="C3937" s="10" t="s">
        <v>1532</v>
      </c>
      <c r="D3937" s="10" t="s">
        <v>103</v>
      </c>
      <c r="E3937" s="11" t="str">
        <f t="array" ref="E3937">_xlfn.XLOOKUP(D3937,Insumos!B:B,Insumos!C:$C)</f>
        <v>UN</v>
      </c>
      <c r="F3937" s="14">
        <v>1.5219999999999999E-2</v>
      </c>
      <c r="G3937" s="87">
        <f t="array" ref="G3937">IF(B3937="insumo",_xlfn.XLOOKUP($D3937,Insumos!$B$1:$B$996,Insumos!$D$1:$D$996),"")</f>
        <v>1.89</v>
      </c>
      <c r="H3937" s="87">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332">
        <v>1</v>
      </c>
      <c r="B3938" s="332" t="s">
        <v>67</v>
      </c>
      <c r="C3938" s="332" t="s">
        <v>763</v>
      </c>
      <c r="D3938" s="332" t="s">
        <v>763</v>
      </c>
      <c r="E3938" s="333" t="s">
        <v>69</v>
      </c>
      <c r="F3938" s="332"/>
      <c r="G3938" s="334" t="str">
        <f t="array" ref="G3938">IF(B3938="insumo",_xlfn.XLOOKUP($D3938,Insumos!$B$1:$B$996,Insumos!$D$1:$D$996),"")</f>
        <v/>
      </c>
      <c r="H3938" s="334">
        <v>18.235215555555602</v>
      </c>
      <c r="I3938" s="335">
        <v>0</v>
      </c>
      <c r="J3938" s="335">
        <v>0</v>
      </c>
      <c r="K3938" s="335"/>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70</v>
      </c>
      <c r="C3939" s="10" t="s">
        <v>763</v>
      </c>
      <c r="D3939" s="10" t="s">
        <v>103</v>
      </c>
      <c r="E3939" s="11" t="str">
        <f t="array" ref="E3939">_xlfn.XLOOKUP(D3939,Insumos!B:B,Insumos!C:$C)</f>
        <v>UN</v>
      </c>
      <c r="F3939" s="14">
        <v>0.1</v>
      </c>
      <c r="G3939" s="87">
        <f t="array" ref="G3939">IF(B3939="insumo",_xlfn.XLOOKUP($D3939,Insumos!$B$1:$B$996,Insumos!$D$1:$D$996),"")</f>
        <v>1.89</v>
      </c>
      <c r="H3939" s="87">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70</v>
      </c>
      <c r="C3940" s="10" t="s">
        <v>763</v>
      </c>
      <c r="D3940" s="10" t="s">
        <v>764</v>
      </c>
      <c r="E3940" s="11" t="str">
        <f t="array" ref="E3940">_xlfn.XLOOKUP(D3940,Insumos!B:B,Insumos!C:$C)</f>
        <v>KG</v>
      </c>
      <c r="F3940" s="14">
        <v>0.86670000000000003</v>
      </c>
      <c r="G3940" s="87">
        <f t="array" ref="G3940">IF(B3940="insumo",_xlfn.XLOOKUP($D3940,Insumos!$B$1:$B$996,Insumos!$D$1:$D$996),"")</f>
        <v>4.8</v>
      </c>
      <c r="H3940" s="87">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70</v>
      </c>
      <c r="C3941" s="10" t="s">
        <v>763</v>
      </c>
      <c r="D3941" s="10" t="s">
        <v>765</v>
      </c>
      <c r="E3941" s="11" t="str">
        <f t="array" ref="E3941">_xlfn.XLOOKUP(D3941,Insumos!B:B,Insumos!C:$C)</f>
        <v>L</v>
      </c>
      <c r="F3941" s="14">
        <v>0.1666</v>
      </c>
      <c r="G3941" s="87">
        <f t="array" ref="G3941">IF(B3941="insumo",_xlfn.XLOOKUP($D3941,Insumos!$B$1:$B$996,Insumos!$D$1:$D$996),"")</f>
        <v>10.555555555555555</v>
      </c>
      <c r="H3941" s="87">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70</v>
      </c>
      <c r="C3942" s="10" t="s">
        <v>763</v>
      </c>
      <c r="D3942" s="10" t="s">
        <v>762</v>
      </c>
      <c r="E3942" s="11" t="str">
        <f t="array" ref="E3942">_xlfn.XLOOKUP(D3942,Insumos!B:B,Insumos!C:$C)</f>
        <v>L</v>
      </c>
      <c r="F3942" s="14">
        <v>0.495</v>
      </c>
      <c r="G3942" s="87">
        <f t="array" ref="G3942">IF(B3942="insumo",_xlfn.XLOOKUP($D3942,Insumos!$B$1:$B$996,Insumos!$D$1:$D$996),"")</f>
        <v>24.5</v>
      </c>
      <c r="H3942" s="87">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332">
        <v>1</v>
      </c>
      <c r="B3943" s="332" t="s">
        <v>67</v>
      </c>
      <c r="C3943" s="332" t="s">
        <v>766</v>
      </c>
      <c r="D3943" s="332" t="s">
        <v>766</v>
      </c>
      <c r="E3943" s="333" t="s">
        <v>69</v>
      </c>
      <c r="F3943" s="332"/>
      <c r="G3943" s="334" t="str">
        <f t="array" ref="G3943">IF(B3943="insumo",_xlfn.XLOOKUP($D3943,Insumos!$B$1:$B$996,Insumos!$D$1:$D$996),"")</f>
        <v/>
      </c>
      <c r="H3943" s="334">
        <v>13.636363636363599</v>
      </c>
      <c r="I3943" s="335">
        <v>0</v>
      </c>
      <c r="J3943" s="335">
        <v>0</v>
      </c>
      <c r="K3943" s="335"/>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70</v>
      </c>
      <c r="C3944" s="10" t="s">
        <v>766</v>
      </c>
      <c r="D3944" s="10" t="s">
        <v>768</v>
      </c>
      <c r="E3944" s="11" t="str">
        <f t="array" ref="E3944">_xlfn.XLOOKUP(D3944,Insumos!B:B,Insumos!C:$C)</f>
        <v>KG</v>
      </c>
      <c r="F3944" s="14">
        <v>1.5</v>
      </c>
      <c r="G3944" s="87">
        <f t="array" ref="G3944">IF(B3944="insumo",_xlfn.XLOOKUP($D3944,Insumos!$B$1:$B$996,Insumos!$D$1:$D$996),"")</f>
        <v>9.0909090909090917</v>
      </c>
      <c r="H3944" s="87">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332">
        <v>1</v>
      </c>
      <c r="B3945" s="332" t="s">
        <v>67</v>
      </c>
      <c r="C3945" s="332" t="s">
        <v>769</v>
      </c>
      <c r="D3945" s="332" t="s">
        <v>769</v>
      </c>
      <c r="E3945" s="333" t="s">
        <v>69</v>
      </c>
      <c r="F3945" s="332"/>
      <c r="G3945" s="334" t="str">
        <f t="array" ref="G3945">IF(B3945="insumo",_xlfn.XLOOKUP($D3945,Insumos!$B$1:$B$996,Insumos!$D$1:$D$996),"")</f>
        <v/>
      </c>
      <c r="H3945" s="334">
        <v>8.7283160649999996</v>
      </c>
      <c r="I3945" s="335" t="e">
        <v>#REF!</v>
      </c>
      <c r="J3945" s="335" t="e">
        <v>#REF!</v>
      </c>
      <c r="K3945" s="335"/>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70</v>
      </c>
      <c r="C3946" s="10" t="s">
        <v>769</v>
      </c>
      <c r="D3946" s="10" t="s">
        <v>749</v>
      </c>
      <c r="E3946" s="11" t="str">
        <f t="array" ref="E3946">_xlfn.XLOOKUP(D3946,Insumos!B:B,Insumos!C:$C)</f>
        <v>UN</v>
      </c>
      <c r="F3946" s="14">
        <v>0.01</v>
      </c>
      <c r="G3946" s="87">
        <f t="array" ref="G3946">IF(B3946="insumo",_xlfn.XLOOKUP($D3946,Insumos!$B$1:$B$996,Insumos!$D$1:$D$996),"")</f>
        <v>11.26</v>
      </c>
      <c r="H3946" s="87">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70</v>
      </c>
      <c r="C3947" s="10" t="s">
        <v>769</v>
      </c>
      <c r="D3947" s="10" t="s">
        <v>762</v>
      </c>
      <c r="E3947" s="11" t="str">
        <f t="array" ref="E3947">_xlfn.XLOOKUP(D3947,Insumos!B:B,Insumos!C:$C)</f>
        <v>L</v>
      </c>
      <c r="F3947" s="14">
        <v>0.33</v>
      </c>
      <c r="G3947" s="87">
        <f t="array" ref="G3947">IF(B3947="insumo",_xlfn.XLOOKUP($D3947,Insumos!$B$1:$B$996,Insumos!$D$1:$D$996),"")</f>
        <v>24.5</v>
      </c>
      <c r="H3947" s="87">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70</v>
      </c>
      <c r="C3948" s="10" t="s">
        <v>769</v>
      </c>
      <c r="D3948" s="10" t="s">
        <v>1608</v>
      </c>
      <c r="E3948" s="11" t="str">
        <f t="array" ref="E3948">_xlfn.XLOOKUP(D3948,Insumos!B:B,Insumos!C:$C)</f>
        <v>L</v>
      </c>
      <c r="F3948" s="14">
        <v>2.2499999999999998E-3</v>
      </c>
      <c r="G3948" s="87">
        <f t="array" ref="G3948">IF(B3948="insumo",_xlfn.XLOOKUP($D3948,Insumos!$B$1:$B$996,Insumos!$D$1:$D$996),"")</f>
        <v>13.5</v>
      </c>
      <c r="H3948" s="87">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70</v>
      </c>
      <c r="C3949" s="10" t="s">
        <v>769</v>
      </c>
      <c r="D3949" s="10" t="s">
        <v>749</v>
      </c>
      <c r="E3949" s="11" t="str">
        <f t="array" ref="E3949">_xlfn.XLOOKUP(D3949,Insumos!B:B,Insumos!C:$C)</f>
        <v>UN</v>
      </c>
      <c r="F3949" s="14">
        <v>2.1320000000000002E-3</v>
      </c>
      <c r="G3949" s="87">
        <f t="array" ref="G3949">IF(B3949="insumo",_xlfn.XLOOKUP($D3949,Insumos!$B$1:$B$996,Insumos!$D$1:$D$996),"")</f>
        <v>11.26</v>
      </c>
      <c r="H3949" s="87">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70</v>
      </c>
      <c r="C3950" s="10" t="s">
        <v>769</v>
      </c>
      <c r="D3950" s="10" t="s">
        <v>1609</v>
      </c>
      <c r="E3950" s="11" t="str">
        <f t="array" ref="E3950">_xlfn.XLOOKUP(D3950,Insumos!B:B,Insumos!C:$C)</f>
        <v>UN</v>
      </c>
      <c r="F3950" s="14">
        <v>0.01</v>
      </c>
      <c r="G3950" s="87">
        <f t="array" ref="G3950">IF(B3950="insumo",_xlfn.XLOOKUP($D3950,Insumos!$B$1:$B$996,Insumos!$D$1:$D$996),"")</f>
        <v>6.9</v>
      </c>
      <c r="H3950" s="87">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70</v>
      </c>
      <c r="C3951" s="10" t="s">
        <v>769</v>
      </c>
      <c r="D3951" s="10" t="s">
        <v>1610</v>
      </c>
      <c r="E3951" s="11" t="str">
        <f t="array" ref="E3951">_xlfn.XLOOKUP(D3951,Insumos!B:B,Insumos!C:$C)</f>
        <v>L</v>
      </c>
      <c r="F3951" s="14">
        <v>2.3579999999999999E-3</v>
      </c>
      <c r="G3951" s="87">
        <f t="array" ref="G3951">IF(B3951="insumo",_xlfn.XLOOKUP($D3951,Insumos!$B$1:$B$996,Insumos!$D$1:$D$996),"")</f>
        <v>6.4</v>
      </c>
      <c r="H3951" s="87">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70</v>
      </c>
      <c r="C3952" s="10" t="s">
        <v>769</v>
      </c>
      <c r="D3952" s="10" t="s">
        <v>310</v>
      </c>
      <c r="E3952" s="11" t="str">
        <f t="array" ref="E3952">_xlfn.XLOOKUP(D3952,Insumos!B:B,Insumos!C:$C)</f>
        <v>M2</v>
      </c>
      <c r="F3952" s="14">
        <v>2.2499999999999998E-3</v>
      </c>
      <c r="G3952" s="87">
        <f t="array" ref="G3952">IF(B3952="insumo",_xlfn.XLOOKUP($D3952,Insumos!$B$1:$B$996,Insumos!$D$1:$D$996),"")</f>
        <v>2.3025000000000002</v>
      </c>
      <c r="H3952" s="87">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70</v>
      </c>
      <c r="C3953" s="10" t="s">
        <v>769</v>
      </c>
      <c r="D3953" s="10" t="s">
        <v>1611</v>
      </c>
      <c r="E3953" s="11" t="str">
        <f t="array" ref="E3953">_xlfn.XLOOKUP(D3953,Insumos!B:B,Insumos!C:$C)</f>
        <v>UN</v>
      </c>
      <c r="F3953" s="14">
        <v>2.4879999999999999E-2</v>
      </c>
      <c r="G3953" s="87">
        <f t="array" ref="G3953">IF(B3953="insumo",_xlfn.XLOOKUP($D3953,Insumos!$B$1:$B$996,Insumos!$D$1:$D$996),"")</f>
        <v>5.9889999999999999</v>
      </c>
      <c r="H3953" s="87">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70</v>
      </c>
      <c r="C3954" s="10" t="s">
        <v>769</v>
      </c>
      <c r="D3954" s="10" t="s">
        <v>1612</v>
      </c>
      <c r="E3954" s="11" t="str">
        <f t="array" ref="E3954">_xlfn.XLOOKUP(D3954,Insumos!B:B,Insumos!C:$C)</f>
        <v>UN</v>
      </c>
      <c r="F3954" s="14">
        <v>2.4879999999999999E-2</v>
      </c>
      <c r="G3954" s="87">
        <f t="array" ref="G3954">IF(B3954="insumo",_xlfn.XLOOKUP($D3954,Insumos!$B$1:$B$996,Insumos!$D$1:$D$996),"")</f>
        <v>5.25</v>
      </c>
      <c r="H3954" s="87">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70</v>
      </c>
      <c r="C3955" s="10" t="s">
        <v>769</v>
      </c>
      <c r="D3955" s="10" t="s">
        <v>1613</v>
      </c>
      <c r="E3955" s="11" t="str">
        <f t="array" ref="E3955">_xlfn.XLOOKUP(D3955,Insumos!B:B,Insumos!C:$C)</f>
        <v>UN</v>
      </c>
      <c r="F3955" s="14">
        <v>2.1320000000000002E-3</v>
      </c>
      <c r="G3955" s="87">
        <f t="array" ref="G3955">IF(B3955="insumo",_xlfn.XLOOKUP($D3955,Insumos!$B$1:$B$996,Insumos!$D$1:$D$996),"")</f>
        <v>36.9</v>
      </c>
      <c r="H3955" s="87">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70</v>
      </c>
      <c r="C3956" s="10" t="s">
        <v>769</v>
      </c>
      <c r="D3956" s="10" t="s">
        <v>103</v>
      </c>
      <c r="E3956" s="11" t="str">
        <f t="array" ref="E3956">_xlfn.XLOOKUP(D3956,Insumos!B:B,Insumos!C:$C)</f>
        <v>UN</v>
      </c>
      <c r="F3956" s="14">
        <v>1.5219999999999999E-2</v>
      </c>
      <c r="G3956" s="87">
        <f t="array" ref="G3956">IF(B3956="insumo",_xlfn.XLOOKUP($D3956,Insumos!$B$1:$B$996,Insumos!$D$1:$D$996),"")</f>
        <v>1.89</v>
      </c>
      <c r="H3956" s="87">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332">
        <v>1</v>
      </c>
      <c r="B3957" s="332" t="s">
        <v>67</v>
      </c>
      <c r="C3957" s="332" t="s">
        <v>772</v>
      </c>
      <c r="D3957" s="332" t="s">
        <v>772</v>
      </c>
      <c r="E3957" s="333" t="s">
        <v>69</v>
      </c>
      <c r="F3957" s="332"/>
      <c r="G3957" s="334" t="str">
        <f t="array" ref="G3957">IF(B3957="insumo",_xlfn.XLOOKUP($D3957,Insumos!$B$1:$B$996,Insumos!$D$1:$D$996),"")</f>
        <v/>
      </c>
      <c r="H3957" s="334">
        <v>13.205401999999999</v>
      </c>
      <c r="I3957" s="335">
        <v>0</v>
      </c>
      <c r="J3957" s="335">
        <v>0</v>
      </c>
      <c r="K3957" s="335"/>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70</v>
      </c>
      <c r="C3958" s="10" t="s">
        <v>772</v>
      </c>
      <c r="D3958" s="10" t="s">
        <v>762</v>
      </c>
      <c r="E3958" s="11" t="str">
        <f t="array" ref="E3958">_xlfn.XLOOKUP(D3958,Insumos!B:B,Insumos!C:$C)</f>
        <v>L</v>
      </c>
      <c r="F3958" s="14">
        <v>0.495</v>
      </c>
      <c r="G3958" s="87">
        <f t="array" ref="G3958">IF(B3958="insumo",_xlfn.XLOOKUP($D3958,Insumos!$B$1:$B$996,Insumos!$D$1:$D$996),"")</f>
        <v>24.5</v>
      </c>
      <c r="H3958" s="87">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70</v>
      </c>
      <c r="C3959" s="10" t="s">
        <v>772</v>
      </c>
      <c r="D3959" s="10" t="s">
        <v>767</v>
      </c>
      <c r="E3959" s="11" t="str">
        <f t="array" ref="E3959">_xlfn.XLOOKUP(D3959,Insumos!B:B,Insumos!C:$C)</f>
        <v>L</v>
      </c>
      <c r="F3959" s="14">
        <v>0.1666</v>
      </c>
      <c r="G3959" s="87">
        <f t="array" ref="G3959">IF(B3959="insumo",_xlfn.XLOOKUP($D3959,Insumos!$B$1:$B$996,Insumos!$D$1:$D$996),"")</f>
        <v>6.47</v>
      </c>
      <c r="H3959" s="87">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332">
        <v>1</v>
      </c>
      <c r="B3960" s="332" t="s">
        <v>67</v>
      </c>
      <c r="C3960" s="332" t="s">
        <v>2627</v>
      </c>
      <c r="D3960" s="332" t="s">
        <v>2627</v>
      </c>
      <c r="E3960" s="333" t="s">
        <v>69</v>
      </c>
      <c r="F3960" s="332"/>
      <c r="G3960" s="334" t="str">
        <f t="array" ref="G3960">IF(B3960="insumo",_xlfn.XLOOKUP($D3960,Insumos!$B$1:$B$996,Insumos!$D$1:$D$996),"")</f>
        <v/>
      </c>
      <c r="H3960" s="334">
        <v>39.6</v>
      </c>
      <c r="I3960" s="335" t="e">
        <v>#REF!</v>
      </c>
      <c r="J3960" s="335" t="e">
        <v>#REF!</v>
      </c>
      <c r="K3960" s="335"/>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70</v>
      </c>
      <c r="C3961" s="10" t="s">
        <v>2627</v>
      </c>
      <c r="D3961" s="10" t="s">
        <v>2628</v>
      </c>
      <c r="E3961" s="11" t="str">
        <f t="array" ref="E3961">_xlfn.XLOOKUP(D3961,Insumos!B:B,Insumos!C:$C)</f>
        <v>KG</v>
      </c>
      <c r="F3961" s="14">
        <v>1.5</v>
      </c>
      <c r="G3961" s="87">
        <f t="array" ref="G3961">IF(B3961="insumo",_xlfn.XLOOKUP($D3961,Insumos!$B$1:$B$996,Insumos!$D$1:$D$996),"")</f>
        <v>26.4</v>
      </c>
      <c r="H3961" s="87">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332">
        <v>1</v>
      </c>
      <c r="B3962" s="332" t="s">
        <v>67</v>
      </c>
      <c r="C3962" s="332" t="s">
        <v>2623</v>
      </c>
      <c r="D3962" s="332" t="s">
        <v>2623</v>
      </c>
      <c r="E3962" s="333" t="s">
        <v>69</v>
      </c>
      <c r="F3962" s="332"/>
      <c r="G3962" s="334" t="str">
        <f t="array" ref="G3962">IF(B3962="insumo",_xlfn.XLOOKUP($D3962,Insumos!$B$1:$B$996,Insumos!$D$1:$D$996),"")</f>
        <v/>
      </c>
      <c r="H3962" s="334">
        <v>22.507959374999999</v>
      </c>
      <c r="I3962" s="335" t="e">
        <v>#REF!</v>
      </c>
      <c r="J3962" s="335" t="e">
        <v>#REF!</v>
      </c>
      <c r="K3962" s="335"/>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70</v>
      </c>
      <c r="C3963" s="10" t="s">
        <v>2623</v>
      </c>
      <c r="D3963" s="10" t="s">
        <v>2624</v>
      </c>
      <c r="E3963" s="11" t="str">
        <f t="array" ref="E3963">_xlfn.XLOOKUP(D3963,Insumos!B:B,Insumos!C:$C)</f>
        <v>L</v>
      </c>
      <c r="F3963" s="14">
        <v>0.495</v>
      </c>
      <c r="G3963" s="87">
        <f t="array" ref="G3963">IF(B3963="insumo",_xlfn.XLOOKUP($D3963,Insumos!$B$1:$B$996,Insumos!$D$1:$D$996),"")</f>
        <v>45.470624999999998</v>
      </c>
      <c r="H3963" s="87">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332">
        <v>1</v>
      </c>
      <c r="B3964" s="332" t="s">
        <v>67</v>
      </c>
      <c r="C3964" s="332" t="s">
        <v>2626</v>
      </c>
      <c r="D3964" s="332" t="s">
        <v>2626</v>
      </c>
      <c r="E3964" s="333" t="s">
        <v>69</v>
      </c>
      <c r="F3964" s="332"/>
      <c r="G3964" s="334" t="str">
        <f t="array" ref="G3964">IF(B3964="insumo",_xlfn.XLOOKUP($D3964,Insumos!$B$1:$B$996,Insumos!$D$1:$D$996),"")</f>
        <v/>
      </c>
      <c r="H3964" s="334">
        <v>20.468868749999999</v>
      </c>
      <c r="I3964" s="335" t="e">
        <v>#REF!</v>
      </c>
      <c r="J3964" s="335" t="e">
        <v>#REF!</v>
      </c>
      <c r="K3964" s="335"/>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70</v>
      </c>
      <c r="C3965" s="10" t="s">
        <v>2626</v>
      </c>
      <c r="D3965" s="10" t="s">
        <v>2625</v>
      </c>
      <c r="E3965" s="11" t="str">
        <f t="array" ref="E3965">_xlfn.XLOOKUP(D3965,Insumos!B:B,Insumos!C:$C)</f>
        <v>L</v>
      </c>
      <c r="F3965" s="14">
        <v>0.495</v>
      </c>
      <c r="G3965" s="87">
        <f t="array" ref="G3965">IF(B3965="insumo",_xlfn.XLOOKUP($D3965,Insumos!$B$1:$B$996,Insumos!$D$1:$D$996),"")</f>
        <v>41.35125</v>
      </c>
      <c r="H3965" s="87">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332">
        <v>1</v>
      </c>
      <c r="B3966" s="332" t="s">
        <v>67</v>
      </c>
      <c r="C3966" s="332" t="s">
        <v>2629</v>
      </c>
      <c r="D3966" s="332" t="s">
        <v>2629</v>
      </c>
      <c r="E3966" s="333" t="s">
        <v>69</v>
      </c>
      <c r="F3966" s="332"/>
      <c r="G3966" s="334" t="str">
        <f t="array" ref="G3966">IF(B3966="insumo",_xlfn.XLOOKUP($D3966,Insumos!$B$1:$B$996,Insumos!$D$1:$D$996),"")</f>
        <v/>
      </c>
      <c r="H3966" s="334">
        <v>66.75</v>
      </c>
      <c r="I3966" s="335" t="e">
        <v>#REF!</v>
      </c>
      <c r="J3966" s="335" t="e">
        <v>#REF!</v>
      </c>
      <c r="K3966" s="335"/>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70</v>
      </c>
      <c r="C3967" s="10" t="s">
        <v>2629</v>
      </c>
      <c r="D3967" s="10" t="s">
        <v>2630</v>
      </c>
      <c r="E3967" s="11" t="str">
        <f t="array" ref="E3967">_xlfn.XLOOKUP(D3967,Insumos!B:B,Insumos!C:$C)</f>
        <v>KG</v>
      </c>
      <c r="F3967" s="14">
        <v>1.5</v>
      </c>
      <c r="G3967" s="87">
        <f t="array" ref="G3967">IF(B3967="insumo",_xlfn.XLOOKUP($D3967,Insumos!$B$1:$B$996,Insumos!$D$1:$D$996),"")</f>
        <v>44.5</v>
      </c>
      <c r="H3967" s="87">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332">
        <v>1</v>
      </c>
      <c r="B3968" s="332" t="s">
        <v>67</v>
      </c>
      <c r="C3968" s="332" t="s">
        <v>773</v>
      </c>
      <c r="D3968" s="332" t="s">
        <v>773</v>
      </c>
      <c r="E3968" s="333" t="s">
        <v>69</v>
      </c>
      <c r="F3968" s="332"/>
      <c r="G3968" s="334" t="str">
        <f t="array" ref="G3968">IF(B3968="insumo",_xlfn.XLOOKUP($D3968,Insumos!$B$1:$B$996,Insumos!$D$1:$D$996),"")</f>
        <v/>
      </c>
      <c r="H3968" s="334">
        <v>12.1275</v>
      </c>
      <c r="I3968" s="335" t="e">
        <v>#REF!</v>
      </c>
      <c r="J3968" s="335" t="e">
        <v>#REF!</v>
      </c>
      <c r="K3968" s="335"/>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70</v>
      </c>
      <c r="C3969" s="10" t="s">
        <v>773</v>
      </c>
      <c r="D3969" s="10" t="s">
        <v>762</v>
      </c>
      <c r="E3969" s="11" t="str">
        <f t="array" ref="E3969">_xlfn.XLOOKUP(D3969,Insumos!B:B,Insumos!C:$C)</f>
        <v>L</v>
      </c>
      <c r="F3969" s="14">
        <v>0.495</v>
      </c>
      <c r="G3969" s="87">
        <f t="array" ref="G3969">IF(B3969="insumo",_xlfn.XLOOKUP($D3969,Insumos!$B$1:$B$996,Insumos!$D$1:$D$996),"")</f>
        <v>24.5</v>
      </c>
      <c r="H3969" s="87">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332">
        <v>1</v>
      </c>
      <c r="B3970" s="332" t="s">
        <v>67</v>
      </c>
      <c r="C3970" s="332" t="s">
        <v>774</v>
      </c>
      <c r="D3970" s="332" t="s">
        <v>774</v>
      </c>
      <c r="E3970" s="333" t="s">
        <v>69</v>
      </c>
      <c r="F3970" s="332"/>
      <c r="G3970" s="334" t="str">
        <f t="array" ref="G3970">IF(B3970="insumo",_xlfn.XLOOKUP($D3970,Insumos!$B$1:$B$996,Insumos!$D$1:$D$996),"")</f>
        <v/>
      </c>
      <c r="H3970" s="334">
        <v>17.554562000000001</v>
      </c>
      <c r="I3970" s="335">
        <v>0</v>
      </c>
      <c r="J3970" s="335">
        <v>0</v>
      </c>
      <c r="K3970" s="335"/>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70</v>
      </c>
      <c r="C3971" s="10" t="s">
        <v>774</v>
      </c>
      <c r="D3971" s="10" t="s">
        <v>103</v>
      </c>
      <c r="E3971" s="11" t="str">
        <f t="array" ref="E3971">_xlfn.XLOOKUP(D3971,Insumos!B:B,Insumos!C:$C)</f>
        <v>UN</v>
      </c>
      <c r="F3971" s="14">
        <v>0.1</v>
      </c>
      <c r="G3971" s="87">
        <f t="array" ref="G3971">IF(B3971="insumo",_xlfn.XLOOKUP($D3971,Insumos!$B$1:$B$996,Insumos!$D$1:$D$996),"")</f>
        <v>1.89</v>
      </c>
      <c r="H3971" s="87">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70</v>
      </c>
      <c r="C3972" s="10" t="s">
        <v>774</v>
      </c>
      <c r="D3972" s="10" t="s">
        <v>764</v>
      </c>
      <c r="E3972" s="11" t="str">
        <f t="array" ref="E3972">_xlfn.XLOOKUP(D3972,Insumos!B:B,Insumos!C:$C)</f>
        <v>KG</v>
      </c>
      <c r="F3972" s="14">
        <v>0.86670000000000003</v>
      </c>
      <c r="G3972" s="87">
        <f t="array" ref="G3972">IF(B3972="insumo",_xlfn.XLOOKUP($D3972,Insumos!$B$1:$B$996,Insumos!$D$1:$D$996),"")</f>
        <v>4.8</v>
      </c>
      <c r="H3972" s="87">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70</v>
      </c>
      <c r="C3973" s="10" t="s">
        <v>774</v>
      </c>
      <c r="D3973" s="10" t="s">
        <v>767</v>
      </c>
      <c r="E3973" s="11" t="str">
        <f t="array" ref="E3973">_xlfn.XLOOKUP(D3973,Insumos!B:B,Insumos!C:$C)</f>
        <v>L</v>
      </c>
      <c r="F3973" s="14">
        <v>0.1666</v>
      </c>
      <c r="G3973" s="87">
        <f t="array" ref="G3973">IF(B3973="insumo",_xlfn.XLOOKUP($D3973,Insumos!$B$1:$B$996,Insumos!$D$1:$D$996),"")</f>
        <v>6.47</v>
      </c>
      <c r="H3973" s="87">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70</v>
      </c>
      <c r="C3974" s="10" t="s">
        <v>774</v>
      </c>
      <c r="D3974" s="10" t="s">
        <v>762</v>
      </c>
      <c r="E3974" s="11" t="str">
        <f t="array" ref="E3974">_xlfn.XLOOKUP(D3974,Insumos!B:B,Insumos!C:$C)</f>
        <v>L</v>
      </c>
      <c r="F3974" s="14">
        <v>0.495</v>
      </c>
      <c r="G3974" s="87">
        <f t="array" ref="G3974">IF(B3974="insumo",_xlfn.XLOOKUP($D3974,Insumos!$B$1:$B$996,Insumos!$D$1:$D$996),"")</f>
        <v>24.5</v>
      </c>
      <c r="H3974" s="87">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332">
        <v>1</v>
      </c>
      <c r="B3975" s="332" t="s">
        <v>67</v>
      </c>
      <c r="C3975" s="332" t="s">
        <v>1544</v>
      </c>
      <c r="D3975" s="332" t="s">
        <v>1544</v>
      </c>
      <c r="E3975" s="333" t="s">
        <v>112</v>
      </c>
      <c r="F3975" s="332"/>
      <c r="G3975" s="334" t="str">
        <f t="array" ref="G3975">IF(B3975="insumo",_xlfn.XLOOKUP($D3975,Insumos!$B$1:$B$996,Insumos!$D$1:$D$996),"")</f>
        <v/>
      </c>
      <c r="H3975" s="334">
        <v>21.170109199999999</v>
      </c>
      <c r="I3975" s="335">
        <v>0</v>
      </c>
      <c r="J3975" s="335">
        <v>0</v>
      </c>
      <c r="K3975" s="335"/>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70</v>
      </c>
      <c r="C3976" s="10" t="s">
        <v>1544</v>
      </c>
      <c r="D3976" s="10" t="s">
        <v>748</v>
      </c>
      <c r="E3976" s="11" t="str">
        <f t="array" ref="E3976">_xlfn.XLOOKUP(D3976,Insumos!B:B,Insumos!C:$C)</f>
        <v>L</v>
      </c>
      <c r="F3976" s="14">
        <f>0.064*0.3</f>
        <v>1.9199999999999998E-2</v>
      </c>
      <c r="G3976" s="87">
        <f t="array" ref="G3976">IF(B3976="insumo",_xlfn.XLOOKUP($D3976,Insumos!$B$1:$B$996,Insumos!$D$1:$D$996),"")</f>
        <v>50.12</v>
      </c>
      <c r="H3976" s="87">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70</v>
      </c>
      <c r="C3977" s="10" t="s">
        <v>1544</v>
      </c>
      <c r="D3977" s="10" t="s">
        <v>749</v>
      </c>
      <c r="E3977" s="11" t="str">
        <f t="array" ref="E3977">_xlfn.XLOOKUP(D3977,Insumos!B:B,Insumos!C:$C)</f>
        <v>UN</v>
      </c>
      <c r="F3977" s="14">
        <f>0.01*0.3</f>
        <v>3.0000000000000001E-3</v>
      </c>
      <c r="G3977" s="87">
        <f t="array" ref="G3977">IF(B3977="insumo",_xlfn.XLOOKUP($D3977,Insumos!$B$1:$B$996,Insumos!$D$1:$D$996),"")</f>
        <v>11.26</v>
      </c>
      <c r="H3977" s="87">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70</v>
      </c>
      <c r="C3978" s="10" t="s">
        <v>1544</v>
      </c>
      <c r="D3978" s="10" t="s">
        <v>750</v>
      </c>
      <c r="E3978" s="11" t="str">
        <f t="array" ref="E3978">_xlfn.XLOOKUP(D3978,Insumos!B:B,Insumos!C:$C)</f>
        <v>L</v>
      </c>
      <c r="F3978" s="14">
        <f>0.2016*0.3</f>
        <v>6.0479999999999999E-2</v>
      </c>
      <c r="G3978" s="87">
        <f t="array" ref="G3978">IF(B3978="insumo",_xlfn.XLOOKUP($D3978,Insumos!$B$1:$B$996,Insumos!$D$1:$D$996),"")</f>
        <v>137.24</v>
      </c>
      <c r="H3978" s="87">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70</v>
      </c>
      <c r="C3979" s="10" t="s">
        <v>1544</v>
      </c>
      <c r="D3979" s="10" t="s">
        <v>751</v>
      </c>
      <c r="E3979" s="11" t="str">
        <f t="array" ref="E3979">_xlfn.XLOOKUP(D3979,Insumos!B:B,Insumos!C:$C)</f>
        <v>L</v>
      </c>
      <c r="F3979" s="14">
        <f>0.483*0.3</f>
        <v>0.1449</v>
      </c>
      <c r="G3979" s="87">
        <f t="array" ref="G3979">IF(B3979="insumo",_xlfn.XLOOKUP($D3979,Insumos!$B$1:$B$996,Insumos!$D$1:$D$996),"")</f>
        <v>81.944444444444443</v>
      </c>
      <c r="H3979" s="87">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336">
        <v>1</v>
      </c>
      <c r="B3980" s="336" t="s">
        <v>67</v>
      </c>
      <c r="C3980" s="336" t="s">
        <v>1854</v>
      </c>
      <c r="D3980" s="336" t="s">
        <v>1854</v>
      </c>
      <c r="E3980" s="337" t="s">
        <v>69</v>
      </c>
      <c r="F3980" s="336"/>
      <c r="G3980" s="338" t="str">
        <f t="array" ref="G3980">IF(B3980="insumo",_xlfn.XLOOKUP($D3980,Insumos!$B$1:$B$996,Insumos!$D$1:$D$996),"")</f>
        <v/>
      </c>
      <c r="H3980" s="338">
        <v>13.636363636363599</v>
      </c>
      <c r="I3980" s="339">
        <v>0</v>
      </c>
      <c r="J3980" s="339">
        <v>0</v>
      </c>
      <c r="K3980" s="339"/>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77">
        <v>5</v>
      </c>
      <c r="B3981" s="77" t="s">
        <v>70</v>
      </c>
      <c r="C3981" s="77" t="s">
        <v>1854</v>
      </c>
      <c r="D3981" s="77" t="s">
        <v>768</v>
      </c>
      <c r="E3981" s="11" t="str">
        <f t="array" ref="E3981">_xlfn.XLOOKUP(D3981,Insumos!B:B,Insumos!C:$C)</f>
        <v>KG</v>
      </c>
      <c r="F3981" s="81">
        <v>1.5</v>
      </c>
      <c r="G3981" s="87">
        <f t="array" ref="G3981">IF(B3981="insumo",_xlfn.XLOOKUP($D3981,Insumos!$B$1:$B$996,Insumos!$D$1:$D$996),"")</f>
        <v>9.0909090909090917</v>
      </c>
      <c r="H3981" s="87">
        <v>13.636363636363599</v>
      </c>
      <c r="I3981" s="79">
        <v>0</v>
      </c>
      <c r="J3981" s="79">
        <v>0</v>
      </c>
      <c r="K3981" s="79"/>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336">
        <v>1</v>
      </c>
      <c r="B3982" s="336" t="s">
        <v>67</v>
      </c>
      <c r="C3982" s="336" t="s">
        <v>1855</v>
      </c>
      <c r="D3982" s="336" t="s">
        <v>1855</v>
      </c>
      <c r="E3982" s="337" t="s">
        <v>69</v>
      </c>
      <c r="F3982" s="336"/>
      <c r="G3982" s="338" t="str">
        <f t="array" ref="G3982">IF(B3982="insumo",_xlfn.XLOOKUP($D3982,Insumos!$B$1:$B$996,Insumos!$D$1:$D$996),"")</f>
        <v/>
      </c>
      <c r="H3982" s="338">
        <v>16.186626666666701</v>
      </c>
      <c r="I3982" s="339">
        <v>0</v>
      </c>
      <c r="J3982" s="339">
        <v>0</v>
      </c>
      <c r="K3982" s="339"/>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77">
        <v>25</v>
      </c>
      <c r="B3983" s="77" t="s">
        <v>70</v>
      </c>
      <c r="C3983" s="77" t="s">
        <v>1855</v>
      </c>
      <c r="D3983" s="77" t="s">
        <v>749</v>
      </c>
      <c r="E3983" s="11" t="str">
        <f t="array" ref="E3983">_xlfn.XLOOKUP(D3983,Insumos!B:B,Insumos!C:$C)</f>
        <v>UN</v>
      </c>
      <c r="F3983" s="81">
        <v>0.01</v>
      </c>
      <c r="G3983" s="87">
        <f t="array" ref="G3983">IF(B3983="insumo",_xlfn.XLOOKUP($D3983,Insumos!$B$1:$B$996,Insumos!$D$1:$D$996),"")</f>
        <v>11.26</v>
      </c>
      <c r="H3983" s="87">
        <v>0.11260000000000001</v>
      </c>
      <c r="I3983" s="79">
        <v>0</v>
      </c>
      <c r="J3983" s="79">
        <v>0</v>
      </c>
      <c r="K3983" s="79"/>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77">
        <v>6</v>
      </c>
      <c r="B3984" s="77" t="s">
        <v>70</v>
      </c>
      <c r="C3984" s="77" t="s">
        <v>1855</v>
      </c>
      <c r="D3984" s="77" t="s">
        <v>755</v>
      </c>
      <c r="E3984" s="11" t="str">
        <f t="array" ref="E3984">_xlfn.XLOOKUP(D3984,Insumos!B:B,Insumos!C:$C)</f>
        <v>L</v>
      </c>
      <c r="F3984" s="81">
        <v>6.4000000000000001E-2</v>
      </c>
      <c r="G3984" s="87">
        <f t="array" ref="G3984">IF(B3984="insumo",_xlfn.XLOOKUP($D3984,Insumos!$B$1:$B$996,Insumos!$D$1:$D$996),"")</f>
        <v>21.99</v>
      </c>
      <c r="H3984" s="87">
        <v>1.4073599999999999</v>
      </c>
      <c r="I3984" s="79">
        <v>0</v>
      </c>
      <c r="J3984" s="79">
        <v>0</v>
      </c>
      <c r="K3984" s="79"/>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77">
        <v>4</v>
      </c>
      <c r="B3985" s="77" t="s">
        <v>70</v>
      </c>
      <c r="C3985" s="77" t="s">
        <v>1855</v>
      </c>
      <c r="D3985" s="77" t="s">
        <v>864</v>
      </c>
      <c r="E3985" s="11" t="str">
        <f t="array" ref="E3985">_xlfn.XLOOKUP(D3985,Insumos!B:B,Insumos!C:$C)</f>
        <v>L</v>
      </c>
      <c r="F3985" s="81">
        <f>0.33/2</f>
        <v>0.16500000000000001</v>
      </c>
      <c r="G3985" s="87">
        <f t="array" ref="G3985">IF(B3985="insumo",_xlfn.XLOOKUP($D3985,Insumos!$B$1:$B$996,Insumos!$D$1:$D$996),"")</f>
        <v>69.444444444444443</v>
      </c>
      <c r="H3985" s="87">
        <v>11.4583333333333</v>
      </c>
      <c r="I3985" s="79">
        <v>0</v>
      </c>
      <c r="J3985" s="79">
        <v>0</v>
      </c>
      <c r="K3985" s="79"/>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77">
        <v>1</v>
      </c>
      <c r="B3986" s="77" t="s">
        <v>70</v>
      </c>
      <c r="C3986" s="77" t="s">
        <v>1855</v>
      </c>
      <c r="D3986" s="77" t="s">
        <v>1832</v>
      </c>
      <c r="E3986" s="11" t="str">
        <f t="array" ref="E3986">_xlfn.XLOOKUP(D3986,Insumos!B:B,Insumos!C:$C)</f>
        <v>L</v>
      </c>
      <c r="F3986" s="81">
        <f>0.33/2</f>
        <v>0.16500000000000001</v>
      </c>
      <c r="G3986" s="87">
        <f t="array" ref="G3986">IF(B3986="insumo",_xlfn.XLOOKUP($D3986,Insumos!$B$1:$B$996,Insumos!$D$1:$D$996),"")</f>
        <v>19.444444444444443</v>
      </c>
      <c r="H3986" s="87">
        <v>3.2083333333333299</v>
      </c>
      <c r="I3986" s="79">
        <v>0</v>
      </c>
      <c r="J3986" s="79">
        <v>0</v>
      </c>
      <c r="K3986" s="79"/>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336">
        <v>1</v>
      </c>
      <c r="B3987" s="336" t="s">
        <v>67</v>
      </c>
      <c r="C3987" s="336" t="s">
        <v>1856</v>
      </c>
      <c r="D3987" s="336" t="s">
        <v>1856</v>
      </c>
      <c r="E3987" s="337" t="s">
        <v>69</v>
      </c>
      <c r="F3987" s="336"/>
      <c r="G3987" s="338" t="str">
        <f t="array" ref="G3987">IF(B3987="insumo",_xlfn.XLOOKUP($D3987,Insumos!$B$1:$B$996,Insumos!$D$1:$D$996),"")</f>
        <v/>
      </c>
      <c r="H3987" s="338">
        <v>0.91500000000000004</v>
      </c>
      <c r="I3987" s="339">
        <v>0</v>
      </c>
      <c r="J3987" s="339">
        <v>0</v>
      </c>
      <c r="K3987" s="339"/>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77">
        <v>1</v>
      </c>
      <c r="B3988" s="77" t="s">
        <v>70</v>
      </c>
      <c r="C3988" s="77" t="s">
        <v>1856</v>
      </c>
      <c r="D3988" s="77" t="s">
        <v>1845</v>
      </c>
      <c r="E3988" s="11" t="str">
        <f t="array" ref="E3988">_xlfn.XLOOKUP(D3988,Insumos!B:B,Insumos!C:$C)</f>
        <v>KG</v>
      </c>
      <c r="F3988" s="81">
        <v>0.3</v>
      </c>
      <c r="G3988" s="87">
        <f t="array" ref="G3988">IF(B3988="insumo",_xlfn.XLOOKUP($D3988,Insumos!$B$1:$B$996,Insumos!$D$1:$D$996),"")</f>
        <v>0.45</v>
      </c>
      <c r="H3988" s="87">
        <v>0.13500000000000001</v>
      </c>
      <c r="I3988" s="79">
        <v>0</v>
      </c>
      <c r="J3988" s="79">
        <v>0</v>
      </c>
      <c r="K3988" s="79"/>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77">
        <v>1</v>
      </c>
      <c r="B3989" s="77" t="s">
        <v>70</v>
      </c>
      <c r="C3989" s="77" t="s">
        <v>1856</v>
      </c>
      <c r="D3989" s="77" t="s">
        <v>1847</v>
      </c>
      <c r="E3989" s="11" t="str">
        <f t="array" ref="E3989">_xlfn.XLOOKUP(D3989,Insumos!B:B,Insumos!C:$C)</f>
        <v>KG</v>
      </c>
      <c r="F3989" s="81">
        <v>0.01</v>
      </c>
      <c r="G3989" s="87">
        <f t="array" ref="G3989">IF(B3989="insumo",_xlfn.XLOOKUP($D3989,Insumos!$B$1:$B$996,Insumos!$D$1:$D$996),"")</f>
        <v>18</v>
      </c>
      <c r="H3989" s="87">
        <v>0.18</v>
      </c>
      <c r="I3989" s="79">
        <v>0</v>
      </c>
      <c r="J3989" s="79">
        <v>0</v>
      </c>
      <c r="K3989" s="79"/>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77">
        <v>1</v>
      </c>
      <c r="B3990" s="77" t="s">
        <v>70</v>
      </c>
      <c r="C3990" s="77" t="s">
        <v>1856</v>
      </c>
      <c r="D3990" s="77" t="s">
        <v>1848</v>
      </c>
      <c r="E3990" s="11" t="str">
        <f t="array" ref="E3990">_xlfn.XLOOKUP(D3990,Insumos!B:B,Insumos!C:$C)</f>
        <v>L</v>
      </c>
      <c r="F3990" s="81">
        <v>0.05</v>
      </c>
      <c r="G3990" s="87">
        <f t="array" ref="G3990">IF(B3990="insumo",_xlfn.XLOOKUP($D3990,Insumos!$B$1:$B$996,Insumos!$D$1:$D$996),"")</f>
        <v>12</v>
      </c>
      <c r="H3990" s="87">
        <v>0.6</v>
      </c>
      <c r="I3990" s="79">
        <v>0</v>
      </c>
      <c r="J3990" s="79">
        <v>0</v>
      </c>
      <c r="K3990" s="79"/>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336">
        <v>1</v>
      </c>
      <c r="B3991" s="336" t="s">
        <v>67</v>
      </c>
      <c r="C3991" s="336" t="s">
        <v>1857</v>
      </c>
      <c r="D3991" s="336" t="s">
        <v>1857</v>
      </c>
      <c r="E3991" s="337" t="s">
        <v>69</v>
      </c>
      <c r="F3991" s="336"/>
      <c r="G3991" s="338" t="str">
        <f t="array" ref="G3991">IF(B3991="insumo",_xlfn.XLOOKUP($D3991,Insumos!$B$1:$B$996,Insumos!$D$1:$D$996),"")</f>
        <v/>
      </c>
      <c r="H3991" s="338">
        <v>18.235215555555602</v>
      </c>
      <c r="I3991" s="339">
        <v>0</v>
      </c>
      <c r="J3991" s="339">
        <v>0</v>
      </c>
      <c r="K3991" s="339"/>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77">
        <v>36</v>
      </c>
      <c r="B3992" s="77" t="s">
        <v>70</v>
      </c>
      <c r="C3992" s="77" t="s">
        <v>1857</v>
      </c>
      <c r="D3992" s="77" t="s">
        <v>103</v>
      </c>
      <c r="E3992" s="11" t="str">
        <f t="array" ref="E3992">_xlfn.XLOOKUP(D3992,Insumos!B:B,Insumos!C:$C)</f>
        <v>UN</v>
      </c>
      <c r="F3992" s="81">
        <v>0.1</v>
      </c>
      <c r="G3992" s="87">
        <f t="array" ref="G3992">IF(B3992="insumo",_xlfn.XLOOKUP($D3992,Insumos!$B$1:$B$996,Insumos!$D$1:$D$996),"")</f>
        <v>1.89</v>
      </c>
      <c r="H3992" s="87">
        <v>0.189</v>
      </c>
      <c r="I3992" s="79">
        <v>0</v>
      </c>
      <c r="J3992" s="79">
        <v>0</v>
      </c>
      <c r="K3992" s="79"/>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77">
        <v>21</v>
      </c>
      <c r="B3993" s="77" t="s">
        <v>70</v>
      </c>
      <c r="C3993" s="77" t="s">
        <v>1857</v>
      </c>
      <c r="D3993" s="77" t="s">
        <v>764</v>
      </c>
      <c r="E3993" s="11" t="str">
        <f t="array" ref="E3993">_xlfn.XLOOKUP(D3993,Insumos!B:B,Insumos!C:$C)</f>
        <v>KG</v>
      </c>
      <c r="F3993" s="81">
        <v>0.86670000000000003</v>
      </c>
      <c r="G3993" s="87">
        <f t="array" ref="G3993">IF(B3993="insumo",_xlfn.XLOOKUP($D3993,Insumos!$B$1:$B$996,Insumos!$D$1:$D$996),"")</f>
        <v>4.8</v>
      </c>
      <c r="H3993" s="87">
        <v>4.1601600000000003</v>
      </c>
      <c r="I3993" s="79">
        <v>0</v>
      </c>
      <c r="J3993" s="79">
        <v>0</v>
      </c>
      <c r="K3993" s="79"/>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77">
        <v>19</v>
      </c>
      <c r="B3994" s="77" t="s">
        <v>70</v>
      </c>
      <c r="C3994" s="77" t="s">
        <v>1857</v>
      </c>
      <c r="D3994" s="77" t="s">
        <v>765</v>
      </c>
      <c r="E3994" s="11" t="str">
        <f t="array" ref="E3994">_xlfn.XLOOKUP(D3994,Insumos!B:B,Insumos!C:$C)</f>
        <v>L</v>
      </c>
      <c r="F3994" s="81">
        <v>0.1666</v>
      </c>
      <c r="G3994" s="87">
        <f t="array" ref="G3994">IF(B3994="insumo",_xlfn.XLOOKUP($D3994,Insumos!$B$1:$B$996,Insumos!$D$1:$D$996),"")</f>
        <v>10.555555555555555</v>
      </c>
      <c r="H3994" s="87">
        <v>1.7585555555555601</v>
      </c>
      <c r="I3994" s="79">
        <v>0</v>
      </c>
      <c r="J3994" s="79">
        <v>0</v>
      </c>
      <c r="K3994" s="79"/>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77">
        <v>16</v>
      </c>
      <c r="B3995" s="77" t="s">
        <v>70</v>
      </c>
      <c r="C3995" s="77" t="s">
        <v>1857</v>
      </c>
      <c r="D3995" s="77" t="s">
        <v>762</v>
      </c>
      <c r="E3995" s="11" t="str">
        <f t="array" ref="E3995">_xlfn.XLOOKUP(D3995,Insumos!B:B,Insumos!C:$C)</f>
        <v>L</v>
      </c>
      <c r="F3995" s="81">
        <v>0.495</v>
      </c>
      <c r="G3995" s="87">
        <f t="array" ref="G3995">IF(B3995="insumo",_xlfn.XLOOKUP($D3995,Insumos!$B$1:$B$996,Insumos!$D$1:$D$996),"")</f>
        <v>24.5</v>
      </c>
      <c r="H3995" s="87">
        <v>12.1275</v>
      </c>
      <c r="I3995" s="79">
        <v>0</v>
      </c>
      <c r="J3995" s="79">
        <v>0</v>
      </c>
      <c r="K3995" s="79"/>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336">
        <v>1</v>
      </c>
      <c r="B3996" s="336" t="s">
        <v>67</v>
      </c>
      <c r="C3996" s="336" t="s">
        <v>1858</v>
      </c>
      <c r="D3996" s="336" t="s">
        <v>1858</v>
      </c>
      <c r="E3996" s="337" t="s">
        <v>69</v>
      </c>
      <c r="F3996" s="336"/>
      <c r="G3996" s="338" t="str">
        <f t="array" ref="G3996">IF(B3996="insumo",_xlfn.XLOOKUP($D3996,Insumos!$B$1:$B$996,Insumos!$D$1:$D$996),"")</f>
        <v/>
      </c>
      <c r="H3996" s="338">
        <v>13.671901999999999</v>
      </c>
      <c r="I3996" s="339">
        <v>0</v>
      </c>
      <c r="J3996" s="339">
        <v>0</v>
      </c>
      <c r="K3996" s="339"/>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77">
        <v>31</v>
      </c>
      <c r="B3997" s="77" t="s">
        <v>70</v>
      </c>
      <c r="C3997" s="77" t="s">
        <v>1858</v>
      </c>
      <c r="D3997" s="77" t="s">
        <v>767</v>
      </c>
      <c r="E3997" s="11" t="str">
        <f t="array" ref="E3997">_xlfn.XLOOKUP(D3997,Insumos!B:B,Insumos!C:$C)</f>
        <v>L</v>
      </c>
      <c r="F3997" s="85">
        <v>0.1666</v>
      </c>
      <c r="G3997" s="87">
        <f t="array" ref="G3997">IF(B3997="insumo",_xlfn.XLOOKUP($D3997,Insumos!$B$1:$B$996,Insumos!$D$1:$D$996),"")</f>
        <v>6.47</v>
      </c>
      <c r="H3997" s="87">
        <v>1.0779019999999999</v>
      </c>
      <c r="I3997" s="79">
        <v>0</v>
      </c>
      <c r="J3997" s="79">
        <v>0</v>
      </c>
      <c r="K3997" s="79"/>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77">
        <v>5</v>
      </c>
      <c r="B3998" s="77" t="s">
        <v>70</v>
      </c>
      <c r="C3998" s="77" t="s">
        <v>1858</v>
      </c>
      <c r="D3998" s="77" t="s">
        <v>904</v>
      </c>
      <c r="E3998" s="11" t="str">
        <f t="array" ref="E3998">_xlfn.XLOOKUP(D3998,Insumos!B:B,Insumos!C:$C)</f>
        <v>KG</v>
      </c>
      <c r="F3998" s="85">
        <v>1.5</v>
      </c>
      <c r="G3998" s="87">
        <f t="array" ref="G3998">IF(B3998="insumo",_xlfn.XLOOKUP($D3998,Insumos!$B$1:$B$996,Insumos!$D$1:$D$996),"")</f>
        <v>8.3960000000000008</v>
      </c>
      <c r="H3998" s="87">
        <v>12.593999999999999</v>
      </c>
      <c r="I3998" s="79">
        <v>0</v>
      </c>
      <c r="J3998" s="79">
        <v>0</v>
      </c>
      <c r="K3998" s="79"/>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336">
        <v>1</v>
      </c>
      <c r="B3999" s="336" t="s">
        <v>67</v>
      </c>
      <c r="C3999" s="336" t="s">
        <v>1859</v>
      </c>
      <c r="D3999" s="336" t="s">
        <v>1859</v>
      </c>
      <c r="E3999" s="337" t="s">
        <v>69</v>
      </c>
      <c r="F3999" s="336"/>
      <c r="G3999" s="338" t="str">
        <f t="array" ref="G3999">IF(B3999="insumo",_xlfn.XLOOKUP($D3999,Insumos!$B$1:$B$996,Insumos!$D$1:$D$996),"")</f>
        <v/>
      </c>
      <c r="H3999" s="338">
        <v>24.477902</v>
      </c>
      <c r="I3999" s="339">
        <v>0</v>
      </c>
      <c r="J3999" s="339">
        <v>0</v>
      </c>
      <c r="K3999" s="339"/>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77">
        <v>31</v>
      </c>
      <c r="B4000" s="77" t="s">
        <v>70</v>
      </c>
      <c r="C4000" s="77" t="s">
        <v>1859</v>
      </c>
      <c r="D4000" s="77" t="s">
        <v>767</v>
      </c>
      <c r="E4000" s="11" t="str">
        <f t="array" ref="E4000">_xlfn.XLOOKUP(D4000,Insumos!B:B,Insumos!C:$C)</f>
        <v>L</v>
      </c>
      <c r="F4000" s="85">
        <v>0.1666</v>
      </c>
      <c r="G4000" s="87">
        <f t="array" ref="G4000">IF(B4000="insumo",_xlfn.XLOOKUP($D4000,Insumos!$B$1:$B$996,Insumos!$D$1:$D$996),"")</f>
        <v>6.47</v>
      </c>
      <c r="H4000" s="87">
        <v>1.0779019999999999</v>
      </c>
      <c r="I4000" s="79">
        <v>0</v>
      </c>
      <c r="J4000" s="79">
        <v>0</v>
      </c>
      <c r="K4000" s="79"/>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77">
        <v>1</v>
      </c>
      <c r="B4001" s="77" t="s">
        <v>70</v>
      </c>
      <c r="C4001" s="77" t="s">
        <v>1859</v>
      </c>
      <c r="D4001" s="77" t="s">
        <v>1846</v>
      </c>
      <c r="E4001" s="11" t="str">
        <f t="array" ref="E4001">_xlfn.XLOOKUP(D4001,Insumos!B:B,Insumos!C:$C)</f>
        <v>KG</v>
      </c>
      <c r="F4001" s="85">
        <v>1.8</v>
      </c>
      <c r="G4001" s="87">
        <f t="array" ref="G4001">IF(B4001="insumo",_xlfn.XLOOKUP($D4001,Insumos!$B$1:$B$996,Insumos!$D$1:$D$996),"")</f>
        <v>13</v>
      </c>
      <c r="H4001" s="87">
        <v>23.4</v>
      </c>
      <c r="I4001" s="79">
        <v>0</v>
      </c>
      <c r="J4001" s="79">
        <v>0</v>
      </c>
      <c r="K4001" s="79"/>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336">
        <v>1</v>
      </c>
      <c r="B4002" s="336" t="s">
        <v>67</v>
      </c>
      <c r="C4002" s="336" t="s">
        <v>1860</v>
      </c>
      <c r="D4002" s="336" t="s">
        <v>1860</v>
      </c>
      <c r="E4002" s="337" t="s">
        <v>69</v>
      </c>
      <c r="F4002" s="336"/>
      <c r="G4002" s="338" t="str">
        <f t="array" ref="G4002">IF(B4002="insumo",_xlfn.XLOOKUP($D4002,Insumos!$B$1:$B$996,Insumos!$D$1:$D$996),"")</f>
        <v/>
      </c>
      <c r="H4002" s="338">
        <v>1.0779019999999999</v>
      </c>
      <c r="I4002" s="339">
        <v>0</v>
      </c>
      <c r="J4002" s="339">
        <v>0</v>
      </c>
      <c r="K4002" s="339"/>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77">
        <v>31</v>
      </c>
      <c r="B4003" s="77" t="s">
        <v>70</v>
      </c>
      <c r="C4003" s="77" t="s">
        <v>1860</v>
      </c>
      <c r="D4003" s="77" t="s">
        <v>767</v>
      </c>
      <c r="E4003" s="11" t="str">
        <f t="array" ref="E4003">_xlfn.XLOOKUP(D4003,Insumos!B:B,Insumos!C:$C)</f>
        <v>L</v>
      </c>
      <c r="F4003" s="85">
        <v>0.1666</v>
      </c>
      <c r="G4003" s="87">
        <f t="array" ref="G4003">IF(B4003="insumo",_xlfn.XLOOKUP($D4003,Insumos!$B$1:$B$996,Insumos!$D$1:$D$996),"")</f>
        <v>6.47</v>
      </c>
      <c r="H4003" s="87">
        <v>1.0779019999999999</v>
      </c>
      <c r="I4003" s="79">
        <v>0</v>
      </c>
      <c r="J4003" s="79">
        <v>0</v>
      </c>
      <c r="K4003" s="79"/>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336">
        <v>1</v>
      </c>
      <c r="B4004" s="336" t="s">
        <v>67</v>
      </c>
      <c r="C4004" s="336" t="s">
        <v>1861</v>
      </c>
      <c r="D4004" s="336" t="s">
        <v>1861</v>
      </c>
      <c r="E4004" s="337" t="s">
        <v>69</v>
      </c>
      <c r="F4004" s="336"/>
      <c r="G4004" s="338" t="str">
        <f t="array" ref="G4004">IF(B4004="insumo",_xlfn.XLOOKUP($D4004,Insumos!$B$1:$B$996,Insumos!$D$1:$D$996),"")</f>
        <v/>
      </c>
      <c r="H4004" s="338">
        <v>36.759667624999999</v>
      </c>
      <c r="I4004" s="339">
        <v>0</v>
      </c>
      <c r="J4004" s="339">
        <v>0</v>
      </c>
      <c r="K4004" s="339"/>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77">
        <v>1</v>
      </c>
      <c r="B4005" s="77" t="s">
        <v>70</v>
      </c>
      <c r="C4005" s="77" t="s">
        <v>1861</v>
      </c>
      <c r="D4005" s="77" t="s">
        <v>1211</v>
      </c>
      <c r="E4005" s="11" t="str">
        <f t="array" ref="E4005">_xlfn.XLOOKUP(D4005,Insumos!B:B,Insumos!C:$C)</f>
        <v>L</v>
      </c>
      <c r="F4005" s="85">
        <v>0.495</v>
      </c>
      <c r="G4005" s="87">
        <f t="array" ref="G4005">IF(B4005="insumo",_xlfn.XLOOKUP($D4005,Insumos!$B$1:$B$996,Insumos!$D$1:$D$996),"")</f>
        <v>72.084374999999994</v>
      </c>
      <c r="H4005" s="87">
        <v>35.681765624999997</v>
      </c>
      <c r="I4005" s="79">
        <v>0</v>
      </c>
      <c r="J4005" s="79">
        <v>0</v>
      </c>
      <c r="K4005" s="79"/>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77">
        <v>31</v>
      </c>
      <c r="B4006" s="77" t="s">
        <v>70</v>
      </c>
      <c r="C4006" s="77" t="s">
        <v>1861</v>
      </c>
      <c r="D4006" s="77" t="s">
        <v>767</v>
      </c>
      <c r="E4006" s="11" t="str">
        <f t="array" ref="E4006">_xlfn.XLOOKUP(D4006,Insumos!B:B,Insumos!C:$C)</f>
        <v>L</v>
      </c>
      <c r="F4006" s="85">
        <v>0.1666</v>
      </c>
      <c r="G4006" s="87">
        <f t="array" ref="G4006">IF(B4006="insumo",_xlfn.XLOOKUP($D4006,Insumos!$B$1:$B$996,Insumos!$D$1:$D$996),"")</f>
        <v>6.47</v>
      </c>
      <c r="H4006" s="87">
        <v>1.0779019999999999</v>
      </c>
      <c r="I4006" s="79">
        <v>0</v>
      </c>
      <c r="J4006" s="79">
        <v>0</v>
      </c>
      <c r="K4006" s="79"/>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336">
        <v>1</v>
      </c>
      <c r="B4007" s="336" t="s">
        <v>67</v>
      </c>
      <c r="C4007" s="336" t="s">
        <v>1862</v>
      </c>
      <c r="D4007" s="336" t="s">
        <v>1862</v>
      </c>
      <c r="E4007" s="337" t="s">
        <v>69</v>
      </c>
      <c r="F4007" s="336"/>
      <c r="G4007" s="338" t="str">
        <f t="array" ref="G4007">IF(B4007="insumo",_xlfn.XLOOKUP($D4007,Insumos!$B$1:$B$996,Insumos!$D$1:$D$996),"")</f>
        <v/>
      </c>
      <c r="H4007" s="338">
        <v>13.865402</v>
      </c>
      <c r="I4007" s="339">
        <v>0</v>
      </c>
      <c r="J4007" s="339">
        <v>0</v>
      </c>
      <c r="K4007" s="339"/>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77">
        <v>1</v>
      </c>
      <c r="B4008" s="77" t="s">
        <v>70</v>
      </c>
      <c r="C4008" s="77" t="s">
        <v>1862</v>
      </c>
      <c r="D4008" s="77" t="s">
        <v>1212</v>
      </c>
      <c r="E4008" s="11" t="str">
        <f t="array" ref="E4008">_xlfn.XLOOKUP(D4008,Insumos!B:B,Insumos!C:$C)</f>
        <v>L</v>
      </c>
      <c r="F4008" s="85">
        <v>0.495</v>
      </c>
      <c r="G4008" s="87">
        <f t="array" ref="G4008">IF(B4008="insumo",_xlfn.XLOOKUP($D4008,Insumos!$B$1:$B$996,Insumos!$D$1:$D$996),"")</f>
        <v>25.833333333333332</v>
      </c>
      <c r="H4008" s="87">
        <v>12.7875</v>
      </c>
      <c r="I4008" s="79">
        <v>0</v>
      </c>
      <c r="J4008" s="79">
        <v>0</v>
      </c>
      <c r="K4008" s="79"/>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77">
        <v>31</v>
      </c>
      <c r="B4009" s="77" t="s">
        <v>70</v>
      </c>
      <c r="C4009" s="77" t="s">
        <v>1862</v>
      </c>
      <c r="D4009" s="77" t="s">
        <v>767</v>
      </c>
      <c r="E4009" s="11" t="str">
        <f t="array" ref="E4009">_xlfn.XLOOKUP(D4009,Insumos!B:B,Insumos!C:$C)</f>
        <v>L</v>
      </c>
      <c r="F4009" s="85">
        <v>0.1666</v>
      </c>
      <c r="G4009" s="87">
        <f t="array" ref="G4009">IF(B4009="insumo",_xlfn.XLOOKUP($D4009,Insumos!$B$1:$B$996,Insumos!$D$1:$D$996),"")</f>
        <v>6.47</v>
      </c>
      <c r="H4009" s="87">
        <v>1.0779019999999999</v>
      </c>
      <c r="I4009" s="79">
        <v>0</v>
      </c>
      <c r="J4009" s="79">
        <v>0</v>
      </c>
      <c r="K4009" s="79"/>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336">
        <v>1</v>
      </c>
      <c r="B4010" s="336" t="s">
        <v>67</v>
      </c>
      <c r="C4010" s="336" t="s">
        <v>1863</v>
      </c>
      <c r="D4010" s="336" t="s">
        <v>1863</v>
      </c>
      <c r="E4010" s="337" t="s">
        <v>69</v>
      </c>
      <c r="F4010" s="336"/>
      <c r="G4010" s="338" t="str">
        <f t="array" ref="G4010">IF(B4010="insumo",_xlfn.XLOOKUP($D4010,Insumos!$B$1:$B$996,Insumos!$D$1:$D$996),"")</f>
        <v/>
      </c>
      <c r="H4010" s="338">
        <v>44.767839500000001</v>
      </c>
      <c r="I4010" s="339">
        <v>0</v>
      </c>
      <c r="J4010" s="339">
        <v>0</v>
      </c>
      <c r="K4010" s="339"/>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77">
        <v>1</v>
      </c>
      <c r="B4011" s="77" t="s">
        <v>70</v>
      </c>
      <c r="C4011" s="77" t="s">
        <v>1863</v>
      </c>
      <c r="D4011" s="77" t="s">
        <v>1213</v>
      </c>
      <c r="E4011" s="11" t="str">
        <f t="array" ref="E4011">_xlfn.XLOOKUP(D4011,Insumos!B:B,Insumos!C:$C)</f>
        <v>L</v>
      </c>
      <c r="F4011" s="85">
        <v>0.495</v>
      </c>
      <c r="G4011" s="87">
        <f t="array" ref="G4011">IF(B4011="insumo",_xlfn.XLOOKUP($D4011,Insumos!$B$1:$B$996,Insumos!$D$1:$D$996),"")</f>
        <v>88.262499999999989</v>
      </c>
      <c r="H4011" s="87">
        <v>43.689937499999999</v>
      </c>
      <c r="I4011" s="79">
        <v>0</v>
      </c>
      <c r="J4011" s="79">
        <v>0</v>
      </c>
      <c r="K4011" s="79"/>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77">
        <v>31</v>
      </c>
      <c r="B4012" s="77" t="s">
        <v>70</v>
      </c>
      <c r="C4012" s="77" t="s">
        <v>1863</v>
      </c>
      <c r="D4012" s="77" t="s">
        <v>767</v>
      </c>
      <c r="E4012" s="11" t="str">
        <f t="array" ref="E4012">_xlfn.XLOOKUP(D4012,Insumos!B:B,Insumos!C:$C)</f>
        <v>L</v>
      </c>
      <c r="F4012" s="85">
        <v>0.1666</v>
      </c>
      <c r="G4012" s="87">
        <f t="array" ref="G4012">IF(B4012="insumo",_xlfn.XLOOKUP($D4012,Insumos!$B$1:$B$996,Insumos!$D$1:$D$996),"")</f>
        <v>6.47</v>
      </c>
      <c r="H4012" s="87">
        <v>1.0779019999999999</v>
      </c>
      <c r="I4012" s="79">
        <v>0</v>
      </c>
      <c r="J4012" s="79">
        <v>0</v>
      </c>
      <c r="K4012" s="79"/>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336">
        <v>1</v>
      </c>
      <c r="B4013" s="336" t="s">
        <v>67</v>
      </c>
      <c r="C4013" s="336" t="s">
        <v>1864</v>
      </c>
      <c r="D4013" s="336" t="s">
        <v>1864</v>
      </c>
      <c r="E4013" s="337" t="s">
        <v>69</v>
      </c>
      <c r="F4013" s="336"/>
      <c r="G4013" s="338" t="str">
        <f t="array" ref="G4013">IF(B4013="insumo",_xlfn.XLOOKUP($D4013,Insumos!$B$1:$B$996,Insumos!$D$1:$D$996),"")</f>
        <v/>
      </c>
      <c r="H4013" s="338">
        <v>20.025402</v>
      </c>
      <c r="I4013" s="339">
        <v>0</v>
      </c>
      <c r="J4013" s="339">
        <v>0</v>
      </c>
      <c r="K4013" s="339"/>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77">
        <v>2</v>
      </c>
      <c r="B4014" s="77" t="s">
        <v>70</v>
      </c>
      <c r="C4014" s="77" t="s">
        <v>1864</v>
      </c>
      <c r="D4014" s="77" t="s">
        <v>922</v>
      </c>
      <c r="E4014" s="11" t="str">
        <f t="array" ref="E4014">_xlfn.XLOOKUP(D4014,Insumos!B:B,Insumos!C:$C)</f>
        <v>L</v>
      </c>
      <c r="F4014" s="85">
        <v>0.495</v>
      </c>
      <c r="G4014" s="87">
        <f t="array" ref="G4014">IF(B4014="insumo",_xlfn.XLOOKUP($D4014,Insumos!$B$1:$B$996,Insumos!$D$1:$D$996),"")</f>
        <v>38.277777777777779</v>
      </c>
      <c r="H4014" s="87">
        <v>18.947500000000002</v>
      </c>
      <c r="I4014" s="79">
        <v>0</v>
      </c>
      <c r="J4014" s="79">
        <v>0</v>
      </c>
      <c r="K4014" s="79"/>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77">
        <v>31</v>
      </c>
      <c r="B4015" s="77" t="s">
        <v>70</v>
      </c>
      <c r="C4015" s="77" t="s">
        <v>1864</v>
      </c>
      <c r="D4015" s="77" t="s">
        <v>767</v>
      </c>
      <c r="E4015" s="11" t="str">
        <f t="array" ref="E4015">_xlfn.XLOOKUP(D4015,Insumos!B:B,Insumos!C:$C)</f>
        <v>L</v>
      </c>
      <c r="F4015" s="85">
        <v>0.1666</v>
      </c>
      <c r="G4015" s="87">
        <f t="array" ref="G4015">IF(B4015="insumo",_xlfn.XLOOKUP($D4015,Insumos!$B$1:$B$996,Insumos!$D$1:$D$996),"")</f>
        <v>6.47</v>
      </c>
      <c r="H4015" s="87">
        <v>1.0779019999999999</v>
      </c>
      <c r="I4015" s="79">
        <v>0</v>
      </c>
      <c r="J4015" s="79">
        <v>0</v>
      </c>
      <c r="K4015" s="79"/>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336">
        <v>1</v>
      </c>
      <c r="B4016" s="336" t="s">
        <v>67</v>
      </c>
      <c r="C4016" s="336" t="s">
        <v>1865</v>
      </c>
      <c r="D4016" s="336" t="s">
        <v>1865</v>
      </c>
      <c r="E4016" s="337" t="s">
        <v>69</v>
      </c>
      <c r="F4016" s="336"/>
      <c r="G4016" s="338" t="str">
        <f t="array" ref="G4016">IF(B4016="insumo",_xlfn.XLOOKUP($D4016,Insumos!$B$1:$B$996,Insumos!$D$1:$D$996),"")</f>
        <v/>
      </c>
      <c r="H4016" s="338">
        <v>30.232783250000001</v>
      </c>
      <c r="I4016" s="339">
        <v>0</v>
      </c>
      <c r="J4016" s="339">
        <v>0</v>
      </c>
      <c r="K4016" s="339"/>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77">
        <v>1</v>
      </c>
      <c r="B4017" s="77" t="s">
        <v>70</v>
      </c>
      <c r="C4017" s="77" t="s">
        <v>1865</v>
      </c>
      <c r="D4017" s="77" t="s">
        <v>1209</v>
      </c>
      <c r="E4017" s="11" t="str">
        <f t="array" ref="E4017">_xlfn.XLOOKUP(D4017,Insumos!B:B,Insumos!C:$C)</f>
        <v>L</v>
      </c>
      <c r="F4017" s="85">
        <v>0.495</v>
      </c>
      <c r="G4017" s="87">
        <f t="array" ref="G4017">IF(B4017="insumo",_xlfn.XLOOKUP($D4017,Insumos!$B$1:$B$996,Insumos!$D$1:$D$996),"")</f>
        <v>58.89875</v>
      </c>
      <c r="H4017" s="87">
        <v>29.154881249999999</v>
      </c>
      <c r="I4017" s="79">
        <v>0</v>
      </c>
      <c r="J4017" s="79">
        <v>0</v>
      </c>
      <c r="K4017" s="79"/>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77">
        <v>31</v>
      </c>
      <c r="B4018" s="77" t="s">
        <v>70</v>
      </c>
      <c r="C4018" s="77" t="s">
        <v>1865</v>
      </c>
      <c r="D4018" s="77" t="s">
        <v>767</v>
      </c>
      <c r="E4018" s="11" t="str">
        <f t="array" ref="E4018">_xlfn.XLOOKUP(D4018,Insumos!B:B,Insumos!C:$C)</f>
        <v>L</v>
      </c>
      <c r="F4018" s="85">
        <v>0.1666</v>
      </c>
      <c r="G4018" s="87">
        <f t="array" ref="G4018">IF(B4018="insumo",_xlfn.XLOOKUP($D4018,Insumos!$B$1:$B$996,Insumos!$D$1:$D$996),"")</f>
        <v>6.47</v>
      </c>
      <c r="H4018" s="87">
        <v>1.0779019999999999</v>
      </c>
      <c r="I4018" s="79">
        <v>0</v>
      </c>
      <c r="J4018" s="79">
        <v>0</v>
      </c>
      <c r="K4018" s="79"/>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336">
        <v>1</v>
      </c>
      <c r="B4019" s="336" t="s">
        <v>67</v>
      </c>
      <c r="C4019" s="336" t="s">
        <v>1866</v>
      </c>
      <c r="D4019" s="336" t="s">
        <v>1866</v>
      </c>
      <c r="E4019" s="337" t="s">
        <v>69</v>
      </c>
      <c r="F4019" s="336"/>
      <c r="G4019" s="338" t="str">
        <f t="array" ref="G4019">IF(B4019="insumo",_xlfn.XLOOKUP($D4019,Insumos!$B$1:$B$996,Insumos!$D$1:$D$996),"")</f>
        <v/>
      </c>
      <c r="H4019" s="338">
        <v>18.093527000000002</v>
      </c>
      <c r="I4019" s="339">
        <v>0</v>
      </c>
      <c r="J4019" s="339">
        <v>0</v>
      </c>
      <c r="K4019" s="339"/>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77">
        <v>1</v>
      </c>
      <c r="B4020" s="77" t="s">
        <v>70</v>
      </c>
      <c r="C4020" s="77" t="s">
        <v>1866</v>
      </c>
      <c r="D4020" s="77" t="s">
        <v>1833</v>
      </c>
      <c r="E4020" s="11" t="str">
        <f t="array" ref="E4020">_xlfn.XLOOKUP(D4020,Insumos!B:B,Insumos!C:$C)</f>
        <v>L</v>
      </c>
      <c r="F4020" s="85">
        <v>0.495</v>
      </c>
      <c r="G4020" s="87">
        <f t="array" ref="G4020">IF(B4020="insumo",_xlfn.XLOOKUP($D4020,Insumos!$B$1:$B$996,Insumos!$D$1:$D$996),"")</f>
        <v>34.375</v>
      </c>
      <c r="H4020" s="87">
        <v>17.015625</v>
      </c>
      <c r="I4020" s="79">
        <v>0</v>
      </c>
      <c r="J4020" s="79">
        <v>0</v>
      </c>
      <c r="K4020" s="79"/>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77">
        <v>31</v>
      </c>
      <c r="B4021" s="77" t="s">
        <v>70</v>
      </c>
      <c r="C4021" s="77" t="s">
        <v>1866</v>
      </c>
      <c r="D4021" s="77" t="s">
        <v>767</v>
      </c>
      <c r="E4021" s="11" t="str">
        <f t="array" ref="E4021">_xlfn.XLOOKUP(D4021,Insumos!B:B,Insumos!C:$C)</f>
        <v>L</v>
      </c>
      <c r="F4021" s="85">
        <v>0.1666</v>
      </c>
      <c r="G4021" s="87">
        <f t="array" ref="G4021">IF(B4021="insumo",_xlfn.XLOOKUP($D4021,Insumos!$B$1:$B$996,Insumos!$D$1:$D$996),"")</f>
        <v>6.47</v>
      </c>
      <c r="H4021" s="87">
        <v>1.0779019999999999</v>
      </c>
      <c r="I4021" s="79">
        <v>0</v>
      </c>
      <c r="J4021" s="79">
        <v>0</v>
      </c>
      <c r="K4021" s="79"/>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355">
        <v>1</v>
      </c>
      <c r="B4022" s="355" t="s">
        <v>1227</v>
      </c>
      <c r="C4022" s="355" t="s">
        <v>1866</v>
      </c>
      <c r="D4022" s="355" t="s">
        <v>1263</v>
      </c>
      <c r="E4022" s="356"/>
      <c r="F4022" s="357"/>
      <c r="G4022" s="356"/>
      <c r="H4022" s="356">
        <v>0</v>
      </c>
      <c r="I4022" s="357">
        <v>0</v>
      </c>
      <c r="J4022" s="357">
        <v>0</v>
      </c>
      <c r="K4022" s="357"/>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332">
        <v>1</v>
      </c>
      <c r="B4023" s="332" t="s">
        <v>67</v>
      </c>
      <c r="C4023" s="332" t="s">
        <v>770</v>
      </c>
      <c r="D4023" s="332" t="s">
        <v>770</v>
      </c>
      <c r="E4023" s="333" t="s">
        <v>69</v>
      </c>
      <c r="F4023" s="332"/>
      <c r="G4023" s="334" t="str">
        <f t="array" ref="G4023">IF(B4023="insumo",_xlfn.XLOOKUP($D4023,Insumos!$B$1:$B$996,Insumos!$D$1:$D$996),"")</f>
        <v/>
      </c>
      <c r="H4023" s="334">
        <v>13.636363636363599</v>
      </c>
      <c r="I4023" s="335" t="e">
        <v>#REF!</v>
      </c>
      <c r="J4023" s="335" t="e">
        <v>#REF!</v>
      </c>
      <c r="K4023" s="335"/>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70</v>
      </c>
      <c r="C4024" s="10" t="s">
        <v>770</v>
      </c>
      <c r="D4024" s="10" t="s">
        <v>768</v>
      </c>
      <c r="E4024" s="11" t="str">
        <f t="array" ref="E4024">_xlfn.XLOOKUP(D4024,Insumos!B:B,Insumos!C:$C)</f>
        <v>KG</v>
      </c>
      <c r="F4024" s="14">
        <v>1.5</v>
      </c>
      <c r="G4024" s="87">
        <f t="array" ref="G4024">IF(B4024="insumo",_xlfn.XLOOKUP($D4024,Insumos!$B$1:$B$996,Insumos!$D$1:$D$996),"")</f>
        <v>9.0909090909090917</v>
      </c>
      <c r="H4024" s="87">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332">
        <v>1</v>
      </c>
      <c r="B4025" s="332" t="s">
        <v>67</v>
      </c>
      <c r="C4025" s="332" t="s">
        <v>771</v>
      </c>
      <c r="D4025" s="332" t="s">
        <v>771</v>
      </c>
      <c r="E4025" s="333" t="s">
        <v>69</v>
      </c>
      <c r="F4025" s="332"/>
      <c r="G4025" s="334" t="str">
        <f t="array" ref="G4025">IF(B4025="insumo",_xlfn.XLOOKUP($D4025,Insumos!$B$1:$B$996,Insumos!$D$1:$D$996),"")</f>
        <v/>
      </c>
      <c r="H4025" s="334">
        <v>14.075055555555601</v>
      </c>
      <c r="I4025" s="335">
        <v>0</v>
      </c>
      <c r="J4025" s="335">
        <v>0</v>
      </c>
      <c r="K4025" s="335"/>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70</v>
      </c>
      <c r="C4026" s="10" t="s">
        <v>771</v>
      </c>
      <c r="D4026" s="10" t="s">
        <v>103</v>
      </c>
      <c r="E4026" s="11" t="str">
        <f t="array" ref="E4026">_xlfn.XLOOKUP(D4026,Insumos!B:B,Insumos!C:$C)</f>
        <v>UN</v>
      </c>
      <c r="F4026" s="14">
        <v>0.1</v>
      </c>
      <c r="G4026" s="87">
        <f t="array" ref="G4026">IF(B4026="insumo",_xlfn.XLOOKUP($D4026,Insumos!$B$1:$B$996,Insumos!$D$1:$D$996),"")</f>
        <v>1.89</v>
      </c>
      <c r="H4026" s="87">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70</v>
      </c>
      <c r="C4027" s="10" t="s">
        <v>771</v>
      </c>
      <c r="D4027" s="10" t="s">
        <v>765</v>
      </c>
      <c r="E4027" s="11" t="str">
        <f t="array" ref="E4027">_xlfn.XLOOKUP(D4027,Insumos!B:B,Insumos!C:$C)</f>
        <v>L</v>
      </c>
      <c r="F4027" s="14">
        <v>0.1666</v>
      </c>
      <c r="G4027" s="87">
        <f t="array" ref="G4027">IF(B4027="insumo",_xlfn.XLOOKUP($D4027,Insumos!$B$1:$B$996,Insumos!$D$1:$D$996),"")</f>
        <v>10.555555555555555</v>
      </c>
      <c r="H4027" s="87">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70</v>
      </c>
      <c r="C4028" s="10" t="s">
        <v>771</v>
      </c>
      <c r="D4028" s="10" t="s">
        <v>762</v>
      </c>
      <c r="E4028" s="11" t="str">
        <f t="array" ref="E4028">_xlfn.XLOOKUP(D4028,Insumos!B:B,Insumos!C:$C)</f>
        <v>L</v>
      </c>
      <c r="F4028" s="14">
        <v>0.495</v>
      </c>
      <c r="G4028" s="87">
        <f t="array" ref="G4028">IF(B4028="insumo",_xlfn.XLOOKUP($D4028,Insumos!$B$1:$B$996,Insumos!$D$1:$D$996),"")</f>
        <v>24.5</v>
      </c>
      <c r="H4028" s="87">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332">
        <v>1</v>
      </c>
      <c r="B4029" s="332" t="s">
        <v>67</v>
      </c>
      <c r="C4029" s="332" t="s">
        <v>2631</v>
      </c>
      <c r="D4029" s="332" t="s">
        <v>2631</v>
      </c>
      <c r="E4029" s="333" t="s">
        <v>69</v>
      </c>
      <c r="F4029" s="332"/>
      <c r="G4029" s="334" t="str">
        <f t="array" ref="G4029">IF(B4029="insumo",_xlfn.XLOOKUP($D4029,Insumos!$B$1:$B$996,Insumos!$D$1:$D$996),"")</f>
        <v/>
      </c>
      <c r="H4029" s="334">
        <v>39.6</v>
      </c>
      <c r="I4029" s="335" t="e">
        <v>#REF!</v>
      </c>
      <c r="J4029" s="335" t="e">
        <v>#REF!</v>
      </c>
      <c r="K4029" s="335"/>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70</v>
      </c>
      <c r="C4030" s="10" t="s">
        <v>2631</v>
      </c>
      <c r="D4030" s="10" t="s">
        <v>2628</v>
      </c>
      <c r="E4030" s="11" t="str">
        <f t="array" ref="E4030">_xlfn.XLOOKUP(D4030,Insumos!B:B,Insumos!C:$C)</f>
        <v>KG</v>
      </c>
      <c r="F4030" s="14">
        <v>1.5</v>
      </c>
      <c r="G4030" s="87">
        <f t="array" ref="G4030">IF(B4030="insumo",_xlfn.XLOOKUP($D4030,Insumos!$B$1:$B$996,Insumos!$D$1:$D$996),"")</f>
        <v>26.4</v>
      </c>
      <c r="H4030" s="87">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332">
        <v>1</v>
      </c>
      <c r="B4031" s="332" t="s">
        <v>67</v>
      </c>
      <c r="C4031" s="332" t="s">
        <v>2632</v>
      </c>
      <c r="D4031" s="332" t="s">
        <v>2632</v>
      </c>
      <c r="E4031" s="333" t="s">
        <v>69</v>
      </c>
      <c r="F4031" s="332"/>
      <c r="G4031" s="334" t="str">
        <f t="array" ref="G4031">IF(B4031="insumo",_xlfn.XLOOKUP($D4031,Insumos!$B$1:$B$996,Insumos!$D$1:$D$996),"")</f>
        <v/>
      </c>
      <c r="H4031" s="334">
        <v>22.507959374999999</v>
      </c>
      <c r="I4031" s="335" t="e">
        <v>#REF!</v>
      </c>
      <c r="J4031" s="335" t="e">
        <v>#REF!</v>
      </c>
      <c r="K4031" s="335"/>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70</v>
      </c>
      <c r="C4032" s="10" t="s">
        <v>2632</v>
      </c>
      <c r="D4032" s="10" t="s">
        <v>2624</v>
      </c>
      <c r="E4032" s="11" t="str">
        <f t="array" ref="E4032">_xlfn.XLOOKUP(D4032,Insumos!B:B,Insumos!C:$C)</f>
        <v>L</v>
      </c>
      <c r="F4032" s="14">
        <v>0.495</v>
      </c>
      <c r="G4032" s="87">
        <f t="array" ref="G4032">IF(B4032="insumo",_xlfn.XLOOKUP($D4032,Insumos!$B$1:$B$996,Insumos!$D$1:$D$996),"")</f>
        <v>45.470624999999998</v>
      </c>
      <c r="H4032" s="87">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332">
        <v>1</v>
      </c>
      <c r="B4033" s="332" t="s">
        <v>67</v>
      </c>
      <c r="C4033" s="332" t="s">
        <v>2633</v>
      </c>
      <c r="D4033" s="332" t="s">
        <v>2633</v>
      </c>
      <c r="E4033" s="333" t="s">
        <v>69</v>
      </c>
      <c r="F4033" s="332"/>
      <c r="G4033" s="334" t="str">
        <f t="array" ref="G4033">IF(B4033="insumo",_xlfn.XLOOKUP($D4033,Insumos!$B$1:$B$996,Insumos!$D$1:$D$996),"")</f>
        <v/>
      </c>
      <c r="H4033" s="334">
        <v>20.468868749999999</v>
      </c>
      <c r="I4033" s="335" t="e">
        <v>#REF!</v>
      </c>
      <c r="J4033" s="335" t="e">
        <v>#REF!</v>
      </c>
      <c r="K4033" s="335"/>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70</v>
      </c>
      <c r="C4034" s="10" t="s">
        <v>2633</v>
      </c>
      <c r="D4034" s="10" t="s">
        <v>2625</v>
      </c>
      <c r="E4034" s="11" t="str">
        <f t="array" ref="E4034">_xlfn.XLOOKUP(D4034,Insumos!B:B,Insumos!C:$C)</f>
        <v>L</v>
      </c>
      <c r="F4034" s="14">
        <v>0.495</v>
      </c>
      <c r="G4034" s="87">
        <f t="array" ref="G4034">IF(B4034="insumo",_xlfn.XLOOKUP($D4034,Insumos!$B$1:$B$996,Insumos!$D$1:$D$996),"")</f>
        <v>41.35125</v>
      </c>
      <c r="H4034" s="87">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332">
        <v>1</v>
      </c>
      <c r="B4035" s="332" t="s">
        <v>67</v>
      </c>
      <c r="C4035" s="332" t="s">
        <v>2634</v>
      </c>
      <c r="D4035" s="332" t="s">
        <v>2634</v>
      </c>
      <c r="E4035" s="333" t="s">
        <v>69</v>
      </c>
      <c r="F4035" s="332"/>
      <c r="G4035" s="334" t="str">
        <f t="array" ref="G4035">IF(B4035="insumo",_xlfn.XLOOKUP($D4035,Insumos!$B$1:$B$996,Insumos!$D$1:$D$996),"")</f>
        <v/>
      </c>
      <c r="H4035" s="334">
        <v>66.75</v>
      </c>
      <c r="I4035" s="335">
        <v>0</v>
      </c>
      <c r="J4035" s="335">
        <v>0</v>
      </c>
      <c r="K4035" s="335"/>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70</v>
      </c>
      <c r="C4036" s="10" t="s">
        <v>2634</v>
      </c>
      <c r="D4036" s="10" t="s">
        <v>2630</v>
      </c>
      <c r="E4036" s="11" t="str">
        <f t="array" ref="E4036">_xlfn.XLOOKUP(D4036,Insumos!B:B,Insumos!C:$C)</f>
        <v>KG</v>
      </c>
      <c r="F4036" s="14">
        <v>1.5</v>
      </c>
      <c r="G4036" s="87">
        <f t="array" ref="G4036">IF(B4036="insumo",_xlfn.XLOOKUP($D4036,Insumos!$B$1:$B$996,Insumos!$D$1:$D$996),"")</f>
        <v>44.5</v>
      </c>
      <c r="H4036" s="87">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332">
        <v>1</v>
      </c>
      <c r="B4037" s="332" t="s">
        <v>67</v>
      </c>
      <c r="C4037" s="332" t="s">
        <v>2635</v>
      </c>
      <c r="D4037" s="332" t="s">
        <v>2635</v>
      </c>
      <c r="E4037" s="333" t="s">
        <v>69</v>
      </c>
      <c r="F4037" s="332"/>
      <c r="G4037" s="334" t="str">
        <f t="array" ref="G4037">IF(B4037="insumo",_xlfn.XLOOKUP($D4037,Insumos!$B$1:$B$996,Insumos!$D$1:$D$996),"")</f>
        <v/>
      </c>
      <c r="H4037" s="334">
        <v>12.1275</v>
      </c>
      <c r="I4037" s="335" t="e">
        <v>#REF!</v>
      </c>
      <c r="J4037" s="335" t="e">
        <v>#REF!</v>
      </c>
      <c r="K4037" s="335"/>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70</v>
      </c>
      <c r="C4038" s="10" t="s">
        <v>2635</v>
      </c>
      <c r="D4038" s="10" t="s">
        <v>762</v>
      </c>
      <c r="E4038" s="11" t="str">
        <f t="array" ref="E4038">_xlfn.XLOOKUP(D4038,Insumos!B:B,Insumos!C:$C)</f>
        <v>L</v>
      </c>
      <c r="F4038" s="14">
        <v>0.495</v>
      </c>
      <c r="G4038" s="87">
        <f t="array" ref="G4038">IF(B4038="insumo",_xlfn.XLOOKUP($D4038,Insumos!$B$1:$B$996,Insumos!$D$1:$D$996),"")</f>
        <v>24.5</v>
      </c>
      <c r="H4038" s="87">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332">
        <v>1</v>
      </c>
      <c r="B4039" s="332" t="s">
        <v>67</v>
      </c>
      <c r="C4039" s="332" t="s">
        <v>2638</v>
      </c>
      <c r="D4039" s="332" t="s">
        <v>2638</v>
      </c>
      <c r="E4039" s="333" t="s">
        <v>69</v>
      </c>
      <c r="F4039" s="332"/>
      <c r="G4039" s="334" t="str">
        <f t="array" ref="G4039">IF(B4039="insumo",_xlfn.XLOOKUP($D4039,Insumos!$B$1:$B$996,Insumos!$D$1:$D$996),"")</f>
        <v/>
      </c>
      <c r="H4039" s="334">
        <v>80</v>
      </c>
      <c r="I4039" s="335" t="e">
        <v>#REF!</v>
      </c>
      <c r="J4039" s="335" t="e">
        <v>#REF!</v>
      </c>
      <c r="K4039" s="335"/>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70</v>
      </c>
      <c r="C4040" s="10" t="s">
        <v>2638</v>
      </c>
      <c r="D4040" s="10" t="s">
        <v>2638</v>
      </c>
      <c r="E4040" s="11" t="str">
        <f t="array" ref="E4040">_xlfn.XLOOKUP(D4040,Insumos!B:B,Insumos!C:$C)</f>
        <v>M2</v>
      </c>
      <c r="F4040" s="14">
        <v>1</v>
      </c>
      <c r="G4040" s="87">
        <f t="array" ref="G4040">IF(B4040="insumo",_xlfn.XLOOKUP($D4040,Insumos!$B$1:$B$996,Insumos!$D$1:$D$996),"")</f>
        <v>80</v>
      </c>
      <c r="H4040" s="87">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336">
        <v>1</v>
      </c>
      <c r="B4041" s="336" t="s">
        <v>67</v>
      </c>
      <c r="C4041" s="336" t="s">
        <v>1867</v>
      </c>
      <c r="D4041" s="336" t="s">
        <v>1867</v>
      </c>
      <c r="E4041" s="337" t="s">
        <v>69</v>
      </c>
      <c r="F4041" s="336"/>
      <c r="G4041" s="338" t="str">
        <f t="array" ref="G4041">IF(B4041="insumo",_xlfn.XLOOKUP($D4041,Insumos!$B$1:$B$996,Insumos!$D$1:$D$996),"")</f>
        <v/>
      </c>
      <c r="H4041" s="338">
        <v>13.205401999999999</v>
      </c>
      <c r="I4041" s="339">
        <v>0</v>
      </c>
      <c r="J4041" s="339">
        <v>0</v>
      </c>
      <c r="K4041" s="339"/>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77">
        <v>16</v>
      </c>
      <c r="B4042" s="77" t="s">
        <v>70</v>
      </c>
      <c r="C4042" s="77" t="s">
        <v>1867</v>
      </c>
      <c r="D4042" s="77" t="s">
        <v>762</v>
      </c>
      <c r="E4042" s="11" t="str">
        <f t="array" ref="E4042">_xlfn.XLOOKUP(D4042,Insumos!B:B,Insumos!C:$C)</f>
        <v>L</v>
      </c>
      <c r="F4042" s="85">
        <v>0.495</v>
      </c>
      <c r="G4042" s="87">
        <f t="array" ref="G4042">IF(B4042="insumo",_xlfn.XLOOKUP($D4042,Insumos!$B$1:$B$996,Insumos!$D$1:$D$996),"")</f>
        <v>24.5</v>
      </c>
      <c r="H4042" s="87">
        <v>12.1275</v>
      </c>
      <c r="I4042" s="79">
        <v>0</v>
      </c>
      <c r="J4042" s="79">
        <v>0</v>
      </c>
      <c r="K4042" s="79"/>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77">
        <v>31</v>
      </c>
      <c r="B4043" s="77" t="s">
        <v>70</v>
      </c>
      <c r="C4043" s="77" t="s">
        <v>1867</v>
      </c>
      <c r="D4043" s="77" t="s">
        <v>767</v>
      </c>
      <c r="E4043" s="11" t="str">
        <f t="array" ref="E4043">_xlfn.XLOOKUP(D4043,Insumos!B:B,Insumos!C:$C)</f>
        <v>L</v>
      </c>
      <c r="F4043" s="85">
        <v>0.1666</v>
      </c>
      <c r="G4043" s="87">
        <f t="array" ref="G4043">IF(B4043="insumo",_xlfn.XLOOKUP($D4043,Insumos!$B$1:$B$996,Insumos!$D$1:$D$996),"")</f>
        <v>6.47</v>
      </c>
      <c r="H4043" s="87">
        <v>1.0779019999999999</v>
      </c>
      <c r="I4043" s="79">
        <v>0</v>
      </c>
      <c r="J4043" s="79">
        <v>0</v>
      </c>
      <c r="K4043" s="79"/>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332">
        <v>1</v>
      </c>
      <c r="B4044" s="332" t="s">
        <v>67</v>
      </c>
      <c r="C4044" s="332" t="s">
        <v>2637</v>
      </c>
      <c r="D4044" s="332" t="s">
        <v>2637</v>
      </c>
      <c r="E4044" s="333" t="s">
        <v>69</v>
      </c>
      <c r="F4044" s="332"/>
      <c r="G4044" s="334" t="str">
        <f t="array" ref="G4044">IF(B4044="insumo",_xlfn.XLOOKUP($D4044,Insumos!$B$1:$B$996,Insumos!$D$1:$D$996),"")</f>
        <v/>
      </c>
      <c r="H4044" s="334">
        <v>70.567030666666696</v>
      </c>
      <c r="I4044" s="335" t="e">
        <v>#REF!</v>
      </c>
      <c r="J4044" s="335" t="e">
        <v>#REF!</v>
      </c>
      <c r="K4044" s="335"/>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70</v>
      </c>
      <c r="C4045" s="10" t="s">
        <v>2637</v>
      </c>
      <c r="D4045" s="10" t="s">
        <v>748</v>
      </c>
      <c r="E4045" s="11" t="str">
        <f t="array" ref="E4045">_xlfn.XLOOKUP(D4045,Insumos!B:B,Insumos!C:$C)</f>
        <v>L</v>
      </c>
      <c r="F4045" s="14">
        <v>6.4000000000000001E-2</v>
      </c>
      <c r="G4045" s="87">
        <f t="array" ref="G4045">IF(B4045="insumo",_xlfn.XLOOKUP($D4045,Insumos!$B$1:$B$996,Insumos!$D$1:$D$996),"")</f>
        <v>50.12</v>
      </c>
      <c r="H4045" s="87">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70</v>
      </c>
      <c r="C4046" s="10" t="s">
        <v>2637</v>
      </c>
      <c r="D4046" s="10" t="s">
        <v>749</v>
      </c>
      <c r="E4046" s="11" t="str">
        <f t="array" ref="E4046">_xlfn.XLOOKUP(D4046,Insumos!B:B,Insumos!C:$C)</f>
        <v>UN</v>
      </c>
      <c r="F4046" s="14">
        <v>0.01</v>
      </c>
      <c r="G4046" s="87">
        <f t="array" ref="G4046">IF(B4046="insumo",_xlfn.XLOOKUP($D4046,Insumos!$B$1:$B$996,Insumos!$D$1:$D$996),"")</f>
        <v>11.26</v>
      </c>
      <c r="H4046" s="87">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70</v>
      </c>
      <c r="C4047" s="10" t="s">
        <v>2637</v>
      </c>
      <c r="D4047" s="10" t="s">
        <v>750</v>
      </c>
      <c r="E4047" s="11" t="str">
        <f t="array" ref="E4047">_xlfn.XLOOKUP(D4047,Insumos!B:B,Insumos!C:$C)</f>
        <v>L</v>
      </c>
      <c r="F4047" s="14">
        <v>0.2016</v>
      </c>
      <c r="G4047" s="87">
        <f t="array" ref="G4047">IF(B4047="insumo",_xlfn.XLOOKUP($D4047,Insumos!$B$1:$B$996,Insumos!$D$1:$D$996),"")</f>
        <v>137.24</v>
      </c>
      <c r="H4047" s="87">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70</v>
      </c>
      <c r="C4048" s="10" t="s">
        <v>2637</v>
      </c>
      <c r="D4048" s="10" t="s">
        <v>751</v>
      </c>
      <c r="E4048" s="11" t="str">
        <f t="array" ref="E4048">_xlfn.XLOOKUP(D4048,Insumos!B:B,Insumos!C:$C)</f>
        <v>L</v>
      </c>
      <c r="F4048" s="14">
        <v>0.48299999999999998</v>
      </c>
      <c r="G4048" s="87">
        <f t="array" ref="G4048">IF(B4048="insumo",_xlfn.XLOOKUP($D4048,Insumos!$B$1:$B$996,Insumos!$D$1:$D$996),"")</f>
        <v>81.944444444444443</v>
      </c>
      <c r="H4048" s="87">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332">
        <v>1</v>
      </c>
      <c r="B4049" s="332" t="s">
        <v>67</v>
      </c>
      <c r="C4049" s="332" t="s">
        <v>2636</v>
      </c>
      <c r="D4049" s="332" t="s">
        <v>2636</v>
      </c>
      <c r="E4049" s="333" t="s">
        <v>69</v>
      </c>
      <c r="F4049" s="332"/>
      <c r="G4049" s="334" t="str">
        <f t="array" ref="G4049">IF(B4049="insumo",_xlfn.XLOOKUP($D4049,Insumos!$B$1:$B$996,Insumos!$D$1:$D$996),"")</f>
        <v/>
      </c>
      <c r="H4049" s="334">
        <v>1.7585555555555601</v>
      </c>
      <c r="I4049" s="335" t="e">
        <v>#REF!</v>
      </c>
      <c r="J4049" s="335" t="e">
        <v>#REF!</v>
      </c>
      <c r="K4049" s="335"/>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70</v>
      </c>
      <c r="C4050" s="10" t="s">
        <v>2636</v>
      </c>
      <c r="D4050" s="10" t="s">
        <v>765</v>
      </c>
      <c r="E4050" s="11" t="str">
        <f t="array" ref="E4050">_xlfn.XLOOKUP(D4050,Insumos!B:B,Insumos!C:$C)</f>
        <v>L</v>
      </c>
      <c r="F4050" s="14">
        <v>0.1666</v>
      </c>
      <c r="G4050" s="87">
        <f t="array" ref="G4050">IF(B4050="insumo",_xlfn.XLOOKUP($D4050,Insumos!$B$1:$B$996,Insumos!$D$1:$D$996),"")</f>
        <v>10.555555555555555</v>
      </c>
      <c r="H4050" s="87">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336">
        <v>1</v>
      </c>
      <c r="B4051" s="336" t="s">
        <v>67</v>
      </c>
      <c r="C4051" s="336" t="s">
        <v>1868</v>
      </c>
      <c r="D4051" s="336" t="s">
        <v>1868</v>
      </c>
      <c r="E4051" s="337" t="s">
        <v>69</v>
      </c>
      <c r="F4051" s="336"/>
      <c r="G4051" s="338" t="str">
        <f t="array" ref="G4051">IF(B4051="insumo",_xlfn.XLOOKUP($D4051,Insumos!$B$1:$B$996,Insumos!$D$1:$D$996),"")</f>
        <v/>
      </c>
      <c r="H4051" s="338">
        <v>4.3491600000000004</v>
      </c>
      <c r="I4051" s="339" t="e">
        <v>#REF!</v>
      </c>
      <c r="J4051" s="339" t="e">
        <v>#REF!</v>
      </c>
      <c r="K4051" s="339"/>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77">
        <v>36</v>
      </c>
      <c r="B4052" s="77" t="s">
        <v>70</v>
      </c>
      <c r="C4052" s="77" t="s">
        <v>1868</v>
      </c>
      <c r="D4052" s="77" t="s">
        <v>103</v>
      </c>
      <c r="E4052" s="11" t="str">
        <f t="array" ref="E4052">_xlfn.XLOOKUP(D4052,Insumos!B:B,Insumos!C:$C)</f>
        <v>UN</v>
      </c>
      <c r="F4052" s="81">
        <v>0.1</v>
      </c>
      <c r="G4052" s="87">
        <f t="array" ref="G4052">IF(B4052="insumo",_xlfn.XLOOKUP($D4052,Insumos!$B$1:$B$996,Insumos!$D$1:$D$996),"")</f>
        <v>1.89</v>
      </c>
      <c r="H4052" s="87">
        <v>0.189</v>
      </c>
      <c r="I4052" s="79" t="e">
        <v>#REF!</v>
      </c>
      <c r="J4052" s="79" t="e">
        <v>#REF!</v>
      </c>
      <c r="K4052" s="79"/>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77">
        <v>21</v>
      </c>
      <c r="B4053" s="77" t="s">
        <v>70</v>
      </c>
      <c r="C4053" s="77" t="s">
        <v>1868</v>
      </c>
      <c r="D4053" s="77" t="s">
        <v>764</v>
      </c>
      <c r="E4053" s="11" t="str">
        <f t="array" ref="E4053">_xlfn.XLOOKUP(D4053,Insumos!B:B,Insumos!C:$C)</f>
        <v>KG</v>
      </c>
      <c r="F4053" s="81">
        <v>0.86670000000000003</v>
      </c>
      <c r="G4053" s="87">
        <f t="array" ref="G4053">IF(B4053="insumo",_xlfn.XLOOKUP($D4053,Insumos!$B$1:$B$996,Insumos!$D$1:$D$996),"")</f>
        <v>4.8</v>
      </c>
      <c r="H4053" s="87">
        <v>4.1601600000000003</v>
      </c>
      <c r="I4053" s="79" t="e">
        <v>#REF!</v>
      </c>
      <c r="J4053" s="79" t="e">
        <v>#REF!</v>
      </c>
      <c r="K4053" s="79"/>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336">
        <v>1</v>
      </c>
      <c r="B4054" s="336" t="s">
        <v>67</v>
      </c>
      <c r="C4054" s="336" t="s">
        <v>1869</v>
      </c>
      <c r="D4054" s="336" t="s">
        <v>1869</v>
      </c>
      <c r="E4054" s="337" t="s">
        <v>69</v>
      </c>
      <c r="F4054" s="336"/>
      <c r="G4054" s="338" t="str">
        <f t="array" ref="G4054">IF(B4054="insumo",_xlfn.XLOOKUP($D4054,Insumos!$B$1:$B$996,Insumos!$D$1:$D$996),"")</f>
        <v/>
      </c>
      <c r="H4054" s="338">
        <v>13.671901999999999</v>
      </c>
      <c r="I4054" s="339">
        <v>0</v>
      </c>
      <c r="J4054" s="339">
        <v>0</v>
      </c>
      <c r="K4054" s="339"/>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77">
        <v>31</v>
      </c>
      <c r="B4055" s="77" t="s">
        <v>70</v>
      </c>
      <c r="C4055" s="77" t="s">
        <v>1869</v>
      </c>
      <c r="D4055" s="77" t="s">
        <v>767</v>
      </c>
      <c r="E4055" s="11" t="str">
        <f t="array" ref="E4055">_xlfn.XLOOKUP(D4055,Insumos!B:B,Insumos!C:$C)</f>
        <v>L</v>
      </c>
      <c r="F4055" s="85">
        <v>0.1666</v>
      </c>
      <c r="G4055" s="87">
        <f t="array" ref="G4055">IF(B4055="insumo",_xlfn.XLOOKUP($D4055,Insumos!$B$1:$B$996,Insumos!$D$1:$D$996),"")</f>
        <v>6.47</v>
      </c>
      <c r="H4055" s="87">
        <v>1.0779019999999999</v>
      </c>
      <c r="I4055" s="79">
        <v>0</v>
      </c>
      <c r="J4055" s="79">
        <v>0</v>
      </c>
      <c r="K4055" s="79"/>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77">
        <v>5</v>
      </c>
      <c r="B4056" s="77" t="s">
        <v>70</v>
      </c>
      <c r="C4056" s="77" t="s">
        <v>1869</v>
      </c>
      <c r="D4056" s="77" t="s">
        <v>904</v>
      </c>
      <c r="E4056" s="11" t="str">
        <f t="array" ref="E4056">_xlfn.XLOOKUP(D4056,Insumos!B:B,Insumos!C:$C)</f>
        <v>KG</v>
      </c>
      <c r="F4056" s="85">
        <v>1.5</v>
      </c>
      <c r="G4056" s="87">
        <f t="array" ref="G4056">IF(B4056="insumo",_xlfn.XLOOKUP($D4056,Insumos!$B$1:$B$996,Insumos!$D$1:$D$996),"")</f>
        <v>8.3960000000000008</v>
      </c>
      <c r="H4056" s="87">
        <v>12.593999999999999</v>
      </c>
      <c r="I4056" s="79">
        <v>0</v>
      </c>
      <c r="J4056" s="79">
        <v>0</v>
      </c>
      <c r="K4056" s="79"/>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355">
        <v>1</v>
      </c>
      <c r="B4057" s="355" t="s">
        <v>1227</v>
      </c>
      <c r="C4057" s="355" t="s">
        <v>1869</v>
      </c>
      <c r="D4057" s="355" t="s">
        <v>1541</v>
      </c>
      <c r="E4057" s="356"/>
      <c r="F4057" s="357"/>
      <c r="G4057" s="356"/>
      <c r="H4057" s="356">
        <v>0</v>
      </c>
      <c r="I4057" s="357">
        <v>0</v>
      </c>
      <c r="J4057" s="357">
        <v>0</v>
      </c>
      <c r="K4057" s="357"/>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332">
        <v>1</v>
      </c>
      <c r="B4058" s="332" t="s">
        <v>67</v>
      </c>
      <c r="C4058" s="332" t="s">
        <v>778</v>
      </c>
      <c r="D4058" s="332" t="s">
        <v>778</v>
      </c>
      <c r="E4058" s="333" t="s">
        <v>69</v>
      </c>
      <c r="F4058" s="340"/>
      <c r="G4058" s="334" t="str">
        <f t="array" ref="G4058">IF(B4058="insumo",_xlfn.XLOOKUP($D4058,Insumos!$B$1:$B$996,Insumos!$D$1:$D$996),"")</f>
        <v/>
      </c>
      <c r="H4058" s="334">
        <v>41</v>
      </c>
      <c r="I4058" s="335">
        <v>0</v>
      </c>
      <c r="J4058" s="335">
        <v>0</v>
      </c>
      <c r="K4058" s="335"/>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70</v>
      </c>
      <c r="C4059" s="10" t="s">
        <v>778</v>
      </c>
      <c r="D4059" s="10" t="s">
        <v>778</v>
      </c>
      <c r="E4059" s="11" t="str">
        <f t="array" ref="E4059">_xlfn.XLOOKUP(D4059,Insumos!B:B,Insumos!C:$C)</f>
        <v>M2</v>
      </c>
      <c r="F4059" s="14">
        <v>1</v>
      </c>
      <c r="G4059" s="87">
        <f t="array" ref="G4059">IF(B4059="insumo",_xlfn.XLOOKUP($D4059,Insumos!$B$1:$B$996,Insumos!$D$1:$D$996),"")</f>
        <v>41</v>
      </c>
      <c r="H4059" s="87">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332">
        <v>1</v>
      </c>
      <c r="B4060" s="332" t="s">
        <v>67</v>
      </c>
      <c r="C4060" s="332" t="s">
        <v>779</v>
      </c>
      <c r="D4060" s="332" t="s">
        <v>779</v>
      </c>
      <c r="E4060" s="333" t="s">
        <v>69</v>
      </c>
      <c r="F4060" s="340"/>
      <c r="G4060" s="334" t="str">
        <f t="array" ref="G4060">IF(B4060="insumo",_xlfn.XLOOKUP($D4060,Insumos!$B$1:$B$996,Insumos!$D$1:$D$996),"")</f>
        <v/>
      </c>
      <c r="H4060" s="334">
        <v>55</v>
      </c>
      <c r="I4060" s="335">
        <v>0</v>
      </c>
      <c r="J4060" s="335">
        <v>0</v>
      </c>
      <c r="K4060" s="335"/>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70</v>
      </c>
      <c r="C4061" s="10" t="s">
        <v>779</v>
      </c>
      <c r="D4061" s="10" t="s">
        <v>779</v>
      </c>
      <c r="E4061" s="11" t="str">
        <f t="array" ref="E4061">_xlfn.XLOOKUP(D4061,Insumos!B:B,Insumos!C:$C)</f>
        <v>M2</v>
      </c>
      <c r="F4061" s="14">
        <v>1</v>
      </c>
      <c r="G4061" s="87">
        <f t="array" ref="G4061">IF(B4061="insumo",_xlfn.XLOOKUP($D4061,Insumos!$B$1:$B$996,Insumos!$D$1:$D$996),"")</f>
        <v>55</v>
      </c>
      <c r="H4061" s="87">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332">
        <v>1</v>
      </c>
      <c r="B4062" s="332" t="s">
        <v>67</v>
      </c>
      <c r="C4062" s="332" t="s">
        <v>2640</v>
      </c>
      <c r="D4062" s="332" t="s">
        <v>2640</v>
      </c>
      <c r="E4062" s="333" t="s">
        <v>69</v>
      </c>
      <c r="F4062" s="340"/>
      <c r="G4062" s="334" t="str">
        <f t="array" ref="G4062">IF(B4062="insumo",_xlfn.XLOOKUP($D4062,Insumos!$B$1:$B$996,Insumos!$D$1:$D$996),"")</f>
        <v/>
      </c>
      <c r="H4062" s="334">
        <v>40</v>
      </c>
      <c r="I4062" s="335" t="e">
        <v>#REF!</v>
      </c>
      <c r="J4062" s="335" t="e">
        <v>#REF!</v>
      </c>
      <c r="K4062" s="335"/>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70</v>
      </c>
      <c r="C4063" s="10" t="s">
        <v>2640</v>
      </c>
      <c r="D4063" s="10" t="s">
        <v>2640</v>
      </c>
      <c r="E4063" s="11" t="str">
        <f t="array" ref="E4063">_xlfn.XLOOKUP(D4063,Insumos!B:B,Insumos!C:$C)</f>
        <v>M2</v>
      </c>
      <c r="F4063" s="14">
        <v>1</v>
      </c>
      <c r="G4063" s="87">
        <f t="array" ref="G4063">IF(B4063="insumo",_xlfn.XLOOKUP($D4063,Insumos!$B$1:$B$996,Insumos!$D$1:$D$996),"")</f>
        <v>40</v>
      </c>
      <c r="H4063" s="87">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332">
        <v>1</v>
      </c>
      <c r="B4064" s="332" t="s">
        <v>67</v>
      </c>
      <c r="C4064" s="332" t="s">
        <v>780</v>
      </c>
      <c r="D4064" s="332" t="s">
        <v>780</v>
      </c>
      <c r="E4064" s="333" t="s">
        <v>69</v>
      </c>
      <c r="F4064" s="340"/>
      <c r="G4064" s="334" t="str">
        <f t="array" ref="G4064">IF(B4064="insumo",_xlfn.XLOOKUP($D4064,Insumos!$B$1:$B$996,Insumos!$D$1:$D$996),"")</f>
        <v/>
      </c>
      <c r="H4064" s="334">
        <v>20</v>
      </c>
      <c r="I4064" s="335">
        <v>0</v>
      </c>
      <c r="J4064" s="335">
        <v>0</v>
      </c>
      <c r="K4064" s="335"/>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70</v>
      </c>
      <c r="C4065" s="10" t="s">
        <v>780</v>
      </c>
      <c r="D4065" s="10" t="s">
        <v>781</v>
      </c>
      <c r="E4065" s="11" t="str">
        <f t="array" ref="E4065">_xlfn.XLOOKUP(D4065,Insumos!B:B,Insumos!C:$C)</f>
        <v>M2</v>
      </c>
      <c r="F4065" s="14">
        <v>1</v>
      </c>
      <c r="G4065" s="87">
        <f t="array" ref="G4065">IF(B4065="insumo",_xlfn.XLOOKUP($D4065,Insumos!$B$1:$B$996,Insumos!$D$1:$D$996),"")</f>
        <v>20</v>
      </c>
      <c r="H4065" s="87">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332">
        <v>1</v>
      </c>
      <c r="B4066" s="332" t="s">
        <v>67</v>
      </c>
      <c r="C4066" s="332" t="s">
        <v>781</v>
      </c>
      <c r="D4066" s="332" t="s">
        <v>781</v>
      </c>
      <c r="E4066" s="333" t="s">
        <v>69</v>
      </c>
      <c r="F4066" s="340"/>
      <c r="G4066" s="334" t="str">
        <f t="array" ref="G4066">IF(B4066="insumo",_xlfn.XLOOKUP($D4066,Insumos!$B$1:$B$996,Insumos!$D$1:$D$996),"")</f>
        <v/>
      </c>
      <c r="H4066" s="334">
        <v>20</v>
      </c>
      <c r="I4066" s="335">
        <v>0</v>
      </c>
      <c r="J4066" s="335">
        <v>0</v>
      </c>
      <c r="K4066" s="335"/>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70</v>
      </c>
      <c r="C4067" s="10" t="s">
        <v>781</v>
      </c>
      <c r="D4067" s="10" t="s">
        <v>781</v>
      </c>
      <c r="E4067" s="11" t="str">
        <f t="array" ref="E4067">_xlfn.XLOOKUP(D4067,Insumos!B:B,Insumos!C:$C)</f>
        <v>M2</v>
      </c>
      <c r="F4067" s="14">
        <v>1</v>
      </c>
      <c r="G4067" s="87">
        <f t="array" ref="G4067">IF(B4067="insumo",_xlfn.XLOOKUP($D4067,Insumos!$B$1:$B$996,Insumos!$D$1:$D$996),"")</f>
        <v>20</v>
      </c>
      <c r="H4067" s="87">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355">
        <v>1</v>
      </c>
      <c r="B4068" s="355" t="s">
        <v>1227</v>
      </c>
      <c r="C4068" s="355" t="s">
        <v>781</v>
      </c>
      <c r="D4068" s="355" t="s">
        <v>1539</v>
      </c>
      <c r="E4068" s="356"/>
      <c r="F4068" s="357"/>
      <c r="G4068" s="356"/>
      <c r="H4068" s="356">
        <v>0</v>
      </c>
      <c r="I4068" s="357">
        <v>0</v>
      </c>
      <c r="J4068" s="357">
        <v>0</v>
      </c>
      <c r="K4068" s="357"/>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332">
        <v>1</v>
      </c>
      <c r="B4069" s="332" t="s">
        <v>67</v>
      </c>
      <c r="C4069" s="332" t="s">
        <v>782</v>
      </c>
      <c r="D4069" s="332" t="s">
        <v>782</v>
      </c>
      <c r="E4069" s="333" t="s">
        <v>69</v>
      </c>
      <c r="F4069" s="340"/>
      <c r="G4069" s="334" t="str">
        <f t="array" ref="G4069">IF(B4069="insumo",_xlfn.XLOOKUP($D4069,Insumos!$B$1:$B$996,Insumos!$D$1:$D$996),"")</f>
        <v/>
      </c>
      <c r="H4069" s="334">
        <v>40</v>
      </c>
      <c r="I4069" s="335" t="e">
        <v>#REF!</v>
      </c>
      <c r="J4069" s="335" t="e">
        <v>#REF!</v>
      </c>
      <c r="K4069" s="335"/>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70</v>
      </c>
      <c r="C4070" s="10" t="s">
        <v>782</v>
      </c>
      <c r="D4070" s="10" t="s">
        <v>782</v>
      </c>
      <c r="E4070" s="11" t="str">
        <f t="array" ref="E4070">_xlfn.XLOOKUP(D4070,Insumos!B:B,Insumos!C:$C)</f>
        <v>M2</v>
      </c>
      <c r="F4070" s="14">
        <v>1</v>
      </c>
      <c r="G4070" s="87">
        <f t="array" ref="G4070">IF(B4070="insumo",_xlfn.XLOOKUP($D4070,Insumos!$B$1:$B$996,Insumos!$D$1:$D$996),"")</f>
        <v>40</v>
      </c>
      <c r="H4070" s="87">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332">
        <v>1</v>
      </c>
      <c r="B4071" s="332" t="s">
        <v>67</v>
      </c>
      <c r="C4071" s="332" t="s">
        <v>2892</v>
      </c>
      <c r="D4071" s="332" t="s">
        <v>2892</v>
      </c>
      <c r="E4071" s="333" t="s">
        <v>69</v>
      </c>
      <c r="F4071" s="340"/>
      <c r="G4071" s="334" t="str">
        <f t="array" ref="G4071">IF(B4071="insumo",_xlfn.XLOOKUP($D4071,Insumos!$B$1:$B$996,Insumos!$D$1:$D$996),"")</f>
        <v/>
      </c>
      <c r="H4071" s="334">
        <v>42</v>
      </c>
      <c r="I4071" s="335" t="e">
        <v>#REF!</v>
      </c>
      <c r="J4071" s="335" t="e">
        <v>#REF!</v>
      </c>
      <c r="K4071" s="335"/>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70</v>
      </c>
      <c r="C4072" s="10" t="s">
        <v>2892</v>
      </c>
      <c r="D4072" s="10" t="s">
        <v>2892</v>
      </c>
      <c r="E4072" s="11" t="str">
        <f t="array" ref="E4072">_xlfn.XLOOKUP(D4072,Insumos!B:B,Insumos!C:$C)</f>
        <v>M2</v>
      </c>
      <c r="F4072" s="14">
        <v>1</v>
      </c>
      <c r="G4072" s="87">
        <f t="array" ref="G4072">IF(B4072="insumo",_xlfn.XLOOKUP($D4072,Insumos!$B$1:$B$996,Insumos!$D$1:$D$996),"")</f>
        <v>42</v>
      </c>
      <c r="H4072" s="87">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332">
        <v>1</v>
      </c>
      <c r="B4073" s="332" t="s">
        <v>67</v>
      </c>
      <c r="C4073" s="332" t="s">
        <v>783</v>
      </c>
      <c r="D4073" s="332" t="s">
        <v>783</v>
      </c>
      <c r="E4073" s="333" t="s">
        <v>69</v>
      </c>
      <c r="F4073" s="340"/>
      <c r="G4073" s="334" t="str">
        <f t="array" ref="G4073">IF(B4073="insumo",_xlfn.XLOOKUP($D4073,Insumos!$B$1:$B$996,Insumos!$D$1:$D$996),"")</f>
        <v/>
      </c>
      <c r="H4073" s="334">
        <v>40</v>
      </c>
      <c r="I4073" s="335" t="e">
        <v>#REF!</v>
      </c>
      <c r="J4073" s="335" t="e">
        <v>#REF!</v>
      </c>
      <c r="K4073" s="335"/>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70</v>
      </c>
      <c r="C4074" s="10" t="s">
        <v>783</v>
      </c>
      <c r="D4074" s="10" t="s">
        <v>783</v>
      </c>
      <c r="E4074" s="11" t="str">
        <f t="array" ref="E4074">_xlfn.XLOOKUP(D4074,Insumos!B:B,Insumos!C:$C)</f>
        <v>UN</v>
      </c>
      <c r="F4074" s="14">
        <v>1</v>
      </c>
      <c r="G4074" s="87">
        <f t="array" ref="G4074">IF(B4074="insumo",_xlfn.XLOOKUP($D4074,Insumos!$B$1:$B$996,Insumos!$D$1:$D$996),"")</f>
        <v>40</v>
      </c>
      <c r="H4074" s="87">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332">
        <v>1</v>
      </c>
      <c r="B4075" s="332" t="s">
        <v>67</v>
      </c>
      <c r="C4075" s="332" t="s">
        <v>1550</v>
      </c>
      <c r="D4075" s="332" t="s">
        <v>1550</v>
      </c>
      <c r="E4075" s="333" t="s">
        <v>69</v>
      </c>
      <c r="F4075" s="340"/>
      <c r="G4075" s="334" t="str">
        <f t="array" ref="G4075">IF(B4075="insumo",_xlfn.XLOOKUP($D4075,Insumos!$B$1:$B$996,Insumos!$D$1:$D$996),"")</f>
        <v/>
      </c>
      <c r="H4075" s="334">
        <v>20</v>
      </c>
      <c r="I4075" s="335" t="e">
        <v>#REF!</v>
      </c>
      <c r="J4075" s="335" t="e">
        <v>#REF!</v>
      </c>
      <c r="K4075" s="335"/>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70</v>
      </c>
      <c r="C4076" s="10" t="s">
        <v>1550</v>
      </c>
      <c r="D4076" s="10" t="s">
        <v>1550</v>
      </c>
      <c r="E4076" s="11" t="str">
        <f t="array" ref="E4076">_xlfn.XLOOKUP(D4076,Insumos!B:B,Insumos!C:$C)</f>
        <v>UN</v>
      </c>
      <c r="F4076" s="14">
        <v>1</v>
      </c>
      <c r="G4076" s="87">
        <f t="array" ref="G4076">IF(B4076="insumo",_xlfn.XLOOKUP($D4076,Insumos!$B$1:$B$996,Insumos!$D$1:$D$996),"")</f>
        <v>20</v>
      </c>
      <c r="H4076" s="87">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355">
        <v>1</v>
      </c>
      <c r="B4077" s="355" t="s">
        <v>1227</v>
      </c>
      <c r="C4077" s="355" t="s">
        <v>1550</v>
      </c>
      <c r="D4077" s="355" t="s">
        <v>1540</v>
      </c>
      <c r="E4077" s="356"/>
      <c r="F4077" s="357"/>
      <c r="G4077" s="356"/>
      <c r="H4077" s="356">
        <v>0</v>
      </c>
      <c r="I4077" s="357">
        <v>0</v>
      </c>
      <c r="J4077" s="357">
        <v>0</v>
      </c>
      <c r="K4077" s="357"/>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332">
        <v>1</v>
      </c>
      <c r="B4078" s="332" t="s">
        <v>67</v>
      </c>
      <c r="C4078" s="332" t="s">
        <v>784</v>
      </c>
      <c r="D4078" s="332" t="s">
        <v>784</v>
      </c>
      <c r="E4078" s="333" t="s">
        <v>69</v>
      </c>
      <c r="F4078" s="340"/>
      <c r="G4078" s="334" t="str">
        <f t="array" ref="G4078">IF(B4078="insumo",_xlfn.XLOOKUP($D4078,Insumos!$B$1:$B$996,Insumos!$D$1:$D$996),"")</f>
        <v/>
      </c>
      <c r="H4078" s="334">
        <v>40</v>
      </c>
      <c r="I4078" s="335" t="e">
        <v>#REF!</v>
      </c>
      <c r="J4078" s="335" t="e">
        <v>#REF!</v>
      </c>
      <c r="K4078" s="335"/>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70</v>
      </c>
      <c r="C4079" s="10" t="s">
        <v>784</v>
      </c>
      <c r="D4079" s="10" t="s">
        <v>784</v>
      </c>
      <c r="E4079" s="11" t="str">
        <f t="array" ref="E4079">_xlfn.XLOOKUP(D4079,Insumos!B:B,Insumos!C:$C)</f>
        <v>UN</v>
      </c>
      <c r="F4079" s="14">
        <v>1</v>
      </c>
      <c r="G4079" s="87">
        <f t="array" ref="G4079">IF(B4079="insumo",_xlfn.XLOOKUP($D4079,Insumos!$B$1:$B$996,Insumos!$D$1:$D$996),"")</f>
        <v>40</v>
      </c>
      <c r="H4079" s="87">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332">
        <v>1</v>
      </c>
      <c r="B4080" s="332" t="s">
        <v>67</v>
      </c>
      <c r="C4080" s="332" t="s">
        <v>2639</v>
      </c>
      <c r="D4080" s="332" t="s">
        <v>2639</v>
      </c>
      <c r="E4080" s="333" t="s">
        <v>69</v>
      </c>
      <c r="F4080" s="340"/>
      <c r="G4080" s="334" t="str">
        <f t="array" ref="G4080">IF(B4080="insumo",_xlfn.XLOOKUP($D4080,Insumos!$B$1:$B$996,Insumos!$D$1:$D$996),"")</f>
        <v/>
      </c>
      <c r="H4080" s="334">
        <v>400</v>
      </c>
      <c r="I4080" s="335" t="e">
        <v>#REF!</v>
      </c>
      <c r="J4080" s="335" t="e">
        <v>#REF!</v>
      </c>
      <c r="K4080" s="335"/>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70</v>
      </c>
      <c r="C4081" s="10" t="s">
        <v>2639</v>
      </c>
      <c r="D4081" s="10" t="s">
        <v>2639</v>
      </c>
      <c r="E4081" s="11" t="str">
        <f t="array" ref="E4081">_xlfn.XLOOKUP(D4081,Insumos!B:B,Insumos!C:$C)</f>
        <v>M2</v>
      </c>
      <c r="F4081" s="14">
        <v>1</v>
      </c>
      <c r="G4081" s="87">
        <f t="array" ref="G4081">IF(B4081="insumo",_xlfn.XLOOKUP($D4081,Insumos!$B$1:$B$996,Insumos!$D$1:$D$996),"")</f>
        <v>400</v>
      </c>
      <c r="H4081" s="87">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332">
        <v>1</v>
      </c>
      <c r="B4082" s="332" t="s">
        <v>67</v>
      </c>
      <c r="C4082" s="332" t="s">
        <v>2641</v>
      </c>
      <c r="D4082" s="332" t="s">
        <v>2641</v>
      </c>
      <c r="E4082" s="333" t="s">
        <v>69</v>
      </c>
      <c r="F4082" s="340"/>
      <c r="G4082" s="334" t="str">
        <f t="array" ref="G4082">IF(B4082="insumo",_xlfn.XLOOKUP($D4082,Insumos!$B$1:$B$996,Insumos!$D$1:$D$996),"")</f>
        <v/>
      </c>
      <c r="H4082" s="334">
        <v>40</v>
      </c>
      <c r="I4082" s="335" t="e">
        <v>#REF!</v>
      </c>
      <c r="J4082" s="335" t="e">
        <v>#REF!</v>
      </c>
      <c r="K4082" s="335"/>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70</v>
      </c>
      <c r="C4083" s="10" t="s">
        <v>2641</v>
      </c>
      <c r="D4083" s="10" t="s">
        <v>2640</v>
      </c>
      <c r="E4083" s="11" t="str">
        <f t="array" ref="E4083">_xlfn.XLOOKUP(D4083,Insumos!B:B,Insumos!C:$C)</f>
        <v>M2</v>
      </c>
      <c r="F4083" s="14">
        <v>1</v>
      </c>
      <c r="G4083" s="87">
        <f t="array" ref="G4083">IF(B4083="insumo",_xlfn.XLOOKUP($D4083,Insumos!$B$1:$B$996,Insumos!$D$1:$D$996),"")</f>
        <v>40</v>
      </c>
      <c r="H4083" s="87">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332">
        <v>1</v>
      </c>
      <c r="B4084" s="332" t="s">
        <v>67</v>
      </c>
      <c r="C4084" s="332" t="s">
        <v>785</v>
      </c>
      <c r="D4084" s="332" t="s">
        <v>785</v>
      </c>
      <c r="E4084" s="333" t="s">
        <v>69</v>
      </c>
      <c r="F4084" s="340"/>
      <c r="G4084" s="334" t="str">
        <f t="array" ref="G4084">IF(B4084="insumo",_xlfn.XLOOKUP($D4084,Insumos!$B$1:$B$996,Insumos!$D$1:$D$996),"")</f>
        <v/>
      </c>
      <c r="H4084" s="334">
        <v>40</v>
      </c>
      <c r="I4084" s="335" t="e">
        <v>#REF!</v>
      </c>
      <c r="J4084" s="335" t="e">
        <v>#REF!</v>
      </c>
      <c r="K4084" s="335"/>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70</v>
      </c>
      <c r="C4085" s="10" t="s">
        <v>785</v>
      </c>
      <c r="D4085" s="10" t="s">
        <v>785</v>
      </c>
      <c r="E4085" s="11" t="str">
        <f t="array" ref="E4085">_xlfn.XLOOKUP(D4085,Insumos!B:B,Insumos!C:$C)</f>
        <v>M2</v>
      </c>
      <c r="F4085" s="14">
        <v>1</v>
      </c>
      <c r="G4085" s="87">
        <f t="array" ref="G4085">IF(B4085="insumo",_xlfn.XLOOKUP($D4085,Insumos!$B$1:$B$996,Insumos!$D$1:$D$996),"")</f>
        <v>40</v>
      </c>
      <c r="H4085" s="87">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65</v>
      </c>
      <c r="C4086" s="7" t="s">
        <v>785</v>
      </c>
      <c r="D4086" s="7" t="s">
        <v>26</v>
      </c>
      <c r="E4086" s="8"/>
      <c r="F4086" s="9"/>
      <c r="G4086" s="86" t="str">
        <f t="array" ref="G4086">IF(B4086="insumo",_xlfn.XLOOKUP($D4086,Insumos!$B$1:$B$996,Insumos!$D$1:$D$996),"")</f>
        <v/>
      </c>
      <c r="H4086" s="86">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355">
        <v>1</v>
      </c>
      <c r="B4087" s="355" t="s">
        <v>1227</v>
      </c>
      <c r="C4087" s="355" t="s">
        <v>785</v>
      </c>
      <c r="D4087" s="355" t="s">
        <v>1514</v>
      </c>
      <c r="E4087" s="356"/>
      <c r="F4087" s="357"/>
      <c r="G4087" s="356"/>
      <c r="H4087" s="356">
        <v>0</v>
      </c>
      <c r="I4087" s="357">
        <v>0</v>
      </c>
      <c r="J4087" s="357">
        <v>0</v>
      </c>
      <c r="K4087" s="357"/>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332">
        <v>1</v>
      </c>
      <c r="B4088" s="332" t="s">
        <v>67</v>
      </c>
      <c r="C4088" s="332" t="s">
        <v>786</v>
      </c>
      <c r="D4088" s="332" t="s">
        <v>786</v>
      </c>
      <c r="E4088" s="333" t="s">
        <v>69</v>
      </c>
      <c r="F4088" s="332"/>
      <c r="G4088" s="334" t="str">
        <f t="array" ref="G4088">IF(B4088="insumo",_xlfn.XLOOKUP($D4088,Insumos!$B$1:$B$996,Insumos!$D$1:$D$996),"")</f>
        <v/>
      </c>
      <c r="H4088" s="334">
        <v>2140</v>
      </c>
      <c r="I4088" s="335">
        <v>0</v>
      </c>
      <c r="J4088" s="335">
        <v>0</v>
      </c>
      <c r="K4088" s="335"/>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70</v>
      </c>
      <c r="C4089" s="10" t="s">
        <v>786</v>
      </c>
      <c r="D4089" s="10" t="s">
        <v>786</v>
      </c>
      <c r="E4089" s="11" t="str">
        <f t="array" ref="E4089">_xlfn.XLOOKUP(D4089,Insumos!B:B,Insumos!C:$C)</f>
        <v>M2</v>
      </c>
      <c r="F4089" s="14">
        <v>1</v>
      </c>
      <c r="G4089" s="87">
        <f t="array" ref="G4089">IF(B4089="insumo",_xlfn.XLOOKUP($D4089,Insumos!$B$1:$B$996,Insumos!$D$1:$D$996),"")</f>
        <v>2140</v>
      </c>
      <c r="H4089" s="87">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332">
        <v>1</v>
      </c>
      <c r="B4090" s="332" t="s">
        <v>67</v>
      </c>
      <c r="C4090" s="332" t="s">
        <v>2893</v>
      </c>
      <c r="D4090" s="332" t="s">
        <v>2893</v>
      </c>
      <c r="E4090" s="333" t="s">
        <v>787</v>
      </c>
      <c r="F4090" s="332"/>
      <c r="G4090" s="334" t="str">
        <f t="array" ref="G4090">IF(B4090="insumo",_xlfn.XLOOKUP($D4090,Insumos!$B$1:$B$996,Insumos!$D$1:$D$996),"")</f>
        <v/>
      </c>
      <c r="H4090" s="334">
        <v>66.849999999999994</v>
      </c>
      <c r="I4090" s="335">
        <v>462.5</v>
      </c>
      <c r="J4090" s="335">
        <v>30918.125</v>
      </c>
      <c r="K4090" s="335"/>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70</v>
      </c>
      <c r="C4091" s="10" t="s">
        <v>2893</v>
      </c>
      <c r="D4091" s="10" t="s">
        <v>788</v>
      </c>
      <c r="E4091" s="11" t="str">
        <f t="array" ref="E4091">_xlfn.XLOOKUP(D4091,Insumos!B:B,Insumos!C:$C)</f>
        <v>M2</v>
      </c>
      <c r="F4091" s="14">
        <v>1</v>
      </c>
      <c r="G4091" s="87">
        <f t="array" ref="G4091">IF(B4091="insumo",_xlfn.XLOOKUP($D4091,Insumos!$B$1:$B$996,Insumos!$D$1:$D$996),"")</f>
        <v>30</v>
      </c>
      <c r="H4091" s="87">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70</v>
      </c>
      <c r="C4092" s="10" t="s">
        <v>2893</v>
      </c>
      <c r="D4092" s="10" t="s">
        <v>789</v>
      </c>
      <c r="E4092" s="11" t="str">
        <f t="array" ref="E4092">_xlfn.XLOOKUP(D4092,Insumos!B:B,Insumos!C:$C)</f>
        <v>M</v>
      </c>
      <c r="F4092" s="14">
        <v>1</v>
      </c>
      <c r="G4092" s="87">
        <f t="array" ref="G4092">IF(B4092="insumo",_xlfn.XLOOKUP($D4092,Insumos!$B$1:$B$996,Insumos!$D$1:$D$996),"")</f>
        <v>36</v>
      </c>
      <c r="H4092" s="87">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70</v>
      </c>
      <c r="C4093" s="10" t="s">
        <v>2893</v>
      </c>
      <c r="D4093" s="10" t="s">
        <v>355</v>
      </c>
      <c r="E4093" s="11" t="str">
        <f t="array" ref="E4093">_xlfn.XLOOKUP(D4093,Insumos!B:B,Insumos!C:$C)</f>
        <v>M3</v>
      </c>
      <c r="F4093" s="14">
        <v>2E-3</v>
      </c>
      <c r="G4093" s="87">
        <f t="array" ref="G4093">IF(B4093="insumo",_xlfn.XLOOKUP($D4093,Insumos!$B$1:$B$996,Insumos!$D$1:$D$996),"")</f>
        <v>425</v>
      </c>
      <c r="H4093" s="87">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332">
        <v>1</v>
      </c>
      <c r="B4094" s="332" t="s">
        <v>67</v>
      </c>
      <c r="C4094" s="332" t="s">
        <v>790</v>
      </c>
      <c r="D4094" s="332" t="s">
        <v>790</v>
      </c>
      <c r="E4094" s="333" t="s">
        <v>787</v>
      </c>
      <c r="F4094" s="332"/>
      <c r="G4094" s="334" t="str">
        <f t="array" ref="G4094">IF(B4094="insumo",_xlfn.XLOOKUP($D4094,Insumos!$B$1:$B$996,Insumos!$D$1:$D$996),"")</f>
        <v/>
      </c>
      <c r="H4094" s="334">
        <v>23.24</v>
      </c>
      <c r="I4094" s="335">
        <v>5018.1000000000004</v>
      </c>
      <c r="J4094" s="335">
        <v>116620.644</v>
      </c>
      <c r="K4094" s="335"/>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70</v>
      </c>
      <c r="C4095" s="10" t="s">
        <v>790</v>
      </c>
      <c r="D4095" s="10" t="s">
        <v>791</v>
      </c>
      <c r="E4095" s="11" t="str">
        <f t="array" ref="E4095">_xlfn.XLOOKUP(D4095,Insumos!B:B,Insumos!C:$C)</f>
        <v>M2</v>
      </c>
      <c r="F4095" s="14">
        <v>1</v>
      </c>
      <c r="G4095" s="87">
        <f t="array" ref="G4095">IF(B4095="insumo",_xlfn.XLOOKUP($D4095,Insumos!$B$1:$B$996,Insumos!$D$1:$D$996),"")</f>
        <v>15</v>
      </c>
      <c r="H4095" s="87">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70</v>
      </c>
      <c r="C4096" s="10" t="s">
        <v>790</v>
      </c>
      <c r="D4096" s="10" t="s">
        <v>792</v>
      </c>
      <c r="E4096" s="11" t="str">
        <f t="array" ref="E4096">_xlfn.XLOOKUP(D4096,Insumos!B:B,Insumos!C:$C)</f>
        <v>M</v>
      </c>
      <c r="F4096" s="14">
        <v>1</v>
      </c>
      <c r="G4096" s="87">
        <f t="array" ref="G4096">IF(B4096="insumo",_xlfn.XLOOKUP($D4096,Insumos!$B$1:$B$996,Insumos!$D$1:$D$996),"")</f>
        <v>7.39</v>
      </c>
      <c r="H4096" s="87">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70</v>
      </c>
      <c r="C4097" s="10" t="s">
        <v>790</v>
      </c>
      <c r="D4097" s="10" t="s">
        <v>355</v>
      </c>
      <c r="E4097" s="11" t="str">
        <f t="array" ref="E4097">_xlfn.XLOOKUP(D4097,Insumos!B:B,Insumos!C:$C)</f>
        <v>M3</v>
      </c>
      <c r="F4097" s="14">
        <v>2E-3</v>
      </c>
      <c r="G4097" s="87">
        <f t="array" ref="G4097">IF(B4097="insumo",_xlfn.XLOOKUP($D4097,Insumos!$B$1:$B$996,Insumos!$D$1:$D$996),"")</f>
        <v>425</v>
      </c>
      <c r="H4097" s="87">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332">
        <v>1</v>
      </c>
      <c r="B4098" s="336" t="s">
        <v>67</v>
      </c>
      <c r="C4098" s="336" t="s">
        <v>1870</v>
      </c>
      <c r="D4098" s="336" t="s">
        <v>1870</v>
      </c>
      <c r="E4098" s="337" t="s">
        <v>69</v>
      </c>
      <c r="F4098" s="336"/>
      <c r="G4098" s="338" t="str">
        <f t="array" ref="G4098">IF(B4098="insumo",_xlfn.XLOOKUP($D4098,Insumos!$B$1:$B$996,Insumos!$D$1:$D$996),"")</f>
        <v/>
      </c>
      <c r="H4098" s="338">
        <v>1350</v>
      </c>
      <c r="I4098" s="339">
        <v>0</v>
      </c>
      <c r="J4098" s="339">
        <v>0</v>
      </c>
      <c r="K4098" s="339"/>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77">
        <v>1</v>
      </c>
      <c r="B4099" s="77" t="s">
        <v>70</v>
      </c>
      <c r="C4099" s="77" t="s">
        <v>1870</v>
      </c>
      <c r="D4099" s="77" t="s">
        <v>1870</v>
      </c>
      <c r="E4099" s="11" t="str">
        <f t="array" ref="E4099">_xlfn.XLOOKUP(D4099,Insumos!B:B,Insumos!C:$C)</f>
        <v>M2</v>
      </c>
      <c r="F4099" s="81">
        <v>1</v>
      </c>
      <c r="G4099" s="87">
        <f t="array" ref="G4099">IF(B4099="insumo",_xlfn.XLOOKUP($D4099,Insumos!$B$1:$B$996,Insumos!$D$1:$D$996),"")</f>
        <v>1350</v>
      </c>
      <c r="H4099" s="87">
        <v>1350</v>
      </c>
      <c r="I4099" s="79">
        <v>0</v>
      </c>
      <c r="J4099" s="79">
        <v>0</v>
      </c>
      <c r="K4099" s="79"/>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336">
        <v>1</v>
      </c>
      <c r="B4100" s="336" t="s">
        <v>67</v>
      </c>
      <c r="C4100" s="336" t="s">
        <v>1871</v>
      </c>
      <c r="D4100" s="336" t="s">
        <v>1871</v>
      </c>
      <c r="E4100" s="337" t="s">
        <v>69</v>
      </c>
      <c r="F4100" s="336"/>
      <c r="G4100" s="338" t="str">
        <f t="array" ref="G4100">IF(B4100="insumo",_xlfn.XLOOKUP($D4100,Insumos!$B$1:$B$996,Insumos!$D$1:$D$996),"")</f>
        <v/>
      </c>
      <c r="H4100" s="338">
        <v>980</v>
      </c>
      <c r="I4100" s="339">
        <v>0</v>
      </c>
      <c r="J4100" s="339">
        <v>0</v>
      </c>
      <c r="K4100" s="339"/>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77">
        <v>1</v>
      </c>
      <c r="B4101" s="77" t="s">
        <v>70</v>
      </c>
      <c r="C4101" s="77" t="s">
        <v>1871</v>
      </c>
      <c r="D4101" s="77" t="s">
        <v>1871</v>
      </c>
      <c r="E4101" s="11" t="str">
        <f t="array" ref="E4101">_xlfn.XLOOKUP(D4101,Insumos!B:B,Insumos!C:$C)</f>
        <v>M2</v>
      </c>
      <c r="F4101" s="81">
        <v>1</v>
      </c>
      <c r="G4101" s="87">
        <f t="array" ref="G4101">IF(B4101="insumo",_xlfn.XLOOKUP($D4101,Insumos!$B$1:$B$996,Insumos!$D$1:$D$996),"")</f>
        <v>980</v>
      </c>
      <c r="H4101" s="87">
        <v>980</v>
      </c>
      <c r="I4101" s="79">
        <v>0</v>
      </c>
      <c r="J4101" s="79">
        <v>0</v>
      </c>
      <c r="K4101" s="79"/>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336">
        <v>1</v>
      </c>
      <c r="B4102" s="336" t="s">
        <v>67</v>
      </c>
      <c r="C4102" s="336" t="s">
        <v>1872</v>
      </c>
      <c r="D4102" s="336" t="s">
        <v>1872</v>
      </c>
      <c r="E4102" s="337" t="s">
        <v>69</v>
      </c>
      <c r="F4102" s="336"/>
      <c r="G4102" s="338" t="str">
        <f t="array" ref="G4102">IF(B4102="insumo",_xlfn.XLOOKUP($D4102,Insumos!$B$1:$B$996,Insumos!$D$1:$D$996),"")</f>
        <v/>
      </c>
      <c r="H4102" s="338">
        <v>1350</v>
      </c>
      <c r="I4102" s="339">
        <v>0</v>
      </c>
      <c r="J4102" s="339">
        <v>0</v>
      </c>
      <c r="K4102" s="339"/>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77">
        <v>1</v>
      </c>
      <c r="B4103" s="77" t="s">
        <v>70</v>
      </c>
      <c r="C4103" s="77" t="s">
        <v>1872</v>
      </c>
      <c r="D4103" s="77" t="s">
        <v>1872</v>
      </c>
      <c r="E4103" s="11" t="str">
        <f t="array" ref="E4103">_xlfn.XLOOKUP(D4103,Insumos!B:B,Insumos!C:$C)</f>
        <v>M2</v>
      </c>
      <c r="F4103" s="81">
        <v>1</v>
      </c>
      <c r="G4103" s="87">
        <f t="array" ref="G4103">IF(B4103="insumo",_xlfn.XLOOKUP($D4103,Insumos!$B$1:$B$996,Insumos!$D$1:$D$996),"")</f>
        <v>1350</v>
      </c>
      <c r="H4103" s="87">
        <v>1350</v>
      </c>
      <c r="I4103" s="79">
        <v>0</v>
      </c>
      <c r="J4103" s="79">
        <v>0</v>
      </c>
      <c r="K4103" s="79"/>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336">
        <v>1</v>
      </c>
      <c r="B4104" s="336" t="s">
        <v>67</v>
      </c>
      <c r="C4104" s="336" t="s">
        <v>1873</v>
      </c>
      <c r="D4104" s="336" t="s">
        <v>1873</v>
      </c>
      <c r="E4104" s="337" t="s">
        <v>196</v>
      </c>
      <c r="F4104" s="336"/>
      <c r="G4104" s="338" t="str">
        <f t="array" ref="G4104">IF(B4104="insumo",_xlfn.XLOOKUP($D4104,Insumos!$B$1:$B$996,Insumos!$D$1:$D$996),"")</f>
        <v/>
      </c>
      <c r="H4104" s="338">
        <v>67.040000000000006</v>
      </c>
      <c r="I4104" s="339">
        <v>0</v>
      </c>
      <c r="J4104" s="339">
        <v>0</v>
      </c>
      <c r="K4104" s="339"/>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77">
        <v>1</v>
      </c>
      <c r="B4105" s="77" t="s">
        <v>70</v>
      </c>
      <c r="C4105" s="77" t="s">
        <v>1873</v>
      </c>
      <c r="D4105" s="77" t="s">
        <v>1874</v>
      </c>
      <c r="E4105" s="11" t="str">
        <f t="array" ref="E4105">_xlfn.XLOOKUP(D4105,Insumos!B:B,Insumos!C:$C)</f>
        <v>Un</v>
      </c>
      <c r="F4105" s="81">
        <v>1</v>
      </c>
      <c r="G4105" s="87">
        <f t="array" ref="G4105">IF(B4105="insumo",_xlfn.XLOOKUP($D4105,Insumos!$B$1:$B$996,Insumos!$D$1:$D$996),"")</f>
        <v>65</v>
      </c>
      <c r="H4105" s="87">
        <v>65</v>
      </c>
      <c r="I4105" s="79">
        <v>0</v>
      </c>
      <c r="J4105" s="79">
        <v>0</v>
      </c>
      <c r="K4105" s="79"/>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77">
        <v>17</v>
      </c>
      <c r="B4106" s="77" t="s">
        <v>70</v>
      </c>
      <c r="C4106" s="77" t="s">
        <v>1873</v>
      </c>
      <c r="D4106" s="77" t="s">
        <v>355</v>
      </c>
      <c r="E4106" s="11" t="str">
        <f t="array" ref="E4106">_xlfn.XLOOKUP(D4106,Insumos!B:B,Insumos!C:$C)</f>
        <v>M3</v>
      </c>
      <c r="F4106" s="81">
        <f>0.002*2.4</f>
        <v>4.7999999999999996E-3</v>
      </c>
      <c r="G4106" s="87">
        <f t="array" ref="G4106">IF(B4106="insumo",_xlfn.XLOOKUP($D4106,Insumos!$B$1:$B$996,Insumos!$D$1:$D$996),"")</f>
        <v>425</v>
      </c>
      <c r="H4106" s="87">
        <v>2.04</v>
      </c>
      <c r="I4106" s="79">
        <v>0</v>
      </c>
      <c r="J4106" s="79">
        <v>0</v>
      </c>
      <c r="K4106" s="79"/>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336">
        <v>1</v>
      </c>
      <c r="B4107" s="336" t="s">
        <v>67</v>
      </c>
      <c r="C4107" s="336" t="s">
        <v>1875</v>
      </c>
      <c r="D4107" s="336" t="s">
        <v>1875</v>
      </c>
      <c r="E4107" s="337" t="s">
        <v>196</v>
      </c>
      <c r="F4107" s="336"/>
      <c r="G4107" s="338" t="str">
        <f t="array" ref="G4107">IF(B4107="insumo",_xlfn.XLOOKUP($D4107,Insumos!$B$1:$B$996,Insumos!$D$1:$D$996),"")</f>
        <v/>
      </c>
      <c r="H4107" s="338">
        <v>157.04</v>
      </c>
      <c r="I4107" s="339">
        <v>0</v>
      </c>
      <c r="J4107" s="339">
        <v>0</v>
      </c>
      <c r="K4107" s="339"/>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77">
        <v>1</v>
      </c>
      <c r="B4108" s="77" t="s">
        <v>70</v>
      </c>
      <c r="C4108" s="77" t="s">
        <v>1875</v>
      </c>
      <c r="D4108" s="77" t="s">
        <v>1876</v>
      </c>
      <c r="E4108" s="11" t="str">
        <f t="array" ref="E4108">_xlfn.XLOOKUP(D4108,Insumos!B:B,Insumos!C:$C)</f>
        <v>Un</v>
      </c>
      <c r="F4108" s="81">
        <v>1</v>
      </c>
      <c r="G4108" s="87">
        <f t="array" ref="G4108">IF(B4108="insumo",_xlfn.XLOOKUP($D4108,Insumos!$B$1:$B$996,Insumos!$D$1:$D$996),"")</f>
        <v>155</v>
      </c>
      <c r="H4108" s="87">
        <v>155</v>
      </c>
      <c r="I4108" s="79">
        <v>0</v>
      </c>
      <c r="J4108" s="79">
        <v>0</v>
      </c>
      <c r="K4108" s="79"/>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77">
        <v>17</v>
      </c>
      <c r="B4109" s="77" t="s">
        <v>70</v>
      </c>
      <c r="C4109" s="77" t="s">
        <v>1875</v>
      </c>
      <c r="D4109" s="77" t="s">
        <v>355</v>
      </c>
      <c r="E4109" s="11" t="str">
        <f t="array" ref="E4109">_xlfn.XLOOKUP(D4109,Insumos!B:B,Insumos!C:$C)</f>
        <v>M3</v>
      </c>
      <c r="F4109" s="81">
        <f>0.002*2.4</f>
        <v>4.7999999999999996E-3</v>
      </c>
      <c r="G4109" s="87">
        <f t="array" ref="G4109">IF(B4109="insumo",_xlfn.XLOOKUP($D4109,Insumos!$B$1:$B$996,Insumos!$D$1:$D$996),"")</f>
        <v>425</v>
      </c>
      <c r="H4109" s="87">
        <v>2.04</v>
      </c>
      <c r="I4109" s="79">
        <v>0</v>
      </c>
      <c r="J4109" s="79">
        <v>0</v>
      </c>
      <c r="K4109" s="79"/>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332">
        <v>1</v>
      </c>
      <c r="B4110" s="332" t="s">
        <v>67</v>
      </c>
      <c r="C4110" s="332" t="s">
        <v>793</v>
      </c>
      <c r="D4110" s="332" t="s">
        <v>793</v>
      </c>
      <c r="E4110" s="333" t="s">
        <v>69</v>
      </c>
      <c r="F4110" s="332"/>
      <c r="G4110" s="334" t="str">
        <f t="array" ref="G4110">IF(B4110="insumo",_xlfn.XLOOKUP($D4110,Insumos!$B$1:$B$996,Insumos!$D$1:$D$996),"")</f>
        <v/>
      </c>
      <c r="H4110" s="334">
        <v>2122.5413895571</v>
      </c>
      <c r="I4110" s="335" t="e">
        <v>#REF!</v>
      </c>
      <c r="J4110" s="335" t="e">
        <v>#REF!</v>
      </c>
      <c r="K4110" s="335"/>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70</v>
      </c>
      <c r="C4111" s="10" t="s">
        <v>793</v>
      </c>
      <c r="D4111" s="10" t="s">
        <v>794</v>
      </c>
      <c r="E4111" s="11" t="str">
        <f t="array" ref="E4111">_xlfn.XLOOKUP(D4111,Insumos!B:B,Insumos!C:$C)</f>
        <v>M2</v>
      </c>
      <c r="F4111" s="14">
        <v>1.5</v>
      </c>
      <c r="G4111" s="87">
        <f t="array" ref="G4111">IF(B4111="insumo",_xlfn.XLOOKUP($D4111,Insumos!$B$1:$B$996,Insumos!$D$1:$D$996),"")</f>
        <v>1415.0275930380642</v>
      </c>
      <c r="H4111" s="87">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332">
        <v>1</v>
      </c>
      <c r="B4112" s="332" t="s">
        <v>67</v>
      </c>
      <c r="C4112" s="332" t="s">
        <v>795</v>
      </c>
      <c r="D4112" s="332" t="s">
        <v>795</v>
      </c>
      <c r="E4112" s="333" t="s">
        <v>69</v>
      </c>
      <c r="F4112" s="332"/>
      <c r="G4112" s="334" t="str">
        <f t="array" ref="G4112">IF(B4112="insumo",_xlfn.XLOOKUP($D4112,Insumos!$B$1:$B$996,Insumos!$D$1:$D$996),"")</f>
        <v/>
      </c>
      <c r="H4112" s="334">
        <v>1031.74603174603</v>
      </c>
      <c r="I4112" s="335">
        <v>0</v>
      </c>
      <c r="J4112" s="335">
        <v>0</v>
      </c>
      <c r="K4112" s="335"/>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70</v>
      </c>
      <c r="C4113" s="10" t="s">
        <v>795</v>
      </c>
      <c r="D4113" s="10" t="s">
        <v>795</v>
      </c>
      <c r="E4113" s="11" t="str">
        <f t="array" ref="E4113">_xlfn.XLOOKUP(D4113,Insumos!B:B,Insumos!C:$C)</f>
        <v>un</v>
      </c>
      <c r="F4113" s="14">
        <v>1</v>
      </c>
      <c r="G4113" s="87">
        <f t="array" ref="G4113">IF(B4113="insumo",_xlfn.XLOOKUP($D4113,Insumos!$B$1:$B$996,Insumos!$D$1:$D$996),"")</f>
        <v>1031.7460317460318</v>
      </c>
      <c r="H4113" s="87">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336">
        <v>1</v>
      </c>
      <c r="B4114" s="336" t="s">
        <v>67</v>
      </c>
      <c r="C4114" s="336" t="s">
        <v>1878</v>
      </c>
      <c r="D4114" s="336" t="s">
        <v>1878</v>
      </c>
      <c r="E4114" s="337" t="s">
        <v>69</v>
      </c>
      <c r="F4114" s="336"/>
      <c r="G4114" s="338" t="str">
        <f t="array" ref="G4114">IF(B4114="insumo",_xlfn.XLOOKUP($D4114,Insumos!$B$1:$B$996,Insumos!$D$1:$D$996),"")</f>
        <v/>
      </c>
      <c r="H4114" s="338">
        <v>850</v>
      </c>
      <c r="I4114" s="339">
        <v>0</v>
      </c>
      <c r="J4114" s="339">
        <v>0</v>
      </c>
      <c r="K4114" s="339"/>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77">
        <v>1</v>
      </c>
      <c r="B4115" s="77" t="s">
        <v>70</v>
      </c>
      <c r="C4115" s="77" t="s">
        <v>1878</v>
      </c>
      <c r="D4115" s="77" t="s">
        <v>1878</v>
      </c>
      <c r="E4115" s="11" t="str">
        <f t="array" ref="E4115">_xlfn.XLOOKUP(D4115,Insumos!B:B,Insumos!C:$C)</f>
        <v>M2</v>
      </c>
      <c r="F4115" s="81">
        <v>1</v>
      </c>
      <c r="G4115" s="87">
        <f t="array" ref="G4115">IF(B4115="insumo",_xlfn.XLOOKUP($D4115,Insumos!$B$1:$B$996,Insumos!$D$1:$D$996),"")</f>
        <v>850</v>
      </c>
      <c r="H4115" s="87">
        <v>850</v>
      </c>
      <c r="I4115" s="79">
        <v>0</v>
      </c>
      <c r="J4115" s="79">
        <v>0</v>
      </c>
      <c r="K4115" s="79"/>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336">
        <v>1</v>
      </c>
      <c r="B4116" s="336" t="s">
        <v>67</v>
      </c>
      <c r="C4116" s="336" t="s">
        <v>796</v>
      </c>
      <c r="D4116" s="336" t="s">
        <v>796</v>
      </c>
      <c r="E4116" s="337" t="s">
        <v>69</v>
      </c>
      <c r="F4116" s="336"/>
      <c r="G4116" s="338" t="str">
        <f t="array" ref="G4116">IF(B4116="insumo",_xlfn.XLOOKUP($D4116,Insumos!$B$1:$B$996,Insumos!$D$1:$D$996),"")</f>
        <v/>
      </c>
      <c r="H4116" s="338">
        <v>1403.9849999999999</v>
      </c>
      <c r="I4116" s="339" t="e">
        <v>#REF!</v>
      </c>
      <c r="J4116" s="339" t="e">
        <v>#REF!</v>
      </c>
      <c r="K4116" s="339"/>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77">
        <v>1</v>
      </c>
      <c r="B4117" s="77" t="s">
        <v>70</v>
      </c>
      <c r="C4117" s="77" t="s">
        <v>796</v>
      </c>
      <c r="D4117" s="77" t="s">
        <v>796</v>
      </c>
      <c r="E4117" s="11" t="str">
        <f t="array" ref="E4117">_xlfn.XLOOKUP(D4117,Insumos!B:B,Insumos!C:$C)</f>
        <v>M2</v>
      </c>
      <c r="F4117" s="81">
        <v>1.5</v>
      </c>
      <c r="G4117" s="87">
        <f t="array" ref="G4117">IF(B4117="insumo",_xlfn.XLOOKUP($D4117,Insumos!$B$1:$B$996,Insumos!$D$1:$D$996),"")</f>
        <v>935.99</v>
      </c>
      <c r="H4117" s="87">
        <v>1403.9849999999999</v>
      </c>
      <c r="I4117" s="79" t="e">
        <v>#REF!</v>
      </c>
      <c r="J4117" s="79" t="e">
        <v>#REF!</v>
      </c>
      <c r="K4117" s="79"/>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336">
        <v>1</v>
      </c>
      <c r="B4118" s="336" t="s">
        <v>67</v>
      </c>
      <c r="C4118" s="336" t="s">
        <v>797</v>
      </c>
      <c r="D4118" s="336" t="s">
        <v>797</v>
      </c>
      <c r="E4118" s="337" t="s">
        <v>69</v>
      </c>
      <c r="F4118" s="336"/>
      <c r="G4118" s="338" t="str">
        <f t="array" ref="G4118">IF(B4118="insumo",_xlfn.XLOOKUP($D4118,Insumos!$B$1:$B$996,Insumos!$D$1:$D$996),"")</f>
        <v/>
      </c>
      <c r="H4118" s="338">
        <v>768.5</v>
      </c>
      <c r="I4118" s="339">
        <v>0</v>
      </c>
      <c r="J4118" s="339">
        <v>0</v>
      </c>
      <c r="K4118" s="339"/>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77">
        <v>2</v>
      </c>
      <c r="B4119" s="77" t="s">
        <v>70</v>
      </c>
      <c r="C4119" s="77" t="s">
        <v>797</v>
      </c>
      <c r="D4119" s="77" t="s">
        <v>797</v>
      </c>
      <c r="E4119" s="11" t="str">
        <f t="array" ref="E4119">_xlfn.XLOOKUP(D4119,Insumos!B:B,Insumos!C:$C)</f>
        <v>M2</v>
      </c>
      <c r="F4119" s="81">
        <v>1</v>
      </c>
      <c r="G4119" s="87">
        <f t="array" ref="G4119">IF(B4119="insumo",_xlfn.XLOOKUP($D4119,Insumos!$B$1:$B$996,Insumos!$D$1:$D$996),"")</f>
        <v>768.5</v>
      </c>
      <c r="H4119" s="87">
        <v>768.5</v>
      </c>
      <c r="I4119" s="79">
        <v>0</v>
      </c>
      <c r="J4119" s="79">
        <v>0</v>
      </c>
      <c r="K4119" s="79"/>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336">
        <v>1</v>
      </c>
      <c r="B4120" s="336" t="s">
        <v>67</v>
      </c>
      <c r="C4120" s="336" t="s">
        <v>1879</v>
      </c>
      <c r="D4120" s="336" t="s">
        <v>1879</v>
      </c>
      <c r="E4120" s="337" t="s">
        <v>69</v>
      </c>
      <c r="F4120" s="336"/>
      <c r="G4120" s="338" t="str">
        <f t="array" ref="G4120">IF(B4120="insumo",_xlfn.XLOOKUP($D4120,Insumos!$B$1:$B$996,Insumos!$D$1:$D$996),"")</f>
        <v/>
      </c>
      <c r="H4120" s="338">
        <v>768.5</v>
      </c>
      <c r="I4120" s="339">
        <v>0</v>
      </c>
      <c r="J4120" s="339">
        <v>0</v>
      </c>
      <c r="K4120" s="339"/>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77">
        <v>2</v>
      </c>
      <c r="B4121" s="77" t="s">
        <v>70</v>
      </c>
      <c r="C4121" s="77" t="s">
        <v>1879</v>
      </c>
      <c r="D4121" s="77" t="s">
        <v>797</v>
      </c>
      <c r="E4121" s="11" t="str">
        <f t="array" ref="E4121">_xlfn.XLOOKUP(D4121,Insumos!B:B,Insumos!C:$C)</f>
        <v>M2</v>
      </c>
      <c r="F4121" s="81">
        <v>1</v>
      </c>
      <c r="G4121" s="87">
        <f t="array" ref="G4121">IF(B4121="insumo",_xlfn.XLOOKUP($D4121,Insumos!$B$1:$B$996,Insumos!$D$1:$D$996),"")</f>
        <v>768.5</v>
      </c>
      <c r="H4121" s="87">
        <v>768.5</v>
      </c>
      <c r="I4121" s="79">
        <v>0</v>
      </c>
      <c r="J4121" s="79">
        <v>0</v>
      </c>
      <c r="K4121" s="79"/>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336">
        <v>1</v>
      </c>
      <c r="B4122" s="336" t="s">
        <v>67</v>
      </c>
      <c r="C4122" s="336" t="s">
        <v>802</v>
      </c>
      <c r="D4122" s="336" t="s">
        <v>802</v>
      </c>
      <c r="E4122" s="337" t="s">
        <v>151</v>
      </c>
      <c r="F4122" s="336"/>
      <c r="G4122" s="338" t="str">
        <f t="array" ref="G4122">IF(B4122="insumo",_xlfn.XLOOKUP($D4122,Insumos!$B$1:$B$996,Insumos!$D$1:$D$996),"")</f>
        <v/>
      </c>
      <c r="H4122" s="338">
        <v>1478.75</v>
      </c>
      <c r="I4122" s="339">
        <v>0</v>
      </c>
      <c r="J4122" s="339">
        <v>0</v>
      </c>
      <c r="K4122" s="339"/>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77">
        <v>27</v>
      </c>
      <c r="B4123" s="77" t="s">
        <v>70</v>
      </c>
      <c r="C4123" s="77" t="s">
        <v>802</v>
      </c>
      <c r="D4123" s="77" t="s">
        <v>341</v>
      </c>
      <c r="E4123" s="11" t="str">
        <f t="array" ref="E4123">_xlfn.XLOOKUP(D4123,Insumos!B:B,Insumos!C:$C)</f>
        <v>M3</v>
      </c>
      <c r="F4123" s="81">
        <v>0.35</v>
      </c>
      <c r="G4123" s="87">
        <f t="array" ref="G4123">IF(B4123="insumo",_xlfn.XLOOKUP($D4123,Insumos!$B$1:$B$996,Insumos!$D$1:$D$996),"")</f>
        <v>425</v>
      </c>
      <c r="H4123" s="87">
        <v>148.75</v>
      </c>
      <c r="I4123" s="79">
        <v>0</v>
      </c>
      <c r="J4123" s="79">
        <v>0</v>
      </c>
      <c r="K4123" s="79"/>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77">
        <v>3</v>
      </c>
      <c r="B4124" s="77" t="s">
        <v>70</v>
      </c>
      <c r="C4124" s="77" t="s">
        <v>802</v>
      </c>
      <c r="D4124" s="77" t="s">
        <v>389</v>
      </c>
      <c r="E4124" s="11" t="str">
        <f t="array" ref="E4124">_xlfn.XLOOKUP(D4124,Insumos!B:B,Insumos!C:$C)</f>
        <v>KG</v>
      </c>
      <c r="F4124" s="81">
        <v>7.0000000000000009</v>
      </c>
      <c r="G4124" s="87">
        <f t="array" ref="G4124">IF(B4124="insumo",_xlfn.XLOOKUP($D4124,Insumos!$B$1:$B$996,Insumos!$D$1:$D$996),"")</f>
        <v>190</v>
      </c>
      <c r="H4124" s="87">
        <v>1330</v>
      </c>
      <c r="I4124" s="79">
        <v>0</v>
      </c>
      <c r="J4124" s="79">
        <v>0</v>
      </c>
      <c r="K4124" s="79"/>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332">
        <v>1</v>
      </c>
      <c r="B4125" s="332" t="s">
        <v>67</v>
      </c>
      <c r="C4125" s="332" t="s">
        <v>798</v>
      </c>
      <c r="D4125" s="332" t="s">
        <v>798</v>
      </c>
      <c r="E4125" s="333" t="s">
        <v>69</v>
      </c>
      <c r="F4125" s="332"/>
      <c r="G4125" s="334" t="str">
        <f t="array" ref="G4125">IF(B4125="insumo",_xlfn.XLOOKUP($D4125,Insumos!$B$1:$B$996,Insumos!$D$1:$D$996),"")</f>
        <v/>
      </c>
      <c r="H4125" s="334">
        <v>1533.99</v>
      </c>
      <c r="I4125" s="335" t="e">
        <v>#REF!</v>
      </c>
      <c r="J4125" s="335" t="e">
        <v>#REF!</v>
      </c>
      <c r="K4125" s="335"/>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70</v>
      </c>
      <c r="C4126" s="10" t="s">
        <v>798</v>
      </c>
      <c r="D4126" s="10" t="s">
        <v>798</v>
      </c>
      <c r="E4126" s="11" t="str">
        <f t="array" ref="E4126">_xlfn.XLOOKUP(D4126,Insumos!B:B,Insumos!C:$C)</f>
        <v>M2</v>
      </c>
      <c r="F4126" s="14">
        <v>1</v>
      </c>
      <c r="G4126" s="87">
        <f t="array" ref="G4126">IF(B4126="insumo",_xlfn.XLOOKUP($D4126,Insumos!$B$1:$B$996,Insumos!$D$1:$D$996),"")</f>
        <v>1533.99</v>
      </c>
      <c r="H4126" s="87">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332">
        <v>1</v>
      </c>
      <c r="B4127" s="332" t="s">
        <v>67</v>
      </c>
      <c r="C4127" s="332" t="s">
        <v>799</v>
      </c>
      <c r="D4127" s="332" t="s">
        <v>799</v>
      </c>
      <c r="E4127" s="333" t="s">
        <v>69</v>
      </c>
      <c r="F4127" s="332"/>
      <c r="G4127" s="334" t="str">
        <f t="array" ref="G4127">IF(B4127="insumo",_xlfn.XLOOKUP($D4127,Insumos!$B$1:$B$996,Insumos!$D$1:$D$996),"")</f>
        <v/>
      </c>
      <c r="H4127" s="334">
        <v>1014</v>
      </c>
      <c r="I4127" s="335">
        <v>0</v>
      </c>
      <c r="J4127" s="335">
        <v>0</v>
      </c>
      <c r="K4127" s="335"/>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70</v>
      </c>
      <c r="C4128" s="10" t="s">
        <v>799</v>
      </c>
      <c r="D4128" s="10" t="s">
        <v>799</v>
      </c>
      <c r="E4128" s="11" t="str">
        <f t="array" ref="E4128">_xlfn.XLOOKUP(D4128,Insumos!B:B,Insumos!C:$C)</f>
        <v>un</v>
      </c>
      <c r="F4128" s="14">
        <v>1</v>
      </c>
      <c r="G4128" s="87">
        <f t="array" ref="G4128">IF(B4128="insumo",_xlfn.XLOOKUP($D4128,Insumos!$B$1:$B$996,Insumos!$D$1:$D$996),"")</f>
        <v>1014</v>
      </c>
      <c r="H4128" s="87">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332">
        <v>1</v>
      </c>
      <c r="B4129" s="332" t="s">
        <v>67</v>
      </c>
      <c r="C4129" s="332" t="s">
        <v>800</v>
      </c>
      <c r="D4129" s="332" t="s">
        <v>800</v>
      </c>
      <c r="E4129" s="333" t="s">
        <v>69</v>
      </c>
      <c r="F4129" s="332"/>
      <c r="G4129" s="334" t="str">
        <f t="array" ref="G4129">IF(B4129="insumo",_xlfn.XLOOKUP($D4129,Insumos!$B$1:$B$996,Insumos!$D$1:$D$996),"")</f>
        <v/>
      </c>
      <c r="H4129" s="334">
        <v>3893.2833333333301</v>
      </c>
      <c r="I4129" s="335">
        <v>0</v>
      </c>
      <c r="J4129" s="335">
        <v>0</v>
      </c>
      <c r="K4129" s="335"/>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70</v>
      </c>
      <c r="C4130" s="10" t="s">
        <v>800</v>
      </c>
      <c r="D4130" s="10" t="s">
        <v>800</v>
      </c>
      <c r="E4130" s="11" t="str">
        <f t="array" ref="E4130">_xlfn.XLOOKUP(D4130,Insumos!B:B,Insumos!C:$C)</f>
        <v>M2</v>
      </c>
      <c r="F4130" s="14">
        <v>1</v>
      </c>
      <c r="G4130" s="87">
        <f t="array" ref="G4130">IF(B4130="insumo",_xlfn.XLOOKUP($D4130,Insumos!$B$1:$B$996,Insumos!$D$1:$D$996),"")</f>
        <v>3893.2833333333333</v>
      </c>
      <c r="H4130" s="87">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332">
        <v>1</v>
      </c>
      <c r="B4131" s="332" t="s">
        <v>67</v>
      </c>
      <c r="C4131" s="332" t="s">
        <v>1516</v>
      </c>
      <c r="D4131" s="332" t="s">
        <v>1516</v>
      </c>
      <c r="E4131" s="333" t="s">
        <v>112</v>
      </c>
      <c r="F4131" s="332"/>
      <c r="G4131" s="334" t="str">
        <f t="array" ref="G4131">IF(B4131="insumo",_xlfn.XLOOKUP($D4131,Insumos!$B$1:$B$996,Insumos!$D$1:$D$996),"")</f>
        <v/>
      </c>
      <c r="H4131" s="334">
        <v>5040</v>
      </c>
      <c r="I4131" s="335">
        <v>0</v>
      </c>
      <c r="J4131" s="335">
        <v>0</v>
      </c>
      <c r="K4131" s="335"/>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70</v>
      </c>
      <c r="C4132" s="10" t="s">
        <v>1516</v>
      </c>
      <c r="D4132" s="10" t="s">
        <v>1516</v>
      </c>
      <c r="E4132" s="11" t="str">
        <f t="array" ref="E4132">_xlfn.XLOOKUP(D4132,Insumos!B:B,Insumos!C:$C)</f>
        <v>un</v>
      </c>
      <c r="F4132" s="14">
        <v>1</v>
      </c>
      <c r="G4132" s="87">
        <f t="array" ref="G4132">IF(B4132="insumo",_xlfn.XLOOKUP($D4132,Insumos!$B$1:$B$996,Insumos!$D$1:$D$996),"")</f>
        <v>5040</v>
      </c>
      <c r="H4132" s="87">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332">
        <v>1</v>
      </c>
      <c r="B4133" s="332" t="s">
        <v>67</v>
      </c>
      <c r="C4133" s="332" t="s">
        <v>801</v>
      </c>
      <c r="D4133" s="332" t="s">
        <v>801</v>
      </c>
      <c r="E4133" s="333" t="s">
        <v>112</v>
      </c>
      <c r="F4133" s="332"/>
      <c r="G4133" s="334" t="str">
        <f t="array" ref="G4133">IF(B4133="insumo",_xlfn.XLOOKUP($D4133,Insumos!$B$1:$B$996,Insumos!$D$1:$D$996),"")</f>
        <v/>
      </c>
      <c r="H4133" s="334">
        <v>530</v>
      </c>
      <c r="I4133" s="335">
        <v>0</v>
      </c>
      <c r="J4133" s="335">
        <v>0</v>
      </c>
      <c r="K4133" s="335"/>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70</v>
      </c>
      <c r="C4134" s="10" t="s">
        <v>801</v>
      </c>
      <c r="D4134" s="10" t="s">
        <v>801</v>
      </c>
      <c r="E4134" s="11" t="str">
        <f t="array" ref="E4134">_xlfn.XLOOKUP(D4134,Insumos!B:B,Insumos!C:$C)</f>
        <v>M</v>
      </c>
      <c r="F4134" s="14">
        <v>1</v>
      </c>
      <c r="G4134" s="87">
        <f t="array" ref="G4134">IF(B4134="insumo",_xlfn.XLOOKUP($D4134,Insumos!$B$1:$B$996,Insumos!$D$1:$D$996),"")</f>
        <v>530</v>
      </c>
      <c r="H4134" s="87">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332">
        <v>1</v>
      </c>
      <c r="B4135" s="332" t="s">
        <v>67</v>
      </c>
      <c r="C4135" s="332" t="s">
        <v>1517</v>
      </c>
      <c r="D4135" s="332" t="s">
        <v>1517</v>
      </c>
      <c r="E4135" s="333" t="s">
        <v>69</v>
      </c>
      <c r="F4135" s="332"/>
      <c r="G4135" s="334" t="str">
        <f t="array" ref="G4135">IF(B4135="insumo",_xlfn.XLOOKUP($D4135,Insumos!$B$1:$B$996,Insumos!$D$1:$D$996),"")</f>
        <v/>
      </c>
      <c r="H4135" s="334">
        <v>28645.08</v>
      </c>
      <c r="I4135" s="335">
        <v>0</v>
      </c>
      <c r="J4135" s="335">
        <v>0</v>
      </c>
      <c r="K4135" s="335"/>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70</v>
      </c>
      <c r="C4136" s="10" t="s">
        <v>1517</v>
      </c>
      <c r="D4136" s="10" t="s">
        <v>1517</v>
      </c>
      <c r="E4136" s="11" t="str">
        <f t="array" ref="E4136">_xlfn.XLOOKUP(D4136,Insumos!B:B,Insumos!C:$C)</f>
        <v>un</v>
      </c>
      <c r="F4136" s="14">
        <v>1</v>
      </c>
      <c r="G4136" s="87">
        <f t="array" ref="G4136">IF(B4136="insumo",_xlfn.XLOOKUP($D4136,Insumos!$B$1:$B$996,Insumos!$D$1:$D$996),"")</f>
        <v>28645.08</v>
      </c>
      <c r="H4136" s="87">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332">
        <v>1</v>
      </c>
      <c r="B4137" s="332" t="s">
        <v>67</v>
      </c>
      <c r="C4137" s="332" t="s">
        <v>838</v>
      </c>
      <c r="D4137" s="332" t="s">
        <v>838</v>
      </c>
      <c r="E4137" s="333" t="s">
        <v>69</v>
      </c>
      <c r="F4137" s="332"/>
      <c r="G4137" s="334" t="str">
        <f t="array" ref="G4137">IF(B4137="insumo",_xlfn.XLOOKUP($D4137,Insumos!$B$1:$B$996,Insumos!$D$1:$D$996),"")</f>
        <v/>
      </c>
      <c r="H4137" s="334">
        <v>9302</v>
      </c>
      <c r="I4137" s="335">
        <v>0</v>
      </c>
      <c r="J4137" s="335">
        <v>0</v>
      </c>
      <c r="K4137" s="335"/>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70</v>
      </c>
      <c r="C4138" s="10" t="s">
        <v>838</v>
      </c>
      <c r="D4138" s="10" t="s">
        <v>838</v>
      </c>
      <c r="E4138" s="11" t="str">
        <f t="array" ref="E4138">_xlfn.XLOOKUP(D4138,Insumos!B:B,Insumos!C:$C)</f>
        <v>un</v>
      </c>
      <c r="F4138" s="14">
        <v>1</v>
      </c>
      <c r="G4138" s="87">
        <f t="array" ref="G4138">IF(B4138="insumo",_xlfn.XLOOKUP($D4138,Insumos!$B$1:$B$996,Insumos!$D$1:$D$996),"")</f>
        <v>9302</v>
      </c>
      <c r="H4138" s="87">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336">
        <v>1</v>
      </c>
      <c r="B4139" s="336" t="s">
        <v>67</v>
      </c>
      <c r="C4139" s="336" t="s">
        <v>837</v>
      </c>
      <c r="D4139" s="336" t="s">
        <v>837</v>
      </c>
      <c r="E4139" s="337" t="s">
        <v>69</v>
      </c>
      <c r="F4139" s="336"/>
      <c r="G4139" s="338" t="str">
        <f t="array" ref="G4139">IF(B4139="insumo",_xlfn.XLOOKUP($D4139,Insumos!$B$1:$B$996,Insumos!$D$1:$D$996),"")</f>
        <v/>
      </c>
      <c r="H4139" s="338">
        <v>13011.7261904762</v>
      </c>
      <c r="I4139" s="339">
        <v>0</v>
      </c>
      <c r="J4139" s="339">
        <v>0</v>
      </c>
      <c r="K4139" s="339"/>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77">
        <v>1</v>
      </c>
      <c r="B4140" s="77" t="s">
        <v>70</v>
      </c>
      <c r="C4140" s="77" t="s">
        <v>837</v>
      </c>
      <c r="D4140" s="77" t="s">
        <v>837</v>
      </c>
      <c r="E4140" s="11" t="str">
        <f t="array" ref="E4140">_xlfn.XLOOKUP(D4140,Insumos!B:B,Insumos!C:$C)</f>
        <v>un</v>
      </c>
      <c r="F4140" s="81">
        <v>1</v>
      </c>
      <c r="G4140" s="87">
        <f t="array" ref="G4140">IF(B4140="insumo",_xlfn.XLOOKUP($D4140,Insumos!$B$1:$B$996,Insumos!$D$1:$D$996),"")</f>
        <v>13011.726190476189</v>
      </c>
      <c r="H4140" s="87">
        <v>13011.7261904762</v>
      </c>
      <c r="I4140" s="79">
        <v>0</v>
      </c>
      <c r="J4140" s="79">
        <v>0</v>
      </c>
      <c r="K4140" s="79"/>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336">
        <v>1</v>
      </c>
      <c r="B4141" s="336" t="s">
        <v>67</v>
      </c>
      <c r="C4141" s="336" t="s">
        <v>1894</v>
      </c>
      <c r="D4141" s="336" t="s">
        <v>1894</v>
      </c>
      <c r="E4141" s="337" t="s">
        <v>69</v>
      </c>
      <c r="F4141" s="336"/>
      <c r="G4141" s="338" t="str">
        <f t="array" ref="G4141">IF(B4141="insumo",_xlfn.XLOOKUP($D4141,Insumos!$B$1:$B$996,Insumos!$D$1:$D$996),"")</f>
        <v/>
      </c>
      <c r="H4141" s="338">
        <v>8681.8666666666704</v>
      </c>
      <c r="I4141" s="339">
        <v>0</v>
      </c>
      <c r="J4141" s="339">
        <v>0</v>
      </c>
      <c r="K4141" s="339"/>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77">
        <v>1</v>
      </c>
      <c r="B4142" s="77" t="s">
        <v>70</v>
      </c>
      <c r="C4142" s="77" t="s">
        <v>1894</v>
      </c>
      <c r="D4142" s="77" t="s">
        <v>1894</v>
      </c>
      <c r="E4142" s="11" t="str">
        <f t="array" ref="E4142">_xlfn.XLOOKUP(D4142,Insumos!B:B,Insumos!C:$C)</f>
        <v>un</v>
      </c>
      <c r="F4142" s="81">
        <v>1</v>
      </c>
      <c r="G4142" s="87">
        <f t="array" ref="G4142">IF(B4142="insumo",_xlfn.XLOOKUP($D4142,Insumos!$B$1:$B$996,Insumos!$D$1:$D$996),"")</f>
        <v>8681.8666666666668</v>
      </c>
      <c r="H4142" s="87">
        <v>8681.8666666666704</v>
      </c>
      <c r="I4142" s="79">
        <v>0</v>
      </c>
      <c r="J4142" s="79">
        <v>0</v>
      </c>
      <c r="K4142" s="79"/>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336">
        <v>1</v>
      </c>
      <c r="B4143" s="336" t="s">
        <v>67</v>
      </c>
      <c r="C4143" s="336" t="s">
        <v>1895</v>
      </c>
      <c r="D4143" s="336" t="s">
        <v>1895</v>
      </c>
      <c r="E4143" s="337" t="s">
        <v>69</v>
      </c>
      <c r="F4143" s="336"/>
      <c r="G4143" s="338" t="str">
        <f t="array" ref="G4143">IF(B4143="insumo",_xlfn.XLOOKUP($D4143,Insumos!$B$1:$B$996,Insumos!$D$1:$D$996),"")</f>
        <v/>
      </c>
      <c r="H4143" s="338">
        <v>7795.9619047619099</v>
      </c>
      <c r="I4143" s="339">
        <v>0</v>
      </c>
      <c r="J4143" s="339">
        <v>0</v>
      </c>
      <c r="K4143" s="339"/>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77">
        <v>1</v>
      </c>
      <c r="B4144" s="77" t="s">
        <v>70</v>
      </c>
      <c r="C4144" s="77" t="s">
        <v>1895</v>
      </c>
      <c r="D4144" s="77" t="s">
        <v>1895</v>
      </c>
      <c r="E4144" s="11" t="str">
        <f t="array" ref="E4144">_xlfn.XLOOKUP(D4144,Insumos!B:B,Insumos!C:$C)</f>
        <v>un</v>
      </c>
      <c r="F4144" s="81">
        <v>1</v>
      </c>
      <c r="G4144" s="87">
        <f t="array" ref="G4144">IF(B4144="insumo",_xlfn.XLOOKUP($D4144,Insumos!$B$1:$B$996,Insumos!$D$1:$D$996),"")</f>
        <v>7795.9619047619053</v>
      </c>
      <c r="H4144" s="87">
        <v>7795.9619047619099</v>
      </c>
      <c r="I4144" s="79">
        <v>0</v>
      </c>
      <c r="J4144" s="79">
        <v>0</v>
      </c>
      <c r="K4144" s="79"/>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336">
        <v>1</v>
      </c>
      <c r="B4145" s="336" t="s">
        <v>67</v>
      </c>
      <c r="C4145" s="336" t="s">
        <v>1896</v>
      </c>
      <c r="D4145" s="336" t="s">
        <v>1896</v>
      </c>
      <c r="E4145" s="337" t="s">
        <v>69</v>
      </c>
      <c r="F4145" s="336"/>
      <c r="G4145" s="338" t="str">
        <f t="array" ref="G4145">IF(B4145="insumo",_xlfn.XLOOKUP($D4145,Insumos!$B$1:$B$996,Insumos!$D$1:$D$996),"")</f>
        <v/>
      </c>
      <c r="H4145" s="338">
        <v>2192.61428571429</v>
      </c>
      <c r="I4145" s="339">
        <v>0</v>
      </c>
      <c r="J4145" s="339">
        <v>0</v>
      </c>
      <c r="K4145" s="339"/>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77">
        <v>1</v>
      </c>
      <c r="B4146" s="77" t="s">
        <v>70</v>
      </c>
      <c r="C4146" s="77" t="s">
        <v>1896</v>
      </c>
      <c r="D4146" s="77" t="s">
        <v>1896</v>
      </c>
      <c r="E4146" s="11" t="str">
        <f t="array" ref="E4146">_xlfn.XLOOKUP(D4146,Insumos!B:B,Insumos!C:$C)</f>
        <v>un</v>
      </c>
      <c r="F4146" s="81">
        <v>1</v>
      </c>
      <c r="G4146" s="87">
        <f t="array" ref="G4146">IF(B4146="insumo",_xlfn.XLOOKUP($D4146,Insumos!$B$1:$B$996,Insumos!$D$1:$D$996),"")</f>
        <v>2192.6142857142859</v>
      </c>
      <c r="H4146" s="87">
        <v>2192.61428571429</v>
      </c>
      <c r="I4146" s="79">
        <v>0</v>
      </c>
      <c r="J4146" s="79">
        <v>0</v>
      </c>
      <c r="K4146" s="79"/>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336">
        <v>1</v>
      </c>
      <c r="B4147" s="336" t="s">
        <v>67</v>
      </c>
      <c r="C4147" s="336" t="s">
        <v>1897</v>
      </c>
      <c r="D4147" s="336" t="s">
        <v>1897</v>
      </c>
      <c r="E4147" s="337" t="s">
        <v>69</v>
      </c>
      <c r="F4147" s="336"/>
      <c r="G4147" s="338" t="str">
        <f t="array" ref="G4147">IF(B4147="insumo",_xlfn.XLOOKUP($D4147,Insumos!$B$1:$B$996,Insumos!$D$1:$D$996),"")</f>
        <v/>
      </c>
      <c r="H4147" s="338">
        <v>1860.4</v>
      </c>
      <c r="I4147" s="339">
        <v>0</v>
      </c>
      <c r="J4147" s="339">
        <v>0</v>
      </c>
      <c r="K4147" s="339"/>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77">
        <v>1</v>
      </c>
      <c r="B4148" s="77" t="s">
        <v>70</v>
      </c>
      <c r="C4148" s="77" t="s">
        <v>1897</v>
      </c>
      <c r="D4148" s="77" t="s">
        <v>1897</v>
      </c>
      <c r="E4148" s="11" t="str">
        <f t="array" ref="E4148">_xlfn.XLOOKUP(D4148,Insumos!B:B,Insumos!C:$C)</f>
        <v>un</v>
      </c>
      <c r="F4148" s="81">
        <v>1</v>
      </c>
      <c r="G4148" s="87">
        <f t="array" ref="G4148">IF(B4148="insumo",_xlfn.XLOOKUP($D4148,Insumos!$B$1:$B$996,Insumos!$D$1:$D$996),"")</f>
        <v>1860.4</v>
      </c>
      <c r="H4148" s="87">
        <v>1860.4</v>
      </c>
      <c r="I4148" s="79">
        <v>0</v>
      </c>
      <c r="J4148" s="79">
        <v>0</v>
      </c>
      <c r="K4148" s="79"/>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336">
        <v>1</v>
      </c>
      <c r="B4149" s="336" t="s">
        <v>67</v>
      </c>
      <c r="C4149" s="336" t="s">
        <v>1898</v>
      </c>
      <c r="D4149" s="336" t="s">
        <v>1898</v>
      </c>
      <c r="E4149" s="337" t="s">
        <v>69</v>
      </c>
      <c r="F4149" s="336"/>
      <c r="G4149" s="338" t="str">
        <f t="array" ref="G4149">IF(B4149="insumo",_xlfn.XLOOKUP($D4149,Insumos!$B$1:$B$996,Insumos!$D$1:$D$996),"")</f>
        <v/>
      </c>
      <c r="H4149" s="338">
        <v>10453.676190476201</v>
      </c>
      <c r="I4149" s="339">
        <v>0</v>
      </c>
      <c r="J4149" s="339">
        <v>0</v>
      </c>
      <c r="K4149" s="339"/>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77">
        <v>1</v>
      </c>
      <c r="B4150" s="77" t="s">
        <v>70</v>
      </c>
      <c r="C4150" s="77" t="s">
        <v>1898</v>
      </c>
      <c r="D4150" s="77" t="s">
        <v>1898</v>
      </c>
      <c r="E4150" s="11" t="str">
        <f t="array" ref="E4150">_xlfn.XLOOKUP(D4150,Insumos!B:B,Insumos!C:$C)</f>
        <v>un</v>
      </c>
      <c r="F4150" s="81">
        <v>1</v>
      </c>
      <c r="G4150" s="87">
        <f t="array" ref="G4150">IF(B4150="insumo",_xlfn.XLOOKUP($D4150,Insumos!$B$1:$B$996,Insumos!$D$1:$D$996),"")</f>
        <v>10453.67619047619</v>
      </c>
      <c r="H4150" s="87">
        <v>10453.676190476201</v>
      </c>
      <c r="I4150" s="79">
        <v>0</v>
      </c>
      <c r="J4150" s="79">
        <v>0</v>
      </c>
      <c r="K4150" s="79"/>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355">
        <v>1</v>
      </c>
      <c r="B4151" s="355" t="s">
        <v>1227</v>
      </c>
      <c r="C4151" s="355" t="s">
        <v>1898</v>
      </c>
      <c r="D4151" s="355" t="s">
        <v>1515</v>
      </c>
      <c r="E4151" s="356"/>
      <c r="F4151" s="357"/>
      <c r="G4151" s="356"/>
      <c r="H4151" s="356">
        <v>0</v>
      </c>
      <c r="I4151" s="357">
        <v>0</v>
      </c>
      <c r="J4151" s="357">
        <v>0</v>
      </c>
      <c r="K4151" s="357"/>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332">
        <v>1</v>
      </c>
      <c r="B4152" s="332" t="s">
        <v>67</v>
      </c>
      <c r="C4152" s="332" t="s">
        <v>803</v>
      </c>
      <c r="D4152" s="332" t="s">
        <v>803</v>
      </c>
      <c r="E4152" s="333" t="s">
        <v>112</v>
      </c>
      <c r="F4152" s="332"/>
      <c r="G4152" s="334" t="str">
        <f t="array" ref="G4152">IF(B4152="insumo",_xlfn.XLOOKUP($D4152,Insumos!$B$1:$B$996,Insumos!$D$1:$D$996),"")</f>
        <v/>
      </c>
      <c r="H4152" s="334">
        <v>80</v>
      </c>
      <c r="I4152" s="335">
        <v>0</v>
      </c>
      <c r="J4152" s="335">
        <v>0</v>
      </c>
      <c r="K4152" s="335"/>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70</v>
      </c>
      <c r="C4153" s="10" t="s">
        <v>803</v>
      </c>
      <c r="D4153" s="10" t="s">
        <v>803</v>
      </c>
      <c r="E4153" s="11" t="str">
        <f t="array" ref="E4153">_xlfn.XLOOKUP(D4153,Insumos!B:B,Insumos!C:$C)</f>
        <v>M</v>
      </c>
      <c r="F4153" s="14">
        <v>1</v>
      </c>
      <c r="G4153" s="87">
        <f t="array" ref="G4153">IF(B4153="insumo",_xlfn.XLOOKUP($D4153,Insumos!$B$1:$B$996,Insumos!$D$1:$D$996),"")</f>
        <v>80</v>
      </c>
      <c r="H4153" s="87">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332">
        <v>1</v>
      </c>
      <c r="B4154" s="332" t="s">
        <v>67</v>
      </c>
      <c r="C4154" s="332" t="s">
        <v>804</v>
      </c>
      <c r="D4154" s="332" t="s">
        <v>804</v>
      </c>
      <c r="E4154" s="333" t="s">
        <v>112</v>
      </c>
      <c r="F4154" s="332"/>
      <c r="G4154" s="334" t="str">
        <f t="array" ref="G4154">IF(B4154="insumo",_xlfn.XLOOKUP($D4154,Insumos!$B$1:$B$996,Insumos!$D$1:$D$996),"")</f>
        <v/>
      </c>
      <c r="H4154" s="334">
        <v>650</v>
      </c>
      <c r="I4154" s="335">
        <v>0</v>
      </c>
      <c r="J4154" s="335">
        <v>0</v>
      </c>
      <c r="K4154" s="335"/>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70</v>
      </c>
      <c r="C4155" s="10" t="s">
        <v>804</v>
      </c>
      <c r="D4155" s="10" t="s">
        <v>804</v>
      </c>
      <c r="E4155" s="11" t="str">
        <f t="array" ref="E4155">_xlfn.XLOOKUP(D4155,Insumos!B:B,Insumos!C:$C)</f>
        <v>M</v>
      </c>
      <c r="F4155" s="14">
        <v>1</v>
      </c>
      <c r="G4155" s="87">
        <f t="array" ref="G4155">IF(B4155="insumo",_xlfn.XLOOKUP($D4155,Insumos!$B$1:$B$996,Insumos!$D$1:$D$996),"")</f>
        <v>650</v>
      </c>
      <c r="H4155" s="87">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336">
        <v>1</v>
      </c>
      <c r="B4156" s="336" t="s">
        <v>67</v>
      </c>
      <c r="C4156" s="336" t="s">
        <v>1884</v>
      </c>
      <c r="D4156" s="336" t="s">
        <v>1884</v>
      </c>
      <c r="E4156" s="337" t="s">
        <v>112</v>
      </c>
      <c r="F4156" s="336"/>
      <c r="G4156" s="338" t="str">
        <f t="array" ref="G4156">IF(B4156="insumo",_xlfn.XLOOKUP($D4156,Insumos!$B$1:$B$996,Insumos!$D$1:$D$996),"")</f>
        <v/>
      </c>
      <c r="H4156" s="338">
        <v>98.79</v>
      </c>
      <c r="I4156" s="339">
        <v>0</v>
      </c>
      <c r="J4156" s="339">
        <v>0</v>
      </c>
      <c r="K4156" s="339"/>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77">
        <v>1</v>
      </c>
      <c r="B4157" s="77" t="s">
        <v>70</v>
      </c>
      <c r="C4157" s="77" t="s">
        <v>1884</v>
      </c>
      <c r="D4157" s="77" t="s">
        <v>1884</v>
      </c>
      <c r="E4157" s="11" t="str">
        <f t="array" ref="E4157">_xlfn.XLOOKUP(D4157,Insumos!B:B,Insumos!C:$C)</f>
        <v>M</v>
      </c>
      <c r="F4157" s="81">
        <v>1</v>
      </c>
      <c r="G4157" s="87">
        <f t="array" ref="G4157">IF(B4157="insumo",_xlfn.XLOOKUP($D4157,Insumos!$B$1:$B$996,Insumos!$D$1:$D$996),"")</f>
        <v>98.79</v>
      </c>
      <c r="H4157" s="87">
        <v>98.79</v>
      </c>
      <c r="I4157" s="79">
        <v>0</v>
      </c>
      <c r="J4157" s="79">
        <v>0</v>
      </c>
      <c r="K4157" s="79"/>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336">
        <v>1</v>
      </c>
      <c r="B4158" s="336" t="s">
        <v>67</v>
      </c>
      <c r="C4158" s="336" t="s">
        <v>2706</v>
      </c>
      <c r="D4158" s="336" t="s">
        <v>2706</v>
      </c>
      <c r="E4158" s="337" t="s">
        <v>112</v>
      </c>
      <c r="F4158" s="336"/>
      <c r="G4158" s="338" t="str">
        <f t="array" ref="G4158">IF(B4158="insumo",_xlfn.XLOOKUP($D4158,Insumos!$B$1:$B$996,Insumos!$D$1:$D$996),"")</f>
        <v/>
      </c>
      <c r="H4158" s="338">
        <v>820</v>
      </c>
      <c r="I4158" s="339" t="e">
        <v>#REF!</v>
      </c>
      <c r="J4158" s="339" t="e">
        <v>#REF!</v>
      </c>
      <c r="K4158" s="339"/>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77">
        <v>1</v>
      </c>
      <c r="B4159" s="77" t="s">
        <v>70</v>
      </c>
      <c r="C4159" s="77" t="s">
        <v>2706</v>
      </c>
      <c r="D4159" s="77" t="s">
        <v>2706</v>
      </c>
      <c r="E4159" s="11" t="str">
        <f t="array" ref="E4159">_xlfn.XLOOKUP(D4159,Insumos!B:B,Insumos!C:$C)</f>
        <v>M</v>
      </c>
      <c r="F4159" s="81">
        <v>1</v>
      </c>
      <c r="G4159" s="87">
        <f t="array" ref="G4159">IF(B4159="insumo",_xlfn.XLOOKUP($D4159,Insumos!$B$1:$B$996,Insumos!$D$1:$D$996),"")</f>
        <v>820</v>
      </c>
      <c r="H4159" s="87">
        <v>820</v>
      </c>
      <c r="I4159" s="79" t="e">
        <v>#REF!</v>
      </c>
      <c r="J4159" s="79" t="e">
        <v>#REF!</v>
      </c>
      <c r="K4159" s="79"/>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336">
        <v>1</v>
      </c>
      <c r="B4160" s="336" t="s">
        <v>67</v>
      </c>
      <c r="C4160" s="336" t="s">
        <v>2707</v>
      </c>
      <c r="D4160" s="336" t="s">
        <v>2707</v>
      </c>
      <c r="E4160" s="337" t="s">
        <v>112</v>
      </c>
      <c r="F4160" s="336"/>
      <c r="G4160" s="338" t="str">
        <f t="array" ref="G4160">IF(B4160="insumo",_xlfn.XLOOKUP($D4160,Insumos!$B$1:$B$996,Insumos!$D$1:$D$996),"")</f>
        <v/>
      </c>
      <c r="H4160" s="338">
        <v>520</v>
      </c>
      <c r="I4160" s="339" t="e">
        <v>#REF!</v>
      </c>
      <c r="J4160" s="339" t="e">
        <v>#REF!</v>
      </c>
      <c r="K4160" s="339"/>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77">
        <v>1</v>
      </c>
      <c r="B4161" s="77" t="s">
        <v>70</v>
      </c>
      <c r="C4161" s="77" t="s">
        <v>2707</v>
      </c>
      <c r="D4161" s="77" t="s">
        <v>2707</v>
      </c>
      <c r="E4161" s="11" t="str">
        <f t="array" ref="E4161">_xlfn.XLOOKUP(D4161,Insumos!B:B,Insumos!C:$C)</f>
        <v>M</v>
      </c>
      <c r="F4161" s="81">
        <v>1</v>
      </c>
      <c r="G4161" s="87">
        <f t="array" ref="G4161">IF(B4161="insumo",_xlfn.XLOOKUP($D4161,Insumos!$B$1:$B$996,Insumos!$D$1:$D$996),"")</f>
        <v>520</v>
      </c>
      <c r="H4161" s="87">
        <v>520</v>
      </c>
      <c r="I4161" s="79" t="e">
        <v>#REF!</v>
      </c>
      <c r="J4161" s="79" t="e">
        <v>#REF!</v>
      </c>
      <c r="K4161" s="79"/>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355">
        <v>1</v>
      </c>
      <c r="B4162" s="355" t="s">
        <v>1227</v>
      </c>
      <c r="C4162" s="355" t="s">
        <v>2707</v>
      </c>
      <c r="D4162" s="355" t="s">
        <v>1510</v>
      </c>
      <c r="E4162" s="356"/>
      <c r="F4162" s="357"/>
      <c r="G4162" s="356"/>
      <c r="H4162" s="356">
        <v>0</v>
      </c>
      <c r="I4162" s="357">
        <v>0</v>
      </c>
      <c r="J4162" s="357">
        <v>0</v>
      </c>
      <c r="K4162" s="357"/>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336">
        <v>1</v>
      </c>
      <c r="B4163" s="336" t="s">
        <v>67</v>
      </c>
      <c r="C4163" s="336" t="s">
        <v>1899</v>
      </c>
      <c r="D4163" s="336" t="s">
        <v>1899</v>
      </c>
      <c r="E4163" s="337" t="s">
        <v>69</v>
      </c>
      <c r="F4163" s="336"/>
      <c r="G4163" s="338" t="str">
        <f t="array" ref="G4163">IF(B4163="insumo",_xlfn.XLOOKUP($D4163,Insumos!$B$1:$B$996,Insumos!$D$1:$D$996),"")</f>
        <v/>
      </c>
      <c r="H4163" s="338">
        <v>1055</v>
      </c>
      <c r="I4163" s="339">
        <v>0</v>
      </c>
      <c r="J4163" s="339">
        <v>0</v>
      </c>
      <c r="K4163" s="339"/>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77">
        <v>1</v>
      </c>
      <c r="B4164" s="77" t="s">
        <v>70</v>
      </c>
      <c r="C4164" s="77" t="s">
        <v>1899</v>
      </c>
      <c r="D4164" s="77" t="s">
        <v>1886</v>
      </c>
      <c r="E4164" s="11" t="str">
        <f t="array" ref="E4164">_xlfn.XLOOKUP(D4164,Insumos!B:B,Insumos!C:$C)</f>
        <v>M2</v>
      </c>
      <c r="F4164" s="81">
        <v>1</v>
      </c>
      <c r="G4164" s="87">
        <f t="array" ref="G4164">IF(B4164="insumo",_xlfn.XLOOKUP($D4164,Insumos!$B$1:$B$996,Insumos!$D$1:$D$996),"")</f>
        <v>1000</v>
      </c>
      <c r="H4164" s="87">
        <v>1000</v>
      </c>
      <c r="I4164" s="79">
        <v>0</v>
      </c>
      <c r="J4164" s="79">
        <v>0</v>
      </c>
      <c r="K4164" s="79"/>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77">
        <v>24</v>
      </c>
      <c r="B4165" s="77" t="s">
        <v>70</v>
      </c>
      <c r="C4165" s="77" t="s">
        <v>1899</v>
      </c>
      <c r="D4165" s="77" t="s">
        <v>807</v>
      </c>
      <c r="E4165" s="11" t="str">
        <f t="array" ref="E4165">_xlfn.XLOOKUP(D4165,Insumos!B:B,Insumos!C:$C)</f>
        <v>un</v>
      </c>
      <c r="F4165" s="81">
        <v>1</v>
      </c>
      <c r="G4165" s="87">
        <f t="array" ref="G4165">IF(B4165="insumo",_xlfn.XLOOKUP($D4165,Insumos!$B$1:$B$996,Insumos!$D$1:$D$996),"")</f>
        <v>55</v>
      </c>
      <c r="H4165" s="87">
        <v>55</v>
      </c>
      <c r="I4165" s="79">
        <v>0</v>
      </c>
      <c r="J4165" s="79">
        <v>0</v>
      </c>
      <c r="K4165" s="79"/>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332">
        <v>1</v>
      </c>
      <c r="B4166" s="332" t="s">
        <v>67</v>
      </c>
      <c r="C4166" s="332" t="s">
        <v>805</v>
      </c>
      <c r="D4166" s="332" t="s">
        <v>805</v>
      </c>
      <c r="E4166" s="333" t="s">
        <v>69</v>
      </c>
      <c r="F4166" s="332"/>
      <c r="G4166" s="334" t="str">
        <f t="array" ref="G4166">IF(B4166="insumo",_xlfn.XLOOKUP($D4166,Insumos!$B$1:$B$996,Insumos!$D$1:$D$996),"")</f>
        <v/>
      </c>
      <c r="H4166" s="334">
        <v>2264.52304854369</v>
      </c>
      <c r="I4166" s="335">
        <v>0</v>
      </c>
      <c r="J4166" s="335">
        <v>0</v>
      </c>
      <c r="K4166" s="335"/>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70</v>
      </c>
      <c r="C4167" s="10" t="s">
        <v>805</v>
      </c>
      <c r="D4167" s="10" t="s">
        <v>806</v>
      </c>
      <c r="E4167" s="11" t="str">
        <f t="array" ref="E4167">_xlfn.XLOOKUP(D4167,Insumos!B:B,Insumos!C:$C)</f>
        <v>un</v>
      </c>
      <c r="F4167" s="14">
        <v>1</v>
      </c>
      <c r="G4167" s="87">
        <f t="array" ref="G4167">IF(B4167="insumo",_xlfn.XLOOKUP($D4167,Insumos!$B$1:$B$996,Insumos!$D$1:$D$996),"")</f>
        <v>2209.5230485436896</v>
      </c>
      <c r="H4167" s="87">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70</v>
      </c>
      <c r="C4168" s="10" t="s">
        <v>805</v>
      </c>
      <c r="D4168" s="10" t="s">
        <v>807</v>
      </c>
      <c r="E4168" s="11" t="str">
        <f t="array" ref="E4168">_xlfn.XLOOKUP(D4168,Insumos!B:B,Insumos!C:$C)</f>
        <v>un</v>
      </c>
      <c r="F4168" s="14">
        <v>1</v>
      </c>
      <c r="G4168" s="87">
        <f t="array" ref="G4168">IF(B4168="insumo",_xlfn.XLOOKUP($D4168,Insumos!$B$1:$B$996,Insumos!$D$1:$D$996),"")</f>
        <v>55</v>
      </c>
      <c r="H4168" s="87">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332">
        <v>1</v>
      </c>
      <c r="B4169" s="332" t="s">
        <v>67</v>
      </c>
      <c r="C4169" s="332" t="s">
        <v>1519</v>
      </c>
      <c r="D4169" s="332" t="s">
        <v>1519</v>
      </c>
      <c r="E4169" s="333" t="s">
        <v>69</v>
      </c>
      <c r="F4169" s="332"/>
      <c r="G4169" s="334" t="str">
        <f t="array" ref="G4169">IF(B4169="insumo",_xlfn.XLOOKUP($D4169,Insumos!$B$1:$B$996,Insumos!$D$1:$D$996),"")</f>
        <v/>
      </c>
      <c r="H4169" s="334">
        <v>2413.5676190476202</v>
      </c>
      <c r="I4169" s="335">
        <v>0</v>
      </c>
      <c r="J4169" s="335">
        <v>0</v>
      </c>
      <c r="K4169" s="335"/>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70</v>
      </c>
      <c r="C4170" s="10" t="s">
        <v>1519</v>
      </c>
      <c r="D4170" s="10" t="s">
        <v>1523</v>
      </c>
      <c r="E4170" s="11" t="str">
        <f t="array" ref="E4170">_xlfn.XLOOKUP(D4170,Insumos!B:B,Insumos!C:$C)</f>
        <v>un</v>
      </c>
      <c r="F4170" s="14">
        <v>1</v>
      </c>
      <c r="G4170" s="87">
        <f t="array" ref="G4170">IF(B4170="insumo",_xlfn.XLOOKUP($D4170,Insumos!$B$1:$B$996,Insumos!$D$1:$D$996),"")</f>
        <v>2358.5676190476192</v>
      </c>
      <c r="H4170" s="87">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70</v>
      </c>
      <c r="C4171" s="10" t="s">
        <v>1519</v>
      </c>
      <c r="D4171" s="10" t="s">
        <v>807</v>
      </c>
      <c r="E4171" s="11" t="str">
        <f t="array" ref="E4171">_xlfn.XLOOKUP(D4171,Insumos!B:B,Insumos!C:$C)</f>
        <v>un</v>
      </c>
      <c r="F4171" s="14">
        <v>1</v>
      </c>
      <c r="G4171" s="87">
        <f t="array" ref="G4171">IF(B4171="insumo",_xlfn.XLOOKUP($D4171,Insumos!$B$1:$B$996,Insumos!$D$1:$D$996),"")</f>
        <v>55</v>
      </c>
      <c r="H4171" s="87">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332">
        <v>1</v>
      </c>
      <c r="B4172" s="332" t="s">
        <v>67</v>
      </c>
      <c r="C4172" s="332" t="s">
        <v>808</v>
      </c>
      <c r="D4172" s="332" t="s">
        <v>808</v>
      </c>
      <c r="E4172" s="333" t="s">
        <v>69</v>
      </c>
      <c r="F4172" s="332"/>
      <c r="G4172" s="334" t="str">
        <f t="array" ref="G4172">IF(B4172="insumo",_xlfn.XLOOKUP($D4172,Insumos!$B$1:$B$996,Insumos!$D$1:$D$996),"")</f>
        <v/>
      </c>
      <c r="H4172" s="334">
        <v>2306.36</v>
      </c>
      <c r="I4172" s="335">
        <v>204</v>
      </c>
      <c r="J4172" s="335">
        <v>470497.44</v>
      </c>
      <c r="K4172" s="335"/>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70</v>
      </c>
      <c r="C4173" s="10" t="s">
        <v>808</v>
      </c>
      <c r="D4173" s="10" t="s">
        <v>809</v>
      </c>
      <c r="E4173" s="11" t="str">
        <f t="array" ref="E4173">_xlfn.XLOOKUP(D4173,Insumos!B:B,Insumos!C:$C)</f>
        <v>un</v>
      </c>
      <c r="F4173" s="14">
        <v>1</v>
      </c>
      <c r="G4173" s="87">
        <f t="array" ref="G4173">IF(B4173="insumo",_xlfn.XLOOKUP($D4173,Insumos!$B$1:$B$996,Insumos!$D$1:$D$996),"")</f>
        <v>2251.36</v>
      </c>
      <c r="H4173" s="87">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70</v>
      </c>
      <c r="C4174" s="10" t="s">
        <v>808</v>
      </c>
      <c r="D4174" s="10" t="s">
        <v>807</v>
      </c>
      <c r="E4174" s="11" t="str">
        <f t="array" ref="E4174">_xlfn.XLOOKUP(D4174,Insumos!B:B,Insumos!C:$C)</f>
        <v>un</v>
      </c>
      <c r="F4174" s="14">
        <v>1</v>
      </c>
      <c r="G4174" s="87">
        <f t="array" ref="G4174">IF(B4174="insumo",_xlfn.XLOOKUP($D4174,Insumos!$B$1:$B$996,Insumos!$D$1:$D$996),"")</f>
        <v>55</v>
      </c>
      <c r="H4174" s="87">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332">
        <v>1</v>
      </c>
      <c r="B4175" s="332" t="s">
        <v>67</v>
      </c>
      <c r="C4175" s="332" t="s">
        <v>810</v>
      </c>
      <c r="D4175" s="332" t="s">
        <v>810</v>
      </c>
      <c r="E4175" s="333" t="s">
        <v>69</v>
      </c>
      <c r="F4175" s="332"/>
      <c r="G4175" s="334" t="str">
        <f t="array" ref="G4175">IF(B4175="insumo",_xlfn.XLOOKUP($D4175,Insumos!$B$1:$B$996,Insumos!$D$1:$D$996),"")</f>
        <v/>
      </c>
      <c r="H4175" s="334">
        <v>2264.52304854369</v>
      </c>
      <c r="I4175" s="335">
        <v>0</v>
      </c>
      <c r="J4175" s="335">
        <v>0</v>
      </c>
      <c r="K4175" s="335"/>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70</v>
      </c>
      <c r="C4176" s="10" t="s">
        <v>810</v>
      </c>
      <c r="D4176" s="10" t="s">
        <v>811</v>
      </c>
      <c r="E4176" s="11" t="str">
        <f t="array" ref="E4176">_xlfn.XLOOKUP(D4176,Insumos!B:B,Insumos!C:$C)</f>
        <v>un</v>
      </c>
      <c r="F4176" s="14">
        <v>1</v>
      </c>
      <c r="G4176" s="87">
        <f t="array" ref="G4176">IF(B4176="insumo",_xlfn.XLOOKUP($D4176,Insumos!$B$1:$B$996,Insumos!$D$1:$D$996),"")</f>
        <v>2209.5230485436896</v>
      </c>
      <c r="H4176" s="87">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70</v>
      </c>
      <c r="C4177" s="10" t="s">
        <v>810</v>
      </c>
      <c r="D4177" s="10" t="s">
        <v>807</v>
      </c>
      <c r="E4177" s="11" t="str">
        <f t="array" ref="E4177">_xlfn.XLOOKUP(D4177,Insumos!B:B,Insumos!C:$C)</f>
        <v>un</v>
      </c>
      <c r="F4177" s="14">
        <v>1</v>
      </c>
      <c r="G4177" s="87">
        <f t="array" ref="G4177">IF(B4177="insumo",_xlfn.XLOOKUP($D4177,Insumos!$B$1:$B$996,Insumos!$D$1:$D$996),"")</f>
        <v>55</v>
      </c>
      <c r="H4177" s="87">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332">
        <v>1</v>
      </c>
      <c r="B4178" s="332" t="s">
        <v>67</v>
      </c>
      <c r="C4178" s="332" t="s">
        <v>812</v>
      </c>
      <c r="D4178" s="332" t="s">
        <v>812</v>
      </c>
      <c r="E4178" s="333" t="s">
        <v>69</v>
      </c>
      <c r="F4178" s="332"/>
      <c r="G4178" s="334" t="str">
        <f t="array" ref="G4178">IF(B4178="insumo",_xlfn.XLOOKUP($D4178,Insumos!$B$1:$B$996,Insumos!$D$1:$D$996),"")</f>
        <v/>
      </c>
      <c r="H4178" s="334">
        <v>2264.52304854369</v>
      </c>
      <c r="I4178" s="335">
        <v>0</v>
      </c>
      <c r="J4178" s="335">
        <v>0</v>
      </c>
      <c r="K4178" s="335"/>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70</v>
      </c>
      <c r="C4179" s="10" t="s">
        <v>812</v>
      </c>
      <c r="D4179" s="10" t="s">
        <v>813</v>
      </c>
      <c r="E4179" s="11" t="str">
        <f t="array" ref="E4179">_xlfn.XLOOKUP(D4179,Insumos!B:B,Insumos!C:$C)</f>
        <v>un</v>
      </c>
      <c r="F4179" s="14">
        <v>1</v>
      </c>
      <c r="G4179" s="87">
        <f t="array" ref="G4179">IF(B4179="insumo",_xlfn.XLOOKUP($D4179,Insumos!$B$1:$B$996,Insumos!$D$1:$D$996),"")</f>
        <v>2209.5230485436896</v>
      </c>
      <c r="H4179" s="87">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70</v>
      </c>
      <c r="C4180" s="10" t="s">
        <v>812</v>
      </c>
      <c r="D4180" s="10" t="s">
        <v>807</v>
      </c>
      <c r="E4180" s="11" t="str">
        <f t="array" ref="E4180">_xlfn.XLOOKUP(D4180,Insumos!B:B,Insumos!C:$C)</f>
        <v>un</v>
      </c>
      <c r="F4180" s="14">
        <v>1</v>
      </c>
      <c r="G4180" s="87">
        <f t="array" ref="G4180">IF(B4180="insumo",_xlfn.XLOOKUP($D4180,Insumos!$B$1:$B$996,Insumos!$D$1:$D$996),"")</f>
        <v>55</v>
      </c>
      <c r="H4180" s="87">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332">
        <v>1</v>
      </c>
      <c r="B4181" s="332" t="s">
        <v>67</v>
      </c>
      <c r="C4181" s="332" t="s">
        <v>814</v>
      </c>
      <c r="D4181" s="332" t="s">
        <v>814</v>
      </c>
      <c r="E4181" s="333" t="s">
        <v>69</v>
      </c>
      <c r="F4181" s="332"/>
      <c r="G4181" s="334" t="str">
        <f t="array" ref="G4181">IF(B4181="insumo",_xlfn.XLOOKUP($D4181,Insumos!$B$1:$B$996,Insumos!$D$1:$D$996),"")</f>
        <v/>
      </c>
      <c r="H4181" s="334">
        <v>2306.36</v>
      </c>
      <c r="I4181" s="335">
        <v>0</v>
      </c>
      <c r="J4181" s="335">
        <v>0</v>
      </c>
      <c r="K4181" s="335"/>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70</v>
      </c>
      <c r="C4182" s="10" t="s">
        <v>814</v>
      </c>
      <c r="D4182" s="10" t="s">
        <v>815</v>
      </c>
      <c r="E4182" s="11" t="str">
        <f t="array" ref="E4182">_xlfn.XLOOKUP(D4182,Insumos!B:B,Insumos!C:$C)</f>
        <v>un</v>
      </c>
      <c r="F4182" s="14">
        <v>1</v>
      </c>
      <c r="G4182" s="87">
        <f t="array" ref="G4182">IF(B4182="insumo",_xlfn.XLOOKUP($D4182,Insumos!$B$1:$B$996,Insumos!$D$1:$D$996),"")</f>
        <v>2251.36</v>
      </c>
      <c r="H4182" s="87">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70</v>
      </c>
      <c r="C4183" s="10" t="s">
        <v>814</v>
      </c>
      <c r="D4183" s="10" t="s">
        <v>807</v>
      </c>
      <c r="E4183" s="11" t="str">
        <f t="array" ref="E4183">_xlfn.XLOOKUP(D4183,Insumos!B:B,Insumos!C:$C)</f>
        <v>un</v>
      </c>
      <c r="F4183" s="14">
        <v>1</v>
      </c>
      <c r="G4183" s="87">
        <f t="array" ref="G4183">IF(B4183="insumo",_xlfn.XLOOKUP($D4183,Insumos!$B$1:$B$996,Insumos!$D$1:$D$996),"")</f>
        <v>55</v>
      </c>
      <c r="H4183" s="87">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332">
        <v>1</v>
      </c>
      <c r="B4184" s="332" t="s">
        <v>67</v>
      </c>
      <c r="C4184" s="332" t="s">
        <v>816</v>
      </c>
      <c r="D4184" s="332" t="s">
        <v>816</v>
      </c>
      <c r="E4184" s="333" t="s">
        <v>69</v>
      </c>
      <c r="F4184" s="332"/>
      <c r="G4184" s="334" t="str">
        <f t="array" ref="G4184">IF(B4184="insumo",_xlfn.XLOOKUP($D4184,Insumos!$B$1:$B$996,Insumos!$D$1:$D$996),"")</f>
        <v/>
      </c>
      <c r="H4184" s="334">
        <v>2306.36</v>
      </c>
      <c r="I4184" s="335">
        <v>170</v>
      </c>
      <c r="J4184" s="335">
        <v>392081.2</v>
      </c>
      <c r="K4184" s="335"/>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70</v>
      </c>
      <c r="C4185" s="10" t="s">
        <v>816</v>
      </c>
      <c r="D4185" s="10" t="s">
        <v>817</v>
      </c>
      <c r="E4185" s="11" t="str">
        <f t="array" ref="E4185">_xlfn.XLOOKUP(D4185,Insumos!B:B,Insumos!C:$C)</f>
        <v>un</v>
      </c>
      <c r="F4185" s="14">
        <v>1</v>
      </c>
      <c r="G4185" s="87">
        <f t="array" ref="G4185">IF(B4185="insumo",_xlfn.XLOOKUP($D4185,Insumos!$B$1:$B$996,Insumos!$D$1:$D$996),"")</f>
        <v>2251.36</v>
      </c>
      <c r="H4185" s="87">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70</v>
      </c>
      <c r="C4186" s="10" t="s">
        <v>816</v>
      </c>
      <c r="D4186" s="10" t="s">
        <v>807</v>
      </c>
      <c r="E4186" s="11" t="str">
        <f t="array" ref="E4186">_xlfn.XLOOKUP(D4186,Insumos!B:B,Insumos!C:$C)</f>
        <v>un</v>
      </c>
      <c r="F4186" s="14">
        <v>1</v>
      </c>
      <c r="G4186" s="87">
        <f t="array" ref="G4186">IF(B4186="insumo",_xlfn.XLOOKUP($D4186,Insumos!$B$1:$B$996,Insumos!$D$1:$D$996),"")</f>
        <v>55</v>
      </c>
      <c r="H4186" s="87">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332">
        <v>1</v>
      </c>
      <c r="B4187" s="332" t="s">
        <v>67</v>
      </c>
      <c r="C4187" s="332" t="s">
        <v>1520</v>
      </c>
      <c r="D4187" s="332" t="s">
        <v>1520</v>
      </c>
      <c r="E4187" s="333" t="s">
        <v>69</v>
      </c>
      <c r="F4187" s="332"/>
      <c r="G4187" s="334" t="str">
        <f t="array" ref="G4187">IF(B4187="insumo",_xlfn.XLOOKUP($D4187,Insumos!$B$1:$B$996,Insumos!$D$1:$D$996),"")</f>
        <v/>
      </c>
      <c r="H4187" s="334">
        <v>2264.52304854369</v>
      </c>
      <c r="I4187" s="335">
        <v>0</v>
      </c>
      <c r="J4187" s="335">
        <v>0</v>
      </c>
      <c r="K4187" s="335"/>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70</v>
      </c>
      <c r="C4188" s="10" t="s">
        <v>1520</v>
      </c>
      <c r="D4188" s="10" t="s">
        <v>1522</v>
      </c>
      <c r="E4188" s="11" t="str">
        <f t="array" ref="E4188">_xlfn.XLOOKUP(D4188,Insumos!B:B,Insumos!C:$C)</f>
        <v>un</v>
      </c>
      <c r="F4188" s="14">
        <v>1</v>
      </c>
      <c r="G4188" s="87">
        <f t="array" ref="G4188">IF(B4188="insumo",_xlfn.XLOOKUP($D4188,Insumos!$B$1:$B$996,Insumos!$D$1:$D$996),"")</f>
        <v>2209.5230485436896</v>
      </c>
      <c r="H4188" s="87">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70</v>
      </c>
      <c r="C4189" s="10" t="s">
        <v>1520</v>
      </c>
      <c r="D4189" s="10" t="s">
        <v>807</v>
      </c>
      <c r="E4189" s="11" t="str">
        <f t="array" ref="E4189">_xlfn.XLOOKUP(D4189,Insumos!B:B,Insumos!C:$C)</f>
        <v>un</v>
      </c>
      <c r="F4189" s="14">
        <v>1</v>
      </c>
      <c r="G4189" s="87">
        <f t="array" ref="G4189">IF(B4189="insumo",_xlfn.XLOOKUP($D4189,Insumos!$B$1:$B$996,Insumos!$D$1:$D$996),"")</f>
        <v>55</v>
      </c>
      <c r="H4189" s="87">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332">
        <v>1</v>
      </c>
      <c r="B4190" s="332" t="s">
        <v>67</v>
      </c>
      <c r="C4190" s="332" t="s">
        <v>818</v>
      </c>
      <c r="D4190" s="332" t="s">
        <v>818</v>
      </c>
      <c r="E4190" s="333" t="s">
        <v>69</v>
      </c>
      <c r="F4190" s="332"/>
      <c r="G4190" s="334" t="str">
        <f t="array" ref="G4190">IF(B4190="insumo",_xlfn.XLOOKUP($D4190,Insumos!$B$1:$B$996,Insumos!$D$1:$D$996),"")</f>
        <v/>
      </c>
      <c r="H4190" s="334">
        <v>2653.86</v>
      </c>
      <c r="I4190" s="335">
        <v>58</v>
      </c>
      <c r="J4190" s="335">
        <v>153923.88</v>
      </c>
      <c r="K4190" s="335"/>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70</v>
      </c>
      <c r="C4191" s="10" t="s">
        <v>818</v>
      </c>
      <c r="D4191" s="10" t="s">
        <v>819</v>
      </c>
      <c r="E4191" s="11" t="str">
        <f t="array" ref="E4191">_xlfn.XLOOKUP(D4191,Insumos!B:B,Insumos!C:$C)</f>
        <v>un</v>
      </c>
      <c r="F4191" s="14">
        <v>1</v>
      </c>
      <c r="G4191" s="87">
        <f t="array" ref="G4191">IF(B4191="insumo",_xlfn.XLOOKUP($D4191,Insumos!$B$1:$B$996,Insumos!$D$1:$D$996),"")</f>
        <v>2598.86</v>
      </c>
      <c r="H4191" s="87">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70</v>
      </c>
      <c r="C4192" s="10" t="s">
        <v>818</v>
      </c>
      <c r="D4192" s="10" t="s">
        <v>807</v>
      </c>
      <c r="E4192" s="11" t="str">
        <f t="array" ref="E4192">_xlfn.XLOOKUP(D4192,Insumos!B:B,Insumos!C:$C)</f>
        <v>un</v>
      </c>
      <c r="F4192" s="14">
        <v>1</v>
      </c>
      <c r="G4192" s="87">
        <f t="array" ref="G4192">IF(B4192="insumo",_xlfn.XLOOKUP($D4192,Insumos!$B$1:$B$996,Insumos!$D$1:$D$996),"")</f>
        <v>55</v>
      </c>
      <c r="H4192" s="87">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332">
        <v>1</v>
      </c>
      <c r="B4193" s="332" t="s">
        <v>67</v>
      </c>
      <c r="C4193" s="332" t="s">
        <v>820</v>
      </c>
      <c r="D4193" s="332" t="s">
        <v>820</v>
      </c>
      <c r="E4193" s="333" t="s">
        <v>69</v>
      </c>
      <c r="F4193" s="332"/>
      <c r="G4193" s="334" t="str">
        <f t="array" ref="G4193">IF(B4193="insumo",_xlfn.XLOOKUP($D4193,Insumos!$B$1:$B$996,Insumos!$D$1:$D$996),"")</f>
        <v/>
      </c>
      <c r="H4193" s="334">
        <v>2715.7376190476198</v>
      </c>
      <c r="I4193" s="335">
        <v>0</v>
      </c>
      <c r="J4193" s="335">
        <v>0</v>
      </c>
      <c r="K4193" s="335"/>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70</v>
      </c>
      <c r="C4194" s="10" t="s">
        <v>820</v>
      </c>
      <c r="D4194" s="10" t="s">
        <v>821</v>
      </c>
      <c r="E4194" s="11" t="str">
        <f t="array" ref="E4194">_xlfn.XLOOKUP(D4194,Insumos!B:B,Insumos!C:$C)</f>
        <v>un</v>
      </c>
      <c r="F4194" s="14">
        <v>1</v>
      </c>
      <c r="G4194" s="87">
        <f t="array" ref="G4194">IF(B4194="insumo",_xlfn.XLOOKUP($D4194,Insumos!$B$1:$B$996,Insumos!$D$1:$D$996),"")</f>
        <v>2660.7376190476193</v>
      </c>
      <c r="H4194" s="87">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70</v>
      </c>
      <c r="C4195" s="10" t="s">
        <v>820</v>
      </c>
      <c r="D4195" s="10" t="s">
        <v>807</v>
      </c>
      <c r="E4195" s="11" t="str">
        <f t="array" ref="E4195">_xlfn.XLOOKUP(D4195,Insumos!B:B,Insumos!C:$C)</f>
        <v>un</v>
      </c>
      <c r="F4195" s="14">
        <v>1</v>
      </c>
      <c r="G4195" s="87">
        <f t="array" ref="G4195">IF(B4195="insumo",_xlfn.XLOOKUP($D4195,Insumos!$B$1:$B$996,Insumos!$D$1:$D$996),"")</f>
        <v>55</v>
      </c>
      <c r="H4195" s="87">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332">
        <v>1</v>
      </c>
      <c r="B4196" s="332" t="s">
        <v>67</v>
      </c>
      <c r="C4196" s="332" t="s">
        <v>822</v>
      </c>
      <c r="D4196" s="332" t="s">
        <v>822</v>
      </c>
      <c r="E4196" s="333" t="s">
        <v>69</v>
      </c>
      <c r="F4196" s="332"/>
      <c r="G4196" s="334" t="str">
        <f t="array" ref="G4196">IF(B4196="insumo",_xlfn.XLOOKUP($D4196,Insumos!$B$1:$B$996,Insumos!$D$1:$D$996),"")</f>
        <v/>
      </c>
      <c r="H4196" s="334">
        <v>2942.62222222222</v>
      </c>
      <c r="I4196" s="335">
        <v>0</v>
      </c>
      <c r="J4196" s="335">
        <v>0</v>
      </c>
      <c r="K4196" s="335"/>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70</v>
      </c>
      <c r="C4197" s="10" t="s">
        <v>822</v>
      </c>
      <c r="D4197" s="10" t="s">
        <v>823</v>
      </c>
      <c r="E4197" s="11" t="str">
        <f t="array" ref="E4197">_xlfn.XLOOKUP(D4197,Insumos!B:B,Insumos!C:$C)</f>
        <v>un</v>
      </c>
      <c r="F4197" s="14">
        <v>1</v>
      </c>
      <c r="G4197" s="87">
        <f t="array" ref="G4197">IF(B4197="insumo",_xlfn.XLOOKUP($D4197,Insumos!$B$1:$B$996,Insumos!$D$1:$D$996),"")</f>
        <v>2887.6222222222223</v>
      </c>
      <c r="H4197" s="87">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70</v>
      </c>
      <c r="C4198" s="10" t="s">
        <v>822</v>
      </c>
      <c r="D4198" s="10" t="s">
        <v>807</v>
      </c>
      <c r="E4198" s="11" t="str">
        <f t="array" ref="E4198">_xlfn.XLOOKUP(D4198,Insumos!B:B,Insumos!C:$C)</f>
        <v>un</v>
      </c>
      <c r="F4198" s="14">
        <v>1</v>
      </c>
      <c r="G4198" s="87">
        <f t="array" ref="G4198">IF(B4198="insumo",_xlfn.XLOOKUP($D4198,Insumos!$B$1:$B$996,Insumos!$D$1:$D$996),"")</f>
        <v>55</v>
      </c>
      <c r="H4198" s="87">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332">
        <v>1</v>
      </c>
      <c r="B4199" s="332" t="s">
        <v>67</v>
      </c>
      <c r="C4199" s="332" t="s">
        <v>824</v>
      </c>
      <c r="D4199" s="332" t="s">
        <v>824</v>
      </c>
      <c r="E4199" s="333" t="s">
        <v>69</v>
      </c>
      <c r="F4199" s="332"/>
      <c r="G4199" s="334" t="str">
        <f t="array" ref="G4199">IF(B4199="insumo",_xlfn.XLOOKUP($D4199,Insumos!$B$1:$B$996,Insumos!$D$1:$D$996),"")</f>
        <v/>
      </c>
      <c r="H4199" s="334">
        <v>3087.0033333333299</v>
      </c>
      <c r="I4199" s="335">
        <v>0</v>
      </c>
      <c r="J4199" s="335">
        <v>0</v>
      </c>
      <c r="K4199" s="335"/>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70</v>
      </c>
      <c r="C4200" s="10" t="s">
        <v>824</v>
      </c>
      <c r="D4200" s="10" t="s">
        <v>825</v>
      </c>
      <c r="E4200" s="11" t="str">
        <f t="array" ref="E4200">_xlfn.XLOOKUP(D4200,Insumos!B:B,Insumos!C:$C)</f>
        <v>un</v>
      </c>
      <c r="F4200" s="14">
        <v>1</v>
      </c>
      <c r="G4200" s="87">
        <f t="array" ref="G4200">IF(B4200="insumo",_xlfn.XLOOKUP($D4200,Insumos!$B$1:$B$996,Insumos!$D$1:$D$996),"")</f>
        <v>3032.0033333333336</v>
      </c>
      <c r="H4200" s="87">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70</v>
      </c>
      <c r="C4201" s="10" t="s">
        <v>824</v>
      </c>
      <c r="D4201" s="10" t="s">
        <v>807</v>
      </c>
      <c r="E4201" s="11" t="str">
        <f t="array" ref="E4201">_xlfn.XLOOKUP(D4201,Insumos!B:B,Insumos!C:$C)</f>
        <v>un</v>
      </c>
      <c r="F4201" s="14">
        <v>1</v>
      </c>
      <c r="G4201" s="87">
        <f t="array" ref="G4201">IF(B4201="insumo",_xlfn.XLOOKUP($D4201,Insumos!$B$1:$B$996,Insumos!$D$1:$D$996),"")</f>
        <v>55</v>
      </c>
      <c r="H4201" s="87">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332">
        <v>1</v>
      </c>
      <c r="B4202" s="332" t="s">
        <v>67</v>
      </c>
      <c r="C4202" s="332" t="s">
        <v>1518</v>
      </c>
      <c r="D4202" s="332" t="s">
        <v>1518</v>
      </c>
      <c r="E4202" s="333" t="s">
        <v>69</v>
      </c>
      <c r="F4202" s="332"/>
      <c r="G4202" s="334" t="str">
        <f t="array" ref="G4202">IF(B4202="insumo",_xlfn.XLOOKUP($D4202,Insumos!$B$1:$B$996,Insumos!$D$1:$D$996),"")</f>
        <v/>
      </c>
      <c r="H4202" s="334">
        <v>3231.3844444444499</v>
      </c>
      <c r="I4202" s="335">
        <v>0</v>
      </c>
      <c r="J4202" s="335">
        <v>0</v>
      </c>
      <c r="K4202" s="335"/>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70</v>
      </c>
      <c r="C4203" s="10" t="s">
        <v>1518</v>
      </c>
      <c r="D4203" s="10" t="s">
        <v>1521</v>
      </c>
      <c r="E4203" s="11" t="str">
        <f t="array" ref="E4203">_xlfn.XLOOKUP(D4203,Insumos!B:B,Insumos!C:$C)</f>
        <v>un</v>
      </c>
      <c r="F4203" s="14">
        <v>1</v>
      </c>
      <c r="G4203" s="87">
        <f t="array" ref="G4203">IF(B4203="insumo",_xlfn.XLOOKUP($D4203,Insumos!$B$1:$B$996,Insumos!$D$1:$D$996),"")</f>
        <v>3176.3844444444453</v>
      </c>
      <c r="H4203" s="87">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70</v>
      </c>
      <c r="C4204" s="10" t="s">
        <v>1518</v>
      </c>
      <c r="D4204" s="10" t="s">
        <v>807</v>
      </c>
      <c r="E4204" s="11" t="str">
        <f t="array" ref="E4204">_xlfn.XLOOKUP(D4204,Insumos!B:B,Insumos!C:$C)</f>
        <v>un</v>
      </c>
      <c r="F4204" s="14">
        <v>1</v>
      </c>
      <c r="G4204" s="87">
        <f t="array" ref="G4204">IF(B4204="insumo",_xlfn.XLOOKUP($D4204,Insumos!$B$1:$B$996,Insumos!$D$1:$D$996),"")</f>
        <v>55</v>
      </c>
      <c r="H4204" s="87">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332">
        <v>1</v>
      </c>
      <c r="B4205" s="332" t="s">
        <v>67</v>
      </c>
      <c r="C4205" s="332" t="s">
        <v>826</v>
      </c>
      <c r="D4205" s="332" t="s">
        <v>826</v>
      </c>
      <c r="E4205" s="333" t="s">
        <v>69</v>
      </c>
      <c r="F4205" s="332"/>
      <c r="G4205" s="334" t="str">
        <f t="array" ref="G4205">IF(B4205="insumo",_xlfn.XLOOKUP($D4205,Insumos!$B$1:$B$996,Insumos!$D$1:$D$996),"")</f>
        <v/>
      </c>
      <c r="H4205" s="334">
        <v>4097.6711111111099</v>
      </c>
      <c r="I4205" s="335">
        <v>0</v>
      </c>
      <c r="J4205" s="335">
        <v>0</v>
      </c>
      <c r="K4205" s="335"/>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70</v>
      </c>
      <c r="C4206" s="10" t="s">
        <v>826</v>
      </c>
      <c r="D4206" s="10" t="s">
        <v>827</v>
      </c>
      <c r="E4206" s="11" t="str">
        <f t="array" ref="E4206">_xlfn.XLOOKUP(D4206,Insumos!B:B,Insumos!C:$C)</f>
        <v>un</v>
      </c>
      <c r="F4206" s="14">
        <v>1</v>
      </c>
      <c r="G4206" s="87">
        <f t="array" ref="G4206">IF(B4206="insumo",_xlfn.XLOOKUP($D4206,Insumos!$B$1:$B$996,Insumos!$D$1:$D$996),"")</f>
        <v>4042.6711111111113</v>
      </c>
      <c r="H4206" s="87">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70</v>
      </c>
      <c r="C4207" s="10" t="s">
        <v>826</v>
      </c>
      <c r="D4207" s="10" t="s">
        <v>807</v>
      </c>
      <c r="E4207" s="11" t="str">
        <f t="array" ref="E4207">_xlfn.XLOOKUP(D4207,Insumos!B:B,Insumos!C:$C)</f>
        <v>un</v>
      </c>
      <c r="F4207" s="14">
        <v>1</v>
      </c>
      <c r="G4207" s="87">
        <f t="array" ref="G4207">IF(B4207="insumo",_xlfn.XLOOKUP($D4207,Insumos!$B$1:$B$996,Insumos!$D$1:$D$996),"")</f>
        <v>55</v>
      </c>
      <c r="H4207" s="87">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336">
        <v>1</v>
      </c>
      <c r="B4208" s="336" t="s">
        <v>67</v>
      </c>
      <c r="C4208" s="336" t="s">
        <v>1900</v>
      </c>
      <c r="D4208" s="336" t="s">
        <v>1900</v>
      </c>
      <c r="E4208" s="337" t="s">
        <v>69</v>
      </c>
      <c r="F4208" s="336"/>
      <c r="G4208" s="338" t="str">
        <f t="array" ref="G4208">IF(B4208="insumo",_xlfn.XLOOKUP($D4208,Insumos!$B$1:$B$996,Insumos!$D$1:$D$996),"")</f>
        <v/>
      </c>
      <c r="H4208" s="338">
        <v>3087.0033333333299</v>
      </c>
      <c r="I4208" s="339">
        <v>0</v>
      </c>
      <c r="J4208" s="339">
        <v>0</v>
      </c>
      <c r="K4208" s="339"/>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77">
        <v>2</v>
      </c>
      <c r="B4209" s="77" t="s">
        <v>70</v>
      </c>
      <c r="C4209" s="77" t="s">
        <v>1900</v>
      </c>
      <c r="D4209" s="77" t="s">
        <v>825</v>
      </c>
      <c r="E4209" s="11" t="str">
        <f t="array" ref="E4209">_xlfn.XLOOKUP(D4209,Insumos!B:B,Insumos!C:$C)</f>
        <v>un</v>
      </c>
      <c r="F4209" s="81">
        <v>1</v>
      </c>
      <c r="G4209" s="87">
        <f t="array" ref="G4209">IF(B4209="insumo",_xlfn.XLOOKUP($D4209,Insumos!$B$1:$B$996,Insumos!$D$1:$D$996),"")</f>
        <v>3032.0033333333336</v>
      </c>
      <c r="H4209" s="87">
        <v>3032.0033333333299</v>
      </c>
      <c r="I4209" s="79">
        <v>0</v>
      </c>
      <c r="J4209" s="79">
        <v>0</v>
      </c>
      <c r="K4209" s="79"/>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77">
        <v>24</v>
      </c>
      <c r="B4210" s="77" t="s">
        <v>70</v>
      </c>
      <c r="C4210" s="77" t="s">
        <v>1900</v>
      </c>
      <c r="D4210" s="77" t="s">
        <v>807</v>
      </c>
      <c r="E4210" s="11" t="str">
        <f t="array" ref="E4210">_xlfn.XLOOKUP(D4210,Insumos!B:B,Insumos!C:$C)</f>
        <v>un</v>
      </c>
      <c r="F4210" s="81">
        <v>1</v>
      </c>
      <c r="G4210" s="87">
        <f t="array" ref="G4210">IF(B4210="insumo",_xlfn.XLOOKUP($D4210,Insumos!$B$1:$B$996,Insumos!$D$1:$D$996),"")</f>
        <v>55</v>
      </c>
      <c r="H4210" s="87">
        <v>55</v>
      </c>
      <c r="I4210" s="79">
        <v>0</v>
      </c>
      <c r="J4210" s="79">
        <v>0</v>
      </c>
      <c r="K4210" s="79"/>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332">
        <v>1</v>
      </c>
      <c r="B4211" s="332" t="s">
        <v>67</v>
      </c>
      <c r="C4211" s="332" t="s">
        <v>828</v>
      </c>
      <c r="D4211" s="332" t="s">
        <v>828</v>
      </c>
      <c r="E4211" s="333" t="s">
        <v>69</v>
      </c>
      <c r="F4211" s="332"/>
      <c r="G4211" s="334" t="str">
        <f t="array" ref="G4211">IF(B4211="insumo",_xlfn.XLOOKUP($D4211,Insumos!$B$1:$B$996,Insumos!$D$1:$D$996),"")</f>
        <v/>
      </c>
      <c r="H4211" s="334">
        <v>2264.52304854369</v>
      </c>
      <c r="I4211" s="335">
        <v>0</v>
      </c>
      <c r="J4211" s="335">
        <v>0</v>
      </c>
      <c r="K4211" s="335"/>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70</v>
      </c>
      <c r="C4212" s="10" t="s">
        <v>828</v>
      </c>
      <c r="D4212" s="10" t="s">
        <v>829</v>
      </c>
      <c r="E4212" s="11" t="str">
        <f t="array" ref="E4212">_xlfn.XLOOKUP(D4212,Insumos!B:B,Insumos!C:$C)</f>
        <v>un</v>
      </c>
      <c r="F4212" s="14">
        <v>1</v>
      </c>
      <c r="G4212" s="87">
        <f t="array" ref="G4212">IF(B4212="insumo",_xlfn.XLOOKUP($D4212,Insumos!$B$1:$B$996,Insumos!$D$1:$D$996),"")</f>
        <v>2209.5230485436896</v>
      </c>
      <c r="H4212" s="87">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70</v>
      </c>
      <c r="C4213" s="10" t="s">
        <v>828</v>
      </c>
      <c r="D4213" s="10" t="s">
        <v>807</v>
      </c>
      <c r="E4213" s="11" t="str">
        <f t="array" ref="E4213">_xlfn.XLOOKUP(D4213,Insumos!B:B,Insumos!C:$C)</f>
        <v>un</v>
      </c>
      <c r="F4213" s="14">
        <v>1</v>
      </c>
      <c r="G4213" s="87">
        <f t="array" ref="G4213">IF(B4213="insumo",_xlfn.XLOOKUP($D4213,Insumos!$B$1:$B$996,Insumos!$D$1:$D$996),"")</f>
        <v>55</v>
      </c>
      <c r="H4213" s="87">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332">
        <v>1</v>
      </c>
      <c r="B4214" s="332" t="s">
        <v>67</v>
      </c>
      <c r="C4214" s="332" t="s">
        <v>830</v>
      </c>
      <c r="D4214" s="332" t="s">
        <v>830</v>
      </c>
      <c r="E4214" s="333" t="s">
        <v>69</v>
      </c>
      <c r="F4214" s="332"/>
      <c r="G4214" s="334" t="str">
        <f t="array" ref="G4214">IF(B4214="insumo",_xlfn.XLOOKUP($D4214,Insumos!$B$1:$B$996,Insumos!$D$1:$D$996),"")</f>
        <v/>
      </c>
      <c r="H4214" s="334">
        <v>2306.36</v>
      </c>
      <c r="I4214" s="335">
        <v>0</v>
      </c>
      <c r="J4214" s="335">
        <v>0</v>
      </c>
      <c r="K4214" s="335"/>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70</v>
      </c>
      <c r="C4215" s="10" t="s">
        <v>830</v>
      </c>
      <c r="D4215" s="10" t="s">
        <v>831</v>
      </c>
      <c r="E4215" s="11" t="str">
        <f t="array" ref="E4215">_xlfn.XLOOKUP(D4215,Insumos!B:B,Insumos!C:$C)</f>
        <v>un</v>
      </c>
      <c r="F4215" s="14">
        <v>1</v>
      </c>
      <c r="G4215" s="87">
        <f t="array" ref="G4215">IF(B4215="insumo",_xlfn.XLOOKUP($D4215,Insumos!$B$1:$B$996,Insumos!$D$1:$D$996),"")</f>
        <v>2251.36</v>
      </c>
      <c r="H4215" s="87">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70</v>
      </c>
      <c r="C4216" s="10" t="s">
        <v>830</v>
      </c>
      <c r="D4216" s="10" t="s">
        <v>807</v>
      </c>
      <c r="E4216" s="11" t="str">
        <f t="array" ref="E4216">_xlfn.XLOOKUP(D4216,Insumos!B:B,Insumos!C:$C)</f>
        <v>un</v>
      </c>
      <c r="F4216" s="14">
        <v>1</v>
      </c>
      <c r="G4216" s="87">
        <f t="array" ref="G4216">IF(B4216="insumo",_xlfn.XLOOKUP($D4216,Insumos!$B$1:$B$996,Insumos!$D$1:$D$996),"")</f>
        <v>55</v>
      </c>
      <c r="H4216" s="87">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336">
        <v>1</v>
      </c>
      <c r="B4217" s="336" t="s">
        <v>67</v>
      </c>
      <c r="C4217" s="336" t="s">
        <v>1901</v>
      </c>
      <c r="D4217" s="336" t="s">
        <v>1901</v>
      </c>
      <c r="E4217" s="337" t="s">
        <v>69</v>
      </c>
      <c r="F4217" s="336"/>
      <c r="G4217" s="338" t="str">
        <f t="array" ref="G4217">IF(B4217="insumo",_xlfn.XLOOKUP($D4217,Insumos!$B$1:$B$996,Insumos!$D$1:$D$996),"")</f>
        <v/>
      </c>
      <c r="H4217" s="338">
        <v>1413.5</v>
      </c>
      <c r="I4217" s="339">
        <v>0</v>
      </c>
      <c r="J4217" s="339">
        <v>0</v>
      </c>
      <c r="K4217" s="339"/>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77">
        <v>1</v>
      </c>
      <c r="B4218" s="77" t="s">
        <v>70</v>
      </c>
      <c r="C4218" s="77" t="s">
        <v>1901</v>
      </c>
      <c r="D4218" s="77" t="s">
        <v>1887</v>
      </c>
      <c r="E4218" s="11" t="str">
        <f t="array" ref="E4218">_xlfn.XLOOKUP(D4218,Insumos!B:B,Insumos!C:$C)</f>
        <v>M2</v>
      </c>
      <c r="F4218" s="81">
        <v>1</v>
      </c>
      <c r="G4218" s="87">
        <f t="array" ref="G4218">IF(B4218="insumo",_xlfn.XLOOKUP($D4218,Insumos!$B$1:$B$996,Insumos!$D$1:$D$996),"")</f>
        <v>1358.5</v>
      </c>
      <c r="H4218" s="87">
        <v>1358.5</v>
      </c>
      <c r="I4218" s="79">
        <v>0</v>
      </c>
      <c r="J4218" s="79">
        <v>0</v>
      </c>
      <c r="K4218" s="79"/>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77">
        <v>24</v>
      </c>
      <c r="B4219" s="77" t="s">
        <v>70</v>
      </c>
      <c r="C4219" s="77" t="s">
        <v>1901</v>
      </c>
      <c r="D4219" s="77" t="s">
        <v>807</v>
      </c>
      <c r="E4219" s="11" t="str">
        <f t="array" ref="E4219">_xlfn.XLOOKUP(D4219,Insumos!B:B,Insumos!C:$C)</f>
        <v>un</v>
      </c>
      <c r="F4219" s="81">
        <v>1</v>
      </c>
      <c r="G4219" s="87">
        <f t="array" ref="G4219">IF(B4219="insumo",_xlfn.XLOOKUP($D4219,Insumos!$B$1:$B$996,Insumos!$D$1:$D$996),"")</f>
        <v>55</v>
      </c>
      <c r="H4219" s="87">
        <v>55</v>
      </c>
      <c r="I4219" s="79">
        <v>0</v>
      </c>
      <c r="J4219" s="79">
        <v>0</v>
      </c>
      <c r="K4219" s="79"/>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336">
        <v>1</v>
      </c>
      <c r="B4220" s="336" t="s">
        <v>67</v>
      </c>
      <c r="C4220" s="336" t="s">
        <v>1902</v>
      </c>
      <c r="D4220" s="336" t="s">
        <v>1902</v>
      </c>
      <c r="E4220" s="337" t="s">
        <v>69</v>
      </c>
      <c r="F4220" s="336"/>
      <c r="G4220" s="338" t="str">
        <f t="array" ref="G4220">IF(B4220="insumo",_xlfn.XLOOKUP($D4220,Insumos!$B$1:$B$996,Insumos!$D$1:$D$996),"")</f>
        <v/>
      </c>
      <c r="H4220" s="338">
        <v>2306.36</v>
      </c>
      <c r="I4220" s="339">
        <v>0</v>
      </c>
      <c r="J4220" s="339">
        <v>0</v>
      </c>
      <c r="K4220" s="339"/>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77">
        <v>2</v>
      </c>
      <c r="B4221" s="77" t="s">
        <v>70</v>
      </c>
      <c r="C4221" s="77" t="s">
        <v>1902</v>
      </c>
      <c r="D4221" s="77" t="s">
        <v>831</v>
      </c>
      <c r="E4221" s="11" t="str">
        <f t="array" ref="E4221">_xlfn.XLOOKUP(D4221,Insumos!B:B,Insumos!C:$C)</f>
        <v>un</v>
      </c>
      <c r="F4221" s="81">
        <v>1</v>
      </c>
      <c r="G4221" s="87">
        <f t="array" ref="G4221">IF(B4221="insumo",_xlfn.XLOOKUP($D4221,Insumos!$B$1:$B$996,Insumos!$D$1:$D$996),"")</f>
        <v>2251.36</v>
      </c>
      <c r="H4221" s="87">
        <v>2251.36</v>
      </c>
      <c r="I4221" s="79">
        <v>0</v>
      </c>
      <c r="J4221" s="79">
        <v>0</v>
      </c>
      <c r="K4221" s="79"/>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77">
        <v>24</v>
      </c>
      <c r="B4222" s="77" t="s">
        <v>70</v>
      </c>
      <c r="C4222" s="77" t="s">
        <v>1902</v>
      </c>
      <c r="D4222" s="77" t="s">
        <v>807</v>
      </c>
      <c r="E4222" s="11" t="str">
        <f t="array" ref="E4222">_xlfn.XLOOKUP(D4222,Insumos!B:B,Insumos!C:$C)</f>
        <v>un</v>
      </c>
      <c r="F4222" s="81">
        <v>1</v>
      </c>
      <c r="G4222" s="87">
        <f t="array" ref="G4222">IF(B4222="insumo",_xlfn.XLOOKUP($D4222,Insumos!$B$1:$B$996,Insumos!$D$1:$D$996),"")</f>
        <v>55</v>
      </c>
      <c r="H4222" s="87">
        <v>55</v>
      </c>
      <c r="I4222" s="79">
        <v>0</v>
      </c>
      <c r="J4222" s="79">
        <v>0</v>
      </c>
      <c r="K4222" s="79"/>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336">
        <v>1</v>
      </c>
      <c r="B4223" s="336" t="s">
        <v>67</v>
      </c>
      <c r="C4223" s="336" t="s">
        <v>1903</v>
      </c>
      <c r="D4223" s="336" t="s">
        <v>1903</v>
      </c>
      <c r="E4223" s="337" t="s">
        <v>69</v>
      </c>
      <c r="F4223" s="336"/>
      <c r="G4223" s="338" t="str">
        <f t="array" ref="G4223">IF(B4223="insumo",_xlfn.XLOOKUP($D4223,Insumos!$B$1:$B$996,Insumos!$D$1:$D$996),"")</f>
        <v/>
      </c>
      <c r="H4223" s="338">
        <v>1549.35</v>
      </c>
      <c r="I4223" s="339">
        <v>0</v>
      </c>
      <c r="J4223" s="339">
        <v>0</v>
      </c>
      <c r="K4223" s="339"/>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77">
        <v>1</v>
      </c>
      <c r="B4224" s="77" t="s">
        <v>70</v>
      </c>
      <c r="C4224" s="77" t="s">
        <v>1903</v>
      </c>
      <c r="D4224" s="77" t="s">
        <v>1888</v>
      </c>
      <c r="E4224" s="11" t="str">
        <f t="array" ref="E4224">_xlfn.XLOOKUP(D4224,Insumos!B:B,Insumos!C:$C)</f>
        <v>M2</v>
      </c>
      <c r="F4224" s="81">
        <v>1</v>
      </c>
      <c r="G4224" s="87">
        <f t="array" ref="G4224">IF(B4224="insumo",_xlfn.XLOOKUP($D4224,Insumos!$B$1:$B$996,Insumos!$D$1:$D$996),"")</f>
        <v>1494.3500000000001</v>
      </c>
      <c r="H4224" s="87">
        <v>1494.35</v>
      </c>
      <c r="I4224" s="79">
        <v>0</v>
      </c>
      <c r="J4224" s="79">
        <v>0</v>
      </c>
      <c r="K4224" s="79"/>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77">
        <v>24</v>
      </c>
      <c r="B4225" s="77" t="s">
        <v>70</v>
      </c>
      <c r="C4225" s="77" t="s">
        <v>1903</v>
      </c>
      <c r="D4225" s="77" t="s">
        <v>807</v>
      </c>
      <c r="E4225" s="11" t="str">
        <f t="array" ref="E4225">_xlfn.XLOOKUP(D4225,Insumos!B:B,Insumos!C:$C)</f>
        <v>un</v>
      </c>
      <c r="F4225" s="81">
        <v>1</v>
      </c>
      <c r="G4225" s="87">
        <f t="array" ref="G4225">IF(B4225="insumo",_xlfn.XLOOKUP($D4225,Insumos!$B$1:$B$996,Insumos!$D$1:$D$996),"")</f>
        <v>55</v>
      </c>
      <c r="H4225" s="87">
        <v>55</v>
      </c>
      <c r="I4225" s="79">
        <v>0</v>
      </c>
      <c r="J4225" s="79">
        <v>0</v>
      </c>
      <c r="K4225" s="79"/>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336">
        <v>1</v>
      </c>
      <c r="B4226" s="336" t="s">
        <v>67</v>
      </c>
      <c r="C4226" s="336" t="s">
        <v>1904</v>
      </c>
      <c r="D4226" s="336" t="s">
        <v>1904</v>
      </c>
      <c r="E4226" s="337" t="s">
        <v>69</v>
      </c>
      <c r="F4226" s="336"/>
      <c r="G4226" s="338" t="str">
        <f t="array" ref="G4226">IF(B4226="insumo",_xlfn.XLOOKUP($D4226,Insumos!$B$1:$B$996,Insumos!$D$1:$D$996),"")</f>
        <v/>
      </c>
      <c r="H4226" s="338">
        <v>1549.35</v>
      </c>
      <c r="I4226" s="339">
        <v>0</v>
      </c>
      <c r="J4226" s="339">
        <v>0</v>
      </c>
      <c r="K4226" s="339"/>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77">
        <v>1</v>
      </c>
      <c r="B4227" s="77" t="s">
        <v>70</v>
      </c>
      <c r="C4227" s="77" t="s">
        <v>1904</v>
      </c>
      <c r="D4227" s="77" t="s">
        <v>1889</v>
      </c>
      <c r="E4227" s="11" t="str">
        <f t="array" ref="E4227">_xlfn.XLOOKUP(D4227,Insumos!B:B,Insumos!C:$C)</f>
        <v>M2</v>
      </c>
      <c r="F4227" s="81">
        <v>1</v>
      </c>
      <c r="G4227" s="87">
        <f t="array" ref="G4227">IF(B4227="insumo",_xlfn.XLOOKUP($D4227,Insumos!$B$1:$B$996,Insumos!$D$1:$D$996),"")</f>
        <v>1494.3500000000001</v>
      </c>
      <c r="H4227" s="87">
        <v>1494.35</v>
      </c>
      <c r="I4227" s="79">
        <v>0</v>
      </c>
      <c r="J4227" s="79">
        <v>0</v>
      </c>
      <c r="K4227" s="79"/>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77">
        <v>24</v>
      </c>
      <c r="B4228" s="77" t="s">
        <v>70</v>
      </c>
      <c r="C4228" s="77" t="s">
        <v>1904</v>
      </c>
      <c r="D4228" s="77" t="s">
        <v>807</v>
      </c>
      <c r="E4228" s="11" t="str">
        <f t="array" ref="E4228">_xlfn.XLOOKUP(D4228,Insumos!B:B,Insumos!C:$C)</f>
        <v>un</v>
      </c>
      <c r="F4228" s="81">
        <v>1</v>
      </c>
      <c r="G4228" s="87">
        <f t="array" ref="G4228">IF(B4228="insumo",_xlfn.XLOOKUP($D4228,Insumos!$B$1:$B$996,Insumos!$D$1:$D$996),"")</f>
        <v>55</v>
      </c>
      <c r="H4228" s="87">
        <v>55</v>
      </c>
      <c r="I4228" s="79">
        <v>0</v>
      </c>
      <c r="J4228" s="79">
        <v>0</v>
      </c>
      <c r="K4228" s="79"/>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336">
        <v>1</v>
      </c>
      <c r="B4229" s="336" t="s">
        <v>67</v>
      </c>
      <c r="C4229" s="336" t="s">
        <v>1905</v>
      </c>
      <c r="D4229" s="336" t="s">
        <v>1905</v>
      </c>
      <c r="E4229" s="337" t="s">
        <v>69</v>
      </c>
      <c r="F4229" s="336"/>
      <c r="G4229" s="338" t="str">
        <f t="array" ref="G4229">IF(B4229="insumo",_xlfn.XLOOKUP($D4229,Insumos!$B$1:$B$996,Insumos!$D$1:$D$996),"")</f>
        <v/>
      </c>
      <c r="H4229" s="338">
        <v>1888.9749999999999</v>
      </c>
      <c r="I4229" s="339">
        <v>0</v>
      </c>
      <c r="J4229" s="339">
        <v>0</v>
      </c>
      <c r="K4229" s="339"/>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77">
        <v>1</v>
      </c>
      <c r="B4230" s="77" t="s">
        <v>70</v>
      </c>
      <c r="C4230" s="77" t="s">
        <v>1905</v>
      </c>
      <c r="D4230" s="77" t="s">
        <v>1890</v>
      </c>
      <c r="E4230" s="11" t="str">
        <f t="array" ref="E4230">_xlfn.XLOOKUP(D4230,Insumos!B:B,Insumos!C:$C)</f>
        <v>M2</v>
      </c>
      <c r="F4230" s="81">
        <v>1</v>
      </c>
      <c r="G4230" s="87">
        <f t="array" ref="G4230">IF(B4230="insumo",_xlfn.XLOOKUP($D4230,Insumos!$B$1:$B$996,Insumos!$D$1:$D$996),"")</f>
        <v>1833.9750000000001</v>
      </c>
      <c r="H4230" s="87">
        <v>1833.9749999999999</v>
      </c>
      <c r="I4230" s="79">
        <v>0</v>
      </c>
      <c r="J4230" s="79">
        <v>0</v>
      </c>
      <c r="K4230" s="79"/>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77">
        <v>24</v>
      </c>
      <c r="B4231" s="77" t="s">
        <v>70</v>
      </c>
      <c r="C4231" s="77" t="s">
        <v>1905</v>
      </c>
      <c r="D4231" s="77" t="s">
        <v>807</v>
      </c>
      <c r="E4231" s="11" t="str">
        <f t="array" ref="E4231">_xlfn.XLOOKUP(D4231,Insumos!B:B,Insumos!C:$C)</f>
        <v>un</v>
      </c>
      <c r="F4231" s="81">
        <v>1</v>
      </c>
      <c r="G4231" s="87">
        <f t="array" ref="G4231">IF(B4231="insumo",_xlfn.XLOOKUP($D4231,Insumos!$B$1:$B$996,Insumos!$D$1:$D$996),"")</f>
        <v>55</v>
      </c>
      <c r="H4231" s="87">
        <v>55</v>
      </c>
      <c r="I4231" s="79">
        <v>0</v>
      </c>
      <c r="J4231" s="79">
        <v>0</v>
      </c>
      <c r="K4231" s="79"/>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336">
        <v>1</v>
      </c>
      <c r="B4232" s="336" t="s">
        <v>67</v>
      </c>
      <c r="C4232" s="336" t="s">
        <v>1906</v>
      </c>
      <c r="D4232" s="336" t="s">
        <v>1906</v>
      </c>
      <c r="E4232" s="337" t="s">
        <v>69</v>
      </c>
      <c r="F4232" s="336"/>
      <c r="G4232" s="338" t="str">
        <f t="array" ref="G4232">IF(B4232="insumo",_xlfn.XLOOKUP($D4232,Insumos!$B$1:$B$996,Insumos!$D$1:$D$996),"")</f>
        <v/>
      </c>
      <c r="H4232" s="338">
        <v>2092.75</v>
      </c>
      <c r="I4232" s="339">
        <v>0</v>
      </c>
      <c r="J4232" s="339">
        <v>0</v>
      </c>
      <c r="K4232" s="339"/>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77">
        <v>1</v>
      </c>
      <c r="B4233" s="77" t="s">
        <v>70</v>
      </c>
      <c r="C4233" s="77" t="s">
        <v>1906</v>
      </c>
      <c r="D4233" s="77" t="s">
        <v>1891</v>
      </c>
      <c r="E4233" s="11" t="str">
        <f t="array" ref="E4233">_xlfn.XLOOKUP(D4233,Insumos!B:B,Insumos!C:$C)</f>
        <v>M2</v>
      </c>
      <c r="F4233" s="81">
        <v>1</v>
      </c>
      <c r="G4233" s="87">
        <f t="array" ref="G4233">IF(B4233="insumo",_xlfn.XLOOKUP($D4233,Insumos!$B$1:$B$996,Insumos!$D$1:$D$996),"")</f>
        <v>2037.75</v>
      </c>
      <c r="H4233" s="87">
        <v>2037.75</v>
      </c>
      <c r="I4233" s="79">
        <v>0</v>
      </c>
      <c r="J4233" s="79">
        <v>0</v>
      </c>
      <c r="K4233" s="79"/>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77">
        <v>24</v>
      </c>
      <c r="B4234" s="77" t="s">
        <v>70</v>
      </c>
      <c r="C4234" s="77" t="s">
        <v>1906</v>
      </c>
      <c r="D4234" s="77" t="s">
        <v>807</v>
      </c>
      <c r="E4234" s="11" t="str">
        <f t="array" ref="E4234">_xlfn.XLOOKUP(D4234,Insumos!B:B,Insumos!C:$C)</f>
        <v>un</v>
      </c>
      <c r="F4234" s="81">
        <v>1</v>
      </c>
      <c r="G4234" s="87">
        <f t="array" ref="G4234">IF(B4234="insumo",_xlfn.XLOOKUP($D4234,Insumos!$B$1:$B$996,Insumos!$D$1:$D$996),"")</f>
        <v>55</v>
      </c>
      <c r="H4234" s="87">
        <v>55</v>
      </c>
      <c r="I4234" s="79">
        <v>0</v>
      </c>
      <c r="J4234" s="79">
        <v>0</v>
      </c>
      <c r="K4234" s="79"/>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355">
        <v>1</v>
      </c>
      <c r="B4235" s="355" t="s">
        <v>1227</v>
      </c>
      <c r="C4235" s="355" t="s">
        <v>1906</v>
      </c>
      <c r="D4235" s="355" t="s">
        <v>1511</v>
      </c>
      <c r="E4235" s="356"/>
      <c r="F4235" s="357"/>
      <c r="G4235" s="356"/>
      <c r="H4235" s="356">
        <v>0</v>
      </c>
      <c r="I4235" s="357">
        <v>0</v>
      </c>
      <c r="J4235" s="357">
        <v>0</v>
      </c>
      <c r="K4235" s="357"/>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332">
        <v>1</v>
      </c>
      <c r="B4236" s="332" t="s">
        <v>67</v>
      </c>
      <c r="C4236" s="332" t="s">
        <v>832</v>
      </c>
      <c r="D4236" s="332" t="s">
        <v>832</v>
      </c>
      <c r="E4236" s="333" t="s">
        <v>69</v>
      </c>
      <c r="F4236" s="332"/>
      <c r="G4236" s="334" t="str">
        <f t="array" ref="G4236">IF(B4236="insumo",_xlfn.XLOOKUP($D4236,Insumos!$B$1:$B$996,Insumos!$D$1:$D$996),"")</f>
        <v/>
      </c>
      <c r="H4236" s="334">
        <v>1291.6400000000001</v>
      </c>
      <c r="I4236" s="335">
        <v>41</v>
      </c>
      <c r="J4236" s="335">
        <v>52957.24</v>
      </c>
      <c r="K4236" s="335"/>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70</v>
      </c>
      <c r="C4237" s="10" t="s">
        <v>832</v>
      </c>
      <c r="D4237" s="10" t="s">
        <v>833</v>
      </c>
      <c r="E4237" s="11" t="str">
        <f t="array" ref="E4237">_xlfn.XLOOKUP(D4237,Insumos!B:B,Insumos!C:$C)</f>
        <v>un</v>
      </c>
      <c r="F4237" s="14">
        <v>1</v>
      </c>
      <c r="G4237" s="87">
        <f t="array" ref="G4237">IF(B4237="insumo",_xlfn.XLOOKUP($D4237,Insumos!$B$1:$B$996,Insumos!$D$1:$D$996),"")</f>
        <v>1291.6400000000001</v>
      </c>
      <c r="H4237" s="87">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332">
        <v>1</v>
      </c>
      <c r="B4238" s="332" t="s">
        <v>67</v>
      </c>
      <c r="C4238" s="332" t="s">
        <v>834</v>
      </c>
      <c r="D4238" s="332" t="s">
        <v>834</v>
      </c>
      <c r="E4238" s="333" t="s">
        <v>69</v>
      </c>
      <c r="F4238" s="332"/>
      <c r="G4238" s="334" t="str">
        <f t="array" ref="G4238">IF(B4238="insumo",_xlfn.XLOOKUP($D4238,Insumos!$B$1:$B$996,Insumos!$D$1:$D$996),"")</f>
        <v/>
      </c>
      <c r="H4238" s="334">
        <v>232.46</v>
      </c>
      <c r="I4238" s="335">
        <v>0</v>
      </c>
      <c r="J4238" s="335">
        <v>0</v>
      </c>
      <c r="K4238" s="335"/>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70</v>
      </c>
      <c r="C4239" s="10" t="s">
        <v>834</v>
      </c>
      <c r="D4239" s="10" t="s">
        <v>835</v>
      </c>
      <c r="E4239" s="11" t="str">
        <f t="array" ref="E4239">_xlfn.XLOOKUP(D4239,Insumos!B:B,Insumos!C:$C)</f>
        <v>un</v>
      </c>
      <c r="F4239" s="14">
        <v>1</v>
      </c>
      <c r="G4239" s="87">
        <f t="array" ref="G4239">IF(B4239="insumo",_xlfn.XLOOKUP($D4239,Insumos!$B$1:$B$996,Insumos!$D$1:$D$996),"")</f>
        <v>232.46</v>
      </c>
      <c r="H4239" s="87">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332">
        <v>1</v>
      </c>
      <c r="B4240" s="332" t="s">
        <v>67</v>
      </c>
      <c r="C4240" s="332" t="s">
        <v>1577</v>
      </c>
      <c r="D4240" s="332" t="s">
        <v>1577</v>
      </c>
      <c r="E4240" s="333" t="s">
        <v>69</v>
      </c>
      <c r="F4240" s="332"/>
      <c r="G4240" s="334" t="str">
        <f t="array" ref="G4240">IF(B4240="insumo",_xlfn.XLOOKUP($D4240,Insumos!$B$1:$B$996,Insumos!$D$1:$D$996),"")</f>
        <v/>
      </c>
      <c r="H4240" s="334">
        <v>912.26415533980605</v>
      </c>
      <c r="I4240" s="335">
        <v>0</v>
      </c>
      <c r="J4240" s="335">
        <v>0</v>
      </c>
      <c r="K4240" s="335"/>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70</v>
      </c>
      <c r="C4241" s="10" t="s">
        <v>1577</v>
      </c>
      <c r="D4241" s="10" t="s">
        <v>1577</v>
      </c>
      <c r="E4241" s="11" t="str">
        <f t="array" ref="E4241">_xlfn.XLOOKUP(D4241,Insumos!B:B,Insumos!C:$C)</f>
        <v>un</v>
      </c>
      <c r="F4241" s="14">
        <v>1</v>
      </c>
      <c r="G4241" s="87">
        <f t="array" ref="G4241">IF(B4241="insumo",_xlfn.XLOOKUP($D4241,Insumos!$B$1:$B$996,Insumos!$D$1:$D$996),"")</f>
        <v>912.26415533980582</v>
      </c>
      <c r="H4241" s="87">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355">
        <v>1</v>
      </c>
      <c r="B4242" s="355" t="s">
        <v>1227</v>
      </c>
      <c r="C4242" s="355" t="s">
        <v>1577</v>
      </c>
      <c r="D4242" s="355" t="s">
        <v>1512</v>
      </c>
      <c r="E4242" s="356"/>
      <c r="F4242" s="357"/>
      <c r="G4242" s="356"/>
      <c r="H4242" s="356">
        <v>0</v>
      </c>
      <c r="I4242" s="357">
        <v>0</v>
      </c>
      <c r="J4242" s="357">
        <v>0</v>
      </c>
      <c r="K4242" s="357"/>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332">
        <v>1</v>
      </c>
      <c r="B4243" s="332" t="s">
        <v>67</v>
      </c>
      <c r="C4243" s="332" t="s">
        <v>836</v>
      </c>
      <c r="D4243" s="332" t="s">
        <v>836</v>
      </c>
      <c r="E4243" s="333" t="s">
        <v>69</v>
      </c>
      <c r="F4243" s="332"/>
      <c r="G4243" s="334" t="str">
        <f t="array" ref="G4243">IF(B4243="insumo",_xlfn.XLOOKUP($D4243,Insumos!$B$1:$B$996,Insumos!$D$1:$D$996),"")</f>
        <v/>
      </c>
      <c r="H4243" s="334">
        <v>1100</v>
      </c>
      <c r="I4243" s="335">
        <v>67</v>
      </c>
      <c r="J4243" s="335">
        <v>73700</v>
      </c>
      <c r="K4243" s="335"/>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70</v>
      </c>
      <c r="C4244" s="10" t="s">
        <v>836</v>
      </c>
      <c r="D4244" s="10" t="s">
        <v>836</v>
      </c>
      <c r="E4244" s="11" t="str">
        <f t="array" ref="E4244">_xlfn.XLOOKUP(D4244,Insumos!B:B,Insumos!C:$C)</f>
        <v>un</v>
      </c>
      <c r="F4244" s="14">
        <v>1</v>
      </c>
      <c r="G4244" s="87">
        <f t="array" ref="G4244">IF(B4244="insumo",_xlfn.XLOOKUP($D4244,Insumos!$B$1:$B$996,Insumos!$D$1:$D$996),"")</f>
        <v>1100</v>
      </c>
      <c r="H4244" s="87">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336">
        <v>1</v>
      </c>
      <c r="B4245" s="336" t="s">
        <v>67</v>
      </c>
      <c r="C4245" s="336" t="s">
        <v>1892</v>
      </c>
      <c r="D4245" s="336" t="s">
        <v>1892</v>
      </c>
      <c r="E4245" s="337" t="s">
        <v>69</v>
      </c>
      <c r="F4245" s="336"/>
      <c r="G4245" s="338" t="str">
        <f t="array" ref="G4245">IF(B4245="insumo",_xlfn.XLOOKUP($D4245,Insumos!$B$1:$B$996,Insumos!$D$1:$D$996),"")</f>
        <v/>
      </c>
      <c r="H4245" s="338">
        <v>1237.5</v>
      </c>
      <c r="I4245" s="339">
        <v>25</v>
      </c>
      <c r="J4245" s="339">
        <v>30937.5</v>
      </c>
      <c r="K4245" s="339"/>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77">
        <v>1</v>
      </c>
      <c r="B4246" s="77" t="s">
        <v>70</v>
      </c>
      <c r="C4246" s="77" t="s">
        <v>1892</v>
      </c>
      <c r="D4246" s="77" t="s">
        <v>1892</v>
      </c>
      <c r="E4246" s="11" t="str">
        <f t="array" ref="E4246">_xlfn.XLOOKUP(D4246,Insumos!B:B,Insumos!C:$C)</f>
        <v>un</v>
      </c>
      <c r="F4246" s="81">
        <v>1</v>
      </c>
      <c r="G4246" s="87">
        <f t="array" ref="G4246">IF(B4246="insumo",_xlfn.XLOOKUP($D4246,Insumos!$B$1:$B$996,Insumos!$D$1:$D$996),"")</f>
        <v>1237.5</v>
      </c>
      <c r="H4246" s="87">
        <v>1237.5</v>
      </c>
      <c r="I4246" s="79">
        <v>25</v>
      </c>
      <c r="J4246" s="79">
        <v>30937.5</v>
      </c>
      <c r="K4246" s="79"/>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336">
        <v>1</v>
      </c>
      <c r="B4247" s="336" t="s">
        <v>67</v>
      </c>
      <c r="C4247" s="336" t="s">
        <v>1893</v>
      </c>
      <c r="D4247" s="336" t="s">
        <v>1893</v>
      </c>
      <c r="E4247" s="337" t="s">
        <v>69</v>
      </c>
      <c r="F4247" s="336"/>
      <c r="G4247" s="338" t="str">
        <f t="array" ref="G4247">IF(B4247="insumo",_xlfn.XLOOKUP($D4247,Insumos!$B$1:$B$996,Insumos!$D$1:$D$996),"")</f>
        <v/>
      </c>
      <c r="H4247" s="338">
        <v>2530</v>
      </c>
      <c r="I4247" s="339">
        <v>0</v>
      </c>
      <c r="J4247" s="339">
        <v>0</v>
      </c>
      <c r="K4247" s="339"/>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77">
        <v>1</v>
      </c>
      <c r="B4248" s="77" t="s">
        <v>70</v>
      </c>
      <c r="C4248" s="77" t="s">
        <v>1893</v>
      </c>
      <c r="D4248" s="77" t="s">
        <v>1893</v>
      </c>
      <c r="E4248" s="11" t="str">
        <f t="array" ref="E4248">_xlfn.XLOOKUP(D4248,Insumos!B:B,Insumos!C:$C)</f>
        <v>un</v>
      </c>
      <c r="F4248" s="81">
        <v>1</v>
      </c>
      <c r="G4248" s="87">
        <f t="array" ref="G4248">IF(B4248="insumo",_xlfn.XLOOKUP($D4248,Insumos!$B$1:$B$996,Insumos!$D$1:$D$996),"")</f>
        <v>2530</v>
      </c>
      <c r="H4248" s="87">
        <v>2530</v>
      </c>
      <c r="I4248" s="79">
        <v>0</v>
      </c>
      <c r="J4248" s="79">
        <v>0</v>
      </c>
      <c r="K4248" s="79"/>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332">
        <v>1</v>
      </c>
      <c r="B4249" s="332" t="s">
        <v>67</v>
      </c>
      <c r="C4249" s="332" t="s">
        <v>841</v>
      </c>
      <c r="D4249" s="332" t="s">
        <v>841</v>
      </c>
      <c r="E4249" s="333" t="s">
        <v>69</v>
      </c>
      <c r="F4249" s="332"/>
      <c r="G4249" s="334" t="str">
        <f t="array" ref="G4249">IF(B4249="insumo",_xlfn.XLOOKUP($D4249,Insumos!$B$1:$B$996,Insumos!$D$1:$D$996),"")</f>
        <v/>
      </c>
      <c r="H4249" s="334">
        <v>1089.6084620689701</v>
      </c>
      <c r="I4249" s="335">
        <v>0</v>
      </c>
      <c r="J4249" s="335">
        <v>0</v>
      </c>
      <c r="K4249" s="335"/>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70</v>
      </c>
      <c r="C4250" s="10" t="s">
        <v>841</v>
      </c>
      <c r="D4250" s="10" t="s">
        <v>841</v>
      </c>
      <c r="E4250" s="11" t="str">
        <f t="array" ref="E4250">_xlfn.XLOOKUP(D4250,Insumos!B:B,Insumos!C:$C)</f>
        <v>un</v>
      </c>
      <c r="F4250" s="14">
        <v>1</v>
      </c>
      <c r="G4250" s="87">
        <f t="array" ref="G4250">IF(B4250="insumo",_xlfn.XLOOKUP($D4250,Insumos!$B$1:$B$996,Insumos!$D$1:$D$996),"")</f>
        <v>1089.6084620689658</v>
      </c>
      <c r="H4250" s="87">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332">
        <v>1</v>
      </c>
      <c r="B4251" s="332" t="s">
        <v>67</v>
      </c>
      <c r="C4251" s="332" t="s">
        <v>1524</v>
      </c>
      <c r="D4251" s="332" t="s">
        <v>1524</v>
      </c>
      <c r="E4251" s="333" t="s">
        <v>69</v>
      </c>
      <c r="F4251" s="332"/>
      <c r="G4251" s="334" t="str">
        <f t="array" ref="G4251">IF(B4251="insumo",_xlfn.XLOOKUP($D4251,Insumos!$B$1:$B$996,Insumos!$D$1:$D$996),"")</f>
        <v/>
      </c>
      <c r="H4251" s="334">
        <v>3729.34</v>
      </c>
      <c r="I4251" s="335">
        <v>0</v>
      </c>
      <c r="J4251" s="335">
        <v>0</v>
      </c>
      <c r="K4251" s="335"/>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70</v>
      </c>
      <c r="C4252" s="10" t="s">
        <v>1524</v>
      </c>
      <c r="D4252" s="10" t="s">
        <v>1524</v>
      </c>
      <c r="E4252" s="11" t="str">
        <f t="array" ref="E4252">_xlfn.XLOOKUP(D4252,Insumos!B:B,Insumos!C:$C)</f>
        <v>un</v>
      </c>
      <c r="F4252" s="14">
        <v>1</v>
      </c>
      <c r="G4252" s="87">
        <f t="array" ref="G4252">IF(B4252="insumo",_xlfn.XLOOKUP($D4252,Insumos!$B$1:$B$996,Insumos!$D$1:$D$996),"")</f>
        <v>3729.34</v>
      </c>
      <c r="H4252" s="87">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332">
        <v>1</v>
      </c>
      <c r="B4253" s="332" t="s">
        <v>67</v>
      </c>
      <c r="C4253" s="332" t="s">
        <v>1525</v>
      </c>
      <c r="D4253" s="332" t="s">
        <v>1525</v>
      </c>
      <c r="E4253" s="333" t="s">
        <v>69</v>
      </c>
      <c r="F4253" s="332"/>
      <c r="G4253" s="334" t="str">
        <f t="array" ref="G4253">IF(B4253="insumo",_xlfn.XLOOKUP($D4253,Insumos!$B$1:$B$996,Insumos!$D$1:$D$996),"")</f>
        <v/>
      </c>
      <c r="H4253" s="334">
        <v>3523.56</v>
      </c>
      <c r="I4253" s="335">
        <v>0</v>
      </c>
      <c r="J4253" s="335">
        <v>0</v>
      </c>
      <c r="K4253" s="335"/>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70</v>
      </c>
      <c r="C4254" s="10" t="s">
        <v>1525</v>
      </c>
      <c r="D4254" s="10" t="s">
        <v>1525</v>
      </c>
      <c r="E4254" s="11" t="str">
        <f t="array" ref="E4254">_xlfn.XLOOKUP(D4254,Insumos!B:B,Insumos!C:$C)</f>
        <v>un</v>
      </c>
      <c r="F4254" s="14">
        <v>1</v>
      </c>
      <c r="G4254" s="87">
        <f t="array" ref="G4254">IF(B4254="insumo",_xlfn.XLOOKUP($D4254,Insumos!$B$1:$B$996,Insumos!$D$1:$D$996),"")</f>
        <v>3523.56</v>
      </c>
      <c r="H4254" s="87">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332">
        <v>1</v>
      </c>
      <c r="B4255" s="332" t="s">
        <v>67</v>
      </c>
      <c r="C4255" s="332" t="s">
        <v>1526</v>
      </c>
      <c r="D4255" s="332" t="s">
        <v>1526</v>
      </c>
      <c r="E4255" s="333" t="s">
        <v>69</v>
      </c>
      <c r="F4255" s="332"/>
      <c r="G4255" s="334" t="str">
        <f t="array" ref="G4255">IF(B4255="insumo",_xlfn.XLOOKUP($D4255,Insumos!$B$1:$B$996,Insumos!$D$1:$D$996),"")</f>
        <v/>
      </c>
      <c r="H4255" s="334">
        <v>1754.88</v>
      </c>
      <c r="I4255" s="335">
        <v>0</v>
      </c>
      <c r="J4255" s="335">
        <v>0</v>
      </c>
      <c r="K4255" s="335"/>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70</v>
      </c>
      <c r="C4256" s="10" t="s">
        <v>1526</v>
      </c>
      <c r="D4256" s="10" t="s">
        <v>1526</v>
      </c>
      <c r="E4256" s="11" t="str">
        <f t="array" ref="E4256">_xlfn.XLOOKUP(D4256,Insumos!B:B,Insumos!C:$C)</f>
        <v>un</v>
      </c>
      <c r="F4256" s="14">
        <v>1</v>
      </c>
      <c r="G4256" s="87">
        <f t="array" ref="G4256">IF(B4256="insumo",_xlfn.XLOOKUP($D4256,Insumos!$B$1:$B$996,Insumos!$D$1:$D$996),"")</f>
        <v>1754.88</v>
      </c>
      <c r="H4256" s="87">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332">
        <v>1</v>
      </c>
      <c r="B4257" s="332" t="s">
        <v>67</v>
      </c>
      <c r="C4257" s="332" t="s">
        <v>1527</v>
      </c>
      <c r="D4257" s="332" t="s">
        <v>1527</v>
      </c>
      <c r="E4257" s="333" t="s">
        <v>69</v>
      </c>
      <c r="F4257" s="332"/>
      <c r="G4257" s="334" t="str">
        <f t="array" ref="G4257">IF(B4257="insumo",_xlfn.XLOOKUP($D4257,Insumos!$B$1:$B$996,Insumos!$D$1:$D$996),"")</f>
        <v/>
      </c>
      <c r="H4257" s="334">
        <v>1754.88</v>
      </c>
      <c r="I4257" s="335">
        <v>0</v>
      </c>
      <c r="J4257" s="335">
        <v>0</v>
      </c>
      <c r="K4257" s="335"/>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70</v>
      </c>
      <c r="C4258" s="10" t="s">
        <v>1527</v>
      </c>
      <c r="D4258" s="10" t="s">
        <v>1527</v>
      </c>
      <c r="E4258" s="11" t="str">
        <f t="array" ref="E4258">_xlfn.XLOOKUP(D4258,Insumos!B:B,Insumos!C:$C)</f>
        <v>un</v>
      </c>
      <c r="F4258" s="14">
        <v>1</v>
      </c>
      <c r="G4258" s="87">
        <f t="array" ref="G4258">IF(B4258="insumo",_xlfn.XLOOKUP($D4258,Insumos!$B$1:$B$996,Insumos!$D$1:$D$996),"")</f>
        <v>1754.88</v>
      </c>
      <c r="H4258" s="87">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332">
        <v>1</v>
      </c>
      <c r="B4259" s="332" t="s">
        <v>67</v>
      </c>
      <c r="C4259" s="332" t="s">
        <v>840</v>
      </c>
      <c r="D4259" s="332" t="s">
        <v>840</v>
      </c>
      <c r="E4259" s="333" t="s">
        <v>69</v>
      </c>
      <c r="F4259" s="332"/>
      <c r="G4259" s="334" t="str">
        <f t="array" ref="G4259">IF(B4259="insumo",_xlfn.XLOOKUP($D4259,Insumos!$B$1:$B$996,Insumos!$D$1:$D$996),"")</f>
        <v/>
      </c>
      <c r="H4259" s="334">
        <v>2968</v>
      </c>
      <c r="I4259" s="335">
        <v>0</v>
      </c>
      <c r="J4259" s="335">
        <v>0</v>
      </c>
      <c r="K4259" s="335"/>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70</v>
      </c>
      <c r="C4260" s="10" t="s">
        <v>840</v>
      </c>
      <c r="D4260" s="10" t="s">
        <v>840</v>
      </c>
      <c r="E4260" s="11" t="str">
        <f t="array" ref="E4260">_xlfn.XLOOKUP(D4260,Insumos!B:B,Insumos!C:$C)</f>
        <v>un</v>
      </c>
      <c r="F4260" s="14">
        <v>1</v>
      </c>
      <c r="G4260" s="87">
        <f t="array" ref="G4260">IF(B4260="insumo",_xlfn.XLOOKUP($D4260,Insumos!$B$1:$B$996,Insumos!$D$1:$D$996),"")</f>
        <v>2968</v>
      </c>
      <c r="H4260" s="87">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355">
        <v>1</v>
      </c>
      <c r="B4261" s="355" t="s">
        <v>1227</v>
      </c>
      <c r="C4261" s="355" t="s">
        <v>840</v>
      </c>
      <c r="D4261" s="355" t="s">
        <v>1513</v>
      </c>
      <c r="E4261" s="356"/>
      <c r="F4261" s="357"/>
      <c r="G4261" s="356"/>
      <c r="H4261" s="356">
        <v>0</v>
      </c>
      <c r="I4261" s="357">
        <v>0</v>
      </c>
      <c r="J4261" s="357">
        <v>0</v>
      </c>
      <c r="K4261" s="357"/>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332">
        <v>1</v>
      </c>
      <c r="B4262" s="332" t="s">
        <v>67</v>
      </c>
      <c r="C4262" s="332" t="s">
        <v>842</v>
      </c>
      <c r="D4262" s="332" t="s">
        <v>842</v>
      </c>
      <c r="E4262" s="333" t="s">
        <v>69</v>
      </c>
      <c r="F4262" s="332"/>
      <c r="G4262" s="334" t="str">
        <f t="array" ref="G4262">IF(B4262="insumo",_xlfn.XLOOKUP($D4262,Insumos!$B$1:$B$996,Insumos!$D$1:$D$996),"")</f>
        <v/>
      </c>
      <c r="H4262" s="334">
        <v>2405</v>
      </c>
      <c r="I4262" s="335">
        <v>1</v>
      </c>
      <c r="J4262" s="335">
        <v>2405</v>
      </c>
      <c r="K4262" s="335"/>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70</v>
      </c>
      <c r="C4263" s="10" t="s">
        <v>842</v>
      </c>
      <c r="D4263" s="10" t="s">
        <v>842</v>
      </c>
      <c r="E4263" s="11" t="str">
        <f t="array" ref="E4263">_xlfn.XLOOKUP(D4263,Insumos!B:B,Insumos!C:$C)</f>
        <v>un</v>
      </c>
      <c r="F4263" s="14">
        <v>1</v>
      </c>
      <c r="G4263" s="87">
        <f t="array" ref="G4263">IF(B4263="insumo",_xlfn.XLOOKUP($D4263,Insumos!$B$1:$B$996,Insumos!$D$1:$D$996),"")</f>
        <v>2405</v>
      </c>
      <c r="H4263" s="87">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336">
        <v>1</v>
      </c>
      <c r="B4264" s="336" t="s">
        <v>67</v>
      </c>
      <c r="C4264" s="336" t="s">
        <v>1880</v>
      </c>
      <c r="D4264" s="336" t="s">
        <v>1880</v>
      </c>
      <c r="E4264" s="337" t="s">
        <v>69</v>
      </c>
      <c r="F4264" s="336"/>
      <c r="G4264" s="338" t="str">
        <f t="array" ref="G4264">IF(B4264="insumo",_xlfn.XLOOKUP($D4264,Insumos!$B$1:$B$996,Insumos!$D$1:$D$996),"")</f>
        <v/>
      </c>
      <c r="H4264" s="338">
        <v>600</v>
      </c>
      <c r="I4264" s="339">
        <v>0</v>
      </c>
      <c r="J4264" s="339">
        <v>0</v>
      </c>
      <c r="K4264" s="339"/>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77">
        <v>1</v>
      </c>
      <c r="B4265" s="77" t="s">
        <v>70</v>
      </c>
      <c r="C4265" s="77" t="s">
        <v>1880</v>
      </c>
      <c r="D4265" s="77" t="s">
        <v>1880</v>
      </c>
      <c r="E4265" s="11" t="str">
        <f t="array" ref="E4265">_xlfn.XLOOKUP(D4265,Insumos!B:B,Insumos!C:$C)</f>
        <v>M2</v>
      </c>
      <c r="F4265" s="81">
        <v>1</v>
      </c>
      <c r="G4265" s="87">
        <f t="array" ref="G4265">IF(B4265="insumo",_xlfn.XLOOKUP($D4265,Insumos!$B$1:$B$996,Insumos!$D$1:$D$996),"")</f>
        <v>600</v>
      </c>
      <c r="H4265" s="87">
        <v>600</v>
      </c>
      <c r="I4265" s="79">
        <v>0</v>
      </c>
      <c r="J4265" s="79">
        <v>0</v>
      </c>
      <c r="K4265" s="79"/>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336">
        <v>1</v>
      </c>
      <c r="B4266" s="336" t="s">
        <v>67</v>
      </c>
      <c r="C4266" s="336" t="s">
        <v>2708</v>
      </c>
      <c r="D4266" s="336" t="s">
        <v>2708</v>
      </c>
      <c r="E4266" s="337" t="s">
        <v>69</v>
      </c>
      <c r="F4266" s="336"/>
      <c r="G4266" s="338" t="str">
        <f t="array" ref="G4266">IF(B4266="insumo",_xlfn.XLOOKUP($D4266,Insumos!$B$1:$B$996,Insumos!$D$1:$D$996),"")</f>
        <v/>
      </c>
      <c r="H4266" s="338">
        <v>1240</v>
      </c>
      <c r="I4266" s="339" t="e">
        <v>#REF!</v>
      </c>
      <c r="J4266" s="339" t="e">
        <v>#REF!</v>
      </c>
      <c r="K4266" s="339"/>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77">
        <v>1</v>
      </c>
      <c r="B4267" s="77" t="s">
        <v>70</v>
      </c>
      <c r="C4267" s="77" t="s">
        <v>2708</v>
      </c>
      <c r="D4267" s="77" t="s">
        <v>2708</v>
      </c>
      <c r="E4267" s="11" t="str">
        <f t="array" ref="E4267">_xlfn.XLOOKUP(D4267,Insumos!B:B,Insumos!C:$C)</f>
        <v>M2</v>
      </c>
      <c r="F4267" s="81">
        <v>1</v>
      </c>
      <c r="G4267" s="87">
        <f t="array" ref="G4267">IF(B4267="insumo",_xlfn.XLOOKUP($D4267,Insumos!$B$1:$B$996,Insumos!$D$1:$D$996),"")</f>
        <v>1240</v>
      </c>
      <c r="H4267" s="87">
        <v>1240</v>
      </c>
      <c r="I4267" s="79" t="e">
        <v>#REF!</v>
      </c>
      <c r="J4267" s="79" t="e">
        <v>#REF!</v>
      </c>
      <c r="K4267" s="79"/>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332">
        <v>1</v>
      </c>
      <c r="B4268" s="332" t="s">
        <v>67</v>
      </c>
      <c r="C4268" s="332" t="s">
        <v>843</v>
      </c>
      <c r="D4268" s="332" t="s">
        <v>843</v>
      </c>
      <c r="E4268" s="333" t="s">
        <v>69</v>
      </c>
      <c r="F4268" s="332"/>
      <c r="G4268" s="334" t="str">
        <f t="array" ref="G4268">IF(B4268="insumo",_xlfn.XLOOKUP($D4268,Insumos!$B$1:$B$996,Insumos!$D$1:$D$996),"")</f>
        <v/>
      </c>
      <c r="H4268" s="334">
        <v>6500</v>
      </c>
      <c r="I4268" s="335">
        <v>0</v>
      </c>
      <c r="J4268" s="335">
        <v>0</v>
      </c>
      <c r="K4268" s="335"/>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70</v>
      </c>
      <c r="C4269" s="10" t="s">
        <v>843</v>
      </c>
      <c r="D4269" s="10" t="s">
        <v>843</v>
      </c>
      <c r="E4269" s="11" t="str">
        <f t="array" ref="E4269">_xlfn.XLOOKUP(D4269,Insumos!B:B,Insumos!C:$C)</f>
        <v>un</v>
      </c>
      <c r="F4269" s="14">
        <v>1</v>
      </c>
      <c r="G4269" s="87">
        <f t="array" ref="G4269">IF(B4269="insumo",_xlfn.XLOOKUP($D4269,Insumos!$B$1:$B$996,Insumos!$D$1:$D$996),"")</f>
        <v>6500</v>
      </c>
      <c r="H4269" s="87">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332">
        <v>1</v>
      </c>
      <c r="B4270" s="332" t="s">
        <v>67</v>
      </c>
      <c r="C4270" s="332" t="s">
        <v>1528</v>
      </c>
      <c r="D4270" s="332" t="s">
        <v>1528</v>
      </c>
      <c r="E4270" s="333" t="s">
        <v>69</v>
      </c>
      <c r="F4270" s="332"/>
      <c r="G4270" s="334" t="str">
        <f t="array" ref="G4270">IF(B4270="insumo",_xlfn.XLOOKUP($D4270,Insumos!$B$1:$B$996,Insumos!$D$1:$D$996),"")</f>
        <v/>
      </c>
      <c r="H4270" s="334">
        <v>568.92672413793105</v>
      </c>
      <c r="I4270" s="335">
        <v>0</v>
      </c>
      <c r="J4270" s="335">
        <v>0</v>
      </c>
      <c r="K4270" s="335"/>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70</v>
      </c>
      <c r="C4271" s="10" t="s">
        <v>1528</v>
      </c>
      <c r="D4271" s="10" t="s">
        <v>636</v>
      </c>
      <c r="E4271" s="11" t="str">
        <f t="array" ref="E4271">_xlfn.XLOOKUP(D4271,Insumos!B:B,Insumos!C:$C)</f>
        <v>M2</v>
      </c>
      <c r="F4271" s="14">
        <v>1</v>
      </c>
      <c r="G4271" s="87">
        <f t="array" ref="G4271">IF(B4271="insumo",_xlfn.XLOOKUP($D4271,Insumos!$B$1:$B$996,Insumos!$D$1:$D$996),"")</f>
        <v>568.92672413793116</v>
      </c>
      <c r="H4271" s="87">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355">
        <v>6</v>
      </c>
      <c r="B4272" s="355" t="s">
        <v>1227</v>
      </c>
      <c r="C4272" s="355" t="s">
        <v>1528</v>
      </c>
      <c r="D4272" s="355" t="s">
        <v>1423</v>
      </c>
      <c r="E4272" s="356"/>
      <c r="F4272" s="357"/>
      <c r="G4272" s="356"/>
      <c r="H4272" s="356">
        <v>0</v>
      </c>
      <c r="I4272" s="357">
        <v>0</v>
      </c>
      <c r="J4272" s="357">
        <v>0</v>
      </c>
      <c r="K4272" s="357"/>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332">
        <v>1</v>
      </c>
      <c r="B4273" s="332" t="s">
        <v>67</v>
      </c>
      <c r="C4273" s="332" t="s">
        <v>844</v>
      </c>
      <c r="D4273" s="332" t="s">
        <v>844</v>
      </c>
      <c r="E4273" s="333" t="s">
        <v>69</v>
      </c>
      <c r="F4273" s="332"/>
      <c r="G4273" s="334" t="str">
        <f t="array" ref="G4273">IF(B4273="insumo",_xlfn.XLOOKUP($D4273,Insumos!$B$1:$B$996,Insumos!$D$1:$D$996),"")</f>
        <v/>
      </c>
      <c r="H4273" s="334">
        <v>300</v>
      </c>
      <c r="I4273" s="335">
        <v>92</v>
      </c>
      <c r="J4273" s="335">
        <v>27600</v>
      </c>
      <c r="K4273" s="335"/>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70</v>
      </c>
      <c r="C4274" s="10" t="s">
        <v>844</v>
      </c>
      <c r="D4274" s="10" t="s">
        <v>844</v>
      </c>
      <c r="E4274" s="11" t="str">
        <f t="array" ref="E4274">_xlfn.XLOOKUP(D4274,Insumos!B:B,Insumos!C:$C)</f>
        <v>un</v>
      </c>
      <c r="F4274" s="14">
        <v>1</v>
      </c>
      <c r="G4274" s="87">
        <f t="array" ref="G4274">IF(B4274="insumo",_xlfn.XLOOKUP($D4274,Insumos!$B$1:$B$996,Insumos!$D$1:$D$996),"")</f>
        <v>300</v>
      </c>
      <c r="H4274" s="87">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332">
        <v>1</v>
      </c>
      <c r="B4275" s="332" t="s">
        <v>67</v>
      </c>
      <c r="C4275" s="332" t="s">
        <v>845</v>
      </c>
      <c r="D4275" s="332" t="s">
        <v>845</v>
      </c>
      <c r="E4275" s="333" t="s">
        <v>69</v>
      </c>
      <c r="F4275" s="340"/>
      <c r="G4275" s="334" t="str">
        <f t="array" ref="G4275">IF(B4275="insumo",_xlfn.XLOOKUP($D4275,Insumos!$B$1:$B$996,Insumos!$D$1:$D$996),"")</f>
        <v/>
      </c>
      <c r="H4275" s="334">
        <v>300</v>
      </c>
      <c r="I4275" s="335">
        <v>432</v>
      </c>
      <c r="J4275" s="335">
        <v>129600</v>
      </c>
      <c r="K4275" s="335"/>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70</v>
      </c>
      <c r="C4276" s="10" t="s">
        <v>845</v>
      </c>
      <c r="D4276" s="10" t="s">
        <v>845</v>
      </c>
      <c r="E4276" s="11" t="str">
        <f t="array" ref="E4276">_xlfn.XLOOKUP(D4276,Insumos!B:B,Insumos!C:$C)</f>
        <v>UN</v>
      </c>
      <c r="F4276" s="14">
        <v>1</v>
      </c>
      <c r="G4276" s="87">
        <f t="array" ref="G4276">IF(B4276="insumo",_xlfn.XLOOKUP($D4276,Insumos!$B$1:$B$996,Insumos!$D$1:$D$996),"")</f>
        <v>300</v>
      </c>
      <c r="H4276" s="87">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65</v>
      </c>
      <c r="C4277" s="7" t="s">
        <v>845</v>
      </c>
      <c r="D4277" s="7" t="s">
        <v>846</v>
      </c>
      <c r="E4277" s="8"/>
      <c r="F4277" s="9"/>
      <c r="G4277" s="86" t="str">
        <f t="array" ref="G4277">IF(B4277="insumo",_xlfn.XLOOKUP($D4277,Insumos!$B$1:$B$996,Insumos!$D$1:$D$996),"")</f>
        <v/>
      </c>
      <c r="H4277" s="86">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355">
        <v>1</v>
      </c>
      <c r="B4278" s="355" t="s">
        <v>1227</v>
      </c>
      <c r="C4278" s="355" t="s">
        <v>845</v>
      </c>
      <c r="D4278" s="355" t="s">
        <v>1554</v>
      </c>
      <c r="E4278" s="356"/>
      <c r="F4278" s="357"/>
      <c r="G4278" s="356"/>
      <c r="H4278" s="356">
        <v>0</v>
      </c>
      <c r="I4278" s="357">
        <v>0</v>
      </c>
      <c r="J4278" s="357">
        <v>0</v>
      </c>
      <c r="K4278" s="357"/>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332">
        <v>1</v>
      </c>
      <c r="B4279" s="332" t="s">
        <v>67</v>
      </c>
      <c r="C4279" s="332" t="s">
        <v>1593</v>
      </c>
      <c r="D4279" s="332" t="s">
        <v>1593</v>
      </c>
      <c r="E4279" s="333" t="s">
        <v>69</v>
      </c>
      <c r="F4279" s="332"/>
      <c r="G4279" s="334" t="str">
        <f t="array" ref="G4279">IF(B4279="insumo",_xlfn.XLOOKUP($D4279,Insumos!$B$1:$B$996,Insumos!$D$1:$D$996),"")</f>
        <v/>
      </c>
      <c r="H4279" s="334">
        <v>3.1560233333333301</v>
      </c>
      <c r="I4279" s="335">
        <v>0</v>
      </c>
      <c r="J4279" s="335">
        <v>0</v>
      </c>
      <c r="K4279" s="335"/>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70</v>
      </c>
      <c r="C4280" s="10" t="s">
        <v>1593</v>
      </c>
      <c r="D4280" s="10" t="s">
        <v>444</v>
      </c>
      <c r="E4280" s="11" t="str">
        <f t="array" ref="E4280">_xlfn.XLOOKUP(D4280,Insumos!B:B,Insumos!C:$C)</f>
        <v>M3</v>
      </c>
      <c r="F4280" s="14">
        <v>5.5000000000000005E-3</v>
      </c>
      <c r="G4280" s="87">
        <f t="array" ref="G4280">IF(B4280="insumo",_xlfn.XLOOKUP($D4280,Insumos!$B$1:$B$996,Insumos!$D$1:$D$996),"")</f>
        <v>550</v>
      </c>
      <c r="H4280" s="87">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70</v>
      </c>
      <c r="C4281" s="10" t="s">
        <v>1593</v>
      </c>
      <c r="D4281" s="10" t="s">
        <v>502</v>
      </c>
      <c r="E4281" s="11" t="str">
        <f t="array" ref="E4281">_xlfn.XLOOKUP(D4281,Insumos!B:B,Insumos!C:$C)</f>
        <v>L</v>
      </c>
      <c r="F4281" s="14">
        <v>3.5000000000000005E-3</v>
      </c>
      <c r="G4281" s="87">
        <f t="array" ref="G4281">IF(B4281="insumo",_xlfn.XLOOKUP($D4281,Insumos!$B$1:$B$996,Insumos!$D$1:$D$996),"")</f>
        <v>19.34</v>
      </c>
      <c r="H4281" s="87">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70</v>
      </c>
      <c r="C4282" s="10" t="s">
        <v>1593</v>
      </c>
      <c r="D4282" s="10" t="s">
        <v>159</v>
      </c>
      <c r="E4282" s="11" t="str">
        <f t="array" ref="E4282">_xlfn.XLOOKUP(D4282,Insumos!B:B,Insumos!C:$C)</f>
        <v>KG</v>
      </c>
      <c r="F4282" s="14">
        <v>8.3333333333333343E-2</v>
      </c>
      <c r="G4282" s="87">
        <f t="array" ref="G4282">IF(B4282="insumo",_xlfn.XLOOKUP($D4282,Insumos!$B$1:$B$996,Insumos!$D$1:$D$996),"")</f>
        <v>0.76</v>
      </c>
      <c r="H4282" s="87">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332">
        <v>1</v>
      </c>
      <c r="B4283" s="332" t="s">
        <v>67</v>
      </c>
      <c r="C4283" s="332" t="s">
        <v>893</v>
      </c>
      <c r="D4283" s="332" t="s">
        <v>893</v>
      </c>
      <c r="E4283" s="333" t="s">
        <v>69</v>
      </c>
      <c r="F4283" s="332"/>
      <c r="G4283" s="334" t="str">
        <f t="array" ref="G4283">IF(B4283="insumo",_xlfn.XLOOKUP($D4283,Insumos!$B$1:$B$996,Insumos!$D$1:$D$996),"")</f>
        <v/>
      </c>
      <c r="H4283" s="334">
        <v>10.11778</v>
      </c>
      <c r="I4283" s="335" t="e">
        <v>#REF!</v>
      </c>
      <c r="J4283" s="335" t="e">
        <v>#REF!</v>
      </c>
      <c r="K4283" s="335"/>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70</v>
      </c>
      <c r="C4284" s="10" t="s">
        <v>893</v>
      </c>
      <c r="D4284" s="10" t="s">
        <v>480</v>
      </c>
      <c r="E4284" s="11" t="str">
        <f t="array" ref="E4284">_xlfn.XLOOKUP(D4284,Insumos!B:B,Insumos!C:$C)</f>
        <v>KG</v>
      </c>
      <c r="F4284" s="14">
        <v>6.34</v>
      </c>
      <c r="G4284" s="87">
        <f t="array" ref="G4284">IF(B4284="insumo",_xlfn.XLOOKUP($D4284,Insumos!$B$1:$B$996,Insumos!$D$1:$D$996),"")</f>
        <v>1.0645</v>
      </c>
      <c r="H4284" s="87">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70</v>
      </c>
      <c r="C4285" s="10" t="s">
        <v>893</v>
      </c>
      <c r="D4285" s="10" t="s">
        <v>482</v>
      </c>
      <c r="E4285" s="11" t="str">
        <f t="array" ref="E4285">_xlfn.XLOOKUP(D4285,Insumos!B:B,Insumos!C:$C)</f>
        <v>KG</v>
      </c>
      <c r="F4285" s="14">
        <v>0.3</v>
      </c>
      <c r="G4285" s="87">
        <f t="array" ref="G4285">IF(B4285="insumo",_xlfn.XLOOKUP($D4285,Insumos!$B$1:$B$996,Insumos!$D$1:$D$996),"")</f>
        <v>11.2295</v>
      </c>
      <c r="H4285" s="87">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332">
        <v>1</v>
      </c>
      <c r="B4286" s="332" t="s">
        <v>67</v>
      </c>
      <c r="C4286" s="332" t="s">
        <v>854</v>
      </c>
      <c r="D4286" s="332" t="s">
        <v>854</v>
      </c>
      <c r="E4286" s="333" t="s">
        <v>69</v>
      </c>
      <c r="F4286" s="332"/>
      <c r="G4286" s="334" t="str">
        <f t="array" ref="G4286">IF(B4286="insumo",_xlfn.XLOOKUP($D4286,Insumos!$B$1:$B$996,Insumos!$D$1:$D$996),"")</f>
        <v/>
      </c>
      <c r="H4286" s="334">
        <v>5.3224999999999998</v>
      </c>
      <c r="I4286" s="335">
        <v>0</v>
      </c>
      <c r="J4286" s="335">
        <v>0</v>
      </c>
      <c r="K4286" s="335"/>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70</v>
      </c>
      <c r="C4287" s="10" t="s">
        <v>854</v>
      </c>
      <c r="D4287" s="10" t="s">
        <v>480</v>
      </c>
      <c r="E4287" s="11" t="str">
        <f t="array" ref="E4287">_xlfn.XLOOKUP(D4287,Insumos!B:B,Insumos!C:$C)</f>
        <v>KG</v>
      </c>
      <c r="F4287" s="14">
        <v>5</v>
      </c>
      <c r="G4287" s="87">
        <f t="array" ref="G4287">IF(B4287="insumo",_xlfn.XLOOKUP($D4287,Insumos!$B$1:$B$996,Insumos!$D$1:$D$996),"")</f>
        <v>1.0645</v>
      </c>
      <c r="H4287" s="87">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332">
        <v>1</v>
      </c>
      <c r="B4288" s="332" t="s">
        <v>67</v>
      </c>
      <c r="C4288" s="332" t="s">
        <v>853</v>
      </c>
      <c r="D4288" s="332" t="s">
        <v>853</v>
      </c>
      <c r="E4288" s="333" t="s">
        <v>69</v>
      </c>
      <c r="F4288" s="332"/>
      <c r="G4288" s="334" t="str">
        <f t="array" ref="G4288">IF(B4288="insumo",_xlfn.XLOOKUP($D4288,Insumos!$B$1:$B$996,Insumos!$D$1:$D$996),"")</f>
        <v/>
      </c>
      <c r="H4288" s="334">
        <v>3.28945</v>
      </c>
      <c r="I4288" s="335" t="e">
        <v>#REF!</v>
      </c>
      <c r="J4288" s="335" t="e">
        <v>#REF!</v>
      </c>
      <c r="K4288" s="335"/>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70</v>
      </c>
      <c r="C4289" s="15" t="s">
        <v>853</v>
      </c>
      <c r="D4289" s="15" t="s">
        <v>491</v>
      </c>
      <c r="E4289" s="11" t="str">
        <f t="array" ref="E4289">_xlfn.XLOOKUP(D4289,Insumos!B:B,Insumos!C:$C)</f>
        <v>M3</v>
      </c>
      <c r="F4289" s="14">
        <v>5.0000000000000001E-3</v>
      </c>
      <c r="G4289" s="87">
        <f t="array" ref="G4289">IF(B4289="insumo",_xlfn.XLOOKUP($D4289,Insumos!$B$1:$B$996,Insumos!$D$1:$D$996),"")</f>
        <v>657.89</v>
      </c>
      <c r="H4289" s="87">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332">
        <v>1</v>
      </c>
      <c r="B4290" s="332" t="s">
        <v>67</v>
      </c>
      <c r="C4290" s="332" t="s">
        <v>887</v>
      </c>
      <c r="D4290" s="332" t="s">
        <v>887</v>
      </c>
      <c r="E4290" s="333" t="s">
        <v>69</v>
      </c>
      <c r="F4290" s="332"/>
      <c r="G4290" s="334" t="str">
        <f t="array" ref="G4290">IF(B4290="insumo",_xlfn.XLOOKUP($D4290,Insumos!$B$1:$B$996,Insumos!$D$1:$D$996),"")</f>
        <v/>
      </c>
      <c r="H4290" s="334">
        <v>2.6597339999999998</v>
      </c>
      <c r="I4290" s="335">
        <v>0</v>
      </c>
      <c r="J4290" s="335">
        <v>0</v>
      </c>
      <c r="K4290" s="335"/>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70</v>
      </c>
      <c r="C4291" s="10" t="s">
        <v>887</v>
      </c>
      <c r="D4291" s="10" t="s">
        <v>484</v>
      </c>
      <c r="E4291" s="11" t="str">
        <f t="array" ref="E4291">_xlfn.XLOOKUP(D4291,Insumos!B:B,Insumos!C:$C)</f>
        <v>M3</v>
      </c>
      <c r="F4291" s="14">
        <v>4.1999999999999997E-3</v>
      </c>
      <c r="G4291" s="87">
        <f t="array" ref="G4291">IF(B4291="insumo",_xlfn.XLOOKUP($D4291,Insumos!$B$1:$B$996,Insumos!$D$1:$D$996),"")</f>
        <v>633.27</v>
      </c>
      <c r="H4291" s="87">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332">
        <v>1</v>
      </c>
      <c r="B4292" s="332" t="s">
        <v>67</v>
      </c>
      <c r="C4292" s="332" t="s">
        <v>1559</v>
      </c>
      <c r="D4292" s="332" t="s">
        <v>1559</v>
      </c>
      <c r="E4292" s="333" t="s">
        <v>69</v>
      </c>
      <c r="F4292" s="332"/>
      <c r="G4292" s="334" t="str">
        <f t="array" ref="G4292">IF(B4292="insumo",_xlfn.XLOOKUP($D4292,Insumos!$B$1:$B$996,Insumos!$D$1:$D$996),"")</f>
        <v/>
      </c>
      <c r="H4292" s="334">
        <v>4</v>
      </c>
      <c r="I4292" s="335">
        <v>0</v>
      </c>
      <c r="J4292" s="335">
        <v>0</v>
      </c>
      <c r="K4292" s="335"/>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70</v>
      </c>
      <c r="C4293" s="10" t="s">
        <v>1559</v>
      </c>
      <c r="D4293" s="10" t="s">
        <v>486</v>
      </c>
      <c r="E4293" s="11" t="str">
        <f t="array" ref="E4293">_xlfn.XLOOKUP(D4293,Insumos!B:B,Insumos!C:$C)</f>
        <v>KG</v>
      </c>
      <c r="F4293" s="14">
        <v>5</v>
      </c>
      <c r="G4293" s="87">
        <f t="array" ref="G4293">IF(B4293="insumo",_xlfn.XLOOKUP($D4293,Insumos!$B$1:$B$996,Insumos!$D$1:$D$996),"")</f>
        <v>0.8</v>
      </c>
      <c r="H4293" s="87">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332">
        <v>1</v>
      </c>
      <c r="B4294" s="332" t="s">
        <v>67</v>
      </c>
      <c r="C4294" s="332" t="s">
        <v>1560</v>
      </c>
      <c r="D4294" s="332" t="s">
        <v>1560</v>
      </c>
      <c r="E4294" s="333" t="s">
        <v>69</v>
      </c>
      <c r="F4294" s="332"/>
      <c r="G4294" s="334" t="str">
        <f t="array" ref="G4294">IF(B4294="insumo",_xlfn.XLOOKUP($D4294,Insumos!$B$1:$B$996,Insumos!$D$1:$D$996),"")</f>
        <v/>
      </c>
      <c r="H4294" s="334">
        <v>4</v>
      </c>
      <c r="I4294" s="335">
        <v>0</v>
      </c>
      <c r="J4294" s="335">
        <v>0</v>
      </c>
      <c r="K4294" s="335"/>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70</v>
      </c>
      <c r="C4295" s="10" t="s">
        <v>1560</v>
      </c>
      <c r="D4295" s="10" t="s">
        <v>486</v>
      </c>
      <c r="E4295" s="11" t="str">
        <f t="array" ref="E4295">_xlfn.XLOOKUP(D4295,Insumos!B:B,Insumos!C:$C)</f>
        <v>KG</v>
      </c>
      <c r="F4295" s="14">
        <v>5</v>
      </c>
      <c r="G4295" s="87">
        <f t="array" ref="G4295">IF(B4295="insumo",_xlfn.XLOOKUP($D4295,Insumos!$B$1:$B$996,Insumos!$D$1:$D$996),"")</f>
        <v>0.8</v>
      </c>
      <c r="H4295" s="87">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332">
        <v>1</v>
      </c>
      <c r="B4296" s="332" t="s">
        <v>67</v>
      </c>
      <c r="C4296" s="332" t="s">
        <v>1561</v>
      </c>
      <c r="D4296" s="332" t="s">
        <v>1561</v>
      </c>
      <c r="E4296" s="333" t="s">
        <v>69</v>
      </c>
      <c r="F4296" s="332"/>
      <c r="G4296" s="334" t="str">
        <f t="array" ref="G4296">IF(B4296="insumo",_xlfn.XLOOKUP($D4296,Insumos!$B$1:$B$996,Insumos!$D$1:$D$996),"")</f>
        <v/>
      </c>
      <c r="H4296" s="334">
        <v>19</v>
      </c>
      <c r="I4296" s="335">
        <v>0</v>
      </c>
      <c r="J4296" s="335">
        <v>0</v>
      </c>
      <c r="K4296" s="335"/>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70</v>
      </c>
      <c r="C4297" s="10" t="s">
        <v>1561</v>
      </c>
      <c r="D4297" s="10" t="s">
        <v>1391</v>
      </c>
      <c r="E4297" s="11" t="str">
        <f t="array" ref="E4297">_xlfn.XLOOKUP(D4297,Insumos!B:B,Insumos!C:$C)</f>
        <v>KG</v>
      </c>
      <c r="F4297" s="14">
        <v>20</v>
      </c>
      <c r="G4297" s="87">
        <f t="array" ref="G4297">IF(B4297="insumo",_xlfn.XLOOKUP($D4297,Insumos!$B$1:$B$996,Insumos!$D$1:$D$996),"")</f>
        <v>0.95</v>
      </c>
      <c r="H4297" s="87">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332">
        <v>1</v>
      </c>
      <c r="B4298" s="332" t="s">
        <v>67</v>
      </c>
      <c r="C4298" s="332" t="s">
        <v>894</v>
      </c>
      <c r="D4298" s="332" t="s">
        <v>894</v>
      </c>
      <c r="E4298" s="333" t="s">
        <v>69</v>
      </c>
      <c r="F4298" s="332"/>
      <c r="G4298" s="334" t="str">
        <f t="array" ref="G4298">IF(B4298="insumo",_xlfn.XLOOKUP($D4298,Insumos!$B$1:$B$996,Insumos!$D$1:$D$996),"")</f>
        <v/>
      </c>
      <c r="H4298" s="334">
        <v>14.525</v>
      </c>
      <c r="I4298" s="335">
        <v>0</v>
      </c>
      <c r="J4298" s="335">
        <v>0</v>
      </c>
      <c r="K4298" s="335"/>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70</v>
      </c>
      <c r="C4299" s="10" t="s">
        <v>894</v>
      </c>
      <c r="D4299" s="10" t="s">
        <v>495</v>
      </c>
      <c r="E4299" s="11" t="str">
        <f t="array" ref="E4299">_xlfn.XLOOKUP(D4299,Insumos!B:B,Insumos!C:$C)</f>
        <v>M3</v>
      </c>
      <c r="F4299" s="14">
        <f>0.035</f>
        <v>3.5000000000000003E-2</v>
      </c>
      <c r="G4299" s="87">
        <f t="array" ref="G4299">IF(B4299="insumo",_xlfn.XLOOKUP($D4299,Insumos!$B$1:$B$996,Insumos!$D$1:$D$996),"")</f>
        <v>415</v>
      </c>
      <c r="H4299" s="87">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332">
        <v>1</v>
      </c>
      <c r="B4300" s="332" t="s">
        <v>67</v>
      </c>
      <c r="C4300" s="332" t="s">
        <v>852</v>
      </c>
      <c r="D4300" s="332" t="s">
        <v>852</v>
      </c>
      <c r="E4300" s="333" t="s">
        <v>69</v>
      </c>
      <c r="F4300" s="332"/>
      <c r="G4300" s="334" t="str">
        <f t="array" ref="G4300">IF(B4300="insumo",_xlfn.XLOOKUP($D4300,Insumos!$B$1:$B$996,Insumos!$D$1:$D$996),"")</f>
        <v/>
      </c>
      <c r="H4300" s="334">
        <v>10.893750000000001</v>
      </c>
      <c r="I4300" s="335" t="e">
        <v>#REF!</v>
      </c>
      <c r="J4300" s="335" t="e">
        <v>#REF!</v>
      </c>
      <c r="K4300" s="335"/>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70</v>
      </c>
      <c r="C4301" s="10" t="s">
        <v>852</v>
      </c>
      <c r="D4301" s="10" t="s">
        <v>495</v>
      </c>
      <c r="E4301" s="11" t="str">
        <f t="array" ref="E4301">_xlfn.XLOOKUP(D4301,Insumos!B:B,Insumos!C:$C)</f>
        <v>M3</v>
      </c>
      <c r="F4301" s="14">
        <v>2.6250000000000002E-2</v>
      </c>
      <c r="G4301" s="87">
        <f t="array" ref="G4301">IF(B4301="insumo",_xlfn.XLOOKUP($D4301,Insumos!$B$1:$B$996,Insumos!$D$1:$D$996),"")</f>
        <v>415</v>
      </c>
      <c r="H4301" s="87">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336">
        <v>1</v>
      </c>
      <c r="B4302" s="336" t="s">
        <v>67</v>
      </c>
      <c r="C4302" s="336" t="s">
        <v>2656</v>
      </c>
      <c r="D4302" s="336" t="s">
        <v>2656</v>
      </c>
      <c r="E4302" s="337" t="s">
        <v>69</v>
      </c>
      <c r="F4302" s="336"/>
      <c r="G4302" s="338" t="str">
        <f t="array" ref="G4302">IF(B4302="insumo",_xlfn.XLOOKUP($D4302,Insumos!$B$1:$B$996,Insumos!$D$1:$D$996),"")</f>
        <v/>
      </c>
      <c r="H4302" s="338">
        <v>7.6832054999999997</v>
      </c>
      <c r="I4302" s="339">
        <v>0</v>
      </c>
      <c r="J4302" s="339">
        <v>0</v>
      </c>
      <c r="K4302" s="339"/>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77">
        <v>4</v>
      </c>
      <c r="B4303" s="77" t="s">
        <v>70</v>
      </c>
      <c r="C4303" s="77" t="s">
        <v>2656</v>
      </c>
      <c r="D4303" s="77" t="s">
        <v>489</v>
      </c>
      <c r="E4303" s="11" t="str">
        <f t="array" ref="E4303">_xlfn.XLOOKUP(D4303,Insumos!B:B,Insumos!C:$C)</f>
        <v>KG</v>
      </c>
      <c r="F4303" s="81">
        <f>17.07379</f>
        <v>17.073789999999999</v>
      </c>
      <c r="G4303" s="87">
        <f t="array" ref="G4303">IF(B4303="insumo",_xlfn.XLOOKUP($D4303,Insumos!$B$1:$B$996,Insumos!$D$1:$D$996),"")</f>
        <v>0.45</v>
      </c>
      <c r="H4303" s="87">
        <v>7.6832054999999997</v>
      </c>
      <c r="I4303" s="79">
        <v>0</v>
      </c>
      <c r="J4303" s="79">
        <v>0</v>
      </c>
      <c r="K4303" s="79"/>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332">
        <v>1</v>
      </c>
      <c r="B4304" s="332" t="s">
        <v>67</v>
      </c>
      <c r="C4304" s="332" t="s">
        <v>913</v>
      </c>
      <c r="D4304" s="332" t="s">
        <v>913</v>
      </c>
      <c r="E4304" s="333" t="s">
        <v>196</v>
      </c>
      <c r="F4304" s="332"/>
      <c r="G4304" s="334" t="str">
        <f t="array" ref="G4304">IF(B4304="insumo",_xlfn.XLOOKUP($D4304,Insumos!$B$1:$B$996,Insumos!$D$1:$D$996),"")</f>
        <v/>
      </c>
      <c r="H4304" s="334">
        <v>4.1071999999999997</v>
      </c>
      <c r="I4304" s="335">
        <v>0</v>
      </c>
      <c r="J4304" s="335">
        <v>0</v>
      </c>
      <c r="K4304" s="335"/>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70</v>
      </c>
      <c r="C4305" s="10" t="s">
        <v>913</v>
      </c>
      <c r="D4305" s="10" t="s">
        <v>393</v>
      </c>
      <c r="E4305" s="11" t="str">
        <f t="array" ref="E4305">_xlfn.XLOOKUP(D4305,Insumos!B:B,Insumos!C:$C)</f>
        <v>UN</v>
      </c>
      <c r="F4305" s="14">
        <v>2</v>
      </c>
      <c r="G4305" s="87">
        <f t="array" ref="G4305">IF(B4305="insumo",_xlfn.XLOOKUP($D4305,Insumos!$B$1:$B$996,Insumos!$D$1:$D$996),"")</f>
        <v>0.43359999999999999</v>
      </c>
      <c r="H4305" s="87">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70</v>
      </c>
      <c r="C4306" s="10" t="s">
        <v>913</v>
      </c>
      <c r="D4306" s="10" t="s">
        <v>394</v>
      </c>
      <c r="E4306" s="11" t="str">
        <f t="array" ref="E4306">_xlfn.XLOOKUP(D4306,Insumos!B:B,Insumos!C:$C)</f>
        <v>UN</v>
      </c>
      <c r="F4306" s="14">
        <v>1</v>
      </c>
      <c r="G4306" s="87">
        <f t="array" ref="G4306">IF(B4306="insumo",_xlfn.XLOOKUP($D4306,Insumos!$B$1:$B$996,Insumos!$D$1:$D$996),"")</f>
        <v>2.5</v>
      </c>
      <c r="H4306" s="87">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70</v>
      </c>
      <c r="C4307" s="10" t="s">
        <v>913</v>
      </c>
      <c r="D4307" s="10" t="s">
        <v>395</v>
      </c>
      <c r="E4307" s="11" t="str">
        <f t="array" ref="E4307">_xlfn.XLOOKUP(D4307,Insumos!B:B,Insumos!C:$C)</f>
        <v>UN</v>
      </c>
      <c r="F4307" s="14">
        <v>2</v>
      </c>
      <c r="G4307" s="87">
        <f t="array" ref="G4307">IF(B4307="insumo",_xlfn.XLOOKUP($D4307,Insumos!$B$1:$B$996,Insumos!$D$1:$D$996),"")</f>
        <v>0.37</v>
      </c>
      <c r="H4307" s="87">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332">
        <v>1</v>
      </c>
      <c r="B4308" s="332" t="s">
        <v>67</v>
      </c>
      <c r="C4308" s="332" t="s">
        <v>849</v>
      </c>
      <c r="D4308" s="332" t="s">
        <v>849</v>
      </c>
      <c r="E4308" s="333" t="s">
        <v>69</v>
      </c>
      <c r="F4308" s="332"/>
      <c r="G4308" s="334" t="str">
        <f t="array" ref="G4308">IF(B4308="insumo",_xlfn.XLOOKUP($D4308,Insumos!$B$1:$B$996,Insumos!$D$1:$D$996),"")</f>
        <v/>
      </c>
      <c r="H4308" s="334">
        <v>3.79</v>
      </c>
      <c r="I4308" s="335">
        <v>0</v>
      </c>
      <c r="J4308" s="335">
        <v>0</v>
      </c>
      <c r="K4308" s="335"/>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70</v>
      </c>
      <c r="C4309" s="10" t="s">
        <v>849</v>
      </c>
      <c r="D4309" s="10" t="s">
        <v>850</v>
      </c>
      <c r="E4309" s="11" t="str">
        <f t="array" ref="E4309">_xlfn.XLOOKUP(D4309,Insumos!B:B,Insumos!C:$C)</f>
        <v>m</v>
      </c>
      <c r="F4309" s="14">
        <v>1</v>
      </c>
      <c r="G4309" s="87">
        <f t="array" ref="G4309">IF(B4309="insumo",_xlfn.XLOOKUP($D4309,Insumos!$B$1:$B$996,Insumos!$D$1:$D$996),"")</f>
        <v>1.72</v>
      </c>
      <c r="H4309" s="87">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70</v>
      </c>
      <c r="C4310" s="10" t="s">
        <v>849</v>
      </c>
      <c r="D4310" s="10" t="s">
        <v>851</v>
      </c>
      <c r="E4310" s="11" t="str">
        <f t="array" ref="E4310">_xlfn.XLOOKUP(D4310,Insumos!B:B,Insumos!C:$C)</f>
        <v>UN</v>
      </c>
      <c r="F4310" s="14">
        <v>0.1</v>
      </c>
      <c r="G4310" s="87">
        <f t="array" ref="G4310">IF(B4310="insumo",_xlfn.XLOOKUP($D4310,Insumos!$B$1:$B$996,Insumos!$D$1:$D$996),"")</f>
        <v>20.7</v>
      </c>
      <c r="H4310" s="87">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332">
        <v>1</v>
      </c>
      <c r="B4311" s="332" t="s">
        <v>67</v>
      </c>
      <c r="C4311" s="332" t="s">
        <v>2658</v>
      </c>
      <c r="D4311" s="332" t="s">
        <v>2658</v>
      </c>
      <c r="E4311" s="333" t="s">
        <v>151</v>
      </c>
      <c r="F4311" s="332"/>
      <c r="G4311" s="334" t="str">
        <f t="array" ref="G4311">IF(B4311="insumo",_xlfn.XLOOKUP($D4311,Insumos!$B$1:$B$996,Insumos!$D$1:$D$996),"")</f>
        <v/>
      </c>
      <c r="H4311" s="334">
        <v>1586.77201515152</v>
      </c>
      <c r="I4311" s="335">
        <v>0</v>
      </c>
      <c r="J4311" s="335">
        <v>0</v>
      </c>
      <c r="K4311" s="335"/>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70</v>
      </c>
      <c r="C4312" s="10" t="s">
        <v>2658</v>
      </c>
      <c r="D4312" s="10" t="s">
        <v>2659</v>
      </c>
      <c r="E4312" s="11" t="str">
        <f t="array" ref="E4312">_xlfn.XLOOKUP(D4312,Insumos!B:B,Insumos!C:$C)</f>
        <v>M3</v>
      </c>
      <c r="F4312" s="14">
        <v>1.1000000000000001</v>
      </c>
      <c r="G4312" s="87">
        <f t="array" ref="G4312">IF(B4312="insumo",_xlfn.XLOOKUP($D4312,Insumos!$B$1:$B$996,Insumos!$D$1:$D$996),"")</f>
        <v>1377.4104683195592</v>
      </c>
      <c r="H4312" s="87">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70</v>
      </c>
      <c r="C4313" s="10" t="s">
        <v>2658</v>
      </c>
      <c r="D4313" s="10" t="s">
        <v>480</v>
      </c>
      <c r="E4313" s="11" t="str">
        <f t="array" ref="E4313">_xlfn.XLOOKUP(D4313,Insumos!B:B,Insumos!C:$C)</f>
        <v>KG</v>
      </c>
      <c r="F4313" s="14">
        <v>9</v>
      </c>
      <c r="G4313" s="87">
        <f t="array" ref="G4313">IF(B4313="insumo",_xlfn.XLOOKUP($D4313,Insumos!$B$1:$B$996,Insumos!$D$1:$D$996),"")</f>
        <v>1.0645</v>
      </c>
      <c r="H4313" s="87">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70</v>
      </c>
      <c r="C4314" s="10" t="s">
        <v>2658</v>
      </c>
      <c r="D4314" s="10" t="s">
        <v>855</v>
      </c>
      <c r="E4314" s="11" t="str">
        <f t="array" ref="E4314">_xlfn.XLOOKUP(D4314,Insumos!B:B,Insumos!C:$C)</f>
        <v>UN</v>
      </c>
      <c r="F4314" s="14">
        <v>12</v>
      </c>
      <c r="G4314" s="87">
        <f t="array" ref="G4314">IF(B4314="insumo",_xlfn.XLOOKUP($D4314,Insumos!$B$1:$B$996,Insumos!$D$1:$D$996),"")</f>
        <v>5.17</v>
      </c>
      <c r="H4314" s="87">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332">
        <v>1</v>
      </c>
      <c r="B4315" s="332" t="s">
        <v>67</v>
      </c>
      <c r="C4315" s="332" t="s">
        <v>2661</v>
      </c>
      <c r="D4315" s="332" t="s">
        <v>2661</v>
      </c>
      <c r="E4315" s="333" t="s">
        <v>69</v>
      </c>
      <c r="F4315" s="332"/>
      <c r="G4315" s="334" t="str">
        <f t="array" ref="G4315">IF(B4315="insumo",_xlfn.XLOOKUP($D4315,Insumos!$B$1:$B$996,Insumos!$D$1:$D$996),"")</f>
        <v/>
      </c>
      <c r="H4315" s="334">
        <v>412.93298484848498</v>
      </c>
      <c r="I4315" s="335" t="e">
        <v>#REF!</v>
      </c>
      <c r="J4315" s="335" t="e">
        <v>#REF!</v>
      </c>
      <c r="K4315" s="335"/>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70</v>
      </c>
      <c r="C4316" s="10" t="s">
        <v>2661</v>
      </c>
      <c r="D4316" s="10" t="s">
        <v>2659</v>
      </c>
      <c r="E4316" s="11" t="str">
        <f t="array" ref="E4316">_xlfn.XLOOKUP(D4316,Insumos!B:B,Insumos!C:$C)</f>
        <v>M3</v>
      </c>
      <c r="F4316" s="14">
        <f>1.1/10</f>
        <v>0.11000000000000001</v>
      </c>
      <c r="G4316" s="87">
        <f t="array" ref="G4316">IF(B4316="insumo",_xlfn.XLOOKUP($D4316,Insumos!$B$1:$B$996,Insumos!$D$1:$D$996),"")</f>
        <v>1377.4104683195592</v>
      </c>
      <c r="H4316" s="87">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70</v>
      </c>
      <c r="C4317" s="10" t="s">
        <v>2661</v>
      </c>
      <c r="D4317" s="10" t="s">
        <v>480</v>
      </c>
      <c r="E4317" s="11" t="str">
        <f t="array" ref="E4317">_xlfn.XLOOKUP(D4317,Insumos!B:B,Insumos!C:$C)</f>
        <v>KG</v>
      </c>
      <c r="F4317" s="14">
        <v>9</v>
      </c>
      <c r="G4317" s="87">
        <f t="array" ref="G4317">IF(B4317="insumo",_xlfn.XLOOKUP($D4317,Insumos!$B$1:$B$996,Insumos!$D$1:$D$996),"")</f>
        <v>1.0645</v>
      </c>
      <c r="H4317" s="87">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70</v>
      </c>
      <c r="C4318" s="10" t="s">
        <v>2661</v>
      </c>
      <c r="D4318" s="10" t="s">
        <v>2660</v>
      </c>
      <c r="E4318" s="11" t="str">
        <f t="array" ref="E4318">_xlfn.XLOOKUP(D4318,Insumos!B:B,Insumos!C:$C)</f>
        <v>KG</v>
      </c>
      <c r="F4318" s="14">
        <v>5</v>
      </c>
      <c r="G4318" s="87">
        <f t="array" ref="G4318">IF(B4318="insumo",_xlfn.XLOOKUP($D4318,Insumos!$B$1:$B$996,Insumos!$D$1:$D$996),"")</f>
        <v>18.326666666666664</v>
      </c>
      <c r="H4318" s="87">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70</v>
      </c>
      <c r="C4319" s="10" t="s">
        <v>2661</v>
      </c>
      <c r="D4319" s="10" t="s">
        <v>1567</v>
      </c>
      <c r="E4319" s="11" t="str">
        <f t="array" ref="E4319">_xlfn.XLOOKUP(D4319,Insumos!B:B,Insumos!C:$C)</f>
        <v>m2</v>
      </c>
      <c r="F4319" s="14">
        <v>1.1000000000000001</v>
      </c>
      <c r="G4319" s="87">
        <f t="array" ref="G4319">IF(B4319="insumo",_xlfn.XLOOKUP($D4319,Insumos!$B$1:$B$996,Insumos!$D$1:$D$996),"")</f>
        <v>8.1</v>
      </c>
      <c r="H4319" s="87">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70</v>
      </c>
      <c r="C4320" s="10" t="s">
        <v>2661</v>
      </c>
      <c r="D4320" s="10" t="s">
        <v>767</v>
      </c>
      <c r="E4320" s="11" t="str">
        <f t="array" ref="E4320">_xlfn.XLOOKUP(D4320,Insumos!B:B,Insumos!C:$C)</f>
        <v>L</v>
      </c>
      <c r="F4320" s="14">
        <v>0.2</v>
      </c>
      <c r="G4320" s="87">
        <f t="array" ref="G4320">IF(B4320="insumo",_xlfn.XLOOKUP($D4320,Insumos!$B$1:$B$996,Insumos!$D$1:$D$996),"")</f>
        <v>6.47</v>
      </c>
      <c r="H4320" s="87">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70</v>
      </c>
      <c r="C4321" s="10" t="s">
        <v>2661</v>
      </c>
      <c r="D4321" s="10" t="s">
        <v>2662</v>
      </c>
      <c r="E4321" s="11" t="str">
        <f t="array" ref="E4321">_xlfn.XLOOKUP(D4321,Insumos!B:B,Insumos!C:$C)</f>
        <v>m2</v>
      </c>
      <c r="F4321" s="14">
        <v>1</v>
      </c>
      <c r="G4321" s="87">
        <f t="array" ref="G4321">IF(B4321="insumo",_xlfn.XLOOKUP($D4321,Insumos!$B$1:$B$996,Insumos!$D$1:$D$996),"")</f>
        <v>150</v>
      </c>
      <c r="H4321" s="87">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355">
        <v>1</v>
      </c>
      <c r="B4322" s="355" t="s">
        <v>1227</v>
      </c>
      <c r="C4322" s="355" t="s">
        <v>2661</v>
      </c>
      <c r="D4322" s="355" t="s">
        <v>1555</v>
      </c>
      <c r="E4322" s="356"/>
      <c r="F4322" s="357"/>
      <c r="G4322" s="356"/>
      <c r="H4322" s="356">
        <v>0</v>
      </c>
      <c r="I4322" s="357">
        <v>0</v>
      </c>
      <c r="J4322" s="357">
        <v>0</v>
      </c>
      <c r="K4322" s="357"/>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332">
        <v>1</v>
      </c>
      <c r="B4323" s="332" t="s">
        <v>67</v>
      </c>
      <c r="C4323" s="332" t="s">
        <v>879</v>
      </c>
      <c r="D4323" s="332" t="s">
        <v>879</v>
      </c>
      <c r="E4323" s="333" t="s">
        <v>69</v>
      </c>
      <c r="F4323" s="332"/>
      <c r="G4323" s="334" t="str">
        <f t="array" ref="G4323">IF(B4323="insumo",_xlfn.XLOOKUP($D4323,Insumos!$B$1:$B$996,Insumos!$D$1:$D$996),"")</f>
        <v/>
      </c>
      <c r="H4323" s="334">
        <v>28.450600000000001</v>
      </c>
      <c r="I4323" s="335">
        <v>0</v>
      </c>
      <c r="J4323" s="335">
        <v>0</v>
      </c>
      <c r="K4323" s="335"/>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70</v>
      </c>
      <c r="C4324" s="10" t="s">
        <v>879</v>
      </c>
      <c r="D4324" s="10" t="s">
        <v>880</v>
      </c>
      <c r="E4324" s="11" t="str">
        <f t="array" ref="E4324">_xlfn.XLOOKUP(D4324,Insumos!B:B,Insumos!C:$C)</f>
        <v>M2</v>
      </c>
      <c r="F4324" s="14">
        <v>1.1000000000000001</v>
      </c>
      <c r="G4324" s="87">
        <f t="array" ref="G4324">IF(B4324="insumo",_xlfn.XLOOKUP($D4324,Insumos!$B$1:$B$996,Insumos!$D$1:$D$996),"")</f>
        <v>17</v>
      </c>
      <c r="H4324" s="87">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70</v>
      </c>
      <c r="C4325" s="10" t="s">
        <v>879</v>
      </c>
      <c r="D4325" s="10" t="s">
        <v>480</v>
      </c>
      <c r="E4325" s="11" t="str">
        <f t="array" ref="E4325">_xlfn.XLOOKUP(D4325,Insumos!B:B,Insumos!C:$C)</f>
        <v>KG</v>
      </c>
      <c r="F4325" s="14">
        <v>8.8000000000000007</v>
      </c>
      <c r="G4325" s="87">
        <f t="array" ref="G4325">IF(B4325="insumo",_xlfn.XLOOKUP($D4325,Insumos!$B$1:$B$996,Insumos!$D$1:$D$996),"")</f>
        <v>1.0645</v>
      </c>
      <c r="H4325" s="87">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70</v>
      </c>
      <c r="C4326" s="10" t="s">
        <v>879</v>
      </c>
      <c r="D4326" s="10" t="s">
        <v>505</v>
      </c>
      <c r="E4326" s="11" t="str">
        <f t="array" ref="E4326">_xlfn.XLOOKUP(D4326,Insumos!B:B,Insumos!C:$C)</f>
        <v>UN</v>
      </c>
      <c r="F4326" s="14">
        <v>2</v>
      </c>
      <c r="G4326" s="87">
        <f t="array" ref="G4326">IF(B4326="insumo",_xlfn.XLOOKUP($D4326,Insumos!$B$1:$B$996,Insumos!$D$1:$D$996),"")</f>
        <v>0.08</v>
      </c>
      <c r="H4326" s="87">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70</v>
      </c>
      <c r="C4327" s="10" t="s">
        <v>879</v>
      </c>
      <c r="D4327" s="10" t="s">
        <v>506</v>
      </c>
      <c r="E4327" s="11" t="str">
        <f t="array" ref="E4327">_xlfn.XLOOKUP(D4327,Insumos!B:B,Insumos!C:$C)</f>
        <v>KG</v>
      </c>
      <c r="F4327" s="14">
        <v>0.02</v>
      </c>
      <c r="G4327" s="87">
        <f t="array" ref="G4327">IF(B4327="insumo",_xlfn.XLOOKUP($D4327,Insumos!$B$1:$B$996,Insumos!$D$1:$D$996),"")</f>
        <v>11.15</v>
      </c>
      <c r="H4327" s="87">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332">
        <v>1</v>
      </c>
      <c r="B4328" s="332" t="s">
        <v>67</v>
      </c>
      <c r="C4328" s="332" t="s">
        <v>847</v>
      </c>
      <c r="D4328" s="332" t="s">
        <v>847</v>
      </c>
      <c r="E4328" s="333" t="s">
        <v>69</v>
      </c>
      <c r="F4328" s="332"/>
      <c r="G4328" s="334" t="str">
        <f t="array" ref="G4328">IF(B4328="insumo",_xlfn.XLOOKUP($D4328,Insumos!$B$1:$B$996,Insumos!$D$1:$D$996),"")</f>
        <v/>
      </c>
      <c r="H4328" s="334">
        <v>156.16550000000001</v>
      </c>
      <c r="I4328" s="335">
        <v>0</v>
      </c>
      <c r="J4328" s="335">
        <v>0</v>
      </c>
      <c r="K4328" s="335"/>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70</v>
      </c>
      <c r="C4329" s="10" t="s">
        <v>847</v>
      </c>
      <c r="D4329" s="10" t="s">
        <v>524</v>
      </c>
      <c r="E4329" s="11" t="str">
        <f t="array" ref="E4329">_xlfn.XLOOKUP(D4329,Insumos!B:B,Insumos!C:$C)</f>
        <v>M2</v>
      </c>
      <c r="F4329" s="14">
        <v>1.1000000000000001</v>
      </c>
      <c r="G4329" s="87">
        <f t="array" ref="G4329">IF(B4329="insumo",_xlfn.XLOOKUP($D4329,Insumos!$B$1:$B$996,Insumos!$D$1:$D$996),"")</f>
        <v>127.9</v>
      </c>
      <c r="H4329" s="87">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70</v>
      </c>
      <c r="C4330" s="10" t="s">
        <v>847</v>
      </c>
      <c r="D4330" s="10" t="s">
        <v>480</v>
      </c>
      <c r="E4330" s="11" t="str">
        <f t="array" ref="E4330">_xlfn.XLOOKUP(D4330,Insumos!B:B,Insumos!C:$C)</f>
        <v>KG</v>
      </c>
      <c r="F4330" s="14">
        <v>9</v>
      </c>
      <c r="G4330" s="87">
        <f t="array" ref="G4330">IF(B4330="insumo",_xlfn.XLOOKUP($D4330,Insumos!$B$1:$B$996,Insumos!$D$1:$D$996),"")</f>
        <v>1.0645</v>
      </c>
      <c r="H4330" s="87">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70</v>
      </c>
      <c r="C4331" s="10" t="s">
        <v>847</v>
      </c>
      <c r="D4331" s="10" t="s">
        <v>505</v>
      </c>
      <c r="E4331" s="11" t="str">
        <f t="array" ref="E4331">_xlfn.XLOOKUP(D4331,Insumos!B:B,Insumos!C:$C)</f>
        <v>UN</v>
      </c>
      <c r="F4331" s="14">
        <v>4</v>
      </c>
      <c r="G4331" s="87">
        <f t="array" ref="G4331">IF(B4331="insumo",_xlfn.XLOOKUP($D4331,Insumos!$B$1:$B$996,Insumos!$D$1:$D$996),"")</f>
        <v>0.08</v>
      </c>
      <c r="H4331" s="87">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70</v>
      </c>
      <c r="C4332" s="10" t="s">
        <v>847</v>
      </c>
      <c r="D4332" s="10" t="s">
        <v>506</v>
      </c>
      <c r="E4332" s="11" t="str">
        <f t="array" ref="E4332">_xlfn.XLOOKUP(D4332,Insumos!B:B,Insumos!C:$C)</f>
        <v>KG</v>
      </c>
      <c r="F4332" s="14">
        <v>0.5</v>
      </c>
      <c r="G4332" s="87">
        <f t="array" ref="G4332">IF(B4332="insumo",_xlfn.XLOOKUP($D4332,Insumos!$B$1:$B$996,Insumos!$D$1:$D$996),"")</f>
        <v>11.15</v>
      </c>
      <c r="H4332" s="87">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332">
        <v>1</v>
      </c>
      <c r="B4333" s="332" t="s">
        <v>67</v>
      </c>
      <c r="C4333" s="332" t="s">
        <v>848</v>
      </c>
      <c r="D4333" s="332" t="s">
        <v>848</v>
      </c>
      <c r="E4333" s="333" t="s">
        <v>69</v>
      </c>
      <c r="F4333" s="332"/>
      <c r="G4333" s="334" t="str">
        <f t="array" ref="G4333">IF(B4333="insumo",_xlfn.XLOOKUP($D4333,Insumos!$B$1:$B$996,Insumos!$D$1:$D$996),"")</f>
        <v/>
      </c>
      <c r="H4333" s="334">
        <v>136.3545</v>
      </c>
      <c r="I4333" s="335">
        <v>0</v>
      </c>
      <c r="J4333" s="335">
        <v>0</v>
      </c>
      <c r="K4333" s="335"/>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70</v>
      </c>
      <c r="C4334" s="10" t="s">
        <v>848</v>
      </c>
      <c r="D4334" s="10" t="s">
        <v>646</v>
      </c>
      <c r="E4334" s="11" t="str">
        <f t="array" ref="E4334">_xlfn.XLOOKUP(D4334,Insumos!B:B,Insumos!C:$C)</f>
        <v>M2</v>
      </c>
      <c r="F4334" s="14">
        <v>1.1000000000000001</v>
      </c>
      <c r="G4334" s="87">
        <f t="array" ref="G4334">IF(B4334="insumo",_xlfn.XLOOKUP($D4334,Insumos!$B$1:$B$996,Insumos!$D$1:$D$996),"")</f>
        <v>109.89</v>
      </c>
      <c r="H4334" s="87">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70</v>
      </c>
      <c r="C4335" s="10" t="s">
        <v>848</v>
      </c>
      <c r="D4335" s="10" t="s">
        <v>480</v>
      </c>
      <c r="E4335" s="11" t="str">
        <f t="array" ref="E4335">_xlfn.XLOOKUP(D4335,Insumos!B:B,Insumos!C:$C)</f>
        <v>KG</v>
      </c>
      <c r="F4335" s="14">
        <v>9</v>
      </c>
      <c r="G4335" s="87">
        <f t="array" ref="G4335">IF(B4335="insumo",_xlfn.XLOOKUP($D4335,Insumos!$B$1:$B$996,Insumos!$D$1:$D$996),"")</f>
        <v>1.0645</v>
      </c>
      <c r="H4335" s="87">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70</v>
      </c>
      <c r="C4336" s="10" t="s">
        <v>848</v>
      </c>
      <c r="D4336" s="10" t="s">
        <v>505</v>
      </c>
      <c r="E4336" s="11" t="str">
        <f t="array" ref="E4336">_xlfn.XLOOKUP(D4336,Insumos!B:B,Insumos!C:$C)</f>
        <v>UN</v>
      </c>
      <c r="F4336" s="14">
        <v>4</v>
      </c>
      <c r="G4336" s="87">
        <f t="array" ref="G4336">IF(B4336="insumo",_xlfn.XLOOKUP($D4336,Insumos!$B$1:$B$996,Insumos!$D$1:$D$996),"")</f>
        <v>0.08</v>
      </c>
      <c r="H4336" s="87">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70</v>
      </c>
      <c r="C4337" s="10" t="s">
        <v>848</v>
      </c>
      <c r="D4337" s="10" t="s">
        <v>506</v>
      </c>
      <c r="E4337" s="11" t="str">
        <f t="array" ref="E4337">_xlfn.XLOOKUP(D4337,Insumos!B:B,Insumos!C:$C)</f>
        <v>KG</v>
      </c>
      <c r="F4337" s="14">
        <v>0.5</v>
      </c>
      <c r="G4337" s="87">
        <f t="array" ref="G4337">IF(B4337="insumo",_xlfn.XLOOKUP($D4337,Insumos!$B$1:$B$996,Insumos!$D$1:$D$996),"")</f>
        <v>11.15</v>
      </c>
      <c r="H4337" s="87">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332">
        <v>1</v>
      </c>
      <c r="B4338" s="332" t="s">
        <v>67</v>
      </c>
      <c r="C4338" s="332" t="s">
        <v>871</v>
      </c>
      <c r="D4338" s="332" t="s">
        <v>871</v>
      </c>
      <c r="E4338" s="333" t="s">
        <v>69</v>
      </c>
      <c r="F4338" s="332"/>
      <c r="G4338" s="334" t="str">
        <f t="array" ref="G4338">IF(B4338="insumo",_xlfn.XLOOKUP($D4338,Insumos!$B$1:$B$996,Insumos!$D$1:$D$996),"")</f>
        <v/>
      </c>
      <c r="H4338" s="334">
        <v>420.07560000000001</v>
      </c>
      <c r="I4338" s="335">
        <v>0</v>
      </c>
      <c r="J4338" s="335">
        <v>0</v>
      </c>
      <c r="K4338" s="335"/>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70</v>
      </c>
      <c r="C4339" s="10" t="s">
        <v>871</v>
      </c>
      <c r="D4339" s="10" t="s">
        <v>872</v>
      </c>
      <c r="E4339" s="11" t="str">
        <f t="array" ref="E4339">_xlfn.XLOOKUP(D4339,Insumos!B:B,Insumos!C:$C)</f>
        <v>M2</v>
      </c>
      <c r="F4339" s="14">
        <v>1.1000000000000001</v>
      </c>
      <c r="G4339" s="87">
        <f t="array" ref="G4339">IF(B4339="insumo",_xlfn.XLOOKUP($D4339,Insumos!$B$1:$B$996,Insumos!$D$1:$D$996),"")</f>
        <v>372.9</v>
      </c>
      <c r="H4339" s="87">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70</v>
      </c>
      <c r="C4340" s="10" t="s">
        <v>871</v>
      </c>
      <c r="D4340" s="10" t="s">
        <v>480</v>
      </c>
      <c r="E4340" s="11" t="str">
        <f t="array" ref="E4340">_xlfn.XLOOKUP(D4340,Insumos!B:B,Insumos!C:$C)</f>
        <v>KG</v>
      </c>
      <c r="F4340" s="14">
        <v>8.8000000000000007</v>
      </c>
      <c r="G4340" s="87">
        <f t="array" ref="G4340">IF(B4340="insumo",_xlfn.XLOOKUP($D4340,Insumos!$B$1:$B$996,Insumos!$D$1:$D$996),"")</f>
        <v>1.0645</v>
      </c>
      <c r="H4340" s="87">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70</v>
      </c>
      <c r="C4341" s="10" t="s">
        <v>871</v>
      </c>
      <c r="D4341" s="10" t="s">
        <v>505</v>
      </c>
      <c r="E4341" s="11" t="str">
        <f t="array" ref="E4341">_xlfn.XLOOKUP(D4341,Insumos!B:B,Insumos!C:$C)</f>
        <v>UN</v>
      </c>
      <c r="F4341" s="14">
        <v>1</v>
      </c>
      <c r="G4341" s="87">
        <f t="array" ref="G4341">IF(B4341="insumo",_xlfn.XLOOKUP($D4341,Insumos!$B$1:$B$996,Insumos!$D$1:$D$996),"")</f>
        <v>0.08</v>
      </c>
      <c r="H4341" s="87">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70</v>
      </c>
      <c r="C4342" s="10" t="s">
        <v>871</v>
      </c>
      <c r="D4342" s="10" t="s">
        <v>660</v>
      </c>
      <c r="E4342" s="11" t="str">
        <f t="array" ref="E4342">_xlfn.XLOOKUP(D4342,Insumos!B:B,Insumos!C:$C)</f>
        <v>KG</v>
      </c>
      <c r="F4342" s="14">
        <v>0.01</v>
      </c>
      <c r="G4342" s="87">
        <f t="array" ref="G4342">IF(B4342="insumo",_xlfn.XLOOKUP($D4342,Insumos!$B$1:$B$996,Insumos!$D$1:$D$996),"")</f>
        <v>43.8</v>
      </c>
      <c r="H4342" s="87">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332">
        <v>1</v>
      </c>
      <c r="B4343" s="332" t="s">
        <v>67</v>
      </c>
      <c r="C4343" s="332" t="s">
        <v>873</v>
      </c>
      <c r="D4343" s="332" t="s">
        <v>873</v>
      </c>
      <c r="E4343" s="333" t="s">
        <v>69</v>
      </c>
      <c r="F4343" s="332"/>
      <c r="G4343" s="334" t="str">
        <f t="array" ref="G4343">IF(B4343="insumo",_xlfn.XLOOKUP($D4343,Insumos!$B$1:$B$996,Insumos!$D$1:$D$996),"")</f>
        <v/>
      </c>
      <c r="H4343" s="334">
        <v>191.25059999999999</v>
      </c>
      <c r="I4343" s="335">
        <v>0</v>
      </c>
      <c r="J4343" s="335">
        <v>0</v>
      </c>
      <c r="K4343" s="335"/>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70</v>
      </c>
      <c r="C4344" s="10" t="s">
        <v>873</v>
      </c>
      <c r="D4344" s="10" t="s">
        <v>874</v>
      </c>
      <c r="E4344" s="11" t="str">
        <f t="array" ref="E4344">_xlfn.XLOOKUP(D4344,Insumos!B:B,Insumos!C:$C)</f>
        <v>M2</v>
      </c>
      <c r="F4344" s="14">
        <v>1.1000000000000001</v>
      </c>
      <c r="G4344" s="87">
        <f t="array" ref="G4344">IF(B4344="insumo",_xlfn.XLOOKUP($D4344,Insumos!$B$1:$B$996,Insumos!$D$1:$D$996),"")</f>
        <v>165</v>
      </c>
      <c r="H4344" s="87">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70</v>
      </c>
      <c r="C4345" s="10" t="s">
        <v>873</v>
      </c>
      <c r="D4345" s="10" t="s">
        <v>480</v>
      </c>
      <c r="E4345" s="11" t="str">
        <f t="array" ref="E4345">_xlfn.XLOOKUP(D4345,Insumos!B:B,Insumos!C:$C)</f>
        <v>KG</v>
      </c>
      <c r="F4345" s="14">
        <v>8.8000000000000007</v>
      </c>
      <c r="G4345" s="87">
        <f t="array" ref="G4345">IF(B4345="insumo",_xlfn.XLOOKUP($D4345,Insumos!$B$1:$B$996,Insumos!$D$1:$D$996),"")</f>
        <v>1.0645</v>
      </c>
      <c r="H4345" s="87">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70</v>
      </c>
      <c r="C4346" s="10" t="s">
        <v>873</v>
      </c>
      <c r="D4346" s="10" t="s">
        <v>505</v>
      </c>
      <c r="E4346" s="11" t="str">
        <f t="array" ref="E4346">_xlfn.XLOOKUP(D4346,Insumos!B:B,Insumos!C:$C)</f>
        <v>UN</v>
      </c>
      <c r="F4346" s="14">
        <v>2</v>
      </c>
      <c r="G4346" s="87">
        <f t="array" ref="G4346">IF(B4346="insumo",_xlfn.XLOOKUP($D4346,Insumos!$B$1:$B$996,Insumos!$D$1:$D$996),"")</f>
        <v>0.08</v>
      </c>
      <c r="H4346" s="87">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70</v>
      </c>
      <c r="C4347" s="10" t="s">
        <v>873</v>
      </c>
      <c r="D4347" s="10" t="s">
        <v>506</v>
      </c>
      <c r="E4347" s="11" t="str">
        <f t="array" ref="E4347">_xlfn.XLOOKUP(D4347,Insumos!B:B,Insumos!C:$C)</f>
        <v>KG</v>
      </c>
      <c r="F4347" s="14">
        <v>0.02</v>
      </c>
      <c r="G4347" s="87">
        <f t="array" ref="G4347">IF(B4347="insumo",_xlfn.XLOOKUP($D4347,Insumos!$B$1:$B$996,Insumos!$D$1:$D$996),"")</f>
        <v>11.15</v>
      </c>
      <c r="H4347" s="87">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332">
        <v>1</v>
      </c>
      <c r="B4348" s="332" t="s">
        <v>67</v>
      </c>
      <c r="C4348" s="332" t="s">
        <v>875</v>
      </c>
      <c r="D4348" s="332" t="s">
        <v>875</v>
      </c>
      <c r="E4348" s="333" t="s">
        <v>69</v>
      </c>
      <c r="F4348" s="332"/>
      <c r="G4348" s="334" t="str">
        <f t="array" ref="G4348">IF(B4348="insumo",_xlfn.XLOOKUP($D4348,Insumos!$B$1:$B$996,Insumos!$D$1:$D$996),"")</f>
        <v/>
      </c>
      <c r="H4348" s="334">
        <v>93.130600000000001</v>
      </c>
      <c r="I4348" s="335">
        <v>0</v>
      </c>
      <c r="J4348" s="335">
        <v>0</v>
      </c>
      <c r="K4348" s="335"/>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70</v>
      </c>
      <c r="C4349" s="10" t="s">
        <v>875</v>
      </c>
      <c r="D4349" s="10" t="s">
        <v>876</v>
      </c>
      <c r="E4349" s="11" t="str">
        <f t="array" ref="E4349">_xlfn.XLOOKUP(D4349,Insumos!B:B,Insumos!C:$C)</f>
        <v>M2</v>
      </c>
      <c r="F4349" s="14">
        <v>1.1000000000000001</v>
      </c>
      <c r="G4349" s="87">
        <f t="array" ref="G4349">IF(B4349="insumo",_xlfn.XLOOKUP($D4349,Insumos!$B$1:$B$996,Insumos!$D$1:$D$996),"")</f>
        <v>75.8</v>
      </c>
      <c r="H4349" s="87">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70</v>
      </c>
      <c r="C4350" s="10" t="s">
        <v>875</v>
      </c>
      <c r="D4350" s="10" t="s">
        <v>480</v>
      </c>
      <c r="E4350" s="11" t="str">
        <f t="array" ref="E4350">_xlfn.XLOOKUP(D4350,Insumos!B:B,Insumos!C:$C)</f>
        <v>KG</v>
      </c>
      <c r="F4350" s="14">
        <v>8.8000000000000007</v>
      </c>
      <c r="G4350" s="87">
        <f t="array" ref="G4350">IF(B4350="insumo",_xlfn.XLOOKUP($D4350,Insumos!$B$1:$B$996,Insumos!$D$1:$D$996),"")</f>
        <v>1.0645</v>
      </c>
      <c r="H4350" s="87">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70</v>
      </c>
      <c r="C4351" s="10" t="s">
        <v>875</v>
      </c>
      <c r="D4351" s="10" t="s">
        <v>505</v>
      </c>
      <c r="E4351" s="11" t="str">
        <f t="array" ref="E4351">_xlfn.XLOOKUP(D4351,Insumos!B:B,Insumos!C:$C)</f>
        <v>UN</v>
      </c>
      <c r="F4351" s="14">
        <v>2</v>
      </c>
      <c r="G4351" s="87">
        <f t="array" ref="G4351">IF(B4351="insumo",_xlfn.XLOOKUP($D4351,Insumos!$B$1:$B$996,Insumos!$D$1:$D$996),"")</f>
        <v>0.08</v>
      </c>
      <c r="H4351" s="87">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70</v>
      </c>
      <c r="C4352" s="10" t="s">
        <v>875</v>
      </c>
      <c r="D4352" s="10" t="s">
        <v>506</v>
      </c>
      <c r="E4352" s="11" t="str">
        <f t="array" ref="E4352">_xlfn.XLOOKUP(D4352,Insumos!B:B,Insumos!C:$C)</f>
        <v>KG</v>
      </c>
      <c r="F4352" s="14">
        <v>0.02</v>
      </c>
      <c r="G4352" s="87">
        <f t="array" ref="G4352">IF(B4352="insumo",_xlfn.XLOOKUP($D4352,Insumos!$B$1:$B$996,Insumos!$D$1:$D$996),"")</f>
        <v>11.15</v>
      </c>
      <c r="H4352" s="87">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332">
        <v>1</v>
      </c>
      <c r="B4353" s="332" t="s">
        <v>67</v>
      </c>
      <c r="C4353" s="332" t="s">
        <v>877</v>
      </c>
      <c r="D4353" s="332" t="s">
        <v>877</v>
      </c>
      <c r="E4353" s="333" t="s">
        <v>69</v>
      </c>
      <c r="F4353" s="332"/>
      <c r="G4353" s="334" t="str">
        <f t="array" ref="G4353">IF(B4353="insumo",_xlfn.XLOOKUP($D4353,Insumos!$B$1:$B$996,Insumos!$D$1:$D$996),"")</f>
        <v/>
      </c>
      <c r="H4353" s="334">
        <v>99.950599999999994</v>
      </c>
      <c r="I4353" s="335">
        <v>0</v>
      </c>
      <c r="J4353" s="335">
        <v>0</v>
      </c>
      <c r="K4353" s="335"/>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70</v>
      </c>
      <c r="C4354" s="10" t="s">
        <v>877</v>
      </c>
      <c r="D4354" s="10" t="s">
        <v>662</v>
      </c>
      <c r="E4354" s="11" t="str">
        <f t="array" ref="E4354">_xlfn.XLOOKUP(D4354,Insumos!B:B,Insumos!C:$C)</f>
        <v>M2</v>
      </c>
      <c r="F4354" s="14">
        <v>1.1000000000000001</v>
      </c>
      <c r="G4354" s="87">
        <f t="array" ref="G4354">IF(B4354="insumo",_xlfn.XLOOKUP($D4354,Insumos!$B$1:$B$996,Insumos!$D$1:$D$996),"")</f>
        <v>82</v>
      </c>
      <c r="H4354" s="87">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70</v>
      </c>
      <c r="C4355" s="10" t="s">
        <v>877</v>
      </c>
      <c r="D4355" s="10" t="s">
        <v>480</v>
      </c>
      <c r="E4355" s="11" t="str">
        <f t="array" ref="E4355">_xlfn.XLOOKUP(D4355,Insumos!B:B,Insumos!C:$C)</f>
        <v>KG</v>
      </c>
      <c r="F4355" s="14">
        <v>8.8000000000000007</v>
      </c>
      <c r="G4355" s="87">
        <f t="array" ref="G4355">IF(B4355="insumo",_xlfn.XLOOKUP($D4355,Insumos!$B$1:$B$996,Insumos!$D$1:$D$996),"")</f>
        <v>1.0645</v>
      </c>
      <c r="H4355" s="87">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70</v>
      </c>
      <c r="C4356" s="10" t="s">
        <v>877</v>
      </c>
      <c r="D4356" s="10" t="s">
        <v>505</v>
      </c>
      <c r="E4356" s="11" t="str">
        <f t="array" ref="E4356">_xlfn.XLOOKUP(D4356,Insumos!B:B,Insumos!C:$C)</f>
        <v>UN</v>
      </c>
      <c r="F4356" s="14">
        <v>2</v>
      </c>
      <c r="G4356" s="87">
        <f t="array" ref="G4356">IF(B4356="insumo",_xlfn.XLOOKUP($D4356,Insumos!$B$1:$B$996,Insumos!$D$1:$D$996),"")</f>
        <v>0.08</v>
      </c>
      <c r="H4356" s="87">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70</v>
      </c>
      <c r="C4357" s="10" t="s">
        <v>877</v>
      </c>
      <c r="D4357" s="10" t="s">
        <v>506</v>
      </c>
      <c r="E4357" s="11" t="str">
        <f t="array" ref="E4357">_xlfn.XLOOKUP(D4357,Insumos!B:B,Insumos!C:$C)</f>
        <v>KG</v>
      </c>
      <c r="F4357" s="14">
        <v>0.02</v>
      </c>
      <c r="G4357" s="87">
        <f t="array" ref="G4357">IF(B4357="insumo",_xlfn.XLOOKUP($D4357,Insumos!$B$1:$B$996,Insumos!$D$1:$D$996),"")</f>
        <v>11.15</v>
      </c>
      <c r="H4357" s="87">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332">
        <v>1</v>
      </c>
      <c r="B4358" s="332" t="s">
        <v>67</v>
      </c>
      <c r="C4358" s="332" t="s">
        <v>890</v>
      </c>
      <c r="D4358" s="332" t="s">
        <v>890</v>
      </c>
      <c r="E4358" s="333" t="s">
        <v>69</v>
      </c>
      <c r="F4358" s="332"/>
      <c r="G4358" s="334" t="str">
        <f t="array" ref="G4358">IF(B4358="insumo",_xlfn.XLOOKUP($D4358,Insumos!$B$1:$B$996,Insumos!$D$1:$D$996),"")</f>
        <v/>
      </c>
      <c r="H4358" s="334">
        <v>332.39</v>
      </c>
      <c r="I4358" s="335">
        <v>0</v>
      </c>
      <c r="J4358" s="335">
        <v>0</v>
      </c>
      <c r="K4358" s="335"/>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70</v>
      </c>
      <c r="C4359" s="10" t="s">
        <v>890</v>
      </c>
      <c r="D4359" s="10" t="s">
        <v>891</v>
      </c>
      <c r="E4359" s="11" t="str">
        <f t="array" ref="E4359">_xlfn.XLOOKUP(D4359,Insumos!B:B,Insumos!C:$C)</f>
        <v>M2</v>
      </c>
      <c r="F4359" s="14">
        <v>1</v>
      </c>
      <c r="G4359" s="87">
        <f t="array" ref="G4359">IF(B4359="insumo",_xlfn.XLOOKUP($D4359,Insumos!$B$1:$B$996,Insumos!$D$1:$D$996),"")</f>
        <v>246.84</v>
      </c>
      <c r="H4359" s="87">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70</v>
      </c>
      <c r="C4360" s="15" t="s">
        <v>890</v>
      </c>
      <c r="D4360" s="15" t="s">
        <v>892</v>
      </c>
      <c r="E4360" s="11" t="str">
        <f t="array" ref="E4360">_xlfn.XLOOKUP(D4360,Insumos!B:B,Insumos!C:$C)</f>
        <v>m2</v>
      </c>
      <c r="F4360" s="14">
        <v>1</v>
      </c>
      <c r="G4360" s="87">
        <f t="array" ref="G4360">IF(B4360="insumo",_xlfn.XLOOKUP($D4360,Insumos!$B$1:$B$996,Insumos!$D$1:$D$996),"")</f>
        <v>85.55</v>
      </c>
      <c r="H4360" s="87">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332">
        <v>1</v>
      </c>
      <c r="B4361" s="332" t="s">
        <v>67</v>
      </c>
      <c r="C4361" s="332" t="s">
        <v>883</v>
      </c>
      <c r="D4361" s="332" t="s">
        <v>883</v>
      </c>
      <c r="E4361" s="333" t="s">
        <v>69</v>
      </c>
      <c r="F4361" s="332"/>
      <c r="G4361" s="334" t="str">
        <f t="array" ref="G4361">IF(B4361="insumo",_xlfn.XLOOKUP($D4361,Insumos!$B$1:$B$996,Insumos!$D$1:$D$996),"")</f>
        <v/>
      </c>
      <c r="H4361" s="334">
        <v>139.45650000000001</v>
      </c>
      <c r="I4361" s="335">
        <v>0</v>
      </c>
      <c r="J4361" s="335">
        <v>0</v>
      </c>
      <c r="K4361" s="335"/>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70</v>
      </c>
      <c r="C4362" s="10" t="s">
        <v>883</v>
      </c>
      <c r="D4362" s="10" t="s">
        <v>884</v>
      </c>
      <c r="E4362" s="11" t="str">
        <f t="array" ref="E4362">_xlfn.XLOOKUP(D4362,Insumos!B:B,Insumos!C:$C)</f>
        <v>M2</v>
      </c>
      <c r="F4362" s="14">
        <v>1.1000000000000001</v>
      </c>
      <c r="G4362" s="87">
        <f t="array" ref="G4362">IF(B4362="insumo",_xlfn.XLOOKUP($D4362,Insumos!$B$1:$B$996,Insumos!$D$1:$D$996),"")</f>
        <v>112.71</v>
      </c>
      <c r="H4362" s="87">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70</v>
      </c>
      <c r="C4363" s="10" t="s">
        <v>883</v>
      </c>
      <c r="D4363" s="10" t="s">
        <v>480</v>
      </c>
      <c r="E4363" s="11" t="str">
        <f t="array" ref="E4363">_xlfn.XLOOKUP(D4363,Insumos!B:B,Insumos!C:$C)</f>
        <v>KG</v>
      </c>
      <c r="F4363" s="14">
        <v>9</v>
      </c>
      <c r="G4363" s="87">
        <f t="array" ref="G4363">IF(B4363="insumo",_xlfn.XLOOKUP($D4363,Insumos!$B$1:$B$996,Insumos!$D$1:$D$996),"")</f>
        <v>1.0645</v>
      </c>
      <c r="H4363" s="87">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70</v>
      </c>
      <c r="C4364" s="10" t="s">
        <v>883</v>
      </c>
      <c r="D4364" s="10" t="s">
        <v>505</v>
      </c>
      <c r="E4364" s="11" t="str">
        <f t="array" ref="E4364">_xlfn.XLOOKUP(D4364,Insumos!B:B,Insumos!C:$C)</f>
        <v>UN</v>
      </c>
      <c r="F4364" s="14">
        <v>4</v>
      </c>
      <c r="G4364" s="87">
        <f t="array" ref="G4364">IF(B4364="insumo",_xlfn.XLOOKUP($D4364,Insumos!$B$1:$B$996,Insumos!$D$1:$D$996),"")</f>
        <v>0.08</v>
      </c>
      <c r="H4364" s="87">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70</v>
      </c>
      <c r="C4365" s="10" t="s">
        <v>883</v>
      </c>
      <c r="D4365" s="10" t="s">
        <v>506</v>
      </c>
      <c r="E4365" s="11" t="str">
        <f t="array" ref="E4365">_xlfn.XLOOKUP(D4365,Insumos!B:B,Insumos!C:$C)</f>
        <v>KG</v>
      </c>
      <c r="F4365" s="14">
        <v>0.5</v>
      </c>
      <c r="G4365" s="87">
        <f t="array" ref="G4365">IF(B4365="insumo",_xlfn.XLOOKUP($D4365,Insumos!$B$1:$B$996,Insumos!$D$1:$D$996),"")</f>
        <v>11.15</v>
      </c>
      <c r="H4365" s="87">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332">
        <v>1</v>
      </c>
      <c r="B4366" s="332" t="s">
        <v>67</v>
      </c>
      <c r="C4366" s="332" t="s">
        <v>1563</v>
      </c>
      <c r="D4366" s="332" t="s">
        <v>1563</v>
      </c>
      <c r="E4366" s="333" t="s">
        <v>69</v>
      </c>
      <c r="F4366" s="332"/>
      <c r="G4366" s="334" t="str">
        <f t="array" ref="G4366">IF(B4366="insumo",_xlfn.XLOOKUP($D4366,Insumos!$B$1:$B$996,Insumos!$D$1:$D$996),"")</f>
        <v/>
      </c>
      <c r="H4366" s="334">
        <v>136.57259999999999</v>
      </c>
      <c r="I4366" s="335">
        <v>0</v>
      </c>
      <c r="J4366" s="335">
        <v>0</v>
      </c>
      <c r="K4366" s="335"/>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70</v>
      </c>
      <c r="C4367" s="10" t="s">
        <v>1563</v>
      </c>
      <c r="D4367" s="10" t="s">
        <v>1407</v>
      </c>
      <c r="E4367" s="11" t="str">
        <f t="array" ref="E4367">_xlfn.XLOOKUP(D4367,Insumos!B:B,Insumos!C:$C)</f>
        <v>M2</v>
      </c>
      <c r="F4367" s="14">
        <v>1.1000000000000001</v>
      </c>
      <c r="G4367" s="87">
        <f t="array" ref="G4367">IF(B4367="insumo",_xlfn.XLOOKUP($D4367,Insumos!$B$1:$B$996,Insumos!$D$1:$D$996),"")</f>
        <v>110.5</v>
      </c>
      <c r="H4367" s="87">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70</v>
      </c>
      <c r="C4368" s="10" t="s">
        <v>1563</v>
      </c>
      <c r="D4368" s="10" t="s">
        <v>480</v>
      </c>
      <c r="E4368" s="11" t="str">
        <f t="array" ref="E4368">_xlfn.XLOOKUP(D4368,Insumos!B:B,Insumos!C:$C)</f>
        <v>KG</v>
      </c>
      <c r="F4368" s="14">
        <v>8.8000000000000007</v>
      </c>
      <c r="G4368" s="87">
        <f t="array" ref="G4368">IF(B4368="insumo",_xlfn.XLOOKUP($D4368,Insumos!$B$1:$B$996,Insumos!$D$1:$D$996),"")</f>
        <v>1.0645</v>
      </c>
      <c r="H4368" s="87">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70</v>
      </c>
      <c r="C4369" s="10" t="s">
        <v>1563</v>
      </c>
      <c r="D4369" s="10" t="s">
        <v>505</v>
      </c>
      <c r="E4369" s="11" t="str">
        <f t="array" ref="E4369">_xlfn.XLOOKUP(D4369,Insumos!B:B,Insumos!C:$C)</f>
        <v>UN</v>
      </c>
      <c r="F4369" s="14">
        <v>1</v>
      </c>
      <c r="G4369" s="87">
        <f t="array" ref="G4369">IF(B4369="insumo",_xlfn.XLOOKUP($D4369,Insumos!$B$1:$B$996,Insumos!$D$1:$D$996),"")</f>
        <v>0.08</v>
      </c>
      <c r="H4369" s="87">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70</v>
      </c>
      <c r="C4370" s="10" t="s">
        <v>1563</v>
      </c>
      <c r="D4370" s="10" t="s">
        <v>506</v>
      </c>
      <c r="E4370" s="11" t="str">
        <f t="array" ref="E4370">_xlfn.XLOOKUP(D4370,Insumos!B:B,Insumos!C:$C)</f>
        <v>KG</v>
      </c>
      <c r="F4370" s="14">
        <v>0.5</v>
      </c>
      <c r="G4370" s="87">
        <f t="array" ref="G4370">IF(B4370="insumo",_xlfn.XLOOKUP($D4370,Insumos!$B$1:$B$996,Insumos!$D$1:$D$996),"")</f>
        <v>11.15</v>
      </c>
      <c r="H4370" s="87">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332">
        <v>1</v>
      </c>
      <c r="B4371" s="332" t="s">
        <v>67</v>
      </c>
      <c r="C4371" s="332" t="s">
        <v>1564</v>
      </c>
      <c r="D4371" s="332" t="s">
        <v>1564</v>
      </c>
      <c r="E4371" s="333" t="s">
        <v>69</v>
      </c>
      <c r="F4371" s="332"/>
      <c r="G4371" s="334" t="str">
        <f t="array" ref="G4371">IF(B4371="insumo",_xlfn.XLOOKUP($D4371,Insumos!$B$1:$B$996,Insumos!$D$1:$D$996),"")</f>
        <v/>
      </c>
      <c r="H4371" s="334">
        <v>121.55</v>
      </c>
      <c r="I4371" s="335">
        <v>0</v>
      </c>
      <c r="J4371" s="335">
        <v>0</v>
      </c>
      <c r="K4371" s="335"/>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70</v>
      </c>
      <c r="C4372" s="10" t="s">
        <v>1564</v>
      </c>
      <c r="D4372" s="10" t="s">
        <v>1407</v>
      </c>
      <c r="E4372" s="11" t="str">
        <f t="array" ref="E4372">_xlfn.XLOOKUP(D4372,Insumos!B:B,Insumos!C:$C)</f>
        <v>M2</v>
      </c>
      <c r="F4372" s="14">
        <v>1.1000000000000001</v>
      </c>
      <c r="G4372" s="87">
        <f t="array" ref="G4372">IF(B4372="insumo",_xlfn.XLOOKUP($D4372,Insumos!$B$1:$B$996,Insumos!$D$1:$D$996),"")</f>
        <v>110.5</v>
      </c>
      <c r="H4372" s="87">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336">
        <v>1</v>
      </c>
      <c r="B4373" s="336" t="s">
        <v>67</v>
      </c>
      <c r="C4373" s="336" t="s">
        <v>1907</v>
      </c>
      <c r="D4373" s="336" t="s">
        <v>1907</v>
      </c>
      <c r="E4373" s="337" t="s">
        <v>69</v>
      </c>
      <c r="F4373" s="336"/>
      <c r="G4373" s="338" t="str">
        <f t="array" ref="G4373">IF(B4373="insumo",_xlfn.XLOOKUP($D4373,Insumos!$B$1:$B$996,Insumos!$D$1:$D$996),"")</f>
        <v/>
      </c>
      <c r="H4373" s="338">
        <v>202.38560000000001</v>
      </c>
      <c r="I4373" s="339">
        <v>0</v>
      </c>
      <c r="J4373" s="339">
        <v>0</v>
      </c>
      <c r="K4373" s="339"/>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77">
        <v>1</v>
      </c>
      <c r="B4374" s="77" t="s">
        <v>70</v>
      </c>
      <c r="C4374" s="77" t="s">
        <v>1907</v>
      </c>
      <c r="D4374" s="77" t="s">
        <v>1747</v>
      </c>
      <c r="E4374" s="11" t="str">
        <f t="array" ref="E4374">_xlfn.XLOOKUP(D4374,Insumos!B:B,Insumos!C:$C)</f>
        <v>M2</v>
      </c>
      <c r="F4374" s="81">
        <v>1.1000000000000001</v>
      </c>
      <c r="G4374" s="87">
        <f t="array" ref="G4374">IF(B4374="insumo",_xlfn.XLOOKUP($D4374,Insumos!$B$1:$B$996,Insumos!$D$1:$D$996),"")</f>
        <v>175</v>
      </c>
      <c r="H4374" s="87">
        <v>192.5</v>
      </c>
      <c r="I4374" s="79">
        <v>0</v>
      </c>
      <c r="J4374" s="79">
        <v>0</v>
      </c>
      <c r="K4374" s="79"/>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77">
        <v>191</v>
      </c>
      <c r="B4375" s="77" t="s">
        <v>70</v>
      </c>
      <c r="C4375" s="77" t="s">
        <v>1907</v>
      </c>
      <c r="D4375" s="77" t="s">
        <v>480</v>
      </c>
      <c r="E4375" s="11" t="str">
        <f t="array" ref="E4375">_xlfn.XLOOKUP(D4375,Insumos!B:B,Insumos!C:$C)</f>
        <v>KG</v>
      </c>
      <c r="F4375" s="81">
        <v>8.8000000000000007</v>
      </c>
      <c r="G4375" s="87">
        <f t="array" ref="G4375">IF(B4375="insumo",_xlfn.XLOOKUP($D4375,Insumos!$B$1:$B$996,Insumos!$D$1:$D$996),"")</f>
        <v>1.0645</v>
      </c>
      <c r="H4375" s="87">
        <v>9.3675999999999995</v>
      </c>
      <c r="I4375" s="79">
        <v>0</v>
      </c>
      <c r="J4375" s="79">
        <v>0</v>
      </c>
      <c r="K4375" s="79"/>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77">
        <v>142</v>
      </c>
      <c r="B4376" s="77" t="s">
        <v>70</v>
      </c>
      <c r="C4376" s="77" t="s">
        <v>1907</v>
      </c>
      <c r="D4376" s="77" t="s">
        <v>505</v>
      </c>
      <c r="E4376" s="11" t="str">
        <f t="array" ref="E4376">_xlfn.XLOOKUP(D4376,Insumos!B:B,Insumos!C:$C)</f>
        <v>UN</v>
      </c>
      <c r="F4376" s="81">
        <v>1</v>
      </c>
      <c r="G4376" s="87">
        <f t="array" ref="G4376">IF(B4376="insumo",_xlfn.XLOOKUP($D4376,Insumos!$B$1:$B$996,Insumos!$D$1:$D$996),"")</f>
        <v>0.08</v>
      </c>
      <c r="H4376" s="87">
        <v>0.08</v>
      </c>
      <c r="I4376" s="79">
        <v>0</v>
      </c>
      <c r="J4376" s="79">
        <v>0</v>
      </c>
      <c r="K4376" s="79"/>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77">
        <v>22</v>
      </c>
      <c r="B4377" s="77" t="s">
        <v>70</v>
      </c>
      <c r="C4377" s="77" t="s">
        <v>1907</v>
      </c>
      <c r="D4377" s="77" t="s">
        <v>1765</v>
      </c>
      <c r="E4377" s="11" t="str">
        <f t="array" ref="E4377">_xlfn.XLOOKUP(D4377,Insumos!B:B,Insumos!C:$C)</f>
        <v>KG</v>
      </c>
      <c r="F4377" s="81">
        <v>0.01</v>
      </c>
      <c r="G4377" s="87">
        <f t="array" ref="G4377">IF(B4377="insumo",_xlfn.XLOOKUP($D4377,Insumos!$B$1:$B$996,Insumos!$D$1:$D$996),"")</f>
        <v>43.8</v>
      </c>
      <c r="H4377" s="87">
        <v>0.438</v>
      </c>
      <c r="I4377" s="79">
        <v>0</v>
      </c>
      <c r="J4377" s="79">
        <v>0</v>
      </c>
      <c r="K4377" s="79"/>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336">
        <v>1</v>
      </c>
      <c r="B4378" s="336" t="s">
        <v>67</v>
      </c>
      <c r="C4378" s="336" t="s">
        <v>2955</v>
      </c>
      <c r="D4378" s="336" t="s">
        <v>2955</v>
      </c>
      <c r="E4378" s="337" t="s">
        <v>69</v>
      </c>
      <c r="F4378" s="336"/>
      <c r="G4378" s="338" t="str">
        <f t="array" ref="G4378">IF(B4378="insumo",_xlfn.XLOOKUP($D4378,Insumos!$B$1:$B$996,Insumos!$D$1:$D$996),"")</f>
        <v/>
      </c>
      <c r="H4378" s="338">
        <v>172.0256</v>
      </c>
      <c r="I4378" s="339" t="e">
        <v>#REF!</v>
      </c>
      <c r="J4378" s="339" t="e">
        <v>#REF!</v>
      </c>
      <c r="K4378" s="339"/>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77">
        <v>3</v>
      </c>
      <c r="B4379" s="77" t="s">
        <v>70</v>
      </c>
      <c r="C4379" s="77" t="s">
        <v>2955</v>
      </c>
      <c r="D4379" s="10" t="s">
        <v>2953</v>
      </c>
      <c r="E4379" s="11" t="str">
        <f t="array" ref="E4379">_xlfn.XLOOKUP(D4379,Insumos!B:B,Insumos!C:$C)</f>
        <v>M2</v>
      </c>
      <c r="F4379" s="81">
        <v>1.1000000000000001</v>
      </c>
      <c r="G4379" s="87">
        <f t="array" ref="G4379">IF(B4379="insumo",_xlfn.XLOOKUP($D4379,Insumos!$B$1:$B$996,Insumos!$D$1:$D$996),"")</f>
        <v>147.4</v>
      </c>
      <c r="H4379" s="87">
        <v>162.13999999999999</v>
      </c>
      <c r="I4379" s="79" t="e">
        <v>#REF!</v>
      </c>
      <c r="J4379" s="79" t="e">
        <v>#REF!</v>
      </c>
      <c r="K4379" s="79"/>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77">
        <v>191</v>
      </c>
      <c r="B4380" s="77" t="s">
        <v>70</v>
      </c>
      <c r="C4380" s="77" t="s">
        <v>2955</v>
      </c>
      <c r="D4380" s="77" t="s">
        <v>480</v>
      </c>
      <c r="E4380" s="11" t="str">
        <f t="array" ref="E4380">_xlfn.XLOOKUP(D4380,Insumos!B:B,Insumos!C:$C)</f>
        <v>KG</v>
      </c>
      <c r="F4380" s="81">
        <v>8.8000000000000007</v>
      </c>
      <c r="G4380" s="87">
        <f t="array" ref="G4380">IF(B4380="insumo",_xlfn.XLOOKUP($D4380,Insumos!$B$1:$B$996,Insumos!$D$1:$D$996),"")</f>
        <v>1.0645</v>
      </c>
      <c r="H4380" s="87">
        <v>9.3675999999999995</v>
      </c>
      <c r="I4380" s="79" t="e">
        <v>#REF!</v>
      </c>
      <c r="J4380" s="79" t="e">
        <v>#REF!</v>
      </c>
      <c r="K4380" s="79"/>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77">
        <v>142</v>
      </c>
      <c r="B4381" s="77" t="s">
        <v>70</v>
      </c>
      <c r="C4381" s="77" t="s">
        <v>2955</v>
      </c>
      <c r="D4381" s="77" t="s">
        <v>505</v>
      </c>
      <c r="E4381" s="11" t="str">
        <f t="array" ref="E4381">_xlfn.XLOOKUP(D4381,Insumos!B:B,Insumos!C:$C)</f>
        <v>UN</v>
      </c>
      <c r="F4381" s="81">
        <v>1</v>
      </c>
      <c r="G4381" s="87">
        <f t="array" ref="G4381">IF(B4381="insumo",_xlfn.XLOOKUP($D4381,Insumos!$B$1:$B$996,Insumos!$D$1:$D$996),"")</f>
        <v>0.08</v>
      </c>
      <c r="H4381" s="87">
        <v>0.08</v>
      </c>
      <c r="I4381" s="79" t="e">
        <v>#REF!</v>
      </c>
      <c r="J4381" s="79" t="e">
        <v>#REF!</v>
      </c>
      <c r="K4381" s="79"/>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77">
        <v>22</v>
      </c>
      <c r="B4382" s="77" t="s">
        <v>70</v>
      </c>
      <c r="C4382" s="77" t="s">
        <v>2955</v>
      </c>
      <c r="D4382" s="77" t="s">
        <v>1765</v>
      </c>
      <c r="E4382" s="11" t="str">
        <f t="array" ref="E4382">_xlfn.XLOOKUP(D4382,Insumos!B:B,Insumos!C:$C)</f>
        <v>KG</v>
      </c>
      <c r="F4382" s="81">
        <v>0.01</v>
      </c>
      <c r="G4382" s="87">
        <f t="array" ref="G4382">IF(B4382="insumo",_xlfn.XLOOKUP($D4382,Insumos!$B$1:$B$996,Insumos!$D$1:$D$996),"")</f>
        <v>43.8</v>
      </c>
      <c r="H4382" s="87">
        <v>0.438</v>
      </c>
      <c r="I4382" s="79" t="e">
        <v>#REF!</v>
      </c>
      <c r="J4382" s="79" t="e">
        <v>#REF!</v>
      </c>
      <c r="K4382" s="79"/>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336">
        <v>1</v>
      </c>
      <c r="B4383" s="336" t="s">
        <v>67</v>
      </c>
      <c r="C4383" s="336" t="s">
        <v>2963</v>
      </c>
      <c r="D4383" s="336" t="s">
        <v>2963</v>
      </c>
      <c r="E4383" s="337" t="s">
        <v>69</v>
      </c>
      <c r="F4383" s="336"/>
      <c r="G4383" s="338" t="str">
        <f t="array" ref="G4383">IF(B4383="insumo",_xlfn.XLOOKUP($D4383,Insumos!$B$1:$B$996,Insumos!$D$1:$D$996),"")</f>
        <v/>
      </c>
      <c r="H4383" s="338">
        <v>443.28559999999999</v>
      </c>
      <c r="I4383" s="339" t="e">
        <v>#REF!</v>
      </c>
      <c r="J4383" s="339" t="e">
        <v>#REF!</v>
      </c>
      <c r="K4383" s="339"/>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77">
        <v>3</v>
      </c>
      <c r="B4384" s="77" t="s">
        <v>70</v>
      </c>
      <c r="C4384" s="77" t="s">
        <v>2963</v>
      </c>
      <c r="D4384" s="10" t="s">
        <v>2958</v>
      </c>
      <c r="E4384" s="11" t="str">
        <f t="array" ref="E4384">_xlfn.XLOOKUP(D4384,Insumos!B:B,Insumos!C:$C)</f>
        <v>M2</v>
      </c>
      <c r="F4384" s="81">
        <v>1.1000000000000001</v>
      </c>
      <c r="G4384" s="87">
        <f t="array" ref="G4384">IF(B4384="insumo",_xlfn.XLOOKUP($D4384,Insumos!$B$1:$B$996,Insumos!$D$1:$D$996),"")</f>
        <v>394</v>
      </c>
      <c r="H4384" s="87">
        <v>433.4</v>
      </c>
      <c r="I4384" s="79" t="e">
        <v>#REF!</v>
      </c>
      <c r="J4384" s="79" t="e">
        <v>#REF!</v>
      </c>
      <c r="K4384" s="79"/>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77">
        <v>191</v>
      </c>
      <c r="B4385" s="77" t="s">
        <v>70</v>
      </c>
      <c r="C4385" s="77" t="s">
        <v>2963</v>
      </c>
      <c r="D4385" s="77" t="s">
        <v>480</v>
      </c>
      <c r="E4385" s="11" t="str">
        <f t="array" ref="E4385">_xlfn.XLOOKUP(D4385,Insumos!B:B,Insumos!C:$C)</f>
        <v>KG</v>
      </c>
      <c r="F4385" s="81">
        <v>8.8000000000000007</v>
      </c>
      <c r="G4385" s="87">
        <f t="array" ref="G4385">IF(B4385="insumo",_xlfn.XLOOKUP($D4385,Insumos!$B$1:$B$996,Insumos!$D$1:$D$996),"")</f>
        <v>1.0645</v>
      </c>
      <c r="H4385" s="87">
        <v>9.3675999999999995</v>
      </c>
      <c r="I4385" s="79" t="e">
        <v>#REF!</v>
      </c>
      <c r="J4385" s="79" t="e">
        <v>#REF!</v>
      </c>
      <c r="K4385" s="79"/>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77">
        <v>142</v>
      </c>
      <c r="B4386" s="77" t="s">
        <v>70</v>
      </c>
      <c r="C4386" s="77" t="s">
        <v>2963</v>
      </c>
      <c r="D4386" s="77" t="s">
        <v>505</v>
      </c>
      <c r="E4386" s="11" t="str">
        <f t="array" ref="E4386">_xlfn.XLOOKUP(D4386,Insumos!B:B,Insumos!C:$C)</f>
        <v>UN</v>
      </c>
      <c r="F4386" s="81">
        <v>1</v>
      </c>
      <c r="G4386" s="87">
        <f t="array" ref="G4386">IF(B4386="insumo",_xlfn.XLOOKUP($D4386,Insumos!$B$1:$B$996,Insumos!$D$1:$D$996),"")</f>
        <v>0.08</v>
      </c>
      <c r="H4386" s="87">
        <v>0.08</v>
      </c>
      <c r="I4386" s="79" t="e">
        <v>#REF!</v>
      </c>
      <c r="J4386" s="79" t="e">
        <v>#REF!</v>
      </c>
      <c r="K4386" s="79"/>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77">
        <v>22</v>
      </c>
      <c r="B4387" s="77" t="s">
        <v>70</v>
      </c>
      <c r="C4387" s="77" t="s">
        <v>2963</v>
      </c>
      <c r="D4387" s="77" t="s">
        <v>1765</v>
      </c>
      <c r="E4387" s="11" t="str">
        <f t="array" ref="E4387">_xlfn.XLOOKUP(D4387,Insumos!B:B,Insumos!C:$C)</f>
        <v>KG</v>
      </c>
      <c r="F4387" s="81">
        <v>0.01</v>
      </c>
      <c r="G4387" s="87">
        <f t="array" ref="G4387">IF(B4387="insumo",_xlfn.XLOOKUP($D4387,Insumos!$B$1:$B$996,Insumos!$D$1:$D$996),"")</f>
        <v>43.8</v>
      </c>
      <c r="H4387" s="87">
        <v>0.438</v>
      </c>
      <c r="I4387" s="79" t="e">
        <v>#REF!</v>
      </c>
      <c r="J4387" s="79" t="e">
        <v>#REF!</v>
      </c>
      <c r="K4387" s="79"/>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336">
        <v>1</v>
      </c>
      <c r="B4388" s="336" t="s">
        <v>67</v>
      </c>
      <c r="C4388" s="336" t="s">
        <v>1908</v>
      </c>
      <c r="D4388" s="336" t="s">
        <v>1908</v>
      </c>
      <c r="E4388" s="337" t="s">
        <v>69</v>
      </c>
      <c r="F4388" s="336"/>
      <c r="G4388" s="338" t="str">
        <f t="array" ref="G4388">IF(B4388="insumo",_xlfn.XLOOKUP($D4388,Insumos!$B$1:$B$996,Insumos!$D$1:$D$996),"")</f>
        <v/>
      </c>
      <c r="H4388" s="338">
        <v>79.075599999999994</v>
      </c>
      <c r="I4388" s="339">
        <v>0</v>
      </c>
      <c r="J4388" s="339">
        <v>0</v>
      </c>
      <c r="K4388" s="339"/>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77">
        <v>1</v>
      </c>
      <c r="B4389" s="77" t="s">
        <v>70</v>
      </c>
      <c r="C4389" s="77" t="s">
        <v>1908</v>
      </c>
      <c r="D4389" s="77" t="s">
        <v>1734</v>
      </c>
      <c r="E4389" s="11" t="str">
        <f t="array" ref="E4389">_xlfn.XLOOKUP(D4389,Insumos!B:B,Insumos!C:$C)</f>
        <v>M2</v>
      </c>
      <c r="F4389" s="81">
        <v>1.1000000000000001</v>
      </c>
      <c r="G4389" s="87">
        <f t="array" ref="G4389">IF(B4389="insumo",_xlfn.XLOOKUP($D4389,Insumos!$B$1:$B$996,Insumos!$D$1:$D$996),"")</f>
        <v>62.9</v>
      </c>
      <c r="H4389" s="87">
        <v>69.19</v>
      </c>
      <c r="I4389" s="79">
        <v>0</v>
      </c>
      <c r="J4389" s="79">
        <v>0</v>
      </c>
      <c r="K4389" s="79"/>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77">
        <v>191</v>
      </c>
      <c r="B4390" s="77" t="s">
        <v>70</v>
      </c>
      <c r="C4390" s="77" t="s">
        <v>1908</v>
      </c>
      <c r="D4390" s="77" t="s">
        <v>480</v>
      </c>
      <c r="E4390" s="11" t="str">
        <f t="array" ref="E4390">_xlfn.XLOOKUP(D4390,Insumos!B:B,Insumos!C:$C)</f>
        <v>KG</v>
      </c>
      <c r="F4390" s="81">
        <v>8.8000000000000007</v>
      </c>
      <c r="G4390" s="87">
        <f t="array" ref="G4390">IF(B4390="insumo",_xlfn.XLOOKUP($D4390,Insumos!$B$1:$B$996,Insumos!$D$1:$D$996),"")</f>
        <v>1.0645</v>
      </c>
      <c r="H4390" s="87">
        <v>9.3675999999999995</v>
      </c>
      <c r="I4390" s="79">
        <v>0</v>
      </c>
      <c r="J4390" s="79">
        <v>0</v>
      </c>
      <c r="K4390" s="79"/>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77">
        <v>142</v>
      </c>
      <c r="B4391" s="77" t="s">
        <v>70</v>
      </c>
      <c r="C4391" s="77" t="s">
        <v>1908</v>
      </c>
      <c r="D4391" s="77" t="s">
        <v>505</v>
      </c>
      <c r="E4391" s="11" t="str">
        <f t="array" ref="E4391">_xlfn.XLOOKUP(D4391,Insumos!B:B,Insumos!C:$C)</f>
        <v>UN</v>
      </c>
      <c r="F4391" s="81">
        <v>1</v>
      </c>
      <c r="G4391" s="87">
        <f t="array" ref="G4391">IF(B4391="insumo",_xlfn.XLOOKUP($D4391,Insumos!$B$1:$B$996,Insumos!$D$1:$D$996),"")</f>
        <v>0.08</v>
      </c>
      <c r="H4391" s="87">
        <v>0.08</v>
      </c>
      <c r="I4391" s="79">
        <v>0</v>
      </c>
      <c r="J4391" s="79">
        <v>0</v>
      </c>
      <c r="K4391" s="79"/>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77">
        <v>22</v>
      </c>
      <c r="B4392" s="77" t="s">
        <v>70</v>
      </c>
      <c r="C4392" s="77" t="s">
        <v>1908</v>
      </c>
      <c r="D4392" s="77" t="s">
        <v>1765</v>
      </c>
      <c r="E4392" s="11" t="str">
        <f t="array" ref="E4392">_xlfn.XLOOKUP(D4392,Insumos!B:B,Insumos!C:$C)</f>
        <v>KG</v>
      </c>
      <c r="F4392" s="81">
        <v>0.01</v>
      </c>
      <c r="G4392" s="87">
        <f t="array" ref="G4392">IF(B4392="insumo",_xlfn.XLOOKUP($D4392,Insumos!$B$1:$B$996,Insumos!$D$1:$D$996),"")</f>
        <v>43.8</v>
      </c>
      <c r="H4392" s="87">
        <v>0.438</v>
      </c>
      <c r="I4392" s="79">
        <v>0</v>
      </c>
      <c r="J4392" s="79">
        <v>0</v>
      </c>
      <c r="K4392" s="79"/>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336">
        <v>1</v>
      </c>
      <c r="B4393" s="336" t="s">
        <v>67</v>
      </c>
      <c r="C4393" s="336" t="s">
        <v>1909</v>
      </c>
      <c r="D4393" s="336" t="s">
        <v>1909</v>
      </c>
      <c r="E4393" s="337" t="s">
        <v>69</v>
      </c>
      <c r="F4393" s="336"/>
      <c r="G4393" s="338" t="str">
        <f t="array" ref="G4393">IF(B4393="insumo",_xlfn.XLOOKUP($D4393,Insumos!$B$1:$B$996,Insumos!$D$1:$D$996),"")</f>
        <v/>
      </c>
      <c r="H4393" s="338">
        <v>92.385599999999997</v>
      </c>
      <c r="I4393" s="339">
        <v>0</v>
      </c>
      <c r="J4393" s="339">
        <v>0</v>
      </c>
      <c r="K4393" s="339"/>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77">
        <v>1</v>
      </c>
      <c r="B4394" s="77" t="s">
        <v>70</v>
      </c>
      <c r="C4394" s="77" t="s">
        <v>1909</v>
      </c>
      <c r="D4394" s="77" t="s">
        <v>1733</v>
      </c>
      <c r="E4394" s="11" t="str">
        <f t="array" ref="E4394">_xlfn.XLOOKUP(D4394,Insumos!B:B,Insumos!C:$C)</f>
        <v>M2</v>
      </c>
      <c r="F4394" s="81">
        <v>1.1000000000000001</v>
      </c>
      <c r="G4394" s="87">
        <f t="array" ref="G4394">IF(B4394="insumo",_xlfn.XLOOKUP($D4394,Insumos!$B$1:$B$996,Insumos!$D$1:$D$996),"")</f>
        <v>75</v>
      </c>
      <c r="H4394" s="87">
        <v>82.5</v>
      </c>
      <c r="I4394" s="79">
        <v>0</v>
      </c>
      <c r="J4394" s="79">
        <v>0</v>
      </c>
      <c r="K4394" s="79"/>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77">
        <v>191</v>
      </c>
      <c r="B4395" s="77" t="s">
        <v>70</v>
      </c>
      <c r="C4395" s="77" t="s">
        <v>1909</v>
      </c>
      <c r="D4395" s="77" t="s">
        <v>480</v>
      </c>
      <c r="E4395" s="11" t="str">
        <f t="array" ref="E4395">_xlfn.XLOOKUP(D4395,Insumos!B:B,Insumos!C:$C)</f>
        <v>KG</v>
      </c>
      <c r="F4395" s="81">
        <v>8.8000000000000007</v>
      </c>
      <c r="G4395" s="87">
        <f t="array" ref="G4395">IF(B4395="insumo",_xlfn.XLOOKUP($D4395,Insumos!$B$1:$B$996,Insumos!$D$1:$D$996),"")</f>
        <v>1.0645</v>
      </c>
      <c r="H4395" s="87">
        <v>9.3675999999999995</v>
      </c>
      <c r="I4395" s="79">
        <v>0</v>
      </c>
      <c r="J4395" s="79">
        <v>0</v>
      </c>
      <c r="K4395" s="79"/>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77">
        <v>142</v>
      </c>
      <c r="B4396" s="77" t="s">
        <v>70</v>
      </c>
      <c r="C4396" s="77" t="s">
        <v>1909</v>
      </c>
      <c r="D4396" s="77" t="s">
        <v>505</v>
      </c>
      <c r="E4396" s="11" t="str">
        <f t="array" ref="E4396">_xlfn.XLOOKUP(D4396,Insumos!B:B,Insumos!C:$C)</f>
        <v>UN</v>
      </c>
      <c r="F4396" s="81">
        <v>1</v>
      </c>
      <c r="G4396" s="87">
        <f t="array" ref="G4396">IF(B4396="insumo",_xlfn.XLOOKUP($D4396,Insumos!$B$1:$B$996,Insumos!$D$1:$D$996),"")</f>
        <v>0.08</v>
      </c>
      <c r="H4396" s="87">
        <v>0.08</v>
      </c>
      <c r="I4396" s="79">
        <v>0</v>
      </c>
      <c r="J4396" s="79">
        <v>0</v>
      </c>
      <c r="K4396" s="79"/>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77">
        <v>22</v>
      </c>
      <c r="B4397" s="77" t="s">
        <v>70</v>
      </c>
      <c r="C4397" s="77" t="s">
        <v>1909</v>
      </c>
      <c r="D4397" s="77" t="s">
        <v>1765</v>
      </c>
      <c r="E4397" s="11" t="str">
        <f t="array" ref="E4397">_xlfn.XLOOKUP(D4397,Insumos!B:B,Insumos!C:$C)</f>
        <v>KG</v>
      </c>
      <c r="F4397" s="81">
        <v>0.01</v>
      </c>
      <c r="G4397" s="87">
        <f t="array" ref="G4397">IF(B4397="insumo",_xlfn.XLOOKUP($D4397,Insumos!$B$1:$B$996,Insumos!$D$1:$D$996),"")</f>
        <v>43.8</v>
      </c>
      <c r="H4397" s="87">
        <v>0.438</v>
      </c>
      <c r="I4397" s="79">
        <v>0</v>
      </c>
      <c r="J4397" s="79">
        <v>0</v>
      </c>
      <c r="K4397" s="79"/>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336">
        <v>1</v>
      </c>
      <c r="B4398" s="336" t="s">
        <v>67</v>
      </c>
      <c r="C4398" s="336" t="s">
        <v>1910</v>
      </c>
      <c r="D4398" s="336" t="s">
        <v>1910</v>
      </c>
      <c r="E4398" s="337" t="s">
        <v>69</v>
      </c>
      <c r="F4398" s="336"/>
      <c r="G4398" s="338" t="str">
        <f t="array" ref="G4398">IF(B4398="insumo",_xlfn.XLOOKUP($D4398,Insumos!$B$1:$B$996,Insumos!$D$1:$D$996),"")</f>
        <v/>
      </c>
      <c r="H4398" s="338">
        <v>86.824488888888894</v>
      </c>
      <c r="I4398" s="339">
        <v>0</v>
      </c>
      <c r="J4398" s="339">
        <v>0</v>
      </c>
      <c r="K4398" s="339"/>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77">
        <v>1</v>
      </c>
      <c r="B4399" s="77" t="s">
        <v>70</v>
      </c>
      <c r="C4399" s="77" t="s">
        <v>1910</v>
      </c>
      <c r="D4399" s="77" t="s">
        <v>1732</v>
      </c>
      <c r="E4399" s="11" t="str">
        <f t="array" ref="E4399">_xlfn.XLOOKUP(D4399,Insumos!B:B,Insumos!C:$C)</f>
        <v>M2</v>
      </c>
      <c r="F4399" s="81">
        <v>1.1000000000000001</v>
      </c>
      <c r="G4399" s="87">
        <f t="array" ref="G4399">IF(B4399="insumo",_xlfn.XLOOKUP($D4399,Insumos!$B$1:$B$996,Insumos!$D$1:$D$996),"")</f>
        <v>69.944444444444443</v>
      </c>
      <c r="H4399" s="87">
        <v>76.938888888888897</v>
      </c>
      <c r="I4399" s="79">
        <v>0</v>
      </c>
      <c r="J4399" s="79">
        <v>0</v>
      </c>
      <c r="K4399" s="79"/>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77">
        <v>191</v>
      </c>
      <c r="B4400" s="77" t="s">
        <v>70</v>
      </c>
      <c r="C4400" s="77" t="s">
        <v>1910</v>
      </c>
      <c r="D4400" s="77" t="s">
        <v>480</v>
      </c>
      <c r="E4400" s="11" t="str">
        <f t="array" ref="E4400">_xlfn.XLOOKUP(D4400,Insumos!B:B,Insumos!C:$C)</f>
        <v>KG</v>
      </c>
      <c r="F4400" s="81">
        <v>8.8000000000000007</v>
      </c>
      <c r="G4400" s="87">
        <f t="array" ref="G4400">IF(B4400="insumo",_xlfn.XLOOKUP($D4400,Insumos!$B$1:$B$996,Insumos!$D$1:$D$996),"")</f>
        <v>1.0645</v>
      </c>
      <c r="H4400" s="87">
        <v>9.3675999999999995</v>
      </c>
      <c r="I4400" s="79">
        <v>0</v>
      </c>
      <c r="J4400" s="79">
        <v>0</v>
      </c>
      <c r="K4400" s="79"/>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77">
        <v>142</v>
      </c>
      <c r="B4401" s="77" t="s">
        <v>70</v>
      </c>
      <c r="C4401" s="77" t="s">
        <v>1910</v>
      </c>
      <c r="D4401" s="77" t="s">
        <v>505</v>
      </c>
      <c r="E4401" s="11" t="str">
        <f t="array" ref="E4401">_xlfn.XLOOKUP(D4401,Insumos!B:B,Insumos!C:$C)</f>
        <v>UN</v>
      </c>
      <c r="F4401" s="81">
        <v>1</v>
      </c>
      <c r="G4401" s="87">
        <f t="array" ref="G4401">IF(B4401="insumo",_xlfn.XLOOKUP($D4401,Insumos!$B$1:$B$996,Insumos!$D$1:$D$996),"")</f>
        <v>0.08</v>
      </c>
      <c r="H4401" s="87">
        <v>0.08</v>
      </c>
      <c r="I4401" s="79">
        <v>0</v>
      </c>
      <c r="J4401" s="79">
        <v>0</v>
      </c>
      <c r="K4401" s="79"/>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77">
        <v>22</v>
      </c>
      <c r="B4402" s="77" t="s">
        <v>70</v>
      </c>
      <c r="C4402" s="77" t="s">
        <v>1910</v>
      </c>
      <c r="D4402" s="77" t="s">
        <v>1765</v>
      </c>
      <c r="E4402" s="11" t="str">
        <f t="array" ref="E4402">_xlfn.XLOOKUP(D4402,Insumos!B:B,Insumos!C:$C)</f>
        <v>KG</v>
      </c>
      <c r="F4402" s="81">
        <v>0.01</v>
      </c>
      <c r="G4402" s="87">
        <f t="array" ref="G4402">IF(B4402="insumo",_xlfn.XLOOKUP($D4402,Insumos!$B$1:$B$996,Insumos!$D$1:$D$996),"")</f>
        <v>43.8</v>
      </c>
      <c r="H4402" s="87">
        <v>0.438</v>
      </c>
      <c r="I4402" s="79">
        <v>0</v>
      </c>
      <c r="J4402" s="79">
        <v>0</v>
      </c>
      <c r="K4402" s="79"/>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355">
        <v>1</v>
      </c>
      <c r="B4403" s="355" t="s">
        <v>1227</v>
      </c>
      <c r="C4403" s="355" t="s">
        <v>1910</v>
      </c>
      <c r="D4403" s="355" t="s">
        <v>1556</v>
      </c>
      <c r="E4403" s="356"/>
      <c r="F4403" s="357"/>
      <c r="G4403" s="356"/>
      <c r="H4403" s="356">
        <v>0</v>
      </c>
      <c r="I4403" s="357">
        <v>0</v>
      </c>
      <c r="J4403" s="357">
        <v>0</v>
      </c>
      <c r="K4403" s="357"/>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332">
        <v>1</v>
      </c>
      <c r="B4404" s="332" t="s">
        <v>67</v>
      </c>
      <c r="C4404" s="332" t="s">
        <v>856</v>
      </c>
      <c r="D4404" s="332" t="s">
        <v>856</v>
      </c>
      <c r="E4404" s="333" t="s">
        <v>69</v>
      </c>
      <c r="F4404" s="332"/>
      <c r="G4404" s="334" t="str">
        <f t="array" ref="G4404">IF(B4404="insumo",_xlfn.XLOOKUP($D4404,Insumos!$B$1:$B$996,Insumos!$D$1:$D$996),"")</f>
        <v/>
      </c>
      <c r="H4404" s="334">
        <v>898.24549999999999</v>
      </c>
      <c r="I4404" s="335">
        <v>0</v>
      </c>
      <c r="J4404" s="335">
        <v>0</v>
      </c>
      <c r="K4404" s="335"/>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70</v>
      </c>
      <c r="C4405" s="10" t="s">
        <v>856</v>
      </c>
      <c r="D4405" s="10" t="s">
        <v>530</v>
      </c>
      <c r="E4405" s="11" t="str">
        <f t="array" ref="E4405">_xlfn.XLOOKUP(D4405,Insumos!B:B,Insumos!C:$C)</f>
        <v>M2</v>
      </c>
      <c r="F4405" s="14">
        <v>1.1000000000000001</v>
      </c>
      <c r="G4405" s="87">
        <f t="array" ref="G4405">IF(B4405="insumo",_xlfn.XLOOKUP($D4405,Insumos!$B$1:$B$996,Insumos!$D$1:$D$996),"")</f>
        <v>800</v>
      </c>
      <c r="H4405" s="87">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70</v>
      </c>
      <c r="C4406" s="10" t="s">
        <v>856</v>
      </c>
      <c r="D4406" s="10" t="s">
        <v>480</v>
      </c>
      <c r="E4406" s="11" t="str">
        <f t="array" ref="E4406">_xlfn.XLOOKUP(D4406,Insumos!B:B,Insumos!C:$C)</f>
        <v>KG</v>
      </c>
      <c r="F4406" s="14">
        <v>9</v>
      </c>
      <c r="G4406" s="87">
        <f t="array" ref="G4406">IF(B4406="insumo",_xlfn.XLOOKUP($D4406,Insumos!$B$1:$B$996,Insumos!$D$1:$D$996),"")</f>
        <v>1.0645</v>
      </c>
      <c r="H4406" s="87">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70</v>
      </c>
      <c r="C4407" s="10" t="s">
        <v>856</v>
      </c>
      <c r="D4407" s="10" t="s">
        <v>537</v>
      </c>
      <c r="E4407" s="11" t="str">
        <f t="array" ref="E4407">_xlfn.XLOOKUP(D4407,Insumos!B:B,Insumos!C:$C)</f>
        <v>UN</v>
      </c>
      <c r="F4407" s="14">
        <v>0.5</v>
      </c>
      <c r="G4407" s="87">
        <f t="array" ref="G4407">IF(B4407="insumo",_xlfn.XLOOKUP($D4407,Insumos!$B$1:$B$996,Insumos!$D$1:$D$996),"")</f>
        <v>17.329999999999998</v>
      </c>
      <c r="H4407" s="87">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332">
        <v>1</v>
      </c>
      <c r="B4408" s="332" t="s">
        <v>67</v>
      </c>
      <c r="C4408" s="332" t="s">
        <v>857</v>
      </c>
      <c r="D4408" s="332" t="s">
        <v>857</v>
      </c>
      <c r="E4408" s="333" t="s">
        <v>69</v>
      </c>
      <c r="F4408" s="332"/>
      <c r="G4408" s="334" t="str">
        <f t="array" ref="G4408">IF(B4408="insumo",_xlfn.XLOOKUP($D4408,Insumos!$B$1:$B$996,Insumos!$D$1:$D$996),"")</f>
        <v/>
      </c>
      <c r="H4408" s="334">
        <v>733.24549999999999</v>
      </c>
      <c r="I4408" s="335">
        <v>0</v>
      </c>
      <c r="J4408" s="335">
        <v>0</v>
      </c>
      <c r="K4408" s="335"/>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70</v>
      </c>
      <c r="C4409" s="10" t="s">
        <v>857</v>
      </c>
      <c r="D4409" s="10" t="s">
        <v>858</v>
      </c>
      <c r="E4409" s="11" t="str">
        <f t="array" ref="E4409">_xlfn.XLOOKUP(D4409,Insumos!B:B,Insumos!C:$C)</f>
        <v>M2</v>
      </c>
      <c r="F4409" s="14">
        <v>1.1000000000000001</v>
      </c>
      <c r="G4409" s="87">
        <f t="array" ref="G4409">IF(B4409="insumo",_xlfn.XLOOKUP($D4409,Insumos!$B$1:$B$996,Insumos!$D$1:$D$996),"")</f>
        <v>650</v>
      </c>
      <c r="H4409" s="87">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70</v>
      </c>
      <c r="C4410" s="10" t="s">
        <v>857</v>
      </c>
      <c r="D4410" s="10" t="s">
        <v>480</v>
      </c>
      <c r="E4410" s="11" t="str">
        <f t="array" ref="E4410">_xlfn.XLOOKUP(D4410,Insumos!B:B,Insumos!C:$C)</f>
        <v>KG</v>
      </c>
      <c r="F4410" s="14">
        <v>9</v>
      </c>
      <c r="G4410" s="87">
        <f t="array" ref="G4410">IF(B4410="insumo",_xlfn.XLOOKUP($D4410,Insumos!$B$1:$B$996,Insumos!$D$1:$D$996),"")</f>
        <v>1.0645</v>
      </c>
      <c r="H4410" s="87">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70</v>
      </c>
      <c r="C4411" s="10" t="s">
        <v>857</v>
      </c>
      <c r="D4411" s="10" t="s">
        <v>537</v>
      </c>
      <c r="E4411" s="11" t="str">
        <f t="array" ref="E4411">_xlfn.XLOOKUP(D4411,Insumos!B:B,Insumos!C:$C)</f>
        <v>UN</v>
      </c>
      <c r="F4411" s="14">
        <v>0.5</v>
      </c>
      <c r="G4411" s="87">
        <f t="array" ref="G4411">IF(B4411="insumo",_xlfn.XLOOKUP($D4411,Insumos!$B$1:$B$996,Insumos!$D$1:$D$996),"")</f>
        <v>17.329999999999998</v>
      </c>
      <c r="H4411" s="87">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332">
        <v>1</v>
      </c>
      <c r="B4412" s="332" t="s">
        <v>67</v>
      </c>
      <c r="C4412" s="332" t="s">
        <v>866</v>
      </c>
      <c r="D4412" s="332" t="s">
        <v>866</v>
      </c>
      <c r="E4412" s="333" t="s">
        <v>69</v>
      </c>
      <c r="F4412" s="332"/>
      <c r="G4412" s="334" t="str">
        <f t="array" ref="G4412">IF(B4412="insumo",_xlfn.XLOOKUP($D4412,Insumos!$B$1:$B$996,Insumos!$D$1:$D$996),"")</f>
        <v/>
      </c>
      <c r="H4412" s="334">
        <v>568.77549999999997</v>
      </c>
      <c r="I4412" s="335">
        <v>0</v>
      </c>
      <c r="J4412" s="335">
        <v>0</v>
      </c>
      <c r="K4412" s="335"/>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70</v>
      </c>
      <c r="C4413" s="10" t="s">
        <v>866</v>
      </c>
      <c r="D4413" s="10" t="s">
        <v>867</v>
      </c>
      <c r="E4413" s="11" t="str">
        <f t="array" ref="E4413">_xlfn.XLOOKUP(D4413,Insumos!B:B,Insumos!C:$C)</f>
        <v>M2</v>
      </c>
      <c r="F4413" s="14">
        <v>1.1000000000000001</v>
      </c>
      <c r="G4413" s="87">
        <f t="array" ref="G4413">IF(B4413="insumo",_xlfn.XLOOKUP($D4413,Insumos!$B$1:$B$996,Insumos!$D$1:$D$996),"")</f>
        <v>503</v>
      </c>
      <c r="H4413" s="87">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70</v>
      </c>
      <c r="C4414" s="10" t="s">
        <v>866</v>
      </c>
      <c r="D4414" s="10" t="s">
        <v>480</v>
      </c>
      <c r="E4414" s="11" t="str">
        <f t="array" ref="E4414">_xlfn.XLOOKUP(D4414,Insumos!B:B,Insumos!C:$C)</f>
        <v>KG</v>
      </c>
      <c r="F4414" s="14">
        <v>9</v>
      </c>
      <c r="G4414" s="87">
        <f t="array" ref="G4414">IF(B4414="insumo",_xlfn.XLOOKUP($D4414,Insumos!$B$1:$B$996,Insumos!$D$1:$D$996),"")</f>
        <v>1.0645</v>
      </c>
      <c r="H4414" s="87">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70</v>
      </c>
      <c r="C4415" s="10" t="s">
        <v>866</v>
      </c>
      <c r="D4415" s="10" t="s">
        <v>505</v>
      </c>
      <c r="E4415" s="11" t="str">
        <f t="array" ref="E4415">_xlfn.XLOOKUP(D4415,Insumos!B:B,Insumos!C:$C)</f>
        <v>UN</v>
      </c>
      <c r="F4415" s="14">
        <v>4</v>
      </c>
      <c r="G4415" s="87">
        <f t="array" ref="G4415">IF(B4415="insumo",_xlfn.XLOOKUP($D4415,Insumos!$B$1:$B$996,Insumos!$D$1:$D$996),"")</f>
        <v>0.08</v>
      </c>
      <c r="H4415" s="87">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70</v>
      </c>
      <c r="C4416" s="10" t="s">
        <v>866</v>
      </c>
      <c r="D4416" s="10" t="s">
        <v>506</v>
      </c>
      <c r="E4416" s="11" t="str">
        <f t="array" ref="E4416">_xlfn.XLOOKUP(D4416,Insumos!B:B,Insumos!C:$C)</f>
        <v>KG</v>
      </c>
      <c r="F4416" s="14">
        <v>0.5</v>
      </c>
      <c r="G4416" s="87">
        <f t="array" ref="G4416">IF(B4416="insumo",_xlfn.XLOOKUP($D4416,Insumos!$B$1:$B$996,Insumos!$D$1:$D$996),"")</f>
        <v>11.15</v>
      </c>
      <c r="H4416" s="87">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332">
        <v>1</v>
      </c>
      <c r="B4417" s="332" t="s">
        <v>67</v>
      </c>
      <c r="C4417" s="332" t="s">
        <v>868</v>
      </c>
      <c r="D4417" s="332" t="s">
        <v>868</v>
      </c>
      <c r="E4417" s="333" t="s">
        <v>69</v>
      </c>
      <c r="F4417" s="332"/>
      <c r="G4417" s="334" t="str">
        <f t="array" ref="G4417">IF(B4417="insumo",_xlfn.XLOOKUP($D4417,Insumos!$B$1:$B$996,Insumos!$D$1:$D$996),"")</f>
        <v/>
      </c>
      <c r="H4417" s="334">
        <v>730.47550000000001</v>
      </c>
      <c r="I4417" s="335">
        <v>0</v>
      </c>
      <c r="J4417" s="335">
        <v>0</v>
      </c>
      <c r="K4417" s="335"/>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70</v>
      </c>
      <c r="C4418" s="10" t="s">
        <v>868</v>
      </c>
      <c r="D4418" s="10" t="s">
        <v>648</v>
      </c>
      <c r="E4418" s="11" t="str">
        <f t="array" ref="E4418">_xlfn.XLOOKUP(D4418,Insumos!B:B,Insumos!C:$C)</f>
        <v>M2</v>
      </c>
      <c r="F4418" s="14">
        <v>1.1000000000000001</v>
      </c>
      <c r="G4418" s="87">
        <f t="array" ref="G4418">IF(B4418="insumo",_xlfn.XLOOKUP($D4418,Insumos!$B$1:$B$996,Insumos!$D$1:$D$996),"")</f>
        <v>650</v>
      </c>
      <c r="H4418" s="87">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70</v>
      </c>
      <c r="C4419" s="10" t="s">
        <v>868</v>
      </c>
      <c r="D4419" s="10" t="s">
        <v>480</v>
      </c>
      <c r="E4419" s="11" t="str">
        <f t="array" ref="E4419">_xlfn.XLOOKUP(D4419,Insumos!B:B,Insumos!C:$C)</f>
        <v>KG</v>
      </c>
      <c r="F4419" s="14">
        <v>9</v>
      </c>
      <c r="G4419" s="87">
        <f t="array" ref="G4419">IF(B4419="insumo",_xlfn.XLOOKUP($D4419,Insumos!$B$1:$B$996,Insumos!$D$1:$D$996),"")</f>
        <v>1.0645</v>
      </c>
      <c r="H4419" s="87">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70</v>
      </c>
      <c r="C4420" s="10" t="s">
        <v>868</v>
      </c>
      <c r="D4420" s="10" t="s">
        <v>505</v>
      </c>
      <c r="E4420" s="11" t="str">
        <f t="array" ref="E4420">_xlfn.XLOOKUP(D4420,Insumos!B:B,Insumos!C:$C)</f>
        <v>UN</v>
      </c>
      <c r="F4420" s="14">
        <v>4</v>
      </c>
      <c r="G4420" s="87">
        <f t="array" ref="G4420">IF(B4420="insumo",_xlfn.XLOOKUP($D4420,Insumos!$B$1:$B$996,Insumos!$D$1:$D$996),"")</f>
        <v>0.08</v>
      </c>
      <c r="H4420" s="87">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70</v>
      </c>
      <c r="C4421" s="10" t="s">
        <v>868</v>
      </c>
      <c r="D4421" s="10" t="s">
        <v>506</v>
      </c>
      <c r="E4421" s="11" t="str">
        <f t="array" ref="E4421">_xlfn.XLOOKUP(D4421,Insumos!B:B,Insumos!C:$C)</f>
        <v>KG</v>
      </c>
      <c r="F4421" s="14">
        <v>0.5</v>
      </c>
      <c r="G4421" s="87">
        <f t="array" ref="G4421">IF(B4421="insumo",_xlfn.XLOOKUP($D4421,Insumos!$B$1:$B$996,Insumos!$D$1:$D$996),"")</f>
        <v>11.15</v>
      </c>
      <c r="H4421" s="87">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332">
        <v>1</v>
      </c>
      <c r="B4422" s="332" t="s">
        <v>67</v>
      </c>
      <c r="C4422" s="332" t="s">
        <v>869</v>
      </c>
      <c r="D4422" s="332" t="s">
        <v>869</v>
      </c>
      <c r="E4422" s="333" t="s">
        <v>69</v>
      </c>
      <c r="F4422" s="332"/>
      <c r="G4422" s="334" t="str">
        <f t="array" ref="G4422">IF(B4422="insumo",_xlfn.XLOOKUP($D4422,Insumos!$B$1:$B$996,Insumos!$D$1:$D$996),"")</f>
        <v/>
      </c>
      <c r="H4422" s="334">
        <v>895.47550000000001</v>
      </c>
      <c r="I4422" s="335">
        <v>0</v>
      </c>
      <c r="J4422" s="335">
        <v>0</v>
      </c>
      <c r="K4422" s="335"/>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70</v>
      </c>
      <c r="C4423" s="10" t="s">
        <v>869</v>
      </c>
      <c r="D4423" s="10" t="s">
        <v>870</v>
      </c>
      <c r="E4423" s="11" t="str">
        <f t="array" ref="E4423">_xlfn.XLOOKUP(D4423,Insumos!B:B,Insumos!C:$C)</f>
        <v>M2</v>
      </c>
      <c r="F4423" s="14">
        <v>1.1000000000000001</v>
      </c>
      <c r="G4423" s="87">
        <f t="array" ref="G4423">IF(B4423="insumo",_xlfn.XLOOKUP($D4423,Insumos!$B$1:$B$996,Insumos!$D$1:$D$996),"")</f>
        <v>800</v>
      </c>
      <c r="H4423" s="87">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70</v>
      </c>
      <c r="C4424" s="10" t="s">
        <v>869</v>
      </c>
      <c r="D4424" s="10" t="s">
        <v>480</v>
      </c>
      <c r="E4424" s="11" t="str">
        <f t="array" ref="E4424">_xlfn.XLOOKUP(D4424,Insumos!B:B,Insumos!C:$C)</f>
        <v>KG</v>
      </c>
      <c r="F4424" s="14">
        <v>9</v>
      </c>
      <c r="G4424" s="87">
        <f t="array" ref="G4424">IF(B4424="insumo",_xlfn.XLOOKUP($D4424,Insumos!$B$1:$B$996,Insumos!$D$1:$D$996),"")</f>
        <v>1.0645</v>
      </c>
      <c r="H4424" s="87">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70</v>
      </c>
      <c r="C4425" s="10" t="s">
        <v>869</v>
      </c>
      <c r="D4425" s="10" t="s">
        <v>505</v>
      </c>
      <c r="E4425" s="11" t="str">
        <f t="array" ref="E4425">_xlfn.XLOOKUP(D4425,Insumos!B:B,Insumos!C:$C)</f>
        <v>UN</v>
      </c>
      <c r="F4425" s="14">
        <v>4</v>
      </c>
      <c r="G4425" s="87">
        <f t="array" ref="G4425">IF(B4425="insumo",_xlfn.XLOOKUP($D4425,Insumos!$B$1:$B$996,Insumos!$D$1:$D$996),"")</f>
        <v>0.08</v>
      </c>
      <c r="H4425" s="87">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70</v>
      </c>
      <c r="C4426" s="10" t="s">
        <v>869</v>
      </c>
      <c r="D4426" s="10" t="s">
        <v>506</v>
      </c>
      <c r="E4426" s="11" t="str">
        <f t="array" ref="E4426">_xlfn.XLOOKUP(D4426,Insumos!B:B,Insumos!C:$C)</f>
        <v>KG</v>
      </c>
      <c r="F4426" s="14">
        <v>0.5</v>
      </c>
      <c r="G4426" s="87">
        <f t="array" ref="G4426">IF(B4426="insumo",_xlfn.XLOOKUP($D4426,Insumos!$B$1:$B$996,Insumos!$D$1:$D$996),"")</f>
        <v>11.15</v>
      </c>
      <c r="H4426" s="87">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355">
        <v>1</v>
      </c>
      <c r="B4427" s="355" t="s">
        <v>1227</v>
      </c>
      <c r="C4427" s="355" t="s">
        <v>869</v>
      </c>
      <c r="D4427" s="355" t="s">
        <v>1557</v>
      </c>
      <c r="E4427" s="356"/>
      <c r="F4427" s="357"/>
      <c r="G4427" s="356"/>
      <c r="H4427" s="356">
        <v>0</v>
      </c>
      <c r="I4427" s="357">
        <v>0</v>
      </c>
      <c r="J4427" s="357">
        <v>0</v>
      </c>
      <c r="K4427" s="357"/>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332">
        <v>1</v>
      </c>
      <c r="B4428" s="332" t="s">
        <v>67</v>
      </c>
      <c r="C4428" s="332" t="s">
        <v>859</v>
      </c>
      <c r="D4428" s="332" t="s">
        <v>859</v>
      </c>
      <c r="E4428" s="333" t="s">
        <v>69</v>
      </c>
      <c r="F4428" s="332"/>
      <c r="G4428" s="334" t="str">
        <f t="array" ref="G4428">IF(B4428="insumo",_xlfn.XLOOKUP($D4428,Insumos!$B$1:$B$996,Insumos!$D$1:$D$996),"")</f>
        <v/>
      </c>
      <c r="H4428" s="334">
        <v>18.235215555555602</v>
      </c>
      <c r="I4428" s="335">
        <v>0</v>
      </c>
      <c r="J4428" s="335">
        <v>0</v>
      </c>
      <c r="K4428" s="335"/>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70</v>
      </c>
      <c r="C4429" s="10" t="s">
        <v>859</v>
      </c>
      <c r="D4429" s="10" t="s">
        <v>103</v>
      </c>
      <c r="E4429" s="11" t="str">
        <f t="array" ref="E4429">_xlfn.XLOOKUP(D4429,Insumos!B:B,Insumos!C:$C)</f>
        <v>UN</v>
      </c>
      <c r="F4429" s="14">
        <v>0.1</v>
      </c>
      <c r="G4429" s="87">
        <f t="array" ref="G4429">IF(B4429="insumo",_xlfn.XLOOKUP($D4429,Insumos!$B$1:$B$996,Insumos!$D$1:$D$996),"")</f>
        <v>1.89</v>
      </c>
      <c r="H4429" s="87">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70</v>
      </c>
      <c r="C4430" s="10" t="s">
        <v>859</v>
      </c>
      <c r="D4430" s="10" t="s">
        <v>764</v>
      </c>
      <c r="E4430" s="11" t="str">
        <f t="array" ref="E4430">_xlfn.XLOOKUP(D4430,Insumos!B:B,Insumos!C:$C)</f>
        <v>KG</v>
      </c>
      <c r="F4430" s="14">
        <v>0.86670000000000003</v>
      </c>
      <c r="G4430" s="87">
        <f t="array" ref="G4430">IF(B4430="insumo",_xlfn.XLOOKUP($D4430,Insumos!$B$1:$B$996,Insumos!$D$1:$D$996),"")</f>
        <v>4.8</v>
      </c>
      <c r="H4430" s="87">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70</v>
      </c>
      <c r="C4431" s="10" t="s">
        <v>859</v>
      </c>
      <c r="D4431" s="10" t="s">
        <v>765</v>
      </c>
      <c r="E4431" s="11" t="str">
        <f t="array" ref="E4431">_xlfn.XLOOKUP(D4431,Insumos!B:B,Insumos!C:$C)</f>
        <v>L</v>
      </c>
      <c r="F4431" s="14">
        <v>0.1666</v>
      </c>
      <c r="G4431" s="87">
        <f t="array" ref="G4431">IF(B4431="insumo",_xlfn.XLOOKUP($D4431,Insumos!$B$1:$B$996,Insumos!$D$1:$D$996),"")</f>
        <v>10.555555555555555</v>
      </c>
      <c r="H4431" s="87">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70</v>
      </c>
      <c r="C4432" s="10" t="s">
        <v>859</v>
      </c>
      <c r="D4432" s="10" t="s">
        <v>762</v>
      </c>
      <c r="E4432" s="11" t="str">
        <f t="array" ref="E4432">_xlfn.XLOOKUP(D4432,Insumos!B:B,Insumos!C:$C)</f>
        <v>L</v>
      </c>
      <c r="F4432" s="14">
        <v>0.495</v>
      </c>
      <c r="G4432" s="87">
        <f t="array" ref="G4432">IF(B4432="insumo",_xlfn.XLOOKUP($D4432,Insumos!$B$1:$B$996,Insumos!$D$1:$D$996),"")</f>
        <v>24.5</v>
      </c>
      <c r="H4432" s="87">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332">
        <v>1</v>
      </c>
      <c r="B4433" s="332" t="s">
        <v>67</v>
      </c>
      <c r="C4433" s="332" t="s">
        <v>860</v>
      </c>
      <c r="D4433" s="332" t="s">
        <v>860</v>
      </c>
      <c r="E4433" s="333" t="s">
        <v>69</v>
      </c>
      <c r="F4433" s="332"/>
      <c r="G4433" s="334" t="str">
        <f t="array" ref="G4433">IF(B4433="insumo",_xlfn.XLOOKUP($D4433,Insumos!$B$1:$B$996,Insumos!$D$1:$D$996),"")</f>
        <v/>
      </c>
      <c r="H4433" s="334">
        <v>18.235215555555602</v>
      </c>
      <c r="I4433" s="335">
        <v>0</v>
      </c>
      <c r="J4433" s="335">
        <v>0</v>
      </c>
      <c r="K4433" s="335"/>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70</v>
      </c>
      <c r="C4434" s="10" t="s">
        <v>860</v>
      </c>
      <c r="D4434" s="10" t="s">
        <v>103</v>
      </c>
      <c r="E4434" s="11" t="str">
        <f t="array" ref="E4434">_xlfn.XLOOKUP(D4434,Insumos!B:B,Insumos!C:$C)</f>
        <v>UN</v>
      </c>
      <c r="F4434" s="14">
        <v>0.1</v>
      </c>
      <c r="G4434" s="87">
        <f t="array" ref="G4434">IF(B4434="insumo",_xlfn.XLOOKUP($D4434,Insumos!$B$1:$B$996,Insumos!$D$1:$D$996),"")</f>
        <v>1.89</v>
      </c>
      <c r="H4434" s="87">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70</v>
      </c>
      <c r="C4435" s="10" t="s">
        <v>860</v>
      </c>
      <c r="D4435" s="10" t="s">
        <v>764</v>
      </c>
      <c r="E4435" s="11" t="str">
        <f t="array" ref="E4435">_xlfn.XLOOKUP(D4435,Insumos!B:B,Insumos!C:$C)</f>
        <v>KG</v>
      </c>
      <c r="F4435" s="14">
        <v>0.86670000000000003</v>
      </c>
      <c r="G4435" s="87">
        <f t="array" ref="G4435">IF(B4435="insumo",_xlfn.XLOOKUP($D4435,Insumos!$B$1:$B$996,Insumos!$D$1:$D$996),"")</f>
        <v>4.8</v>
      </c>
      <c r="H4435" s="87">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70</v>
      </c>
      <c r="C4436" s="10" t="s">
        <v>860</v>
      </c>
      <c r="D4436" s="10" t="s">
        <v>765</v>
      </c>
      <c r="E4436" s="11" t="str">
        <f t="array" ref="E4436">_xlfn.XLOOKUP(D4436,Insumos!B:B,Insumos!C:$C)</f>
        <v>L</v>
      </c>
      <c r="F4436" s="14">
        <v>0.1666</v>
      </c>
      <c r="G4436" s="87">
        <f t="array" ref="G4436">IF(B4436="insumo",_xlfn.XLOOKUP($D4436,Insumos!$B$1:$B$996,Insumos!$D$1:$D$996),"")</f>
        <v>10.555555555555555</v>
      </c>
      <c r="H4436" s="87">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70</v>
      </c>
      <c r="C4437" s="10" t="s">
        <v>860</v>
      </c>
      <c r="D4437" s="10" t="s">
        <v>762</v>
      </c>
      <c r="E4437" s="11" t="str">
        <f t="array" ref="E4437">_xlfn.XLOOKUP(D4437,Insumos!B:B,Insumos!C:$C)</f>
        <v>L</v>
      </c>
      <c r="F4437" s="14">
        <v>0.495</v>
      </c>
      <c r="G4437" s="87">
        <f t="array" ref="G4437">IF(B4437="insumo",_xlfn.XLOOKUP($D4437,Insumos!$B$1:$B$996,Insumos!$D$1:$D$996),"")</f>
        <v>24.5</v>
      </c>
      <c r="H4437" s="87">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332">
        <v>1</v>
      </c>
      <c r="B4438" s="332" t="s">
        <v>67</v>
      </c>
      <c r="C4438" s="332" t="s">
        <v>861</v>
      </c>
      <c r="D4438" s="332" t="s">
        <v>861</v>
      </c>
      <c r="E4438" s="333" t="s">
        <v>69</v>
      </c>
      <c r="F4438" s="332"/>
      <c r="G4438" s="334" t="str">
        <f t="array" ref="G4438">IF(B4438="insumo",_xlfn.XLOOKUP($D4438,Insumos!$B$1:$B$996,Insumos!$D$1:$D$996),"")</f>
        <v/>
      </c>
      <c r="H4438" s="334">
        <v>12.1275</v>
      </c>
      <c r="I4438" s="335">
        <v>0</v>
      </c>
      <c r="J4438" s="335">
        <v>0</v>
      </c>
      <c r="K4438" s="335"/>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70</v>
      </c>
      <c r="C4439" s="10" t="s">
        <v>861</v>
      </c>
      <c r="D4439" s="10" t="s">
        <v>762</v>
      </c>
      <c r="E4439" s="11" t="str">
        <f t="array" ref="E4439">_xlfn.XLOOKUP(D4439,Insumos!B:B,Insumos!C:$C)</f>
        <v>L</v>
      </c>
      <c r="F4439" s="14">
        <v>0.495</v>
      </c>
      <c r="G4439" s="87">
        <f t="array" ref="G4439">IF(B4439="insumo",_xlfn.XLOOKUP($D4439,Insumos!$B$1:$B$996,Insumos!$D$1:$D$996),"")</f>
        <v>24.5</v>
      </c>
      <c r="H4439" s="87">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332">
        <v>1</v>
      </c>
      <c r="B4440" s="332" t="s">
        <v>67</v>
      </c>
      <c r="C4440" s="332" t="s">
        <v>862</v>
      </c>
      <c r="D4440" s="332" t="s">
        <v>862</v>
      </c>
      <c r="E4440" s="333" t="s">
        <v>69</v>
      </c>
      <c r="F4440" s="332"/>
      <c r="G4440" s="334" t="str">
        <f t="array" ref="G4440">IF(B4440="insumo",_xlfn.XLOOKUP($D4440,Insumos!$B$1:$B$996,Insumos!$D$1:$D$996),"")</f>
        <v/>
      </c>
      <c r="H4440" s="334">
        <v>13.205401999999999</v>
      </c>
      <c r="I4440" s="335">
        <v>0</v>
      </c>
      <c r="J4440" s="335">
        <v>0</v>
      </c>
      <c r="K4440" s="335"/>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70</v>
      </c>
      <c r="C4441" s="10" t="s">
        <v>862</v>
      </c>
      <c r="D4441" s="10" t="s">
        <v>762</v>
      </c>
      <c r="E4441" s="11" t="str">
        <f t="array" ref="E4441">_xlfn.XLOOKUP(D4441,Insumos!B:B,Insumos!C:$C)</f>
        <v>L</v>
      </c>
      <c r="F4441" s="14">
        <v>0.495</v>
      </c>
      <c r="G4441" s="87">
        <f t="array" ref="G4441">IF(B4441="insumo",_xlfn.XLOOKUP($D4441,Insumos!$B$1:$B$996,Insumos!$D$1:$D$996),"")</f>
        <v>24.5</v>
      </c>
      <c r="H4441" s="87">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70</v>
      </c>
      <c r="C4442" s="10" t="s">
        <v>862</v>
      </c>
      <c r="D4442" s="10" t="s">
        <v>767</v>
      </c>
      <c r="E4442" s="11" t="str">
        <f t="array" ref="E4442">_xlfn.XLOOKUP(D4442,Insumos!B:B,Insumos!C:$C)</f>
        <v>L</v>
      </c>
      <c r="F4442" s="14">
        <v>0.1666</v>
      </c>
      <c r="G4442" s="87">
        <f t="array" ref="G4442">IF(B4442="insumo",_xlfn.XLOOKUP($D4442,Insumos!$B$1:$B$996,Insumos!$D$1:$D$996),"")</f>
        <v>6.47</v>
      </c>
      <c r="H4442" s="87">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332">
        <v>1</v>
      </c>
      <c r="B4443" s="332" t="s">
        <v>67</v>
      </c>
      <c r="C4443" s="332" t="s">
        <v>863</v>
      </c>
      <c r="D4443" s="332" t="s">
        <v>863</v>
      </c>
      <c r="E4443" s="333" t="s">
        <v>69</v>
      </c>
      <c r="F4443" s="332"/>
      <c r="G4443" s="334" t="str">
        <f t="array" ref="G4443">IF(B4443="insumo",_xlfn.XLOOKUP($D4443,Insumos!$B$1:$B$996,Insumos!$D$1:$D$996),"")</f>
        <v/>
      </c>
      <c r="H4443" s="334">
        <v>35.641902000000002</v>
      </c>
      <c r="I4443" s="335">
        <v>0</v>
      </c>
      <c r="J4443" s="335">
        <v>0</v>
      </c>
      <c r="K4443" s="335"/>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70</v>
      </c>
      <c r="C4444" s="10" t="s">
        <v>863</v>
      </c>
      <c r="D4444" s="10" t="s">
        <v>103</v>
      </c>
      <c r="E4444" s="11" t="str">
        <f t="array" ref="E4444">_xlfn.XLOOKUP(D4444,Insumos!B:B,Insumos!C:$C)</f>
        <v>UN</v>
      </c>
      <c r="F4444" s="14">
        <v>0.1</v>
      </c>
      <c r="G4444" s="87">
        <f t="array" ref="G4444">IF(B4444="insumo",_xlfn.XLOOKUP($D4444,Insumos!$B$1:$B$996,Insumos!$D$1:$D$996),"")</f>
        <v>1.89</v>
      </c>
      <c r="H4444" s="87">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70</v>
      </c>
      <c r="C4445" s="10" t="s">
        <v>863</v>
      </c>
      <c r="D4445" s="10" t="s">
        <v>767</v>
      </c>
      <c r="E4445" s="11" t="str">
        <f t="array" ref="E4445">_xlfn.XLOOKUP(D4445,Insumos!B:B,Insumos!C:$C)</f>
        <v>L</v>
      </c>
      <c r="F4445" s="14">
        <v>0.1666</v>
      </c>
      <c r="G4445" s="87">
        <f t="array" ref="G4445">IF(B4445="insumo",_xlfn.XLOOKUP($D4445,Insumos!$B$1:$B$996,Insumos!$D$1:$D$996),"")</f>
        <v>6.47</v>
      </c>
      <c r="H4445" s="87">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70</v>
      </c>
      <c r="C4446" s="10" t="s">
        <v>863</v>
      </c>
      <c r="D4446" s="10" t="s">
        <v>864</v>
      </c>
      <c r="E4446" s="11" t="str">
        <f t="array" ref="E4446">_xlfn.XLOOKUP(D4446,Insumos!B:B,Insumos!C:$C)</f>
        <v>L</v>
      </c>
      <c r="F4446" s="14">
        <v>0.495</v>
      </c>
      <c r="G4446" s="87">
        <f t="array" ref="G4446">IF(B4446="insumo",_xlfn.XLOOKUP($D4446,Insumos!$B$1:$B$996,Insumos!$D$1:$D$996),"")</f>
        <v>69.444444444444443</v>
      </c>
      <c r="H4446" s="87">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332">
        <v>1</v>
      </c>
      <c r="B4447" s="332" t="s">
        <v>67</v>
      </c>
      <c r="C4447" s="332" t="s">
        <v>865</v>
      </c>
      <c r="D4447" s="332" t="s">
        <v>865</v>
      </c>
      <c r="E4447" s="333" t="s">
        <v>69</v>
      </c>
      <c r="F4447" s="332"/>
      <c r="G4447" s="334" t="str">
        <f t="array" ref="G4447">IF(B4447="insumo",_xlfn.XLOOKUP($D4447,Insumos!$B$1:$B$996,Insumos!$D$1:$D$996),"")</f>
        <v/>
      </c>
      <c r="H4447" s="334">
        <v>17.554562000000001</v>
      </c>
      <c r="I4447" s="335">
        <v>0</v>
      </c>
      <c r="J4447" s="335">
        <v>0</v>
      </c>
      <c r="K4447" s="335"/>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70</v>
      </c>
      <c r="C4448" s="10" t="s">
        <v>865</v>
      </c>
      <c r="D4448" s="10" t="s">
        <v>103</v>
      </c>
      <c r="E4448" s="11" t="str">
        <f t="array" ref="E4448">_xlfn.XLOOKUP(D4448,Insumos!B:B,Insumos!C:$C)</f>
        <v>UN</v>
      </c>
      <c r="F4448" s="14">
        <v>0.1</v>
      </c>
      <c r="G4448" s="87">
        <f t="array" ref="G4448">IF(B4448="insumo",_xlfn.XLOOKUP($D4448,Insumos!$B$1:$B$996,Insumos!$D$1:$D$996),"")</f>
        <v>1.89</v>
      </c>
      <c r="H4448" s="87">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70</v>
      </c>
      <c r="C4449" s="10" t="s">
        <v>865</v>
      </c>
      <c r="D4449" s="10" t="s">
        <v>764</v>
      </c>
      <c r="E4449" s="11" t="str">
        <f t="array" ref="E4449">_xlfn.XLOOKUP(D4449,Insumos!B:B,Insumos!C:$C)</f>
        <v>KG</v>
      </c>
      <c r="F4449" s="14">
        <v>0.86670000000000003</v>
      </c>
      <c r="G4449" s="87">
        <f t="array" ref="G4449">IF(B4449="insumo",_xlfn.XLOOKUP($D4449,Insumos!$B$1:$B$996,Insumos!$D$1:$D$996),"")</f>
        <v>4.8</v>
      </c>
      <c r="H4449" s="87">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70</v>
      </c>
      <c r="C4450" s="10" t="s">
        <v>865</v>
      </c>
      <c r="D4450" s="10" t="s">
        <v>767</v>
      </c>
      <c r="E4450" s="11" t="str">
        <f t="array" ref="E4450">_xlfn.XLOOKUP(D4450,Insumos!B:B,Insumos!C:$C)</f>
        <v>L</v>
      </c>
      <c r="F4450" s="14">
        <v>0.1666</v>
      </c>
      <c r="G4450" s="87">
        <f t="array" ref="G4450">IF(B4450="insumo",_xlfn.XLOOKUP($D4450,Insumos!$B$1:$B$996,Insumos!$D$1:$D$996),"")</f>
        <v>6.47</v>
      </c>
      <c r="H4450" s="87">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70</v>
      </c>
      <c r="C4451" s="10" t="s">
        <v>865</v>
      </c>
      <c r="D4451" s="10" t="s">
        <v>762</v>
      </c>
      <c r="E4451" s="11" t="str">
        <f t="array" ref="E4451">_xlfn.XLOOKUP(D4451,Insumos!B:B,Insumos!C:$C)</f>
        <v>L</v>
      </c>
      <c r="F4451" s="14">
        <v>0.495</v>
      </c>
      <c r="G4451" s="87">
        <f t="array" ref="G4451">IF(B4451="insumo",_xlfn.XLOOKUP($D4451,Insumos!$B$1:$B$996,Insumos!$D$1:$D$996),"")</f>
        <v>24.5</v>
      </c>
      <c r="H4451" s="87">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332">
        <v>1</v>
      </c>
      <c r="B4452" s="332" t="s">
        <v>67</v>
      </c>
      <c r="C4452" s="332" t="s">
        <v>2952</v>
      </c>
      <c r="D4452" s="332" t="s">
        <v>2952</v>
      </c>
      <c r="E4452" s="333" t="s">
        <v>69</v>
      </c>
      <c r="F4452" s="332"/>
      <c r="G4452" s="334" t="str">
        <f t="array" ref="G4452">IF(B4452="insumo",_xlfn.XLOOKUP($D4452,Insumos!$B$1:$B$996,Insumos!$D$1:$D$996),"")</f>
        <v/>
      </c>
      <c r="H4452" s="334">
        <v>68.508555555555603</v>
      </c>
      <c r="I4452" s="335" t="e">
        <v>#REF!</v>
      </c>
      <c r="J4452" s="335" t="e">
        <v>#REF!</v>
      </c>
      <c r="K4452" s="335"/>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70</v>
      </c>
      <c r="C4453" s="10" t="s">
        <v>2952</v>
      </c>
      <c r="D4453" s="10" t="s">
        <v>2630</v>
      </c>
      <c r="E4453" s="11" t="str">
        <f t="array" ref="E4453">_xlfn.XLOOKUP(D4453,Insumos!B:B,Insumos!C:$C)</f>
        <v>KG</v>
      </c>
      <c r="F4453" s="14">
        <v>1.5</v>
      </c>
      <c r="G4453" s="87">
        <f t="array" ref="G4453">IF(B4453="insumo",_xlfn.XLOOKUP($D4453,Insumos!$B$1:$B$996,Insumos!$D$1:$D$996),"")</f>
        <v>44.5</v>
      </c>
      <c r="H4453" s="87">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70</v>
      </c>
      <c r="C4454" s="10" t="s">
        <v>2952</v>
      </c>
      <c r="D4454" s="10" t="s">
        <v>765</v>
      </c>
      <c r="E4454" s="11" t="str">
        <f t="array" ref="E4454">_xlfn.XLOOKUP(D4454,Insumos!B:B,Insumos!C:$C)</f>
        <v>L</v>
      </c>
      <c r="F4454" s="14">
        <v>0.1666</v>
      </c>
      <c r="G4454" s="87">
        <f t="array" ref="G4454">IF(B4454="insumo",_xlfn.XLOOKUP($D4454,Insumos!$B$1:$B$996,Insumos!$D$1:$D$996),"")</f>
        <v>10.555555555555555</v>
      </c>
      <c r="H4454" s="87">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332">
        <v>1</v>
      </c>
      <c r="B4455" s="332" t="s">
        <v>67</v>
      </c>
      <c r="C4455" s="332" t="s">
        <v>895</v>
      </c>
      <c r="D4455" s="332" t="s">
        <v>895</v>
      </c>
      <c r="E4455" s="333" t="s">
        <v>69</v>
      </c>
      <c r="F4455" s="332"/>
      <c r="G4455" s="334" t="str">
        <f t="array" ref="G4455">IF(B4455="insumo",_xlfn.XLOOKUP($D4455,Insumos!$B$1:$B$996,Insumos!$D$1:$D$996),"")</f>
        <v/>
      </c>
      <c r="H4455" s="334">
        <v>211.758555555556</v>
      </c>
      <c r="I4455" s="335">
        <v>0</v>
      </c>
      <c r="J4455" s="335">
        <v>0</v>
      </c>
      <c r="K4455" s="335"/>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70</v>
      </c>
      <c r="C4456" s="10" t="s">
        <v>895</v>
      </c>
      <c r="D4456" s="10" t="s">
        <v>896</v>
      </c>
      <c r="E4456" s="11" t="str">
        <f t="array" ref="E4456">_xlfn.XLOOKUP(D4456,Insumos!B:B,Insumos!C:$C)</f>
        <v>KG</v>
      </c>
      <c r="F4456" s="14">
        <v>1.5</v>
      </c>
      <c r="G4456" s="87">
        <f t="array" ref="G4456">IF(B4456="insumo",_xlfn.XLOOKUP($D4456,Insumos!$B$1:$B$996,Insumos!$D$1:$D$996),"")</f>
        <v>140</v>
      </c>
      <c r="H4456" s="87">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70</v>
      </c>
      <c r="C4457" s="10" t="s">
        <v>895</v>
      </c>
      <c r="D4457" s="10" t="s">
        <v>765</v>
      </c>
      <c r="E4457" s="11" t="str">
        <f t="array" ref="E4457">_xlfn.XLOOKUP(D4457,Insumos!B:B,Insumos!C:$C)</f>
        <v>L</v>
      </c>
      <c r="F4457" s="14">
        <v>0.1666</v>
      </c>
      <c r="G4457" s="87">
        <f t="array" ref="G4457">IF(B4457="insumo",_xlfn.XLOOKUP($D4457,Insumos!$B$1:$B$996,Insumos!$D$1:$D$996),"")</f>
        <v>10.555555555555555</v>
      </c>
      <c r="H4457" s="87">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332">
        <v>1</v>
      </c>
      <c r="B4458" s="332" t="s">
        <v>67</v>
      </c>
      <c r="C4458" s="332" t="s">
        <v>897</v>
      </c>
      <c r="D4458" s="332" t="s">
        <v>897</v>
      </c>
      <c r="E4458" s="333" t="s">
        <v>69</v>
      </c>
      <c r="F4458" s="332"/>
      <c r="G4458" s="334" t="str">
        <f t="array" ref="G4458">IF(B4458="insumo",_xlfn.XLOOKUP($D4458,Insumos!$B$1:$B$996,Insumos!$D$1:$D$996),"")</f>
        <v/>
      </c>
      <c r="H4458" s="334">
        <v>51.258555555555603</v>
      </c>
      <c r="I4458" s="335">
        <v>0</v>
      </c>
      <c r="J4458" s="335">
        <v>0</v>
      </c>
      <c r="K4458" s="335"/>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70</v>
      </c>
      <c r="C4459" s="10" t="s">
        <v>897</v>
      </c>
      <c r="D4459" s="10" t="s">
        <v>898</v>
      </c>
      <c r="E4459" s="11" t="str">
        <f t="array" ref="E4459">_xlfn.XLOOKUP(D4459,Insumos!B:B,Insumos!C:$C)</f>
        <v>KG</v>
      </c>
      <c r="F4459" s="14">
        <v>1.5</v>
      </c>
      <c r="G4459" s="87">
        <f t="array" ref="G4459">IF(B4459="insumo",_xlfn.XLOOKUP($D4459,Insumos!$B$1:$B$996,Insumos!$D$1:$D$996),"")</f>
        <v>33</v>
      </c>
      <c r="H4459" s="87">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70</v>
      </c>
      <c r="C4460" s="10" t="s">
        <v>897</v>
      </c>
      <c r="D4460" s="10" t="s">
        <v>765</v>
      </c>
      <c r="E4460" s="11" t="str">
        <f t="array" ref="E4460">_xlfn.XLOOKUP(D4460,Insumos!B:B,Insumos!C:$C)</f>
        <v>L</v>
      </c>
      <c r="F4460" s="14">
        <v>0.1666</v>
      </c>
      <c r="G4460" s="87">
        <f t="array" ref="G4460">IF(B4460="insumo",_xlfn.XLOOKUP($D4460,Insumos!$B$1:$B$996,Insumos!$D$1:$D$996),"")</f>
        <v>10.555555555555555</v>
      </c>
      <c r="H4460" s="87">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332">
        <v>1</v>
      </c>
      <c r="B4461" s="332" t="s">
        <v>67</v>
      </c>
      <c r="C4461" s="332" t="s">
        <v>899</v>
      </c>
      <c r="D4461" s="332" t="s">
        <v>899</v>
      </c>
      <c r="E4461" s="333" t="s">
        <v>69</v>
      </c>
      <c r="F4461" s="332"/>
      <c r="G4461" s="334" t="str">
        <f t="array" ref="G4461">IF(B4461="insumo",_xlfn.XLOOKUP($D4461,Insumos!$B$1:$B$996,Insumos!$D$1:$D$996),"")</f>
        <v/>
      </c>
      <c r="H4461" s="334">
        <v>43.758555555555603</v>
      </c>
      <c r="I4461" s="335">
        <v>0</v>
      </c>
      <c r="J4461" s="335">
        <v>0</v>
      </c>
      <c r="K4461" s="335"/>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70</v>
      </c>
      <c r="C4462" s="10" t="s">
        <v>899</v>
      </c>
      <c r="D4462" s="10" t="s">
        <v>900</v>
      </c>
      <c r="E4462" s="11" t="str">
        <f t="array" ref="E4462">_xlfn.XLOOKUP(D4462,Insumos!B:B,Insumos!C:$C)</f>
        <v>KG</v>
      </c>
      <c r="F4462" s="14">
        <v>1.5</v>
      </c>
      <c r="G4462" s="87">
        <f t="array" ref="G4462">IF(B4462="insumo",_xlfn.XLOOKUP($D4462,Insumos!$B$1:$B$996,Insumos!$D$1:$D$996),"")</f>
        <v>28</v>
      </c>
      <c r="H4462" s="87">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70</v>
      </c>
      <c r="C4463" s="10" t="s">
        <v>899</v>
      </c>
      <c r="D4463" s="10" t="s">
        <v>765</v>
      </c>
      <c r="E4463" s="11" t="str">
        <f t="array" ref="E4463">_xlfn.XLOOKUP(D4463,Insumos!B:B,Insumos!C:$C)</f>
        <v>L</v>
      </c>
      <c r="F4463" s="14">
        <v>0.1666</v>
      </c>
      <c r="G4463" s="87">
        <f t="array" ref="G4463">IF(B4463="insumo",_xlfn.XLOOKUP($D4463,Insumos!$B$1:$B$996,Insumos!$D$1:$D$996),"")</f>
        <v>10.555555555555555</v>
      </c>
      <c r="H4463" s="87">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332">
        <v>1</v>
      </c>
      <c r="B4464" s="332" t="s">
        <v>67</v>
      </c>
      <c r="C4464" s="332" t="s">
        <v>901</v>
      </c>
      <c r="D4464" s="332" t="s">
        <v>901</v>
      </c>
      <c r="E4464" s="333" t="s">
        <v>69</v>
      </c>
      <c r="F4464" s="332"/>
      <c r="G4464" s="334" t="str">
        <f t="array" ref="G4464">IF(B4464="insumo",_xlfn.XLOOKUP($D4464,Insumos!$B$1:$B$996,Insumos!$D$1:$D$996),"")</f>
        <v/>
      </c>
      <c r="H4464" s="334">
        <v>6.2085555555555603</v>
      </c>
      <c r="I4464" s="335">
        <v>0</v>
      </c>
      <c r="J4464" s="335">
        <v>0</v>
      </c>
      <c r="K4464" s="335"/>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70</v>
      </c>
      <c r="C4465" s="10" t="s">
        <v>901</v>
      </c>
      <c r="D4465" s="10" t="s">
        <v>902</v>
      </c>
      <c r="E4465" s="11" t="str">
        <f t="array" ref="E4465">_xlfn.XLOOKUP(D4465,Insumos!B:B,Insumos!C:$C)</f>
        <v>KG</v>
      </c>
      <c r="F4465" s="14">
        <v>0.21000000000000002</v>
      </c>
      <c r="G4465" s="87">
        <f t="array" ref="G4465">IF(B4465="insumo",_xlfn.XLOOKUP($D4465,Insumos!$B$1:$B$996,Insumos!$D$1:$D$996),"")</f>
        <v>21.19047619047619</v>
      </c>
      <c r="H4465" s="87">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70</v>
      </c>
      <c r="C4466" s="10" t="s">
        <v>901</v>
      </c>
      <c r="D4466" s="10" t="s">
        <v>765</v>
      </c>
      <c r="E4466" s="11" t="str">
        <f t="array" ref="E4466">_xlfn.XLOOKUP(D4466,Insumos!B:B,Insumos!C:$C)</f>
        <v>L</v>
      </c>
      <c r="F4466" s="14">
        <v>0.1666</v>
      </c>
      <c r="G4466" s="87">
        <f t="array" ref="G4466">IF(B4466="insumo",_xlfn.XLOOKUP($D4466,Insumos!$B$1:$B$996,Insumos!$D$1:$D$996),"")</f>
        <v>10.555555555555555</v>
      </c>
      <c r="H4466" s="87">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332">
        <v>1</v>
      </c>
      <c r="B4467" s="332" t="s">
        <v>67</v>
      </c>
      <c r="C4467" s="332" t="s">
        <v>903</v>
      </c>
      <c r="D4467" s="332" t="s">
        <v>903</v>
      </c>
      <c r="E4467" s="333" t="s">
        <v>69</v>
      </c>
      <c r="F4467" s="332"/>
      <c r="G4467" s="334" t="str">
        <f t="array" ref="G4467">IF(B4467="insumo",_xlfn.XLOOKUP($D4467,Insumos!$B$1:$B$996,Insumos!$D$1:$D$996),"")</f>
        <v/>
      </c>
      <c r="H4467" s="334">
        <v>13.353529411764701</v>
      </c>
      <c r="I4467" s="335">
        <v>0</v>
      </c>
      <c r="J4467" s="335">
        <v>0</v>
      </c>
      <c r="K4467" s="335"/>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70</v>
      </c>
      <c r="C4468" s="10" t="s">
        <v>903</v>
      </c>
      <c r="D4468" s="10" t="s">
        <v>904</v>
      </c>
      <c r="E4468" s="11" t="str">
        <f t="array" ref="E4468">_xlfn.XLOOKUP(D4468,Insumos!B:B,Insumos!C:$C)</f>
        <v>KG</v>
      </c>
      <c r="F4468" s="14">
        <v>0.83333333333333337</v>
      </c>
      <c r="G4468" s="87">
        <f t="array" ref="G4468">IF(B4468="insumo",_xlfn.XLOOKUP($D4468,Insumos!$B$1:$B$996,Insumos!$D$1:$D$996),"")</f>
        <v>8.3960000000000008</v>
      </c>
      <c r="H4468" s="87">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70</v>
      </c>
      <c r="C4469" s="10" t="s">
        <v>903</v>
      </c>
      <c r="D4469" s="10" t="s">
        <v>905</v>
      </c>
      <c r="E4469" s="11" t="str">
        <f t="array" ref="E4469">_xlfn.XLOOKUP(D4469,Insumos!B:B,Insumos!C:$C)</f>
        <v>L</v>
      </c>
      <c r="F4469" s="14">
        <v>9.4117647058823528E-2</v>
      </c>
      <c r="G4469" s="87">
        <f t="array" ref="G4469">IF(B4469="insumo",_xlfn.XLOOKUP($D4469,Insumos!$B$1:$B$996,Insumos!$D$1:$D$996),"")</f>
        <v>40.625</v>
      </c>
      <c r="H4469" s="87">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70</v>
      </c>
      <c r="C4470" s="10" t="s">
        <v>903</v>
      </c>
      <c r="D4470" s="10" t="s">
        <v>765</v>
      </c>
      <c r="E4470" s="11" t="str">
        <f t="array" ref="E4470">_xlfn.XLOOKUP(D4470,Insumos!B:B,Insumos!C:$C)</f>
        <v>L</v>
      </c>
      <c r="F4470" s="14">
        <v>0.24</v>
      </c>
      <c r="G4470" s="87">
        <f t="array" ref="G4470">IF(B4470="insumo",_xlfn.XLOOKUP($D4470,Insumos!$B$1:$B$996,Insumos!$D$1:$D$996),"")</f>
        <v>10.555555555555555</v>
      </c>
      <c r="H4470" s="87">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332">
        <v>1</v>
      </c>
      <c r="B4471" s="332" t="s">
        <v>67</v>
      </c>
      <c r="C4471" s="332" t="s">
        <v>906</v>
      </c>
      <c r="D4471" s="332" t="s">
        <v>906</v>
      </c>
      <c r="E4471" s="333" t="s">
        <v>69</v>
      </c>
      <c r="F4471" s="332"/>
      <c r="G4471" s="334" t="str">
        <f t="array" ref="G4471">IF(B4471="insumo",_xlfn.XLOOKUP($D4471,Insumos!$B$1:$B$996,Insumos!$D$1:$D$996),"")</f>
        <v/>
      </c>
      <c r="H4471" s="334">
        <v>11.196533333333299</v>
      </c>
      <c r="I4471" s="335">
        <v>0</v>
      </c>
      <c r="J4471" s="335">
        <v>0</v>
      </c>
      <c r="K4471" s="335"/>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70</v>
      </c>
      <c r="C4472" s="10" t="s">
        <v>906</v>
      </c>
      <c r="D4472" s="10" t="s">
        <v>904</v>
      </c>
      <c r="E4472" s="11" t="str">
        <f t="array" ref="E4472">_xlfn.XLOOKUP(D4472,Insumos!B:B,Insumos!C:$C)</f>
        <v>KG</v>
      </c>
      <c r="F4472" s="14">
        <v>0.83333333333333337</v>
      </c>
      <c r="G4472" s="87">
        <f t="array" ref="G4472">IF(B4472="insumo",_xlfn.XLOOKUP($D4472,Insumos!$B$1:$B$996,Insumos!$D$1:$D$996),"")</f>
        <v>8.3960000000000008</v>
      </c>
      <c r="H4472" s="87">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70</v>
      </c>
      <c r="C4473" s="10" t="s">
        <v>906</v>
      </c>
      <c r="D4473" s="10" t="s">
        <v>907</v>
      </c>
      <c r="E4473" s="11" t="str">
        <f t="array" ref="E4473">_xlfn.XLOOKUP(D4473,Insumos!B:B,Insumos!C:$C)</f>
        <v>L</v>
      </c>
      <c r="F4473" s="14">
        <v>4.8000000000000001E-2</v>
      </c>
      <c r="G4473" s="87">
        <f t="array" ref="G4473">IF(B4473="insumo",_xlfn.XLOOKUP($D4473,Insumos!$B$1:$B$996,Insumos!$D$1:$D$996),"")</f>
        <v>34.719444444444441</v>
      </c>
      <c r="H4473" s="87">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70</v>
      </c>
      <c r="C4474" s="10" t="s">
        <v>906</v>
      </c>
      <c r="D4474" s="10" t="s">
        <v>765</v>
      </c>
      <c r="E4474" s="11" t="str">
        <f t="array" ref="E4474">_xlfn.XLOOKUP(D4474,Insumos!B:B,Insumos!C:$C)</f>
        <v>L</v>
      </c>
      <c r="F4474" s="14">
        <v>0.24</v>
      </c>
      <c r="G4474" s="87">
        <f t="array" ref="G4474">IF(B4474="insumo",_xlfn.XLOOKUP($D4474,Insumos!$B$1:$B$996,Insumos!$D$1:$D$996),"")</f>
        <v>10.555555555555555</v>
      </c>
      <c r="H4474" s="87">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332">
        <v>1</v>
      </c>
      <c r="B4475" s="332" t="s">
        <v>67</v>
      </c>
      <c r="C4475" s="332" t="s">
        <v>908</v>
      </c>
      <c r="D4475" s="332" t="s">
        <v>908</v>
      </c>
      <c r="E4475" s="333" t="s">
        <v>69</v>
      </c>
      <c r="F4475" s="332"/>
      <c r="G4475" s="334" t="str">
        <f t="array" ref="G4475">IF(B4475="insumo",_xlfn.XLOOKUP($D4475,Insumos!$B$1:$B$996,Insumos!$D$1:$D$996),"")</f>
        <v/>
      </c>
      <c r="H4475" s="334">
        <v>11.9286666666667</v>
      </c>
      <c r="I4475" s="335">
        <v>0</v>
      </c>
      <c r="J4475" s="335">
        <v>0</v>
      </c>
      <c r="K4475" s="335"/>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70</v>
      </c>
      <c r="C4476" s="10" t="s">
        <v>908</v>
      </c>
      <c r="D4476" s="10" t="s">
        <v>904</v>
      </c>
      <c r="E4476" s="11" t="str">
        <f t="array" ref="E4476">_xlfn.XLOOKUP(D4476,Insumos!B:B,Insumos!C:$C)</f>
        <v>KG</v>
      </c>
      <c r="F4476" s="14">
        <v>0.83333333333333337</v>
      </c>
      <c r="G4476" s="87">
        <f t="array" ref="G4476">IF(B4476="insumo",_xlfn.XLOOKUP($D4476,Insumos!$B$1:$B$996,Insumos!$D$1:$D$996),"")</f>
        <v>8.3960000000000008</v>
      </c>
      <c r="H4476" s="87">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70</v>
      </c>
      <c r="C4477" s="10" t="s">
        <v>908</v>
      </c>
      <c r="D4477" s="10" t="s">
        <v>909</v>
      </c>
      <c r="E4477" s="11" t="str">
        <f t="array" ref="E4477">_xlfn.XLOOKUP(D4477,Insumos!B:B,Insumos!C:$C)</f>
        <v>L</v>
      </c>
      <c r="F4477" s="14">
        <v>4.8000000000000001E-2</v>
      </c>
      <c r="G4477" s="87">
        <f t="array" ref="G4477">IF(B4477="insumo",_xlfn.XLOOKUP($D4477,Insumos!$B$1:$B$996,Insumos!$D$1:$D$996),"")</f>
        <v>49.972222222222221</v>
      </c>
      <c r="H4477" s="87">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70</v>
      </c>
      <c r="C4478" s="10" t="s">
        <v>908</v>
      </c>
      <c r="D4478" s="10" t="s">
        <v>765</v>
      </c>
      <c r="E4478" s="11" t="str">
        <f t="array" ref="E4478">_xlfn.XLOOKUP(D4478,Insumos!B:B,Insumos!C:$C)</f>
        <v>L</v>
      </c>
      <c r="F4478" s="14">
        <v>0.24</v>
      </c>
      <c r="G4478" s="87">
        <f t="array" ref="G4478">IF(B4478="insumo",_xlfn.XLOOKUP($D4478,Insumos!$B$1:$B$996,Insumos!$D$1:$D$996),"")</f>
        <v>10.555555555555555</v>
      </c>
      <c r="H4478" s="87">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332">
        <v>1</v>
      </c>
      <c r="B4479" s="332" t="s">
        <v>67</v>
      </c>
      <c r="C4479" s="332" t="s">
        <v>910</v>
      </c>
      <c r="D4479" s="332" t="s">
        <v>910</v>
      </c>
      <c r="E4479" s="333" t="s">
        <v>69</v>
      </c>
      <c r="F4479" s="332"/>
      <c r="G4479" s="334" t="str">
        <f t="array" ref="G4479">IF(B4479="insumo",_xlfn.XLOOKUP($D4479,Insumos!$B$1:$B$996,Insumos!$D$1:$D$996),"")</f>
        <v/>
      </c>
      <c r="H4479" s="334">
        <v>36.363636363636402</v>
      </c>
      <c r="I4479" s="335">
        <v>0</v>
      </c>
      <c r="J4479" s="335">
        <v>0</v>
      </c>
      <c r="K4479" s="335"/>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70</v>
      </c>
      <c r="C4480" s="10" t="s">
        <v>910</v>
      </c>
      <c r="D4480" s="10" t="s">
        <v>768</v>
      </c>
      <c r="E4480" s="11" t="str">
        <f t="array" ref="E4480">_xlfn.XLOOKUP(D4480,Insumos!B:B,Insumos!C:$C)</f>
        <v>KG</v>
      </c>
      <c r="F4480" s="14">
        <v>4</v>
      </c>
      <c r="G4480" s="87">
        <f t="array" ref="G4480">IF(B4480="insumo",_xlfn.XLOOKUP($D4480,Insumos!$B$1:$B$996,Insumos!$D$1:$D$996),"")</f>
        <v>9.0909090909090917</v>
      </c>
      <c r="H4480" s="87">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332">
        <v>1</v>
      </c>
      <c r="B4481" s="332" t="s">
        <v>67</v>
      </c>
      <c r="C4481" s="332" t="s">
        <v>914</v>
      </c>
      <c r="D4481" s="332" t="s">
        <v>914</v>
      </c>
      <c r="E4481" s="333" t="s">
        <v>69</v>
      </c>
      <c r="F4481" s="332"/>
      <c r="G4481" s="334" t="str">
        <f t="array" ref="G4481">IF(B4481="insumo",_xlfn.XLOOKUP($D4481,Insumos!$B$1:$B$996,Insumos!$D$1:$D$996),"")</f>
        <v/>
      </c>
      <c r="H4481" s="334">
        <v>1.7585555555555601</v>
      </c>
      <c r="I4481" s="335">
        <v>0</v>
      </c>
      <c r="J4481" s="335">
        <v>0</v>
      </c>
      <c r="K4481" s="335"/>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70</v>
      </c>
      <c r="C4482" s="10" t="s">
        <v>914</v>
      </c>
      <c r="D4482" s="10" t="s">
        <v>765</v>
      </c>
      <c r="E4482" s="11" t="str">
        <f t="array" ref="E4482">_xlfn.XLOOKUP(D4482,Insumos!B:B,Insumos!C:$C)</f>
        <v>L</v>
      </c>
      <c r="F4482" s="14">
        <v>0.1666</v>
      </c>
      <c r="G4482" s="87">
        <f t="array" ref="G4482">IF(B4482="insumo",_xlfn.XLOOKUP($D4482,Insumos!$B$1:$B$996,Insumos!$D$1:$D$996),"")</f>
        <v>10.555555555555555</v>
      </c>
      <c r="H4482" s="87">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332">
        <v>1</v>
      </c>
      <c r="B4483" s="332" t="s">
        <v>67</v>
      </c>
      <c r="C4483" s="332" t="s">
        <v>915</v>
      </c>
      <c r="D4483" s="332" t="s">
        <v>915</v>
      </c>
      <c r="E4483" s="333" t="s">
        <v>69</v>
      </c>
      <c r="F4483" s="332"/>
      <c r="G4483" s="334" t="str">
        <f t="array" ref="G4483">IF(B4483="insumo",_xlfn.XLOOKUP($D4483,Insumos!$B$1:$B$996,Insumos!$D$1:$D$996),"")</f>
        <v/>
      </c>
      <c r="H4483" s="334">
        <v>54.3556666666667</v>
      </c>
      <c r="I4483" s="335">
        <v>0</v>
      </c>
      <c r="J4483" s="335">
        <v>0</v>
      </c>
      <c r="K4483" s="335"/>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70</v>
      </c>
      <c r="C4484" s="10" t="s">
        <v>915</v>
      </c>
      <c r="D4484" s="10" t="s">
        <v>103</v>
      </c>
      <c r="E4484" s="11" t="str">
        <f t="array" ref="E4484">_xlfn.XLOOKUP(D4484,Insumos!B:B,Insumos!C:$C)</f>
        <v>UN</v>
      </c>
      <c r="F4484" s="14">
        <v>0.1</v>
      </c>
      <c r="G4484" s="87">
        <f t="array" ref="G4484">IF(B4484="insumo",_xlfn.XLOOKUP($D4484,Insumos!$B$1:$B$996,Insumos!$D$1:$D$996),"")</f>
        <v>1.89</v>
      </c>
      <c r="H4484" s="87">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70</v>
      </c>
      <c r="C4485" s="10" t="s">
        <v>915</v>
      </c>
      <c r="D4485" s="10" t="s">
        <v>916</v>
      </c>
      <c r="E4485" s="11" t="str">
        <f t="array" ref="E4485">_xlfn.XLOOKUP(D4485,Insumos!B:B,Insumos!C:$C)</f>
        <v>L</v>
      </c>
      <c r="F4485" s="14">
        <v>1.5</v>
      </c>
      <c r="G4485" s="87">
        <f t="array" ref="G4485">IF(B4485="insumo",_xlfn.XLOOKUP($D4485,Insumos!$B$1:$B$996,Insumos!$D$1:$D$996),"")</f>
        <v>36.111111111111114</v>
      </c>
      <c r="H4485" s="87">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332">
        <v>1</v>
      </c>
      <c r="B4486" s="332" t="s">
        <v>67</v>
      </c>
      <c r="C4486" s="332" t="s">
        <v>917</v>
      </c>
      <c r="D4486" s="332" t="s">
        <v>917</v>
      </c>
      <c r="E4486" s="333" t="s">
        <v>69</v>
      </c>
      <c r="F4486" s="332"/>
      <c r="G4486" s="334" t="str">
        <f t="array" ref="G4486">IF(B4486="insumo",_xlfn.XLOOKUP($D4486,Insumos!$B$1:$B$996,Insumos!$D$1:$D$996),"")</f>
        <v/>
      </c>
      <c r="H4486" s="334">
        <v>33.264000000000003</v>
      </c>
      <c r="I4486" s="335">
        <v>0</v>
      </c>
      <c r="J4486" s="335">
        <v>0</v>
      </c>
      <c r="K4486" s="335"/>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70</v>
      </c>
      <c r="C4487" s="10" t="s">
        <v>917</v>
      </c>
      <c r="D4487" s="10" t="s">
        <v>103</v>
      </c>
      <c r="E4487" s="11" t="str">
        <f t="array" ref="E4487">_xlfn.XLOOKUP(D4487,Insumos!B:B,Insumos!C:$C)</f>
        <v>UN</v>
      </c>
      <c r="F4487" s="14">
        <v>0.1</v>
      </c>
      <c r="G4487" s="87">
        <f t="array" ref="G4487">IF(B4487="insumo",_xlfn.XLOOKUP($D4487,Insumos!$B$1:$B$996,Insumos!$D$1:$D$996),"")</f>
        <v>1.89</v>
      </c>
      <c r="H4487" s="87">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70</v>
      </c>
      <c r="C4488" s="10" t="s">
        <v>917</v>
      </c>
      <c r="D4488" s="10" t="s">
        <v>918</v>
      </c>
      <c r="E4488" s="11" t="str">
        <f t="array" ref="E4488">_xlfn.XLOOKUP(D4488,Insumos!B:B,Insumos!C:$C)</f>
        <v>L</v>
      </c>
      <c r="F4488" s="14">
        <v>1.5</v>
      </c>
      <c r="G4488" s="87">
        <f t="array" ref="G4488">IF(B4488="insumo",_xlfn.XLOOKUP($D4488,Insumos!$B$1:$B$996,Insumos!$D$1:$D$996),"")</f>
        <v>22.049999999999997</v>
      </c>
      <c r="H4488" s="87">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332">
        <v>1</v>
      </c>
      <c r="B4489" s="332" t="s">
        <v>67</v>
      </c>
      <c r="C4489" s="332" t="s">
        <v>919</v>
      </c>
      <c r="D4489" s="332" t="s">
        <v>919</v>
      </c>
      <c r="E4489" s="333" t="s">
        <v>69</v>
      </c>
      <c r="F4489" s="332"/>
      <c r="G4489" s="334" t="str">
        <f t="array" ref="G4489">IF(B4489="insumo",_xlfn.XLOOKUP($D4489,Insumos!$B$1:$B$996,Insumos!$D$1:$D$996),"")</f>
        <v/>
      </c>
      <c r="H4489" s="334">
        <v>93.83775</v>
      </c>
      <c r="I4489" s="335">
        <v>0</v>
      </c>
      <c r="J4489" s="335">
        <v>0</v>
      </c>
      <c r="K4489" s="335"/>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70</v>
      </c>
      <c r="C4490" s="10" t="s">
        <v>919</v>
      </c>
      <c r="D4490" s="10" t="s">
        <v>103</v>
      </c>
      <c r="E4490" s="11" t="str">
        <f t="array" ref="E4490">_xlfn.XLOOKUP(D4490,Insumos!B:B,Insumos!C:$C)</f>
        <v>UN</v>
      </c>
      <c r="F4490" s="14">
        <v>0.1</v>
      </c>
      <c r="G4490" s="87">
        <f t="array" ref="G4490">IF(B4490="insumo",_xlfn.XLOOKUP($D4490,Insumos!$B$1:$B$996,Insumos!$D$1:$D$996),"")</f>
        <v>1.89</v>
      </c>
      <c r="H4490" s="87">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70</v>
      </c>
      <c r="C4491" s="10" t="s">
        <v>919</v>
      </c>
      <c r="D4491" s="10" t="s">
        <v>920</v>
      </c>
      <c r="E4491" s="11" t="str">
        <f t="array" ref="E4491">_xlfn.XLOOKUP(D4491,Insumos!B:B,Insumos!C:$C)</f>
        <v>L</v>
      </c>
      <c r="F4491" s="14">
        <v>1.5</v>
      </c>
      <c r="G4491" s="87">
        <f t="array" ref="G4491">IF(B4491="insumo",_xlfn.XLOOKUP($D4491,Insumos!$B$1:$B$996,Insumos!$D$1:$D$996),"")</f>
        <v>62.432499999999997</v>
      </c>
      <c r="H4491" s="87">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332">
        <v>1</v>
      </c>
      <c r="B4492" s="332" t="s">
        <v>67</v>
      </c>
      <c r="C4492" s="332" t="s">
        <v>921</v>
      </c>
      <c r="D4492" s="332" t="s">
        <v>921</v>
      </c>
      <c r="E4492" s="333" t="s">
        <v>69</v>
      </c>
      <c r="F4492" s="332"/>
      <c r="G4492" s="334" t="str">
        <f t="array" ref="G4492">IF(B4492="insumo",_xlfn.XLOOKUP($D4492,Insumos!$B$1:$B$996,Insumos!$D$1:$D$996),"")</f>
        <v/>
      </c>
      <c r="H4492" s="334">
        <v>57.6056666666667</v>
      </c>
      <c r="I4492" s="335">
        <v>0</v>
      </c>
      <c r="J4492" s="335">
        <v>0</v>
      </c>
      <c r="K4492" s="335"/>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70</v>
      </c>
      <c r="C4493" s="10" t="s">
        <v>921</v>
      </c>
      <c r="D4493" s="10" t="s">
        <v>103</v>
      </c>
      <c r="E4493" s="11" t="str">
        <f t="array" ref="E4493">_xlfn.XLOOKUP(D4493,Insumos!B:B,Insumos!C:$C)</f>
        <v>UN</v>
      </c>
      <c r="F4493" s="14">
        <v>0.1</v>
      </c>
      <c r="G4493" s="87">
        <f t="array" ref="G4493">IF(B4493="insumo",_xlfn.XLOOKUP($D4493,Insumos!$B$1:$B$996,Insumos!$D$1:$D$996),"")</f>
        <v>1.89</v>
      </c>
      <c r="H4493" s="87">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70</v>
      </c>
      <c r="C4494" s="10" t="s">
        <v>921</v>
      </c>
      <c r="D4494" s="10" t="s">
        <v>922</v>
      </c>
      <c r="E4494" s="11" t="str">
        <f t="array" ref="E4494">_xlfn.XLOOKUP(D4494,Insumos!B:B,Insumos!C:$C)</f>
        <v>L</v>
      </c>
      <c r="F4494" s="14">
        <v>1.5</v>
      </c>
      <c r="G4494" s="87">
        <f t="array" ref="G4494">IF(B4494="insumo",_xlfn.XLOOKUP($D4494,Insumos!$B$1:$B$996,Insumos!$D$1:$D$996),"")</f>
        <v>38.277777777777779</v>
      </c>
      <c r="H4494" s="87">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336">
        <v>1</v>
      </c>
      <c r="B4495" s="336" t="s">
        <v>67</v>
      </c>
      <c r="C4495" s="332" t="s">
        <v>2894</v>
      </c>
      <c r="D4495" s="336" t="s">
        <v>2894</v>
      </c>
      <c r="E4495" s="337" t="s">
        <v>69</v>
      </c>
      <c r="F4495" s="336"/>
      <c r="G4495" s="338" t="str">
        <f t="array" ref="G4495">IF(B4495="insumo",_xlfn.XLOOKUP($D4495,Insumos!$B$1:$B$996,Insumos!$D$1:$D$996),"")</f>
        <v/>
      </c>
      <c r="H4495" s="334">
        <v>35.786235333333302</v>
      </c>
      <c r="I4495" s="335" t="e">
        <v>#REF!</v>
      </c>
      <c r="J4495" s="335" t="e">
        <v>#REF!</v>
      </c>
      <c r="K4495" s="335"/>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77">
        <v>31</v>
      </c>
      <c r="B4496" s="77" t="s">
        <v>70</v>
      </c>
      <c r="C4496" s="10" t="s">
        <v>2894</v>
      </c>
      <c r="D4496" s="77" t="s">
        <v>767</v>
      </c>
      <c r="E4496" s="11" t="str">
        <f t="array" ref="E4496">_xlfn.XLOOKUP(D4496,Insumos!B:B,Insumos!C:$C)</f>
        <v>L</v>
      </c>
      <c r="F4496" s="81">
        <v>0.1666</v>
      </c>
      <c r="G4496" s="87">
        <f t="array" ref="G4496">IF(B4496="insumo",_xlfn.XLOOKUP($D4496,Insumos!$B$1:$B$996,Insumos!$D$1:$D$996),"")</f>
        <v>6.47</v>
      </c>
      <c r="H4496" s="87">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77">
        <v>4</v>
      </c>
      <c r="B4497" s="77" t="s">
        <v>70</v>
      </c>
      <c r="C4497" s="10" t="s">
        <v>2894</v>
      </c>
      <c r="D4497" s="77" t="s">
        <v>864</v>
      </c>
      <c r="E4497" s="11" t="str">
        <f t="array" ref="E4497">_xlfn.XLOOKUP(D4497,Insumos!B:B,Insumos!C:$C)</f>
        <v>L</v>
      </c>
      <c r="F4497" s="81">
        <v>0.49980000000000002</v>
      </c>
      <c r="G4497" s="87">
        <f t="array" ref="G4497">IF(B4497="insumo",_xlfn.XLOOKUP($D4497,Insumos!$B$1:$B$996,Insumos!$D$1:$D$996),"")</f>
        <v>69.444444444444443</v>
      </c>
      <c r="H4497" s="87">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336">
        <v>1</v>
      </c>
      <c r="B4498" s="336" t="s">
        <v>67</v>
      </c>
      <c r="C4498" s="332" t="s">
        <v>1914</v>
      </c>
      <c r="D4498" s="336" t="s">
        <v>1914</v>
      </c>
      <c r="E4498" s="337" t="s">
        <v>69</v>
      </c>
      <c r="F4498" s="336"/>
      <c r="G4498" s="338" t="str">
        <f t="array" ref="G4498">IF(B4498="insumo",_xlfn.XLOOKUP($D4498,Insumos!$B$1:$B$996,Insumos!$D$1:$D$996),"")</f>
        <v/>
      </c>
      <c r="H4498" s="334">
        <v>39.802061999999999</v>
      </c>
      <c r="I4498" s="335">
        <v>0</v>
      </c>
      <c r="J4498" s="335">
        <v>0</v>
      </c>
      <c r="K4498" s="335"/>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77">
        <v>36</v>
      </c>
      <c r="B4499" s="77" t="s">
        <v>70</v>
      </c>
      <c r="C4499" s="10" t="s">
        <v>1914</v>
      </c>
      <c r="D4499" s="77" t="s">
        <v>103</v>
      </c>
      <c r="E4499" s="11" t="str">
        <f t="array" ref="E4499">_xlfn.XLOOKUP(D4499,Insumos!B:B,Insumos!C:$C)</f>
        <v>UN</v>
      </c>
      <c r="F4499" s="81">
        <v>0.1</v>
      </c>
      <c r="G4499" s="87">
        <f t="array" ref="G4499">IF(B4499="insumo",_xlfn.XLOOKUP($D4499,Insumos!$B$1:$B$996,Insumos!$D$1:$D$996),"")</f>
        <v>1.89</v>
      </c>
      <c r="H4499" s="87">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77">
        <v>21</v>
      </c>
      <c r="B4500" s="77" t="s">
        <v>70</v>
      </c>
      <c r="C4500" s="10" t="s">
        <v>1914</v>
      </c>
      <c r="D4500" s="77" t="s">
        <v>764</v>
      </c>
      <c r="E4500" s="11" t="str">
        <f t="array" ref="E4500">_xlfn.XLOOKUP(D4500,Insumos!B:B,Insumos!C:$C)</f>
        <v>KG</v>
      </c>
      <c r="F4500" s="81">
        <v>0.86670000000000003</v>
      </c>
      <c r="G4500" s="87">
        <f t="array" ref="G4500">IF(B4500="insumo",_xlfn.XLOOKUP($D4500,Insumos!$B$1:$B$996,Insumos!$D$1:$D$996),"")</f>
        <v>4.8</v>
      </c>
      <c r="H4500" s="87">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77">
        <v>31</v>
      </c>
      <c r="B4501" s="77" t="s">
        <v>70</v>
      </c>
      <c r="C4501" s="10" t="s">
        <v>1914</v>
      </c>
      <c r="D4501" s="77" t="s">
        <v>767</v>
      </c>
      <c r="E4501" s="11" t="str">
        <f t="array" ref="E4501">_xlfn.XLOOKUP(D4501,Insumos!B:B,Insumos!C:$C)</f>
        <v>L</v>
      </c>
      <c r="F4501" s="81">
        <v>0.1666</v>
      </c>
      <c r="G4501" s="87">
        <f t="array" ref="G4501">IF(B4501="insumo",_xlfn.XLOOKUP($D4501,Insumos!$B$1:$B$996,Insumos!$D$1:$D$996),"")</f>
        <v>6.47</v>
      </c>
      <c r="H4501" s="87">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77">
        <v>4</v>
      </c>
      <c r="B4502" s="77" t="s">
        <v>70</v>
      </c>
      <c r="C4502" s="10" t="s">
        <v>1914</v>
      </c>
      <c r="D4502" s="77" t="s">
        <v>864</v>
      </c>
      <c r="E4502" s="11" t="str">
        <f t="array" ref="E4502">_xlfn.XLOOKUP(D4502,Insumos!B:B,Insumos!C:$C)</f>
        <v>L</v>
      </c>
      <c r="F4502" s="81">
        <v>0.495</v>
      </c>
      <c r="G4502" s="87">
        <f t="array" ref="G4502">IF(B4502="insumo",_xlfn.XLOOKUP($D4502,Insumos!$B$1:$B$996,Insumos!$D$1:$D$996),"")</f>
        <v>69.444444444444443</v>
      </c>
      <c r="H4502" s="87">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336">
        <v>1</v>
      </c>
      <c r="B4503" s="336" t="s">
        <v>67</v>
      </c>
      <c r="C4503" s="332" t="s">
        <v>1915</v>
      </c>
      <c r="D4503" s="336" t="s">
        <v>1915</v>
      </c>
      <c r="E4503" s="337" t="s">
        <v>69</v>
      </c>
      <c r="F4503" s="336"/>
      <c r="G4503" s="338" t="str">
        <f t="array" ref="G4503">IF(B4503="insumo",_xlfn.XLOOKUP($D4503,Insumos!$B$1:$B$996,Insumos!$D$1:$D$996),"")</f>
        <v/>
      </c>
      <c r="H4503" s="334">
        <v>22.781607454545501</v>
      </c>
      <c r="I4503" s="335">
        <v>0</v>
      </c>
      <c r="J4503" s="335">
        <v>0</v>
      </c>
      <c r="K4503" s="335"/>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77">
        <v>36</v>
      </c>
      <c r="B4504" s="77" t="s">
        <v>70</v>
      </c>
      <c r="C4504" s="77" t="s">
        <v>1915</v>
      </c>
      <c r="D4504" s="77" t="s">
        <v>103</v>
      </c>
      <c r="E4504" s="11" t="str">
        <f t="array" ref="E4504">_xlfn.XLOOKUP(D4504,Insumos!B:B,Insumos!C:$C)</f>
        <v>UN</v>
      </c>
      <c r="F4504" s="81">
        <v>0.1</v>
      </c>
      <c r="G4504" s="87">
        <f t="array" ref="G4504">IF(B4504="insumo",_xlfn.XLOOKUP($D4504,Insumos!$B$1:$B$996,Insumos!$D$1:$D$996),"")</f>
        <v>1.89</v>
      </c>
      <c r="H4504" s="87">
        <v>0.189</v>
      </c>
      <c r="I4504" s="79">
        <v>0</v>
      </c>
      <c r="J4504" s="79">
        <v>0</v>
      </c>
      <c r="K4504" s="79"/>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77">
        <v>21</v>
      </c>
      <c r="B4505" s="77" t="s">
        <v>70</v>
      </c>
      <c r="C4505" s="77" t="s">
        <v>1915</v>
      </c>
      <c r="D4505" s="77" t="s">
        <v>764</v>
      </c>
      <c r="E4505" s="11" t="str">
        <f t="array" ref="E4505">_xlfn.XLOOKUP(D4505,Insumos!B:B,Insumos!C:$C)</f>
        <v>KG</v>
      </c>
      <c r="F4505" s="81">
        <v>0.86670000000000003</v>
      </c>
      <c r="G4505" s="87">
        <f t="array" ref="G4505">IF(B4505="insumo",_xlfn.XLOOKUP($D4505,Insumos!$B$1:$B$996,Insumos!$D$1:$D$996),"")</f>
        <v>4.8</v>
      </c>
      <c r="H4505" s="87">
        <v>4.1601600000000003</v>
      </c>
      <c r="I4505" s="79">
        <v>0</v>
      </c>
      <c r="J4505" s="79">
        <v>0</v>
      </c>
      <c r="K4505" s="79"/>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77">
        <v>31</v>
      </c>
      <c r="B4506" s="77" t="s">
        <v>70</v>
      </c>
      <c r="C4506" s="77" t="s">
        <v>1915</v>
      </c>
      <c r="D4506" s="77" t="s">
        <v>767</v>
      </c>
      <c r="E4506" s="11" t="str">
        <f t="array" ref="E4506">_xlfn.XLOOKUP(D4506,Insumos!B:B,Insumos!C:$C)</f>
        <v>L</v>
      </c>
      <c r="F4506" s="81">
        <v>0.1666</v>
      </c>
      <c r="G4506" s="87">
        <f t="array" ref="G4506">IF(B4506="insumo",_xlfn.XLOOKUP($D4506,Insumos!$B$1:$B$996,Insumos!$D$1:$D$996),"")</f>
        <v>6.47</v>
      </c>
      <c r="H4506" s="87">
        <v>1.0779019999999999</v>
      </c>
      <c r="I4506" s="79">
        <v>0</v>
      </c>
      <c r="J4506" s="79">
        <v>0</v>
      </c>
      <c r="K4506" s="79"/>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77">
        <v>1</v>
      </c>
      <c r="B4507" s="77" t="s">
        <v>70</v>
      </c>
      <c r="C4507" s="77" t="s">
        <v>1915</v>
      </c>
      <c r="D4507" s="77" t="s">
        <v>1837</v>
      </c>
      <c r="E4507" s="11" t="str">
        <f t="array" ref="E4507">_xlfn.XLOOKUP(D4507,Insumos!B:B,Insumos!C:$C)</f>
        <v>L</v>
      </c>
      <c r="F4507" s="81">
        <f>(16/110)*2</f>
        <v>0.29090909090909089</v>
      </c>
      <c r="G4507" s="87">
        <f t="array" ref="G4507">IF(B4507="insumo",_xlfn.XLOOKUP($D4507,Insumos!$B$1:$B$996,Insumos!$D$1:$D$996),"")</f>
        <v>59.65625</v>
      </c>
      <c r="H4507" s="87">
        <v>17.354545454545502</v>
      </c>
      <c r="I4507" s="79">
        <v>0</v>
      </c>
      <c r="J4507" s="79">
        <v>0</v>
      </c>
      <c r="K4507" s="79"/>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336">
        <v>1</v>
      </c>
      <c r="B4508" s="336" t="s">
        <v>67</v>
      </c>
      <c r="C4508" s="336" t="s">
        <v>1916</v>
      </c>
      <c r="D4508" s="336" t="s">
        <v>1916</v>
      </c>
      <c r="E4508" s="337" t="s">
        <v>69</v>
      </c>
      <c r="F4508" s="336"/>
      <c r="G4508" s="338" t="str">
        <f t="array" ref="G4508">IF(B4508="insumo",_xlfn.XLOOKUP($D4508,Insumos!$B$1:$B$996,Insumos!$D$1:$D$996),"")</f>
        <v/>
      </c>
      <c r="H4508" s="338">
        <v>24.6906983636364</v>
      </c>
      <c r="I4508" s="339">
        <v>0</v>
      </c>
      <c r="J4508" s="339">
        <v>0</v>
      </c>
      <c r="K4508" s="339"/>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77">
        <v>36</v>
      </c>
      <c r="B4509" s="77" t="s">
        <v>70</v>
      </c>
      <c r="C4509" s="77" t="s">
        <v>1916</v>
      </c>
      <c r="D4509" s="77" t="s">
        <v>103</v>
      </c>
      <c r="E4509" s="11" t="str">
        <f t="array" ref="E4509">_xlfn.XLOOKUP(D4509,Insumos!B:B,Insumos!C:$C)</f>
        <v>UN</v>
      </c>
      <c r="F4509" s="81">
        <v>0.1</v>
      </c>
      <c r="G4509" s="87">
        <f t="array" ref="G4509">IF(B4509="insumo",_xlfn.XLOOKUP($D4509,Insumos!$B$1:$B$996,Insumos!$D$1:$D$996),"")</f>
        <v>1.89</v>
      </c>
      <c r="H4509" s="87">
        <v>0.189</v>
      </c>
      <c r="I4509" s="79">
        <v>0</v>
      </c>
      <c r="J4509" s="79">
        <v>0</v>
      </c>
      <c r="K4509" s="79"/>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77">
        <v>21</v>
      </c>
      <c r="B4510" s="77" t="s">
        <v>70</v>
      </c>
      <c r="C4510" s="77" t="s">
        <v>1916</v>
      </c>
      <c r="D4510" s="77" t="s">
        <v>764</v>
      </c>
      <c r="E4510" s="11" t="str">
        <f t="array" ref="E4510">_xlfn.XLOOKUP(D4510,Insumos!B:B,Insumos!C:$C)</f>
        <v>KG</v>
      </c>
      <c r="F4510" s="81">
        <v>0.86670000000000003</v>
      </c>
      <c r="G4510" s="87">
        <f t="array" ref="G4510">IF(B4510="insumo",_xlfn.XLOOKUP($D4510,Insumos!$B$1:$B$996,Insumos!$D$1:$D$996),"")</f>
        <v>4.8</v>
      </c>
      <c r="H4510" s="87">
        <v>4.1601600000000003</v>
      </c>
      <c r="I4510" s="79">
        <v>0</v>
      </c>
      <c r="J4510" s="79">
        <v>0</v>
      </c>
      <c r="K4510" s="79"/>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77">
        <v>31</v>
      </c>
      <c r="B4511" s="77" t="s">
        <v>70</v>
      </c>
      <c r="C4511" s="77" t="s">
        <v>1916</v>
      </c>
      <c r="D4511" s="77" t="s">
        <v>767</v>
      </c>
      <c r="E4511" s="11" t="str">
        <f t="array" ref="E4511">_xlfn.XLOOKUP(D4511,Insumos!B:B,Insumos!C:$C)</f>
        <v>L</v>
      </c>
      <c r="F4511" s="81">
        <v>0.1666</v>
      </c>
      <c r="G4511" s="87">
        <f t="array" ref="G4511">IF(B4511="insumo",_xlfn.XLOOKUP($D4511,Insumos!$B$1:$B$996,Insumos!$D$1:$D$996),"")</f>
        <v>6.47</v>
      </c>
      <c r="H4511" s="87">
        <v>1.0779019999999999</v>
      </c>
      <c r="I4511" s="79">
        <v>0</v>
      </c>
      <c r="J4511" s="79">
        <v>0</v>
      </c>
      <c r="K4511" s="79"/>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77">
        <v>1</v>
      </c>
      <c r="B4512" s="77" t="s">
        <v>70</v>
      </c>
      <c r="C4512" s="77" t="s">
        <v>1916</v>
      </c>
      <c r="D4512" s="77" t="s">
        <v>1836</v>
      </c>
      <c r="E4512" s="11" t="str">
        <f t="array" ref="E4512">_xlfn.XLOOKUP(D4512,Insumos!B:B,Insumos!C:$C)</f>
        <v>L</v>
      </c>
      <c r="F4512" s="81">
        <f>(16/110)*2</f>
        <v>0.29090909090909089</v>
      </c>
      <c r="G4512" s="87">
        <f t="array" ref="G4512">IF(B4512="insumo",_xlfn.XLOOKUP($D4512,Insumos!$B$1:$B$996,Insumos!$D$1:$D$996),"")</f>
        <v>66.21875</v>
      </c>
      <c r="H4512" s="87">
        <v>19.263636363636401</v>
      </c>
      <c r="I4512" s="79">
        <v>0</v>
      </c>
      <c r="J4512" s="79">
        <v>0</v>
      </c>
      <c r="K4512" s="79"/>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336">
        <v>1</v>
      </c>
      <c r="B4513" s="336" t="s">
        <v>67</v>
      </c>
      <c r="C4513" s="336" t="s">
        <v>1917</v>
      </c>
      <c r="D4513" s="336" t="s">
        <v>1917</v>
      </c>
      <c r="E4513" s="337" t="s">
        <v>69</v>
      </c>
      <c r="F4513" s="336"/>
      <c r="G4513" s="338" t="str">
        <f t="array" ref="G4513">IF(B4513="insumo",_xlfn.XLOOKUP($D4513,Insumos!$B$1:$B$996,Insumos!$D$1:$D$996),"")</f>
        <v/>
      </c>
      <c r="H4513" s="338">
        <v>24.716152909090901</v>
      </c>
      <c r="I4513" s="339">
        <v>0</v>
      </c>
      <c r="J4513" s="339">
        <v>0</v>
      </c>
      <c r="K4513" s="339"/>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77">
        <v>36</v>
      </c>
      <c r="B4514" s="77" t="s">
        <v>70</v>
      </c>
      <c r="C4514" s="77" t="s">
        <v>1917</v>
      </c>
      <c r="D4514" s="77" t="s">
        <v>103</v>
      </c>
      <c r="E4514" s="11" t="str">
        <f t="array" ref="E4514">_xlfn.XLOOKUP(D4514,Insumos!B:B,Insumos!C:$C)</f>
        <v>UN</v>
      </c>
      <c r="F4514" s="81">
        <v>0.1</v>
      </c>
      <c r="G4514" s="87">
        <f t="array" ref="G4514">IF(B4514="insumo",_xlfn.XLOOKUP($D4514,Insumos!$B$1:$B$996,Insumos!$D$1:$D$996),"")</f>
        <v>1.89</v>
      </c>
      <c r="H4514" s="87">
        <v>0.189</v>
      </c>
      <c r="I4514" s="79">
        <v>0</v>
      </c>
      <c r="J4514" s="79">
        <v>0</v>
      </c>
      <c r="K4514" s="79"/>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77">
        <v>21</v>
      </c>
      <c r="B4515" s="77" t="s">
        <v>70</v>
      </c>
      <c r="C4515" s="77" t="s">
        <v>1917</v>
      </c>
      <c r="D4515" s="77" t="s">
        <v>764</v>
      </c>
      <c r="E4515" s="11" t="str">
        <f t="array" ref="E4515">_xlfn.XLOOKUP(D4515,Insumos!B:B,Insumos!C:$C)</f>
        <v>KG</v>
      </c>
      <c r="F4515" s="81">
        <v>0.86670000000000003</v>
      </c>
      <c r="G4515" s="87">
        <f t="array" ref="G4515">IF(B4515="insumo",_xlfn.XLOOKUP($D4515,Insumos!$B$1:$B$996,Insumos!$D$1:$D$996),"")</f>
        <v>4.8</v>
      </c>
      <c r="H4515" s="87">
        <v>4.1601600000000003</v>
      </c>
      <c r="I4515" s="79">
        <v>0</v>
      </c>
      <c r="J4515" s="79">
        <v>0</v>
      </c>
      <c r="K4515" s="79"/>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77">
        <v>31</v>
      </c>
      <c r="B4516" s="77" t="s">
        <v>70</v>
      </c>
      <c r="C4516" s="77" t="s">
        <v>1917</v>
      </c>
      <c r="D4516" s="77" t="s">
        <v>767</v>
      </c>
      <c r="E4516" s="11" t="str">
        <f t="array" ref="E4516">_xlfn.XLOOKUP(D4516,Insumos!B:B,Insumos!C:$C)</f>
        <v>L</v>
      </c>
      <c r="F4516" s="81">
        <v>0.1666</v>
      </c>
      <c r="G4516" s="87">
        <f t="array" ref="G4516">IF(B4516="insumo",_xlfn.XLOOKUP($D4516,Insumos!$B$1:$B$996,Insumos!$D$1:$D$996),"")</f>
        <v>6.47</v>
      </c>
      <c r="H4516" s="87">
        <v>1.0779019999999999</v>
      </c>
      <c r="I4516" s="79">
        <v>0</v>
      </c>
      <c r="J4516" s="79">
        <v>0</v>
      </c>
      <c r="K4516" s="79"/>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77">
        <v>1</v>
      </c>
      <c r="B4517" s="77" t="s">
        <v>70</v>
      </c>
      <c r="C4517" s="77" t="s">
        <v>1917</v>
      </c>
      <c r="D4517" s="77" t="s">
        <v>1838</v>
      </c>
      <c r="E4517" s="11" t="str">
        <f t="array" ref="E4517">_xlfn.XLOOKUP(D4517,Insumos!B:B,Insumos!C:$C)</f>
        <v>L</v>
      </c>
      <c r="F4517" s="81">
        <f>(16/110)*2</f>
        <v>0.29090909090909089</v>
      </c>
      <c r="G4517" s="87">
        <f t="array" ref="G4517">IF(B4517="insumo",_xlfn.XLOOKUP($D4517,Insumos!$B$1:$B$996,Insumos!$D$1:$D$996),"")</f>
        <v>66.306250000000006</v>
      </c>
      <c r="H4517" s="87">
        <v>19.289090909090898</v>
      </c>
      <c r="I4517" s="79">
        <v>0</v>
      </c>
      <c r="J4517" s="79">
        <v>0</v>
      </c>
      <c r="K4517" s="79"/>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336">
        <v>1</v>
      </c>
      <c r="B4518" s="336" t="s">
        <v>67</v>
      </c>
      <c r="C4518" s="336" t="s">
        <v>1918</v>
      </c>
      <c r="D4518" s="336" t="s">
        <v>1918</v>
      </c>
      <c r="E4518" s="337" t="s">
        <v>69</v>
      </c>
      <c r="F4518" s="336"/>
      <c r="G4518" s="338" t="str">
        <f t="array" ref="G4518">IF(B4518="insumo",_xlfn.XLOOKUP($D4518,Insumos!$B$1:$B$996,Insumos!$D$1:$D$996),"")</f>
        <v/>
      </c>
      <c r="H4518" s="338">
        <v>17.869890282828301</v>
      </c>
      <c r="I4518" s="339">
        <v>0</v>
      </c>
      <c r="J4518" s="339">
        <v>0</v>
      </c>
      <c r="K4518" s="339"/>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77">
        <v>36</v>
      </c>
      <c r="B4519" s="77" t="s">
        <v>70</v>
      </c>
      <c r="C4519" s="77" t="s">
        <v>1918</v>
      </c>
      <c r="D4519" s="77" t="s">
        <v>103</v>
      </c>
      <c r="E4519" s="11" t="str">
        <f t="array" ref="E4519">_xlfn.XLOOKUP(D4519,Insumos!B:B,Insumos!C:$C)</f>
        <v>UN</v>
      </c>
      <c r="F4519" s="81">
        <v>0.1</v>
      </c>
      <c r="G4519" s="87">
        <f t="array" ref="G4519">IF(B4519="insumo",_xlfn.XLOOKUP($D4519,Insumos!$B$1:$B$996,Insumos!$D$1:$D$996),"")</f>
        <v>1.89</v>
      </c>
      <c r="H4519" s="87">
        <v>0.189</v>
      </c>
      <c r="I4519" s="79">
        <v>0</v>
      </c>
      <c r="J4519" s="79">
        <v>0</v>
      </c>
      <c r="K4519" s="79"/>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77">
        <v>21</v>
      </c>
      <c r="B4520" s="77" t="s">
        <v>70</v>
      </c>
      <c r="C4520" s="77" t="s">
        <v>1918</v>
      </c>
      <c r="D4520" s="77" t="s">
        <v>764</v>
      </c>
      <c r="E4520" s="11" t="str">
        <f t="array" ref="E4520">_xlfn.XLOOKUP(D4520,Insumos!B:B,Insumos!C:$C)</f>
        <v>KG</v>
      </c>
      <c r="F4520" s="81">
        <v>0.86670000000000003</v>
      </c>
      <c r="G4520" s="87">
        <f t="array" ref="G4520">IF(B4520="insumo",_xlfn.XLOOKUP($D4520,Insumos!$B$1:$B$996,Insumos!$D$1:$D$996),"")</f>
        <v>4.8</v>
      </c>
      <c r="H4520" s="87">
        <v>4.1601600000000003</v>
      </c>
      <c r="I4520" s="79">
        <v>0</v>
      </c>
      <c r="J4520" s="79">
        <v>0</v>
      </c>
      <c r="K4520" s="79"/>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77">
        <v>31</v>
      </c>
      <c r="B4521" s="77" t="s">
        <v>70</v>
      </c>
      <c r="C4521" s="77" t="s">
        <v>1918</v>
      </c>
      <c r="D4521" s="77" t="s">
        <v>767</v>
      </c>
      <c r="E4521" s="11" t="str">
        <f t="array" ref="E4521">_xlfn.XLOOKUP(D4521,Insumos!B:B,Insumos!C:$C)</f>
        <v>L</v>
      </c>
      <c r="F4521" s="81">
        <v>0.1666</v>
      </c>
      <c r="G4521" s="87">
        <f t="array" ref="G4521">IF(B4521="insumo",_xlfn.XLOOKUP($D4521,Insumos!$B$1:$B$996,Insumos!$D$1:$D$996),"")</f>
        <v>6.47</v>
      </c>
      <c r="H4521" s="87">
        <v>1.0779019999999999</v>
      </c>
      <c r="I4521" s="79">
        <v>0</v>
      </c>
      <c r="J4521" s="79">
        <v>0</v>
      </c>
      <c r="K4521" s="79"/>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77">
        <v>2</v>
      </c>
      <c r="B4522" s="77" t="s">
        <v>70</v>
      </c>
      <c r="C4522" s="77" t="s">
        <v>1918</v>
      </c>
      <c r="D4522" s="77" t="s">
        <v>1843</v>
      </c>
      <c r="E4522" s="11" t="str">
        <f t="array" ref="E4522">_xlfn.XLOOKUP(D4522,Insumos!B:B,Insumos!C:$C)</f>
        <v>L</v>
      </c>
      <c r="F4522" s="81">
        <f>(16/110)*2</f>
        <v>0.29090909090909089</v>
      </c>
      <c r="G4522" s="87">
        <f t="array" ref="G4522">IF(B4522="insumo",_xlfn.XLOOKUP($D4522,Insumos!$B$1:$B$996,Insumos!$D$1:$D$996),"")</f>
        <v>42.772222222222219</v>
      </c>
      <c r="H4522" s="87">
        <v>12.4428282828283</v>
      </c>
      <c r="I4522" s="79">
        <v>0</v>
      </c>
      <c r="J4522" s="79">
        <v>0</v>
      </c>
      <c r="K4522" s="79"/>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336">
        <v>1</v>
      </c>
      <c r="B4523" s="336" t="s">
        <v>67</v>
      </c>
      <c r="C4523" s="336" t="s">
        <v>1919</v>
      </c>
      <c r="D4523" s="336" t="s">
        <v>1919</v>
      </c>
      <c r="E4523" s="337" t="s">
        <v>69</v>
      </c>
      <c r="F4523" s="336"/>
      <c r="G4523" s="338" t="str">
        <f t="array" ref="G4523">IF(B4523="insumo",_xlfn.XLOOKUP($D4523,Insumos!$B$1:$B$996,Insumos!$D$1:$D$996),"")</f>
        <v/>
      </c>
      <c r="H4523" s="338">
        <v>18.6979710909091</v>
      </c>
      <c r="I4523" s="339">
        <v>0</v>
      </c>
      <c r="J4523" s="339">
        <v>0</v>
      </c>
      <c r="K4523" s="339"/>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77">
        <v>36</v>
      </c>
      <c r="B4524" s="77" t="s">
        <v>70</v>
      </c>
      <c r="C4524" s="77" t="s">
        <v>1919</v>
      </c>
      <c r="D4524" s="77" t="s">
        <v>103</v>
      </c>
      <c r="E4524" s="11" t="str">
        <f t="array" ref="E4524">_xlfn.XLOOKUP(D4524,Insumos!B:B,Insumos!C:$C)</f>
        <v>UN</v>
      </c>
      <c r="F4524" s="81">
        <v>0.1</v>
      </c>
      <c r="G4524" s="87">
        <f t="array" ref="G4524">IF(B4524="insumo",_xlfn.XLOOKUP($D4524,Insumos!$B$1:$B$996,Insumos!$D$1:$D$996),"")</f>
        <v>1.89</v>
      </c>
      <c r="H4524" s="87">
        <v>0.189</v>
      </c>
      <c r="I4524" s="79">
        <v>0</v>
      </c>
      <c r="J4524" s="79">
        <v>0</v>
      </c>
      <c r="K4524" s="79"/>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77">
        <v>21</v>
      </c>
      <c r="B4525" s="77" t="s">
        <v>70</v>
      </c>
      <c r="C4525" s="77" t="s">
        <v>1919</v>
      </c>
      <c r="D4525" s="77" t="s">
        <v>764</v>
      </c>
      <c r="E4525" s="11" t="str">
        <f t="array" ref="E4525">_xlfn.XLOOKUP(D4525,Insumos!B:B,Insumos!C:$C)</f>
        <v>KG</v>
      </c>
      <c r="F4525" s="81">
        <v>0.86670000000000003</v>
      </c>
      <c r="G4525" s="87">
        <f t="array" ref="G4525">IF(B4525="insumo",_xlfn.XLOOKUP($D4525,Insumos!$B$1:$B$996,Insumos!$D$1:$D$996),"")</f>
        <v>4.8</v>
      </c>
      <c r="H4525" s="87">
        <v>4.1601600000000003</v>
      </c>
      <c r="I4525" s="79">
        <v>0</v>
      </c>
      <c r="J4525" s="79">
        <v>0</v>
      </c>
      <c r="K4525" s="79"/>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77">
        <v>31</v>
      </c>
      <c r="B4526" s="77" t="s">
        <v>70</v>
      </c>
      <c r="C4526" s="77" t="s">
        <v>1919</v>
      </c>
      <c r="D4526" s="77" t="s">
        <v>767</v>
      </c>
      <c r="E4526" s="11" t="str">
        <f t="array" ref="E4526">_xlfn.XLOOKUP(D4526,Insumos!B:B,Insumos!C:$C)</f>
        <v>L</v>
      </c>
      <c r="F4526" s="81">
        <v>0.1666</v>
      </c>
      <c r="G4526" s="87">
        <f t="array" ref="G4526">IF(B4526="insumo",_xlfn.XLOOKUP($D4526,Insumos!$B$1:$B$996,Insumos!$D$1:$D$996),"")</f>
        <v>6.47</v>
      </c>
      <c r="H4526" s="87">
        <v>1.0779019999999999</v>
      </c>
      <c r="I4526" s="79">
        <v>0</v>
      </c>
      <c r="J4526" s="79">
        <v>0</v>
      </c>
      <c r="K4526" s="79"/>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77">
        <v>1</v>
      </c>
      <c r="B4527" s="77" t="s">
        <v>70</v>
      </c>
      <c r="C4527" s="77" t="s">
        <v>1919</v>
      </c>
      <c r="D4527" s="77" t="s">
        <v>1840</v>
      </c>
      <c r="E4527" s="11" t="str">
        <f t="array" ref="E4527">_xlfn.XLOOKUP(D4527,Insumos!B:B,Insumos!C:$C)</f>
        <v>L</v>
      </c>
      <c r="F4527" s="81">
        <f>(16/110)*2</f>
        <v>0.29090909090909089</v>
      </c>
      <c r="G4527" s="87">
        <f t="array" ref="G4527">IF(B4527="insumo",_xlfn.XLOOKUP($D4527,Insumos!$B$1:$B$996,Insumos!$D$1:$D$996),"")</f>
        <v>45.618749999999999</v>
      </c>
      <c r="H4527" s="87">
        <v>13.2709090909091</v>
      </c>
      <c r="I4527" s="79">
        <v>0</v>
      </c>
      <c r="J4527" s="79">
        <v>0</v>
      </c>
      <c r="K4527" s="79"/>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336">
        <v>1</v>
      </c>
      <c r="B4528" s="336" t="s">
        <v>67</v>
      </c>
      <c r="C4528" s="336" t="s">
        <v>1920</v>
      </c>
      <c r="D4528" s="336" t="s">
        <v>1920</v>
      </c>
      <c r="E4528" s="337" t="s">
        <v>69</v>
      </c>
      <c r="F4528" s="336"/>
      <c r="G4528" s="338" t="str">
        <f t="array" ref="G4528">IF(B4528="insumo",_xlfn.XLOOKUP($D4528,Insumos!$B$1:$B$996,Insumos!$D$1:$D$996),"")</f>
        <v/>
      </c>
      <c r="H4528" s="338">
        <v>21.207062000000001</v>
      </c>
      <c r="I4528" s="339">
        <v>0</v>
      </c>
      <c r="J4528" s="339">
        <v>0</v>
      </c>
      <c r="K4528" s="339"/>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77">
        <v>36</v>
      </c>
      <c r="B4529" s="77" t="s">
        <v>70</v>
      </c>
      <c r="C4529" s="77" t="s">
        <v>1920</v>
      </c>
      <c r="D4529" s="77" t="s">
        <v>103</v>
      </c>
      <c r="E4529" s="11" t="str">
        <f t="array" ref="E4529">_xlfn.XLOOKUP(D4529,Insumos!B:B,Insumos!C:$C)</f>
        <v>UN</v>
      </c>
      <c r="F4529" s="81">
        <v>0.1</v>
      </c>
      <c r="G4529" s="87">
        <f t="array" ref="G4529">IF(B4529="insumo",_xlfn.XLOOKUP($D4529,Insumos!$B$1:$B$996,Insumos!$D$1:$D$996),"")</f>
        <v>1.89</v>
      </c>
      <c r="H4529" s="87">
        <v>0.189</v>
      </c>
      <c r="I4529" s="79">
        <v>0</v>
      </c>
      <c r="J4529" s="79">
        <v>0</v>
      </c>
      <c r="K4529" s="79"/>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77">
        <v>21</v>
      </c>
      <c r="B4530" s="77" t="s">
        <v>70</v>
      </c>
      <c r="C4530" s="77" t="s">
        <v>1920</v>
      </c>
      <c r="D4530" s="77" t="s">
        <v>764</v>
      </c>
      <c r="E4530" s="11" t="str">
        <f t="array" ref="E4530">_xlfn.XLOOKUP(D4530,Insumos!B:B,Insumos!C:$C)</f>
        <v>KG</v>
      </c>
      <c r="F4530" s="81">
        <v>0.86670000000000003</v>
      </c>
      <c r="G4530" s="87">
        <f t="array" ref="G4530">IF(B4530="insumo",_xlfn.XLOOKUP($D4530,Insumos!$B$1:$B$996,Insumos!$D$1:$D$996),"")</f>
        <v>4.8</v>
      </c>
      <c r="H4530" s="87">
        <v>4.1601600000000003</v>
      </c>
      <c r="I4530" s="79">
        <v>0</v>
      </c>
      <c r="J4530" s="79">
        <v>0</v>
      </c>
      <c r="K4530" s="79"/>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77">
        <v>31</v>
      </c>
      <c r="B4531" s="77" t="s">
        <v>70</v>
      </c>
      <c r="C4531" s="77" t="s">
        <v>1920</v>
      </c>
      <c r="D4531" s="77" t="s">
        <v>767</v>
      </c>
      <c r="E4531" s="11" t="str">
        <f t="array" ref="E4531">_xlfn.XLOOKUP(D4531,Insumos!B:B,Insumos!C:$C)</f>
        <v>L</v>
      </c>
      <c r="F4531" s="81">
        <v>0.1666</v>
      </c>
      <c r="G4531" s="87">
        <f t="array" ref="G4531">IF(B4531="insumo",_xlfn.XLOOKUP($D4531,Insumos!$B$1:$B$996,Insumos!$D$1:$D$996),"")</f>
        <v>6.47</v>
      </c>
      <c r="H4531" s="87">
        <v>1.0779019999999999</v>
      </c>
      <c r="I4531" s="79">
        <v>0</v>
      </c>
      <c r="J4531" s="79">
        <v>0</v>
      </c>
      <c r="K4531" s="79"/>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77">
        <v>1</v>
      </c>
      <c r="B4532" s="77" t="s">
        <v>70</v>
      </c>
      <c r="C4532" s="77" t="s">
        <v>1920</v>
      </c>
      <c r="D4532" s="77" t="s">
        <v>1839</v>
      </c>
      <c r="E4532" s="11" t="str">
        <f t="array" ref="E4532">_xlfn.XLOOKUP(D4532,Insumos!B:B,Insumos!C:$C)</f>
        <v>L</v>
      </c>
      <c r="F4532" s="81">
        <f>(16/110)*2</f>
        <v>0.29090909090909089</v>
      </c>
      <c r="G4532" s="87">
        <f t="array" ref="G4532">IF(B4532="insumo",_xlfn.XLOOKUP($D4532,Insumos!$B$1:$B$996,Insumos!$D$1:$D$996),"")</f>
        <v>54.243749999999999</v>
      </c>
      <c r="H4532" s="87">
        <v>15.78</v>
      </c>
      <c r="I4532" s="79">
        <v>0</v>
      </c>
      <c r="J4532" s="79">
        <v>0</v>
      </c>
      <c r="K4532" s="79"/>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336">
        <v>1</v>
      </c>
      <c r="B4533" s="336" t="s">
        <v>67</v>
      </c>
      <c r="C4533" s="336" t="s">
        <v>1921</v>
      </c>
      <c r="D4533" s="336" t="s">
        <v>1921</v>
      </c>
      <c r="E4533" s="337" t="s">
        <v>69</v>
      </c>
      <c r="F4533" s="336"/>
      <c r="G4533" s="338" t="str">
        <f t="array" ref="G4533">IF(B4533="insumo",_xlfn.XLOOKUP($D4533,Insumos!$B$1:$B$996,Insumos!$D$1:$D$996),"")</f>
        <v/>
      </c>
      <c r="H4533" s="338">
        <v>21.552516545454498</v>
      </c>
      <c r="I4533" s="339">
        <v>0</v>
      </c>
      <c r="J4533" s="339">
        <v>0</v>
      </c>
      <c r="K4533" s="339"/>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77">
        <v>36</v>
      </c>
      <c r="B4534" s="77" t="s">
        <v>70</v>
      </c>
      <c r="C4534" s="77" t="s">
        <v>1921</v>
      </c>
      <c r="D4534" s="77" t="s">
        <v>103</v>
      </c>
      <c r="E4534" s="11" t="str">
        <f t="array" ref="E4534">_xlfn.XLOOKUP(D4534,Insumos!B:B,Insumos!C:$C)</f>
        <v>UN</v>
      </c>
      <c r="F4534" s="81">
        <v>0.1</v>
      </c>
      <c r="G4534" s="87">
        <f t="array" ref="G4534">IF(B4534="insumo",_xlfn.XLOOKUP($D4534,Insumos!$B$1:$B$996,Insumos!$D$1:$D$996),"")</f>
        <v>1.89</v>
      </c>
      <c r="H4534" s="87">
        <v>0.189</v>
      </c>
      <c r="I4534" s="79">
        <v>0</v>
      </c>
      <c r="J4534" s="79">
        <v>0</v>
      </c>
      <c r="K4534" s="79"/>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77">
        <v>21</v>
      </c>
      <c r="B4535" s="77" t="s">
        <v>70</v>
      </c>
      <c r="C4535" s="77" t="s">
        <v>1921</v>
      </c>
      <c r="D4535" s="77" t="s">
        <v>764</v>
      </c>
      <c r="E4535" s="11" t="str">
        <f t="array" ref="E4535">_xlfn.XLOOKUP(D4535,Insumos!B:B,Insumos!C:$C)</f>
        <v>KG</v>
      </c>
      <c r="F4535" s="81">
        <v>0.86670000000000003</v>
      </c>
      <c r="G4535" s="87">
        <f t="array" ref="G4535">IF(B4535="insumo",_xlfn.XLOOKUP($D4535,Insumos!$B$1:$B$996,Insumos!$D$1:$D$996),"")</f>
        <v>4.8</v>
      </c>
      <c r="H4535" s="87">
        <v>4.1601600000000003</v>
      </c>
      <c r="I4535" s="79">
        <v>0</v>
      </c>
      <c r="J4535" s="79">
        <v>0</v>
      </c>
      <c r="K4535" s="79"/>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77">
        <v>31</v>
      </c>
      <c r="B4536" s="77" t="s">
        <v>70</v>
      </c>
      <c r="C4536" s="77" t="s">
        <v>1921</v>
      </c>
      <c r="D4536" s="77" t="s">
        <v>767</v>
      </c>
      <c r="E4536" s="11" t="str">
        <f t="array" ref="E4536">_xlfn.XLOOKUP(D4536,Insumos!B:B,Insumos!C:$C)</f>
        <v>L</v>
      </c>
      <c r="F4536" s="81">
        <v>0.1666</v>
      </c>
      <c r="G4536" s="87">
        <f t="array" ref="G4536">IF(B4536="insumo",_xlfn.XLOOKUP($D4536,Insumos!$B$1:$B$996,Insumos!$D$1:$D$996),"")</f>
        <v>6.47</v>
      </c>
      <c r="H4536" s="87">
        <v>1.0779019999999999</v>
      </c>
      <c r="I4536" s="79">
        <v>0</v>
      </c>
      <c r="J4536" s="79">
        <v>0</v>
      </c>
      <c r="K4536" s="79"/>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77">
        <v>1</v>
      </c>
      <c r="B4537" s="77" t="s">
        <v>70</v>
      </c>
      <c r="C4537" s="77" t="s">
        <v>1921</v>
      </c>
      <c r="D4537" s="77" t="s">
        <v>1841</v>
      </c>
      <c r="E4537" s="11" t="str">
        <f t="array" ref="E4537">_xlfn.XLOOKUP(D4537,Insumos!B:B,Insumos!C:$C)</f>
        <v>L</v>
      </c>
      <c r="F4537" s="81">
        <f>(16/110)*2</f>
        <v>0.29090909090909089</v>
      </c>
      <c r="G4537" s="87">
        <f t="array" ref="G4537">IF(B4537="insumo",_xlfn.XLOOKUP($D4537,Insumos!$B$1:$B$996,Insumos!$D$1:$D$996),"")</f>
        <v>55.431249999999999</v>
      </c>
      <c r="H4537" s="87">
        <v>16.125454545454499</v>
      </c>
      <c r="I4537" s="79">
        <v>0</v>
      </c>
      <c r="J4537" s="79">
        <v>0</v>
      </c>
      <c r="K4537" s="79"/>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336">
        <v>1</v>
      </c>
      <c r="B4538" s="336" t="s">
        <v>67</v>
      </c>
      <c r="C4538" s="336" t="s">
        <v>1922</v>
      </c>
      <c r="D4538" s="336" t="s">
        <v>1922</v>
      </c>
      <c r="E4538" s="337" t="s">
        <v>69</v>
      </c>
      <c r="F4538" s="336"/>
      <c r="G4538" s="338" t="str">
        <f t="array" ref="G4538">IF(B4538="insumo",_xlfn.XLOOKUP($D4538,Insumos!$B$1:$B$996,Insumos!$D$1:$D$996),"")</f>
        <v/>
      </c>
      <c r="H4538" s="338">
        <v>15.4456478585859</v>
      </c>
      <c r="I4538" s="339">
        <v>0</v>
      </c>
      <c r="J4538" s="339">
        <v>0</v>
      </c>
      <c r="K4538" s="339"/>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77">
        <v>36</v>
      </c>
      <c r="B4539" s="77" t="s">
        <v>70</v>
      </c>
      <c r="C4539" s="77" t="s">
        <v>1922</v>
      </c>
      <c r="D4539" s="77" t="s">
        <v>103</v>
      </c>
      <c r="E4539" s="11" t="str">
        <f t="array" ref="E4539">_xlfn.XLOOKUP(D4539,Insumos!B:B,Insumos!C:$C)</f>
        <v>UN</v>
      </c>
      <c r="F4539" s="81">
        <v>0.1</v>
      </c>
      <c r="G4539" s="87">
        <f t="array" ref="G4539">IF(B4539="insumo",_xlfn.XLOOKUP($D4539,Insumos!$B$1:$B$996,Insumos!$D$1:$D$996),"")</f>
        <v>1.89</v>
      </c>
      <c r="H4539" s="87">
        <v>0.189</v>
      </c>
      <c r="I4539" s="79">
        <v>0</v>
      </c>
      <c r="J4539" s="79">
        <v>0</v>
      </c>
      <c r="K4539" s="79"/>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77">
        <v>21</v>
      </c>
      <c r="B4540" s="77" t="s">
        <v>70</v>
      </c>
      <c r="C4540" s="77" t="s">
        <v>1922</v>
      </c>
      <c r="D4540" s="77" t="s">
        <v>764</v>
      </c>
      <c r="E4540" s="11" t="str">
        <f t="array" ref="E4540">_xlfn.XLOOKUP(D4540,Insumos!B:B,Insumos!C:$C)</f>
        <v>KG</v>
      </c>
      <c r="F4540" s="81">
        <v>0.86670000000000003</v>
      </c>
      <c r="G4540" s="87">
        <f t="array" ref="G4540">IF(B4540="insumo",_xlfn.XLOOKUP($D4540,Insumos!$B$1:$B$996,Insumos!$D$1:$D$996),"")</f>
        <v>4.8</v>
      </c>
      <c r="H4540" s="87">
        <v>4.1601600000000003</v>
      </c>
      <c r="I4540" s="79">
        <v>0</v>
      </c>
      <c r="J4540" s="79">
        <v>0</v>
      </c>
      <c r="K4540" s="79"/>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77">
        <v>31</v>
      </c>
      <c r="B4541" s="77" t="s">
        <v>70</v>
      </c>
      <c r="C4541" s="77" t="s">
        <v>1922</v>
      </c>
      <c r="D4541" s="77" t="s">
        <v>767</v>
      </c>
      <c r="E4541" s="11" t="str">
        <f t="array" ref="E4541">_xlfn.XLOOKUP(D4541,Insumos!B:B,Insumos!C:$C)</f>
        <v>L</v>
      </c>
      <c r="F4541" s="81">
        <v>0.1666</v>
      </c>
      <c r="G4541" s="87">
        <f t="array" ref="G4541">IF(B4541="insumo",_xlfn.XLOOKUP($D4541,Insumos!$B$1:$B$996,Insumos!$D$1:$D$996),"")</f>
        <v>6.47</v>
      </c>
      <c r="H4541" s="87">
        <v>1.0779019999999999</v>
      </c>
      <c r="I4541" s="79">
        <v>0</v>
      </c>
      <c r="J4541" s="79">
        <v>0</v>
      </c>
      <c r="K4541" s="79"/>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77">
        <v>2</v>
      </c>
      <c r="B4542" s="77" t="s">
        <v>70</v>
      </c>
      <c r="C4542" s="77" t="s">
        <v>1922</v>
      </c>
      <c r="D4542" s="77" t="s">
        <v>1842</v>
      </c>
      <c r="E4542" s="11" t="str">
        <f t="array" ref="E4542">_xlfn.XLOOKUP(D4542,Insumos!B:B,Insumos!C:$C)</f>
        <v>L</v>
      </c>
      <c r="F4542" s="81">
        <f>(16/110)*2</f>
        <v>0.29090909090909089</v>
      </c>
      <c r="G4542" s="87">
        <f t="array" ref="G4542">IF(B4542="insumo",_xlfn.XLOOKUP($D4542,Insumos!$B$1:$B$996,Insumos!$D$1:$D$996),"")</f>
        <v>34.43888888888889</v>
      </c>
      <c r="H4542" s="87">
        <v>10.018585858585899</v>
      </c>
      <c r="I4542" s="79">
        <v>0</v>
      </c>
      <c r="J4542" s="79">
        <v>0</v>
      </c>
      <c r="K4542" s="79"/>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336">
        <v>1</v>
      </c>
      <c r="B4543" s="336" t="s">
        <v>67</v>
      </c>
      <c r="C4543" s="336" t="s">
        <v>1923</v>
      </c>
      <c r="D4543" s="336" t="s">
        <v>1923</v>
      </c>
      <c r="E4543" s="337" t="s">
        <v>69</v>
      </c>
      <c r="F4543" s="336"/>
      <c r="G4543" s="338" t="str">
        <f t="array" ref="G4543">IF(B4543="insumo",_xlfn.XLOOKUP($D4543,Insumos!$B$1:$B$996,Insumos!$D$1:$D$996),"")</f>
        <v/>
      </c>
      <c r="H4543" s="338">
        <v>3.3191999999999999</v>
      </c>
      <c r="I4543" s="339">
        <v>0</v>
      </c>
      <c r="J4543" s="339">
        <v>0</v>
      </c>
      <c r="K4543" s="339"/>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77">
        <v>1</v>
      </c>
      <c r="B4544" s="77" t="s">
        <v>70</v>
      </c>
      <c r="C4544" s="77" t="s">
        <v>1923</v>
      </c>
      <c r="D4544" s="77" t="s">
        <v>1844</v>
      </c>
      <c r="E4544" s="11" t="str">
        <f t="array" ref="E4544">_xlfn.XLOOKUP(D4544,Insumos!B:B,Insumos!C:$C)</f>
        <v>L</v>
      </c>
      <c r="F4544" s="81">
        <f>(18/250)*2</f>
        <v>0.14399999999999999</v>
      </c>
      <c r="G4544" s="87">
        <f t="array" ref="G4544">IF(B4544="insumo",_xlfn.XLOOKUP($D4544,Insumos!$B$1:$B$996,Insumos!$D$1:$D$996),"")</f>
        <v>23.049999999999997</v>
      </c>
      <c r="H4544" s="87">
        <v>3.3191999999999999</v>
      </c>
      <c r="I4544" s="79">
        <v>0</v>
      </c>
      <c r="J4544" s="79">
        <v>0</v>
      </c>
      <c r="K4544" s="79"/>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336">
        <v>1</v>
      </c>
      <c r="B4545" s="336" t="s">
        <v>67</v>
      </c>
      <c r="C4545" s="336" t="s">
        <v>1924</v>
      </c>
      <c r="D4545" s="336" t="s">
        <v>1924</v>
      </c>
      <c r="E4545" s="337" t="s">
        <v>69</v>
      </c>
      <c r="F4545" s="336"/>
      <c r="G4545" s="338" t="str">
        <f t="array" ref="G4545">IF(B4545="insumo",_xlfn.XLOOKUP($D4545,Insumos!$B$1:$B$996,Insumos!$D$1:$D$996),"")</f>
        <v/>
      </c>
      <c r="H4545" s="338">
        <v>5.3904347826086996</v>
      </c>
      <c r="I4545" s="339">
        <v>0</v>
      </c>
      <c r="J4545" s="339">
        <v>0</v>
      </c>
      <c r="K4545" s="339"/>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77">
        <v>2</v>
      </c>
      <c r="B4546" s="77" t="s">
        <v>70</v>
      </c>
      <c r="C4546" s="77" t="s">
        <v>1924</v>
      </c>
      <c r="D4546" s="77" t="s">
        <v>1842</v>
      </c>
      <c r="E4546" s="11" t="str">
        <f t="array" ref="E4546">_xlfn.XLOOKUP(D4546,Insumos!B:B,Insumos!C:$C)</f>
        <v>L</v>
      </c>
      <c r="F4546" s="81">
        <f>18/115</f>
        <v>0.15652173913043479</v>
      </c>
      <c r="G4546" s="87">
        <f t="array" ref="G4546">IF(B4546="insumo",_xlfn.XLOOKUP($D4546,Insumos!$B$1:$B$996,Insumos!$D$1:$D$996),"")</f>
        <v>34.43888888888889</v>
      </c>
      <c r="H4546" s="87">
        <v>5.3904347826086996</v>
      </c>
      <c r="I4546" s="79">
        <v>0</v>
      </c>
      <c r="J4546" s="79">
        <v>0</v>
      </c>
      <c r="K4546" s="79"/>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336">
        <v>1</v>
      </c>
      <c r="B4547" s="336" t="s">
        <v>67</v>
      </c>
      <c r="C4547" s="336" t="s">
        <v>1925</v>
      </c>
      <c r="D4547" s="336" t="s">
        <v>1925</v>
      </c>
      <c r="E4547" s="337" t="s">
        <v>69</v>
      </c>
      <c r="F4547" s="336"/>
      <c r="G4547" s="338" t="str">
        <f t="array" ref="G4547">IF(B4547="insumo",_xlfn.XLOOKUP($D4547,Insumos!$B$1:$B$996,Insumos!$D$1:$D$996),"")</f>
        <v/>
      </c>
      <c r="H4547" s="338">
        <v>44.2</v>
      </c>
      <c r="I4547" s="339">
        <v>0</v>
      </c>
      <c r="J4547" s="339">
        <v>0</v>
      </c>
      <c r="K4547" s="339"/>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77">
        <v>1</v>
      </c>
      <c r="B4548" s="77" t="s">
        <v>70</v>
      </c>
      <c r="C4548" s="77" t="s">
        <v>1925</v>
      </c>
      <c r="D4548" s="77" t="s">
        <v>1851</v>
      </c>
      <c r="E4548" s="11" t="str">
        <f t="array" ref="E4548">_xlfn.XLOOKUP(D4548,Insumos!B:B,Insumos!C:$C)</f>
        <v>KG</v>
      </c>
      <c r="F4548" s="81">
        <v>1.7</v>
      </c>
      <c r="G4548" s="87">
        <f t="array" ref="G4548">IF(B4548="insumo",_xlfn.XLOOKUP($D4548,Insumos!$B$1:$B$996,Insumos!$D$1:$D$996),"")</f>
        <v>26</v>
      </c>
      <c r="H4548" s="87">
        <v>44.2</v>
      </c>
      <c r="I4548" s="79">
        <v>0</v>
      </c>
      <c r="J4548" s="79">
        <v>0</v>
      </c>
      <c r="K4548" s="79"/>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336">
        <v>1</v>
      </c>
      <c r="B4549" s="336" t="s">
        <v>67</v>
      </c>
      <c r="C4549" s="336" t="s">
        <v>1926</v>
      </c>
      <c r="D4549" s="336" t="s">
        <v>1926</v>
      </c>
      <c r="E4549" s="337" t="s">
        <v>69</v>
      </c>
      <c r="F4549" s="336"/>
      <c r="G4549" s="338" t="str">
        <f t="array" ref="G4549">IF(B4549="insumo",_xlfn.XLOOKUP($D4549,Insumos!$B$1:$B$996,Insumos!$D$1:$D$996),"")</f>
        <v/>
      </c>
      <c r="H4549" s="338">
        <v>48</v>
      </c>
      <c r="I4549" s="339">
        <v>0</v>
      </c>
      <c r="J4549" s="339">
        <v>0</v>
      </c>
      <c r="K4549" s="339"/>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77">
        <v>1</v>
      </c>
      <c r="B4550" s="77" t="s">
        <v>70</v>
      </c>
      <c r="C4550" s="77" t="s">
        <v>1926</v>
      </c>
      <c r="D4550" s="77" t="s">
        <v>1849</v>
      </c>
      <c r="E4550" s="11" t="str">
        <f t="array" ref="E4550">_xlfn.XLOOKUP(D4550,Insumos!B:B,Insumos!C:$C)</f>
        <v>KG</v>
      </c>
      <c r="F4550" s="81">
        <v>1.6</v>
      </c>
      <c r="G4550" s="87">
        <f t="array" ref="G4550">IF(B4550="insumo",_xlfn.XLOOKUP($D4550,Insumos!$B$1:$B$996,Insumos!$D$1:$D$996),"")</f>
        <v>30</v>
      </c>
      <c r="H4550" s="87">
        <v>48</v>
      </c>
      <c r="I4550" s="79">
        <v>0</v>
      </c>
      <c r="J4550" s="79">
        <v>0</v>
      </c>
      <c r="K4550" s="79"/>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336">
        <v>1</v>
      </c>
      <c r="B4551" s="336" t="s">
        <v>67</v>
      </c>
      <c r="C4551" s="336" t="s">
        <v>1927</v>
      </c>
      <c r="D4551" s="336" t="s">
        <v>1927</v>
      </c>
      <c r="E4551" s="337" t="s">
        <v>69</v>
      </c>
      <c r="F4551" s="336"/>
      <c r="G4551" s="338" t="str">
        <f t="array" ref="G4551">IF(B4551="insumo",_xlfn.XLOOKUP($D4551,Insumos!$B$1:$B$996,Insumos!$D$1:$D$996),"")</f>
        <v/>
      </c>
      <c r="H4551" s="338">
        <v>40</v>
      </c>
      <c r="I4551" s="339">
        <v>0</v>
      </c>
      <c r="J4551" s="339">
        <v>0</v>
      </c>
      <c r="K4551" s="339"/>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77">
        <v>1</v>
      </c>
      <c r="B4552" s="77" t="s">
        <v>70</v>
      </c>
      <c r="C4552" s="77" t="s">
        <v>1927</v>
      </c>
      <c r="D4552" s="77" t="s">
        <v>1850</v>
      </c>
      <c r="E4552" s="11" t="str">
        <f t="array" ref="E4552">_xlfn.XLOOKUP(D4552,Insumos!B:B,Insumos!C:$C)</f>
        <v>KG</v>
      </c>
      <c r="F4552" s="81">
        <v>1.6</v>
      </c>
      <c r="G4552" s="87">
        <f t="array" ref="G4552">IF(B4552="insumo",_xlfn.XLOOKUP($D4552,Insumos!$B$1:$B$996,Insumos!$D$1:$D$996),"")</f>
        <v>25</v>
      </c>
      <c r="H4552" s="87">
        <v>40</v>
      </c>
      <c r="I4552" s="79">
        <v>0</v>
      </c>
      <c r="J4552" s="79">
        <v>0</v>
      </c>
      <c r="K4552" s="79"/>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336">
        <v>1</v>
      </c>
      <c r="B4553" s="336" t="s">
        <v>67</v>
      </c>
      <c r="C4553" s="336" t="s">
        <v>1928</v>
      </c>
      <c r="D4553" s="336" t="s">
        <v>1928</v>
      </c>
      <c r="E4553" s="337" t="s">
        <v>69</v>
      </c>
      <c r="F4553" s="336"/>
      <c r="G4553" s="338" t="str">
        <f t="array" ref="G4553">IF(B4553="insumo",_xlfn.XLOOKUP($D4553,Insumos!$B$1:$B$996,Insumos!$D$1:$D$996),"")</f>
        <v/>
      </c>
      <c r="H4553" s="338">
        <v>6.6947826086956503</v>
      </c>
      <c r="I4553" s="339">
        <v>0</v>
      </c>
      <c r="J4553" s="339">
        <v>0</v>
      </c>
      <c r="K4553" s="339"/>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77">
        <v>2</v>
      </c>
      <c r="B4554" s="77" t="s">
        <v>70</v>
      </c>
      <c r="C4554" s="77" t="s">
        <v>1928</v>
      </c>
      <c r="D4554" s="77" t="s">
        <v>1843</v>
      </c>
      <c r="E4554" s="11" t="str">
        <f t="array" ref="E4554">_xlfn.XLOOKUP(D4554,Insumos!B:B,Insumos!C:$C)</f>
        <v>L</v>
      </c>
      <c r="F4554" s="81">
        <f>18/115</f>
        <v>0.15652173913043479</v>
      </c>
      <c r="G4554" s="87">
        <f t="array" ref="G4554">IF(B4554="insumo",_xlfn.XLOOKUP($D4554,Insumos!$B$1:$B$996,Insumos!$D$1:$D$996),"")</f>
        <v>42.772222222222219</v>
      </c>
      <c r="H4554" s="87">
        <v>6.6947826086956503</v>
      </c>
      <c r="I4554" s="79">
        <v>0</v>
      </c>
      <c r="J4554" s="79">
        <v>0</v>
      </c>
      <c r="K4554" s="79"/>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336">
        <v>1</v>
      </c>
      <c r="B4555" s="336" t="s">
        <v>67</v>
      </c>
      <c r="C4555" s="336" t="s">
        <v>1929</v>
      </c>
      <c r="D4555" s="336" t="s">
        <v>1929</v>
      </c>
      <c r="E4555" s="337" t="s">
        <v>69</v>
      </c>
      <c r="F4555" s="336"/>
      <c r="G4555" s="338" t="str">
        <f t="array" ref="G4555">IF(B4555="insumo",_xlfn.XLOOKUP($D4555,Insumos!$B$1:$B$996,Insumos!$D$1:$D$996),"")</f>
        <v/>
      </c>
      <c r="H4555" s="338">
        <v>16.341812000000001</v>
      </c>
      <c r="I4555" s="339">
        <v>0</v>
      </c>
      <c r="J4555" s="339">
        <v>0</v>
      </c>
      <c r="K4555" s="339"/>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77">
        <v>36</v>
      </c>
      <c r="B4556" s="77" t="s">
        <v>70</v>
      </c>
      <c r="C4556" s="77" t="s">
        <v>1929</v>
      </c>
      <c r="D4556" s="77" t="s">
        <v>103</v>
      </c>
      <c r="E4556" s="11" t="str">
        <f t="array" ref="E4556">_xlfn.XLOOKUP(D4556,Insumos!B:B,Insumos!C:$C)</f>
        <v>UN</v>
      </c>
      <c r="F4556" s="81">
        <v>0.1</v>
      </c>
      <c r="G4556" s="87">
        <f t="array" ref="G4556">IF(B4556="insumo",_xlfn.XLOOKUP($D4556,Insumos!$B$1:$B$996,Insumos!$D$1:$D$996),"")</f>
        <v>1.89</v>
      </c>
      <c r="H4556" s="87">
        <v>0.189</v>
      </c>
      <c r="I4556" s="79">
        <v>0</v>
      </c>
      <c r="J4556" s="79">
        <v>0</v>
      </c>
      <c r="K4556" s="79"/>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77">
        <v>21</v>
      </c>
      <c r="B4557" s="77" t="s">
        <v>70</v>
      </c>
      <c r="C4557" s="77" t="s">
        <v>1929</v>
      </c>
      <c r="D4557" s="77" t="s">
        <v>764</v>
      </c>
      <c r="E4557" s="11" t="str">
        <f t="array" ref="E4557">_xlfn.XLOOKUP(D4557,Insumos!B:B,Insumos!C:$C)</f>
        <v>KG</v>
      </c>
      <c r="F4557" s="81">
        <v>0.86670000000000003</v>
      </c>
      <c r="G4557" s="87">
        <f t="array" ref="G4557">IF(B4557="insumo",_xlfn.XLOOKUP($D4557,Insumos!$B$1:$B$996,Insumos!$D$1:$D$996),"")</f>
        <v>4.8</v>
      </c>
      <c r="H4557" s="87">
        <v>4.1601600000000003</v>
      </c>
      <c r="I4557" s="79">
        <v>0</v>
      </c>
      <c r="J4557" s="79">
        <v>0</v>
      </c>
      <c r="K4557" s="79"/>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77">
        <v>31</v>
      </c>
      <c r="B4558" s="77" t="s">
        <v>70</v>
      </c>
      <c r="C4558" s="77" t="s">
        <v>1929</v>
      </c>
      <c r="D4558" s="77" t="s">
        <v>767</v>
      </c>
      <c r="E4558" s="11" t="str">
        <f t="array" ref="E4558">_xlfn.XLOOKUP(D4558,Insumos!B:B,Insumos!C:$C)</f>
        <v>L</v>
      </c>
      <c r="F4558" s="81">
        <v>0.1666</v>
      </c>
      <c r="G4558" s="87">
        <f t="array" ref="G4558">IF(B4558="insumo",_xlfn.XLOOKUP($D4558,Insumos!$B$1:$B$996,Insumos!$D$1:$D$996),"")</f>
        <v>6.47</v>
      </c>
      <c r="H4558" s="87">
        <v>1.0779019999999999</v>
      </c>
      <c r="I4558" s="79">
        <v>0</v>
      </c>
      <c r="J4558" s="79">
        <v>0</v>
      </c>
      <c r="K4558" s="79"/>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77">
        <v>2</v>
      </c>
      <c r="B4559" s="77" t="s">
        <v>70</v>
      </c>
      <c r="C4559" s="77" t="s">
        <v>1929</v>
      </c>
      <c r="D4559" s="77" t="s">
        <v>918</v>
      </c>
      <c r="E4559" s="11" t="str">
        <f t="array" ref="E4559">_xlfn.XLOOKUP(D4559,Insumos!B:B,Insumos!C:$C)</f>
        <v>L</v>
      </c>
      <c r="F4559" s="81">
        <v>0.495</v>
      </c>
      <c r="G4559" s="87">
        <f t="array" ref="G4559">IF(B4559="insumo",_xlfn.XLOOKUP($D4559,Insumos!$B$1:$B$996,Insumos!$D$1:$D$996),"")</f>
        <v>22.049999999999997</v>
      </c>
      <c r="H4559" s="87">
        <v>10.91475</v>
      </c>
      <c r="I4559" s="79">
        <v>0</v>
      </c>
      <c r="J4559" s="79">
        <v>0</v>
      </c>
      <c r="K4559" s="79"/>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336">
        <v>1</v>
      </c>
      <c r="B4560" s="336" t="s">
        <v>67</v>
      </c>
      <c r="C4560" s="336" t="s">
        <v>1930</v>
      </c>
      <c r="D4560" s="336" t="s">
        <v>1930</v>
      </c>
      <c r="E4560" s="337" t="s">
        <v>69</v>
      </c>
      <c r="F4560" s="336"/>
      <c r="G4560" s="338" t="str">
        <f t="array" ref="G4560">IF(B4560="insumo",_xlfn.XLOOKUP($D4560,Insumos!$B$1:$B$996,Insumos!$D$1:$D$996),"")</f>
        <v/>
      </c>
      <c r="H4560" s="338">
        <v>32.652062000000001</v>
      </c>
      <c r="I4560" s="339">
        <v>0</v>
      </c>
      <c r="J4560" s="339">
        <v>0</v>
      </c>
      <c r="K4560" s="339"/>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77">
        <v>36</v>
      </c>
      <c r="B4561" s="77" t="s">
        <v>70</v>
      </c>
      <c r="C4561" s="77" t="s">
        <v>1930</v>
      </c>
      <c r="D4561" s="77" t="s">
        <v>103</v>
      </c>
      <c r="E4561" s="11" t="str">
        <f t="array" ref="E4561">_xlfn.XLOOKUP(D4561,Insumos!B:B,Insumos!C:$C)</f>
        <v>UN</v>
      </c>
      <c r="F4561" s="81">
        <v>0.1</v>
      </c>
      <c r="G4561" s="87">
        <f t="array" ref="G4561">IF(B4561="insumo",_xlfn.XLOOKUP($D4561,Insumos!$B$1:$B$996,Insumos!$D$1:$D$996),"")</f>
        <v>1.89</v>
      </c>
      <c r="H4561" s="87">
        <v>0.189</v>
      </c>
      <c r="I4561" s="79">
        <v>0</v>
      </c>
      <c r="J4561" s="79">
        <v>0</v>
      </c>
      <c r="K4561" s="79"/>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77">
        <v>21</v>
      </c>
      <c r="B4562" s="77" t="s">
        <v>70</v>
      </c>
      <c r="C4562" s="77" t="s">
        <v>1930</v>
      </c>
      <c r="D4562" s="77" t="s">
        <v>764</v>
      </c>
      <c r="E4562" s="11" t="str">
        <f t="array" ref="E4562">_xlfn.XLOOKUP(D4562,Insumos!B:B,Insumos!C:$C)</f>
        <v>KG</v>
      </c>
      <c r="F4562" s="81">
        <v>0.86670000000000003</v>
      </c>
      <c r="G4562" s="87">
        <f t="array" ref="G4562">IF(B4562="insumo",_xlfn.XLOOKUP($D4562,Insumos!$B$1:$B$996,Insumos!$D$1:$D$996),"")</f>
        <v>4.8</v>
      </c>
      <c r="H4562" s="87">
        <v>4.1601600000000003</v>
      </c>
      <c r="I4562" s="79">
        <v>0</v>
      </c>
      <c r="J4562" s="79">
        <v>0</v>
      </c>
      <c r="K4562" s="79"/>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77">
        <v>31</v>
      </c>
      <c r="B4563" s="77" t="s">
        <v>70</v>
      </c>
      <c r="C4563" s="77" t="s">
        <v>1930</v>
      </c>
      <c r="D4563" s="77" t="s">
        <v>767</v>
      </c>
      <c r="E4563" s="11" t="str">
        <f t="array" ref="E4563">_xlfn.XLOOKUP(D4563,Insumos!B:B,Insumos!C:$C)</f>
        <v>L</v>
      </c>
      <c r="F4563" s="81">
        <v>0.1666</v>
      </c>
      <c r="G4563" s="87">
        <f t="array" ref="G4563">IF(B4563="insumo",_xlfn.XLOOKUP($D4563,Insumos!$B$1:$B$996,Insumos!$D$1:$D$996),"")</f>
        <v>6.47</v>
      </c>
      <c r="H4563" s="87">
        <v>1.0779019999999999</v>
      </c>
      <c r="I4563" s="79">
        <v>0</v>
      </c>
      <c r="J4563" s="79">
        <v>0</v>
      </c>
      <c r="K4563" s="79"/>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77">
        <v>1</v>
      </c>
      <c r="B4564" s="77" t="s">
        <v>70</v>
      </c>
      <c r="C4564" s="77" t="s">
        <v>1930</v>
      </c>
      <c r="D4564" s="77" t="s">
        <v>1834</v>
      </c>
      <c r="E4564" s="11" t="str">
        <f t="array" ref="E4564">_xlfn.XLOOKUP(D4564,Insumos!B:B,Insumos!C:$C)</f>
        <v>L</v>
      </c>
      <c r="F4564" s="81">
        <v>0.495</v>
      </c>
      <c r="G4564" s="87">
        <f t="array" ref="G4564">IF(B4564="insumo",_xlfn.XLOOKUP($D4564,Insumos!$B$1:$B$996,Insumos!$D$1:$D$996),"")</f>
        <v>55</v>
      </c>
      <c r="H4564" s="87">
        <v>27.225000000000001</v>
      </c>
      <c r="I4564" s="79">
        <v>0</v>
      </c>
      <c r="J4564" s="79">
        <v>0</v>
      </c>
      <c r="K4564" s="79"/>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336">
        <v>1</v>
      </c>
      <c r="B4565" s="336" t="s">
        <v>67</v>
      </c>
      <c r="C4565" s="336" t="s">
        <v>1931</v>
      </c>
      <c r="D4565" s="336" t="s">
        <v>1931</v>
      </c>
      <c r="E4565" s="337" t="s">
        <v>69</v>
      </c>
      <c r="F4565" s="336"/>
      <c r="G4565" s="338" t="str">
        <f t="array" ref="G4565">IF(B4565="insumo",_xlfn.XLOOKUP($D4565,Insumos!$B$1:$B$996,Insumos!$D$1:$D$996),"")</f>
        <v/>
      </c>
      <c r="H4565" s="338">
        <v>30.177061999999999</v>
      </c>
      <c r="I4565" s="339">
        <v>0</v>
      </c>
      <c r="J4565" s="339">
        <v>0</v>
      </c>
      <c r="K4565" s="339"/>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77">
        <v>36</v>
      </c>
      <c r="B4566" s="77" t="s">
        <v>70</v>
      </c>
      <c r="C4566" s="77" t="s">
        <v>1931</v>
      </c>
      <c r="D4566" s="77" t="s">
        <v>103</v>
      </c>
      <c r="E4566" s="11" t="str">
        <f t="array" ref="E4566">_xlfn.XLOOKUP(D4566,Insumos!B:B,Insumos!C:$C)</f>
        <v>UN</v>
      </c>
      <c r="F4566" s="81">
        <v>0.1</v>
      </c>
      <c r="G4566" s="87">
        <f t="array" ref="G4566">IF(B4566="insumo",_xlfn.XLOOKUP($D4566,Insumos!$B$1:$B$996,Insumos!$D$1:$D$996),"")</f>
        <v>1.89</v>
      </c>
      <c r="H4566" s="87">
        <v>0.189</v>
      </c>
      <c r="I4566" s="79">
        <v>0</v>
      </c>
      <c r="J4566" s="79">
        <v>0</v>
      </c>
      <c r="K4566" s="79"/>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77">
        <v>21</v>
      </c>
      <c r="B4567" s="77" t="s">
        <v>70</v>
      </c>
      <c r="C4567" s="77" t="s">
        <v>1931</v>
      </c>
      <c r="D4567" s="77" t="s">
        <v>764</v>
      </c>
      <c r="E4567" s="11" t="str">
        <f t="array" ref="E4567">_xlfn.XLOOKUP(D4567,Insumos!B:B,Insumos!C:$C)</f>
        <v>KG</v>
      </c>
      <c r="F4567" s="81">
        <v>0.86670000000000003</v>
      </c>
      <c r="G4567" s="87">
        <f t="array" ref="G4567">IF(B4567="insumo",_xlfn.XLOOKUP($D4567,Insumos!$B$1:$B$996,Insumos!$D$1:$D$996),"")</f>
        <v>4.8</v>
      </c>
      <c r="H4567" s="87">
        <v>4.1601600000000003</v>
      </c>
      <c r="I4567" s="79">
        <v>0</v>
      </c>
      <c r="J4567" s="79">
        <v>0</v>
      </c>
      <c r="K4567" s="79"/>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77">
        <v>31</v>
      </c>
      <c r="B4568" s="77" t="s">
        <v>70</v>
      </c>
      <c r="C4568" s="77" t="s">
        <v>1931</v>
      </c>
      <c r="D4568" s="77" t="s">
        <v>767</v>
      </c>
      <c r="E4568" s="11" t="str">
        <f t="array" ref="E4568">_xlfn.XLOOKUP(D4568,Insumos!B:B,Insumos!C:$C)</f>
        <v>L</v>
      </c>
      <c r="F4568" s="81">
        <v>0.1666</v>
      </c>
      <c r="G4568" s="87">
        <f t="array" ref="G4568">IF(B4568="insumo",_xlfn.XLOOKUP($D4568,Insumos!$B$1:$B$996,Insumos!$D$1:$D$996),"")</f>
        <v>6.47</v>
      </c>
      <c r="H4568" s="87">
        <v>1.0779019999999999</v>
      </c>
      <c r="I4568" s="79">
        <v>0</v>
      </c>
      <c r="J4568" s="79">
        <v>0</v>
      </c>
      <c r="K4568" s="79"/>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77">
        <v>1</v>
      </c>
      <c r="B4569" s="77" t="s">
        <v>70</v>
      </c>
      <c r="C4569" s="77" t="s">
        <v>1931</v>
      </c>
      <c r="D4569" s="77" t="s">
        <v>1835</v>
      </c>
      <c r="E4569" s="11" t="str">
        <f t="array" ref="E4569">_xlfn.XLOOKUP(D4569,Insumos!B:B,Insumos!C:$C)</f>
        <v>L</v>
      </c>
      <c r="F4569" s="81">
        <v>0.495</v>
      </c>
      <c r="G4569" s="87">
        <f t="array" ref="G4569">IF(B4569="insumo",_xlfn.XLOOKUP($D4569,Insumos!$B$1:$B$996,Insumos!$D$1:$D$996),"")</f>
        <v>50</v>
      </c>
      <c r="H4569" s="87">
        <v>24.75</v>
      </c>
      <c r="I4569" s="79">
        <v>0</v>
      </c>
      <c r="J4569" s="79">
        <v>0</v>
      </c>
      <c r="K4569" s="79"/>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336">
        <v>1</v>
      </c>
      <c r="B4570" s="336" t="s">
        <v>67</v>
      </c>
      <c r="C4570" s="336" t="s">
        <v>1932</v>
      </c>
      <c r="D4570" s="336" t="s">
        <v>1932</v>
      </c>
      <c r="E4570" s="337" t="s">
        <v>69</v>
      </c>
      <c r="F4570" s="336"/>
      <c r="G4570" s="338" t="str">
        <f t="array" ref="G4570">IF(B4570="insumo",_xlfn.XLOOKUP($D4570,Insumos!$B$1:$B$996,Insumos!$D$1:$D$996),"")</f>
        <v/>
      </c>
      <c r="H4570" s="338">
        <v>211.758555555556</v>
      </c>
      <c r="I4570" s="339">
        <v>0</v>
      </c>
      <c r="J4570" s="339">
        <v>0</v>
      </c>
      <c r="K4570" s="339"/>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77">
        <v>2</v>
      </c>
      <c r="B4571" s="77" t="s">
        <v>70</v>
      </c>
      <c r="C4571" s="77" t="s">
        <v>1932</v>
      </c>
      <c r="D4571" s="77" t="s">
        <v>896</v>
      </c>
      <c r="E4571" s="11" t="str">
        <f t="array" ref="E4571">_xlfn.XLOOKUP(D4571,Insumos!B:B,Insumos!C:$C)</f>
        <v>KG</v>
      </c>
      <c r="F4571" s="81">
        <v>1.5</v>
      </c>
      <c r="G4571" s="87">
        <f t="array" ref="G4571">IF(B4571="insumo",_xlfn.XLOOKUP($D4571,Insumos!$B$1:$B$996,Insumos!$D$1:$D$996),"")</f>
        <v>140</v>
      </c>
      <c r="H4571" s="87">
        <v>210</v>
      </c>
      <c r="I4571" s="79">
        <v>0</v>
      </c>
      <c r="J4571" s="79">
        <v>0</v>
      </c>
      <c r="K4571" s="79"/>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77">
        <v>19</v>
      </c>
      <c r="B4572" s="77" t="s">
        <v>70</v>
      </c>
      <c r="C4572" s="77" t="s">
        <v>1932</v>
      </c>
      <c r="D4572" s="77" t="s">
        <v>765</v>
      </c>
      <c r="E4572" s="11" t="str">
        <f t="array" ref="E4572">_xlfn.XLOOKUP(D4572,Insumos!B:B,Insumos!C:$C)</f>
        <v>L</v>
      </c>
      <c r="F4572" s="81">
        <v>0.1666</v>
      </c>
      <c r="G4572" s="87">
        <f t="array" ref="G4572">IF(B4572="insumo",_xlfn.XLOOKUP($D4572,Insumos!$B$1:$B$996,Insumos!$D$1:$D$996),"")</f>
        <v>10.555555555555555</v>
      </c>
      <c r="H4572" s="87">
        <v>1.7585555555555601</v>
      </c>
      <c r="I4572" s="79">
        <v>0</v>
      </c>
      <c r="J4572" s="79">
        <v>0</v>
      </c>
      <c r="K4572" s="79"/>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355">
        <v>1</v>
      </c>
      <c r="B4573" s="355" t="s">
        <v>1227</v>
      </c>
      <c r="C4573" s="355" t="s">
        <v>1932</v>
      </c>
      <c r="D4573" s="355" t="s">
        <v>1558</v>
      </c>
      <c r="E4573" s="356"/>
      <c r="F4573" s="357"/>
      <c r="G4573" s="356"/>
      <c r="H4573" s="356">
        <v>0</v>
      </c>
      <c r="I4573" s="357">
        <v>0</v>
      </c>
      <c r="J4573" s="357">
        <v>0</v>
      </c>
      <c r="K4573" s="357"/>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332">
        <v>1</v>
      </c>
      <c r="B4574" s="332" t="s">
        <v>67</v>
      </c>
      <c r="C4574" s="332" t="s">
        <v>911</v>
      </c>
      <c r="D4574" s="332" t="s">
        <v>911</v>
      </c>
      <c r="E4574" s="333" t="s">
        <v>69</v>
      </c>
      <c r="F4574" s="332"/>
      <c r="G4574" s="334" t="str">
        <f t="array" ref="G4574">IF(B4574="insumo",_xlfn.XLOOKUP($D4574,Insumos!$B$1:$B$996,Insumos!$D$1:$D$996),"")</f>
        <v/>
      </c>
      <c r="H4574" s="334">
        <v>1200</v>
      </c>
      <c r="I4574" s="335">
        <v>0</v>
      </c>
      <c r="J4574" s="335">
        <v>0</v>
      </c>
      <c r="K4574" s="335"/>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70</v>
      </c>
      <c r="C4575" s="10" t="s">
        <v>911</v>
      </c>
      <c r="D4575" s="10" t="s">
        <v>911</v>
      </c>
      <c r="E4575" s="11" t="str">
        <f t="array" ref="E4575">_xlfn.XLOOKUP(D4575,Insumos!B:B,Insumos!C:$C)</f>
        <v>M2</v>
      </c>
      <c r="F4575" s="14">
        <v>1</v>
      </c>
      <c r="G4575" s="87">
        <f t="array" ref="G4575">IF(B4575="insumo",_xlfn.XLOOKUP($D4575,Insumos!$B$1:$B$996,Insumos!$D$1:$D$996),"")</f>
        <v>1200</v>
      </c>
      <c r="H4575" s="87">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332">
        <v>1</v>
      </c>
      <c r="B4576" s="332" t="s">
        <v>67</v>
      </c>
      <c r="C4576" s="332" t="s">
        <v>912</v>
      </c>
      <c r="D4576" s="332" t="s">
        <v>912</v>
      </c>
      <c r="E4576" s="333" t="s">
        <v>69</v>
      </c>
      <c r="F4576" s="332"/>
      <c r="G4576" s="334" t="str">
        <f t="array" ref="G4576">IF(B4576="insumo",_xlfn.XLOOKUP($D4576,Insumos!$B$1:$B$996,Insumos!$D$1:$D$996),"")</f>
        <v/>
      </c>
      <c r="H4576" s="334">
        <v>1200</v>
      </c>
      <c r="I4576" s="335">
        <v>0</v>
      </c>
      <c r="J4576" s="335">
        <v>0</v>
      </c>
      <c r="K4576" s="335"/>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70</v>
      </c>
      <c r="C4577" s="10" t="s">
        <v>912</v>
      </c>
      <c r="D4577" s="10" t="s">
        <v>911</v>
      </c>
      <c r="E4577" s="11" t="str">
        <f t="array" ref="E4577">_xlfn.XLOOKUP(D4577,Insumos!B:B,Insumos!C:$C)</f>
        <v>M2</v>
      </c>
      <c r="F4577" s="14">
        <v>1</v>
      </c>
      <c r="G4577" s="87">
        <f t="array" ref="G4577">IF(B4577="insumo",_xlfn.XLOOKUP($D4577,Insumos!$B$1:$B$996,Insumos!$D$1:$D$996),"")</f>
        <v>1200</v>
      </c>
      <c r="H4577" s="87">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332">
        <v>1</v>
      </c>
      <c r="B4578" s="332" t="s">
        <v>67</v>
      </c>
      <c r="C4578" s="332" t="s">
        <v>1562</v>
      </c>
      <c r="D4578" s="332" t="s">
        <v>1562</v>
      </c>
      <c r="E4578" s="333" t="s">
        <v>69</v>
      </c>
      <c r="F4578" s="332"/>
      <c r="G4578" s="334" t="str">
        <f t="array" ref="G4578">IF(B4578="insumo",_xlfn.XLOOKUP($D4578,Insumos!$B$1:$B$996,Insumos!$D$1:$D$996),"")</f>
        <v/>
      </c>
      <c r="H4578" s="334">
        <v>1200</v>
      </c>
      <c r="I4578" s="335">
        <v>0</v>
      </c>
      <c r="J4578" s="335">
        <v>0</v>
      </c>
      <c r="K4578" s="335"/>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70</v>
      </c>
      <c r="C4579" s="10" t="s">
        <v>1562</v>
      </c>
      <c r="D4579" s="10" t="s">
        <v>911</v>
      </c>
      <c r="E4579" s="11" t="str">
        <f t="array" ref="E4579">_xlfn.XLOOKUP(D4579,Insumos!B:B,Insumos!C:$C)</f>
        <v>M2</v>
      </c>
      <c r="F4579" s="14">
        <v>1</v>
      </c>
      <c r="G4579" s="87">
        <f t="array" ref="G4579">IF(B4579="insumo",_xlfn.XLOOKUP($D4579,Insumos!$B$1:$B$996,Insumos!$D$1:$D$996),"")</f>
        <v>1200</v>
      </c>
      <c r="H4579" s="87">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332">
        <v>1</v>
      </c>
      <c r="B4580" s="332" t="s">
        <v>67</v>
      </c>
      <c r="C4580" s="332" t="s">
        <v>878</v>
      </c>
      <c r="D4580" s="332" t="s">
        <v>878</v>
      </c>
      <c r="E4580" s="333" t="s">
        <v>69</v>
      </c>
      <c r="F4580" s="332"/>
      <c r="G4580" s="334" t="str">
        <f t="array" ref="G4580">IF(B4580="insumo",_xlfn.XLOOKUP($D4580,Insumos!$B$1:$B$996,Insumos!$D$1:$D$996),"")</f>
        <v/>
      </c>
      <c r="H4580" s="334">
        <v>165</v>
      </c>
      <c r="I4580" s="335">
        <v>0</v>
      </c>
      <c r="J4580" s="335">
        <v>0</v>
      </c>
      <c r="K4580" s="335"/>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70</v>
      </c>
      <c r="C4581" s="10" t="s">
        <v>878</v>
      </c>
      <c r="D4581" s="10" t="s">
        <v>705</v>
      </c>
      <c r="E4581" s="11" t="str">
        <f t="array" ref="E4581">_xlfn.XLOOKUP(D4581,Insumos!B:B,Insumos!C:$C)</f>
        <v>M2</v>
      </c>
      <c r="F4581" s="14">
        <v>1.1000000000000001</v>
      </c>
      <c r="G4581" s="87">
        <f t="array" ref="G4581">IF(B4581="insumo",_xlfn.XLOOKUP($D4581,Insumos!$B$1:$B$996,Insumos!$D$1:$D$996),"")</f>
        <v>150</v>
      </c>
      <c r="H4581" s="87">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332">
        <v>1</v>
      </c>
      <c r="B4582" s="332" t="s">
        <v>67</v>
      </c>
      <c r="C4582" s="332" t="s">
        <v>881</v>
      </c>
      <c r="D4582" s="332" t="s">
        <v>881</v>
      </c>
      <c r="E4582" s="333" t="s">
        <v>69</v>
      </c>
      <c r="F4582" s="332"/>
      <c r="G4582" s="334" t="str">
        <f t="array" ref="G4582">IF(B4582="insumo",_xlfn.XLOOKUP($D4582,Insumos!$B$1:$B$996,Insumos!$D$1:$D$996),"")</f>
        <v/>
      </c>
      <c r="H4582" s="334">
        <v>1200</v>
      </c>
      <c r="I4582" s="335">
        <v>0</v>
      </c>
      <c r="J4582" s="335">
        <v>0</v>
      </c>
      <c r="K4582" s="335"/>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70</v>
      </c>
      <c r="C4583" s="10" t="s">
        <v>881</v>
      </c>
      <c r="D4583" s="10" t="s">
        <v>881</v>
      </c>
      <c r="E4583" s="11" t="str">
        <f t="array" ref="E4583">_xlfn.XLOOKUP(D4583,Insumos!B:B,Insumos!C:$C)</f>
        <v>M2</v>
      </c>
      <c r="F4583" s="14">
        <v>1</v>
      </c>
      <c r="G4583" s="87">
        <f t="array" ref="G4583">IF(B4583="insumo",_xlfn.XLOOKUP($D4583,Insumos!$B$1:$B$996,Insumos!$D$1:$D$996),"")</f>
        <v>1200</v>
      </c>
      <c r="H4583" s="87">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332">
        <v>1</v>
      </c>
      <c r="B4584" s="332" t="s">
        <v>67</v>
      </c>
      <c r="C4584" s="332" t="s">
        <v>882</v>
      </c>
      <c r="D4584" s="332" t="s">
        <v>882</v>
      </c>
      <c r="E4584" s="333" t="s">
        <v>69</v>
      </c>
      <c r="F4584" s="332"/>
      <c r="G4584" s="334" t="str">
        <f t="array" ref="G4584">IF(B4584="insumo",_xlfn.XLOOKUP($D4584,Insumos!$B$1:$B$996,Insumos!$D$1:$D$996),"")</f>
        <v/>
      </c>
      <c r="H4584" s="334">
        <v>1200</v>
      </c>
      <c r="I4584" s="335">
        <v>0</v>
      </c>
      <c r="J4584" s="335">
        <v>0</v>
      </c>
      <c r="K4584" s="335"/>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70</v>
      </c>
      <c r="C4585" s="10" t="s">
        <v>882</v>
      </c>
      <c r="D4585" s="10" t="s">
        <v>882</v>
      </c>
      <c r="E4585" s="11" t="str">
        <f t="array" ref="E4585">_xlfn.XLOOKUP(D4585,Insumos!B:B,Insumos!C:$C)</f>
        <v>M2</v>
      </c>
      <c r="F4585" s="14">
        <v>1</v>
      </c>
      <c r="G4585" s="87">
        <f t="array" ref="G4585">IF(B4585="insumo",_xlfn.XLOOKUP($D4585,Insumos!$B$1:$B$996,Insumos!$D$1:$D$996),"")</f>
        <v>1200</v>
      </c>
      <c r="H4585" s="87">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332">
        <v>1</v>
      </c>
      <c r="B4586" s="332" t="s">
        <v>67</v>
      </c>
      <c r="C4586" s="332" t="s">
        <v>2948</v>
      </c>
      <c r="D4586" s="332" t="s">
        <v>2948</v>
      </c>
      <c r="E4586" s="333" t="s">
        <v>69</v>
      </c>
      <c r="F4586" s="332"/>
      <c r="G4586" s="334" t="str">
        <f t="array" ref="G4586">IF(B4586="insumo",_xlfn.XLOOKUP($D4586,Insumos!$B$1:$B$996,Insumos!$D$1:$D$996),"")</f>
        <v/>
      </c>
      <c r="H4586" s="334">
        <v>450.23927500000002</v>
      </c>
      <c r="I4586" s="335" t="e">
        <v>#REF!</v>
      </c>
      <c r="J4586" s="335" t="e">
        <v>#REF!</v>
      </c>
      <c r="K4586" s="335"/>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70</v>
      </c>
      <c r="C4587" s="10" t="s">
        <v>2948</v>
      </c>
      <c r="D4587" s="10" t="s">
        <v>2949</v>
      </c>
      <c r="E4587" s="11" t="str">
        <f t="array" ref="E4587">_xlfn.XLOOKUP(D4587,Insumos!B:B,Insumos!C:$C)</f>
        <v>M2</v>
      </c>
      <c r="F4587" s="14">
        <f>1.1/2</f>
        <v>0.55000000000000004</v>
      </c>
      <c r="G4587" s="87">
        <f t="array" ref="G4587">IF(B4587="insumo",_xlfn.XLOOKUP($D4587,Insumos!$B$1:$B$996,Insumos!$D$1:$D$996),"")</f>
        <v>402.5</v>
      </c>
      <c r="H4587" s="87">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70</v>
      </c>
      <c r="C4588" s="10" t="s">
        <v>2948</v>
      </c>
      <c r="D4588" s="10" t="s">
        <v>2950</v>
      </c>
      <c r="E4588" s="11" t="str">
        <f t="array" ref="E4588">_xlfn.XLOOKUP(D4588,Insumos!B:B,Insumos!C:$C)</f>
        <v>M2</v>
      </c>
      <c r="F4588" s="14">
        <f>1.1/2</f>
        <v>0.55000000000000004</v>
      </c>
      <c r="G4588" s="87">
        <f t="array" ref="G4588">IF(B4588="insumo",_xlfn.XLOOKUP($D4588,Insumos!$B$1:$B$996,Insumos!$D$1:$D$996),"")</f>
        <v>402.5</v>
      </c>
      <c r="H4588" s="87">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70</v>
      </c>
      <c r="C4589" s="10" t="s">
        <v>2948</v>
      </c>
      <c r="D4589" s="10" t="s">
        <v>480</v>
      </c>
      <c r="E4589" s="11" t="str">
        <f t="array" ref="E4589">_xlfn.XLOOKUP(D4589,Insumos!B:B,Insumos!C:$C)</f>
        <v>KG</v>
      </c>
      <c r="F4589" s="14">
        <v>4.95</v>
      </c>
      <c r="G4589" s="87">
        <f t="array" ref="G4589">IF(B4589="insumo",_xlfn.XLOOKUP($D4589,Insumos!$B$1:$B$996,Insumos!$D$1:$D$996),"")</f>
        <v>1.0645</v>
      </c>
      <c r="H4589" s="87">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70</v>
      </c>
      <c r="C4590" s="10" t="s">
        <v>2948</v>
      </c>
      <c r="D4590" s="10" t="s">
        <v>505</v>
      </c>
      <c r="E4590" s="11" t="str">
        <f t="array" ref="E4590">_xlfn.XLOOKUP(D4590,Insumos!B:B,Insumos!C:$C)</f>
        <v>UN</v>
      </c>
      <c r="F4590" s="14">
        <v>4</v>
      </c>
      <c r="G4590" s="87">
        <f t="array" ref="G4590">IF(B4590="insumo",_xlfn.XLOOKUP($D4590,Insumos!$B$1:$B$996,Insumos!$D$1:$D$996),"")</f>
        <v>0.08</v>
      </c>
      <c r="H4590" s="87">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70</v>
      </c>
      <c r="C4591" s="77" t="s">
        <v>2948</v>
      </c>
      <c r="D4591" s="77" t="s">
        <v>2388</v>
      </c>
      <c r="E4591" s="11" t="str">
        <f t="array" ref="E4591">_xlfn.XLOOKUP(D4591,Insumos!B:B,Insumos!C:$C)</f>
        <v>KG</v>
      </c>
      <c r="F4591" s="14">
        <v>0.05</v>
      </c>
      <c r="G4591" s="87">
        <f t="array" ref="G4591">IF(B4591="insumo",_xlfn.XLOOKUP($D4591,Insumos!$B$1:$B$996,Insumos!$D$1:$D$996),"")</f>
        <v>38</v>
      </c>
      <c r="H4591" s="87">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332">
        <v>1</v>
      </c>
      <c r="B4592" s="332" t="s">
        <v>67</v>
      </c>
      <c r="C4592" s="332" t="s">
        <v>2682</v>
      </c>
      <c r="D4592" s="332" t="s">
        <v>2682</v>
      </c>
      <c r="E4592" s="333" t="s">
        <v>69</v>
      </c>
      <c r="F4592" s="332"/>
      <c r="G4592" s="334" t="str">
        <f t="array" ref="G4592">IF(B4592="insumo",_xlfn.XLOOKUP($D4592,Insumos!$B$1:$B$996,Insumos!$D$1:$D$996),"")</f>
        <v/>
      </c>
      <c r="H4592" s="334">
        <v>654.28927499999998</v>
      </c>
      <c r="I4592" s="335">
        <v>0</v>
      </c>
      <c r="J4592" s="335">
        <v>0</v>
      </c>
      <c r="K4592" s="335"/>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70</v>
      </c>
      <c r="C4593" s="10" t="s">
        <v>2682</v>
      </c>
      <c r="D4593" s="10" t="s">
        <v>2680</v>
      </c>
      <c r="E4593" s="11" t="str">
        <f t="array" ref="E4593">_xlfn.XLOOKUP(D4593,Insumos!B:B,Insumos!C:$C)</f>
        <v>M2</v>
      </c>
      <c r="F4593" s="14">
        <f>1.1/2</f>
        <v>0.55000000000000004</v>
      </c>
      <c r="G4593" s="87">
        <f t="array" ref="G4593">IF(B4593="insumo",_xlfn.XLOOKUP($D4593,Insumos!$B$1:$B$996,Insumos!$D$1:$D$996),"")</f>
        <v>588</v>
      </c>
      <c r="H4593" s="87">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70</v>
      </c>
      <c r="C4594" s="10" t="s">
        <v>2682</v>
      </c>
      <c r="D4594" s="10" t="s">
        <v>2681</v>
      </c>
      <c r="E4594" s="11" t="str">
        <f t="array" ref="E4594">_xlfn.XLOOKUP(D4594,Insumos!B:B,Insumos!C:$C)</f>
        <v>M2</v>
      </c>
      <c r="F4594" s="14">
        <f>1.1/2</f>
        <v>0.55000000000000004</v>
      </c>
      <c r="G4594" s="87">
        <f t="array" ref="G4594">IF(B4594="insumo",_xlfn.XLOOKUP($D4594,Insumos!$B$1:$B$996,Insumos!$D$1:$D$996),"")</f>
        <v>588</v>
      </c>
      <c r="H4594" s="87">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70</v>
      </c>
      <c r="C4595" s="10" t="s">
        <v>2682</v>
      </c>
      <c r="D4595" s="10" t="s">
        <v>480</v>
      </c>
      <c r="E4595" s="11" t="str">
        <f t="array" ref="E4595">_xlfn.XLOOKUP(D4595,Insumos!B:B,Insumos!C:$C)</f>
        <v>KG</v>
      </c>
      <c r="F4595" s="14">
        <v>4.95</v>
      </c>
      <c r="G4595" s="87">
        <f t="array" ref="G4595">IF(B4595="insumo",_xlfn.XLOOKUP($D4595,Insumos!$B$1:$B$996,Insumos!$D$1:$D$996),"")</f>
        <v>1.0645</v>
      </c>
      <c r="H4595" s="87">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70</v>
      </c>
      <c r="C4596" s="10" t="s">
        <v>2682</v>
      </c>
      <c r="D4596" s="10" t="s">
        <v>505</v>
      </c>
      <c r="E4596" s="11" t="str">
        <f t="array" ref="E4596">_xlfn.XLOOKUP(D4596,Insumos!B:B,Insumos!C:$C)</f>
        <v>UN</v>
      </c>
      <c r="F4596" s="14">
        <v>4</v>
      </c>
      <c r="G4596" s="87">
        <f t="array" ref="G4596">IF(B4596="insumo",_xlfn.XLOOKUP($D4596,Insumos!$B$1:$B$996,Insumos!$D$1:$D$996),"")</f>
        <v>0.08</v>
      </c>
      <c r="H4596" s="87">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70</v>
      </c>
      <c r="C4597" s="77" t="s">
        <v>2682</v>
      </c>
      <c r="D4597" s="77" t="s">
        <v>2388</v>
      </c>
      <c r="E4597" s="11" t="str">
        <f t="array" ref="E4597">_xlfn.XLOOKUP(D4597,Insumos!B:B,Insumos!C:$C)</f>
        <v>KG</v>
      </c>
      <c r="F4597" s="14">
        <v>0.05</v>
      </c>
      <c r="G4597" s="87">
        <f t="array" ref="G4597">IF(B4597="insumo",_xlfn.XLOOKUP($D4597,Insumos!$B$1:$B$996,Insumos!$D$1:$D$996),"")</f>
        <v>38</v>
      </c>
      <c r="H4597" s="87">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332">
        <v>1</v>
      </c>
      <c r="B4598" s="332" t="s">
        <v>67</v>
      </c>
      <c r="C4598" s="332" t="s">
        <v>885</v>
      </c>
      <c r="D4598" s="332" t="s">
        <v>885</v>
      </c>
      <c r="E4598" s="333" t="s">
        <v>69</v>
      </c>
      <c r="F4598" s="332"/>
      <c r="G4598" s="334" t="str">
        <f t="array" ref="G4598">IF(B4598="insumo",_xlfn.XLOOKUP($D4598,Insumos!$B$1:$B$996,Insumos!$D$1:$D$996),"")</f>
        <v/>
      </c>
      <c r="H4598" s="334">
        <v>323.47550000000001</v>
      </c>
      <c r="I4598" s="335">
        <v>0</v>
      </c>
      <c r="J4598" s="335">
        <v>0</v>
      </c>
      <c r="K4598" s="335"/>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70</v>
      </c>
      <c r="C4599" s="10" t="s">
        <v>885</v>
      </c>
      <c r="D4599" s="10" t="s">
        <v>886</v>
      </c>
      <c r="E4599" s="11" t="str">
        <f t="array" ref="E4599">_xlfn.XLOOKUP(D4599,Insumos!B:B,Insumos!C:$C)</f>
        <v>M2</v>
      </c>
      <c r="F4599" s="14">
        <v>1.1000000000000001</v>
      </c>
      <c r="G4599" s="87">
        <f t="array" ref="G4599">IF(B4599="insumo",_xlfn.XLOOKUP($D4599,Insumos!$B$1:$B$996,Insumos!$D$1:$D$996),"")</f>
        <v>280</v>
      </c>
      <c r="H4599" s="87">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70</v>
      </c>
      <c r="C4600" s="10" t="s">
        <v>885</v>
      </c>
      <c r="D4600" s="10" t="s">
        <v>480</v>
      </c>
      <c r="E4600" s="11" t="str">
        <f t="array" ref="E4600">_xlfn.XLOOKUP(D4600,Insumos!B:B,Insumos!C:$C)</f>
        <v>KG</v>
      </c>
      <c r="F4600" s="14">
        <v>9</v>
      </c>
      <c r="G4600" s="87">
        <f t="array" ref="G4600">IF(B4600="insumo",_xlfn.XLOOKUP($D4600,Insumos!$B$1:$B$996,Insumos!$D$1:$D$996),"")</f>
        <v>1.0645</v>
      </c>
      <c r="H4600" s="87">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70</v>
      </c>
      <c r="C4601" s="10" t="s">
        <v>885</v>
      </c>
      <c r="D4601" s="10" t="s">
        <v>505</v>
      </c>
      <c r="E4601" s="11" t="str">
        <f t="array" ref="E4601">_xlfn.XLOOKUP(D4601,Insumos!B:B,Insumos!C:$C)</f>
        <v>UN</v>
      </c>
      <c r="F4601" s="14">
        <v>4</v>
      </c>
      <c r="G4601" s="87">
        <f t="array" ref="G4601">IF(B4601="insumo",_xlfn.XLOOKUP($D4601,Insumos!$B$1:$B$996,Insumos!$D$1:$D$996),"")</f>
        <v>0.08</v>
      </c>
      <c r="H4601" s="87">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70</v>
      </c>
      <c r="C4602" s="10" t="s">
        <v>885</v>
      </c>
      <c r="D4602" s="10" t="s">
        <v>506</v>
      </c>
      <c r="E4602" s="11" t="str">
        <f t="array" ref="E4602">_xlfn.XLOOKUP(D4602,Insumos!B:B,Insumos!C:$C)</f>
        <v>KG</v>
      </c>
      <c r="F4602" s="14">
        <v>0.5</v>
      </c>
      <c r="G4602" s="87">
        <f t="array" ref="G4602">IF(B4602="insumo",_xlfn.XLOOKUP($D4602,Insumos!$B$1:$B$996,Insumos!$D$1:$D$996),"")</f>
        <v>11.15</v>
      </c>
      <c r="H4602" s="87">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332">
        <v>1</v>
      </c>
      <c r="B4603" s="332" t="s">
        <v>67</v>
      </c>
      <c r="C4603" s="332" t="s">
        <v>888</v>
      </c>
      <c r="D4603" s="332" t="s">
        <v>888</v>
      </c>
      <c r="E4603" s="333" t="s">
        <v>69</v>
      </c>
      <c r="F4603" s="332"/>
      <c r="G4603" s="334" t="str">
        <f t="array" ref="G4603">IF(B4603="insumo",_xlfn.XLOOKUP($D4603,Insumos!$B$1:$B$996,Insumos!$D$1:$D$996),"")</f>
        <v/>
      </c>
      <c r="H4603" s="334">
        <v>305</v>
      </c>
      <c r="I4603" s="335">
        <v>0</v>
      </c>
      <c r="J4603" s="335">
        <v>0</v>
      </c>
      <c r="K4603" s="335"/>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70</v>
      </c>
      <c r="C4604" s="15" t="s">
        <v>888</v>
      </c>
      <c r="D4604" s="15" t="s">
        <v>889</v>
      </c>
      <c r="E4604" s="11" t="str">
        <f t="array" ref="E4604">_xlfn.XLOOKUP(D4604,Insumos!B:B,Insumos!C:$C)</f>
        <v>UN</v>
      </c>
      <c r="F4604" s="14">
        <v>1</v>
      </c>
      <c r="G4604" s="87">
        <f t="array" ref="G4604">IF(B4604="insumo",_xlfn.XLOOKUP($D4604,Insumos!$B$1:$B$996,Insumos!$D$1:$D$996),"")</f>
        <v>305</v>
      </c>
      <c r="H4604" s="87">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332">
        <v>1</v>
      </c>
      <c r="B4605" s="332" t="s">
        <v>67</v>
      </c>
      <c r="C4605" s="332" t="s">
        <v>1565</v>
      </c>
      <c r="D4605" s="332" t="s">
        <v>1565</v>
      </c>
      <c r="E4605" s="333" t="s">
        <v>69</v>
      </c>
      <c r="F4605" s="332"/>
      <c r="G4605" s="334" t="str">
        <f t="array" ref="G4605">IF(B4605="insumo",_xlfn.XLOOKUP($D4605,Insumos!$B$1:$B$996,Insumos!$D$1:$D$996),"")</f>
        <v/>
      </c>
      <c r="H4605" s="334">
        <v>137.27955555555599</v>
      </c>
      <c r="I4605" s="335">
        <v>0</v>
      </c>
      <c r="J4605" s="335">
        <v>0</v>
      </c>
      <c r="K4605" s="335"/>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70</v>
      </c>
      <c r="C4606" s="15" t="s">
        <v>1565</v>
      </c>
      <c r="D4606" s="15" t="s">
        <v>765</v>
      </c>
      <c r="E4606" s="11" t="str">
        <f t="array" ref="E4606">_xlfn.XLOOKUP(D4606,Insumos!B:B,Insumos!C:$C)</f>
        <v>L</v>
      </c>
      <c r="F4606" s="14">
        <v>0.1</v>
      </c>
      <c r="G4606" s="87">
        <f t="array" ref="G4606">IF(B4606="insumo",_xlfn.XLOOKUP($D4606,Insumos!$B$1:$B$996,Insumos!$D$1:$D$996),"")</f>
        <v>10.555555555555555</v>
      </c>
      <c r="H4606" s="87">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70</v>
      </c>
      <c r="C4607" s="15" t="s">
        <v>1565</v>
      </c>
      <c r="D4607" s="15" t="s">
        <v>1566</v>
      </c>
      <c r="E4607" s="11" t="str">
        <f t="array" ref="E4607">_xlfn.XLOOKUP(D4607,Insumos!B:B,Insumos!C:$C)</f>
        <v>KG</v>
      </c>
      <c r="F4607" s="14">
        <v>1.8</v>
      </c>
      <c r="G4607" s="87">
        <f t="array" ref="G4607">IF(B4607="insumo",_xlfn.XLOOKUP($D4607,Insumos!$B$1:$B$996,Insumos!$D$1:$D$996),"")</f>
        <v>74.88000000000001</v>
      </c>
      <c r="H4607" s="87">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70</v>
      </c>
      <c r="C4608" s="15" t="s">
        <v>1565</v>
      </c>
      <c r="D4608" s="15" t="s">
        <v>1567</v>
      </c>
      <c r="E4608" s="11" t="str">
        <f t="array" ref="E4608">_xlfn.XLOOKUP(D4608,Insumos!B:B,Insumos!C:$C)</f>
        <v>m2</v>
      </c>
      <c r="F4608" s="14">
        <v>0.05</v>
      </c>
      <c r="G4608" s="87">
        <f t="array" ref="G4608">IF(B4608="insumo",_xlfn.XLOOKUP($D4608,Insumos!$B$1:$B$996,Insumos!$D$1:$D$996),"")</f>
        <v>8.1</v>
      </c>
      <c r="H4608" s="87">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70</v>
      </c>
      <c r="C4609" s="15" t="s">
        <v>1565</v>
      </c>
      <c r="D4609" s="15" t="s">
        <v>851</v>
      </c>
      <c r="E4609" s="11" t="str">
        <f t="array" ref="E4609">_xlfn.XLOOKUP(D4609,Insumos!B:B,Insumos!C:$C)</f>
        <v>UN</v>
      </c>
      <c r="F4609" s="14">
        <v>0.05</v>
      </c>
      <c r="G4609" s="87">
        <f t="array" ref="G4609">IF(B4609="insumo",_xlfn.XLOOKUP($D4609,Insumos!$B$1:$B$996,Insumos!$D$1:$D$996),"")</f>
        <v>20.7</v>
      </c>
      <c r="H4609" s="87">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332">
        <v>1</v>
      </c>
      <c r="B4610" s="332" t="s">
        <v>67</v>
      </c>
      <c r="C4610" s="332" t="s">
        <v>2663</v>
      </c>
      <c r="D4610" s="332" t="s">
        <v>2663</v>
      </c>
      <c r="E4610" s="333" t="s">
        <v>112</v>
      </c>
      <c r="F4610" s="332"/>
      <c r="G4610" s="334" t="str">
        <f t="array" ref="G4610">IF(B4610="insumo",_xlfn.XLOOKUP($D4610,Insumos!$B$1:$B$996,Insumos!$D$1:$D$996),"")</f>
        <v/>
      </c>
      <c r="H4610" s="334">
        <v>36.031999999999996</v>
      </c>
      <c r="I4610" s="335">
        <v>0</v>
      </c>
      <c r="J4610" s="335">
        <v>0</v>
      </c>
      <c r="K4610" s="335"/>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70</v>
      </c>
      <c r="C4611" s="10" t="s">
        <v>2663</v>
      </c>
      <c r="D4611" s="10" t="s">
        <v>2664</v>
      </c>
      <c r="E4611" s="11" t="str">
        <f t="array" ref="E4611">_xlfn.XLOOKUP(D4611,Insumos!B:B,Insumos!C:$C)</f>
        <v>M2</v>
      </c>
      <c r="F4611" s="14">
        <v>0.13</v>
      </c>
      <c r="G4611" s="87">
        <f t="array" ref="G4611">IF(B4611="insumo",_xlfn.XLOOKUP($D4611,Insumos!$B$1:$B$996,Insumos!$D$1:$D$996),"")</f>
        <v>240</v>
      </c>
      <c r="H4611" s="87">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70</v>
      </c>
      <c r="C4612" s="10" t="s">
        <v>2663</v>
      </c>
      <c r="D4612" s="10" t="s">
        <v>1108</v>
      </c>
      <c r="E4612" s="11" t="str">
        <f t="array" ref="E4612">_xlfn.XLOOKUP(D4612,Insumos!B:B,Insumos!C:$C)</f>
        <v>KG</v>
      </c>
      <c r="F4612" s="14">
        <v>0.7</v>
      </c>
      <c r="G4612" s="87">
        <f t="array" ref="G4612">IF(B4612="insumo",_xlfn.XLOOKUP($D4612,Insumos!$B$1:$B$996,Insumos!$D$1:$D$996),"")</f>
        <v>1.36</v>
      </c>
      <c r="H4612" s="87">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70</v>
      </c>
      <c r="C4613" s="10" t="s">
        <v>2663</v>
      </c>
      <c r="D4613" s="10" t="s">
        <v>2388</v>
      </c>
      <c r="E4613" s="11" t="str">
        <f t="array" ref="E4613">_xlfn.XLOOKUP(D4613,Insumos!B:B,Insumos!C:$C)</f>
        <v>KG</v>
      </c>
      <c r="F4613" s="14">
        <v>0.1</v>
      </c>
      <c r="G4613" s="87">
        <f t="array" ref="G4613">IF(B4613="insumo",_xlfn.XLOOKUP($D4613,Insumos!$B$1:$B$996,Insumos!$D$1:$D$996),"")</f>
        <v>38</v>
      </c>
      <c r="H4613" s="87">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70</v>
      </c>
      <c r="C4614" s="10" t="s">
        <v>2663</v>
      </c>
      <c r="D4614" s="10" t="s">
        <v>505</v>
      </c>
      <c r="E4614" s="11" t="str">
        <f t="array" ref="E4614">_xlfn.XLOOKUP(D4614,Insumos!B:B,Insumos!C:$C)</f>
        <v>UN</v>
      </c>
      <c r="F4614" s="14">
        <v>1</v>
      </c>
      <c r="G4614" s="87">
        <f t="array" ref="G4614">IF(B4614="insumo",_xlfn.XLOOKUP($D4614,Insumos!$B$1:$B$996,Insumos!$D$1:$D$996),"")</f>
        <v>0.08</v>
      </c>
      <c r="H4614" s="87">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332">
        <v>1</v>
      </c>
      <c r="B4615" s="332" t="s">
        <v>67</v>
      </c>
      <c r="C4615" s="332" t="s">
        <v>2669</v>
      </c>
      <c r="D4615" s="332" t="s">
        <v>2669</v>
      </c>
      <c r="E4615" s="333" t="s">
        <v>112</v>
      </c>
      <c r="F4615" s="332"/>
      <c r="G4615" s="334" t="str">
        <f t="array" ref="G4615">IF(B4615="insumo",_xlfn.XLOOKUP($D4615,Insumos!$B$1:$B$996,Insumos!$D$1:$D$996),"")</f>
        <v/>
      </c>
      <c r="H4615" s="334">
        <v>42.271999999999998</v>
      </c>
      <c r="I4615" s="335">
        <v>0</v>
      </c>
      <c r="J4615" s="335">
        <v>0</v>
      </c>
      <c r="K4615" s="335"/>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70</v>
      </c>
      <c r="C4616" s="10" t="s">
        <v>2669</v>
      </c>
      <c r="D4616" s="10" t="s">
        <v>2666</v>
      </c>
      <c r="E4616" s="11" t="str">
        <f t="array" ref="E4616">_xlfn.XLOOKUP(D4616,Insumos!B:B,Insumos!C:$C)</f>
        <v>M2</v>
      </c>
      <c r="F4616" s="14">
        <v>0.13</v>
      </c>
      <c r="G4616" s="87">
        <f t="array" ref="G4616">IF(B4616="insumo",_xlfn.XLOOKUP($D4616,Insumos!$B$1:$B$996,Insumos!$D$1:$D$996),"")</f>
        <v>288</v>
      </c>
      <c r="H4616" s="87">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70</v>
      </c>
      <c r="C4617" s="10" t="s">
        <v>2669</v>
      </c>
      <c r="D4617" s="10" t="s">
        <v>1108</v>
      </c>
      <c r="E4617" s="11" t="str">
        <f t="array" ref="E4617">_xlfn.XLOOKUP(D4617,Insumos!B:B,Insumos!C:$C)</f>
        <v>KG</v>
      </c>
      <c r="F4617" s="14">
        <v>0.7</v>
      </c>
      <c r="G4617" s="87">
        <f t="array" ref="G4617">IF(B4617="insumo",_xlfn.XLOOKUP($D4617,Insumos!$B$1:$B$996,Insumos!$D$1:$D$996),"")</f>
        <v>1.36</v>
      </c>
      <c r="H4617" s="87">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70</v>
      </c>
      <c r="C4618" s="10" t="s">
        <v>2669</v>
      </c>
      <c r="D4618" s="10" t="s">
        <v>2388</v>
      </c>
      <c r="E4618" s="11" t="str">
        <f t="array" ref="E4618">_xlfn.XLOOKUP(D4618,Insumos!B:B,Insumos!C:$C)</f>
        <v>KG</v>
      </c>
      <c r="F4618" s="14">
        <v>0.1</v>
      </c>
      <c r="G4618" s="87">
        <f t="array" ref="G4618">IF(B4618="insumo",_xlfn.XLOOKUP($D4618,Insumos!$B$1:$B$996,Insumos!$D$1:$D$996),"")</f>
        <v>38</v>
      </c>
      <c r="H4618" s="87">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70</v>
      </c>
      <c r="C4619" s="10" t="s">
        <v>2669</v>
      </c>
      <c r="D4619" s="10" t="s">
        <v>505</v>
      </c>
      <c r="E4619" s="11" t="str">
        <f t="array" ref="E4619">_xlfn.XLOOKUP(D4619,Insumos!B:B,Insumos!C:$C)</f>
        <v>UN</v>
      </c>
      <c r="F4619" s="14">
        <v>1</v>
      </c>
      <c r="G4619" s="87">
        <f t="array" ref="G4619">IF(B4619="insumo",_xlfn.XLOOKUP($D4619,Insumos!$B$1:$B$996,Insumos!$D$1:$D$996),"")</f>
        <v>0.08</v>
      </c>
      <c r="H4619" s="87">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332">
        <v>1</v>
      </c>
      <c r="B4620" s="332" t="s">
        <v>67</v>
      </c>
      <c r="C4620" s="332" t="s">
        <v>2697</v>
      </c>
      <c r="D4620" s="332" t="s">
        <v>2697</v>
      </c>
      <c r="E4620" s="333" t="s">
        <v>112</v>
      </c>
      <c r="F4620" s="332"/>
      <c r="G4620" s="334" t="str">
        <f t="array" ref="G4620">IF(B4620="insumo",_xlfn.XLOOKUP($D4620,Insumos!$B$1:$B$996,Insumos!$D$1:$D$996),"")</f>
        <v/>
      </c>
      <c r="H4620" s="334">
        <v>173.83199999999999</v>
      </c>
      <c r="I4620" s="335" t="e">
        <v>#REF!</v>
      </c>
      <c r="J4620" s="335" t="e">
        <v>#REF!</v>
      </c>
      <c r="K4620" s="335"/>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70</v>
      </c>
      <c r="C4621" s="10" t="s">
        <v>2697</v>
      </c>
      <c r="D4621" s="10" t="s">
        <v>2409</v>
      </c>
      <c r="E4621" s="11" t="str">
        <f t="array" ref="E4621">_xlfn.XLOOKUP(D4621,Insumos!B:B,Insumos!C:$C)</f>
        <v>M2</v>
      </c>
      <c r="F4621" s="14">
        <v>0.13</v>
      </c>
      <c r="G4621" s="87">
        <f t="array" ref="G4621">IF(B4621="insumo",_xlfn.XLOOKUP($D4621,Insumos!$B$1:$B$996,Insumos!$D$1:$D$996),"")</f>
        <v>1300</v>
      </c>
      <c r="H4621" s="87">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70</v>
      </c>
      <c r="C4622" s="10" t="s">
        <v>2697</v>
      </c>
      <c r="D4622" s="10" t="s">
        <v>1108</v>
      </c>
      <c r="E4622" s="11" t="str">
        <f t="array" ref="E4622">_xlfn.XLOOKUP(D4622,Insumos!B:B,Insumos!C:$C)</f>
        <v>KG</v>
      </c>
      <c r="F4622" s="14">
        <v>0.7</v>
      </c>
      <c r="G4622" s="87">
        <f t="array" ref="G4622">IF(B4622="insumo",_xlfn.XLOOKUP($D4622,Insumos!$B$1:$B$996,Insumos!$D$1:$D$996),"")</f>
        <v>1.36</v>
      </c>
      <c r="H4622" s="87">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70</v>
      </c>
      <c r="C4623" s="10" t="s">
        <v>2697</v>
      </c>
      <c r="D4623" s="10" t="s">
        <v>2388</v>
      </c>
      <c r="E4623" s="11" t="str">
        <f t="array" ref="E4623">_xlfn.XLOOKUP(D4623,Insumos!B:B,Insumos!C:$C)</f>
        <v>KG</v>
      </c>
      <c r="F4623" s="14">
        <v>0.1</v>
      </c>
      <c r="G4623" s="87">
        <f t="array" ref="G4623">IF(B4623="insumo",_xlfn.XLOOKUP($D4623,Insumos!$B$1:$B$996,Insumos!$D$1:$D$996),"")</f>
        <v>38</v>
      </c>
      <c r="H4623" s="87">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70</v>
      </c>
      <c r="C4624" s="10" t="s">
        <v>2697</v>
      </c>
      <c r="D4624" s="10" t="s">
        <v>505</v>
      </c>
      <c r="E4624" s="11" t="str">
        <f t="array" ref="E4624">_xlfn.XLOOKUP(D4624,Insumos!B:B,Insumos!C:$C)</f>
        <v>UN</v>
      </c>
      <c r="F4624" s="14">
        <v>1</v>
      </c>
      <c r="G4624" s="87">
        <f t="array" ref="G4624">IF(B4624="insumo",_xlfn.XLOOKUP($D4624,Insumos!$B$1:$B$996,Insumos!$D$1:$D$996),"")</f>
        <v>0.08</v>
      </c>
      <c r="H4624" s="87">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332">
        <v>1</v>
      </c>
      <c r="B4625" s="332" t="s">
        <v>67</v>
      </c>
      <c r="C4625" s="332" t="s">
        <v>2670</v>
      </c>
      <c r="D4625" s="332" t="s">
        <v>2670</v>
      </c>
      <c r="E4625" s="333" t="s">
        <v>112</v>
      </c>
      <c r="F4625" s="332"/>
      <c r="G4625" s="334" t="str">
        <f t="array" ref="G4625">IF(B4625="insumo",_xlfn.XLOOKUP($D4625,Insumos!$B$1:$B$996,Insumos!$D$1:$D$996),"")</f>
        <v/>
      </c>
      <c r="H4625" s="334">
        <v>32.911999999999999</v>
      </c>
      <c r="I4625" s="335">
        <v>0</v>
      </c>
      <c r="J4625" s="335">
        <v>0</v>
      </c>
      <c r="K4625" s="335"/>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70</v>
      </c>
      <c r="C4626" s="10" t="s">
        <v>2670</v>
      </c>
      <c r="D4626" s="10" t="s">
        <v>2665</v>
      </c>
      <c r="E4626" s="11" t="str">
        <f t="array" ref="E4626">_xlfn.XLOOKUP(D4626,Insumos!B:B,Insumos!C:$C)</f>
        <v>M2</v>
      </c>
      <c r="F4626" s="14">
        <v>0.13</v>
      </c>
      <c r="G4626" s="87">
        <f t="array" ref="G4626">IF(B4626="insumo",_xlfn.XLOOKUP($D4626,Insumos!$B$1:$B$996,Insumos!$D$1:$D$996),"")</f>
        <v>216</v>
      </c>
      <c r="H4626" s="87">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70</v>
      </c>
      <c r="C4627" s="10" t="s">
        <v>2670</v>
      </c>
      <c r="D4627" s="10" t="s">
        <v>1108</v>
      </c>
      <c r="E4627" s="11" t="str">
        <f t="array" ref="E4627">_xlfn.XLOOKUP(D4627,Insumos!B:B,Insumos!C:$C)</f>
        <v>KG</v>
      </c>
      <c r="F4627" s="14">
        <v>0.7</v>
      </c>
      <c r="G4627" s="87">
        <f t="array" ref="G4627">IF(B4627="insumo",_xlfn.XLOOKUP($D4627,Insumos!$B$1:$B$996,Insumos!$D$1:$D$996),"")</f>
        <v>1.36</v>
      </c>
      <c r="H4627" s="87">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70</v>
      </c>
      <c r="C4628" s="10" t="s">
        <v>2670</v>
      </c>
      <c r="D4628" s="10" t="s">
        <v>2388</v>
      </c>
      <c r="E4628" s="11" t="str">
        <f t="array" ref="E4628">_xlfn.XLOOKUP(D4628,Insumos!B:B,Insumos!C:$C)</f>
        <v>KG</v>
      </c>
      <c r="F4628" s="14">
        <v>0.1</v>
      </c>
      <c r="G4628" s="87">
        <f t="array" ref="G4628">IF(B4628="insumo",_xlfn.XLOOKUP($D4628,Insumos!$B$1:$B$996,Insumos!$D$1:$D$996),"")</f>
        <v>38</v>
      </c>
      <c r="H4628" s="87">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70</v>
      </c>
      <c r="C4629" s="10" t="s">
        <v>2670</v>
      </c>
      <c r="D4629" s="10" t="s">
        <v>505</v>
      </c>
      <c r="E4629" s="11" t="str">
        <f t="array" ref="E4629">_xlfn.XLOOKUP(D4629,Insumos!B:B,Insumos!C:$C)</f>
        <v>UN</v>
      </c>
      <c r="F4629" s="14">
        <v>1</v>
      </c>
      <c r="G4629" s="87">
        <f t="array" ref="G4629">IF(B4629="insumo",_xlfn.XLOOKUP($D4629,Insumos!$B$1:$B$996,Insumos!$D$1:$D$996),"")</f>
        <v>0.08</v>
      </c>
      <c r="H4629" s="87">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332">
        <v>1</v>
      </c>
      <c r="B4630" s="332" t="s">
        <v>67</v>
      </c>
      <c r="C4630" s="332" t="s">
        <v>2957</v>
      </c>
      <c r="D4630" s="332" t="s">
        <v>2957</v>
      </c>
      <c r="E4630" s="333" t="s">
        <v>112</v>
      </c>
      <c r="F4630" s="332"/>
      <c r="G4630" s="334" t="str">
        <f t="array" ref="G4630">IF(B4630="insumo",_xlfn.XLOOKUP($D4630,Insumos!$B$1:$B$996,Insumos!$D$1:$D$996),"")</f>
        <v/>
      </c>
      <c r="H4630" s="334">
        <v>150.380185454545</v>
      </c>
      <c r="I4630" s="335" t="e">
        <v>#REF!</v>
      </c>
      <c r="J4630" s="335" t="e">
        <v>#REF!</v>
      </c>
      <c r="K4630" s="335"/>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70</v>
      </c>
      <c r="C4631" s="10" t="s">
        <v>2957</v>
      </c>
      <c r="D4631" s="10" t="s">
        <v>2668</v>
      </c>
      <c r="E4631" s="11" t="str">
        <f t="array" ref="E4631">_xlfn.XLOOKUP(D4631,Insumos!B:B,Insumos!C:$C)</f>
        <v>M2</v>
      </c>
      <c r="F4631" s="14">
        <v>0.33</v>
      </c>
      <c r="G4631" s="87">
        <f t="array" ref="G4631">IF(B4631="insumo",_xlfn.XLOOKUP($D4631,Insumos!$B$1:$B$996,Insumos!$D$1:$D$996),"")</f>
        <v>170</v>
      </c>
      <c r="H4631" s="87">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70</v>
      </c>
      <c r="C4632" s="10" t="s">
        <v>2957</v>
      </c>
      <c r="D4632" s="10" t="s">
        <v>1108</v>
      </c>
      <c r="E4632" s="11" t="str">
        <f t="array" ref="E4632">_xlfn.XLOOKUP(D4632,Insumos!B:B,Insumos!C:$C)</f>
        <v>KG</v>
      </c>
      <c r="F4632" s="14">
        <f>2.64+2.7</f>
        <v>5.34</v>
      </c>
      <c r="G4632" s="87">
        <f t="array" ref="G4632">IF(B4632="insumo",_xlfn.XLOOKUP($D4632,Insumos!$B$1:$B$996,Insumos!$D$1:$D$996),"")</f>
        <v>1.36</v>
      </c>
      <c r="H4632" s="87">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70</v>
      </c>
      <c r="C4633" s="10" t="s">
        <v>2957</v>
      </c>
      <c r="D4633" s="10" t="s">
        <v>2388</v>
      </c>
      <c r="E4633" s="11" t="str">
        <f t="array" ref="E4633">_xlfn.XLOOKUP(D4633,Insumos!B:B,Insumos!C:$C)</f>
        <v>KG</v>
      </c>
      <c r="F4633" s="14">
        <v>0.3</v>
      </c>
      <c r="G4633" s="87">
        <f t="array" ref="G4633">IF(B4633="insumo",_xlfn.XLOOKUP($D4633,Insumos!$B$1:$B$996,Insumos!$D$1:$D$996),"")</f>
        <v>38</v>
      </c>
      <c r="H4633" s="87">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70</v>
      </c>
      <c r="C4634" s="10" t="s">
        <v>2957</v>
      </c>
      <c r="D4634" s="10" t="s">
        <v>505</v>
      </c>
      <c r="E4634" s="11" t="str">
        <f t="array" ref="E4634">_xlfn.XLOOKUP(D4634,Insumos!B:B,Insumos!C:$C)</f>
        <v>UN</v>
      </c>
      <c r="F4634" s="14">
        <v>3.0000000000000001E-3</v>
      </c>
      <c r="G4634" s="87">
        <f t="array" ref="G4634">IF(B4634="insumo",_xlfn.XLOOKUP($D4634,Insumos!$B$1:$B$996,Insumos!$D$1:$D$996),"")</f>
        <v>0.08</v>
      </c>
      <c r="H4634" s="87">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70</v>
      </c>
      <c r="C4635" s="10" t="s">
        <v>2957</v>
      </c>
      <c r="D4635" s="10" t="s">
        <v>2659</v>
      </c>
      <c r="E4635" s="11" t="str">
        <f t="array" ref="E4635">_xlfn.XLOOKUP(D4635,Insumos!B:B,Insumos!C:$C)</f>
        <v>M3</v>
      </c>
      <c r="F4635" s="14">
        <v>3.3000000000000002E-2</v>
      </c>
      <c r="G4635" s="87">
        <f t="array" ref="G4635">IF(B4635="insumo",_xlfn.XLOOKUP($D4635,Insumos!$B$1:$B$996,Insumos!$D$1:$D$996),"")</f>
        <v>1377.4104683195592</v>
      </c>
      <c r="H4635" s="87">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70</v>
      </c>
      <c r="C4636" s="10" t="s">
        <v>2957</v>
      </c>
      <c r="D4636" s="10" t="s">
        <v>2660</v>
      </c>
      <c r="E4636" s="11" t="str">
        <f t="array" ref="E4636">_xlfn.XLOOKUP(D4636,Insumos!B:B,Insumos!C:$C)</f>
        <v>KG</v>
      </c>
      <c r="F4636" s="14">
        <v>1.5</v>
      </c>
      <c r="G4636" s="87">
        <f t="array" ref="G4636">IF(B4636="insumo",_xlfn.XLOOKUP($D4636,Insumos!$B$1:$B$996,Insumos!$D$1:$D$996),"")</f>
        <v>18.326666666666664</v>
      </c>
      <c r="H4636" s="87">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70</v>
      </c>
      <c r="C4637" s="10" t="s">
        <v>2957</v>
      </c>
      <c r="D4637" s="10" t="s">
        <v>1567</v>
      </c>
      <c r="E4637" s="11" t="str">
        <f t="array" ref="E4637">_xlfn.XLOOKUP(D4637,Insumos!B:B,Insumos!C:$C)</f>
        <v>m2</v>
      </c>
      <c r="F4637" s="14">
        <v>0.33</v>
      </c>
      <c r="G4637" s="87">
        <f t="array" ref="G4637">IF(B4637="insumo",_xlfn.XLOOKUP($D4637,Insumos!$B$1:$B$996,Insumos!$D$1:$D$996),"")</f>
        <v>8.1</v>
      </c>
      <c r="H4637" s="87">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336">
        <v>1</v>
      </c>
      <c r="B4638" s="336" t="s">
        <v>67</v>
      </c>
      <c r="C4638" s="336" t="s">
        <v>2956</v>
      </c>
      <c r="D4638" s="336" t="s">
        <v>2956</v>
      </c>
      <c r="E4638" s="337" t="s">
        <v>112</v>
      </c>
      <c r="F4638" s="336"/>
      <c r="G4638" s="338" t="str">
        <f t="array" ref="G4638">IF(B4638="insumo",_xlfn.XLOOKUP($D4638,Insumos!$B$1:$B$996,Insumos!$D$1:$D$996),"")</f>
        <v/>
      </c>
      <c r="H4638" s="338">
        <v>130.099375454545</v>
      </c>
      <c r="I4638" s="339" t="e">
        <v>#REF!</v>
      </c>
      <c r="J4638" s="339" t="e">
        <v>#REF!</v>
      </c>
      <c r="K4638" s="339"/>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77">
        <v>3</v>
      </c>
      <c r="B4639" s="77" t="s">
        <v>70</v>
      </c>
      <c r="C4639" s="77" t="s">
        <v>2956</v>
      </c>
      <c r="D4639" s="10" t="s">
        <v>2953</v>
      </c>
      <c r="E4639" s="11" t="str">
        <f t="array" ref="E4639">_xlfn.XLOOKUP(D4639,Insumos!B:B,Insumos!C:$C)</f>
        <v>M2</v>
      </c>
      <c r="F4639" s="81">
        <v>0.33</v>
      </c>
      <c r="G4639" s="87">
        <f t="array" ref="G4639">IF(B4639="insumo",_xlfn.XLOOKUP($D4639,Insumos!$B$1:$B$996,Insumos!$D$1:$D$996),"")</f>
        <v>147.4</v>
      </c>
      <c r="H4639" s="87">
        <v>48.642000000000003</v>
      </c>
      <c r="I4639" s="79" t="e">
        <v>#REF!</v>
      </c>
      <c r="J4639" s="79" t="e">
        <v>#REF!</v>
      </c>
      <c r="K4639" s="79"/>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77">
        <v>191</v>
      </c>
      <c r="B4640" s="77" t="s">
        <v>70</v>
      </c>
      <c r="C4640" s="77" t="s">
        <v>2956</v>
      </c>
      <c r="D4640" s="77" t="s">
        <v>480</v>
      </c>
      <c r="E4640" s="11" t="str">
        <f t="array" ref="E4640">_xlfn.XLOOKUP(D4640,Insumos!B:B,Insumos!C:$C)</f>
        <v>KG</v>
      </c>
      <c r="F4640" s="81">
        <f>2.64+2.7</f>
        <v>5.34</v>
      </c>
      <c r="G4640" s="87">
        <f t="array" ref="G4640">IF(B4640="insumo",_xlfn.XLOOKUP($D4640,Insumos!$B$1:$B$996,Insumos!$D$1:$D$996),"")</f>
        <v>1.0645</v>
      </c>
      <c r="H4640" s="87">
        <v>5.6844299999999999</v>
      </c>
      <c r="I4640" s="79" t="e">
        <v>#REF!</v>
      </c>
      <c r="J4640" s="79" t="e">
        <v>#REF!</v>
      </c>
      <c r="K4640" s="79"/>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77">
        <v>142</v>
      </c>
      <c r="B4641" s="77" t="s">
        <v>70</v>
      </c>
      <c r="C4641" s="77" t="s">
        <v>2956</v>
      </c>
      <c r="D4641" s="77" t="s">
        <v>505</v>
      </c>
      <c r="E4641" s="11" t="str">
        <f t="array" ref="E4641">_xlfn.XLOOKUP(D4641,Insumos!B:B,Insumos!C:$C)</f>
        <v>UN</v>
      </c>
      <c r="F4641" s="81">
        <v>0.3</v>
      </c>
      <c r="G4641" s="87">
        <f t="array" ref="G4641">IF(B4641="insumo",_xlfn.XLOOKUP($D4641,Insumos!$B$1:$B$996,Insumos!$D$1:$D$996),"")</f>
        <v>0.08</v>
      </c>
      <c r="H4641" s="87">
        <v>2.4E-2</v>
      </c>
      <c r="I4641" s="79" t="e">
        <v>#REF!</v>
      </c>
      <c r="J4641" s="79" t="e">
        <v>#REF!</v>
      </c>
      <c r="K4641" s="79"/>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77">
        <v>22</v>
      </c>
      <c r="B4642" s="77" t="s">
        <v>70</v>
      </c>
      <c r="C4642" s="77" t="s">
        <v>2956</v>
      </c>
      <c r="D4642" s="77" t="s">
        <v>1765</v>
      </c>
      <c r="E4642" s="11" t="str">
        <f t="array" ref="E4642">_xlfn.XLOOKUP(D4642,Insumos!B:B,Insumos!C:$C)</f>
        <v>KG</v>
      </c>
      <c r="F4642" s="81">
        <v>3.0000000000000001E-3</v>
      </c>
      <c r="G4642" s="87">
        <f t="array" ref="G4642">IF(B4642="insumo",_xlfn.XLOOKUP($D4642,Insumos!$B$1:$B$996,Insumos!$D$1:$D$996),"")</f>
        <v>43.8</v>
      </c>
      <c r="H4642" s="87">
        <v>0.13139999999999999</v>
      </c>
      <c r="I4642" s="79" t="e">
        <v>#REF!</v>
      </c>
      <c r="J4642" s="79" t="e">
        <v>#REF!</v>
      </c>
      <c r="K4642" s="79"/>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70</v>
      </c>
      <c r="C4643" s="10" t="s">
        <v>2956</v>
      </c>
      <c r="D4643" s="10" t="s">
        <v>2659</v>
      </c>
      <c r="E4643" s="11" t="str">
        <f t="array" ref="E4643">_xlfn.XLOOKUP(D4643,Insumos!B:B,Insumos!C:$C)</f>
        <v>M3</v>
      </c>
      <c r="F4643" s="14">
        <v>3.3000000000000002E-2</v>
      </c>
      <c r="G4643" s="87">
        <f t="array" ref="G4643">IF(B4643="insumo",_xlfn.XLOOKUP($D4643,Insumos!$B$1:$B$996,Insumos!$D$1:$D$996),"")</f>
        <v>1377.4104683195592</v>
      </c>
      <c r="H4643" s="87">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70</v>
      </c>
      <c r="C4644" s="10" t="s">
        <v>2956</v>
      </c>
      <c r="D4644" s="10" t="s">
        <v>2660</v>
      </c>
      <c r="E4644" s="11" t="str">
        <f t="array" ref="E4644">_xlfn.XLOOKUP(D4644,Insumos!B:B,Insumos!C:$C)</f>
        <v>KG</v>
      </c>
      <c r="F4644" s="14">
        <v>1.5</v>
      </c>
      <c r="G4644" s="87">
        <f t="array" ref="G4644">IF(B4644="insumo",_xlfn.XLOOKUP($D4644,Insumos!$B$1:$B$996,Insumos!$D$1:$D$996),"")</f>
        <v>18.326666666666664</v>
      </c>
      <c r="H4644" s="87">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70</v>
      </c>
      <c r="C4645" s="10" t="s">
        <v>2956</v>
      </c>
      <c r="D4645" s="10" t="s">
        <v>1567</v>
      </c>
      <c r="E4645" s="11" t="str">
        <f t="array" ref="E4645">_xlfn.XLOOKUP(D4645,Insumos!B:B,Insumos!C:$C)</f>
        <v>m2</v>
      </c>
      <c r="F4645" s="14">
        <v>0.33</v>
      </c>
      <c r="G4645" s="87">
        <f t="array" ref="G4645">IF(B4645="insumo",_xlfn.XLOOKUP($D4645,Insumos!$B$1:$B$996,Insumos!$D$1:$D$996),"")</f>
        <v>8.1</v>
      </c>
      <c r="H4645" s="87">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336">
        <v>1</v>
      </c>
      <c r="B4646" s="336" t="s">
        <v>67</v>
      </c>
      <c r="C4646" s="336" t="s">
        <v>2962</v>
      </c>
      <c r="D4646" s="336" t="s">
        <v>2962</v>
      </c>
      <c r="E4646" s="337" t="s">
        <v>112</v>
      </c>
      <c r="F4646" s="336"/>
      <c r="G4646" s="338" t="str">
        <f t="array" ref="G4646">IF(B4646="insumo",_xlfn.XLOOKUP($D4646,Insumos!$B$1:$B$996,Insumos!$D$1:$D$996),"")</f>
        <v/>
      </c>
      <c r="H4646" s="338">
        <v>211.47737545454501</v>
      </c>
      <c r="I4646" s="339" t="e">
        <v>#REF!</v>
      </c>
      <c r="J4646" s="339" t="e">
        <v>#REF!</v>
      </c>
      <c r="K4646" s="339"/>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77">
        <v>3</v>
      </c>
      <c r="B4647" s="77" t="s">
        <v>70</v>
      </c>
      <c r="C4647" s="77" t="s">
        <v>2962</v>
      </c>
      <c r="D4647" s="10" t="s">
        <v>2958</v>
      </c>
      <c r="E4647" s="11" t="str">
        <f t="array" ref="E4647">_xlfn.XLOOKUP(D4647,Insumos!B:B,Insumos!C:$C)</f>
        <v>M2</v>
      </c>
      <c r="F4647" s="81">
        <v>0.33</v>
      </c>
      <c r="G4647" s="87">
        <f t="array" ref="G4647">IF(B4647="insumo",_xlfn.XLOOKUP($D4647,Insumos!$B$1:$B$996,Insumos!$D$1:$D$996),"")</f>
        <v>394</v>
      </c>
      <c r="H4647" s="87">
        <v>130.02000000000001</v>
      </c>
      <c r="I4647" s="79" t="e">
        <v>#REF!</v>
      </c>
      <c r="J4647" s="79" t="e">
        <v>#REF!</v>
      </c>
      <c r="K4647" s="79"/>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77">
        <v>191</v>
      </c>
      <c r="B4648" s="77" t="s">
        <v>70</v>
      </c>
      <c r="C4648" s="77" t="s">
        <v>2962</v>
      </c>
      <c r="D4648" s="77" t="s">
        <v>480</v>
      </c>
      <c r="E4648" s="11" t="str">
        <f t="array" ref="E4648">_xlfn.XLOOKUP(D4648,Insumos!B:B,Insumos!C:$C)</f>
        <v>KG</v>
      </c>
      <c r="F4648" s="81">
        <f>2.64+2.7</f>
        <v>5.34</v>
      </c>
      <c r="G4648" s="87">
        <f t="array" ref="G4648">IF(B4648="insumo",_xlfn.XLOOKUP($D4648,Insumos!$B$1:$B$996,Insumos!$D$1:$D$996),"")</f>
        <v>1.0645</v>
      </c>
      <c r="H4648" s="87">
        <v>5.6844299999999999</v>
      </c>
      <c r="I4648" s="79" t="e">
        <v>#REF!</v>
      </c>
      <c r="J4648" s="79" t="e">
        <v>#REF!</v>
      </c>
      <c r="K4648" s="79"/>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77">
        <v>142</v>
      </c>
      <c r="B4649" s="77" t="s">
        <v>70</v>
      </c>
      <c r="C4649" s="77" t="s">
        <v>2962</v>
      </c>
      <c r="D4649" s="77" t="s">
        <v>505</v>
      </c>
      <c r="E4649" s="11" t="str">
        <f t="array" ref="E4649">_xlfn.XLOOKUP(D4649,Insumos!B:B,Insumos!C:$C)</f>
        <v>UN</v>
      </c>
      <c r="F4649" s="81">
        <v>0.3</v>
      </c>
      <c r="G4649" s="87">
        <f t="array" ref="G4649">IF(B4649="insumo",_xlfn.XLOOKUP($D4649,Insumos!$B$1:$B$996,Insumos!$D$1:$D$996),"")</f>
        <v>0.08</v>
      </c>
      <c r="H4649" s="87">
        <v>2.4E-2</v>
      </c>
      <c r="I4649" s="79" t="e">
        <v>#REF!</v>
      </c>
      <c r="J4649" s="79" t="e">
        <v>#REF!</v>
      </c>
      <c r="K4649" s="79"/>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77">
        <v>22</v>
      </c>
      <c r="B4650" s="77" t="s">
        <v>70</v>
      </c>
      <c r="C4650" s="77" t="s">
        <v>2962</v>
      </c>
      <c r="D4650" s="77" t="s">
        <v>1765</v>
      </c>
      <c r="E4650" s="11" t="str">
        <f t="array" ref="E4650">_xlfn.XLOOKUP(D4650,Insumos!B:B,Insumos!C:$C)</f>
        <v>KG</v>
      </c>
      <c r="F4650" s="81">
        <v>3.0000000000000001E-3</v>
      </c>
      <c r="G4650" s="87">
        <f t="array" ref="G4650">IF(B4650="insumo",_xlfn.XLOOKUP($D4650,Insumos!$B$1:$B$996,Insumos!$D$1:$D$996),"")</f>
        <v>43.8</v>
      </c>
      <c r="H4650" s="87">
        <v>0.13139999999999999</v>
      </c>
      <c r="I4650" s="79" t="e">
        <v>#REF!</v>
      </c>
      <c r="J4650" s="79" t="e">
        <v>#REF!</v>
      </c>
      <c r="K4650" s="79"/>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70</v>
      </c>
      <c r="C4651" s="10" t="s">
        <v>2962</v>
      </c>
      <c r="D4651" s="10" t="s">
        <v>2659</v>
      </c>
      <c r="E4651" s="11" t="str">
        <f t="array" ref="E4651">_xlfn.XLOOKUP(D4651,Insumos!B:B,Insumos!C:$C)</f>
        <v>M3</v>
      </c>
      <c r="F4651" s="14">
        <v>3.3000000000000002E-2</v>
      </c>
      <c r="G4651" s="87">
        <f t="array" ref="G4651">IF(B4651="insumo",_xlfn.XLOOKUP($D4651,Insumos!$B$1:$B$996,Insumos!$D$1:$D$996),"")</f>
        <v>1377.4104683195592</v>
      </c>
      <c r="H4651" s="87">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70</v>
      </c>
      <c r="C4652" s="10" t="s">
        <v>2962</v>
      </c>
      <c r="D4652" s="10" t="s">
        <v>2660</v>
      </c>
      <c r="E4652" s="11" t="str">
        <f t="array" ref="E4652">_xlfn.XLOOKUP(D4652,Insumos!B:B,Insumos!C:$C)</f>
        <v>KG</v>
      </c>
      <c r="F4652" s="14">
        <v>1.5</v>
      </c>
      <c r="G4652" s="87">
        <f t="array" ref="G4652">IF(B4652="insumo",_xlfn.XLOOKUP($D4652,Insumos!$B$1:$B$996,Insumos!$D$1:$D$996),"")</f>
        <v>18.326666666666664</v>
      </c>
      <c r="H4652" s="87">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70</v>
      </c>
      <c r="C4653" s="10" t="s">
        <v>2962</v>
      </c>
      <c r="D4653" s="10" t="s">
        <v>1567</v>
      </c>
      <c r="E4653" s="11" t="str">
        <f t="array" ref="E4653">_xlfn.XLOOKUP(D4653,Insumos!B:B,Insumos!C:$C)</f>
        <v>m2</v>
      </c>
      <c r="F4653" s="14">
        <v>0.33</v>
      </c>
      <c r="G4653" s="87">
        <f t="array" ref="G4653">IF(B4653="insumo",_xlfn.XLOOKUP($D4653,Insumos!$B$1:$B$996,Insumos!$D$1:$D$996),"")</f>
        <v>8.1</v>
      </c>
      <c r="H4653" s="87">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332">
        <v>1</v>
      </c>
      <c r="B4654" s="332" t="s">
        <v>67</v>
      </c>
      <c r="C4654" s="332" t="s">
        <v>2961</v>
      </c>
      <c r="D4654" s="332" t="s">
        <v>2961</v>
      </c>
      <c r="E4654" s="337" t="s">
        <v>69</v>
      </c>
      <c r="F4654" s="332"/>
      <c r="G4654" s="334" t="str">
        <f t="array" ref="G4654">IF(B4654="insumo",_xlfn.XLOOKUP($D4654,Insumos!$B$1:$B$996,Insumos!$D$1:$D$996),"")</f>
        <v/>
      </c>
      <c r="H4654" s="334">
        <v>1102</v>
      </c>
      <c r="I4654" s="335" t="e">
        <v>#REF!</v>
      </c>
      <c r="J4654" s="335" t="e">
        <v>#REF!</v>
      </c>
      <c r="K4654" s="335"/>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70</v>
      </c>
      <c r="C4655" s="10" t="s">
        <v>2961</v>
      </c>
      <c r="D4655" s="10" t="s">
        <v>2958</v>
      </c>
      <c r="E4655" s="11" t="str">
        <f t="array" ref="E4655">_xlfn.XLOOKUP(D4655,Insumos!B:B,Insumos!C:$C)</f>
        <v>M2</v>
      </c>
      <c r="F4655" s="14">
        <v>1.1000000000000001</v>
      </c>
      <c r="G4655" s="87">
        <f t="array" ref="G4655">IF(B4655="insumo",_xlfn.XLOOKUP($D4655,Insumos!$B$1:$B$996,Insumos!$D$1:$D$996),"")</f>
        <v>394</v>
      </c>
      <c r="H4655" s="87">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70</v>
      </c>
      <c r="C4656" s="10" t="s">
        <v>2961</v>
      </c>
      <c r="D4656" s="10" t="s">
        <v>2960</v>
      </c>
      <c r="E4656" s="11" t="str">
        <f t="array" ref="E4656">_xlfn.XLOOKUP(D4656,Insumos!B:B,Insumos!C:$C)</f>
        <v>M2</v>
      </c>
      <c r="F4656" s="14">
        <v>1</v>
      </c>
      <c r="G4656" s="87">
        <f t="array" ref="G4656">IF(B4656="insumo",_xlfn.XLOOKUP($D4656,Insumos!$B$1:$B$996,Insumos!$D$1:$D$996),"")</f>
        <v>337</v>
      </c>
      <c r="H4656" s="87">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70</v>
      </c>
      <c r="C4657" s="10" t="s">
        <v>2961</v>
      </c>
      <c r="D4657" s="10" t="s">
        <v>2959</v>
      </c>
      <c r="E4657" s="11" t="str">
        <f t="array" ref="E4657">_xlfn.XLOOKUP(D4657,Insumos!B:B,Insumos!C:$C)</f>
        <v>M2</v>
      </c>
      <c r="F4657" s="14">
        <v>1</v>
      </c>
      <c r="G4657" s="87">
        <f t="array" ref="G4657">IF(B4657="insumo",_xlfn.XLOOKUP($D4657,Insumos!$B$1:$B$996,Insumos!$D$1:$D$996),"")</f>
        <v>298</v>
      </c>
      <c r="H4657" s="87">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70</v>
      </c>
      <c r="C4658" s="10" t="s">
        <v>2961</v>
      </c>
      <c r="D4658" s="10" t="s">
        <v>2673</v>
      </c>
      <c r="E4658" s="11" t="str">
        <f t="array" ref="E4658">_xlfn.XLOOKUP(D4658,Insumos!B:B,Insumos!C:$C)</f>
        <v>M2</v>
      </c>
      <c r="F4658" s="14">
        <v>1.05</v>
      </c>
      <c r="G4658" s="87">
        <f t="array" ref="G4658">IF(B4658="insumo",_xlfn.XLOOKUP($D4658,Insumos!$B$1:$B$996,Insumos!$D$1:$D$996),"")</f>
        <v>32</v>
      </c>
      <c r="H4658" s="87">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332">
        <v>1</v>
      </c>
      <c r="B4659" s="332" t="s">
        <v>67</v>
      </c>
      <c r="C4659" s="332" t="s">
        <v>2954</v>
      </c>
      <c r="D4659" s="332" t="s">
        <v>2954</v>
      </c>
      <c r="E4659" s="337" t="s">
        <v>69</v>
      </c>
      <c r="F4659" s="332"/>
      <c r="G4659" s="334" t="str">
        <f t="array" ref="G4659">IF(B4659="insumo",_xlfn.XLOOKUP($D4659,Insumos!$B$1:$B$996,Insumos!$D$1:$D$996),"")</f>
        <v/>
      </c>
      <c r="H4659" s="334">
        <v>807.74</v>
      </c>
      <c r="I4659" s="335" t="e">
        <v>#REF!</v>
      </c>
      <c r="J4659" s="335" t="e">
        <v>#REF!</v>
      </c>
      <c r="K4659" s="335"/>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70</v>
      </c>
      <c r="C4660" s="10" t="s">
        <v>2954</v>
      </c>
      <c r="D4660" s="10" t="s">
        <v>2953</v>
      </c>
      <c r="E4660" s="11" t="str">
        <f t="array" ref="E4660">_xlfn.XLOOKUP(D4660,Insumos!B:B,Insumos!C:$C)</f>
        <v>M2</v>
      </c>
      <c r="F4660" s="14">
        <v>1.1000000000000001</v>
      </c>
      <c r="G4660" s="87">
        <f t="array" ref="G4660">IF(B4660="insumo",_xlfn.XLOOKUP($D4660,Insumos!$B$1:$B$996,Insumos!$D$1:$D$996),"")</f>
        <v>147.4</v>
      </c>
      <c r="H4660" s="87">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70</v>
      </c>
      <c r="C4661" s="10" t="s">
        <v>2954</v>
      </c>
      <c r="D4661" s="10" t="s">
        <v>889</v>
      </c>
      <c r="E4661" s="11" t="str">
        <f t="array" ref="E4661">_xlfn.XLOOKUP(D4661,Insumos!B:B,Insumos!C:$C)</f>
        <v>UN</v>
      </c>
      <c r="F4661" s="14">
        <v>1</v>
      </c>
      <c r="G4661" s="87">
        <f t="array" ref="G4661">IF(B4661="insumo",_xlfn.XLOOKUP($D4661,Insumos!$B$1:$B$996,Insumos!$D$1:$D$996),"")</f>
        <v>305</v>
      </c>
      <c r="H4661" s="87">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70</v>
      </c>
      <c r="C4662" s="10" t="s">
        <v>2954</v>
      </c>
      <c r="D4662" s="10" t="s">
        <v>2673</v>
      </c>
      <c r="E4662" s="11" t="str">
        <f t="array" ref="E4662">_xlfn.XLOOKUP(D4662,Insumos!B:B,Insumos!C:$C)</f>
        <v>M2</v>
      </c>
      <c r="F4662" s="14">
        <v>1.05</v>
      </c>
      <c r="G4662" s="87">
        <f t="array" ref="G4662">IF(B4662="insumo",_xlfn.XLOOKUP($D4662,Insumos!$B$1:$B$996,Insumos!$D$1:$D$996),"")</f>
        <v>32</v>
      </c>
      <c r="H4662" s="87">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70</v>
      </c>
      <c r="C4663" s="10" t="s">
        <v>2954</v>
      </c>
      <c r="D4663" s="10" t="s">
        <v>2672</v>
      </c>
      <c r="E4663" s="11" t="str">
        <f t="array" ref="E4663">_xlfn.XLOOKUP(D4663,Insumos!B:B,Insumos!C:$C)</f>
        <v>M2</v>
      </c>
      <c r="F4663" s="14">
        <v>1</v>
      </c>
      <c r="G4663" s="87">
        <f t="array" ref="G4663">IF(B4663="insumo",_xlfn.XLOOKUP($D4663,Insumos!$B$1:$B$996,Insumos!$D$1:$D$996),"")</f>
        <v>307</v>
      </c>
      <c r="H4663" s="87">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332">
        <v>1</v>
      </c>
      <c r="B4664" s="332" t="s">
        <v>67</v>
      </c>
      <c r="C4664" s="332" t="s">
        <v>2676</v>
      </c>
      <c r="D4664" s="332" t="s">
        <v>2676</v>
      </c>
      <c r="E4664" s="333" t="s">
        <v>112</v>
      </c>
      <c r="F4664" s="332"/>
      <c r="G4664" s="334" t="str">
        <f t="array" ref="G4664">IF(B4664="insumo",_xlfn.XLOOKUP($D4664,Insumos!$B$1:$B$996,Insumos!$D$1:$D$996),"")</f>
        <v/>
      </c>
      <c r="H4664" s="334">
        <v>1843.3440000000001</v>
      </c>
      <c r="I4664" s="335" t="e">
        <v>#REF!</v>
      </c>
      <c r="J4664" s="335" t="e">
        <v>#REF!</v>
      </c>
      <c r="K4664" s="335"/>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70</v>
      </c>
      <c r="C4665" s="10" t="s">
        <v>2676</v>
      </c>
      <c r="D4665" s="10" t="s">
        <v>2895</v>
      </c>
      <c r="E4665" s="11" t="str">
        <f t="array" ref="E4665">_xlfn.XLOOKUP(D4665,Insumos!B:B,Insumos!C:$C)</f>
        <v>M2</v>
      </c>
      <c r="F4665" s="14">
        <f>1.1*0.8</f>
        <v>0.88000000000000012</v>
      </c>
      <c r="G4665" s="87">
        <f t="array" ref="G4665">IF(B4665="insumo",_xlfn.XLOOKUP($D4665,Insumos!$B$1:$B$996,Insumos!$D$1:$D$996),"")</f>
        <v>993.59999999999991</v>
      </c>
      <c r="H4665" s="87">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70</v>
      </c>
      <c r="C4666" s="10" t="s">
        <v>2676</v>
      </c>
      <c r="D4666" s="10" t="s">
        <v>2896</v>
      </c>
      <c r="E4666" s="11" t="str">
        <f t="array" ref="E4666">_xlfn.XLOOKUP(D4666,Insumos!B:B,Insumos!C:$C)</f>
        <v>M2</v>
      </c>
      <c r="F4666" s="14">
        <f>1.1*0.2</f>
        <v>0.22000000000000003</v>
      </c>
      <c r="G4666" s="87">
        <f t="array" ref="G4666">IF(B4666="insumo",_xlfn.XLOOKUP($D4666,Insumos!$B$1:$B$996,Insumos!$D$1:$D$996),"")</f>
        <v>1060.8</v>
      </c>
      <c r="H4666" s="87">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70</v>
      </c>
      <c r="C4667" s="10" t="s">
        <v>2676</v>
      </c>
      <c r="D4667" s="10" t="s">
        <v>889</v>
      </c>
      <c r="E4667" s="11" t="str">
        <f t="array" ref="E4667">_xlfn.XLOOKUP(D4667,Insumos!B:B,Insumos!C:$C)</f>
        <v>UN</v>
      </c>
      <c r="F4667" s="14">
        <v>1</v>
      </c>
      <c r="G4667" s="87">
        <f t="array" ref="G4667">IF(B4667="insumo",_xlfn.XLOOKUP($D4667,Insumos!$B$1:$B$996,Insumos!$D$1:$D$996),"")</f>
        <v>305</v>
      </c>
      <c r="H4667" s="87">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70</v>
      </c>
      <c r="C4668" s="10" t="s">
        <v>2676</v>
      </c>
      <c r="D4668" s="10" t="s">
        <v>2671</v>
      </c>
      <c r="E4668" s="11" t="str">
        <f t="array" ref="E4668">_xlfn.XLOOKUP(D4668,Insumos!B:B,Insumos!C:$C)</f>
        <v>m2</v>
      </c>
      <c r="F4668" s="14">
        <v>1</v>
      </c>
      <c r="G4668" s="87">
        <f t="array" ref="G4668">IF(B4668="insumo",_xlfn.XLOOKUP($D4668,Insumos!$B$1:$B$996,Insumos!$D$1:$D$996),"")</f>
        <v>90</v>
      </c>
      <c r="H4668" s="87">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70</v>
      </c>
      <c r="C4669" s="10" t="s">
        <v>2676</v>
      </c>
      <c r="D4669" s="10" t="s">
        <v>2673</v>
      </c>
      <c r="E4669" s="11" t="str">
        <f t="array" ref="E4669">_xlfn.XLOOKUP(D4669,Insumos!B:B,Insumos!C:$C)</f>
        <v>M2</v>
      </c>
      <c r="F4669" s="14">
        <v>1.05</v>
      </c>
      <c r="G4669" s="87">
        <f t="array" ref="G4669">IF(B4669="insumo",_xlfn.XLOOKUP($D4669,Insumos!$B$1:$B$996,Insumos!$D$1:$D$996),"")</f>
        <v>32</v>
      </c>
      <c r="H4669" s="87">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70</v>
      </c>
      <c r="C4670" s="10" t="s">
        <v>2676</v>
      </c>
      <c r="D4670" s="10" t="s">
        <v>2672</v>
      </c>
      <c r="E4670" s="11" t="str">
        <f t="array" ref="E4670">_xlfn.XLOOKUP(D4670,Insumos!B:B,Insumos!C:$C)</f>
        <v>M2</v>
      </c>
      <c r="F4670" s="14">
        <v>1</v>
      </c>
      <c r="G4670" s="87">
        <f t="array" ref="G4670">IF(B4670="insumo",_xlfn.XLOOKUP($D4670,Insumos!$B$1:$B$996,Insumos!$D$1:$D$996),"")</f>
        <v>307</v>
      </c>
      <c r="H4670" s="87">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332">
        <v>1</v>
      </c>
      <c r="B4671" s="332" t="s">
        <v>67</v>
      </c>
      <c r="C4671" s="332" t="s">
        <v>2674</v>
      </c>
      <c r="D4671" s="332" t="s">
        <v>2674</v>
      </c>
      <c r="E4671" s="333" t="s">
        <v>112</v>
      </c>
      <c r="F4671" s="332"/>
      <c r="G4671" s="334" t="str">
        <f t="array" ref="G4671">IF(B4671="insumo",_xlfn.XLOOKUP($D4671,Insumos!$B$1:$B$996,Insumos!$D$1:$D$996),"")</f>
        <v/>
      </c>
      <c r="H4671" s="334">
        <v>268.52600000000001</v>
      </c>
      <c r="I4671" s="335">
        <v>0</v>
      </c>
      <c r="J4671" s="335">
        <v>0</v>
      </c>
      <c r="K4671" s="335"/>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70</v>
      </c>
      <c r="C4672" s="10" t="s">
        <v>2674</v>
      </c>
      <c r="D4672" s="10" t="s">
        <v>2665</v>
      </c>
      <c r="E4672" s="11" t="str">
        <f t="array" ref="E4672">_xlfn.XLOOKUP(D4672,Insumos!B:B,Insumos!C:$C)</f>
        <v>M2</v>
      </c>
      <c r="F4672" s="14">
        <v>1.1499999999999999</v>
      </c>
      <c r="G4672" s="87">
        <f t="array" ref="G4672">IF(B4672="insumo",_xlfn.XLOOKUP($D4672,Insumos!$B$1:$B$996,Insumos!$D$1:$D$996),"")</f>
        <v>216</v>
      </c>
      <c r="H4672" s="87">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70</v>
      </c>
      <c r="C4673" s="10" t="s">
        <v>2674</v>
      </c>
      <c r="D4673" s="10" t="s">
        <v>1108</v>
      </c>
      <c r="E4673" s="11" t="str">
        <f t="array" ref="E4673">_xlfn.XLOOKUP(D4673,Insumos!B:B,Insumos!C:$C)</f>
        <v>KG</v>
      </c>
      <c r="F4673" s="14">
        <f>10*0.7</f>
        <v>7</v>
      </c>
      <c r="G4673" s="87">
        <f t="array" ref="G4673">IF(B4673="insumo",_xlfn.XLOOKUP($D4673,Insumos!$B$1:$B$996,Insumos!$D$1:$D$996),"")</f>
        <v>1.36</v>
      </c>
      <c r="H4673" s="87">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70</v>
      </c>
      <c r="C4674" s="10" t="s">
        <v>2674</v>
      </c>
      <c r="D4674" s="10" t="s">
        <v>2388</v>
      </c>
      <c r="E4674" s="11" t="str">
        <f t="array" ref="E4674">_xlfn.XLOOKUP(D4674,Insumos!B:B,Insumos!C:$C)</f>
        <v>KG</v>
      </c>
      <c r="F4674" s="14">
        <v>3.6999999999999998E-2</v>
      </c>
      <c r="G4674" s="87">
        <f t="array" ref="G4674">IF(B4674="insumo",_xlfn.XLOOKUP($D4674,Insumos!$B$1:$B$996,Insumos!$D$1:$D$996),"")</f>
        <v>38</v>
      </c>
      <c r="H4674" s="87">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70</v>
      </c>
      <c r="C4675" s="10" t="s">
        <v>2674</v>
      </c>
      <c r="D4675" s="10" t="s">
        <v>505</v>
      </c>
      <c r="E4675" s="11" t="str">
        <f t="array" ref="E4675">_xlfn.XLOOKUP(D4675,Insumos!B:B,Insumos!C:$C)</f>
        <v>UN</v>
      </c>
      <c r="F4675" s="14">
        <v>115</v>
      </c>
      <c r="G4675" s="87">
        <f t="array" ref="G4675">IF(B4675="insumo",_xlfn.XLOOKUP($D4675,Insumos!$B$1:$B$996,Insumos!$D$1:$D$996),"")</f>
        <v>0.08</v>
      </c>
      <c r="H4675" s="87">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332">
        <v>1</v>
      </c>
      <c r="B4676" s="332" t="s">
        <v>67</v>
      </c>
      <c r="C4676" s="332" t="s">
        <v>2675</v>
      </c>
      <c r="D4676" s="332" t="s">
        <v>2675</v>
      </c>
      <c r="E4676" s="333" t="s">
        <v>112</v>
      </c>
      <c r="F4676" s="332"/>
      <c r="G4676" s="334" t="str">
        <f t="array" ref="G4676">IF(B4676="insumo",_xlfn.XLOOKUP($D4676,Insumos!$B$1:$B$996,Insumos!$D$1:$D$996),"")</f>
        <v/>
      </c>
      <c r="H4676" s="334">
        <v>351.32600000000002</v>
      </c>
      <c r="I4676" s="335">
        <v>0</v>
      </c>
      <c r="J4676" s="335">
        <v>0</v>
      </c>
      <c r="K4676" s="335"/>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70</v>
      </c>
      <c r="C4677" s="10" t="s">
        <v>2675</v>
      </c>
      <c r="D4677" s="10" t="s">
        <v>2666</v>
      </c>
      <c r="E4677" s="11" t="str">
        <f t="array" ref="E4677">_xlfn.XLOOKUP(D4677,Insumos!B:B,Insumos!C:$C)</f>
        <v>M2</v>
      </c>
      <c r="F4677" s="14">
        <v>1.1499999999999999</v>
      </c>
      <c r="G4677" s="87">
        <f t="array" ref="G4677">IF(B4677="insumo",_xlfn.XLOOKUP($D4677,Insumos!$B$1:$B$996,Insumos!$D$1:$D$996),"")</f>
        <v>288</v>
      </c>
      <c r="H4677" s="87">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70</v>
      </c>
      <c r="C4678" s="10" t="s">
        <v>2675</v>
      </c>
      <c r="D4678" s="10" t="s">
        <v>1108</v>
      </c>
      <c r="E4678" s="11" t="str">
        <f t="array" ref="E4678">_xlfn.XLOOKUP(D4678,Insumos!B:B,Insumos!C:$C)</f>
        <v>KG</v>
      </c>
      <c r="F4678" s="14">
        <f>10*0.7</f>
        <v>7</v>
      </c>
      <c r="G4678" s="87">
        <f t="array" ref="G4678">IF(B4678="insumo",_xlfn.XLOOKUP($D4678,Insumos!$B$1:$B$996,Insumos!$D$1:$D$996),"")</f>
        <v>1.36</v>
      </c>
      <c r="H4678" s="87">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70</v>
      </c>
      <c r="C4679" s="10" t="s">
        <v>2675</v>
      </c>
      <c r="D4679" s="10" t="s">
        <v>2388</v>
      </c>
      <c r="E4679" s="11" t="str">
        <f t="array" ref="E4679">_xlfn.XLOOKUP(D4679,Insumos!B:B,Insumos!C:$C)</f>
        <v>KG</v>
      </c>
      <c r="F4679" s="14">
        <v>3.6999999999999998E-2</v>
      </c>
      <c r="G4679" s="87">
        <f t="array" ref="G4679">IF(B4679="insumo",_xlfn.XLOOKUP($D4679,Insumos!$B$1:$B$996,Insumos!$D$1:$D$996),"")</f>
        <v>38</v>
      </c>
      <c r="H4679" s="87">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70</v>
      </c>
      <c r="C4680" s="10" t="s">
        <v>2675</v>
      </c>
      <c r="D4680" s="10" t="s">
        <v>505</v>
      </c>
      <c r="E4680" s="11" t="str">
        <f t="array" ref="E4680">_xlfn.XLOOKUP(D4680,Insumos!B:B,Insumos!C:$C)</f>
        <v>UN</v>
      </c>
      <c r="F4680" s="14">
        <v>115</v>
      </c>
      <c r="G4680" s="87">
        <f t="array" ref="G4680">IF(B4680="insumo",_xlfn.XLOOKUP($D4680,Insumos!$B$1:$B$996,Insumos!$D$1:$D$996),"")</f>
        <v>0.08</v>
      </c>
      <c r="H4680" s="87">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332">
        <v>1</v>
      </c>
      <c r="B4681" s="332" t="s">
        <v>67</v>
      </c>
      <c r="C4681" s="332" t="s">
        <v>2678</v>
      </c>
      <c r="D4681" s="332" t="s">
        <v>2678</v>
      </c>
      <c r="E4681" s="333" t="s">
        <v>112</v>
      </c>
      <c r="F4681" s="332"/>
      <c r="G4681" s="334" t="str">
        <f t="array" ref="G4681">IF(B4681="insumo",_xlfn.XLOOKUP($D4681,Insumos!$B$1:$B$996,Insumos!$D$1:$D$996),"")</f>
        <v/>
      </c>
      <c r="H4681" s="334">
        <v>164.30199999999999</v>
      </c>
      <c r="I4681" s="335" t="e">
        <v>#REF!</v>
      </c>
      <c r="J4681" s="335" t="e">
        <v>#REF!</v>
      </c>
      <c r="K4681" s="335"/>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70</v>
      </c>
      <c r="C4682" s="10" t="s">
        <v>2678</v>
      </c>
      <c r="D4682" s="10" t="s">
        <v>2667</v>
      </c>
      <c r="E4682" s="11" t="str">
        <f t="array" ref="E4682">_xlfn.XLOOKUP(D4682,Insumos!B:B,Insumos!C:$C)</f>
        <v>M2</v>
      </c>
      <c r="F4682" s="14">
        <v>1.1499999999999999</v>
      </c>
      <c r="G4682" s="87">
        <f t="array" ref="G4682">IF(B4682="insumo",_xlfn.XLOOKUP($D4682,Insumos!$B$1:$B$996,Insumos!$D$1:$D$996),"")</f>
        <v>130.04</v>
      </c>
      <c r="H4682" s="87">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70</v>
      </c>
      <c r="C4683" s="10" t="s">
        <v>2678</v>
      </c>
      <c r="D4683" s="10" t="s">
        <v>1108</v>
      </c>
      <c r="E4683" s="11" t="str">
        <f t="array" ref="E4683">_xlfn.XLOOKUP(D4683,Insumos!B:B,Insumos!C:$C)</f>
        <v>KG</v>
      </c>
      <c r="F4683" s="14">
        <f>10*0.7</f>
        <v>7</v>
      </c>
      <c r="G4683" s="87">
        <f t="array" ref="G4683">IF(B4683="insumo",_xlfn.XLOOKUP($D4683,Insumos!$B$1:$B$996,Insumos!$D$1:$D$996),"")</f>
        <v>1.36</v>
      </c>
      <c r="H4683" s="87">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70</v>
      </c>
      <c r="C4684" s="10" t="s">
        <v>2678</v>
      </c>
      <c r="D4684" s="10" t="s">
        <v>2388</v>
      </c>
      <c r="E4684" s="11" t="str">
        <f t="array" ref="E4684">_xlfn.XLOOKUP(D4684,Insumos!B:B,Insumos!C:$C)</f>
        <v>KG</v>
      </c>
      <c r="F4684" s="14">
        <v>2.1999999999999999E-2</v>
      </c>
      <c r="G4684" s="87">
        <f t="array" ref="G4684">IF(B4684="insumo",_xlfn.XLOOKUP($D4684,Insumos!$B$1:$B$996,Insumos!$D$1:$D$996),"")</f>
        <v>38</v>
      </c>
      <c r="H4684" s="87">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70</v>
      </c>
      <c r="C4685" s="10" t="s">
        <v>2678</v>
      </c>
      <c r="D4685" s="10" t="s">
        <v>505</v>
      </c>
      <c r="E4685" s="11" t="str">
        <f t="array" ref="E4685">_xlfn.XLOOKUP(D4685,Insumos!B:B,Insumos!C:$C)</f>
        <v>UN</v>
      </c>
      <c r="F4685" s="14">
        <v>55</v>
      </c>
      <c r="G4685" s="87">
        <f t="array" ref="G4685">IF(B4685="insumo",_xlfn.XLOOKUP($D4685,Insumos!$B$1:$B$996,Insumos!$D$1:$D$996),"")</f>
        <v>0.08</v>
      </c>
      <c r="H4685" s="87">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336">
        <v>1</v>
      </c>
      <c r="B4686" s="336" t="s">
        <v>67</v>
      </c>
      <c r="C4686" s="336" t="s">
        <v>1911</v>
      </c>
      <c r="D4686" s="336" t="s">
        <v>1911</v>
      </c>
      <c r="E4686" s="337" t="s">
        <v>69</v>
      </c>
      <c r="F4686" s="336"/>
      <c r="G4686" s="338" t="str">
        <f t="array" ref="G4686">IF(B4686="insumo",_xlfn.XLOOKUP($D4686,Insumos!$B$1:$B$996,Insumos!$D$1:$D$996),"")</f>
        <v/>
      </c>
      <c r="H4686" s="338">
        <v>1360</v>
      </c>
      <c r="I4686" s="339">
        <v>0</v>
      </c>
      <c r="J4686" s="339">
        <v>0</v>
      </c>
      <c r="K4686" s="339"/>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77">
        <v>1</v>
      </c>
      <c r="B4687" s="77" t="s">
        <v>70</v>
      </c>
      <c r="C4687" s="77" t="s">
        <v>1911</v>
      </c>
      <c r="D4687" s="77" t="s">
        <v>1752</v>
      </c>
      <c r="E4687" s="11" t="str">
        <f t="array" ref="E4687">_xlfn.XLOOKUP(D4687,Insumos!B:B,Insumos!C:$C)</f>
        <v>M2</v>
      </c>
      <c r="F4687" s="81">
        <v>1</v>
      </c>
      <c r="G4687" s="87">
        <f t="array" ref="G4687">IF(B4687="insumo",_xlfn.XLOOKUP($D4687,Insumos!$B$1:$B$996,Insumos!$D$1:$D$996),"")</f>
        <v>1060</v>
      </c>
      <c r="H4687" s="87">
        <v>1060</v>
      </c>
      <c r="I4687" s="79">
        <v>0</v>
      </c>
      <c r="J4687" s="79">
        <v>0</v>
      </c>
      <c r="K4687" s="79"/>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77">
        <v>2</v>
      </c>
      <c r="B4688" s="77" t="s">
        <v>70</v>
      </c>
      <c r="C4688" s="77" t="s">
        <v>1911</v>
      </c>
      <c r="D4688" s="77" t="s">
        <v>1754</v>
      </c>
      <c r="E4688" s="11" t="str">
        <f t="array" ref="E4688">_xlfn.XLOOKUP(D4688,Insumos!B:B,Insumos!C:$C)</f>
        <v>M2</v>
      </c>
      <c r="F4688" s="81">
        <v>1</v>
      </c>
      <c r="G4688" s="87">
        <f t="array" ref="G4688">IF(B4688="insumo",_xlfn.XLOOKUP($D4688,Insumos!$B$1:$B$996,Insumos!$D$1:$D$996),"")</f>
        <v>300</v>
      </c>
      <c r="H4688" s="87">
        <v>300</v>
      </c>
      <c r="I4688" s="79">
        <v>0</v>
      </c>
      <c r="J4688" s="79">
        <v>0</v>
      </c>
      <c r="K4688" s="79"/>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336">
        <v>1</v>
      </c>
      <c r="B4689" s="336" t="s">
        <v>67</v>
      </c>
      <c r="C4689" s="336" t="s">
        <v>1881</v>
      </c>
      <c r="D4689" s="336" t="s">
        <v>1881</v>
      </c>
      <c r="E4689" s="337" t="s">
        <v>69</v>
      </c>
      <c r="F4689" s="336"/>
      <c r="G4689" s="338" t="str">
        <f t="array" ref="G4689">IF(B4689="insumo",_xlfn.XLOOKUP($D4689,Insumos!$B$1:$B$996,Insumos!$D$1:$D$996),"")</f>
        <v/>
      </c>
      <c r="H4689" s="338">
        <v>1200</v>
      </c>
      <c r="I4689" s="339">
        <v>0</v>
      </c>
      <c r="J4689" s="339">
        <v>0</v>
      </c>
      <c r="K4689" s="339"/>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77">
        <v>1</v>
      </c>
      <c r="B4690" s="77" t="s">
        <v>70</v>
      </c>
      <c r="C4690" s="77" t="s">
        <v>1881</v>
      </c>
      <c r="D4690" s="77" t="s">
        <v>1881</v>
      </c>
      <c r="E4690" s="11" t="str">
        <f t="array" ref="E4690">_xlfn.XLOOKUP(D4690,Insumos!B:B,Insumos!C:$C)</f>
        <v>M2</v>
      </c>
      <c r="F4690" s="81">
        <v>1</v>
      </c>
      <c r="G4690" s="87">
        <f t="array" ref="G4690">IF(B4690="insumo",_xlfn.XLOOKUP($D4690,Insumos!$B$1:$B$996,Insumos!$D$1:$D$996),"")</f>
        <v>1200</v>
      </c>
      <c r="H4690" s="87">
        <v>1200</v>
      </c>
      <c r="I4690" s="79">
        <v>0</v>
      </c>
      <c r="J4690" s="79">
        <v>0</v>
      </c>
      <c r="K4690" s="79"/>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336">
        <v>1</v>
      </c>
      <c r="B4691" s="336" t="s">
        <v>67</v>
      </c>
      <c r="C4691" s="336" t="s">
        <v>1882</v>
      </c>
      <c r="D4691" s="336" t="s">
        <v>1882</v>
      </c>
      <c r="E4691" s="337" t="s">
        <v>69</v>
      </c>
      <c r="F4691" s="336"/>
      <c r="G4691" s="338" t="str">
        <f t="array" ref="G4691">IF(B4691="insumo",_xlfn.XLOOKUP($D4691,Insumos!$B$1:$B$996,Insumos!$D$1:$D$996),"")</f>
        <v/>
      </c>
      <c r="H4691" s="338">
        <v>950</v>
      </c>
      <c r="I4691" s="339">
        <v>0</v>
      </c>
      <c r="J4691" s="339">
        <v>0</v>
      </c>
      <c r="K4691" s="339"/>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77">
        <v>1</v>
      </c>
      <c r="B4692" s="77" t="s">
        <v>70</v>
      </c>
      <c r="C4692" s="77" t="s">
        <v>1882</v>
      </c>
      <c r="D4692" s="77" t="s">
        <v>1882</v>
      </c>
      <c r="E4692" s="11" t="str">
        <f t="array" ref="E4692">_xlfn.XLOOKUP(D4692,Insumos!B:B,Insumos!C:$C)</f>
        <v>M2</v>
      </c>
      <c r="F4692" s="81">
        <v>1</v>
      </c>
      <c r="G4692" s="87">
        <f t="array" ref="G4692">IF(B4692="insumo",_xlfn.XLOOKUP($D4692,Insumos!$B$1:$B$996,Insumos!$D$1:$D$996),"")</f>
        <v>950</v>
      </c>
      <c r="H4692" s="87">
        <v>950</v>
      </c>
      <c r="I4692" s="79">
        <v>0</v>
      </c>
      <c r="J4692" s="79">
        <v>0</v>
      </c>
      <c r="K4692" s="79"/>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336">
        <v>1</v>
      </c>
      <c r="B4693" s="336" t="s">
        <v>67</v>
      </c>
      <c r="C4693" s="336" t="s">
        <v>1883</v>
      </c>
      <c r="D4693" s="336" t="s">
        <v>1883</v>
      </c>
      <c r="E4693" s="337" t="s">
        <v>69</v>
      </c>
      <c r="F4693" s="336"/>
      <c r="G4693" s="338" t="str">
        <f t="array" ref="G4693">IF(B4693="insumo",_xlfn.XLOOKUP($D4693,Insumos!$B$1:$B$996,Insumos!$D$1:$D$996),"")</f>
        <v/>
      </c>
      <c r="H4693" s="338">
        <v>860</v>
      </c>
      <c r="I4693" s="339">
        <v>0</v>
      </c>
      <c r="J4693" s="339">
        <v>0</v>
      </c>
      <c r="K4693" s="339"/>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77">
        <v>1</v>
      </c>
      <c r="B4694" s="77" t="s">
        <v>70</v>
      </c>
      <c r="C4694" s="77" t="s">
        <v>1883</v>
      </c>
      <c r="D4694" s="77" t="s">
        <v>1883</v>
      </c>
      <c r="E4694" s="11" t="str">
        <f t="array" ref="E4694">_xlfn.XLOOKUP(D4694,Insumos!B:B,Insumos!C:$C)</f>
        <v>M2</v>
      </c>
      <c r="F4694" s="81">
        <v>1</v>
      </c>
      <c r="G4694" s="87">
        <f t="array" ref="G4694">IF(B4694="insumo",_xlfn.XLOOKUP($D4694,Insumos!$B$1:$B$996,Insumos!$D$1:$D$996),"")</f>
        <v>860</v>
      </c>
      <c r="H4694" s="87">
        <v>860</v>
      </c>
      <c r="I4694" s="79">
        <v>0</v>
      </c>
      <c r="J4694" s="79">
        <v>0</v>
      </c>
      <c r="K4694" s="79"/>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336">
        <v>1</v>
      </c>
      <c r="B4695" s="336" t="s">
        <v>67</v>
      </c>
      <c r="C4695" s="336" t="s">
        <v>1912</v>
      </c>
      <c r="D4695" s="336" t="s">
        <v>1912</v>
      </c>
      <c r="E4695" s="337" t="s">
        <v>69</v>
      </c>
      <c r="F4695" s="336"/>
      <c r="G4695" s="338" t="str">
        <f t="array" ref="G4695">IF(B4695="insumo",_xlfn.XLOOKUP($D4695,Insumos!$B$1:$B$996,Insumos!$D$1:$D$996),"")</f>
        <v/>
      </c>
      <c r="H4695" s="338">
        <v>948</v>
      </c>
      <c r="I4695" s="339">
        <v>0</v>
      </c>
      <c r="J4695" s="339">
        <v>0</v>
      </c>
      <c r="K4695" s="339"/>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77">
        <v>1</v>
      </c>
      <c r="B4696" s="77" t="s">
        <v>70</v>
      </c>
      <c r="C4696" s="77" t="s">
        <v>1912</v>
      </c>
      <c r="D4696" s="77" t="s">
        <v>1753</v>
      </c>
      <c r="E4696" s="11" t="str">
        <f t="array" ref="E4696">_xlfn.XLOOKUP(D4696,Insumos!B:B,Insumos!C:$C)</f>
        <v>M2</v>
      </c>
      <c r="F4696" s="81">
        <v>1</v>
      </c>
      <c r="G4696" s="87">
        <f t="array" ref="G4696">IF(B4696="insumo",_xlfn.XLOOKUP($D4696,Insumos!$B$1:$B$996,Insumos!$D$1:$D$996),"")</f>
        <v>648</v>
      </c>
      <c r="H4696" s="87">
        <v>648</v>
      </c>
      <c r="I4696" s="79">
        <v>0</v>
      </c>
      <c r="J4696" s="79">
        <v>0</v>
      </c>
      <c r="K4696" s="79"/>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77">
        <v>2</v>
      </c>
      <c r="B4697" s="77" t="s">
        <v>70</v>
      </c>
      <c r="C4697" s="77" t="s">
        <v>1912</v>
      </c>
      <c r="D4697" s="77" t="s">
        <v>1754</v>
      </c>
      <c r="E4697" s="11" t="str">
        <f t="array" ref="E4697">_xlfn.XLOOKUP(D4697,Insumos!B:B,Insumos!C:$C)</f>
        <v>M2</v>
      </c>
      <c r="F4697" s="81">
        <v>1</v>
      </c>
      <c r="G4697" s="87">
        <f t="array" ref="G4697">IF(B4697="insumo",_xlfn.XLOOKUP($D4697,Insumos!$B$1:$B$996,Insumos!$D$1:$D$996),"")</f>
        <v>300</v>
      </c>
      <c r="H4697" s="87">
        <v>300</v>
      </c>
      <c r="I4697" s="79">
        <v>0</v>
      </c>
      <c r="J4697" s="79">
        <v>0</v>
      </c>
      <c r="K4697" s="79"/>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336">
        <v>1</v>
      </c>
      <c r="B4698" s="336" t="s">
        <v>67</v>
      </c>
      <c r="C4698" s="336" t="s">
        <v>1913</v>
      </c>
      <c r="D4698" s="336" t="s">
        <v>1913</v>
      </c>
      <c r="E4698" s="337" t="s">
        <v>69</v>
      </c>
      <c r="F4698" s="336"/>
      <c r="G4698" s="338" t="str">
        <f t="array" ref="G4698">IF(B4698="insumo",_xlfn.XLOOKUP($D4698,Insumos!$B$1:$B$996,Insumos!$D$1:$D$996),"")</f>
        <v/>
      </c>
      <c r="H4698" s="338">
        <v>1415.0275930380601</v>
      </c>
      <c r="I4698" s="339">
        <v>0</v>
      </c>
      <c r="J4698" s="339">
        <v>0</v>
      </c>
      <c r="K4698" s="339"/>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77">
        <v>2</v>
      </c>
      <c r="B4699" s="77" t="s">
        <v>70</v>
      </c>
      <c r="C4699" s="77" t="s">
        <v>1913</v>
      </c>
      <c r="D4699" s="77" t="s">
        <v>794</v>
      </c>
      <c r="E4699" s="11" t="str">
        <f t="array" ref="E4699">_xlfn.XLOOKUP(D4699,Insumos!B:B,Insumos!C:$C)</f>
        <v>M2</v>
      </c>
      <c r="F4699" s="81">
        <v>1</v>
      </c>
      <c r="G4699" s="87">
        <f t="array" ref="G4699">IF(B4699="insumo",_xlfn.XLOOKUP($D4699,Insumos!$B$1:$B$996,Insumos!$D$1:$D$996),"")</f>
        <v>1415.0275930380642</v>
      </c>
      <c r="H4699" s="87">
        <v>1415.0275930380601</v>
      </c>
      <c r="I4699" s="79">
        <v>0</v>
      </c>
      <c r="J4699" s="79">
        <v>0</v>
      </c>
      <c r="K4699" s="79"/>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355">
        <v>1</v>
      </c>
      <c r="B4700" s="355" t="s">
        <v>1227</v>
      </c>
      <c r="C4700" s="355" t="s">
        <v>1913</v>
      </c>
      <c r="D4700" s="355" t="s">
        <v>1599</v>
      </c>
      <c r="E4700" s="356"/>
      <c r="F4700" s="357"/>
      <c r="G4700" s="356"/>
      <c r="H4700" s="356">
        <v>0</v>
      </c>
      <c r="I4700" s="357">
        <v>0</v>
      </c>
      <c r="J4700" s="357">
        <v>0</v>
      </c>
      <c r="K4700" s="357"/>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332">
        <v>1</v>
      </c>
      <c r="B4701" s="332" t="s">
        <v>67</v>
      </c>
      <c r="C4701" s="332" t="s">
        <v>1594</v>
      </c>
      <c r="D4701" s="332" t="s">
        <v>1594</v>
      </c>
      <c r="E4701" s="333" t="s">
        <v>69</v>
      </c>
      <c r="F4701" s="340"/>
      <c r="G4701" s="334" t="str">
        <f t="array" ref="G4701">IF(B4701="insumo",_xlfn.XLOOKUP($D4701,Insumos!$B$1:$B$996,Insumos!$D$1:$D$996),"")</f>
        <v/>
      </c>
      <c r="H4701" s="334">
        <v>30</v>
      </c>
      <c r="I4701" s="335">
        <v>0</v>
      </c>
      <c r="J4701" s="335">
        <v>0</v>
      </c>
      <c r="K4701" s="335"/>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70</v>
      </c>
      <c r="C4702" s="10" t="s">
        <v>1594</v>
      </c>
      <c r="D4702" s="10" t="s">
        <v>542</v>
      </c>
      <c r="E4702" s="11" t="str">
        <f t="array" ref="E4702">_xlfn.XLOOKUP(D4702,Insumos!B:B,Insumos!C:$C)</f>
        <v>M2</v>
      </c>
      <c r="F4702" s="14">
        <v>1</v>
      </c>
      <c r="G4702" s="87">
        <f t="array" ref="G4702">IF(B4702="insumo",_xlfn.XLOOKUP($D4702,Insumos!$B$1:$B$996,Insumos!$D$1:$D$996),"")</f>
        <v>30</v>
      </c>
      <c r="H4702" s="87">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332">
        <v>1</v>
      </c>
      <c r="B4703" s="332" t="s">
        <v>67</v>
      </c>
      <c r="C4703" s="332" t="s">
        <v>2683</v>
      </c>
      <c r="D4703" s="332" t="s">
        <v>2683</v>
      </c>
      <c r="E4703" s="333" t="s">
        <v>69</v>
      </c>
      <c r="F4703" s="340"/>
      <c r="G4703" s="334" t="str">
        <f t="array" ref="G4703">IF(B4703="insumo",_xlfn.XLOOKUP($D4703,Insumos!$B$1:$B$996,Insumos!$D$1:$D$996),"")</f>
        <v/>
      </c>
      <c r="H4703" s="334">
        <v>25</v>
      </c>
      <c r="I4703" s="335">
        <v>0</v>
      </c>
      <c r="J4703" s="335">
        <v>0</v>
      </c>
      <c r="K4703" s="335"/>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70</v>
      </c>
      <c r="C4704" s="10" t="s">
        <v>2683</v>
      </c>
      <c r="D4704" s="10" t="s">
        <v>2683</v>
      </c>
      <c r="E4704" s="11" t="str">
        <f t="array" ref="E4704">_xlfn.XLOOKUP(D4704,Insumos!B:B,Insumos!C:$C)</f>
        <v>M2</v>
      </c>
      <c r="F4704" s="14">
        <v>1</v>
      </c>
      <c r="G4704" s="87">
        <f t="array" ref="G4704">IF(B4704="insumo",_xlfn.XLOOKUP($D4704,Insumos!$B$1:$B$996,Insumos!$D$1:$D$996),"")</f>
        <v>25</v>
      </c>
      <c r="H4704" s="87">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332">
        <v>1</v>
      </c>
      <c r="B4705" s="332" t="s">
        <v>67</v>
      </c>
      <c r="C4705" s="332" t="s">
        <v>923</v>
      </c>
      <c r="D4705" s="332" t="s">
        <v>923</v>
      </c>
      <c r="E4705" s="333" t="s">
        <v>69</v>
      </c>
      <c r="F4705" s="340"/>
      <c r="G4705" s="334" t="str">
        <f t="array" ref="G4705">IF(B4705="insumo",_xlfn.XLOOKUP($D4705,Insumos!$B$1:$B$996,Insumos!$D$1:$D$996),"")</f>
        <v/>
      </c>
      <c r="H4705" s="334">
        <v>62</v>
      </c>
      <c r="I4705" s="335" t="e">
        <v>#REF!</v>
      </c>
      <c r="J4705" s="335" t="e">
        <v>#REF!</v>
      </c>
      <c r="K4705" s="335"/>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70</v>
      </c>
      <c r="C4706" s="10" t="s">
        <v>923</v>
      </c>
      <c r="D4706" s="10" t="s">
        <v>923</v>
      </c>
      <c r="E4706" s="11" t="str">
        <f t="array" ref="E4706">_xlfn.XLOOKUP(D4706,Insumos!B:B,Insumos!C:$C)</f>
        <v>UN</v>
      </c>
      <c r="F4706" s="14">
        <v>1</v>
      </c>
      <c r="G4706" s="87">
        <f t="array" ref="G4706">IF(B4706="insumo",_xlfn.XLOOKUP($D4706,Insumos!$B$1:$B$996,Insumos!$D$1:$D$996),"")</f>
        <v>62</v>
      </c>
      <c r="H4706" s="87">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332">
        <v>1</v>
      </c>
      <c r="B4707" s="332" t="s">
        <v>67</v>
      </c>
      <c r="C4707" s="332" t="s">
        <v>924</v>
      </c>
      <c r="D4707" s="332" t="s">
        <v>924</v>
      </c>
      <c r="E4707" s="333" t="s">
        <v>69</v>
      </c>
      <c r="F4707" s="340"/>
      <c r="G4707" s="334" t="str">
        <f t="array" ref="G4707">IF(B4707="insumo",_xlfn.XLOOKUP($D4707,Insumos!$B$1:$B$996,Insumos!$D$1:$D$996),"")</f>
        <v/>
      </c>
      <c r="H4707" s="334">
        <v>58</v>
      </c>
      <c r="I4707" s="335" t="e">
        <v>#REF!</v>
      </c>
      <c r="J4707" s="335" t="e">
        <v>#REF!</v>
      </c>
      <c r="K4707" s="335"/>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70</v>
      </c>
      <c r="C4708" s="10" t="s">
        <v>924</v>
      </c>
      <c r="D4708" s="10" t="s">
        <v>924</v>
      </c>
      <c r="E4708" s="11" t="str">
        <f t="array" ref="E4708">_xlfn.XLOOKUP(D4708,Insumos!B:B,Insumos!C:$C)</f>
        <v>UN</v>
      </c>
      <c r="F4708" s="14">
        <v>1</v>
      </c>
      <c r="G4708" s="87">
        <f t="array" ref="G4708">IF(B4708="insumo",_xlfn.XLOOKUP($D4708,Insumos!$B$1:$B$996,Insumos!$D$1:$D$996),"")</f>
        <v>58</v>
      </c>
      <c r="H4708" s="87">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332">
        <v>1</v>
      </c>
      <c r="B4709" s="332" t="s">
        <v>67</v>
      </c>
      <c r="C4709" s="332" t="s">
        <v>925</v>
      </c>
      <c r="D4709" s="332" t="s">
        <v>925</v>
      </c>
      <c r="E4709" s="333" t="s">
        <v>69</v>
      </c>
      <c r="F4709" s="340"/>
      <c r="G4709" s="334" t="str">
        <f t="array" ref="G4709">IF(B4709="insumo",_xlfn.XLOOKUP($D4709,Insumos!$B$1:$B$996,Insumos!$D$1:$D$996),"")</f>
        <v/>
      </c>
      <c r="H4709" s="334">
        <v>58</v>
      </c>
      <c r="I4709" s="335" t="e">
        <v>#REF!</v>
      </c>
      <c r="J4709" s="335" t="e">
        <v>#REF!</v>
      </c>
      <c r="K4709" s="335"/>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70</v>
      </c>
      <c r="C4710" s="10" t="s">
        <v>925</v>
      </c>
      <c r="D4710" s="10" t="s">
        <v>925</v>
      </c>
      <c r="E4710" s="11" t="str">
        <f t="array" ref="E4710">_xlfn.XLOOKUP(D4710,Insumos!B:B,Insumos!C:$C)</f>
        <v>UN</v>
      </c>
      <c r="F4710" s="14">
        <v>1</v>
      </c>
      <c r="G4710" s="87">
        <f t="array" ref="G4710">IF(B4710="insumo",_xlfn.XLOOKUP($D4710,Insumos!$B$1:$B$996,Insumos!$D$1:$D$996),"")</f>
        <v>58</v>
      </c>
      <c r="H4710" s="87">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332">
        <v>1</v>
      </c>
      <c r="B4711" s="332" t="s">
        <v>67</v>
      </c>
      <c r="C4711" s="332" t="s">
        <v>926</v>
      </c>
      <c r="D4711" s="332" t="s">
        <v>926</v>
      </c>
      <c r="E4711" s="333" t="s">
        <v>69</v>
      </c>
      <c r="F4711" s="340"/>
      <c r="G4711" s="334" t="str">
        <f t="array" ref="G4711">IF(B4711="insumo",_xlfn.XLOOKUP($D4711,Insumos!$B$1:$B$996,Insumos!$D$1:$D$996),"")</f>
        <v/>
      </c>
      <c r="H4711" s="334">
        <v>95</v>
      </c>
      <c r="I4711" s="335" t="e">
        <v>#REF!</v>
      </c>
      <c r="J4711" s="335" t="e">
        <v>#REF!</v>
      </c>
      <c r="K4711" s="335"/>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70</v>
      </c>
      <c r="C4712" s="10" t="s">
        <v>926</v>
      </c>
      <c r="D4712" s="10" t="s">
        <v>926</v>
      </c>
      <c r="E4712" s="11" t="str">
        <f t="array" ref="E4712">_xlfn.XLOOKUP(D4712,Insumos!B:B,Insumos!C:$C)</f>
        <v>UN</v>
      </c>
      <c r="F4712" s="14">
        <v>1</v>
      </c>
      <c r="G4712" s="87">
        <f t="array" ref="G4712">IF(B4712="insumo",_xlfn.XLOOKUP($D4712,Insumos!$B$1:$B$996,Insumos!$D$1:$D$996),"")</f>
        <v>95</v>
      </c>
      <c r="H4712" s="87">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332">
        <v>1</v>
      </c>
      <c r="B4713" s="332" t="s">
        <v>67</v>
      </c>
      <c r="C4713" s="332" t="s">
        <v>927</v>
      </c>
      <c r="D4713" s="332" t="s">
        <v>927</v>
      </c>
      <c r="E4713" s="333" t="s">
        <v>69</v>
      </c>
      <c r="F4713" s="340"/>
      <c r="G4713" s="334" t="str">
        <f t="array" ref="G4713">IF(B4713="insumo",_xlfn.XLOOKUP($D4713,Insumos!$B$1:$B$996,Insumos!$D$1:$D$996),"")</f>
        <v/>
      </c>
      <c r="H4713" s="334">
        <v>85</v>
      </c>
      <c r="I4713" s="335" t="e">
        <v>#REF!</v>
      </c>
      <c r="J4713" s="335" t="e">
        <v>#REF!</v>
      </c>
      <c r="K4713" s="335"/>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70</v>
      </c>
      <c r="C4714" s="10" t="s">
        <v>927</v>
      </c>
      <c r="D4714" s="10" t="s">
        <v>927</v>
      </c>
      <c r="E4714" s="11" t="str">
        <f t="array" ref="E4714">_xlfn.XLOOKUP(D4714,Insumos!B:B,Insumos!C:$C)</f>
        <v>UN</v>
      </c>
      <c r="F4714" s="14">
        <v>1</v>
      </c>
      <c r="G4714" s="87">
        <f t="array" ref="G4714">IF(B4714="insumo",_xlfn.XLOOKUP($D4714,Insumos!$B$1:$B$996,Insumos!$D$1:$D$996),"")</f>
        <v>85</v>
      </c>
      <c r="H4714" s="87">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332">
        <v>1</v>
      </c>
      <c r="B4715" s="332" t="s">
        <v>67</v>
      </c>
      <c r="C4715" s="332" t="s">
        <v>2685</v>
      </c>
      <c r="D4715" s="332" t="s">
        <v>2685</v>
      </c>
      <c r="E4715" s="333" t="s">
        <v>69</v>
      </c>
      <c r="F4715" s="340"/>
      <c r="G4715" s="334" t="str">
        <f t="array" ref="G4715">IF(B4715="insumo",_xlfn.XLOOKUP($D4715,Insumos!$B$1:$B$996,Insumos!$D$1:$D$996),"")</f>
        <v/>
      </c>
      <c r="H4715" s="334">
        <v>95</v>
      </c>
      <c r="I4715" s="335" t="e">
        <v>#REF!</v>
      </c>
      <c r="J4715" s="335" t="e">
        <v>#REF!</v>
      </c>
      <c r="K4715" s="335"/>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70</v>
      </c>
      <c r="C4716" s="10" t="s">
        <v>2685</v>
      </c>
      <c r="D4716" s="10" t="s">
        <v>928</v>
      </c>
      <c r="E4716" s="11" t="str">
        <f t="array" ref="E4716">_xlfn.XLOOKUP(D4716,Insumos!B:B,Insumos!C:$C)</f>
        <v>M2</v>
      </c>
      <c r="F4716" s="14">
        <v>1</v>
      </c>
      <c r="G4716" s="87">
        <f t="array" ref="G4716">IF(B4716="insumo",_xlfn.XLOOKUP($D4716,Insumos!$B$1:$B$996,Insumos!$D$1:$D$996),"")</f>
        <v>95</v>
      </c>
      <c r="H4716" s="87">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332">
        <v>1</v>
      </c>
      <c r="B4717" s="332" t="s">
        <v>67</v>
      </c>
      <c r="C4717" s="332" t="s">
        <v>928</v>
      </c>
      <c r="D4717" s="332" t="s">
        <v>928</v>
      </c>
      <c r="E4717" s="333" t="s">
        <v>69</v>
      </c>
      <c r="F4717" s="340"/>
      <c r="G4717" s="334" t="str">
        <f t="array" ref="G4717">IF(B4717="insumo",_xlfn.XLOOKUP($D4717,Insumos!$B$1:$B$996,Insumos!$D$1:$D$996),"")</f>
        <v/>
      </c>
      <c r="H4717" s="334">
        <v>95</v>
      </c>
      <c r="I4717" s="335">
        <v>0</v>
      </c>
      <c r="J4717" s="335">
        <v>0</v>
      </c>
      <c r="K4717" s="335"/>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70</v>
      </c>
      <c r="C4718" s="10" t="s">
        <v>928</v>
      </c>
      <c r="D4718" s="10" t="s">
        <v>928</v>
      </c>
      <c r="E4718" s="11" t="str">
        <f t="array" ref="E4718">_xlfn.XLOOKUP(D4718,Insumos!B:B,Insumos!C:$C)</f>
        <v>M2</v>
      </c>
      <c r="F4718" s="14">
        <v>1</v>
      </c>
      <c r="G4718" s="87">
        <f t="array" ref="G4718">IF(B4718="insumo",_xlfn.XLOOKUP($D4718,Insumos!$B$1:$B$996,Insumos!$D$1:$D$996),"")</f>
        <v>95</v>
      </c>
      <c r="H4718" s="87">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332">
        <v>1</v>
      </c>
      <c r="B4719" s="332" t="s">
        <v>67</v>
      </c>
      <c r="C4719" s="332" t="s">
        <v>2684</v>
      </c>
      <c r="D4719" s="332" t="s">
        <v>2684</v>
      </c>
      <c r="E4719" s="333" t="s">
        <v>69</v>
      </c>
      <c r="F4719" s="340"/>
      <c r="G4719" s="334" t="str">
        <f t="array" ref="G4719">IF(B4719="insumo",_xlfn.XLOOKUP($D4719,Insumos!$B$1:$B$996,Insumos!$D$1:$D$996),"")</f>
        <v/>
      </c>
      <c r="H4719" s="334">
        <v>120</v>
      </c>
      <c r="I4719" s="335" t="e">
        <v>#REF!</v>
      </c>
      <c r="J4719" s="335" t="e">
        <v>#REF!</v>
      </c>
      <c r="K4719" s="335"/>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70</v>
      </c>
      <c r="C4720" s="10" t="s">
        <v>2684</v>
      </c>
      <c r="D4720" s="10" t="s">
        <v>2684</v>
      </c>
      <c r="E4720" s="11" t="str">
        <f t="array" ref="E4720">_xlfn.XLOOKUP(D4720,Insumos!B:B,Insumos!C:$C)</f>
        <v>M2</v>
      </c>
      <c r="F4720" s="14">
        <v>1</v>
      </c>
      <c r="G4720" s="87">
        <f t="array" ref="G4720">IF(B4720="insumo",_xlfn.XLOOKUP($D4720,Insumos!$B$1:$B$996,Insumos!$D$1:$D$996),"")</f>
        <v>120</v>
      </c>
      <c r="H4720" s="87">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332">
        <v>1</v>
      </c>
      <c r="B4721" s="332" t="s">
        <v>67</v>
      </c>
      <c r="C4721" s="348" t="s">
        <v>1568</v>
      </c>
      <c r="D4721" s="348" t="s">
        <v>1568</v>
      </c>
      <c r="E4721" s="333" t="s">
        <v>69</v>
      </c>
      <c r="F4721" s="340"/>
      <c r="G4721" s="334" t="str">
        <f t="array" ref="G4721">IF(B4721="insumo",_xlfn.XLOOKUP($D4721,Insumos!$B$1:$B$996,Insumos!$D$1:$D$996),"")</f>
        <v/>
      </c>
      <c r="H4721" s="334">
        <v>80</v>
      </c>
      <c r="I4721" s="335">
        <v>0</v>
      </c>
      <c r="J4721" s="335">
        <v>0</v>
      </c>
      <c r="K4721" s="335"/>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70</v>
      </c>
      <c r="C4722" s="15" t="s">
        <v>1568</v>
      </c>
      <c r="D4722" s="15" t="s">
        <v>1568</v>
      </c>
      <c r="E4722" s="11" t="str">
        <f t="array" ref="E4722">_xlfn.XLOOKUP(D4722,Insumos!B:B,Insumos!C:$C)</f>
        <v>m2</v>
      </c>
      <c r="F4722" s="14">
        <v>1</v>
      </c>
      <c r="G4722" s="87">
        <f t="array" ref="G4722">IF(B4722="insumo",_xlfn.XLOOKUP($D4722,Insumos!$B$1:$B$996,Insumos!$D$1:$D$996),"")</f>
        <v>80</v>
      </c>
      <c r="H4722" s="87">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332">
        <v>1</v>
      </c>
      <c r="B4723" s="332" t="s">
        <v>67</v>
      </c>
      <c r="C4723" s="332" t="s">
        <v>929</v>
      </c>
      <c r="D4723" s="332" t="s">
        <v>929</v>
      </c>
      <c r="E4723" s="333" t="s">
        <v>69</v>
      </c>
      <c r="F4723" s="340"/>
      <c r="G4723" s="334" t="str">
        <f t="array" ref="G4723">IF(B4723="insumo",_xlfn.XLOOKUP($D4723,Insumos!$B$1:$B$996,Insumos!$D$1:$D$996),"")</f>
        <v/>
      </c>
      <c r="H4723" s="334">
        <v>175</v>
      </c>
      <c r="I4723" s="335">
        <v>0</v>
      </c>
      <c r="J4723" s="335">
        <v>0</v>
      </c>
      <c r="K4723" s="335"/>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70</v>
      </c>
      <c r="C4724" s="10" t="s">
        <v>929</v>
      </c>
      <c r="D4724" s="10" t="s">
        <v>929</v>
      </c>
      <c r="E4724" s="11" t="str">
        <f t="array" ref="E4724">_xlfn.XLOOKUP(D4724,Insumos!B:B,Insumos!C:$C)</f>
        <v>m2</v>
      </c>
      <c r="F4724" s="14">
        <v>1</v>
      </c>
      <c r="G4724" s="87">
        <f t="array" ref="G4724">IF(B4724="insumo",_xlfn.XLOOKUP($D4724,Insumos!$B$1:$B$996,Insumos!$D$1:$D$996),"")</f>
        <v>175</v>
      </c>
      <c r="H4724" s="87">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65</v>
      </c>
      <c r="C4725" s="7" t="s">
        <v>929</v>
      </c>
      <c r="D4725" s="7" t="s">
        <v>930</v>
      </c>
      <c r="E4725" s="8"/>
      <c r="F4725" s="9"/>
      <c r="G4725" s="86" t="str">
        <f t="array" ref="G4725">IF(B4725="insumo",_xlfn.XLOOKUP($D4725,Insumos!$B$1:$B$996,Insumos!$D$1:$D$996),"")</f>
        <v/>
      </c>
      <c r="H4725" s="86">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332">
        <v>1</v>
      </c>
      <c r="B4726" s="332" t="s">
        <v>67</v>
      </c>
      <c r="C4726" s="349" t="s">
        <v>931</v>
      </c>
      <c r="D4726" s="349" t="s">
        <v>931</v>
      </c>
      <c r="E4726" s="333" t="s">
        <v>196</v>
      </c>
      <c r="F4726" s="350" t="s">
        <v>399</v>
      </c>
      <c r="G4726" s="334" t="str">
        <f t="array" ref="G4726">IF(B4726="insumo",_xlfn.XLOOKUP($D4726,Insumos!$B$1:$B$996,Insumos!$D$1:$D$996),"")</f>
        <v/>
      </c>
      <c r="H4726" s="334">
        <v>586.66880000000003</v>
      </c>
      <c r="I4726" s="335">
        <v>0</v>
      </c>
      <c r="J4726" s="335">
        <v>0</v>
      </c>
      <c r="K4726" s="335"/>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70</v>
      </c>
      <c r="C4727" s="10" t="s">
        <v>931</v>
      </c>
      <c r="D4727" s="10" t="s">
        <v>932</v>
      </c>
      <c r="E4727" s="11" t="str">
        <f t="array" ref="E4727">_xlfn.XLOOKUP(D4727,Insumos!B:B,Insumos!C:$C)</f>
        <v>UN</v>
      </c>
      <c r="F4727" s="14">
        <v>1</v>
      </c>
      <c r="G4727" s="87">
        <f t="array" ref="G4727">IF(B4727="insumo",_xlfn.XLOOKUP($D4727,Insumos!$B$1:$B$996,Insumos!$D$1:$D$996),"")</f>
        <v>523.16999999999996</v>
      </c>
      <c r="H4727" s="87">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70</v>
      </c>
      <c r="C4728" s="10" t="s">
        <v>931</v>
      </c>
      <c r="D4728" s="10" t="s">
        <v>933</v>
      </c>
      <c r="E4728" s="11" t="str">
        <f t="array" ref="E4728">_xlfn.XLOOKUP(D4728,Insumos!B:B,Insumos!C:$C)</f>
        <v>UN</v>
      </c>
      <c r="F4728" s="14">
        <v>2</v>
      </c>
      <c r="G4728" s="87">
        <f t="array" ref="G4728">IF(B4728="insumo",_xlfn.XLOOKUP($D4728,Insumos!$B$1:$B$996,Insumos!$D$1:$D$996),"")</f>
        <v>0.34</v>
      </c>
      <c r="H4728" s="87">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70</v>
      </c>
      <c r="C4729" s="10" t="s">
        <v>931</v>
      </c>
      <c r="D4729" s="10" t="s">
        <v>934</v>
      </c>
      <c r="E4729" s="11" t="str">
        <f t="array" ref="E4729">_xlfn.XLOOKUP(D4729,Insumos!B:B,Insumos!C:$C)</f>
        <v>UN</v>
      </c>
      <c r="F4729" s="14">
        <v>2</v>
      </c>
      <c r="G4729" s="87">
        <f t="array" ref="G4729">IF(B4729="insumo",_xlfn.XLOOKUP($D4729,Insumos!$B$1:$B$996,Insumos!$D$1:$D$996),"")</f>
        <v>5.95</v>
      </c>
      <c r="H4729" s="87">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70</v>
      </c>
      <c r="C4730" s="10" t="s">
        <v>931</v>
      </c>
      <c r="D4730" s="10" t="s">
        <v>935</v>
      </c>
      <c r="E4730" s="11" t="str">
        <f t="array" ref="E4730">_xlfn.XLOOKUP(D4730,Insumos!B:B,Insumos!C:$C)</f>
        <v>M</v>
      </c>
      <c r="F4730" s="14">
        <v>1.1200000000000001</v>
      </c>
      <c r="G4730" s="87">
        <f t="array" ref="G4730">IF(B4730="insumo",_xlfn.XLOOKUP($D4730,Insumos!$B$1:$B$996,Insumos!$D$1:$D$996),"")</f>
        <v>0.24</v>
      </c>
      <c r="H4730" s="87">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70</v>
      </c>
      <c r="C4731" s="10" t="s">
        <v>931</v>
      </c>
      <c r="D4731" s="10" t="s">
        <v>936</v>
      </c>
      <c r="E4731" s="11" t="str">
        <f t="array" ref="E4731">_xlfn.XLOOKUP(D4731,Insumos!B:B,Insumos!C:$C)</f>
        <v>UN</v>
      </c>
      <c r="F4731" s="14">
        <v>1</v>
      </c>
      <c r="G4731" s="87">
        <f t="array" ref="G4731">IF(B4731="insumo",_xlfn.XLOOKUP($D4731,Insumos!$B$1:$B$996,Insumos!$D$1:$D$996),"")</f>
        <v>5</v>
      </c>
      <c r="H4731" s="87">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70</v>
      </c>
      <c r="C4732" s="10" t="s">
        <v>931</v>
      </c>
      <c r="D4732" s="10" t="s">
        <v>937</v>
      </c>
      <c r="E4732" s="11" t="str">
        <f t="array" ref="E4732">_xlfn.XLOOKUP(D4732,Insumos!B:B,Insumos!C:$C)</f>
        <v>UN</v>
      </c>
      <c r="F4732" s="14">
        <v>0.25</v>
      </c>
      <c r="G4732" s="87">
        <f t="array" ref="G4732">IF(B4732="insumo",_xlfn.XLOOKUP($D4732,Insumos!$B$1:$B$996,Insumos!$D$1:$D$996),"")</f>
        <v>75</v>
      </c>
      <c r="H4732" s="87">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70</v>
      </c>
      <c r="C4733" s="10" t="s">
        <v>931</v>
      </c>
      <c r="D4733" s="10" t="s">
        <v>938</v>
      </c>
      <c r="E4733" s="11" t="str">
        <f t="array" ref="E4733">_xlfn.XLOOKUP(D4733,Insumos!B:B,Insumos!C:$C)</f>
        <v>UN</v>
      </c>
      <c r="F4733" s="14">
        <v>1</v>
      </c>
      <c r="G4733" s="87">
        <f t="array" ref="G4733">IF(B4733="insumo",_xlfn.XLOOKUP($D4733,Insumos!$B$1:$B$996,Insumos!$D$1:$D$996),"")</f>
        <v>26.9</v>
      </c>
      <c r="H4733" s="87">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332">
        <v>1</v>
      </c>
      <c r="B4734" s="332" t="s">
        <v>67</v>
      </c>
      <c r="C4734" s="349" t="s">
        <v>939</v>
      </c>
      <c r="D4734" s="349" t="s">
        <v>939</v>
      </c>
      <c r="E4734" s="333" t="s">
        <v>196</v>
      </c>
      <c r="F4734" s="350" t="s">
        <v>399</v>
      </c>
      <c r="G4734" s="334" t="str">
        <f t="array" ref="G4734">IF(B4734="insumo",_xlfn.XLOOKUP($D4734,Insumos!$B$1:$B$996,Insumos!$D$1:$D$996),"")</f>
        <v/>
      </c>
      <c r="H4734" s="334">
        <v>1073.9000000000001</v>
      </c>
      <c r="I4734" s="335">
        <v>0</v>
      </c>
      <c r="J4734" s="335">
        <v>0</v>
      </c>
      <c r="K4734" s="335"/>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70</v>
      </c>
      <c r="C4735" s="10" t="s">
        <v>939</v>
      </c>
      <c r="D4735" s="10" t="s">
        <v>940</v>
      </c>
      <c r="E4735" s="11" t="str">
        <f t="array" ref="E4735">_xlfn.XLOOKUP(D4735,Insumos!B:B,Insumos!C:$C)</f>
        <v>UN</v>
      </c>
      <c r="F4735" s="14">
        <v>1</v>
      </c>
      <c r="G4735" s="87">
        <f t="array" ref="G4735">IF(B4735="insumo",_xlfn.XLOOKUP($D4735,Insumos!$B$1:$B$996,Insumos!$D$1:$D$996),"")</f>
        <v>1010.4012000000001</v>
      </c>
      <c r="H4735" s="87">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70</v>
      </c>
      <c r="C4736" s="10" t="s">
        <v>939</v>
      </c>
      <c r="D4736" s="10" t="s">
        <v>933</v>
      </c>
      <c r="E4736" s="11" t="str">
        <f t="array" ref="E4736">_xlfn.XLOOKUP(D4736,Insumos!B:B,Insumos!C:$C)</f>
        <v>UN</v>
      </c>
      <c r="F4736" s="14">
        <v>2</v>
      </c>
      <c r="G4736" s="87">
        <f t="array" ref="G4736">IF(B4736="insumo",_xlfn.XLOOKUP($D4736,Insumos!$B$1:$B$996,Insumos!$D$1:$D$996),"")</f>
        <v>0.34</v>
      </c>
      <c r="H4736" s="87">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70</v>
      </c>
      <c r="C4737" s="10" t="s">
        <v>939</v>
      </c>
      <c r="D4737" s="10" t="s">
        <v>934</v>
      </c>
      <c r="E4737" s="11" t="str">
        <f t="array" ref="E4737">_xlfn.XLOOKUP(D4737,Insumos!B:B,Insumos!C:$C)</f>
        <v>UN</v>
      </c>
      <c r="F4737" s="14">
        <v>2</v>
      </c>
      <c r="G4737" s="87">
        <f t="array" ref="G4737">IF(B4737="insumo",_xlfn.XLOOKUP($D4737,Insumos!$B$1:$B$996,Insumos!$D$1:$D$996),"")</f>
        <v>5.95</v>
      </c>
      <c r="H4737" s="87">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70</v>
      </c>
      <c r="C4738" s="10" t="s">
        <v>939</v>
      </c>
      <c r="D4738" s="10" t="s">
        <v>935</v>
      </c>
      <c r="E4738" s="11" t="str">
        <f t="array" ref="E4738">_xlfn.XLOOKUP(D4738,Insumos!B:B,Insumos!C:$C)</f>
        <v>M</v>
      </c>
      <c r="F4738" s="14">
        <v>1.1200000000000001</v>
      </c>
      <c r="G4738" s="87">
        <f t="array" ref="G4738">IF(B4738="insumo",_xlfn.XLOOKUP($D4738,Insumos!$B$1:$B$996,Insumos!$D$1:$D$996),"")</f>
        <v>0.24</v>
      </c>
      <c r="H4738" s="87">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70</v>
      </c>
      <c r="C4739" s="10" t="s">
        <v>939</v>
      </c>
      <c r="D4739" s="10" t="s">
        <v>936</v>
      </c>
      <c r="E4739" s="11" t="str">
        <f t="array" ref="E4739">_xlfn.XLOOKUP(D4739,Insumos!B:B,Insumos!C:$C)</f>
        <v>UN</v>
      </c>
      <c r="F4739" s="14">
        <v>1</v>
      </c>
      <c r="G4739" s="87">
        <f t="array" ref="G4739">IF(B4739="insumo",_xlfn.XLOOKUP($D4739,Insumos!$B$1:$B$996,Insumos!$D$1:$D$996),"")</f>
        <v>5</v>
      </c>
      <c r="H4739" s="87">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70</v>
      </c>
      <c r="C4740" s="10" t="s">
        <v>939</v>
      </c>
      <c r="D4740" s="10" t="s">
        <v>937</v>
      </c>
      <c r="E4740" s="11" t="str">
        <f t="array" ref="E4740">_xlfn.XLOOKUP(D4740,Insumos!B:B,Insumos!C:$C)</f>
        <v>UN</v>
      </c>
      <c r="F4740" s="14">
        <v>0.25</v>
      </c>
      <c r="G4740" s="87">
        <f t="array" ref="G4740">IF(B4740="insumo",_xlfn.XLOOKUP($D4740,Insumos!$B$1:$B$996,Insumos!$D$1:$D$996),"")</f>
        <v>75</v>
      </c>
      <c r="H4740" s="87">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70</v>
      </c>
      <c r="C4741" s="10" t="s">
        <v>939</v>
      </c>
      <c r="D4741" s="10" t="s">
        <v>938</v>
      </c>
      <c r="E4741" s="11" t="str">
        <f t="array" ref="E4741">_xlfn.XLOOKUP(D4741,Insumos!B:B,Insumos!C:$C)</f>
        <v>UN</v>
      </c>
      <c r="F4741" s="14">
        <v>1</v>
      </c>
      <c r="G4741" s="87">
        <f t="array" ref="G4741">IF(B4741="insumo",_xlfn.XLOOKUP($D4741,Insumos!$B$1:$B$996,Insumos!$D$1:$D$996),"")</f>
        <v>26.9</v>
      </c>
      <c r="H4741" s="87">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332">
        <v>1</v>
      </c>
      <c r="B4742" s="332" t="s">
        <v>67</v>
      </c>
      <c r="C4742" s="332" t="s">
        <v>941</v>
      </c>
      <c r="D4742" s="332" t="s">
        <v>941</v>
      </c>
      <c r="E4742" s="333" t="s">
        <v>196</v>
      </c>
      <c r="F4742" s="332" t="s">
        <v>399</v>
      </c>
      <c r="G4742" s="334" t="str">
        <f t="array" ref="G4742">IF(B4742="insumo",_xlfn.XLOOKUP($D4742,Insumos!$B$1:$B$996,Insumos!$D$1:$D$996),"")</f>
        <v/>
      </c>
      <c r="H4742" s="334">
        <v>600.64</v>
      </c>
      <c r="I4742" s="335">
        <v>0</v>
      </c>
      <c r="J4742" s="335">
        <v>0</v>
      </c>
      <c r="K4742" s="335"/>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70</v>
      </c>
      <c r="C4743" s="10" t="s">
        <v>941</v>
      </c>
      <c r="D4743" s="10" t="s">
        <v>942</v>
      </c>
      <c r="E4743" s="11" t="str">
        <f t="array" ref="E4743">_xlfn.XLOOKUP(D4743,Insumos!B:B,Insumos!C:$C)</f>
        <v>UN</v>
      </c>
      <c r="F4743" s="14">
        <v>2</v>
      </c>
      <c r="G4743" s="87">
        <f t="array" ref="G4743">IF(B4743="insumo",_xlfn.XLOOKUP($D4743,Insumos!$B$1:$B$996,Insumos!$D$1:$D$996),"")</f>
        <v>0.34</v>
      </c>
      <c r="H4743" s="87">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70</v>
      </c>
      <c r="C4744" s="10" t="s">
        <v>941</v>
      </c>
      <c r="D4744" s="10" t="s">
        <v>934</v>
      </c>
      <c r="E4744" s="11" t="str">
        <f t="array" ref="E4744">_xlfn.XLOOKUP(D4744,Insumos!B:B,Insumos!C:$C)</f>
        <v>UN</v>
      </c>
      <c r="F4744" s="14">
        <v>2</v>
      </c>
      <c r="G4744" s="87">
        <f t="array" ref="G4744">IF(B4744="insumo",_xlfn.XLOOKUP($D4744,Insumos!$B$1:$B$996,Insumos!$D$1:$D$996),"")</f>
        <v>5.95</v>
      </c>
      <c r="H4744" s="87">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70</v>
      </c>
      <c r="C4745" s="10" t="s">
        <v>941</v>
      </c>
      <c r="D4745" s="10" t="s">
        <v>936</v>
      </c>
      <c r="E4745" s="11" t="str">
        <f t="array" ref="E4745">_xlfn.XLOOKUP(D4745,Insumos!B:B,Insumos!C:$C)</f>
        <v>UN</v>
      </c>
      <c r="F4745" s="14">
        <v>1</v>
      </c>
      <c r="G4745" s="87">
        <f t="array" ref="G4745">IF(B4745="insumo",_xlfn.XLOOKUP($D4745,Insumos!$B$1:$B$996,Insumos!$D$1:$D$996),"")</f>
        <v>5</v>
      </c>
      <c r="H4745" s="87">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70</v>
      </c>
      <c r="C4746" s="10" t="s">
        <v>941</v>
      </c>
      <c r="D4746" s="10" t="s">
        <v>943</v>
      </c>
      <c r="E4746" s="11" t="str">
        <f t="array" ref="E4746">_xlfn.XLOOKUP(D4746,Insumos!B:B,Insumos!C:$C)</f>
        <v>UN</v>
      </c>
      <c r="F4746" s="14">
        <v>0.4</v>
      </c>
      <c r="G4746" s="87">
        <f t="array" ref="G4746">IF(B4746="insumo",_xlfn.XLOOKUP($D4746,Insumos!$B$1:$B$996,Insumos!$D$1:$D$996),"")</f>
        <v>35.6</v>
      </c>
      <c r="H4746" s="87">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70</v>
      </c>
      <c r="C4747" s="10" t="s">
        <v>941</v>
      </c>
      <c r="D4747" s="10" t="s">
        <v>937</v>
      </c>
      <c r="E4747" s="11" t="str">
        <f t="array" ref="E4747">_xlfn.XLOOKUP(D4747,Insumos!B:B,Insumos!C:$C)</f>
        <v>UN</v>
      </c>
      <c r="F4747" s="14">
        <v>0.25</v>
      </c>
      <c r="G4747" s="87">
        <f t="array" ref="G4747">IF(B4747="insumo",_xlfn.XLOOKUP($D4747,Insumos!$B$1:$B$996,Insumos!$D$1:$D$996),"")</f>
        <v>75</v>
      </c>
      <c r="H4747" s="87">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70</v>
      </c>
      <c r="C4748" s="10" t="s">
        <v>941</v>
      </c>
      <c r="D4748" s="10" t="s">
        <v>932</v>
      </c>
      <c r="E4748" s="11" t="str">
        <f t="array" ref="E4748">_xlfn.XLOOKUP(D4748,Insumos!B:B,Insumos!C:$C)</f>
        <v>UN</v>
      </c>
      <c r="F4748" s="14">
        <v>1</v>
      </c>
      <c r="G4748" s="87">
        <f t="array" ref="G4748">IF(B4748="insumo",_xlfn.XLOOKUP($D4748,Insumos!$B$1:$B$996,Insumos!$D$1:$D$996),"")</f>
        <v>523.16999999999996</v>
      </c>
      <c r="H4748" s="87">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70</v>
      </c>
      <c r="C4749" s="10" t="s">
        <v>941</v>
      </c>
      <c r="D4749" s="10" t="s">
        <v>938</v>
      </c>
      <c r="E4749" s="11" t="str">
        <f t="array" ref="E4749">_xlfn.XLOOKUP(D4749,Insumos!B:B,Insumos!C:$C)</f>
        <v>UN</v>
      </c>
      <c r="F4749" s="14">
        <v>1</v>
      </c>
      <c r="G4749" s="87">
        <f t="array" ref="G4749">IF(B4749="insumo",_xlfn.XLOOKUP($D4749,Insumos!$B$1:$B$996,Insumos!$D$1:$D$996),"")</f>
        <v>26.9</v>
      </c>
      <c r="H4749" s="87">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332">
        <v>1</v>
      </c>
      <c r="B4750" s="332" t="s">
        <v>67</v>
      </c>
      <c r="C4750" s="349" t="s">
        <v>944</v>
      </c>
      <c r="D4750" s="349" t="s">
        <v>944</v>
      </c>
      <c r="E4750" s="333" t="s">
        <v>196</v>
      </c>
      <c r="F4750" s="350" t="s">
        <v>399</v>
      </c>
      <c r="G4750" s="334" t="str">
        <f t="array" ref="G4750">IF(B4750="insumo",_xlfn.XLOOKUP($D4750,Insumos!$B$1:$B$996,Insumos!$D$1:$D$996),"")</f>
        <v/>
      </c>
      <c r="H4750" s="334">
        <v>436.69</v>
      </c>
      <c r="I4750" s="335">
        <v>0</v>
      </c>
      <c r="J4750" s="335">
        <v>0</v>
      </c>
      <c r="K4750" s="335"/>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70</v>
      </c>
      <c r="C4751" s="10" t="s">
        <v>944</v>
      </c>
      <c r="D4751" s="10" t="s">
        <v>945</v>
      </c>
      <c r="E4751" s="11" t="str">
        <f t="array" ref="E4751">_xlfn.XLOOKUP(D4751,Insumos!B:B,Insumos!C:$C)</f>
        <v>UN</v>
      </c>
      <c r="F4751" s="14">
        <v>1</v>
      </c>
      <c r="G4751" s="87">
        <f t="array" ref="G4751">IF(B4751="insumo",_xlfn.XLOOKUP($D4751,Insumos!$B$1:$B$996,Insumos!$D$1:$D$996),"")</f>
        <v>272.89999999999998</v>
      </c>
      <c r="H4751" s="87">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70</v>
      </c>
      <c r="C4752" s="10" t="s">
        <v>944</v>
      </c>
      <c r="D4752" s="10" t="s">
        <v>946</v>
      </c>
      <c r="E4752" s="11" t="str">
        <f t="array" ref="E4752">_xlfn.XLOOKUP(D4752,Insumos!B:B,Insumos!C:$C)</f>
        <v>UN</v>
      </c>
      <c r="F4752" s="14">
        <v>1</v>
      </c>
      <c r="G4752" s="87">
        <f t="array" ref="G4752">IF(B4752="insumo",_xlfn.XLOOKUP($D4752,Insumos!$B$1:$B$996,Insumos!$D$1:$D$996),"")</f>
        <v>65</v>
      </c>
      <c r="H4752" s="87">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70</v>
      </c>
      <c r="C4753" s="10" t="s">
        <v>944</v>
      </c>
      <c r="D4753" s="10" t="s">
        <v>942</v>
      </c>
      <c r="E4753" s="11" t="str">
        <f t="array" ref="E4753">_xlfn.XLOOKUP(D4753,Insumos!B:B,Insumos!C:$C)</f>
        <v>UN</v>
      </c>
      <c r="F4753" s="14">
        <v>1</v>
      </c>
      <c r="G4753" s="87">
        <f t="array" ref="G4753">IF(B4753="insumo",_xlfn.XLOOKUP($D4753,Insumos!$B$1:$B$996,Insumos!$D$1:$D$996),"")</f>
        <v>0.34</v>
      </c>
      <c r="H4753" s="87">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70</v>
      </c>
      <c r="C4754" s="10" t="s">
        <v>944</v>
      </c>
      <c r="D4754" s="10" t="s">
        <v>947</v>
      </c>
      <c r="E4754" s="11" t="str">
        <f t="array" ref="E4754">_xlfn.XLOOKUP(D4754,Insumos!B:B,Insumos!C:$C)</f>
        <v>UN</v>
      </c>
      <c r="F4754" s="14">
        <v>2</v>
      </c>
      <c r="G4754" s="87">
        <f t="array" ref="G4754">IF(B4754="insumo",_xlfn.XLOOKUP($D4754,Insumos!$B$1:$B$996,Insumos!$D$1:$D$996),"")</f>
        <v>5.95</v>
      </c>
      <c r="H4754" s="87">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70</v>
      </c>
      <c r="C4755" s="10" t="s">
        <v>944</v>
      </c>
      <c r="D4755" s="10" t="s">
        <v>937</v>
      </c>
      <c r="E4755" s="11" t="str">
        <f t="array" ref="E4755">_xlfn.XLOOKUP(D4755,Insumos!B:B,Insumos!C:$C)</f>
        <v>UN</v>
      </c>
      <c r="F4755" s="14">
        <v>0.25</v>
      </c>
      <c r="G4755" s="87">
        <f t="array" ref="G4755">IF(B4755="insumo",_xlfn.XLOOKUP($D4755,Insumos!$B$1:$B$996,Insumos!$D$1:$D$996),"")</f>
        <v>75</v>
      </c>
      <c r="H4755" s="87">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70</v>
      </c>
      <c r="C4756" s="10" t="s">
        <v>944</v>
      </c>
      <c r="D4756" s="10" t="s">
        <v>938</v>
      </c>
      <c r="E4756" s="11" t="str">
        <f t="array" ref="E4756">_xlfn.XLOOKUP(D4756,Insumos!B:B,Insumos!C:$C)</f>
        <v>UN</v>
      </c>
      <c r="F4756" s="14">
        <v>1</v>
      </c>
      <c r="G4756" s="87">
        <f t="array" ref="G4756">IF(B4756="insumo",_xlfn.XLOOKUP($D4756,Insumos!$B$1:$B$996,Insumos!$D$1:$D$996),"")</f>
        <v>26.9</v>
      </c>
      <c r="H4756" s="87">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70</v>
      </c>
      <c r="C4757" s="10" t="s">
        <v>944</v>
      </c>
      <c r="D4757" s="10" t="s">
        <v>948</v>
      </c>
      <c r="E4757" s="11" t="str">
        <f t="array" ref="E4757">_xlfn.XLOOKUP(D4757,Insumos!B:B,Insumos!C:$C)</f>
        <v>UN</v>
      </c>
      <c r="F4757" s="14">
        <v>1</v>
      </c>
      <c r="G4757" s="87">
        <f t="array" ref="G4757">IF(B4757="insumo",_xlfn.XLOOKUP($D4757,Insumos!$B$1:$B$996,Insumos!$D$1:$D$996),"")</f>
        <v>8.9</v>
      </c>
      <c r="H4757" s="87">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70</v>
      </c>
      <c r="C4758" s="10" t="s">
        <v>944</v>
      </c>
      <c r="D4758" s="10" t="s">
        <v>949</v>
      </c>
      <c r="E4758" s="11" t="str">
        <f t="array" ref="E4758">_xlfn.XLOOKUP(D4758,Insumos!B:B,Insumos!C:$C)</f>
        <v>UN</v>
      </c>
      <c r="F4758" s="14">
        <v>1</v>
      </c>
      <c r="G4758" s="87">
        <f t="array" ref="G4758">IF(B4758="insumo",_xlfn.XLOOKUP($D4758,Insumos!$B$1:$B$996,Insumos!$D$1:$D$996),"")</f>
        <v>32</v>
      </c>
      <c r="H4758" s="87">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332">
        <v>1</v>
      </c>
      <c r="B4759" s="332" t="s">
        <v>67</v>
      </c>
      <c r="C4759" s="349" t="s">
        <v>950</v>
      </c>
      <c r="D4759" s="349" t="s">
        <v>950</v>
      </c>
      <c r="E4759" s="333" t="s">
        <v>196</v>
      </c>
      <c r="F4759" s="350" t="s">
        <v>399</v>
      </c>
      <c r="G4759" s="334" t="str">
        <f t="array" ref="G4759">IF(B4759="insumo",_xlfn.XLOOKUP($D4759,Insumos!$B$1:$B$996,Insumos!$D$1:$D$996),"")</f>
        <v/>
      </c>
      <c r="H4759" s="334">
        <v>1737.89</v>
      </c>
      <c r="I4759" s="335">
        <v>0</v>
      </c>
      <c r="J4759" s="335">
        <v>0</v>
      </c>
      <c r="K4759" s="335"/>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70</v>
      </c>
      <c r="C4760" s="10" t="s">
        <v>950</v>
      </c>
      <c r="D4760" s="10" t="s">
        <v>951</v>
      </c>
      <c r="E4760" s="11" t="str">
        <f t="array" ref="E4760">_xlfn.XLOOKUP(D4760,Insumos!B:B,Insumos!C:$C)</f>
        <v>UN</v>
      </c>
      <c r="F4760" s="14">
        <v>1</v>
      </c>
      <c r="G4760" s="87">
        <f t="array" ref="G4760">IF(B4760="insumo",_xlfn.XLOOKUP($D4760,Insumos!$B$1:$B$996,Insumos!$D$1:$D$996),"")</f>
        <v>1574.1</v>
      </c>
      <c r="H4760" s="87">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70</v>
      </c>
      <c r="C4761" s="10" t="s">
        <v>950</v>
      </c>
      <c r="D4761" s="10" t="s">
        <v>946</v>
      </c>
      <c r="E4761" s="11" t="str">
        <f t="array" ref="E4761">_xlfn.XLOOKUP(D4761,Insumos!B:B,Insumos!C:$C)</f>
        <v>UN</v>
      </c>
      <c r="F4761" s="14">
        <v>1</v>
      </c>
      <c r="G4761" s="87">
        <f t="array" ref="G4761">IF(B4761="insumo",_xlfn.XLOOKUP($D4761,Insumos!$B$1:$B$996,Insumos!$D$1:$D$996),"")</f>
        <v>65</v>
      </c>
      <c r="H4761" s="87">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70</v>
      </c>
      <c r="C4762" s="10" t="s">
        <v>950</v>
      </c>
      <c r="D4762" s="10" t="s">
        <v>942</v>
      </c>
      <c r="E4762" s="11" t="str">
        <f t="array" ref="E4762">_xlfn.XLOOKUP(D4762,Insumos!B:B,Insumos!C:$C)</f>
        <v>UN</v>
      </c>
      <c r="F4762" s="14">
        <v>1</v>
      </c>
      <c r="G4762" s="87">
        <f t="array" ref="G4762">IF(B4762="insumo",_xlfn.XLOOKUP($D4762,Insumos!$B$1:$B$996,Insumos!$D$1:$D$996),"")</f>
        <v>0.34</v>
      </c>
      <c r="H4762" s="87">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70</v>
      </c>
      <c r="C4763" s="10" t="s">
        <v>950</v>
      </c>
      <c r="D4763" s="10" t="s">
        <v>947</v>
      </c>
      <c r="E4763" s="11" t="str">
        <f t="array" ref="E4763">_xlfn.XLOOKUP(D4763,Insumos!B:B,Insumos!C:$C)</f>
        <v>UN</v>
      </c>
      <c r="F4763" s="14">
        <v>2</v>
      </c>
      <c r="G4763" s="87">
        <f t="array" ref="G4763">IF(B4763="insumo",_xlfn.XLOOKUP($D4763,Insumos!$B$1:$B$996,Insumos!$D$1:$D$996),"")</f>
        <v>5.95</v>
      </c>
      <c r="H4763" s="87">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70</v>
      </c>
      <c r="C4764" s="10" t="s">
        <v>950</v>
      </c>
      <c r="D4764" s="10" t="s">
        <v>937</v>
      </c>
      <c r="E4764" s="11" t="str">
        <f t="array" ref="E4764">_xlfn.XLOOKUP(D4764,Insumos!B:B,Insumos!C:$C)</f>
        <v>UN</v>
      </c>
      <c r="F4764" s="14">
        <v>0.25</v>
      </c>
      <c r="G4764" s="87">
        <f t="array" ref="G4764">IF(B4764="insumo",_xlfn.XLOOKUP($D4764,Insumos!$B$1:$B$996,Insumos!$D$1:$D$996),"")</f>
        <v>75</v>
      </c>
      <c r="H4764" s="87">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70</v>
      </c>
      <c r="C4765" s="10" t="s">
        <v>950</v>
      </c>
      <c r="D4765" s="10" t="s">
        <v>938</v>
      </c>
      <c r="E4765" s="11" t="str">
        <f t="array" ref="E4765">_xlfn.XLOOKUP(D4765,Insumos!B:B,Insumos!C:$C)</f>
        <v>UN</v>
      </c>
      <c r="F4765" s="14">
        <v>1</v>
      </c>
      <c r="G4765" s="87">
        <f t="array" ref="G4765">IF(B4765="insumo",_xlfn.XLOOKUP($D4765,Insumos!$B$1:$B$996,Insumos!$D$1:$D$996),"")</f>
        <v>26.9</v>
      </c>
      <c r="H4765" s="87">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70</v>
      </c>
      <c r="C4766" s="10" t="s">
        <v>950</v>
      </c>
      <c r="D4766" s="10" t="s">
        <v>948</v>
      </c>
      <c r="E4766" s="11" t="str">
        <f t="array" ref="E4766">_xlfn.XLOOKUP(D4766,Insumos!B:B,Insumos!C:$C)</f>
        <v>UN</v>
      </c>
      <c r="F4766" s="14">
        <v>1</v>
      </c>
      <c r="G4766" s="87">
        <f t="array" ref="G4766">IF(B4766="insumo",_xlfn.XLOOKUP($D4766,Insumos!$B$1:$B$996,Insumos!$D$1:$D$996),"")</f>
        <v>8.9</v>
      </c>
      <c r="H4766" s="87">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70</v>
      </c>
      <c r="C4767" s="10" t="s">
        <v>950</v>
      </c>
      <c r="D4767" s="10" t="s">
        <v>949</v>
      </c>
      <c r="E4767" s="11" t="str">
        <f t="array" ref="E4767">_xlfn.XLOOKUP(D4767,Insumos!B:B,Insumos!C:$C)</f>
        <v>UN</v>
      </c>
      <c r="F4767" s="14">
        <v>1</v>
      </c>
      <c r="G4767" s="87">
        <f t="array" ref="G4767">IF(B4767="insumo",_xlfn.XLOOKUP($D4767,Insumos!$B$1:$B$996,Insumos!$D$1:$D$996),"")</f>
        <v>32</v>
      </c>
      <c r="H4767" s="87">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332">
        <v>1</v>
      </c>
      <c r="B4768" s="332" t="s">
        <v>67</v>
      </c>
      <c r="C4768" s="349" t="s">
        <v>952</v>
      </c>
      <c r="D4768" s="349" t="s">
        <v>952</v>
      </c>
      <c r="E4768" s="333" t="s">
        <v>196</v>
      </c>
      <c r="F4768" s="350" t="s">
        <v>399</v>
      </c>
      <c r="G4768" s="334" t="str">
        <f t="array" ref="G4768">IF(B4768="insumo",_xlfn.XLOOKUP($D4768,Insumos!$B$1:$B$996,Insumos!$D$1:$D$996),"")</f>
        <v/>
      </c>
      <c r="H4768" s="334">
        <v>5832.1220000000003</v>
      </c>
      <c r="I4768" s="351">
        <v>0</v>
      </c>
      <c r="J4768" s="351">
        <v>0</v>
      </c>
      <c r="K4768" s="351"/>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70</v>
      </c>
      <c r="C4769" s="10" t="s">
        <v>952</v>
      </c>
      <c r="D4769" s="10" t="s">
        <v>953</v>
      </c>
      <c r="E4769" s="11" t="str">
        <f t="array" ref="E4769">_xlfn.XLOOKUP(D4769,Insumos!B:B,Insumos!C:$C)</f>
        <v>UN</v>
      </c>
      <c r="F4769" s="14">
        <v>1</v>
      </c>
      <c r="G4769" s="87">
        <f t="array" ref="G4769">IF(B4769="insumo",_xlfn.XLOOKUP($D4769,Insumos!$B$1:$B$996,Insumos!$D$1:$D$996),"")</f>
        <v>2750.38</v>
      </c>
      <c r="H4769" s="87">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70</v>
      </c>
      <c r="C4770" s="10" t="s">
        <v>952</v>
      </c>
      <c r="D4770" s="10" t="s">
        <v>954</v>
      </c>
      <c r="E4770" s="11" t="str">
        <f t="array" ref="E4770">_xlfn.XLOOKUP(D4770,Insumos!B:B,Insumos!C:$C)</f>
        <v>UN</v>
      </c>
      <c r="F4770" s="14">
        <v>1</v>
      </c>
      <c r="G4770" s="87">
        <f t="array" ref="G4770">IF(B4770="insumo",_xlfn.XLOOKUP($D4770,Insumos!$B$1:$B$996,Insumos!$D$1:$D$996),"")</f>
        <v>71.55</v>
      </c>
      <c r="H4770" s="87">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70</v>
      </c>
      <c r="C4771" s="10" t="s">
        <v>952</v>
      </c>
      <c r="D4771" s="10" t="s">
        <v>955</v>
      </c>
      <c r="E4771" s="11" t="str">
        <f t="array" ref="E4771">_xlfn.XLOOKUP(D4771,Insumos!B:B,Insumos!C:$C)</f>
        <v>UN</v>
      </c>
      <c r="F4771" s="14">
        <v>1</v>
      </c>
      <c r="G4771" s="87">
        <f t="array" ref="G4771">IF(B4771="insumo",_xlfn.XLOOKUP($D4771,Insumos!$B$1:$B$996,Insumos!$D$1:$D$996),"")</f>
        <v>2117.89</v>
      </c>
      <c r="H4771" s="87">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70</v>
      </c>
      <c r="C4772" s="10" t="s">
        <v>952</v>
      </c>
      <c r="D4772" s="10" t="s">
        <v>956</v>
      </c>
      <c r="E4772" s="11" t="str">
        <f t="array" ref="E4772">_xlfn.XLOOKUP(D4772,Insumos!B:B,Insumos!C:$C)</f>
        <v>UN</v>
      </c>
      <c r="F4772" s="14">
        <v>1</v>
      </c>
      <c r="G4772" s="87">
        <f t="array" ref="G4772">IF(B4772="insumo",_xlfn.XLOOKUP($D4772,Insumos!$B$1:$B$996,Insumos!$D$1:$D$996),"")</f>
        <v>225.38</v>
      </c>
      <c r="H4772" s="87">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70</v>
      </c>
      <c r="C4773" s="10" t="s">
        <v>952</v>
      </c>
      <c r="D4773" s="10" t="s">
        <v>957</v>
      </c>
      <c r="E4773" s="11" t="str">
        <f t="array" ref="E4773">_xlfn.XLOOKUP(D4773,Insumos!B:B,Insumos!C:$C)</f>
        <v>UN</v>
      </c>
      <c r="F4773" s="14">
        <v>1</v>
      </c>
      <c r="G4773" s="87">
        <f t="array" ref="G4773">IF(B4773="insumo",_xlfn.XLOOKUP($D4773,Insumos!$B$1:$B$996,Insumos!$D$1:$D$996),"")</f>
        <v>256.89999999999998</v>
      </c>
      <c r="H4773" s="87">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70</v>
      </c>
      <c r="C4774" s="10" t="s">
        <v>952</v>
      </c>
      <c r="D4774" s="10" t="s">
        <v>958</v>
      </c>
      <c r="E4774" s="11" t="str">
        <f t="array" ref="E4774">_xlfn.XLOOKUP(D4774,Insumos!B:B,Insumos!C:$C)</f>
        <v>UN</v>
      </c>
      <c r="F4774" s="14">
        <v>1</v>
      </c>
      <c r="G4774" s="87">
        <f t="array" ref="G4774">IF(B4774="insumo",_xlfn.XLOOKUP($D4774,Insumos!$B$1:$B$996,Insumos!$D$1:$D$996),"")</f>
        <v>196.76</v>
      </c>
      <c r="H4774" s="87">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70</v>
      </c>
      <c r="C4775" s="10" t="s">
        <v>952</v>
      </c>
      <c r="D4775" s="10" t="s">
        <v>959</v>
      </c>
      <c r="E4775" s="11" t="str">
        <f t="array" ref="E4775">_xlfn.XLOOKUP(D4775,Insumos!B:B,Insumos!C:$C)</f>
        <v>UN</v>
      </c>
      <c r="F4775" s="14">
        <v>6</v>
      </c>
      <c r="G4775" s="87">
        <f t="array" ref="G4775">IF(B4775="insumo",_xlfn.XLOOKUP($D4775,Insumos!$B$1:$B$996,Insumos!$D$1:$D$996),"")</f>
        <v>0.6</v>
      </c>
      <c r="H4775" s="87">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70</v>
      </c>
      <c r="C4776" s="10" t="s">
        <v>952</v>
      </c>
      <c r="D4776" s="10" t="s">
        <v>960</v>
      </c>
      <c r="E4776" s="11" t="str">
        <f t="array" ref="E4776">_xlfn.XLOOKUP(D4776,Insumos!B:B,Insumos!C:$C)</f>
        <v>UN</v>
      </c>
      <c r="F4776" s="14">
        <v>6</v>
      </c>
      <c r="G4776" s="87">
        <f t="array" ref="G4776">IF(B4776="insumo",_xlfn.XLOOKUP($D4776,Insumos!$B$1:$B$996,Insumos!$D$1:$D$996),"")</f>
        <v>24.95</v>
      </c>
      <c r="H4776" s="87">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70</v>
      </c>
      <c r="C4777" s="10" t="s">
        <v>952</v>
      </c>
      <c r="D4777" s="10" t="s">
        <v>935</v>
      </c>
      <c r="E4777" s="11" t="str">
        <f t="array" ref="E4777">_xlfn.XLOOKUP(D4777,Insumos!B:B,Insumos!C:$C)</f>
        <v>M</v>
      </c>
      <c r="F4777" s="14">
        <v>0.3</v>
      </c>
      <c r="G4777" s="87">
        <f t="array" ref="G4777">IF(B4777="insumo",_xlfn.XLOOKUP($D4777,Insumos!$B$1:$B$996,Insumos!$D$1:$D$996),"")</f>
        <v>0.24</v>
      </c>
      <c r="H4777" s="87">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70</v>
      </c>
      <c r="C4778" s="10" t="s">
        <v>952</v>
      </c>
      <c r="D4778" s="10" t="s">
        <v>943</v>
      </c>
      <c r="E4778" s="11" t="str">
        <f t="array" ref="E4778">_xlfn.XLOOKUP(D4778,Insumos!B:B,Insumos!C:$C)</f>
        <v>UN</v>
      </c>
      <c r="F4778" s="14">
        <v>0.4</v>
      </c>
      <c r="G4778" s="87">
        <f t="array" ref="G4778">IF(B4778="insumo",_xlfn.XLOOKUP($D4778,Insumos!$B$1:$B$996,Insumos!$D$1:$D$996),"")</f>
        <v>35.6</v>
      </c>
      <c r="H4778" s="87">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70</v>
      </c>
      <c r="C4779" s="10" t="s">
        <v>952</v>
      </c>
      <c r="D4779" s="10" t="s">
        <v>937</v>
      </c>
      <c r="E4779" s="11" t="str">
        <f t="array" ref="E4779">_xlfn.XLOOKUP(D4779,Insumos!B:B,Insumos!C:$C)</f>
        <v>UN</v>
      </c>
      <c r="F4779" s="14">
        <v>0.25</v>
      </c>
      <c r="G4779" s="87">
        <f t="array" ref="G4779">IF(B4779="insumo",_xlfn.XLOOKUP($D4779,Insumos!$B$1:$B$996,Insumos!$D$1:$D$996),"")</f>
        <v>75</v>
      </c>
      <c r="H4779" s="87">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70</v>
      </c>
      <c r="C4780" s="10" t="s">
        <v>952</v>
      </c>
      <c r="D4780" s="10" t="s">
        <v>938</v>
      </c>
      <c r="E4780" s="11" t="str">
        <f t="array" ref="E4780">_xlfn.XLOOKUP(D4780,Insumos!B:B,Insumos!C:$C)</f>
        <v>UN</v>
      </c>
      <c r="F4780" s="14">
        <v>1</v>
      </c>
      <c r="G4780" s="87">
        <f t="array" ref="G4780">IF(B4780="insumo",_xlfn.XLOOKUP($D4780,Insumos!$B$1:$B$996,Insumos!$D$1:$D$996),"")</f>
        <v>26.9</v>
      </c>
      <c r="H4780" s="87">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332">
        <v>1</v>
      </c>
      <c r="B4781" s="332" t="s">
        <v>67</v>
      </c>
      <c r="C4781" s="349" t="s">
        <v>961</v>
      </c>
      <c r="D4781" s="349" t="s">
        <v>961</v>
      </c>
      <c r="E4781" s="333" t="s">
        <v>196</v>
      </c>
      <c r="F4781" s="350" t="s">
        <v>399</v>
      </c>
      <c r="G4781" s="334" t="str">
        <f t="array" ref="G4781">IF(B4781="insumo",_xlfn.XLOOKUP($D4781,Insumos!$B$1:$B$996,Insumos!$D$1:$D$996),"")</f>
        <v/>
      </c>
      <c r="H4781" s="334">
        <v>1126.922</v>
      </c>
      <c r="I4781" s="351">
        <v>0</v>
      </c>
      <c r="J4781" s="351">
        <v>0</v>
      </c>
      <c r="K4781" s="351"/>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70</v>
      </c>
      <c r="C4782" s="10" t="s">
        <v>961</v>
      </c>
      <c r="D4782" s="10" t="s">
        <v>962</v>
      </c>
      <c r="E4782" s="11" t="str">
        <f t="array" ref="E4782">_xlfn.XLOOKUP(D4782,Insumos!B:B,Insumos!C:$C)</f>
        <v>UN</v>
      </c>
      <c r="F4782" s="14">
        <v>1</v>
      </c>
      <c r="G4782" s="87">
        <f t="array" ref="G4782">IF(B4782="insumo",_xlfn.XLOOKUP($D4782,Insumos!$B$1:$B$996,Insumos!$D$1:$D$996),"")</f>
        <v>460</v>
      </c>
      <c r="H4782" s="87">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70</v>
      </c>
      <c r="C4783" s="10" t="s">
        <v>961</v>
      </c>
      <c r="D4783" s="10" t="s">
        <v>957</v>
      </c>
      <c r="E4783" s="11" t="str">
        <f t="array" ref="E4783">_xlfn.XLOOKUP(D4783,Insumos!B:B,Insumos!C:$C)</f>
        <v>UN</v>
      </c>
      <c r="F4783" s="14">
        <v>1</v>
      </c>
      <c r="G4783" s="87">
        <f t="array" ref="G4783">IF(B4783="insumo",_xlfn.XLOOKUP($D4783,Insumos!$B$1:$B$996,Insumos!$D$1:$D$996),"")</f>
        <v>256.89999999999998</v>
      </c>
      <c r="H4783" s="87">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70</v>
      </c>
      <c r="C4784" s="10" t="s">
        <v>961</v>
      </c>
      <c r="D4784" s="10" t="s">
        <v>958</v>
      </c>
      <c r="E4784" s="11" t="str">
        <f t="array" ref="E4784">_xlfn.XLOOKUP(D4784,Insumos!B:B,Insumos!C:$C)</f>
        <v>UN</v>
      </c>
      <c r="F4784" s="14">
        <v>1</v>
      </c>
      <c r="G4784" s="87">
        <f t="array" ref="G4784">IF(B4784="insumo",_xlfn.XLOOKUP($D4784,Insumos!$B$1:$B$996,Insumos!$D$1:$D$996),"")</f>
        <v>196.76</v>
      </c>
      <c r="H4784" s="87">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70</v>
      </c>
      <c r="C4785" s="10" t="s">
        <v>961</v>
      </c>
      <c r="D4785" s="10" t="s">
        <v>959</v>
      </c>
      <c r="E4785" s="11" t="str">
        <f t="array" ref="E4785">_xlfn.XLOOKUP(D4785,Insumos!B:B,Insumos!C:$C)</f>
        <v>UN</v>
      </c>
      <c r="F4785" s="14">
        <v>6</v>
      </c>
      <c r="G4785" s="87">
        <f t="array" ref="G4785">IF(B4785="insumo",_xlfn.XLOOKUP($D4785,Insumos!$B$1:$B$996,Insumos!$D$1:$D$996),"")</f>
        <v>0.6</v>
      </c>
      <c r="H4785" s="87">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70</v>
      </c>
      <c r="C4786" s="10" t="s">
        <v>961</v>
      </c>
      <c r="D4786" s="10" t="s">
        <v>960</v>
      </c>
      <c r="E4786" s="11" t="str">
        <f t="array" ref="E4786">_xlfn.XLOOKUP(D4786,Insumos!B:B,Insumos!C:$C)</f>
        <v>UN</v>
      </c>
      <c r="F4786" s="14">
        <v>6</v>
      </c>
      <c r="G4786" s="87">
        <f t="array" ref="G4786">IF(B4786="insumo",_xlfn.XLOOKUP($D4786,Insumos!$B$1:$B$996,Insumos!$D$1:$D$996),"")</f>
        <v>24.95</v>
      </c>
      <c r="H4786" s="87">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70</v>
      </c>
      <c r="C4787" s="10" t="s">
        <v>961</v>
      </c>
      <c r="D4787" s="10" t="s">
        <v>935</v>
      </c>
      <c r="E4787" s="11" t="str">
        <f t="array" ref="E4787">_xlfn.XLOOKUP(D4787,Insumos!B:B,Insumos!C:$C)</f>
        <v>M</v>
      </c>
      <c r="F4787" s="14">
        <v>0.3</v>
      </c>
      <c r="G4787" s="87">
        <f t="array" ref="G4787">IF(B4787="insumo",_xlfn.XLOOKUP($D4787,Insumos!$B$1:$B$996,Insumos!$D$1:$D$996),"")</f>
        <v>0.24</v>
      </c>
      <c r="H4787" s="87">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70</v>
      </c>
      <c r="C4788" s="10" t="s">
        <v>961</v>
      </c>
      <c r="D4788" s="10" t="s">
        <v>943</v>
      </c>
      <c r="E4788" s="11" t="str">
        <f t="array" ref="E4788">_xlfn.XLOOKUP(D4788,Insumos!B:B,Insumos!C:$C)</f>
        <v>UN</v>
      </c>
      <c r="F4788" s="14">
        <v>0.4</v>
      </c>
      <c r="G4788" s="87">
        <f t="array" ref="G4788">IF(B4788="insumo",_xlfn.XLOOKUP($D4788,Insumos!$B$1:$B$996,Insumos!$D$1:$D$996),"")</f>
        <v>35.6</v>
      </c>
      <c r="H4788" s="87">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70</v>
      </c>
      <c r="C4789" s="10" t="s">
        <v>961</v>
      </c>
      <c r="D4789" s="10" t="s">
        <v>937</v>
      </c>
      <c r="E4789" s="11" t="str">
        <f t="array" ref="E4789">_xlfn.XLOOKUP(D4789,Insumos!B:B,Insumos!C:$C)</f>
        <v>UN</v>
      </c>
      <c r="F4789" s="14">
        <v>0.25</v>
      </c>
      <c r="G4789" s="87">
        <f t="array" ref="G4789">IF(B4789="insumo",_xlfn.XLOOKUP($D4789,Insumos!$B$1:$B$996,Insumos!$D$1:$D$996),"")</f>
        <v>75</v>
      </c>
      <c r="H4789" s="87">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70</v>
      </c>
      <c r="C4790" s="10" t="s">
        <v>961</v>
      </c>
      <c r="D4790" s="10" t="s">
        <v>938</v>
      </c>
      <c r="E4790" s="11" t="str">
        <f t="array" ref="E4790">_xlfn.XLOOKUP(D4790,Insumos!B:B,Insumos!C:$C)</f>
        <v>UN</v>
      </c>
      <c r="F4790" s="14">
        <v>1</v>
      </c>
      <c r="G4790" s="87">
        <f t="array" ref="G4790">IF(B4790="insumo",_xlfn.XLOOKUP($D4790,Insumos!$B$1:$B$996,Insumos!$D$1:$D$996),"")</f>
        <v>26.9</v>
      </c>
      <c r="H4790" s="87">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332">
        <v>1</v>
      </c>
      <c r="B4791" s="332" t="s">
        <v>67</v>
      </c>
      <c r="C4791" s="349" t="s">
        <v>963</v>
      </c>
      <c r="D4791" s="349" t="s">
        <v>963</v>
      </c>
      <c r="E4791" s="333" t="s">
        <v>196</v>
      </c>
      <c r="F4791" s="350" t="s">
        <v>399</v>
      </c>
      <c r="G4791" s="334" t="str">
        <f t="array" ref="G4791">IF(B4791="insumo",_xlfn.XLOOKUP($D4791,Insumos!$B$1:$B$996,Insumos!$D$1:$D$996),"")</f>
        <v/>
      </c>
      <c r="H4791" s="334">
        <v>709.96199999999999</v>
      </c>
      <c r="I4791" s="351">
        <v>0</v>
      </c>
      <c r="J4791" s="351">
        <v>0</v>
      </c>
      <c r="K4791" s="351"/>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70</v>
      </c>
      <c r="C4792" s="10" t="s">
        <v>963</v>
      </c>
      <c r="D4792" s="10" t="s">
        <v>964</v>
      </c>
      <c r="E4792" s="11" t="str">
        <f t="array" ref="E4792">_xlfn.XLOOKUP(D4792,Insumos!B:B,Insumos!C:$C)</f>
        <v>UN</v>
      </c>
      <c r="F4792" s="14">
        <v>1</v>
      </c>
      <c r="G4792" s="87">
        <f t="array" ref="G4792">IF(B4792="insumo",_xlfn.XLOOKUP($D4792,Insumos!$B$1:$B$996,Insumos!$D$1:$D$996),"")</f>
        <v>203.9</v>
      </c>
      <c r="H4792" s="87">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70</v>
      </c>
      <c r="C4793" s="10" t="s">
        <v>963</v>
      </c>
      <c r="D4793" s="10" t="s">
        <v>957</v>
      </c>
      <c r="E4793" s="11" t="str">
        <f t="array" ref="E4793">_xlfn.XLOOKUP(D4793,Insumos!B:B,Insumos!C:$C)</f>
        <v>UN</v>
      </c>
      <c r="F4793" s="14">
        <v>1</v>
      </c>
      <c r="G4793" s="87">
        <f t="array" ref="G4793">IF(B4793="insumo",_xlfn.XLOOKUP($D4793,Insumos!$B$1:$B$996,Insumos!$D$1:$D$996),"")</f>
        <v>256.89999999999998</v>
      </c>
      <c r="H4793" s="87">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70</v>
      </c>
      <c r="C4794" s="10" t="s">
        <v>963</v>
      </c>
      <c r="D4794" s="10" t="s">
        <v>965</v>
      </c>
      <c r="E4794" s="11" t="str">
        <f t="array" ref="E4794">_xlfn.XLOOKUP(D4794,Insumos!B:B,Insumos!C:$C)</f>
        <v>UN</v>
      </c>
      <c r="F4794" s="14">
        <v>1</v>
      </c>
      <c r="G4794" s="87">
        <f t="array" ref="G4794">IF(B4794="insumo",_xlfn.XLOOKUP($D4794,Insumos!$B$1:$B$996,Insumos!$D$1:$D$996),"")</f>
        <v>35.9</v>
      </c>
      <c r="H4794" s="87">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70</v>
      </c>
      <c r="C4795" s="10" t="s">
        <v>963</v>
      </c>
      <c r="D4795" s="10" t="s">
        <v>959</v>
      </c>
      <c r="E4795" s="11" t="str">
        <f t="array" ref="E4795">_xlfn.XLOOKUP(D4795,Insumos!B:B,Insumos!C:$C)</f>
        <v>UN</v>
      </c>
      <c r="F4795" s="14">
        <v>6</v>
      </c>
      <c r="G4795" s="87">
        <f t="array" ref="G4795">IF(B4795="insumo",_xlfn.XLOOKUP($D4795,Insumos!$B$1:$B$996,Insumos!$D$1:$D$996),"")</f>
        <v>0.6</v>
      </c>
      <c r="H4795" s="87">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70</v>
      </c>
      <c r="C4796" s="10" t="s">
        <v>963</v>
      </c>
      <c r="D4796" s="10" t="s">
        <v>960</v>
      </c>
      <c r="E4796" s="11" t="str">
        <f t="array" ref="E4796">_xlfn.XLOOKUP(D4796,Insumos!B:B,Insumos!C:$C)</f>
        <v>UN</v>
      </c>
      <c r="F4796" s="14">
        <v>6</v>
      </c>
      <c r="G4796" s="87">
        <f t="array" ref="G4796">IF(B4796="insumo",_xlfn.XLOOKUP($D4796,Insumos!$B$1:$B$996,Insumos!$D$1:$D$996),"")</f>
        <v>24.95</v>
      </c>
      <c r="H4796" s="87">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70</v>
      </c>
      <c r="C4797" s="10" t="s">
        <v>963</v>
      </c>
      <c r="D4797" s="10" t="s">
        <v>935</v>
      </c>
      <c r="E4797" s="11" t="str">
        <f t="array" ref="E4797">_xlfn.XLOOKUP(D4797,Insumos!B:B,Insumos!C:$C)</f>
        <v>M</v>
      </c>
      <c r="F4797" s="14">
        <v>0.3</v>
      </c>
      <c r="G4797" s="87">
        <f t="array" ref="G4797">IF(B4797="insumo",_xlfn.XLOOKUP($D4797,Insumos!$B$1:$B$996,Insumos!$D$1:$D$996),"")</f>
        <v>0.24</v>
      </c>
      <c r="H4797" s="87">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70</v>
      </c>
      <c r="C4798" s="10" t="s">
        <v>963</v>
      </c>
      <c r="D4798" s="10" t="s">
        <v>943</v>
      </c>
      <c r="E4798" s="11" t="str">
        <f t="array" ref="E4798">_xlfn.XLOOKUP(D4798,Insumos!B:B,Insumos!C:$C)</f>
        <v>UN</v>
      </c>
      <c r="F4798" s="14">
        <v>0.4</v>
      </c>
      <c r="G4798" s="87">
        <f t="array" ref="G4798">IF(B4798="insumo",_xlfn.XLOOKUP($D4798,Insumos!$B$1:$B$996,Insumos!$D$1:$D$996),"")</f>
        <v>35.6</v>
      </c>
      <c r="H4798" s="87">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70</v>
      </c>
      <c r="C4799" s="10" t="s">
        <v>963</v>
      </c>
      <c r="D4799" s="10" t="s">
        <v>937</v>
      </c>
      <c r="E4799" s="11" t="str">
        <f t="array" ref="E4799">_xlfn.XLOOKUP(D4799,Insumos!B:B,Insumos!C:$C)</f>
        <v>UN</v>
      </c>
      <c r="F4799" s="14">
        <v>0.25</v>
      </c>
      <c r="G4799" s="87">
        <f t="array" ref="G4799">IF(B4799="insumo",_xlfn.XLOOKUP($D4799,Insumos!$B$1:$B$996,Insumos!$D$1:$D$996),"")</f>
        <v>75</v>
      </c>
      <c r="H4799" s="87">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70</v>
      </c>
      <c r="C4800" s="10" t="s">
        <v>963</v>
      </c>
      <c r="D4800" s="10" t="s">
        <v>938</v>
      </c>
      <c r="E4800" s="11" t="str">
        <f t="array" ref="E4800">_xlfn.XLOOKUP(D4800,Insumos!B:B,Insumos!C:$C)</f>
        <v>UN</v>
      </c>
      <c r="F4800" s="14">
        <v>1</v>
      </c>
      <c r="G4800" s="87">
        <f t="array" ref="G4800">IF(B4800="insumo",_xlfn.XLOOKUP($D4800,Insumos!$B$1:$B$996,Insumos!$D$1:$D$996),"")</f>
        <v>26.9</v>
      </c>
      <c r="H4800" s="87">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336">
        <v>1</v>
      </c>
      <c r="B4801" s="336" t="s">
        <v>67</v>
      </c>
      <c r="C4801" s="352" t="s">
        <v>1933</v>
      </c>
      <c r="D4801" s="352" t="s">
        <v>1933</v>
      </c>
      <c r="E4801" s="337" t="s">
        <v>196</v>
      </c>
      <c r="F4801" s="353" t="s">
        <v>399</v>
      </c>
      <c r="G4801" s="338" t="str">
        <f t="array" ref="G4801">IF(B4801="insumo",_xlfn.XLOOKUP($D4801,Insumos!$B$1:$B$996,Insumos!$D$1:$D$996),"")</f>
        <v/>
      </c>
      <c r="H4801" s="338">
        <v>721.06200000000001</v>
      </c>
      <c r="I4801" s="354">
        <v>0</v>
      </c>
      <c r="J4801" s="354">
        <v>0</v>
      </c>
      <c r="K4801" s="354"/>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77">
        <v>1</v>
      </c>
      <c r="B4802" s="77" t="s">
        <v>70</v>
      </c>
      <c r="C4802" s="77" t="s">
        <v>1933</v>
      </c>
      <c r="D4802" s="77" t="s">
        <v>1934</v>
      </c>
      <c r="E4802" s="11" t="str">
        <f t="array" ref="E4802">_xlfn.XLOOKUP(D4802,Insumos!B:B,Insumos!C:$C)</f>
        <v>UN</v>
      </c>
      <c r="F4802" s="81">
        <v>1</v>
      </c>
      <c r="G4802" s="87">
        <f t="array" ref="G4802">IF(B4802="insumo",_xlfn.XLOOKUP($D4802,Insumos!$B$1:$B$996,Insumos!$D$1:$D$996),"")</f>
        <v>215</v>
      </c>
      <c r="H4802" s="87">
        <v>215</v>
      </c>
      <c r="I4802" s="79">
        <v>0</v>
      </c>
      <c r="J4802" s="79">
        <v>0</v>
      </c>
      <c r="K4802" s="79"/>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77">
        <v>5</v>
      </c>
      <c r="B4803" s="77" t="s">
        <v>70</v>
      </c>
      <c r="C4803" s="77" t="s">
        <v>1933</v>
      </c>
      <c r="D4803" s="77" t="s">
        <v>957</v>
      </c>
      <c r="E4803" s="11" t="str">
        <f t="array" ref="E4803">_xlfn.XLOOKUP(D4803,Insumos!B:B,Insumos!C:$C)</f>
        <v>UN</v>
      </c>
      <c r="F4803" s="81">
        <v>1</v>
      </c>
      <c r="G4803" s="87">
        <f t="array" ref="G4803">IF(B4803="insumo",_xlfn.XLOOKUP($D4803,Insumos!$B$1:$B$996,Insumos!$D$1:$D$996),"")</f>
        <v>256.89999999999998</v>
      </c>
      <c r="H4803" s="87">
        <v>256.89999999999998</v>
      </c>
      <c r="I4803" s="79">
        <v>0</v>
      </c>
      <c r="J4803" s="79">
        <v>0</v>
      </c>
      <c r="K4803" s="79"/>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77">
        <v>3</v>
      </c>
      <c r="B4804" s="77" t="s">
        <v>70</v>
      </c>
      <c r="C4804" s="77" t="s">
        <v>1933</v>
      </c>
      <c r="D4804" s="77" t="s">
        <v>965</v>
      </c>
      <c r="E4804" s="11" t="str">
        <f t="array" ref="E4804">_xlfn.XLOOKUP(D4804,Insumos!B:B,Insumos!C:$C)</f>
        <v>UN</v>
      </c>
      <c r="F4804" s="81">
        <v>1</v>
      </c>
      <c r="G4804" s="87">
        <f t="array" ref="G4804">IF(B4804="insumo",_xlfn.XLOOKUP($D4804,Insumos!$B$1:$B$996,Insumos!$D$1:$D$996),"")</f>
        <v>35.9</v>
      </c>
      <c r="H4804" s="87">
        <v>35.9</v>
      </c>
      <c r="I4804" s="79">
        <v>0</v>
      </c>
      <c r="J4804" s="79">
        <v>0</v>
      </c>
      <c r="K4804" s="79"/>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77">
        <v>6</v>
      </c>
      <c r="B4805" s="77" t="s">
        <v>70</v>
      </c>
      <c r="C4805" s="77" t="s">
        <v>1933</v>
      </c>
      <c r="D4805" s="77" t="s">
        <v>959</v>
      </c>
      <c r="E4805" s="11" t="str">
        <f t="array" ref="E4805">_xlfn.XLOOKUP(D4805,Insumos!B:B,Insumos!C:$C)</f>
        <v>UN</v>
      </c>
      <c r="F4805" s="81">
        <v>6</v>
      </c>
      <c r="G4805" s="87">
        <f t="array" ref="G4805">IF(B4805="insumo",_xlfn.XLOOKUP($D4805,Insumos!$B$1:$B$996,Insumos!$D$1:$D$996),"")</f>
        <v>0.6</v>
      </c>
      <c r="H4805" s="87">
        <v>3.6</v>
      </c>
      <c r="I4805" s="79">
        <v>0</v>
      </c>
      <c r="J4805" s="79">
        <v>0</v>
      </c>
      <c r="K4805" s="79"/>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77">
        <v>6</v>
      </c>
      <c r="B4806" s="77" t="s">
        <v>70</v>
      </c>
      <c r="C4806" s="77" t="s">
        <v>1933</v>
      </c>
      <c r="D4806" s="77" t="s">
        <v>960</v>
      </c>
      <c r="E4806" s="11" t="str">
        <f t="array" ref="E4806">_xlfn.XLOOKUP(D4806,Insumos!B:B,Insumos!C:$C)</f>
        <v>UN</v>
      </c>
      <c r="F4806" s="81">
        <v>6</v>
      </c>
      <c r="G4806" s="87">
        <f t="array" ref="G4806">IF(B4806="insumo",_xlfn.XLOOKUP($D4806,Insumos!$B$1:$B$996,Insumos!$D$1:$D$996),"")</f>
        <v>24.95</v>
      </c>
      <c r="H4806" s="87">
        <v>149.69999999999999</v>
      </c>
      <c r="I4806" s="79">
        <v>0</v>
      </c>
      <c r="J4806" s="79">
        <v>0</v>
      </c>
      <c r="K4806" s="79"/>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77">
        <v>8</v>
      </c>
      <c r="B4807" s="77" t="s">
        <v>70</v>
      </c>
      <c r="C4807" s="77" t="s">
        <v>1933</v>
      </c>
      <c r="D4807" s="77" t="s">
        <v>935</v>
      </c>
      <c r="E4807" s="11" t="str">
        <f t="array" ref="E4807">_xlfn.XLOOKUP(D4807,Insumos!B:B,Insumos!C:$C)</f>
        <v>M</v>
      </c>
      <c r="F4807" s="81">
        <v>0.3</v>
      </c>
      <c r="G4807" s="87">
        <f t="array" ref="G4807">IF(B4807="insumo",_xlfn.XLOOKUP($D4807,Insumos!$B$1:$B$996,Insumos!$D$1:$D$996),"")</f>
        <v>0.24</v>
      </c>
      <c r="H4807" s="87">
        <v>7.1999999999999995E-2</v>
      </c>
      <c r="I4807" s="79">
        <v>0</v>
      </c>
      <c r="J4807" s="79">
        <v>0</v>
      </c>
      <c r="K4807" s="79"/>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77">
        <v>7</v>
      </c>
      <c r="B4808" s="77" t="s">
        <v>70</v>
      </c>
      <c r="C4808" s="77" t="s">
        <v>1933</v>
      </c>
      <c r="D4808" s="77" t="s">
        <v>943</v>
      </c>
      <c r="E4808" s="11" t="str">
        <f t="array" ref="E4808">_xlfn.XLOOKUP(D4808,Insumos!B:B,Insumos!C:$C)</f>
        <v>UN</v>
      </c>
      <c r="F4808" s="81">
        <v>0.4</v>
      </c>
      <c r="G4808" s="87">
        <f t="array" ref="G4808">IF(B4808="insumo",_xlfn.XLOOKUP($D4808,Insumos!$B$1:$B$996,Insumos!$D$1:$D$996),"")</f>
        <v>35.6</v>
      </c>
      <c r="H4808" s="87">
        <v>14.24</v>
      </c>
      <c r="I4808" s="79">
        <v>0</v>
      </c>
      <c r="J4808" s="79">
        <v>0</v>
      </c>
      <c r="K4808" s="79"/>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77">
        <v>11</v>
      </c>
      <c r="B4809" s="77" t="s">
        <v>70</v>
      </c>
      <c r="C4809" s="77" t="s">
        <v>1933</v>
      </c>
      <c r="D4809" s="77" t="s">
        <v>937</v>
      </c>
      <c r="E4809" s="11" t="str">
        <f t="array" ref="E4809">_xlfn.XLOOKUP(D4809,Insumos!B:B,Insumos!C:$C)</f>
        <v>UN</v>
      </c>
      <c r="F4809" s="81">
        <v>0.25</v>
      </c>
      <c r="G4809" s="87">
        <f t="array" ref="G4809">IF(B4809="insumo",_xlfn.XLOOKUP($D4809,Insumos!$B$1:$B$996,Insumos!$D$1:$D$996),"")</f>
        <v>75</v>
      </c>
      <c r="H4809" s="87">
        <v>18.75</v>
      </c>
      <c r="I4809" s="79">
        <v>0</v>
      </c>
      <c r="J4809" s="79">
        <v>0</v>
      </c>
      <c r="K4809" s="79"/>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77">
        <v>11</v>
      </c>
      <c r="B4810" s="77" t="s">
        <v>70</v>
      </c>
      <c r="C4810" s="77" t="s">
        <v>1933</v>
      </c>
      <c r="D4810" s="77" t="s">
        <v>938</v>
      </c>
      <c r="E4810" s="11" t="str">
        <f t="array" ref="E4810">_xlfn.XLOOKUP(D4810,Insumos!B:B,Insumos!C:$C)</f>
        <v>UN</v>
      </c>
      <c r="F4810" s="81">
        <v>1</v>
      </c>
      <c r="G4810" s="87">
        <f t="array" ref="G4810">IF(B4810="insumo",_xlfn.XLOOKUP($D4810,Insumos!$B$1:$B$996,Insumos!$D$1:$D$996),"")</f>
        <v>26.9</v>
      </c>
      <c r="H4810" s="87">
        <v>26.9</v>
      </c>
      <c r="I4810" s="79">
        <v>0</v>
      </c>
      <c r="J4810" s="79">
        <v>0</v>
      </c>
      <c r="K4810" s="79"/>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332">
        <v>1</v>
      </c>
      <c r="B4811" s="332" t="s">
        <v>67</v>
      </c>
      <c r="C4811" s="349" t="s">
        <v>966</v>
      </c>
      <c r="D4811" s="349" t="s">
        <v>966</v>
      </c>
      <c r="E4811" s="333" t="s">
        <v>196</v>
      </c>
      <c r="F4811" s="350" t="s">
        <v>399</v>
      </c>
      <c r="G4811" s="334" t="str">
        <f t="array" ref="G4811">IF(B4811="insumo",_xlfn.XLOOKUP($D4811,Insumos!$B$1:$B$996,Insumos!$D$1:$D$996),"")</f>
        <v/>
      </c>
      <c r="H4811" s="334">
        <v>1426.922</v>
      </c>
      <c r="I4811" s="351">
        <v>0</v>
      </c>
      <c r="J4811" s="351">
        <v>0</v>
      </c>
      <c r="K4811" s="351"/>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70</v>
      </c>
      <c r="C4812" s="10" t="s">
        <v>966</v>
      </c>
      <c r="D4812" s="10" t="s">
        <v>967</v>
      </c>
      <c r="E4812" s="11" t="str">
        <f t="array" ref="E4812">_xlfn.XLOOKUP(D4812,Insumos!B:B,Insumos!C:$C)</f>
        <v>UN</v>
      </c>
      <c r="F4812" s="14">
        <v>1</v>
      </c>
      <c r="G4812" s="87">
        <f t="array" ref="G4812">IF(B4812="insumo",_xlfn.XLOOKUP($D4812,Insumos!$B$1:$B$996,Insumos!$D$1:$D$996),"")</f>
        <v>760</v>
      </c>
      <c r="H4812" s="87">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70</v>
      </c>
      <c r="C4813" s="10" t="s">
        <v>966</v>
      </c>
      <c r="D4813" s="10" t="s">
        <v>957</v>
      </c>
      <c r="E4813" s="11" t="str">
        <f t="array" ref="E4813">_xlfn.XLOOKUP(D4813,Insumos!B:B,Insumos!C:$C)</f>
        <v>UN</v>
      </c>
      <c r="F4813" s="14">
        <v>1</v>
      </c>
      <c r="G4813" s="87">
        <f t="array" ref="G4813">IF(B4813="insumo",_xlfn.XLOOKUP($D4813,Insumos!$B$1:$B$996,Insumos!$D$1:$D$996),"")</f>
        <v>256.89999999999998</v>
      </c>
      <c r="H4813" s="87">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70</v>
      </c>
      <c r="C4814" s="10" t="s">
        <v>966</v>
      </c>
      <c r="D4814" s="10" t="s">
        <v>958</v>
      </c>
      <c r="E4814" s="11" t="str">
        <f t="array" ref="E4814">_xlfn.XLOOKUP(D4814,Insumos!B:B,Insumos!C:$C)</f>
        <v>UN</v>
      </c>
      <c r="F4814" s="14">
        <v>1</v>
      </c>
      <c r="G4814" s="87">
        <f t="array" ref="G4814">IF(B4814="insumo",_xlfn.XLOOKUP($D4814,Insumos!$B$1:$B$996,Insumos!$D$1:$D$996),"")</f>
        <v>196.76</v>
      </c>
      <c r="H4814" s="87">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70</v>
      </c>
      <c r="C4815" s="10" t="s">
        <v>966</v>
      </c>
      <c r="D4815" s="10" t="s">
        <v>959</v>
      </c>
      <c r="E4815" s="11" t="str">
        <f t="array" ref="E4815">_xlfn.XLOOKUP(D4815,Insumos!B:B,Insumos!C:$C)</f>
        <v>UN</v>
      </c>
      <c r="F4815" s="14">
        <v>6</v>
      </c>
      <c r="G4815" s="87">
        <f t="array" ref="G4815">IF(B4815="insumo",_xlfn.XLOOKUP($D4815,Insumos!$B$1:$B$996,Insumos!$D$1:$D$996),"")</f>
        <v>0.6</v>
      </c>
      <c r="H4815" s="87">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70</v>
      </c>
      <c r="C4816" s="10" t="s">
        <v>966</v>
      </c>
      <c r="D4816" s="10" t="s">
        <v>960</v>
      </c>
      <c r="E4816" s="11" t="str">
        <f t="array" ref="E4816">_xlfn.XLOOKUP(D4816,Insumos!B:B,Insumos!C:$C)</f>
        <v>UN</v>
      </c>
      <c r="F4816" s="14">
        <v>6</v>
      </c>
      <c r="G4816" s="87">
        <f t="array" ref="G4816">IF(B4816="insumo",_xlfn.XLOOKUP($D4816,Insumos!$B$1:$B$996,Insumos!$D$1:$D$996),"")</f>
        <v>24.95</v>
      </c>
      <c r="H4816" s="87">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70</v>
      </c>
      <c r="C4817" s="10" t="s">
        <v>966</v>
      </c>
      <c r="D4817" s="10" t="s">
        <v>935</v>
      </c>
      <c r="E4817" s="11" t="str">
        <f t="array" ref="E4817">_xlfn.XLOOKUP(D4817,Insumos!B:B,Insumos!C:$C)</f>
        <v>M</v>
      </c>
      <c r="F4817" s="14">
        <v>0.3</v>
      </c>
      <c r="G4817" s="87">
        <f t="array" ref="G4817">IF(B4817="insumo",_xlfn.XLOOKUP($D4817,Insumos!$B$1:$B$996,Insumos!$D$1:$D$996),"")</f>
        <v>0.24</v>
      </c>
      <c r="H4817" s="87">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70</v>
      </c>
      <c r="C4818" s="10" t="s">
        <v>966</v>
      </c>
      <c r="D4818" s="10" t="s">
        <v>943</v>
      </c>
      <c r="E4818" s="11" t="str">
        <f t="array" ref="E4818">_xlfn.XLOOKUP(D4818,Insumos!B:B,Insumos!C:$C)</f>
        <v>UN</v>
      </c>
      <c r="F4818" s="14">
        <v>0.4</v>
      </c>
      <c r="G4818" s="87">
        <f t="array" ref="G4818">IF(B4818="insumo",_xlfn.XLOOKUP($D4818,Insumos!$B$1:$B$996,Insumos!$D$1:$D$996),"")</f>
        <v>35.6</v>
      </c>
      <c r="H4818" s="87">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70</v>
      </c>
      <c r="C4819" s="10" t="s">
        <v>966</v>
      </c>
      <c r="D4819" s="10" t="s">
        <v>937</v>
      </c>
      <c r="E4819" s="11" t="str">
        <f t="array" ref="E4819">_xlfn.XLOOKUP(D4819,Insumos!B:B,Insumos!C:$C)</f>
        <v>UN</v>
      </c>
      <c r="F4819" s="14">
        <v>0.25</v>
      </c>
      <c r="G4819" s="87">
        <f t="array" ref="G4819">IF(B4819="insumo",_xlfn.XLOOKUP($D4819,Insumos!$B$1:$B$996,Insumos!$D$1:$D$996),"")</f>
        <v>75</v>
      </c>
      <c r="H4819" s="87">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70</v>
      </c>
      <c r="C4820" s="10" t="s">
        <v>966</v>
      </c>
      <c r="D4820" s="10" t="s">
        <v>938</v>
      </c>
      <c r="E4820" s="11" t="str">
        <f t="array" ref="E4820">_xlfn.XLOOKUP(D4820,Insumos!B:B,Insumos!C:$C)</f>
        <v>UN</v>
      </c>
      <c r="F4820" s="14">
        <v>1</v>
      </c>
      <c r="G4820" s="87">
        <f t="array" ref="G4820">IF(B4820="insumo",_xlfn.XLOOKUP($D4820,Insumos!$B$1:$B$996,Insumos!$D$1:$D$996),"")</f>
        <v>26.9</v>
      </c>
      <c r="H4820" s="87">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332">
        <v>1</v>
      </c>
      <c r="B4821" s="332" t="s">
        <v>67</v>
      </c>
      <c r="C4821" s="349" t="s">
        <v>968</v>
      </c>
      <c r="D4821" s="349" t="s">
        <v>968</v>
      </c>
      <c r="E4821" s="333" t="s">
        <v>196</v>
      </c>
      <c r="F4821" s="350" t="s">
        <v>399</v>
      </c>
      <c r="G4821" s="334" t="str">
        <f t="array" ref="G4821">IF(B4821="insumo",_xlfn.XLOOKUP($D4821,Insumos!$B$1:$B$996,Insumos!$D$1:$D$996),"")</f>
        <v/>
      </c>
      <c r="H4821" s="334">
        <v>681.03200000000004</v>
      </c>
      <c r="I4821" s="351">
        <v>0</v>
      </c>
      <c r="J4821" s="351">
        <v>0</v>
      </c>
      <c r="K4821" s="351"/>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70</v>
      </c>
      <c r="C4822" s="10" t="s">
        <v>968</v>
      </c>
      <c r="D4822" s="10" t="s">
        <v>969</v>
      </c>
      <c r="E4822" s="11" t="str">
        <f t="array" ref="E4822">_xlfn.XLOOKUP(D4822,Insumos!B:B,Insumos!C:$C)</f>
        <v>UN</v>
      </c>
      <c r="F4822" s="14">
        <v>1</v>
      </c>
      <c r="G4822" s="87">
        <f t="array" ref="G4822">IF(B4822="insumo",_xlfn.XLOOKUP($D4822,Insumos!$B$1:$B$996,Insumos!$D$1:$D$996),"")</f>
        <v>396.87</v>
      </c>
      <c r="H4822" s="87">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70</v>
      </c>
      <c r="C4823" s="10" t="s">
        <v>968</v>
      </c>
      <c r="D4823" s="10" t="s">
        <v>970</v>
      </c>
      <c r="E4823" s="11" t="str">
        <f t="array" ref="E4823">_xlfn.XLOOKUP(D4823,Insumos!B:B,Insumos!C:$C)</f>
        <v>UN</v>
      </c>
      <c r="F4823" s="14">
        <v>1</v>
      </c>
      <c r="G4823" s="87">
        <f t="array" ref="G4823">IF(B4823="insumo",_xlfn.XLOOKUP($D4823,Insumos!$B$1:$B$996,Insumos!$D$1:$D$996),"")</f>
        <v>35</v>
      </c>
      <c r="H4823" s="87">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70</v>
      </c>
      <c r="C4824" s="10" t="s">
        <v>968</v>
      </c>
      <c r="D4824" s="10" t="s">
        <v>965</v>
      </c>
      <c r="E4824" s="11" t="str">
        <f t="array" ref="E4824">_xlfn.XLOOKUP(D4824,Insumos!B:B,Insumos!C:$C)</f>
        <v>UN</v>
      </c>
      <c r="F4824" s="14">
        <v>1</v>
      </c>
      <c r="G4824" s="87">
        <f t="array" ref="G4824">IF(B4824="insumo",_xlfn.XLOOKUP($D4824,Insumos!$B$1:$B$996,Insumos!$D$1:$D$996),"")</f>
        <v>35.9</v>
      </c>
      <c r="H4824" s="87">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70</v>
      </c>
      <c r="C4825" s="10" t="s">
        <v>968</v>
      </c>
      <c r="D4825" s="10" t="s">
        <v>959</v>
      </c>
      <c r="E4825" s="11" t="str">
        <f t="array" ref="E4825">_xlfn.XLOOKUP(D4825,Insumos!B:B,Insumos!C:$C)</f>
        <v>UN</v>
      </c>
      <c r="F4825" s="14">
        <v>6</v>
      </c>
      <c r="G4825" s="87">
        <f t="array" ref="G4825">IF(B4825="insumo",_xlfn.XLOOKUP($D4825,Insumos!$B$1:$B$996,Insumos!$D$1:$D$996),"")</f>
        <v>0.6</v>
      </c>
      <c r="H4825" s="87">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70</v>
      </c>
      <c r="C4826" s="10" t="s">
        <v>968</v>
      </c>
      <c r="D4826" s="10" t="s">
        <v>960</v>
      </c>
      <c r="E4826" s="11" t="str">
        <f t="array" ref="E4826">_xlfn.XLOOKUP(D4826,Insumos!B:B,Insumos!C:$C)</f>
        <v>UN</v>
      </c>
      <c r="F4826" s="14">
        <v>6</v>
      </c>
      <c r="G4826" s="87">
        <f t="array" ref="G4826">IF(B4826="insumo",_xlfn.XLOOKUP($D4826,Insumos!$B$1:$B$996,Insumos!$D$1:$D$996),"")</f>
        <v>24.95</v>
      </c>
      <c r="H4826" s="87">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70</v>
      </c>
      <c r="C4827" s="10" t="s">
        <v>968</v>
      </c>
      <c r="D4827" s="10" t="s">
        <v>935</v>
      </c>
      <c r="E4827" s="11" t="str">
        <f t="array" ref="E4827">_xlfn.XLOOKUP(D4827,Insumos!B:B,Insumos!C:$C)</f>
        <v>M</v>
      </c>
      <c r="F4827" s="14">
        <v>0.3</v>
      </c>
      <c r="G4827" s="87">
        <f t="array" ref="G4827">IF(B4827="insumo",_xlfn.XLOOKUP($D4827,Insumos!$B$1:$B$996,Insumos!$D$1:$D$996),"")</f>
        <v>0.24</v>
      </c>
      <c r="H4827" s="87">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70</v>
      </c>
      <c r="C4828" s="10" t="s">
        <v>968</v>
      </c>
      <c r="D4828" s="10" t="s">
        <v>943</v>
      </c>
      <c r="E4828" s="11" t="str">
        <f t="array" ref="E4828">_xlfn.XLOOKUP(D4828,Insumos!B:B,Insumos!C:$C)</f>
        <v>UN</v>
      </c>
      <c r="F4828" s="14">
        <v>0.4</v>
      </c>
      <c r="G4828" s="87">
        <f t="array" ref="G4828">IF(B4828="insumo",_xlfn.XLOOKUP($D4828,Insumos!$B$1:$B$996,Insumos!$D$1:$D$996),"")</f>
        <v>35.6</v>
      </c>
      <c r="H4828" s="87">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70</v>
      </c>
      <c r="C4829" s="10" t="s">
        <v>968</v>
      </c>
      <c r="D4829" s="10" t="s">
        <v>937</v>
      </c>
      <c r="E4829" s="11" t="str">
        <f t="array" ref="E4829">_xlfn.XLOOKUP(D4829,Insumos!B:B,Insumos!C:$C)</f>
        <v>UN</v>
      </c>
      <c r="F4829" s="14">
        <v>0.25</v>
      </c>
      <c r="G4829" s="87">
        <f t="array" ref="G4829">IF(B4829="insumo",_xlfn.XLOOKUP($D4829,Insumos!$B$1:$B$996,Insumos!$D$1:$D$996),"")</f>
        <v>75</v>
      </c>
      <c r="H4829" s="87">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70</v>
      </c>
      <c r="C4830" s="10" t="s">
        <v>968</v>
      </c>
      <c r="D4830" s="10" t="s">
        <v>938</v>
      </c>
      <c r="E4830" s="11" t="str">
        <f t="array" ref="E4830">_xlfn.XLOOKUP(D4830,Insumos!B:B,Insumos!C:$C)</f>
        <v>UN</v>
      </c>
      <c r="F4830" s="14">
        <v>1</v>
      </c>
      <c r="G4830" s="87">
        <f t="array" ref="G4830">IF(B4830="insumo",_xlfn.XLOOKUP($D4830,Insumos!$B$1:$B$996,Insumos!$D$1:$D$996),"")</f>
        <v>26.9</v>
      </c>
      <c r="H4830" s="87">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332">
        <v>1</v>
      </c>
      <c r="B4831" s="332" t="s">
        <v>67</v>
      </c>
      <c r="C4831" s="349" t="s">
        <v>971</v>
      </c>
      <c r="D4831" s="349" t="s">
        <v>971</v>
      </c>
      <c r="E4831" s="333" t="s">
        <v>196</v>
      </c>
      <c r="F4831" s="350" t="s">
        <v>399</v>
      </c>
      <c r="G4831" s="334" t="str">
        <f t="array" ref="G4831">IF(B4831="insumo",_xlfn.XLOOKUP($D4831,Insumos!$B$1:$B$996,Insumos!$D$1:$D$996),"")</f>
        <v/>
      </c>
      <c r="H4831" s="334">
        <v>1054.93</v>
      </c>
      <c r="I4831" s="351">
        <v>0</v>
      </c>
      <c r="J4831" s="351">
        <v>0</v>
      </c>
      <c r="K4831" s="351"/>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70</v>
      </c>
      <c r="C4832" s="10" t="s">
        <v>971</v>
      </c>
      <c r="D4832" s="10" t="s">
        <v>972</v>
      </c>
      <c r="E4832" s="11" t="str">
        <f t="array" ref="E4832">_xlfn.XLOOKUP(D4832,Insumos!B:B,Insumos!C:$C)</f>
        <v>UN</v>
      </c>
      <c r="F4832" s="14">
        <v>1</v>
      </c>
      <c r="G4832" s="87">
        <f t="array" ref="G4832">IF(B4832="insumo",_xlfn.XLOOKUP($D4832,Insumos!$B$1:$B$996,Insumos!$D$1:$D$996),"")</f>
        <v>1054.93</v>
      </c>
      <c r="H4832" s="87">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332">
        <v>1</v>
      </c>
      <c r="B4833" s="332" t="s">
        <v>67</v>
      </c>
      <c r="C4833" s="349" t="s">
        <v>973</v>
      </c>
      <c r="D4833" s="349" t="s">
        <v>973</v>
      </c>
      <c r="E4833" s="333" t="s">
        <v>196</v>
      </c>
      <c r="F4833" s="350" t="s">
        <v>399</v>
      </c>
      <c r="G4833" s="334" t="str">
        <f t="array" ref="G4833">IF(B4833="insumo",_xlfn.XLOOKUP($D4833,Insumos!$B$1:$B$996,Insumos!$D$1:$D$996),"")</f>
        <v/>
      </c>
      <c r="H4833" s="334">
        <v>1054.93</v>
      </c>
      <c r="I4833" s="351">
        <v>0</v>
      </c>
      <c r="J4833" s="351">
        <v>0</v>
      </c>
      <c r="K4833" s="351"/>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70</v>
      </c>
      <c r="C4834" s="10" t="s">
        <v>973</v>
      </c>
      <c r="D4834" s="10" t="s">
        <v>974</v>
      </c>
      <c r="E4834" s="11" t="str">
        <f t="array" ref="E4834">_xlfn.XLOOKUP(D4834,Insumos!B:B,Insumos!C:$C)</f>
        <v>UN</v>
      </c>
      <c r="F4834" s="14">
        <v>1</v>
      </c>
      <c r="G4834" s="87">
        <f t="array" ref="G4834">IF(B4834="insumo",_xlfn.XLOOKUP($D4834,Insumos!$B$1:$B$996,Insumos!$D$1:$D$996),"")</f>
        <v>1054.93</v>
      </c>
      <c r="H4834" s="87">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332">
        <v>1</v>
      </c>
      <c r="B4835" s="332" t="s">
        <v>67</v>
      </c>
      <c r="C4835" s="349" t="s">
        <v>975</v>
      </c>
      <c r="D4835" s="349" t="s">
        <v>975</v>
      </c>
      <c r="E4835" s="333" t="s">
        <v>196</v>
      </c>
      <c r="F4835" s="350" t="s">
        <v>399</v>
      </c>
      <c r="G4835" s="334" t="str">
        <f t="array" ref="G4835">IF(B4835="insumo",_xlfn.XLOOKUP($D4835,Insumos!$B$1:$B$996,Insumos!$D$1:$D$996),"")</f>
        <v/>
      </c>
      <c r="H4835" s="334">
        <v>1054.93</v>
      </c>
      <c r="I4835" s="351">
        <v>0</v>
      </c>
      <c r="J4835" s="351">
        <v>0</v>
      </c>
      <c r="K4835" s="351"/>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70</v>
      </c>
      <c r="C4836" s="10" t="s">
        <v>975</v>
      </c>
      <c r="D4836" s="10" t="s">
        <v>976</v>
      </c>
      <c r="E4836" s="11" t="str">
        <f t="array" ref="E4836">_xlfn.XLOOKUP(D4836,Insumos!B:B,Insumos!C:$C)</f>
        <v>UN</v>
      </c>
      <c r="F4836" s="14">
        <v>1</v>
      </c>
      <c r="G4836" s="87">
        <f t="array" ref="G4836">IF(B4836="insumo",_xlfn.XLOOKUP($D4836,Insumos!$B$1:$B$996,Insumos!$D$1:$D$996),"")</f>
        <v>1054.93</v>
      </c>
      <c r="H4836" s="87">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332">
        <v>1</v>
      </c>
      <c r="B4837" s="332" t="s">
        <v>67</v>
      </c>
      <c r="C4837" s="349" t="s">
        <v>977</v>
      </c>
      <c r="D4837" s="349" t="s">
        <v>977</v>
      </c>
      <c r="E4837" s="333" t="s">
        <v>196</v>
      </c>
      <c r="F4837" s="350" t="s">
        <v>399</v>
      </c>
      <c r="G4837" s="334" t="str">
        <f t="array" ref="G4837">IF(B4837="insumo",_xlfn.XLOOKUP($D4837,Insumos!$B$1:$B$996,Insumos!$D$1:$D$996),"")</f>
        <v/>
      </c>
      <c r="H4837" s="334">
        <v>1054.93</v>
      </c>
      <c r="I4837" s="351">
        <v>0</v>
      </c>
      <c r="J4837" s="351">
        <v>0</v>
      </c>
      <c r="K4837" s="351"/>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70</v>
      </c>
      <c r="C4838" s="10" t="s">
        <v>977</v>
      </c>
      <c r="D4838" s="10" t="s">
        <v>978</v>
      </c>
      <c r="E4838" s="11" t="str">
        <f t="array" ref="E4838">_xlfn.XLOOKUP(D4838,Insumos!B:B,Insumos!C:$C)</f>
        <v>UN</v>
      </c>
      <c r="F4838" s="14">
        <v>1</v>
      </c>
      <c r="G4838" s="87">
        <f t="array" ref="G4838">IF(B4838="insumo",_xlfn.XLOOKUP($D4838,Insumos!$B$1:$B$996,Insumos!$D$1:$D$996),"")</f>
        <v>1054.93</v>
      </c>
      <c r="H4838" s="87">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332">
        <v>1</v>
      </c>
      <c r="B4839" s="332" t="s">
        <v>67</v>
      </c>
      <c r="C4839" s="349" t="s">
        <v>979</v>
      </c>
      <c r="D4839" s="349" t="s">
        <v>979</v>
      </c>
      <c r="E4839" s="333" t="s">
        <v>196</v>
      </c>
      <c r="F4839" s="350" t="s">
        <v>399</v>
      </c>
      <c r="G4839" s="334" t="str">
        <f t="array" ref="G4839">IF(B4839="insumo",_xlfn.XLOOKUP($D4839,Insumos!$B$1:$B$996,Insumos!$D$1:$D$996),"")</f>
        <v/>
      </c>
      <c r="H4839" s="334">
        <v>1876.89</v>
      </c>
      <c r="I4839" s="351">
        <v>0</v>
      </c>
      <c r="J4839" s="351">
        <v>0</v>
      </c>
      <c r="K4839" s="351"/>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70</v>
      </c>
      <c r="C4840" s="10" t="s">
        <v>979</v>
      </c>
      <c r="D4840" s="10" t="s">
        <v>1571</v>
      </c>
      <c r="E4840" s="11" t="str">
        <f t="array" ref="E4840">_xlfn.XLOOKUP(D4840,Insumos!B:B,Insumos!C:$C)</f>
        <v>UN</v>
      </c>
      <c r="F4840" s="14">
        <v>1</v>
      </c>
      <c r="G4840" s="87">
        <f t="array" ref="G4840">IF(B4840="insumo",_xlfn.XLOOKUP($D4840,Insumos!$B$1:$B$996,Insumos!$D$1:$D$996),"")</f>
        <v>1876.89</v>
      </c>
      <c r="H4840" s="87">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332">
        <v>1</v>
      </c>
      <c r="B4841" s="332" t="s">
        <v>67</v>
      </c>
      <c r="C4841" s="349" t="s">
        <v>981</v>
      </c>
      <c r="D4841" s="349" t="s">
        <v>981</v>
      </c>
      <c r="E4841" s="333" t="s">
        <v>196</v>
      </c>
      <c r="F4841" s="350" t="s">
        <v>399</v>
      </c>
      <c r="G4841" s="334" t="str">
        <f t="array" ref="G4841">IF(B4841="insumo",_xlfn.XLOOKUP($D4841,Insumos!$B$1:$B$996,Insumos!$D$1:$D$996),"")</f>
        <v/>
      </c>
      <c r="H4841" s="334">
        <v>240.41</v>
      </c>
      <c r="I4841" s="351">
        <v>0</v>
      </c>
      <c r="J4841" s="351">
        <v>0</v>
      </c>
      <c r="K4841" s="351"/>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70</v>
      </c>
      <c r="C4842" s="10" t="s">
        <v>981</v>
      </c>
      <c r="D4842" s="10" t="s">
        <v>982</v>
      </c>
      <c r="E4842" s="11" t="str">
        <f t="array" ref="E4842">_xlfn.XLOOKUP(D4842,Insumos!B:B,Insumos!C:$C)</f>
        <v>UN</v>
      </c>
      <c r="F4842" s="14">
        <v>1</v>
      </c>
      <c r="G4842" s="87">
        <f t="array" ref="G4842">IF(B4842="insumo",_xlfn.XLOOKUP($D4842,Insumos!$B$1:$B$996,Insumos!$D$1:$D$996),"")</f>
        <v>240.41</v>
      </c>
      <c r="H4842" s="87">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332">
        <v>1</v>
      </c>
      <c r="B4843" s="332" t="s">
        <v>67</v>
      </c>
      <c r="C4843" s="349" t="s">
        <v>983</v>
      </c>
      <c r="D4843" s="349" t="s">
        <v>983</v>
      </c>
      <c r="E4843" s="333" t="s">
        <v>196</v>
      </c>
      <c r="F4843" s="350" t="s">
        <v>399</v>
      </c>
      <c r="G4843" s="334" t="str">
        <f t="array" ref="G4843">IF(B4843="insumo",_xlfn.XLOOKUP($D4843,Insumos!$B$1:$B$996,Insumos!$D$1:$D$996),"")</f>
        <v/>
      </c>
      <c r="H4843" s="334">
        <v>493.7</v>
      </c>
      <c r="I4843" s="351">
        <v>0</v>
      </c>
      <c r="J4843" s="351">
        <v>0</v>
      </c>
      <c r="K4843" s="351"/>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70</v>
      </c>
      <c r="C4844" s="10" t="s">
        <v>983</v>
      </c>
      <c r="D4844" s="10" t="s">
        <v>984</v>
      </c>
      <c r="E4844" s="11" t="str">
        <f t="array" ref="E4844">_xlfn.XLOOKUP(D4844,Insumos!B:B,Insumos!C:$C)</f>
        <v>UN</v>
      </c>
      <c r="F4844" s="14">
        <v>1</v>
      </c>
      <c r="G4844" s="87">
        <f t="array" ref="G4844">IF(B4844="insumo",_xlfn.XLOOKUP($D4844,Insumos!$B$1:$B$996,Insumos!$D$1:$D$996),"")</f>
        <v>493.7</v>
      </c>
      <c r="H4844" s="87">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332">
        <v>1</v>
      </c>
      <c r="B4845" s="332" t="s">
        <v>67</v>
      </c>
      <c r="C4845" s="349" t="s">
        <v>985</v>
      </c>
      <c r="D4845" s="349" t="s">
        <v>985</v>
      </c>
      <c r="E4845" s="333" t="s">
        <v>196</v>
      </c>
      <c r="F4845" s="350" t="s">
        <v>399</v>
      </c>
      <c r="G4845" s="334" t="str">
        <f t="array" ref="G4845">IF(B4845="insumo",_xlfn.XLOOKUP($D4845,Insumos!$B$1:$B$996,Insumos!$D$1:$D$996),"")</f>
        <v/>
      </c>
      <c r="H4845" s="334">
        <v>900</v>
      </c>
      <c r="I4845" s="351">
        <v>0</v>
      </c>
      <c r="J4845" s="351">
        <v>0</v>
      </c>
      <c r="K4845" s="351"/>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70</v>
      </c>
      <c r="C4846" s="10" t="s">
        <v>985</v>
      </c>
      <c r="D4846" s="10" t="s">
        <v>986</v>
      </c>
      <c r="E4846" s="11" t="str">
        <f t="array" ref="E4846">_xlfn.XLOOKUP(D4846,Insumos!B:B,Insumos!C:$C)</f>
        <v>UN</v>
      </c>
      <c r="F4846" s="14">
        <v>1</v>
      </c>
      <c r="G4846" s="87">
        <f t="array" ref="G4846">IF(B4846="insumo",_xlfn.XLOOKUP($D4846,Insumos!$B$1:$B$996,Insumos!$D$1:$D$996),"")</f>
        <v>900</v>
      </c>
      <c r="H4846" s="87">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332">
        <v>1</v>
      </c>
      <c r="B4847" s="332" t="s">
        <v>67</v>
      </c>
      <c r="C4847" s="349" t="s">
        <v>987</v>
      </c>
      <c r="D4847" s="349" t="s">
        <v>987</v>
      </c>
      <c r="E4847" s="333" t="s">
        <v>196</v>
      </c>
      <c r="F4847" s="350" t="s">
        <v>399</v>
      </c>
      <c r="G4847" s="334" t="str">
        <f t="array" ref="G4847">IF(B4847="insumo",_xlfn.XLOOKUP($D4847,Insumos!$B$1:$B$996,Insumos!$D$1:$D$996),"")</f>
        <v/>
      </c>
      <c r="H4847" s="334">
        <v>84.8</v>
      </c>
      <c r="I4847" s="351">
        <v>0</v>
      </c>
      <c r="J4847" s="351">
        <v>0</v>
      </c>
      <c r="K4847" s="351"/>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70</v>
      </c>
      <c r="C4848" s="10" t="s">
        <v>987</v>
      </c>
      <c r="D4848" s="10" t="s">
        <v>988</v>
      </c>
      <c r="E4848" s="11" t="str">
        <f t="array" ref="E4848">_xlfn.XLOOKUP(D4848,Insumos!B:B,Insumos!C:$C)</f>
        <v>UN</v>
      </c>
      <c r="F4848" s="14">
        <v>1</v>
      </c>
      <c r="G4848" s="87">
        <f t="array" ref="G4848">IF(B4848="insumo",_xlfn.XLOOKUP($D4848,Insumos!$B$1:$B$996,Insumos!$D$1:$D$996),"")</f>
        <v>84.8</v>
      </c>
      <c r="H4848" s="87">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332">
        <v>1</v>
      </c>
      <c r="B4849" s="332" t="s">
        <v>67</v>
      </c>
      <c r="C4849" s="349" t="s">
        <v>989</v>
      </c>
      <c r="D4849" s="349" t="s">
        <v>989</v>
      </c>
      <c r="E4849" s="333" t="s">
        <v>196</v>
      </c>
      <c r="F4849" s="350" t="s">
        <v>399</v>
      </c>
      <c r="G4849" s="334" t="str">
        <f t="array" ref="G4849">IF(B4849="insumo",_xlfn.XLOOKUP($D4849,Insumos!$B$1:$B$996,Insumos!$D$1:$D$996),"")</f>
        <v/>
      </c>
      <c r="H4849" s="334">
        <v>660</v>
      </c>
      <c r="I4849" s="351">
        <v>0</v>
      </c>
      <c r="J4849" s="351">
        <v>0</v>
      </c>
      <c r="K4849" s="351"/>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70</v>
      </c>
      <c r="C4850" s="10" t="s">
        <v>989</v>
      </c>
      <c r="D4850" s="10" t="s">
        <v>990</v>
      </c>
      <c r="E4850" s="11" t="str">
        <f t="array" ref="E4850">_xlfn.XLOOKUP(D4850,Insumos!B:B,Insumos!C:$C)</f>
        <v>UN</v>
      </c>
      <c r="F4850" s="14">
        <v>1</v>
      </c>
      <c r="G4850" s="87">
        <f t="array" ref="G4850">IF(B4850="insumo",_xlfn.XLOOKUP($D4850,Insumos!$B$1:$B$996,Insumos!$D$1:$D$996),"")</f>
        <v>660</v>
      </c>
      <c r="H4850" s="87">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332">
        <v>1</v>
      </c>
      <c r="B4851" s="332" t="s">
        <v>67</v>
      </c>
      <c r="C4851" s="349" t="s">
        <v>991</v>
      </c>
      <c r="D4851" s="349" t="s">
        <v>991</v>
      </c>
      <c r="E4851" s="333" t="s">
        <v>196</v>
      </c>
      <c r="F4851" s="350" t="s">
        <v>399</v>
      </c>
      <c r="G4851" s="334" t="str">
        <f t="array" ref="G4851">IF(B4851="insumo",_xlfn.XLOOKUP($D4851,Insumos!$B$1:$B$996,Insumos!$D$1:$D$996),"")</f>
        <v/>
      </c>
      <c r="H4851" s="334">
        <v>970</v>
      </c>
      <c r="I4851" s="351">
        <v>0</v>
      </c>
      <c r="J4851" s="351">
        <v>0</v>
      </c>
      <c r="K4851" s="351"/>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70</v>
      </c>
      <c r="C4852" s="10" t="s">
        <v>991</v>
      </c>
      <c r="D4852" s="10" t="s">
        <v>992</v>
      </c>
      <c r="E4852" s="11" t="str">
        <f t="array" ref="E4852">_xlfn.XLOOKUP(D4852,Insumos!B:B,Insumos!C:$C)</f>
        <v>UN</v>
      </c>
      <c r="F4852" s="14">
        <v>1</v>
      </c>
      <c r="G4852" s="87">
        <f t="array" ref="G4852">IF(B4852="insumo",_xlfn.XLOOKUP($D4852,Insumos!$B$1:$B$996,Insumos!$D$1:$D$996),"")</f>
        <v>970</v>
      </c>
      <c r="H4852" s="87">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332">
        <v>1</v>
      </c>
      <c r="B4853" s="332" t="s">
        <v>67</v>
      </c>
      <c r="C4853" s="349" t="s">
        <v>993</v>
      </c>
      <c r="D4853" s="349" t="s">
        <v>993</v>
      </c>
      <c r="E4853" s="333" t="s">
        <v>196</v>
      </c>
      <c r="F4853" s="350" t="s">
        <v>399</v>
      </c>
      <c r="G4853" s="334" t="str">
        <f t="array" ref="G4853">IF(B4853="insumo",_xlfn.XLOOKUP($D4853,Insumos!$B$1:$B$996,Insumos!$D$1:$D$996),"")</f>
        <v/>
      </c>
      <c r="H4853" s="334">
        <v>1196.32</v>
      </c>
      <c r="I4853" s="351">
        <v>0</v>
      </c>
      <c r="J4853" s="351">
        <v>0</v>
      </c>
      <c r="K4853" s="351"/>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70</v>
      </c>
      <c r="C4854" s="10" t="s">
        <v>993</v>
      </c>
      <c r="D4854" s="10" t="s">
        <v>994</v>
      </c>
      <c r="E4854" s="11" t="str">
        <f t="array" ref="E4854">_xlfn.XLOOKUP(D4854,Insumos!B:B,Insumos!C:$C)</f>
        <v>UN</v>
      </c>
      <c r="F4854" s="14">
        <v>1</v>
      </c>
      <c r="G4854" s="87">
        <f t="array" ref="G4854">IF(B4854="insumo",_xlfn.XLOOKUP($D4854,Insumos!$B$1:$B$996,Insumos!$D$1:$D$996),"")</f>
        <v>1196.32</v>
      </c>
      <c r="H4854" s="87">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332">
        <v>1</v>
      </c>
      <c r="B4855" s="332" t="s">
        <v>67</v>
      </c>
      <c r="C4855" s="349" t="s">
        <v>995</v>
      </c>
      <c r="D4855" s="349" t="s">
        <v>995</v>
      </c>
      <c r="E4855" s="333" t="s">
        <v>196</v>
      </c>
      <c r="F4855" s="350" t="s">
        <v>399</v>
      </c>
      <c r="G4855" s="334" t="str">
        <f t="array" ref="G4855">IF(B4855="insumo",_xlfn.XLOOKUP($D4855,Insumos!$B$1:$B$996,Insumos!$D$1:$D$996),"")</f>
        <v/>
      </c>
      <c r="H4855" s="334">
        <v>1183.51</v>
      </c>
      <c r="I4855" s="351">
        <v>0</v>
      </c>
      <c r="J4855" s="351">
        <v>0</v>
      </c>
      <c r="K4855" s="351"/>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70</v>
      </c>
      <c r="C4856" s="10" t="s">
        <v>995</v>
      </c>
      <c r="D4856" s="10" t="s">
        <v>996</v>
      </c>
      <c r="E4856" s="11" t="str">
        <f t="array" ref="E4856">_xlfn.XLOOKUP(D4856,Insumos!B:B,Insumos!C:$C)</f>
        <v>UN</v>
      </c>
      <c r="F4856" s="14">
        <v>1</v>
      </c>
      <c r="G4856" s="87">
        <f t="array" ref="G4856">IF(B4856="insumo",_xlfn.XLOOKUP($D4856,Insumos!$B$1:$B$996,Insumos!$D$1:$D$996),"")</f>
        <v>396.67</v>
      </c>
      <c r="H4856" s="87">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70</v>
      </c>
      <c r="C4857" s="10" t="s">
        <v>995</v>
      </c>
      <c r="D4857" s="10" t="s">
        <v>997</v>
      </c>
      <c r="E4857" s="11" t="str">
        <f t="array" ref="E4857">_xlfn.XLOOKUP(D4857,Insumos!B:B,Insumos!C:$C)</f>
        <v>UN</v>
      </c>
      <c r="F4857" s="14">
        <v>1</v>
      </c>
      <c r="G4857" s="87">
        <f t="array" ref="G4857">IF(B4857="insumo",_xlfn.XLOOKUP($D4857,Insumos!$B$1:$B$996,Insumos!$D$1:$D$996),"")</f>
        <v>293</v>
      </c>
      <c r="H4857" s="87">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70</v>
      </c>
      <c r="C4858" s="10" t="s">
        <v>995</v>
      </c>
      <c r="D4858" s="10" t="s">
        <v>998</v>
      </c>
      <c r="E4858" s="11" t="str">
        <f t="array" ref="E4858">_xlfn.XLOOKUP(D4858,Insumos!B:B,Insumos!C:$C)</f>
        <v>UN</v>
      </c>
      <c r="F4858" s="14">
        <v>1</v>
      </c>
      <c r="G4858" s="87">
        <f t="array" ref="G4858">IF(B4858="insumo",_xlfn.XLOOKUP($D4858,Insumos!$B$1:$B$996,Insumos!$D$1:$D$996),"")</f>
        <v>493.84</v>
      </c>
      <c r="H4858" s="87">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332">
        <v>1</v>
      </c>
      <c r="B4859" s="332" t="s">
        <v>67</v>
      </c>
      <c r="C4859" s="349" t="s">
        <v>999</v>
      </c>
      <c r="D4859" s="349" t="s">
        <v>999</v>
      </c>
      <c r="E4859" s="333" t="s">
        <v>69</v>
      </c>
      <c r="F4859" s="350" t="s">
        <v>399</v>
      </c>
      <c r="G4859" s="334" t="str">
        <f t="array" ref="G4859">IF(B4859="insumo",_xlfn.XLOOKUP($D4859,Insumos!$B$1:$B$996,Insumos!$D$1:$D$996),"")</f>
        <v/>
      </c>
      <c r="H4859" s="334">
        <v>750</v>
      </c>
      <c r="I4859" s="351">
        <v>0</v>
      </c>
      <c r="J4859" s="351">
        <v>0</v>
      </c>
      <c r="K4859" s="351"/>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70</v>
      </c>
      <c r="C4860" s="10" t="s">
        <v>999</v>
      </c>
      <c r="D4860" s="10" t="s">
        <v>1000</v>
      </c>
      <c r="E4860" s="11" t="str">
        <f t="array" ref="E4860">_xlfn.XLOOKUP(D4860,Insumos!B:B,Insumos!C:$C)</f>
        <v>M²</v>
      </c>
      <c r="F4860" s="14">
        <v>1</v>
      </c>
      <c r="G4860" s="87">
        <f t="array" ref="G4860">IF(B4860="insumo",_xlfn.XLOOKUP($D4860,Insumos!$B$1:$B$996,Insumos!$D$1:$D$996),"")</f>
        <v>750</v>
      </c>
      <c r="H4860" s="87">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332">
        <v>1</v>
      </c>
      <c r="B4861" s="332" t="s">
        <v>67</v>
      </c>
      <c r="C4861" s="349" t="s">
        <v>1001</v>
      </c>
      <c r="D4861" s="349" t="s">
        <v>1001</v>
      </c>
      <c r="E4861" s="333" t="s">
        <v>69</v>
      </c>
      <c r="F4861" s="350" t="s">
        <v>399</v>
      </c>
      <c r="G4861" s="334" t="str">
        <f t="array" ref="G4861">IF(B4861="insumo",_xlfn.XLOOKUP($D4861,Insumos!$B$1:$B$996,Insumos!$D$1:$D$996),"")</f>
        <v/>
      </c>
      <c r="H4861" s="334">
        <v>750</v>
      </c>
      <c r="I4861" s="351">
        <v>0</v>
      </c>
      <c r="J4861" s="351">
        <v>0</v>
      </c>
      <c r="K4861" s="351"/>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70</v>
      </c>
      <c r="C4862" s="10" t="s">
        <v>1001</v>
      </c>
      <c r="D4862" s="10" t="s">
        <v>1002</v>
      </c>
      <c r="E4862" s="11" t="str">
        <f t="array" ref="E4862">_xlfn.XLOOKUP(D4862,Insumos!B:B,Insumos!C:$C)</f>
        <v>M²</v>
      </c>
      <c r="F4862" s="14">
        <v>1</v>
      </c>
      <c r="G4862" s="87">
        <f t="array" ref="G4862">IF(B4862="insumo",_xlfn.XLOOKUP($D4862,Insumos!$B$1:$B$996,Insumos!$D$1:$D$996),"")</f>
        <v>750</v>
      </c>
      <c r="H4862" s="87">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332">
        <v>1</v>
      </c>
      <c r="B4863" s="332" t="s">
        <v>67</v>
      </c>
      <c r="C4863" s="349" t="s">
        <v>1003</v>
      </c>
      <c r="D4863" s="349" t="s">
        <v>1003</v>
      </c>
      <c r="E4863" s="333" t="s">
        <v>69</v>
      </c>
      <c r="F4863" s="350" t="s">
        <v>399</v>
      </c>
      <c r="G4863" s="334" t="str">
        <f t="array" ref="G4863">IF(B4863="insumo",_xlfn.XLOOKUP($D4863,Insumos!$B$1:$B$996,Insumos!$D$1:$D$996),"")</f>
        <v/>
      </c>
      <c r="H4863" s="334">
        <v>750</v>
      </c>
      <c r="I4863" s="351">
        <v>0</v>
      </c>
      <c r="J4863" s="351">
        <v>0</v>
      </c>
      <c r="K4863" s="351"/>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70</v>
      </c>
      <c r="C4864" s="10" t="s">
        <v>1003</v>
      </c>
      <c r="D4864" s="10" t="s">
        <v>1004</v>
      </c>
      <c r="E4864" s="11" t="str">
        <f t="array" ref="E4864">_xlfn.XLOOKUP(D4864,Insumos!B:B,Insumos!C:$C)</f>
        <v>M²</v>
      </c>
      <c r="F4864" s="14">
        <v>1</v>
      </c>
      <c r="G4864" s="87">
        <f t="array" ref="G4864">IF(B4864="insumo",_xlfn.XLOOKUP($D4864,Insumos!$B$1:$B$996,Insumos!$D$1:$D$996),"")</f>
        <v>750</v>
      </c>
      <c r="H4864" s="87">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65</v>
      </c>
      <c r="C4865" s="7" t="s">
        <v>1003</v>
      </c>
      <c r="D4865" s="7" t="s">
        <v>32</v>
      </c>
      <c r="E4865" s="8"/>
      <c r="F4865" s="9"/>
      <c r="G4865" s="86" t="str">
        <f t="array" ref="G4865">IF(B4865="insumo",_xlfn.XLOOKUP($D4865,Insumos!$B$1:$B$996,Insumos!$D$1:$D$996),"")</f>
        <v/>
      </c>
      <c r="H4865" s="86">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332">
        <v>1</v>
      </c>
      <c r="B4866" s="332" t="s">
        <v>67</v>
      </c>
      <c r="C4866" s="332" t="s">
        <v>1005</v>
      </c>
      <c r="D4866" s="332" t="s">
        <v>1005</v>
      </c>
      <c r="E4866" s="333" t="s">
        <v>196</v>
      </c>
      <c r="F4866" s="332"/>
      <c r="G4866" s="334" t="str">
        <f t="array" ref="G4866">IF(B4866="insumo",_xlfn.XLOOKUP($D4866,Insumos!$B$1:$B$996,Insumos!$D$1:$D$996),"")</f>
        <v/>
      </c>
      <c r="H4866" s="334">
        <v>34721</v>
      </c>
      <c r="I4866" s="335">
        <v>1</v>
      </c>
      <c r="J4866" s="335">
        <v>34721</v>
      </c>
      <c r="K4866" s="335"/>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70</v>
      </c>
      <c r="C4867" s="10" t="s">
        <v>1005</v>
      </c>
      <c r="D4867" s="10" t="s">
        <v>1006</v>
      </c>
      <c r="E4867" s="11" t="str">
        <f t="array" ref="E4867">_xlfn.XLOOKUP(D4867,Insumos!B:B,Insumos!C:$C)</f>
        <v>UN</v>
      </c>
      <c r="F4867" s="14">
        <v>1</v>
      </c>
      <c r="G4867" s="87">
        <f t="array" ref="G4867">IF(B4867="insumo",_xlfn.XLOOKUP($D4867,Insumos!$B$1:$B$996,Insumos!$D$1:$D$996),"")</f>
        <v>30657</v>
      </c>
      <c r="H4867" s="87">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70</v>
      </c>
      <c r="C4868" s="10" t="s">
        <v>1005</v>
      </c>
      <c r="D4868" s="10" t="s">
        <v>1007</v>
      </c>
      <c r="E4868" s="11" t="str">
        <f t="array" ref="E4868">_xlfn.XLOOKUP(D4868,Insumos!B:B,Insumos!C:$C)</f>
        <v>UN</v>
      </c>
      <c r="F4868" s="14">
        <v>1</v>
      </c>
      <c r="G4868" s="87">
        <f t="array" ref="G4868">IF(B4868="insumo",_xlfn.XLOOKUP($D4868,Insumos!$B$1:$B$996,Insumos!$D$1:$D$996),"")</f>
        <v>3300</v>
      </c>
      <c r="H4868" s="87">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70</v>
      </c>
      <c r="C4869" s="10" t="s">
        <v>1005</v>
      </c>
      <c r="D4869" s="10" t="s">
        <v>1008</v>
      </c>
      <c r="E4869" s="11" t="str">
        <f t="array" ref="E4869">_xlfn.XLOOKUP(D4869,Insumos!B:B,Insumos!C:$C)</f>
        <v>UN</v>
      </c>
      <c r="F4869" s="14">
        <v>2</v>
      </c>
      <c r="G4869" s="87">
        <f t="array" ref="G4869">IF(B4869="insumo",_xlfn.XLOOKUP($D4869,Insumos!$B$1:$B$996,Insumos!$D$1:$D$996),"")</f>
        <v>382</v>
      </c>
      <c r="H4869" s="87">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332">
        <v>1</v>
      </c>
      <c r="B4870" s="332" t="s">
        <v>67</v>
      </c>
      <c r="C4870" s="332" t="s">
        <v>1009</v>
      </c>
      <c r="D4870" s="332" t="s">
        <v>1009</v>
      </c>
      <c r="E4870" s="333" t="s">
        <v>112</v>
      </c>
      <c r="F4870" s="332"/>
      <c r="G4870" s="334" t="str">
        <f t="array" ref="G4870">IF(B4870="insumo",_xlfn.XLOOKUP($D4870,Insumos!$B$1:$B$996,Insumos!$D$1:$D$996),"")</f>
        <v/>
      </c>
      <c r="H4870" s="334">
        <v>2320</v>
      </c>
      <c r="I4870" s="335">
        <v>0</v>
      </c>
      <c r="J4870" s="335">
        <v>0</v>
      </c>
      <c r="K4870" s="335"/>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70</v>
      </c>
      <c r="C4871" s="10" t="s">
        <v>1009</v>
      </c>
      <c r="D4871" s="10" t="s">
        <v>1010</v>
      </c>
      <c r="E4871" s="11" t="str">
        <f t="array" ref="E4871">_xlfn.XLOOKUP(D4871,Insumos!B:B,Insumos!C:$C)</f>
        <v>M2</v>
      </c>
      <c r="F4871" s="14">
        <v>1</v>
      </c>
      <c r="G4871" s="87">
        <f t="array" ref="G4871">IF(B4871="insumo",_xlfn.XLOOKUP($D4871,Insumos!$B$1:$B$996,Insumos!$D$1:$D$996),"")</f>
        <v>880</v>
      </c>
      <c r="H4871" s="87">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70</v>
      </c>
      <c r="C4872" s="10" t="s">
        <v>1009</v>
      </c>
      <c r="D4872" s="10" t="s">
        <v>911</v>
      </c>
      <c r="E4872" s="11" t="str">
        <f t="array" ref="E4872">_xlfn.XLOOKUP(D4872,Insumos!B:B,Insumos!C:$C)</f>
        <v>M2</v>
      </c>
      <c r="F4872" s="14">
        <f>0.6*2</f>
        <v>1.2</v>
      </c>
      <c r="G4872" s="87">
        <f t="array" ref="G4872">IF(B4872="insumo",_xlfn.XLOOKUP($D4872,Insumos!$B$1:$B$996,Insumos!$D$1:$D$996),"")</f>
        <v>1200</v>
      </c>
      <c r="H4872" s="87">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332">
        <v>1</v>
      </c>
      <c r="B4873" s="332" t="s">
        <v>67</v>
      </c>
      <c r="C4873" s="332" t="s">
        <v>1011</v>
      </c>
      <c r="D4873" s="332" t="s">
        <v>1011</v>
      </c>
      <c r="E4873" s="333" t="s">
        <v>69</v>
      </c>
      <c r="F4873" s="332"/>
      <c r="G4873" s="334" t="str">
        <f t="array" ref="G4873">IF(B4873="insumo",_xlfn.XLOOKUP($D4873,Insumos!$B$1:$B$996,Insumos!$D$1:$D$996),"")</f>
        <v/>
      </c>
      <c r="H4873" s="334">
        <v>1014</v>
      </c>
      <c r="I4873" s="335">
        <v>0</v>
      </c>
      <c r="J4873" s="335">
        <v>0</v>
      </c>
      <c r="K4873" s="335"/>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70</v>
      </c>
      <c r="C4874" s="10" t="s">
        <v>1011</v>
      </c>
      <c r="D4874" s="10" t="s">
        <v>1011</v>
      </c>
      <c r="E4874" s="11" t="str">
        <f t="array" ref="E4874">_xlfn.XLOOKUP(D4874,Insumos!B:B,Insumos!C:$C)</f>
        <v>un</v>
      </c>
      <c r="F4874" s="14">
        <v>1</v>
      </c>
      <c r="G4874" s="87">
        <f t="array" ref="G4874">IF(B4874="insumo",_xlfn.XLOOKUP($D4874,Insumos!$B$1:$B$996,Insumos!$D$1:$D$996),"")</f>
        <v>1014</v>
      </c>
      <c r="H4874" s="87">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332">
        <v>1</v>
      </c>
      <c r="B4875" s="332" t="s">
        <v>67</v>
      </c>
      <c r="C4875" s="332" t="s">
        <v>1012</v>
      </c>
      <c r="D4875" s="332" t="s">
        <v>1012</v>
      </c>
      <c r="E4875" s="333" t="s">
        <v>69</v>
      </c>
      <c r="F4875" s="332"/>
      <c r="G4875" s="334" t="str">
        <f t="array" ref="G4875">IF(B4875="insumo",_xlfn.XLOOKUP($D4875,Insumos!$B$1:$B$996,Insumos!$D$1:$D$996),"")</f>
        <v/>
      </c>
      <c r="H4875" s="334">
        <v>92.167408499999993</v>
      </c>
      <c r="I4875" s="335">
        <v>0</v>
      </c>
      <c r="J4875" s="335">
        <v>0</v>
      </c>
      <c r="K4875" s="335"/>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70</v>
      </c>
      <c r="C4876" s="10" t="s">
        <v>1012</v>
      </c>
      <c r="D4876" s="10" t="s">
        <v>250</v>
      </c>
      <c r="E4876" s="11" t="str">
        <f t="array" ref="E4876">_xlfn.XLOOKUP(D4876,Insumos!B:B,Insumos!C:$C)</f>
        <v>M3</v>
      </c>
      <c r="F4876" s="14">
        <f>0.0243*3/2</f>
        <v>3.6449999999999996E-2</v>
      </c>
      <c r="G4876" s="87">
        <f t="array" ref="G4876">IF(B4876="insumo",_xlfn.XLOOKUP($D4876,Insumos!$B$1:$B$996,Insumos!$D$1:$D$996),"")</f>
        <v>604.73</v>
      </c>
      <c r="H4876" s="87">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70</v>
      </c>
      <c r="C4877" s="10" t="s">
        <v>1012</v>
      </c>
      <c r="D4877" s="10" t="s">
        <v>618</v>
      </c>
      <c r="E4877" s="11" t="str">
        <f t="array" ref="E4877">_xlfn.XLOOKUP(D4877,Insumos!B:B,Insumos!C:$C)</f>
        <v>KG</v>
      </c>
      <c r="F4877" s="14">
        <f>5*3/2</f>
        <v>7.5</v>
      </c>
      <c r="G4877" s="87">
        <f t="array" ref="G4877">IF(B4877="insumo",_xlfn.XLOOKUP($D4877,Insumos!$B$1:$B$996,Insumos!$D$1:$D$996),"")</f>
        <v>9.35</v>
      </c>
      <c r="H4877" s="87">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332">
        <v>1</v>
      </c>
      <c r="B4878" s="332" t="s">
        <v>67</v>
      </c>
      <c r="C4878" s="332" t="s">
        <v>1013</v>
      </c>
      <c r="D4878" s="332" t="s">
        <v>1013</v>
      </c>
      <c r="E4878" s="333" t="s">
        <v>69</v>
      </c>
      <c r="F4878" s="332"/>
      <c r="G4878" s="334" t="str">
        <f t="array" ref="G4878">IF(B4878="insumo",_xlfn.XLOOKUP($D4878,Insumos!$B$1:$B$996,Insumos!$D$1:$D$996),"")</f>
        <v/>
      </c>
      <c r="H4878" s="334">
        <v>119.77</v>
      </c>
      <c r="I4878" s="335">
        <v>0</v>
      </c>
      <c r="J4878" s="335">
        <v>0</v>
      </c>
      <c r="K4878" s="335"/>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70</v>
      </c>
      <c r="C4879" s="17" t="s">
        <v>1013</v>
      </c>
      <c r="D4879" s="17" t="s">
        <v>1013</v>
      </c>
      <c r="E4879" s="11" t="str">
        <f t="array" ref="E4879">_xlfn.XLOOKUP(D4879,Insumos!B:B,Insumos!C:$C)</f>
        <v>M2</v>
      </c>
      <c r="F4879" s="14">
        <v>1</v>
      </c>
      <c r="G4879" s="87">
        <f t="array" ref="G4879">IF(B4879="insumo",_xlfn.XLOOKUP($D4879,Insumos!$B$1:$B$996,Insumos!$D$1:$D$996),"")</f>
        <v>119.77</v>
      </c>
      <c r="H4879" s="87">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332">
        <v>1</v>
      </c>
      <c r="B4880" s="332" t="s">
        <v>67</v>
      </c>
      <c r="C4880" s="332" t="s">
        <v>1014</v>
      </c>
      <c r="D4880" s="332" t="s">
        <v>1014</v>
      </c>
      <c r="E4880" s="333" t="s">
        <v>151</v>
      </c>
      <c r="F4880" s="332"/>
      <c r="G4880" s="334" t="str">
        <f t="array" ref="G4880">IF(B4880="insumo",_xlfn.XLOOKUP($D4880,Insumos!$B$1:$B$996,Insumos!$D$1:$D$996),"")</f>
        <v/>
      </c>
      <c r="H4880" s="334">
        <v>94.997450000000001</v>
      </c>
      <c r="I4880" s="335">
        <v>0</v>
      </c>
      <c r="J4880" s="335">
        <v>0</v>
      </c>
      <c r="K4880" s="335"/>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70</v>
      </c>
      <c r="C4881" s="10" t="s">
        <v>1014</v>
      </c>
      <c r="D4881" s="10" t="s">
        <v>1015</v>
      </c>
      <c r="E4881" s="11" t="str">
        <f t="array" ref="E4881">_xlfn.XLOOKUP(D4881,Insumos!B:B,Insumos!C:$C)</f>
        <v>CJ</v>
      </c>
      <c r="F4881" s="14">
        <v>1.26</v>
      </c>
      <c r="G4881" s="87">
        <f t="array" ref="G4881">IF(B4881="insumo",_xlfn.XLOOKUP($D4881,Insumos!$B$1:$B$996,Insumos!$D$1:$D$996),"")</f>
        <v>0.26</v>
      </c>
      <c r="H4881" s="87">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70</v>
      </c>
      <c r="C4882" s="10" t="s">
        <v>1014</v>
      </c>
      <c r="D4882" s="10" t="s">
        <v>1016</v>
      </c>
      <c r="E4882" s="11" t="str">
        <f t="array" ref="E4882">_xlfn.XLOOKUP(D4882,Insumos!B:B,Insumos!C:$C)</f>
        <v>UN</v>
      </c>
      <c r="F4882" s="14">
        <v>1.26</v>
      </c>
      <c r="G4882" s="87">
        <f t="array" ref="G4882">IF(B4882="insumo",_xlfn.XLOOKUP($D4882,Insumos!$B$1:$B$996,Insumos!$D$1:$D$996),"")</f>
        <v>4</v>
      </c>
      <c r="H4882" s="87">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70</v>
      </c>
      <c r="C4883" s="10" t="s">
        <v>1014</v>
      </c>
      <c r="D4883" s="10" t="s">
        <v>1017</v>
      </c>
      <c r="E4883" s="11" t="str">
        <f t="array" ref="E4883">_xlfn.XLOOKUP(D4883,Insumos!B:B,Insumos!C:$C)</f>
        <v>M2</v>
      </c>
      <c r="F4883" s="14">
        <v>1.357</v>
      </c>
      <c r="G4883" s="87">
        <f t="array" ref="G4883">IF(B4883="insumo",_xlfn.XLOOKUP($D4883,Insumos!$B$1:$B$996,Insumos!$D$1:$D$996),"")</f>
        <v>66.05</v>
      </c>
      <c r="H4883" s="87">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332">
        <v>1</v>
      </c>
      <c r="B4884" s="332" t="s">
        <v>67</v>
      </c>
      <c r="C4884" s="332" t="s">
        <v>1018</v>
      </c>
      <c r="D4884" s="332" t="s">
        <v>1018</v>
      </c>
      <c r="E4884" s="333" t="s">
        <v>151</v>
      </c>
      <c r="F4884" s="332"/>
      <c r="G4884" s="334" t="str">
        <f t="array" ref="G4884">IF(B4884="insumo",_xlfn.XLOOKUP($D4884,Insumos!$B$1:$B$996,Insumos!$D$1:$D$996),"")</f>
        <v/>
      </c>
      <c r="H4884" s="334">
        <v>274.31142999999997</v>
      </c>
      <c r="I4884" s="335">
        <v>0</v>
      </c>
      <c r="J4884" s="335">
        <v>0</v>
      </c>
      <c r="K4884" s="335"/>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70</v>
      </c>
      <c r="C4885" s="10" t="s">
        <v>1018</v>
      </c>
      <c r="D4885" s="10" t="s">
        <v>1015</v>
      </c>
      <c r="E4885" s="11" t="str">
        <f t="array" ref="E4885">_xlfn.XLOOKUP(D4885,Insumos!B:B,Insumos!C:$C)</f>
        <v>CJ</v>
      </c>
      <c r="F4885" s="14">
        <v>1.26</v>
      </c>
      <c r="G4885" s="87">
        <f t="array" ref="G4885">IF(B4885="insumo",_xlfn.XLOOKUP($D4885,Insumos!$B$1:$B$996,Insumos!$D$1:$D$996),"")</f>
        <v>0.26</v>
      </c>
      <c r="H4885" s="87">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70</v>
      </c>
      <c r="C4886" s="10" t="s">
        <v>1018</v>
      </c>
      <c r="D4886" s="10" t="s">
        <v>1016</v>
      </c>
      <c r="E4886" s="11" t="str">
        <f t="array" ref="E4886">_xlfn.XLOOKUP(D4886,Insumos!B:B,Insumos!C:$C)</f>
        <v>UN</v>
      </c>
      <c r="F4886" s="14">
        <v>1.26</v>
      </c>
      <c r="G4886" s="87">
        <f t="array" ref="G4886">IF(B4886="insumo",_xlfn.XLOOKUP($D4886,Insumos!$B$1:$B$996,Insumos!$D$1:$D$996),"")</f>
        <v>4</v>
      </c>
      <c r="H4886" s="87">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70</v>
      </c>
      <c r="C4887" s="10" t="s">
        <v>1018</v>
      </c>
      <c r="D4887" s="10" t="s">
        <v>1019</v>
      </c>
      <c r="E4887" s="11" t="str">
        <f t="array" ref="E4887">_xlfn.XLOOKUP(D4887,Insumos!B:B,Insumos!C:$C)</f>
        <v>M2</v>
      </c>
      <c r="F4887" s="14">
        <v>1.357</v>
      </c>
      <c r="G4887" s="87">
        <f t="array" ref="G4887">IF(B4887="insumo",_xlfn.XLOOKUP($D4887,Insumos!$B$1:$B$996,Insumos!$D$1:$D$996),"")</f>
        <v>198.19</v>
      </c>
      <c r="H4887" s="87">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332">
        <v>1</v>
      </c>
      <c r="B4888" s="332" t="s">
        <v>67</v>
      </c>
      <c r="C4888" s="332" t="s">
        <v>1020</v>
      </c>
      <c r="D4888" s="332" t="s">
        <v>1020</v>
      </c>
      <c r="E4888" s="333" t="s">
        <v>112</v>
      </c>
      <c r="F4888" s="332"/>
      <c r="G4888" s="334" t="str">
        <f t="array" ref="G4888">IF(B4888="insumo",_xlfn.XLOOKUP($D4888,Insumos!$B$1:$B$996,Insumos!$D$1:$D$996),"")</f>
        <v/>
      </c>
      <c r="H4888" s="334">
        <v>53.077489</v>
      </c>
      <c r="I4888" s="335">
        <v>0</v>
      </c>
      <c r="J4888" s="335">
        <v>0</v>
      </c>
      <c r="K4888" s="335"/>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70</v>
      </c>
      <c r="C4889" s="10" t="s">
        <v>1020</v>
      </c>
      <c r="D4889" s="10" t="s">
        <v>1021</v>
      </c>
      <c r="E4889" s="11" t="str">
        <f t="array" ref="E4889">_xlfn.XLOOKUP(D4889,Insumos!B:B,Insumos!C:$C)</f>
        <v>M</v>
      </c>
      <c r="F4889" s="14">
        <v>1.05</v>
      </c>
      <c r="G4889" s="87">
        <f t="array" ref="G4889">IF(B4889="insumo",_xlfn.XLOOKUP($D4889,Insumos!$B$1:$B$996,Insumos!$D$1:$D$996),"")</f>
        <v>18.7148</v>
      </c>
      <c r="H4889" s="87">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70</v>
      </c>
      <c r="C4890" s="10" t="s">
        <v>1020</v>
      </c>
      <c r="D4890" s="10" t="s">
        <v>134</v>
      </c>
      <c r="E4890" s="11" t="str">
        <f t="array" ref="E4890">_xlfn.XLOOKUP(D4890,Insumos!B:B,Insumos!C:$C)</f>
        <v>KG</v>
      </c>
      <c r="F4890" s="14">
        <v>2.5000000000000001E-2</v>
      </c>
      <c r="G4890" s="87">
        <f t="array" ref="G4890">IF(B4890="insumo",_xlfn.XLOOKUP($D4890,Insumos!$B$1:$B$996,Insumos!$D$1:$D$996),"")</f>
        <v>15.65</v>
      </c>
      <c r="H4890" s="87">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70</v>
      </c>
      <c r="C4891" s="10" t="s">
        <v>1020</v>
      </c>
      <c r="D4891" s="10" t="s">
        <v>1022</v>
      </c>
      <c r="E4891" s="11" t="str">
        <f t="array" ref="E4891">_xlfn.XLOOKUP(D4891,Insumos!B:B,Insumos!C:$C)</f>
        <v>KG</v>
      </c>
      <c r="F4891" s="14">
        <v>4.8999999999999998E-3</v>
      </c>
      <c r="G4891" s="87">
        <f t="array" ref="G4891">IF(B4891="insumo",_xlfn.XLOOKUP($D4891,Insumos!$B$1:$B$996,Insumos!$D$1:$D$996),"")</f>
        <v>71.510000000000005</v>
      </c>
      <c r="H4891" s="87">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70</v>
      </c>
      <c r="C4892" s="10" t="s">
        <v>1020</v>
      </c>
      <c r="D4892" s="10" t="s">
        <v>851</v>
      </c>
      <c r="E4892" s="11" t="str">
        <f t="array" ref="E4892">_xlfn.XLOOKUP(D4892,Insumos!B:B,Insumos!C:$C)</f>
        <v>UN</v>
      </c>
      <c r="F4892" s="14">
        <v>0.161</v>
      </c>
      <c r="G4892" s="87">
        <f t="array" ref="G4892">IF(B4892="insumo",_xlfn.XLOOKUP($D4892,Insumos!$B$1:$B$996,Insumos!$D$1:$D$996),"")</f>
        <v>20.7</v>
      </c>
      <c r="H4892" s="87">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70</v>
      </c>
      <c r="C4893" s="10" t="s">
        <v>1020</v>
      </c>
      <c r="D4893" s="10" t="s">
        <v>1023</v>
      </c>
      <c r="E4893" s="11" t="str">
        <f t="array" ref="E4893">_xlfn.XLOOKUP(D4893,Insumos!B:B,Insumos!C:$C)</f>
        <v>KG</v>
      </c>
      <c r="F4893" s="14">
        <v>0.18</v>
      </c>
      <c r="G4893" s="87">
        <f t="array" ref="G4893">IF(B4893="insumo",_xlfn.XLOOKUP($D4893,Insumos!$B$1:$B$996,Insumos!$D$1:$D$996),"")</f>
        <v>163.07</v>
      </c>
      <c r="H4893" s="87">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332">
        <v>1</v>
      </c>
      <c r="B4894" s="332" t="s">
        <v>67</v>
      </c>
      <c r="C4894" s="332" t="s">
        <v>1024</v>
      </c>
      <c r="D4894" s="332" t="s">
        <v>1024</v>
      </c>
      <c r="E4894" s="333" t="s">
        <v>112</v>
      </c>
      <c r="F4894" s="332"/>
      <c r="G4894" s="334" t="str">
        <f t="array" ref="G4894">IF(B4894="insumo",_xlfn.XLOOKUP($D4894,Insumos!$B$1:$B$996,Insumos!$D$1:$D$996),"")</f>
        <v/>
      </c>
      <c r="H4894" s="334">
        <v>57.612228999999999</v>
      </c>
      <c r="I4894" s="335">
        <v>0</v>
      </c>
      <c r="J4894" s="335">
        <v>0</v>
      </c>
      <c r="K4894" s="335"/>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70</v>
      </c>
      <c r="C4895" s="10" t="s">
        <v>1024</v>
      </c>
      <c r="D4895" s="10" t="s">
        <v>1025</v>
      </c>
      <c r="E4895" s="11" t="str">
        <f t="array" ref="E4895">_xlfn.XLOOKUP(D4895,Insumos!B:B,Insumos!C:$C)</f>
        <v>M</v>
      </c>
      <c r="F4895" s="14">
        <v>1.05</v>
      </c>
      <c r="G4895" s="87">
        <f t="array" ref="G4895">IF(B4895="insumo",_xlfn.XLOOKUP($D4895,Insumos!$B$1:$B$996,Insumos!$D$1:$D$996),"")</f>
        <v>23.0336</v>
      </c>
      <c r="H4895" s="87">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70</v>
      </c>
      <c r="C4896" s="10" t="s">
        <v>1024</v>
      </c>
      <c r="D4896" s="10" t="s">
        <v>134</v>
      </c>
      <c r="E4896" s="11" t="str">
        <f t="array" ref="E4896">_xlfn.XLOOKUP(D4896,Insumos!B:B,Insumos!C:$C)</f>
        <v>KG</v>
      </c>
      <c r="F4896" s="14">
        <v>2.5000000000000001E-2</v>
      </c>
      <c r="G4896" s="87">
        <f t="array" ref="G4896">IF(B4896="insumo",_xlfn.XLOOKUP($D4896,Insumos!$B$1:$B$996,Insumos!$D$1:$D$996),"")</f>
        <v>15.65</v>
      </c>
      <c r="H4896" s="87">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70</v>
      </c>
      <c r="C4897" s="10" t="s">
        <v>1024</v>
      </c>
      <c r="D4897" s="10" t="s">
        <v>1022</v>
      </c>
      <c r="E4897" s="11" t="str">
        <f t="array" ref="E4897">_xlfn.XLOOKUP(D4897,Insumos!B:B,Insumos!C:$C)</f>
        <v>KG</v>
      </c>
      <c r="F4897" s="14">
        <v>4.8999999999999998E-3</v>
      </c>
      <c r="G4897" s="87">
        <f t="array" ref="G4897">IF(B4897="insumo",_xlfn.XLOOKUP($D4897,Insumos!$B$1:$B$996,Insumos!$D$1:$D$996),"")</f>
        <v>71.510000000000005</v>
      </c>
      <c r="H4897" s="87">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70</v>
      </c>
      <c r="C4898" s="10" t="s">
        <v>1024</v>
      </c>
      <c r="D4898" s="10" t="s">
        <v>851</v>
      </c>
      <c r="E4898" s="11" t="str">
        <f t="array" ref="E4898">_xlfn.XLOOKUP(D4898,Insumos!B:B,Insumos!C:$C)</f>
        <v>UN</v>
      </c>
      <c r="F4898" s="14">
        <v>0.161</v>
      </c>
      <c r="G4898" s="87">
        <f t="array" ref="G4898">IF(B4898="insumo",_xlfn.XLOOKUP($D4898,Insumos!$B$1:$B$996,Insumos!$D$1:$D$996),"")</f>
        <v>20.7</v>
      </c>
      <c r="H4898" s="87">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70</v>
      </c>
      <c r="C4899" s="10" t="s">
        <v>1024</v>
      </c>
      <c r="D4899" s="10" t="s">
        <v>1023</v>
      </c>
      <c r="E4899" s="11" t="str">
        <f t="array" ref="E4899">_xlfn.XLOOKUP(D4899,Insumos!B:B,Insumos!C:$C)</f>
        <v>KG</v>
      </c>
      <c r="F4899" s="14">
        <v>0.18</v>
      </c>
      <c r="G4899" s="87">
        <f t="array" ref="G4899">IF(B4899="insumo",_xlfn.XLOOKUP($D4899,Insumos!$B$1:$B$996,Insumos!$D$1:$D$996),"")</f>
        <v>163.07</v>
      </c>
      <c r="H4899" s="87">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332">
        <v>1</v>
      </c>
      <c r="B4900" s="332" t="s">
        <v>67</v>
      </c>
      <c r="C4900" s="332" t="s">
        <v>1026</v>
      </c>
      <c r="D4900" s="332" t="s">
        <v>1026</v>
      </c>
      <c r="E4900" s="333" t="s">
        <v>112</v>
      </c>
      <c r="F4900" s="332"/>
      <c r="G4900" s="334" t="str">
        <f t="array" ref="G4900">IF(B4900="insumo",_xlfn.XLOOKUP($D4900,Insumos!$B$1:$B$996,Insumos!$D$1:$D$996),"")</f>
        <v/>
      </c>
      <c r="H4900" s="334">
        <v>71.216448999999997</v>
      </c>
      <c r="I4900" s="335">
        <v>0</v>
      </c>
      <c r="J4900" s="335">
        <v>0</v>
      </c>
      <c r="K4900" s="335"/>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70</v>
      </c>
      <c r="C4901" s="10" t="s">
        <v>1026</v>
      </c>
      <c r="D4901" s="10" t="s">
        <v>1027</v>
      </c>
      <c r="E4901" s="11" t="str">
        <f t="array" ref="E4901">_xlfn.XLOOKUP(D4901,Insumos!B:B,Insumos!C:$C)</f>
        <v>M</v>
      </c>
      <c r="F4901" s="14">
        <v>1.05</v>
      </c>
      <c r="G4901" s="87">
        <f t="array" ref="G4901">IF(B4901="insumo",_xlfn.XLOOKUP($D4901,Insumos!$B$1:$B$996,Insumos!$D$1:$D$996),"")</f>
        <v>35.99</v>
      </c>
      <c r="H4901" s="87">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70</v>
      </c>
      <c r="C4902" s="10" t="s">
        <v>1026</v>
      </c>
      <c r="D4902" s="10" t="s">
        <v>134</v>
      </c>
      <c r="E4902" s="11" t="str">
        <f t="array" ref="E4902">_xlfn.XLOOKUP(D4902,Insumos!B:B,Insumos!C:$C)</f>
        <v>KG</v>
      </c>
      <c r="F4902" s="14">
        <v>2.5000000000000001E-2</v>
      </c>
      <c r="G4902" s="87">
        <f t="array" ref="G4902">IF(B4902="insumo",_xlfn.XLOOKUP($D4902,Insumos!$B$1:$B$996,Insumos!$D$1:$D$996),"")</f>
        <v>15.65</v>
      </c>
      <c r="H4902" s="87">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70</v>
      </c>
      <c r="C4903" s="10" t="s">
        <v>1026</v>
      </c>
      <c r="D4903" s="10" t="s">
        <v>1022</v>
      </c>
      <c r="E4903" s="11" t="str">
        <f t="array" ref="E4903">_xlfn.XLOOKUP(D4903,Insumos!B:B,Insumos!C:$C)</f>
        <v>KG</v>
      </c>
      <c r="F4903" s="14">
        <v>4.8999999999999998E-3</v>
      </c>
      <c r="G4903" s="87">
        <f t="array" ref="G4903">IF(B4903="insumo",_xlfn.XLOOKUP($D4903,Insumos!$B$1:$B$996,Insumos!$D$1:$D$996),"")</f>
        <v>71.510000000000005</v>
      </c>
      <c r="H4903" s="87">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70</v>
      </c>
      <c r="C4904" s="10" t="s">
        <v>1026</v>
      </c>
      <c r="D4904" s="10" t="s">
        <v>851</v>
      </c>
      <c r="E4904" s="11" t="str">
        <f t="array" ref="E4904">_xlfn.XLOOKUP(D4904,Insumos!B:B,Insumos!C:$C)</f>
        <v>UN</v>
      </c>
      <c r="F4904" s="14">
        <v>0.161</v>
      </c>
      <c r="G4904" s="87">
        <f t="array" ref="G4904">IF(B4904="insumo",_xlfn.XLOOKUP($D4904,Insumos!$B$1:$B$996,Insumos!$D$1:$D$996),"")</f>
        <v>20.7</v>
      </c>
      <c r="H4904" s="87">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70</v>
      </c>
      <c r="C4905" s="10" t="s">
        <v>1026</v>
      </c>
      <c r="D4905" s="10" t="s">
        <v>1023</v>
      </c>
      <c r="E4905" s="11" t="str">
        <f t="array" ref="E4905">_xlfn.XLOOKUP(D4905,Insumos!B:B,Insumos!C:$C)</f>
        <v>KG</v>
      </c>
      <c r="F4905" s="14">
        <v>0.18</v>
      </c>
      <c r="G4905" s="87">
        <f t="array" ref="G4905">IF(B4905="insumo",_xlfn.XLOOKUP($D4905,Insumos!$B$1:$B$996,Insumos!$D$1:$D$996),"")</f>
        <v>163.07</v>
      </c>
      <c r="H4905" s="87">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332">
        <v>1</v>
      </c>
      <c r="B4906" s="332" t="s">
        <v>67</v>
      </c>
      <c r="C4906" s="332" t="s">
        <v>1028</v>
      </c>
      <c r="D4906" s="332" t="s">
        <v>1028</v>
      </c>
      <c r="E4906" s="333" t="s">
        <v>112</v>
      </c>
      <c r="F4906" s="332"/>
      <c r="G4906" s="334" t="str">
        <f t="array" ref="G4906">IF(B4906="insumo",_xlfn.XLOOKUP($D4906,Insumos!$B$1:$B$996,Insumos!$D$1:$D$996),"")</f>
        <v/>
      </c>
      <c r="H4906" s="334">
        <v>82.426948999999993</v>
      </c>
      <c r="I4906" s="335">
        <v>0</v>
      </c>
      <c r="J4906" s="335">
        <v>0</v>
      </c>
      <c r="K4906" s="335"/>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70</v>
      </c>
      <c r="C4907" s="10" t="s">
        <v>1028</v>
      </c>
      <c r="D4907" s="10" t="s">
        <v>1029</v>
      </c>
      <c r="E4907" s="11" t="str">
        <f t="array" ref="E4907">_xlfn.XLOOKUP(D4907,Insumos!B:B,Insumos!C:$C)</f>
        <v>M</v>
      </c>
      <c r="F4907" s="14">
        <v>1.05</v>
      </c>
      <c r="G4907" s="87">
        <f t="array" ref="G4907">IF(B4907="insumo",_xlfn.XLOOKUP($D4907,Insumos!$B$1:$B$996,Insumos!$D$1:$D$996),"")</f>
        <v>46.666666666666664</v>
      </c>
      <c r="H4907" s="87">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70</v>
      </c>
      <c r="C4908" s="10" t="s">
        <v>1028</v>
      </c>
      <c r="D4908" s="10" t="s">
        <v>134</v>
      </c>
      <c r="E4908" s="11" t="str">
        <f t="array" ref="E4908">_xlfn.XLOOKUP(D4908,Insumos!B:B,Insumos!C:$C)</f>
        <v>KG</v>
      </c>
      <c r="F4908" s="14">
        <v>2.5000000000000001E-2</v>
      </c>
      <c r="G4908" s="87">
        <f t="array" ref="G4908">IF(B4908="insumo",_xlfn.XLOOKUP($D4908,Insumos!$B$1:$B$996,Insumos!$D$1:$D$996),"")</f>
        <v>15.65</v>
      </c>
      <c r="H4908" s="87">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70</v>
      </c>
      <c r="C4909" s="10" t="s">
        <v>1028</v>
      </c>
      <c r="D4909" s="10" t="s">
        <v>1022</v>
      </c>
      <c r="E4909" s="11" t="str">
        <f t="array" ref="E4909">_xlfn.XLOOKUP(D4909,Insumos!B:B,Insumos!C:$C)</f>
        <v>KG</v>
      </c>
      <c r="F4909" s="14">
        <v>4.8999999999999998E-3</v>
      </c>
      <c r="G4909" s="87">
        <f t="array" ref="G4909">IF(B4909="insumo",_xlfn.XLOOKUP($D4909,Insumos!$B$1:$B$996,Insumos!$D$1:$D$996),"")</f>
        <v>71.510000000000005</v>
      </c>
      <c r="H4909" s="87">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70</v>
      </c>
      <c r="C4910" s="10" t="s">
        <v>1028</v>
      </c>
      <c r="D4910" s="10" t="s">
        <v>851</v>
      </c>
      <c r="E4910" s="11" t="str">
        <f t="array" ref="E4910">_xlfn.XLOOKUP(D4910,Insumos!B:B,Insumos!C:$C)</f>
        <v>UN</v>
      </c>
      <c r="F4910" s="14">
        <v>0.161</v>
      </c>
      <c r="G4910" s="87">
        <f t="array" ref="G4910">IF(B4910="insumo",_xlfn.XLOOKUP($D4910,Insumos!$B$1:$B$996,Insumos!$D$1:$D$996),"")</f>
        <v>20.7</v>
      </c>
      <c r="H4910" s="87">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70</v>
      </c>
      <c r="C4911" s="10" t="s">
        <v>1028</v>
      </c>
      <c r="D4911" s="10" t="s">
        <v>1023</v>
      </c>
      <c r="E4911" s="11" t="str">
        <f t="array" ref="E4911">_xlfn.XLOOKUP(D4911,Insumos!B:B,Insumos!C:$C)</f>
        <v>KG</v>
      </c>
      <c r="F4911" s="14">
        <v>0.18</v>
      </c>
      <c r="G4911" s="87">
        <f t="array" ref="G4911">IF(B4911="insumo",_xlfn.XLOOKUP($D4911,Insumos!$B$1:$B$996,Insumos!$D$1:$D$996),"")</f>
        <v>163.07</v>
      </c>
      <c r="H4911" s="87">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332">
        <v>1</v>
      </c>
      <c r="B4912" s="332" t="s">
        <v>67</v>
      </c>
      <c r="C4912" s="332" t="s">
        <v>1030</v>
      </c>
      <c r="D4912" s="332" t="s">
        <v>1030</v>
      </c>
      <c r="E4912" s="333" t="s">
        <v>112</v>
      </c>
      <c r="F4912" s="332"/>
      <c r="G4912" s="334" t="str">
        <f t="array" ref="G4912">IF(B4912="insumo",_xlfn.XLOOKUP($D4912,Insumos!$B$1:$B$996,Insumos!$D$1:$D$996),"")</f>
        <v/>
      </c>
      <c r="H4912" s="334">
        <v>96.391948999999997</v>
      </c>
      <c r="I4912" s="335">
        <v>0</v>
      </c>
      <c r="J4912" s="335">
        <v>0</v>
      </c>
      <c r="K4912" s="335"/>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70</v>
      </c>
      <c r="C4913" s="10" t="s">
        <v>1030</v>
      </c>
      <c r="D4913" s="10" t="s">
        <v>1030</v>
      </c>
      <c r="E4913" s="11" t="str">
        <f t="array" ref="E4913">_xlfn.XLOOKUP(D4913,Insumos!B:B,Insumos!C:$C)</f>
        <v>M</v>
      </c>
      <c r="F4913" s="14">
        <v>1.05</v>
      </c>
      <c r="G4913" s="87">
        <f t="array" ref="G4913">IF(B4913="insumo",_xlfn.XLOOKUP($D4913,Insumos!$B$1:$B$996,Insumos!$D$1:$D$996),"")</f>
        <v>59.966666666666669</v>
      </c>
      <c r="H4913" s="87">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70</v>
      </c>
      <c r="C4914" s="10" t="s">
        <v>1030</v>
      </c>
      <c r="D4914" s="10" t="s">
        <v>134</v>
      </c>
      <c r="E4914" s="11" t="str">
        <f t="array" ref="E4914">_xlfn.XLOOKUP(D4914,Insumos!B:B,Insumos!C:$C)</f>
        <v>KG</v>
      </c>
      <c r="F4914" s="14">
        <v>2.5000000000000001E-2</v>
      </c>
      <c r="G4914" s="87">
        <f t="array" ref="G4914">IF(B4914="insumo",_xlfn.XLOOKUP($D4914,Insumos!$B$1:$B$996,Insumos!$D$1:$D$996),"")</f>
        <v>15.65</v>
      </c>
      <c r="H4914" s="87">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70</v>
      </c>
      <c r="C4915" s="10" t="s">
        <v>1030</v>
      </c>
      <c r="D4915" s="10" t="s">
        <v>1022</v>
      </c>
      <c r="E4915" s="11" t="str">
        <f t="array" ref="E4915">_xlfn.XLOOKUP(D4915,Insumos!B:B,Insumos!C:$C)</f>
        <v>KG</v>
      </c>
      <c r="F4915" s="14">
        <v>4.8999999999999998E-3</v>
      </c>
      <c r="G4915" s="87">
        <f t="array" ref="G4915">IF(B4915="insumo",_xlfn.XLOOKUP($D4915,Insumos!$B$1:$B$996,Insumos!$D$1:$D$996),"")</f>
        <v>71.510000000000005</v>
      </c>
      <c r="H4915" s="87">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70</v>
      </c>
      <c r="C4916" s="10" t="s">
        <v>1030</v>
      </c>
      <c r="D4916" s="10" t="s">
        <v>851</v>
      </c>
      <c r="E4916" s="11" t="str">
        <f t="array" ref="E4916">_xlfn.XLOOKUP(D4916,Insumos!B:B,Insumos!C:$C)</f>
        <v>UN</v>
      </c>
      <c r="F4916" s="14">
        <v>0.161</v>
      </c>
      <c r="G4916" s="87">
        <f t="array" ref="G4916">IF(B4916="insumo",_xlfn.XLOOKUP($D4916,Insumos!$B$1:$B$996,Insumos!$D$1:$D$996),"")</f>
        <v>20.7</v>
      </c>
      <c r="H4916" s="87">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70</v>
      </c>
      <c r="C4917" s="10" t="s">
        <v>1030</v>
      </c>
      <c r="D4917" s="10" t="s">
        <v>1023</v>
      </c>
      <c r="E4917" s="11" t="str">
        <f t="array" ref="E4917">_xlfn.XLOOKUP(D4917,Insumos!B:B,Insumos!C:$C)</f>
        <v>KG</v>
      </c>
      <c r="F4917" s="14">
        <v>0.18</v>
      </c>
      <c r="G4917" s="87">
        <f t="array" ref="G4917">IF(B4917="insumo",_xlfn.XLOOKUP($D4917,Insumos!$B$1:$B$996,Insumos!$D$1:$D$996),"")</f>
        <v>163.07</v>
      </c>
      <c r="H4917" s="87">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336">
        <v>1</v>
      </c>
      <c r="B4918" s="336" t="s">
        <v>67</v>
      </c>
      <c r="C4918" s="336" t="s">
        <v>1935</v>
      </c>
      <c r="D4918" s="336" t="s">
        <v>1935</v>
      </c>
      <c r="E4918" s="337" t="s">
        <v>112</v>
      </c>
      <c r="F4918" s="336"/>
      <c r="G4918" s="338" t="str">
        <f t="array" ref="G4918">IF(B4918="insumo",_xlfn.XLOOKUP($D4918,Insumos!$B$1:$B$996,Insumos!$D$1:$D$996),"")</f>
        <v/>
      </c>
      <c r="H4918" s="338">
        <v>163.690248</v>
      </c>
      <c r="I4918" s="339">
        <v>0</v>
      </c>
      <c r="J4918" s="339">
        <v>0</v>
      </c>
      <c r="K4918" s="339"/>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77">
        <v>7</v>
      </c>
      <c r="B4919" s="77" t="s">
        <v>70</v>
      </c>
      <c r="C4919" s="77" t="s">
        <v>1935</v>
      </c>
      <c r="D4919" s="77" t="s">
        <v>1022</v>
      </c>
      <c r="E4919" s="11" t="str">
        <f t="array" ref="E4919">_xlfn.XLOOKUP(D4919,Insumos!B:B,Insumos!C:$C)</f>
        <v>KG</v>
      </c>
      <c r="F4919" s="81">
        <v>4.7999999999999996E-3</v>
      </c>
      <c r="G4919" s="87">
        <f t="array" ref="G4919">IF(B4919="insumo",_xlfn.XLOOKUP($D4919,Insumos!$B$1:$B$996,Insumos!$D$1:$D$996),"")</f>
        <v>71.510000000000005</v>
      </c>
      <c r="H4919" s="87">
        <v>0.343248</v>
      </c>
      <c r="I4919" s="79">
        <v>0</v>
      </c>
      <c r="J4919" s="79">
        <v>0</v>
      </c>
      <c r="K4919" s="79"/>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77">
        <v>2</v>
      </c>
      <c r="B4920" s="77" t="s">
        <v>70</v>
      </c>
      <c r="C4920" s="77" t="s">
        <v>1935</v>
      </c>
      <c r="D4920" s="77" t="s">
        <v>1032</v>
      </c>
      <c r="E4920" s="11" t="str">
        <f t="array" ref="E4920">_xlfn.XLOOKUP(D4920,Insumos!B:B,Insumos!C:$C)</f>
        <v>M</v>
      </c>
      <c r="F4920" s="81">
        <v>4.2</v>
      </c>
      <c r="G4920" s="87">
        <f t="array" ref="G4920">IF(B4920="insumo",_xlfn.XLOOKUP($D4920,Insumos!$B$1:$B$996,Insumos!$D$1:$D$996),"")</f>
        <v>28</v>
      </c>
      <c r="H4920" s="87">
        <v>117.6</v>
      </c>
      <c r="I4920" s="79">
        <v>0</v>
      </c>
      <c r="J4920" s="79">
        <v>0</v>
      </c>
      <c r="K4920" s="79"/>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77">
        <v>10</v>
      </c>
      <c r="B4921" s="77" t="s">
        <v>70</v>
      </c>
      <c r="C4921" s="77" t="s">
        <v>1935</v>
      </c>
      <c r="D4921" s="77" t="s">
        <v>851</v>
      </c>
      <c r="E4921" s="11" t="str">
        <f t="array" ref="E4921">_xlfn.XLOOKUP(D4921,Insumos!B:B,Insumos!C:$C)</f>
        <v>UN</v>
      </c>
      <c r="F4921" s="81">
        <v>0.79200000000000004</v>
      </c>
      <c r="G4921" s="87">
        <f t="array" ref="G4921">IF(B4921="insumo",_xlfn.XLOOKUP($D4921,Insumos!$B$1:$B$996,Insumos!$D$1:$D$996),"")</f>
        <v>20.7</v>
      </c>
      <c r="H4921" s="87">
        <v>16.394400000000001</v>
      </c>
      <c r="I4921" s="79">
        <v>0</v>
      </c>
      <c r="J4921" s="79">
        <v>0</v>
      </c>
      <c r="K4921" s="79"/>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77">
        <v>7</v>
      </c>
      <c r="B4922" s="77" t="s">
        <v>70</v>
      </c>
      <c r="C4922" s="77" t="s">
        <v>1935</v>
      </c>
      <c r="D4922" s="77" t="s">
        <v>1023</v>
      </c>
      <c r="E4922" s="11" t="str">
        <f t="array" ref="E4922">_xlfn.XLOOKUP(D4922,Insumos!B:B,Insumos!C:$C)</f>
        <v>KG</v>
      </c>
      <c r="F4922" s="81">
        <v>0.18</v>
      </c>
      <c r="G4922" s="87">
        <f t="array" ref="G4922">IF(B4922="insumo",_xlfn.XLOOKUP($D4922,Insumos!$B$1:$B$996,Insumos!$D$1:$D$996),"")</f>
        <v>163.07</v>
      </c>
      <c r="H4922" s="87">
        <v>29.352599999999999</v>
      </c>
      <c r="I4922" s="79">
        <v>0</v>
      </c>
      <c r="J4922" s="79">
        <v>0</v>
      </c>
      <c r="K4922" s="79"/>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332">
        <v>1</v>
      </c>
      <c r="B4923" s="332" t="s">
        <v>67</v>
      </c>
      <c r="C4923" s="332" t="s">
        <v>1031</v>
      </c>
      <c r="D4923" s="332" t="s">
        <v>1031</v>
      </c>
      <c r="E4923" s="333" t="s">
        <v>112</v>
      </c>
      <c r="F4923" s="332"/>
      <c r="G4923" s="334" t="str">
        <f t="array" ref="G4923">IF(B4923="insumo",_xlfn.XLOOKUP($D4923,Insumos!$B$1:$B$996,Insumos!$D$1:$D$996),"")</f>
        <v/>
      </c>
      <c r="H4923" s="334">
        <v>40.922561999999999</v>
      </c>
      <c r="I4923" s="335">
        <v>0</v>
      </c>
      <c r="J4923" s="335">
        <v>0</v>
      </c>
      <c r="K4923" s="335"/>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70</v>
      </c>
      <c r="C4924" s="10" t="s">
        <v>1031</v>
      </c>
      <c r="D4924" s="10" t="s">
        <v>1022</v>
      </c>
      <c r="E4924" s="11" t="str">
        <f t="array" ref="E4924">_xlfn.XLOOKUP(D4924,Insumos!B:B,Insumos!C:$C)</f>
        <v>KG</v>
      </c>
      <c r="F4924" s="14">
        <v>1.1999999999999999E-3</v>
      </c>
      <c r="G4924" s="87">
        <f t="array" ref="G4924">IF(B4924="insumo",_xlfn.XLOOKUP($D4924,Insumos!$B$1:$B$996,Insumos!$D$1:$D$996),"")</f>
        <v>71.510000000000005</v>
      </c>
      <c r="H4924" s="87">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70</v>
      </c>
      <c r="C4925" s="10" t="s">
        <v>1031</v>
      </c>
      <c r="D4925" s="10" t="s">
        <v>1032</v>
      </c>
      <c r="E4925" s="11" t="str">
        <f t="array" ref="E4925">_xlfn.XLOOKUP(D4925,Insumos!B:B,Insumos!C:$C)</f>
        <v>M</v>
      </c>
      <c r="F4925" s="14">
        <v>1.05</v>
      </c>
      <c r="G4925" s="87">
        <f t="array" ref="G4925">IF(B4925="insumo",_xlfn.XLOOKUP($D4925,Insumos!$B$1:$B$996,Insumos!$D$1:$D$996),"")</f>
        <v>28</v>
      </c>
      <c r="H4925" s="87">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70</v>
      </c>
      <c r="C4926" s="10" t="s">
        <v>1031</v>
      </c>
      <c r="D4926" s="10" t="s">
        <v>851</v>
      </c>
      <c r="E4926" s="11" t="str">
        <f t="array" ref="E4926">_xlfn.XLOOKUP(D4926,Insumos!B:B,Insumos!C:$C)</f>
        <v>UN</v>
      </c>
      <c r="F4926" s="14">
        <v>0.19800000000000001</v>
      </c>
      <c r="G4926" s="87">
        <f t="array" ref="G4926">IF(B4926="insumo",_xlfn.XLOOKUP($D4926,Insumos!$B$1:$B$996,Insumos!$D$1:$D$996),"")</f>
        <v>20.7</v>
      </c>
      <c r="H4926" s="87">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70</v>
      </c>
      <c r="C4927" s="10" t="s">
        <v>1031</v>
      </c>
      <c r="D4927" s="10" t="s">
        <v>1023</v>
      </c>
      <c r="E4927" s="11" t="str">
        <f t="array" ref="E4927">_xlfn.XLOOKUP(D4927,Insumos!B:B,Insumos!C:$C)</f>
        <v>KG</v>
      </c>
      <c r="F4927" s="14">
        <v>4.4999999999999998E-2</v>
      </c>
      <c r="G4927" s="87">
        <f t="array" ref="G4927">IF(B4927="insumo",_xlfn.XLOOKUP($D4927,Insumos!$B$1:$B$996,Insumos!$D$1:$D$996),"")</f>
        <v>163.07</v>
      </c>
      <c r="H4927" s="87">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332">
        <v>1</v>
      </c>
      <c r="B4928" s="332" t="s">
        <v>67</v>
      </c>
      <c r="C4928" s="332" t="s">
        <v>1033</v>
      </c>
      <c r="D4928" s="332" t="s">
        <v>1033</v>
      </c>
      <c r="E4928" s="333" t="s">
        <v>196</v>
      </c>
      <c r="F4928" s="332"/>
      <c r="G4928" s="334"/>
      <c r="H4928" s="334">
        <v>31541.087336244502</v>
      </c>
      <c r="I4928" s="335">
        <v>0</v>
      </c>
      <c r="J4928" s="335">
        <v>0</v>
      </c>
      <c r="K4928" s="335"/>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70</v>
      </c>
      <c r="C4929" s="10" t="s">
        <v>1033</v>
      </c>
      <c r="D4929" s="10" t="s">
        <v>1006</v>
      </c>
      <c r="E4929" s="11" t="str">
        <f t="array" ref="E4929">_xlfn.XLOOKUP(D4929,Insumos!B:B,Insumos!C:$C)</f>
        <v>UN</v>
      </c>
      <c r="F4929" s="14">
        <v>1</v>
      </c>
      <c r="G4929" s="87">
        <f t="array" ref="G4929">IF(B4929="insumo",_xlfn.XLOOKUP($D4929,Insumos!$B$1:$B$996,Insumos!$D$1:$D$996),"")</f>
        <v>30657</v>
      </c>
      <c r="H4929" s="87">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70</v>
      </c>
      <c r="C4930" s="10" t="s">
        <v>1033</v>
      </c>
      <c r="D4930" s="10" t="s">
        <v>1034</v>
      </c>
      <c r="E4930" s="11" t="str">
        <f t="array" ref="E4930">_xlfn.XLOOKUP(D4930,Insumos!B:B,Insumos!C:$C)</f>
        <v>UN</v>
      </c>
      <c r="F4930" s="14">
        <v>1</v>
      </c>
      <c r="G4930" s="87">
        <f t="array" ref="G4930">IF(B4930="insumo",_xlfn.XLOOKUP($D4930,Insumos!$B$1:$B$996,Insumos!$D$1:$D$996),"")</f>
        <v>120.08733624454149</v>
      </c>
      <c r="H4930" s="87">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70</v>
      </c>
      <c r="C4931" s="10" t="s">
        <v>1033</v>
      </c>
      <c r="D4931" s="10" t="s">
        <v>1035</v>
      </c>
      <c r="E4931" s="11" t="str">
        <f t="array" ref="E4931">_xlfn.XLOOKUP(D4931,Insumos!B:B,Insumos!C:$C)</f>
        <v>UN</v>
      </c>
      <c r="F4931" s="14">
        <v>2</v>
      </c>
      <c r="G4931" s="87">
        <f t="array" ref="G4931">IF(B4931="insumo",_xlfn.XLOOKUP($D4931,Insumos!$B$1:$B$996,Insumos!$D$1:$D$996),"")</f>
        <v>382</v>
      </c>
      <c r="H4931" s="87">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332">
        <v>1</v>
      </c>
      <c r="B4932" s="332" t="s">
        <v>67</v>
      </c>
      <c r="C4932" s="332" t="s">
        <v>1036</v>
      </c>
      <c r="D4932" s="332" t="s">
        <v>1036</v>
      </c>
      <c r="E4932" s="333" t="s">
        <v>196</v>
      </c>
      <c r="F4932" s="332"/>
      <c r="G4932" s="334"/>
      <c r="H4932" s="334">
        <v>32305.087336244502</v>
      </c>
      <c r="I4932" s="335">
        <v>0</v>
      </c>
      <c r="J4932" s="335">
        <v>0</v>
      </c>
      <c r="K4932" s="335"/>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70</v>
      </c>
      <c r="C4933" s="10" t="s">
        <v>1036</v>
      </c>
      <c r="D4933" s="10" t="s">
        <v>1006</v>
      </c>
      <c r="E4933" s="11" t="str">
        <f t="array" ref="E4933">_xlfn.XLOOKUP(D4933,Insumos!B:B,Insumos!C:$C)</f>
        <v>UN</v>
      </c>
      <c r="F4933" s="14">
        <v>1</v>
      </c>
      <c r="G4933" s="87">
        <f t="array" ref="G4933">IF(B4933="insumo",_xlfn.XLOOKUP($D4933,Insumos!$B$1:$B$996,Insumos!$D$1:$D$996),"")</f>
        <v>30657</v>
      </c>
      <c r="H4933" s="87">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70</v>
      </c>
      <c r="C4934" s="10" t="s">
        <v>1036</v>
      </c>
      <c r="D4934" s="10" t="s">
        <v>1034</v>
      </c>
      <c r="E4934" s="11" t="str">
        <f t="array" ref="E4934">_xlfn.XLOOKUP(D4934,Insumos!B:B,Insumos!C:$C)</f>
        <v>UN</v>
      </c>
      <c r="F4934" s="14">
        <v>1</v>
      </c>
      <c r="G4934" s="87">
        <f t="array" ref="G4934">IF(B4934="insumo",_xlfn.XLOOKUP($D4934,Insumos!$B$1:$B$996,Insumos!$D$1:$D$996),"")</f>
        <v>120.08733624454149</v>
      </c>
      <c r="H4934" s="87">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70</v>
      </c>
      <c r="C4935" s="10" t="s">
        <v>1036</v>
      </c>
      <c r="D4935" s="10" t="s">
        <v>1035</v>
      </c>
      <c r="E4935" s="11" t="str">
        <f t="array" ref="E4935">_xlfn.XLOOKUP(D4935,Insumos!B:B,Insumos!C:$C)</f>
        <v>UN</v>
      </c>
      <c r="F4935" s="14">
        <v>4</v>
      </c>
      <c r="G4935" s="87">
        <f t="array" ref="G4935">IF(B4935="insumo",_xlfn.XLOOKUP($D4935,Insumos!$B$1:$B$996,Insumos!$D$1:$D$996),"")</f>
        <v>382</v>
      </c>
      <c r="H4935" s="87">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332">
        <v>1</v>
      </c>
      <c r="B4936" s="332" t="s">
        <v>67</v>
      </c>
      <c r="C4936" s="332" t="s">
        <v>1037</v>
      </c>
      <c r="D4936" s="332" t="s">
        <v>1037</v>
      </c>
      <c r="E4936" s="333" t="s">
        <v>196</v>
      </c>
      <c r="F4936" s="332"/>
      <c r="G4936" s="334"/>
      <c r="H4936" s="334">
        <v>30777.087336244502</v>
      </c>
      <c r="I4936" s="335">
        <v>0</v>
      </c>
      <c r="J4936" s="335">
        <v>0</v>
      </c>
      <c r="K4936" s="335"/>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70</v>
      </c>
      <c r="C4937" s="10" t="s">
        <v>1037</v>
      </c>
      <c r="D4937" s="10" t="s">
        <v>1006</v>
      </c>
      <c r="E4937" s="11" t="str">
        <f t="array" ref="E4937">_xlfn.XLOOKUP(D4937,Insumos!B:B,Insumos!C:$C)</f>
        <v>UN</v>
      </c>
      <c r="F4937" s="14">
        <v>1</v>
      </c>
      <c r="G4937" s="87">
        <f t="array" ref="G4937">IF(B4937="insumo",_xlfn.XLOOKUP($D4937,Insumos!$B$1:$B$996,Insumos!$D$1:$D$996),"")</f>
        <v>30657</v>
      </c>
      <c r="H4937" s="87">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70</v>
      </c>
      <c r="C4938" s="10" t="s">
        <v>1037</v>
      </c>
      <c r="D4938" s="10" t="s">
        <v>1034</v>
      </c>
      <c r="E4938" s="11" t="str">
        <f t="array" ref="E4938">_xlfn.XLOOKUP(D4938,Insumos!B:B,Insumos!C:$C)</f>
        <v>UN</v>
      </c>
      <c r="F4938" s="14">
        <v>1</v>
      </c>
      <c r="G4938" s="87">
        <f t="array" ref="G4938">IF(B4938="insumo",_xlfn.XLOOKUP($D4938,Insumos!$B$1:$B$996,Insumos!$D$1:$D$996),"")</f>
        <v>120.08733624454149</v>
      </c>
      <c r="H4938" s="87">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332">
        <v>1</v>
      </c>
      <c r="B4939" s="332" t="s">
        <v>67</v>
      </c>
      <c r="C4939" s="332" t="s">
        <v>1038</v>
      </c>
      <c r="D4939" s="332" t="s">
        <v>1038</v>
      </c>
      <c r="E4939" s="333" t="s">
        <v>69</v>
      </c>
      <c r="F4939" s="340"/>
      <c r="G4939" s="334" t="str">
        <f t="array" ref="G4939">IF(B4939="insumo",_xlfn.XLOOKUP($D4939,Insumos!$B$1:$B$996,Insumos!$D$1:$D$996),"")</f>
        <v/>
      </c>
      <c r="H4939" s="334">
        <v>220</v>
      </c>
      <c r="I4939" s="335">
        <v>0</v>
      </c>
      <c r="J4939" s="335">
        <v>0</v>
      </c>
      <c r="K4939" s="335"/>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70</v>
      </c>
      <c r="C4940" s="10" t="s">
        <v>1038</v>
      </c>
      <c r="D4940" s="10" t="s">
        <v>1038</v>
      </c>
      <c r="E4940" s="11" t="str">
        <f t="array" ref="E4940">_xlfn.XLOOKUP(D4940,Insumos!B:B,Insumos!C:$C)</f>
        <v>M2</v>
      </c>
      <c r="F4940" s="14">
        <v>1</v>
      </c>
      <c r="G4940" s="87">
        <f t="array" ref="G4940">IF(B4940="insumo",_xlfn.XLOOKUP($D4940,Insumos!$B$1:$B$996,Insumos!$D$1:$D$996),"")</f>
        <v>220</v>
      </c>
      <c r="H4940" s="87">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65</v>
      </c>
      <c r="C4941" s="7" t="s">
        <v>1038</v>
      </c>
      <c r="D4941" s="7" t="s">
        <v>1039</v>
      </c>
      <c r="E4941" s="8"/>
      <c r="F4941" s="9"/>
      <c r="G4941" s="86" t="str">
        <f t="array" ref="G4941">IF(B4941="insumo",_xlfn.XLOOKUP($D4941,Insumos!$B$1:$B$996,Insumos!$D$1:$D$996),"")</f>
        <v/>
      </c>
      <c r="H4941" s="86">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332">
        <v>1</v>
      </c>
      <c r="B4942" s="332" t="s">
        <v>67</v>
      </c>
      <c r="C4942" s="332" t="s">
        <v>1040</v>
      </c>
      <c r="D4942" s="332" t="s">
        <v>1040</v>
      </c>
      <c r="E4942" s="333" t="s">
        <v>112</v>
      </c>
      <c r="F4942" s="332"/>
      <c r="G4942" s="334" t="str">
        <f t="array" ref="G4942">IF(B4942="insumo",_xlfn.XLOOKUP($D4942,Insumos!$B$1:$B$996,Insumos!$D$1:$D$996),"")</f>
        <v/>
      </c>
      <c r="H4942" s="334">
        <v>7.3973000000000004</v>
      </c>
      <c r="I4942" s="335">
        <v>0</v>
      </c>
      <c r="J4942" s="335">
        <v>0</v>
      </c>
      <c r="K4942" s="335"/>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70</v>
      </c>
      <c r="C4943" s="10" t="s">
        <v>1040</v>
      </c>
      <c r="D4943" s="10" t="s">
        <v>1041</v>
      </c>
      <c r="E4943" s="11" t="str">
        <f t="array" ref="E4943">_xlfn.XLOOKUP(D4943,Insumos!B:B,Insumos!C:$C)</f>
        <v>MÊS</v>
      </c>
      <c r="F4943" s="14">
        <v>5.4700000000000007E-4</v>
      </c>
      <c r="G4943" s="87">
        <f t="array" ref="G4943">IF(B4943="insumo",_xlfn.XLOOKUP($D4943,Insumos!$B$1:$B$996,Insumos!$D$1:$D$996),"")</f>
        <v>1500</v>
      </c>
      <c r="H4943" s="87">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70</v>
      </c>
      <c r="C4944" s="10" t="s">
        <v>1040</v>
      </c>
      <c r="D4944" s="10" t="s">
        <v>1042</v>
      </c>
      <c r="E4944" s="11" t="str">
        <f t="array" ref="E4944">_xlfn.XLOOKUP(D4944,Insumos!B:B,Insumos!C:$C)</f>
        <v>MÊS</v>
      </c>
      <c r="F4944" s="14">
        <v>2.5700000000000001E-4</v>
      </c>
      <c r="G4944" s="87">
        <f t="array" ref="G4944">IF(B4944="insumo",_xlfn.XLOOKUP($D4944,Insumos!$B$1:$B$996,Insumos!$D$1:$D$996),"")</f>
        <v>3200</v>
      </c>
      <c r="H4944" s="87">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70</v>
      </c>
      <c r="C4945" s="10" t="s">
        <v>1040</v>
      </c>
      <c r="D4945" s="10" t="s">
        <v>1043</v>
      </c>
      <c r="E4945" s="11" t="str">
        <f t="array" ref="E4945">_xlfn.XLOOKUP(D4945,Insumos!B:B,Insumos!C:$C)</f>
        <v>MÊS</v>
      </c>
      <c r="F4945" s="14">
        <v>3.57E-4</v>
      </c>
      <c r="G4945" s="87">
        <f t="array" ref="G4945">IF(B4945="insumo",_xlfn.XLOOKUP($D4945,Insumos!$B$1:$B$996,Insumos!$D$1:$D$996),"")</f>
        <v>3450</v>
      </c>
      <c r="H4945" s="87">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70</v>
      </c>
      <c r="C4946" s="10" t="s">
        <v>1040</v>
      </c>
      <c r="D4946" s="10" t="s">
        <v>1044</v>
      </c>
      <c r="E4946" s="11" t="str">
        <f t="array" ref="E4946">_xlfn.XLOOKUP(D4946,Insumos!B:B,Insumos!C:$C)</f>
        <v>MÊS</v>
      </c>
      <c r="F4946" s="14">
        <v>2.4600000000000002E-4</v>
      </c>
      <c r="G4946" s="87">
        <f t="array" ref="G4946">IF(B4946="insumo",_xlfn.XLOOKUP($D4946,Insumos!$B$1:$B$996,Insumos!$D$1:$D$996),"")</f>
        <v>5000</v>
      </c>
      <c r="H4946" s="87">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70</v>
      </c>
      <c r="C4947" s="10" t="s">
        <v>1040</v>
      </c>
      <c r="D4947" s="10" t="s">
        <v>1045</v>
      </c>
      <c r="E4947" s="11" t="str">
        <f t="array" ref="E4947">_xlfn.XLOOKUP(D4947,Insumos!B:B,Insumos!C:$C)</f>
        <v>MÊS</v>
      </c>
      <c r="F4947" s="14">
        <v>1.8100000000000001E-4</v>
      </c>
      <c r="G4947" s="87">
        <f t="array" ref="G4947">IF(B4947="insumo",_xlfn.XLOOKUP($D4947,Insumos!$B$1:$B$996,Insumos!$D$1:$D$996),"")</f>
        <v>4550</v>
      </c>
      <c r="H4947" s="87">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70</v>
      </c>
      <c r="C4948" s="10" t="s">
        <v>1040</v>
      </c>
      <c r="D4948" s="10" t="s">
        <v>1046</v>
      </c>
      <c r="E4948" s="11" t="str">
        <f t="array" ref="E4948">_xlfn.XLOOKUP(D4948,Insumos!B:B,Insumos!C:$C)</f>
        <v>MÊS</v>
      </c>
      <c r="F4948" s="14">
        <v>3.9199999999999999E-4</v>
      </c>
      <c r="G4948" s="87">
        <f t="array" ref="G4948">IF(B4948="insumo",_xlfn.XLOOKUP($D4948,Insumos!$B$1:$B$996,Insumos!$D$1:$D$996),"")</f>
        <v>4200</v>
      </c>
      <c r="H4948" s="87">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70</v>
      </c>
      <c r="C4949" s="10" t="s">
        <v>1040</v>
      </c>
      <c r="D4949" s="10" t="s">
        <v>1047</v>
      </c>
      <c r="E4949" s="11" t="str">
        <f t="array" ref="E4949">_xlfn.XLOOKUP(D4949,Insumos!B:B,Insumos!C:$C)</f>
        <v>MÊS</v>
      </c>
      <c r="F4949" s="14">
        <v>2.42E-4</v>
      </c>
      <c r="G4949" s="87">
        <f t="array" ref="G4949">IF(B4949="insumo",_xlfn.XLOOKUP($D4949,Insumos!$B$1:$B$996,Insumos!$D$1:$D$996),"")</f>
        <v>3400</v>
      </c>
      <c r="H4949" s="87">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332">
        <v>1</v>
      </c>
      <c r="B4950" s="332" t="s">
        <v>67</v>
      </c>
      <c r="C4950" s="332" t="s">
        <v>1048</v>
      </c>
      <c r="D4950" s="332" t="s">
        <v>1048</v>
      </c>
      <c r="E4950" s="333" t="s">
        <v>112</v>
      </c>
      <c r="F4950" s="332"/>
      <c r="G4950" s="334" t="str">
        <f t="array" ref="G4950">IF(B4950="insumo",_xlfn.XLOOKUP($D4950,Insumos!$B$1:$B$996,Insumos!$D$1:$D$996),"")</f>
        <v/>
      </c>
      <c r="H4950" s="334">
        <v>9.8454999999999995</v>
      </c>
      <c r="I4950" s="335">
        <v>0</v>
      </c>
      <c r="J4950" s="335">
        <v>0</v>
      </c>
      <c r="K4950" s="335"/>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70</v>
      </c>
      <c r="C4951" s="10" t="s">
        <v>1048</v>
      </c>
      <c r="D4951" s="10" t="s">
        <v>1041</v>
      </c>
      <c r="E4951" s="11" t="str">
        <f t="array" ref="E4951">_xlfn.XLOOKUP(D4951,Insumos!B:B,Insumos!C:$C)</f>
        <v>MÊS</v>
      </c>
      <c r="F4951" s="14">
        <v>8.1999999999999998E-4</v>
      </c>
      <c r="G4951" s="87">
        <f t="array" ref="G4951">IF(B4951="insumo",_xlfn.XLOOKUP($D4951,Insumos!$B$1:$B$996,Insumos!$D$1:$D$996),"")</f>
        <v>1500</v>
      </c>
      <c r="H4951" s="87">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70</v>
      </c>
      <c r="C4952" s="10" t="s">
        <v>1048</v>
      </c>
      <c r="D4952" s="10" t="s">
        <v>1042</v>
      </c>
      <c r="E4952" s="11" t="str">
        <f t="array" ref="E4952">_xlfn.XLOOKUP(D4952,Insumos!B:B,Insumos!C:$C)</f>
        <v>MÊS</v>
      </c>
      <c r="F4952" s="14">
        <v>3.8400000000000001E-4</v>
      </c>
      <c r="G4952" s="87">
        <f t="array" ref="G4952">IF(B4952="insumo",_xlfn.XLOOKUP($D4952,Insumos!$B$1:$B$996,Insumos!$D$1:$D$996),"")</f>
        <v>3200</v>
      </c>
      <c r="H4952" s="87">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70</v>
      </c>
      <c r="C4953" s="10" t="s">
        <v>1048</v>
      </c>
      <c r="D4953" s="10" t="s">
        <v>1043</v>
      </c>
      <c r="E4953" s="11" t="str">
        <f t="array" ref="E4953">_xlfn.XLOOKUP(D4953,Insumos!B:B,Insumos!C:$C)</f>
        <v>MÊS</v>
      </c>
      <c r="F4953" s="14">
        <v>3.57E-4</v>
      </c>
      <c r="G4953" s="87">
        <f t="array" ref="G4953">IF(B4953="insumo",_xlfn.XLOOKUP($D4953,Insumos!$B$1:$B$996,Insumos!$D$1:$D$996),"")</f>
        <v>3450</v>
      </c>
      <c r="H4953" s="87">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70</v>
      </c>
      <c r="C4954" s="10" t="s">
        <v>1048</v>
      </c>
      <c r="D4954" s="10" t="s">
        <v>1044</v>
      </c>
      <c r="E4954" s="11" t="str">
        <f t="array" ref="E4954">_xlfn.XLOOKUP(D4954,Insumos!B:B,Insumos!C:$C)</f>
        <v>MÊS</v>
      </c>
      <c r="F4954" s="14">
        <v>2.4600000000000002E-4</v>
      </c>
      <c r="G4954" s="87">
        <f t="array" ref="G4954">IF(B4954="insumo",_xlfn.XLOOKUP($D4954,Insumos!$B$1:$B$996,Insumos!$D$1:$D$996),"")</f>
        <v>5000</v>
      </c>
      <c r="H4954" s="87">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70</v>
      </c>
      <c r="C4955" s="10" t="s">
        <v>1048</v>
      </c>
      <c r="D4955" s="10" t="s">
        <v>1045</v>
      </c>
      <c r="E4955" s="11" t="str">
        <f t="array" ref="E4955">_xlfn.XLOOKUP(D4955,Insumos!B:B,Insumos!C:$C)</f>
        <v>MÊS</v>
      </c>
      <c r="F4955" s="14">
        <v>2.7100000000000003E-4</v>
      </c>
      <c r="G4955" s="87">
        <f t="array" ref="G4955">IF(B4955="insumo",_xlfn.XLOOKUP($D4955,Insumos!$B$1:$B$996,Insumos!$D$1:$D$996),"")</f>
        <v>4550</v>
      </c>
      <c r="H4955" s="87">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70</v>
      </c>
      <c r="C4956" s="10" t="s">
        <v>1048</v>
      </c>
      <c r="D4956" s="10" t="s">
        <v>1046</v>
      </c>
      <c r="E4956" s="11" t="str">
        <f t="array" ref="E4956">_xlfn.XLOOKUP(D4956,Insumos!B:B,Insumos!C:$C)</f>
        <v>MÊS</v>
      </c>
      <c r="F4956" s="14">
        <v>5.8600000000000004E-4</v>
      </c>
      <c r="G4956" s="87">
        <f t="array" ref="G4956">IF(B4956="insumo",_xlfn.XLOOKUP($D4956,Insumos!$B$1:$B$996,Insumos!$D$1:$D$996),"")</f>
        <v>4200</v>
      </c>
      <c r="H4956" s="87">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70</v>
      </c>
      <c r="C4957" s="10" t="s">
        <v>1048</v>
      </c>
      <c r="D4957" s="10" t="s">
        <v>1047</v>
      </c>
      <c r="E4957" s="11" t="str">
        <f t="array" ref="E4957">_xlfn.XLOOKUP(D4957,Insumos!B:B,Insumos!C:$C)</f>
        <v>MÊS</v>
      </c>
      <c r="F4957" s="14">
        <v>3.6200000000000002E-4</v>
      </c>
      <c r="G4957" s="87">
        <f t="array" ref="G4957">IF(B4957="insumo",_xlfn.XLOOKUP($D4957,Insumos!$B$1:$B$996,Insumos!$D$1:$D$996),"")</f>
        <v>3400</v>
      </c>
      <c r="H4957" s="87">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332">
        <v>1</v>
      </c>
      <c r="B4958" s="332" t="s">
        <v>67</v>
      </c>
      <c r="C4958" s="332" t="s">
        <v>1049</v>
      </c>
      <c r="D4958" s="332" t="s">
        <v>1049</v>
      </c>
      <c r="E4958" s="333" t="s">
        <v>112</v>
      </c>
      <c r="F4958" s="332"/>
      <c r="G4958" s="334" t="str">
        <f t="array" ref="G4958">IF(B4958="insumo",_xlfn.XLOOKUP($D4958,Insumos!$B$1:$B$996,Insumos!$D$1:$D$996),"")</f>
        <v/>
      </c>
      <c r="H4958" s="334">
        <v>7.3973000000000004</v>
      </c>
      <c r="I4958" s="335">
        <v>0</v>
      </c>
      <c r="J4958" s="335">
        <v>0</v>
      </c>
      <c r="K4958" s="335"/>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70</v>
      </c>
      <c r="C4959" s="10" t="s">
        <v>1049</v>
      </c>
      <c r="D4959" s="10" t="s">
        <v>1041</v>
      </c>
      <c r="E4959" s="11" t="str">
        <f t="array" ref="E4959">_xlfn.XLOOKUP(D4959,Insumos!B:B,Insumos!C:$C)</f>
        <v>MÊS</v>
      </c>
      <c r="F4959" s="14">
        <v>5.4700000000000007E-4</v>
      </c>
      <c r="G4959" s="87">
        <f t="array" ref="G4959">IF(B4959="insumo",_xlfn.XLOOKUP($D4959,Insumos!$B$1:$B$996,Insumos!$D$1:$D$996),"")</f>
        <v>1500</v>
      </c>
      <c r="H4959" s="87">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70</v>
      </c>
      <c r="C4960" s="10" t="s">
        <v>1049</v>
      </c>
      <c r="D4960" s="10" t="s">
        <v>1042</v>
      </c>
      <c r="E4960" s="11" t="str">
        <f t="array" ref="E4960">_xlfn.XLOOKUP(D4960,Insumos!B:B,Insumos!C:$C)</f>
        <v>MÊS</v>
      </c>
      <c r="F4960" s="14">
        <v>2.5700000000000001E-4</v>
      </c>
      <c r="G4960" s="87">
        <f t="array" ref="G4960">IF(B4960="insumo",_xlfn.XLOOKUP($D4960,Insumos!$B$1:$B$996,Insumos!$D$1:$D$996),"")</f>
        <v>3200</v>
      </c>
      <c r="H4960" s="87">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70</v>
      </c>
      <c r="C4961" s="10" t="s">
        <v>1049</v>
      </c>
      <c r="D4961" s="10" t="s">
        <v>1043</v>
      </c>
      <c r="E4961" s="11" t="str">
        <f t="array" ref="E4961">_xlfn.XLOOKUP(D4961,Insumos!B:B,Insumos!C:$C)</f>
        <v>MÊS</v>
      </c>
      <c r="F4961" s="14">
        <v>3.57E-4</v>
      </c>
      <c r="G4961" s="87">
        <f t="array" ref="G4961">IF(B4961="insumo",_xlfn.XLOOKUP($D4961,Insumos!$B$1:$B$996,Insumos!$D$1:$D$996),"")</f>
        <v>3450</v>
      </c>
      <c r="H4961" s="87">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70</v>
      </c>
      <c r="C4962" s="10" t="s">
        <v>1049</v>
      </c>
      <c r="D4962" s="10" t="s">
        <v>1044</v>
      </c>
      <c r="E4962" s="11" t="str">
        <f t="array" ref="E4962">_xlfn.XLOOKUP(D4962,Insumos!B:B,Insumos!C:$C)</f>
        <v>MÊS</v>
      </c>
      <c r="F4962" s="14">
        <v>2.4600000000000002E-4</v>
      </c>
      <c r="G4962" s="87">
        <f t="array" ref="G4962">IF(B4962="insumo",_xlfn.XLOOKUP($D4962,Insumos!$B$1:$B$996,Insumos!$D$1:$D$996),"")</f>
        <v>5000</v>
      </c>
      <c r="H4962" s="87">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70</v>
      </c>
      <c r="C4963" s="10" t="s">
        <v>1049</v>
      </c>
      <c r="D4963" s="10" t="s">
        <v>1045</v>
      </c>
      <c r="E4963" s="11" t="str">
        <f t="array" ref="E4963">_xlfn.XLOOKUP(D4963,Insumos!B:B,Insumos!C:$C)</f>
        <v>MÊS</v>
      </c>
      <c r="F4963" s="14">
        <v>1.8100000000000001E-4</v>
      </c>
      <c r="G4963" s="87">
        <f t="array" ref="G4963">IF(B4963="insumo",_xlfn.XLOOKUP($D4963,Insumos!$B$1:$B$996,Insumos!$D$1:$D$996),"")</f>
        <v>4550</v>
      </c>
      <c r="H4963" s="87">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70</v>
      </c>
      <c r="C4964" s="10" t="s">
        <v>1049</v>
      </c>
      <c r="D4964" s="10" t="s">
        <v>1046</v>
      </c>
      <c r="E4964" s="11" t="str">
        <f t="array" ref="E4964">_xlfn.XLOOKUP(D4964,Insumos!B:B,Insumos!C:$C)</f>
        <v>MÊS</v>
      </c>
      <c r="F4964" s="14">
        <v>3.9199999999999999E-4</v>
      </c>
      <c r="G4964" s="87">
        <f t="array" ref="G4964">IF(B4964="insumo",_xlfn.XLOOKUP($D4964,Insumos!$B$1:$B$996,Insumos!$D$1:$D$996),"")</f>
        <v>4200</v>
      </c>
      <c r="H4964" s="87">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70</v>
      </c>
      <c r="C4965" s="10" t="s">
        <v>1049</v>
      </c>
      <c r="D4965" s="10" t="s">
        <v>1047</v>
      </c>
      <c r="E4965" s="11" t="str">
        <f t="array" ref="E4965">_xlfn.XLOOKUP(D4965,Insumos!B:B,Insumos!C:$C)</f>
        <v>MÊS</v>
      </c>
      <c r="F4965" s="14">
        <v>2.42E-4</v>
      </c>
      <c r="G4965" s="87">
        <f t="array" ref="G4965">IF(B4965="insumo",_xlfn.XLOOKUP($D4965,Insumos!$B$1:$B$996,Insumos!$D$1:$D$996),"")</f>
        <v>3400</v>
      </c>
      <c r="H4965" s="87">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332">
        <v>1</v>
      </c>
      <c r="B4966" s="332" t="s">
        <v>67</v>
      </c>
      <c r="C4966" s="332" t="s">
        <v>1050</v>
      </c>
      <c r="D4966" s="332" t="s">
        <v>1050</v>
      </c>
      <c r="E4966" s="333" t="s">
        <v>112</v>
      </c>
      <c r="F4966" s="332"/>
      <c r="G4966" s="334" t="str">
        <f t="array" ref="G4966">IF(B4966="insumo",_xlfn.XLOOKUP($D4966,Insumos!$B$1:$B$996,Insumos!$D$1:$D$996),"")</f>
        <v/>
      </c>
      <c r="H4966" s="334">
        <v>12.3085</v>
      </c>
      <c r="I4966" s="335">
        <v>0</v>
      </c>
      <c r="J4966" s="335">
        <v>0</v>
      </c>
      <c r="K4966" s="335"/>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70</v>
      </c>
      <c r="C4967" s="10" t="s">
        <v>1050</v>
      </c>
      <c r="D4967" s="10" t="s">
        <v>1041</v>
      </c>
      <c r="E4967" s="11" t="str">
        <f t="array" ref="E4967">_xlfn.XLOOKUP(D4967,Insumos!B:B,Insumos!C:$C)</f>
        <v>MÊS</v>
      </c>
      <c r="F4967" s="14">
        <v>1.093E-3</v>
      </c>
      <c r="G4967" s="87">
        <f t="array" ref="G4967">IF(B4967="insumo",_xlfn.XLOOKUP($D4967,Insumos!$B$1:$B$996,Insumos!$D$1:$D$996),"")</f>
        <v>1500</v>
      </c>
      <c r="H4967" s="87">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70</v>
      </c>
      <c r="C4968" s="10" t="s">
        <v>1050</v>
      </c>
      <c r="D4968" s="10" t="s">
        <v>1042</v>
      </c>
      <c r="E4968" s="11" t="str">
        <f t="array" ref="E4968">_xlfn.XLOOKUP(D4968,Insumos!B:B,Insumos!C:$C)</f>
        <v>MÊS</v>
      </c>
      <c r="F4968" s="14">
        <v>5.13E-4</v>
      </c>
      <c r="G4968" s="87">
        <f t="array" ref="G4968">IF(B4968="insumo",_xlfn.XLOOKUP($D4968,Insumos!$B$1:$B$996,Insumos!$D$1:$D$996),"")</f>
        <v>3200</v>
      </c>
      <c r="H4968" s="87">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70</v>
      </c>
      <c r="C4969" s="10" t="s">
        <v>1050</v>
      </c>
      <c r="D4969" s="10" t="s">
        <v>1043</v>
      </c>
      <c r="E4969" s="11" t="str">
        <f t="array" ref="E4969">_xlfn.XLOOKUP(D4969,Insumos!B:B,Insumos!C:$C)</f>
        <v>MÊS</v>
      </c>
      <c r="F4969" s="14">
        <v>3.57E-4</v>
      </c>
      <c r="G4969" s="87">
        <f t="array" ref="G4969">IF(B4969="insumo",_xlfn.XLOOKUP($D4969,Insumos!$B$1:$B$996,Insumos!$D$1:$D$996),"")</f>
        <v>3450</v>
      </c>
      <c r="H4969" s="87">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70</v>
      </c>
      <c r="C4970" s="10" t="s">
        <v>1050</v>
      </c>
      <c r="D4970" s="10" t="s">
        <v>1044</v>
      </c>
      <c r="E4970" s="11" t="str">
        <f t="array" ref="E4970">_xlfn.XLOOKUP(D4970,Insumos!B:B,Insumos!C:$C)</f>
        <v>MÊS</v>
      </c>
      <c r="F4970" s="14">
        <v>2.4600000000000002E-4</v>
      </c>
      <c r="G4970" s="87">
        <f t="array" ref="G4970">IF(B4970="insumo",_xlfn.XLOOKUP($D4970,Insumos!$B$1:$B$996,Insumos!$D$1:$D$996),"")</f>
        <v>5000</v>
      </c>
      <c r="H4970" s="87">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70</v>
      </c>
      <c r="C4971" s="10" t="s">
        <v>1050</v>
      </c>
      <c r="D4971" s="10" t="s">
        <v>1045</v>
      </c>
      <c r="E4971" s="11" t="str">
        <f t="array" ref="E4971">_xlfn.XLOOKUP(D4971,Insumos!B:B,Insumos!C:$C)</f>
        <v>MÊS</v>
      </c>
      <c r="F4971" s="14">
        <v>3.6100000000000005E-4</v>
      </c>
      <c r="G4971" s="87">
        <f t="array" ref="G4971">IF(B4971="insumo",_xlfn.XLOOKUP($D4971,Insumos!$B$1:$B$996,Insumos!$D$1:$D$996),"")</f>
        <v>4550</v>
      </c>
      <c r="H4971" s="87">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70</v>
      </c>
      <c r="C4972" s="10" t="s">
        <v>1050</v>
      </c>
      <c r="D4972" s="10" t="s">
        <v>1046</v>
      </c>
      <c r="E4972" s="11" t="str">
        <f t="array" ref="E4972">_xlfn.XLOOKUP(D4972,Insumos!B:B,Insumos!C:$C)</f>
        <v>MÊS</v>
      </c>
      <c r="F4972" s="14">
        <v>7.8200000000000003E-4</v>
      </c>
      <c r="G4972" s="87">
        <f t="array" ref="G4972">IF(B4972="insumo",_xlfn.XLOOKUP($D4972,Insumos!$B$1:$B$996,Insumos!$D$1:$D$996),"")</f>
        <v>4200</v>
      </c>
      <c r="H4972" s="87">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70</v>
      </c>
      <c r="C4973" s="10" t="s">
        <v>1050</v>
      </c>
      <c r="D4973" s="10" t="s">
        <v>1047</v>
      </c>
      <c r="E4973" s="11" t="str">
        <f t="array" ref="E4973">_xlfn.XLOOKUP(D4973,Insumos!B:B,Insumos!C:$C)</f>
        <v>MÊS</v>
      </c>
      <c r="F4973" s="14">
        <v>4.8200000000000001E-4</v>
      </c>
      <c r="G4973" s="87">
        <f t="array" ref="G4973">IF(B4973="insumo",_xlfn.XLOOKUP($D4973,Insumos!$B$1:$B$996,Insumos!$D$1:$D$996),"")</f>
        <v>3400</v>
      </c>
      <c r="H4973" s="87">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332">
        <v>1</v>
      </c>
      <c r="B4974" s="332" t="s">
        <v>67</v>
      </c>
      <c r="C4974" s="332" t="s">
        <v>1051</v>
      </c>
      <c r="D4974" s="332" t="s">
        <v>1051</v>
      </c>
      <c r="E4974" s="333" t="s">
        <v>112</v>
      </c>
      <c r="F4974" s="332"/>
      <c r="G4974" s="334" t="str">
        <f t="array" ref="G4974">IF(B4974="insumo",_xlfn.XLOOKUP($D4974,Insumos!$B$1:$B$996,Insumos!$D$1:$D$996),"")</f>
        <v/>
      </c>
      <c r="H4974" s="334">
        <v>20.09</v>
      </c>
      <c r="I4974" s="335">
        <v>0</v>
      </c>
      <c r="J4974" s="335">
        <v>0</v>
      </c>
      <c r="K4974" s="335"/>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70</v>
      </c>
      <c r="C4975" s="10" t="s">
        <v>1051</v>
      </c>
      <c r="D4975" s="10" t="s">
        <v>73</v>
      </c>
      <c r="E4975" s="11" t="str">
        <f t="array" ref="E4975">_xlfn.XLOOKUP(D4975,Insumos!B:B,Insumos!C:$C)</f>
        <v>M3</v>
      </c>
      <c r="F4975" s="14">
        <v>4.1000000000000002E-2</v>
      </c>
      <c r="G4975" s="87">
        <f t="array" ref="G4975">IF(B4975="insumo",_xlfn.XLOOKUP($D4975,Insumos!$B$1:$B$996,Insumos!$D$1:$D$996),"")</f>
        <v>490</v>
      </c>
      <c r="H4975" s="87">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336">
        <v>1</v>
      </c>
      <c r="B4976" s="336" t="s">
        <v>67</v>
      </c>
      <c r="C4976" s="336" t="s">
        <v>775</v>
      </c>
      <c r="D4976" s="336" t="s">
        <v>775</v>
      </c>
      <c r="E4976" s="337" t="s">
        <v>69</v>
      </c>
      <c r="F4976" s="336"/>
      <c r="G4976" s="338" t="str">
        <f t="array" ref="G4976">IF(B4976="insumo",_xlfn.XLOOKUP($D4976,Insumos!$B$1:$B$996,Insumos!$D$1:$D$996),"")</f>
        <v/>
      </c>
      <c r="H4976" s="338">
        <v>78.128686000000002</v>
      </c>
      <c r="I4976" s="339">
        <v>0</v>
      </c>
      <c r="J4976" s="339">
        <v>0</v>
      </c>
      <c r="K4976" s="339"/>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77">
        <v>2</v>
      </c>
      <c r="B4977" s="77" t="s">
        <v>70</v>
      </c>
      <c r="C4977" s="77" t="s">
        <v>775</v>
      </c>
      <c r="D4977" s="77" t="s">
        <v>732</v>
      </c>
      <c r="E4977" s="11" t="str">
        <f t="array" ref="E4977">_xlfn.XLOOKUP(D4977,Insumos!B:B,Insumos!C:$C)</f>
        <v>M2</v>
      </c>
      <c r="F4977" s="81">
        <v>1.05</v>
      </c>
      <c r="G4977" s="87">
        <f t="array" ref="G4977">IF(B4977="insumo",_xlfn.XLOOKUP($D4977,Insumos!$B$1:$B$996,Insumos!$D$1:$D$996),"")</f>
        <v>65.900000000000006</v>
      </c>
      <c r="H4977" s="87">
        <v>69.194999999999993</v>
      </c>
      <c r="I4977" s="79">
        <v>0</v>
      </c>
      <c r="J4977" s="79">
        <v>0</v>
      </c>
      <c r="K4977" s="79"/>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77">
        <v>6</v>
      </c>
      <c r="B4978" s="77" t="s">
        <v>70</v>
      </c>
      <c r="C4978" s="77" t="s">
        <v>775</v>
      </c>
      <c r="D4978" s="77" t="s">
        <v>728</v>
      </c>
      <c r="E4978" s="11" t="str">
        <f t="array" ref="E4978">_xlfn.XLOOKUP(D4978,Insumos!B:B,Insumos!C:$C)</f>
        <v>M3</v>
      </c>
      <c r="F4978" s="81">
        <v>6.6E-3</v>
      </c>
      <c r="G4978" s="87">
        <f t="array" ref="G4978">IF(B4978="insumo",_xlfn.XLOOKUP($D4978,Insumos!$B$1:$B$996,Insumos!$D$1:$D$996),"")</f>
        <v>105.71</v>
      </c>
      <c r="H4978" s="87">
        <v>0.69768600000000003</v>
      </c>
      <c r="I4978" s="79">
        <v>0</v>
      </c>
      <c r="J4978" s="79">
        <v>0</v>
      </c>
      <c r="K4978" s="79"/>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77">
        <v>8</v>
      </c>
      <c r="B4979" s="77" t="s">
        <v>70</v>
      </c>
      <c r="C4979" s="77" t="s">
        <v>775</v>
      </c>
      <c r="D4979" s="77" t="s">
        <v>442</v>
      </c>
      <c r="E4979" s="11" t="str">
        <f t="array" ref="E4979">_xlfn.XLOOKUP(D4979,Insumos!B:B,Insumos!C:$C)</f>
        <v>M3</v>
      </c>
      <c r="F4979" s="81">
        <v>5.6800000000000003E-2</v>
      </c>
      <c r="G4979" s="87">
        <f t="array" ref="G4979">IF(B4979="insumo",_xlfn.XLOOKUP($D4979,Insumos!$B$1:$B$996,Insumos!$D$1:$D$996),"")</f>
        <v>145</v>
      </c>
      <c r="H4979" s="87">
        <v>8.2360000000000007</v>
      </c>
      <c r="I4979" s="79">
        <v>0</v>
      </c>
      <c r="J4979" s="79">
        <v>0</v>
      </c>
      <c r="K4979" s="79"/>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336">
        <v>1</v>
      </c>
      <c r="B4980" s="336" t="s">
        <v>67</v>
      </c>
      <c r="C4980" s="336" t="s">
        <v>776</v>
      </c>
      <c r="D4980" s="336" t="s">
        <v>776</v>
      </c>
      <c r="E4980" s="337" t="s">
        <v>69</v>
      </c>
      <c r="F4980" s="336"/>
      <c r="G4980" s="338" t="str">
        <f t="array" ref="G4980">IF(B4980="insumo",_xlfn.XLOOKUP($D4980,Insumos!$B$1:$B$996,Insumos!$D$1:$D$996),"")</f>
        <v/>
      </c>
      <c r="H4980" s="338">
        <v>116.978686</v>
      </c>
      <c r="I4980" s="339">
        <v>0</v>
      </c>
      <c r="J4980" s="339">
        <v>0</v>
      </c>
      <c r="K4980" s="339"/>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77">
        <v>1</v>
      </c>
      <c r="B4981" s="77" t="s">
        <v>70</v>
      </c>
      <c r="C4981" s="77" t="s">
        <v>776</v>
      </c>
      <c r="D4981" s="77" t="s">
        <v>777</v>
      </c>
      <c r="E4981" s="11" t="str">
        <f t="array" ref="E4981">_xlfn.XLOOKUP(D4981,Insumos!B:B,Insumos!C:$C)</f>
        <v>M2</v>
      </c>
      <c r="F4981" s="81">
        <v>1.05</v>
      </c>
      <c r="G4981" s="87">
        <f t="array" ref="G4981">IF(B4981="insumo",_xlfn.XLOOKUP($D4981,Insumos!$B$1:$B$996,Insumos!$D$1:$D$996),"")</f>
        <v>102.9</v>
      </c>
      <c r="H4981" s="87">
        <v>108.045</v>
      </c>
      <c r="I4981" s="79">
        <v>0</v>
      </c>
      <c r="J4981" s="79">
        <v>0</v>
      </c>
      <c r="K4981" s="79"/>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77">
        <v>6</v>
      </c>
      <c r="B4982" s="77" t="s">
        <v>70</v>
      </c>
      <c r="C4982" s="77" t="s">
        <v>776</v>
      </c>
      <c r="D4982" s="77" t="s">
        <v>728</v>
      </c>
      <c r="E4982" s="11" t="str">
        <f t="array" ref="E4982">_xlfn.XLOOKUP(D4982,Insumos!B:B,Insumos!C:$C)</f>
        <v>M3</v>
      </c>
      <c r="F4982" s="81">
        <v>6.6E-3</v>
      </c>
      <c r="G4982" s="87">
        <f t="array" ref="G4982">IF(B4982="insumo",_xlfn.XLOOKUP($D4982,Insumos!$B$1:$B$996,Insumos!$D$1:$D$996),"")</f>
        <v>105.71</v>
      </c>
      <c r="H4982" s="87">
        <v>0.69768600000000003</v>
      </c>
      <c r="I4982" s="79">
        <v>0</v>
      </c>
      <c r="J4982" s="79">
        <v>0</v>
      </c>
      <c r="K4982" s="79"/>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77">
        <v>8</v>
      </c>
      <c r="B4983" s="77" t="s">
        <v>70</v>
      </c>
      <c r="C4983" s="77" t="s">
        <v>776</v>
      </c>
      <c r="D4983" s="77" t="s">
        <v>442</v>
      </c>
      <c r="E4983" s="11" t="str">
        <f t="array" ref="E4983">_xlfn.XLOOKUP(D4983,Insumos!B:B,Insumos!C:$C)</f>
        <v>M3</v>
      </c>
      <c r="F4983" s="81">
        <v>5.6800000000000003E-2</v>
      </c>
      <c r="G4983" s="87">
        <f t="array" ref="G4983">IF(B4983="insumo",_xlfn.XLOOKUP($D4983,Insumos!$B$1:$B$996,Insumos!$D$1:$D$996),"")</f>
        <v>145</v>
      </c>
      <c r="H4983" s="87">
        <v>8.2360000000000007</v>
      </c>
      <c r="I4983" s="79">
        <v>0</v>
      </c>
      <c r="J4983" s="79">
        <v>0</v>
      </c>
      <c r="K4983" s="79"/>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332">
        <v>1</v>
      </c>
      <c r="B4984" s="332" t="s">
        <v>67</v>
      </c>
      <c r="C4984" s="332" t="s">
        <v>1052</v>
      </c>
      <c r="D4984" s="332" t="s">
        <v>1052</v>
      </c>
      <c r="E4984" s="333" t="s">
        <v>69</v>
      </c>
      <c r="F4984" s="332"/>
      <c r="G4984" s="334" t="str">
        <f t="array" ref="G4984">IF(B4984="insumo",_xlfn.XLOOKUP($D4984,Insumos!$B$1:$B$996,Insumos!$D$1:$D$996),"")</f>
        <v/>
      </c>
      <c r="H4984" s="334">
        <v>898.24549999999999</v>
      </c>
      <c r="I4984" s="335">
        <v>0</v>
      </c>
      <c r="J4984" s="335">
        <v>0</v>
      </c>
      <c r="K4984" s="335"/>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70</v>
      </c>
      <c r="C4985" s="10" t="s">
        <v>1052</v>
      </c>
      <c r="D4985" s="10" t="s">
        <v>530</v>
      </c>
      <c r="E4985" s="11" t="str">
        <f t="array" ref="E4985">_xlfn.XLOOKUP(D4985,Insumos!B:B,Insumos!C:$C)</f>
        <v>M2</v>
      </c>
      <c r="F4985" s="14">
        <v>1.1000000000000001</v>
      </c>
      <c r="G4985" s="87">
        <f t="array" ref="G4985">IF(B4985="insumo",_xlfn.XLOOKUP($D4985,Insumos!$B$1:$B$996,Insumos!$D$1:$D$996),"")</f>
        <v>800</v>
      </c>
      <c r="H4985" s="87">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70</v>
      </c>
      <c r="C4986" s="10" t="s">
        <v>1052</v>
      </c>
      <c r="D4986" s="10" t="s">
        <v>480</v>
      </c>
      <c r="E4986" s="11" t="str">
        <f t="array" ref="E4986">_xlfn.XLOOKUP(D4986,Insumos!B:B,Insumos!C:$C)</f>
        <v>KG</v>
      </c>
      <c r="F4986" s="14">
        <v>9</v>
      </c>
      <c r="G4986" s="87">
        <f t="array" ref="G4986">IF(B4986="insumo",_xlfn.XLOOKUP($D4986,Insumos!$B$1:$B$996,Insumos!$D$1:$D$996),"")</f>
        <v>1.0645</v>
      </c>
      <c r="H4986" s="87">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70</v>
      </c>
      <c r="C4987" s="10" t="s">
        <v>1052</v>
      </c>
      <c r="D4987" s="10" t="s">
        <v>537</v>
      </c>
      <c r="E4987" s="11" t="str">
        <f t="array" ref="E4987">_xlfn.XLOOKUP(D4987,Insumos!B:B,Insumos!C:$C)</f>
        <v>UN</v>
      </c>
      <c r="F4987" s="14">
        <v>0.5</v>
      </c>
      <c r="G4987" s="87">
        <f t="array" ref="G4987">IF(B4987="insumo",_xlfn.XLOOKUP($D4987,Insumos!$B$1:$B$996,Insumos!$D$1:$D$996),"")</f>
        <v>17.329999999999998</v>
      </c>
      <c r="H4987" s="87">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332">
        <v>1</v>
      </c>
      <c r="B4988" s="332" t="s">
        <v>67</v>
      </c>
      <c r="C4988" s="332" t="s">
        <v>1053</v>
      </c>
      <c r="D4988" s="332" t="s">
        <v>1053</v>
      </c>
      <c r="E4988" s="333" t="s">
        <v>69</v>
      </c>
      <c r="F4988" s="332"/>
      <c r="G4988" s="334" t="str">
        <f t="array" ref="G4988">IF(B4988="insumo",_xlfn.XLOOKUP($D4988,Insumos!$B$1:$B$996,Insumos!$D$1:$D$996),"")</f>
        <v/>
      </c>
      <c r="H4988" s="334">
        <v>150</v>
      </c>
      <c r="I4988" s="335">
        <v>0</v>
      </c>
      <c r="J4988" s="335">
        <v>0</v>
      </c>
      <c r="K4988" s="335"/>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70</v>
      </c>
      <c r="C4989" s="10" t="s">
        <v>1053</v>
      </c>
      <c r="D4989" s="10" t="s">
        <v>1053</v>
      </c>
      <c r="E4989" s="11" t="str">
        <f t="array" ref="E4989">_xlfn.XLOOKUP(D4989,Insumos!B:B,Insumos!C:$C)</f>
        <v>M2</v>
      </c>
      <c r="F4989" s="14">
        <v>1</v>
      </c>
      <c r="G4989" s="87">
        <f t="array" ref="G4989">IF(B4989="insumo",_xlfn.XLOOKUP($D4989,Insumos!$B$1:$B$996,Insumos!$D$1:$D$996),"")</f>
        <v>150</v>
      </c>
      <c r="H4989" s="87">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332">
        <v>1</v>
      </c>
      <c r="B4990" s="332" t="s">
        <v>67</v>
      </c>
      <c r="C4990" s="332" t="s">
        <v>1054</v>
      </c>
      <c r="D4990" s="332" t="s">
        <v>1054</v>
      </c>
      <c r="E4990" s="333" t="s">
        <v>112</v>
      </c>
      <c r="F4990" s="332"/>
      <c r="G4990" s="334" t="str">
        <f t="array" ref="G4990">IF(B4990="insumo",_xlfn.XLOOKUP($D4990,Insumos!$B$1:$B$996,Insumos!$D$1:$D$996),"")</f>
        <v/>
      </c>
      <c r="H4990" s="334">
        <v>4.08</v>
      </c>
      <c r="I4990" s="335">
        <v>0</v>
      </c>
      <c r="J4990" s="335">
        <v>0</v>
      </c>
      <c r="K4990" s="335"/>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70</v>
      </c>
      <c r="C4991" s="10" t="s">
        <v>1054</v>
      </c>
      <c r="D4991" s="10" t="s">
        <v>1055</v>
      </c>
      <c r="E4991" s="11" t="str">
        <f t="array" ref="E4991">_xlfn.XLOOKUP(D4991,Insumos!B:B,Insumos!C:$C)</f>
        <v>MÊS</v>
      </c>
      <c r="F4991" s="14">
        <v>6.8000000000000005E-4</v>
      </c>
      <c r="G4991" s="87">
        <f t="array" ref="G4991">IF(B4991="insumo",_xlfn.XLOOKUP($D4991,Insumos!$B$1:$B$996,Insumos!$D$1:$D$996),"")</f>
        <v>1000</v>
      </c>
      <c r="H4991" s="87">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70</v>
      </c>
      <c r="C4992" s="10" t="s">
        <v>1054</v>
      </c>
      <c r="D4992" s="10" t="s">
        <v>1056</v>
      </c>
      <c r="E4992" s="11" t="str">
        <f t="array" ref="E4992">_xlfn.XLOOKUP(D4992,Insumos!B:B,Insumos!C:$C)</f>
        <v>MÊS</v>
      </c>
      <c r="F4992" s="14">
        <v>4.5333333333333337E-4</v>
      </c>
      <c r="G4992" s="87">
        <f t="array" ref="G4992">IF(B4992="insumo",_xlfn.XLOOKUP($D4992,Insumos!$B$1:$B$996,Insumos!$D$1:$D$996),"")</f>
        <v>1500</v>
      </c>
      <c r="H4992" s="87">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70</v>
      </c>
      <c r="C4993" s="10" t="s">
        <v>1054</v>
      </c>
      <c r="D4993" s="10" t="s">
        <v>1043</v>
      </c>
      <c r="E4993" s="11" t="str">
        <f t="array" ref="E4993">_xlfn.XLOOKUP(D4993,Insumos!B:B,Insumos!C:$C)</f>
        <v>MÊS</v>
      </c>
      <c r="F4993" s="14">
        <v>1.9710144927536234E-4</v>
      </c>
      <c r="G4993" s="87">
        <f t="array" ref="G4993">IF(B4993="insumo",_xlfn.XLOOKUP($D4993,Insumos!$B$1:$B$996,Insumos!$D$1:$D$996),"")</f>
        <v>3450</v>
      </c>
      <c r="H4993" s="87">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70</v>
      </c>
      <c r="C4994" s="10" t="s">
        <v>1054</v>
      </c>
      <c r="D4994" s="10" t="s">
        <v>1043</v>
      </c>
      <c r="E4994" s="11" t="str">
        <f t="array" ref="E4994">_xlfn.XLOOKUP(D4994,Insumos!B:B,Insumos!C:$C)</f>
        <v>MÊS</v>
      </c>
      <c r="F4994" s="14">
        <v>1.9710144927536234E-4</v>
      </c>
      <c r="G4994" s="87">
        <f t="array" ref="G4994">IF(B4994="insumo",_xlfn.XLOOKUP($D4994,Insumos!$B$1:$B$996,Insumos!$D$1:$D$996),"")</f>
        <v>3450</v>
      </c>
      <c r="H4994" s="87">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70</v>
      </c>
      <c r="C4995" s="10" t="s">
        <v>1054</v>
      </c>
      <c r="D4995" s="10" t="s">
        <v>1057</v>
      </c>
      <c r="E4995" s="11" t="str">
        <f t="array" ref="E4995">_xlfn.XLOOKUP(D4995,Insumos!B:B,Insumos!C:$C)</f>
        <v>MÊS</v>
      </c>
      <c r="F4995" s="14">
        <v>2.2666666666666668E-4</v>
      </c>
      <c r="G4995" s="87">
        <f t="array" ref="G4995">IF(B4995="insumo",_xlfn.XLOOKUP($D4995,Insumos!$B$1:$B$996,Insumos!$D$1:$D$996),"")</f>
        <v>3000</v>
      </c>
      <c r="H4995" s="87">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70</v>
      </c>
      <c r="C4996" s="10" t="s">
        <v>1054</v>
      </c>
      <c r="D4996" s="10" t="s">
        <v>1058</v>
      </c>
      <c r="E4996" s="11" t="str">
        <f t="array" ref="E4996">_xlfn.XLOOKUP(D4996,Insumos!B:B,Insumos!C:$C)</f>
        <v>MÊS</v>
      </c>
      <c r="F4996" s="14">
        <v>2.8333333333333335E-4</v>
      </c>
      <c r="G4996" s="87">
        <f t="array" ref="G4996">IF(B4996="insumo",_xlfn.XLOOKUP($D4996,Insumos!$B$1:$B$996,Insumos!$D$1:$D$996),"")</f>
        <v>2400</v>
      </c>
      <c r="H4996" s="87">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332">
        <v>1</v>
      </c>
      <c r="B4997" s="332" t="s">
        <v>67</v>
      </c>
      <c r="C4997" s="332" t="s">
        <v>1059</v>
      </c>
      <c r="D4997" s="332" t="s">
        <v>1059</v>
      </c>
      <c r="E4997" s="333" t="s">
        <v>151</v>
      </c>
      <c r="F4997" s="332"/>
      <c r="G4997" s="334" t="str">
        <f t="array" ref="G4997">IF(B4997="insumo",_xlfn.XLOOKUP($D4997,Insumos!$B$1:$B$996,Insumos!$D$1:$D$996),"")</f>
        <v/>
      </c>
      <c r="H4997" s="334">
        <v>150.15</v>
      </c>
      <c r="I4997" s="335">
        <v>0</v>
      </c>
      <c r="J4997" s="335">
        <v>0</v>
      </c>
      <c r="K4997" s="335"/>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70</v>
      </c>
      <c r="C4998" s="10" t="s">
        <v>1059</v>
      </c>
      <c r="D4998" s="10" t="s">
        <v>1060</v>
      </c>
      <c r="E4998" s="11" t="str">
        <f t="array" ref="E4998">_xlfn.XLOOKUP(D4998,Insumos!B:B,Insumos!C:$C)</f>
        <v>M3</v>
      </c>
      <c r="F4998" s="14">
        <v>1.05</v>
      </c>
      <c r="G4998" s="87">
        <f t="array" ref="G4998">IF(B4998="insumo",_xlfn.XLOOKUP($D4998,Insumos!$B$1:$B$996,Insumos!$D$1:$D$996),"")</f>
        <v>143</v>
      </c>
      <c r="H4998" s="87">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332">
        <v>1</v>
      </c>
      <c r="B4999" s="332" t="s">
        <v>67</v>
      </c>
      <c r="C4999" s="332" t="s">
        <v>1061</v>
      </c>
      <c r="D4999" s="332" t="s">
        <v>1061</v>
      </c>
      <c r="E4999" s="333" t="s">
        <v>151</v>
      </c>
      <c r="F4999" s="332"/>
      <c r="G4999" s="334" t="str">
        <f t="array" ref="G4999">IF(B4999="insumo",_xlfn.XLOOKUP($D4999,Insumos!$B$1:$B$996,Insumos!$D$1:$D$996),"")</f>
        <v/>
      </c>
      <c r="H4999" s="334">
        <v>5.08</v>
      </c>
      <c r="I4999" s="335">
        <v>0</v>
      </c>
      <c r="J4999" s="335">
        <v>0</v>
      </c>
      <c r="K4999" s="335"/>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70</v>
      </c>
      <c r="C5000" s="10" t="s">
        <v>1061</v>
      </c>
      <c r="D5000" s="10" t="s">
        <v>1062</v>
      </c>
      <c r="E5000" s="11" t="str">
        <f t="array" ref="E5000">_xlfn.XLOOKUP(D5000,Insumos!B:B,Insumos!C:$C)</f>
        <v>MÊS</v>
      </c>
      <c r="F5000" s="14">
        <v>1.8142857142857145E-4</v>
      </c>
      <c r="G5000" s="87">
        <f t="array" ref="G5000">IF(B5000="insumo",_xlfn.XLOOKUP($D5000,Insumos!$B$1:$B$996,Insumos!$D$1:$D$996),"")</f>
        <v>4000</v>
      </c>
      <c r="H5000" s="87">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70</v>
      </c>
      <c r="C5001" s="10" t="s">
        <v>1061</v>
      </c>
      <c r="D5001" s="10" t="s">
        <v>1063</v>
      </c>
      <c r="E5001" s="11" t="str">
        <f t="array" ref="E5001">_xlfn.XLOOKUP(D5001,Insumos!B:B,Insumos!C:$C)</f>
        <v>MÊS</v>
      </c>
      <c r="F5001" s="14">
        <v>4.8380952380952383E-4</v>
      </c>
      <c r="G5001" s="87">
        <f t="array" ref="G5001">IF(B5001="insumo",_xlfn.XLOOKUP($D5001,Insumos!$B$1:$B$996,Insumos!$D$1:$D$996),"")</f>
        <v>1500</v>
      </c>
      <c r="H5001" s="87">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70</v>
      </c>
      <c r="C5002" s="10" t="s">
        <v>1061</v>
      </c>
      <c r="D5002" s="10" t="s">
        <v>1064</v>
      </c>
      <c r="E5002" s="11" t="str">
        <f t="array" ref="E5002">_xlfn.XLOOKUP(D5002,Insumos!B:B,Insumos!C:$C)</f>
        <v>MÊS</v>
      </c>
      <c r="F5002" s="14">
        <v>3.628571428571429E-4</v>
      </c>
      <c r="G5002" s="87">
        <f t="array" ref="G5002">IF(B5002="insumo",_xlfn.XLOOKUP($D5002,Insumos!$B$1:$B$996,Insumos!$D$1:$D$996),"")</f>
        <v>2000</v>
      </c>
      <c r="H5002" s="87">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70</v>
      </c>
      <c r="C5003" s="10" t="s">
        <v>1061</v>
      </c>
      <c r="D5003" s="10" t="s">
        <v>1043</v>
      </c>
      <c r="E5003" s="11" t="str">
        <f t="array" ref="E5003">_xlfn.XLOOKUP(D5003,Insumos!B:B,Insumos!C:$C)</f>
        <v>MÊS</v>
      </c>
      <c r="F5003" s="14">
        <v>2.10351966873706E-4</v>
      </c>
      <c r="G5003" s="87">
        <f t="array" ref="G5003">IF(B5003="insumo",_xlfn.XLOOKUP($D5003,Insumos!$B$1:$B$996,Insumos!$D$1:$D$996),"")</f>
        <v>3450</v>
      </c>
      <c r="H5003" s="87">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70</v>
      </c>
      <c r="C5004" s="10" t="s">
        <v>1061</v>
      </c>
      <c r="D5004" s="10" t="s">
        <v>1065</v>
      </c>
      <c r="E5004" s="11" t="str">
        <f t="array" ref="E5004">_xlfn.XLOOKUP(D5004,Insumos!B:B,Insumos!C:$C)</f>
        <v>MÊS</v>
      </c>
      <c r="F5004" s="14">
        <v>2.4190476190476192E-4</v>
      </c>
      <c r="G5004" s="87">
        <f t="array" ref="G5004">IF(B5004="insumo",_xlfn.XLOOKUP($D5004,Insumos!$B$1:$B$996,Insumos!$D$1:$D$996),"")</f>
        <v>3000</v>
      </c>
      <c r="H5004" s="87">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70</v>
      </c>
      <c r="C5005" s="10" t="s">
        <v>1061</v>
      </c>
      <c r="D5005" s="10" t="s">
        <v>1066</v>
      </c>
      <c r="E5005" s="11" t="str">
        <f t="array" ref="E5005">_xlfn.XLOOKUP(D5005,Insumos!B:B,Insumos!C:$C)</f>
        <v>MÊS</v>
      </c>
      <c r="F5005" s="14">
        <v>3.0238095238095241E-4</v>
      </c>
      <c r="G5005" s="87">
        <f t="array" ref="G5005">IF(B5005="insumo",_xlfn.XLOOKUP($D5005,Insumos!$B$1:$B$996,Insumos!$D$1:$D$996),"")</f>
        <v>2400</v>
      </c>
      <c r="H5005" s="87">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70</v>
      </c>
      <c r="C5006" s="10" t="s">
        <v>1061</v>
      </c>
      <c r="D5006" s="10" t="s">
        <v>1067</v>
      </c>
      <c r="E5006" s="11" t="str">
        <f t="array" ref="E5006">_xlfn.XLOOKUP(D5006,Insumos!B:B,Insumos!C:$C)</f>
        <v>MÊS</v>
      </c>
      <c r="F5006" s="14">
        <v>1.1164835164835164E-4</v>
      </c>
      <c r="G5006" s="87">
        <f t="array" ref="G5006">IF(B5006="insumo",_xlfn.XLOOKUP($D5006,Insumos!$B$1:$B$996,Insumos!$D$1:$D$996),"")</f>
        <v>6500</v>
      </c>
      <c r="H5006" s="87">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332">
        <v>1</v>
      </c>
      <c r="B5007" s="332" t="s">
        <v>67</v>
      </c>
      <c r="C5007" s="332" t="s">
        <v>1068</v>
      </c>
      <c r="D5007" s="332" t="s">
        <v>1068</v>
      </c>
      <c r="E5007" s="333" t="s">
        <v>69</v>
      </c>
      <c r="F5007" s="332"/>
      <c r="G5007" s="334" t="str">
        <f t="array" ref="G5007">IF(B5007="insumo",_xlfn.XLOOKUP($D5007,Insumos!$B$1:$B$996,Insumos!$D$1:$D$996),"")</f>
        <v/>
      </c>
      <c r="H5007" s="334">
        <v>108.035</v>
      </c>
      <c r="I5007" s="335">
        <v>0</v>
      </c>
      <c r="J5007" s="335">
        <v>0</v>
      </c>
      <c r="K5007" s="335"/>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70</v>
      </c>
      <c r="C5008" s="10" t="s">
        <v>1068</v>
      </c>
      <c r="D5008" s="10" t="s">
        <v>1069</v>
      </c>
      <c r="E5008" s="11" t="str">
        <f t="array" ref="E5008">_xlfn.XLOOKUP(D5008,Insumos!B:B,Insumos!C:$C)</f>
        <v>M2</v>
      </c>
      <c r="F5008" s="14">
        <v>1.05</v>
      </c>
      <c r="G5008" s="87">
        <f t="array" ref="G5008">IF(B5008="insumo",_xlfn.XLOOKUP($D5008,Insumos!$B$1:$B$996,Insumos!$D$1:$D$996),"")</f>
        <v>75.900000000000006</v>
      </c>
      <c r="H5008" s="87">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70</v>
      </c>
      <c r="C5009" s="10" t="s">
        <v>1068</v>
      </c>
      <c r="D5009" s="10" t="s">
        <v>1070</v>
      </c>
      <c r="E5009" s="11" t="str">
        <f t="array" ref="E5009">_xlfn.XLOOKUP(D5009,Insumos!B:B,Insumos!C:$C)</f>
        <v>M3</v>
      </c>
      <c r="F5009" s="14">
        <v>0.09</v>
      </c>
      <c r="G5009" s="87">
        <f t="array" ref="G5009">IF(B5009="insumo",_xlfn.XLOOKUP($D5009,Insumos!$B$1:$B$996,Insumos!$D$1:$D$996),"")</f>
        <v>300</v>
      </c>
      <c r="H5009" s="87">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70</v>
      </c>
      <c r="C5010" s="10" t="s">
        <v>1068</v>
      </c>
      <c r="D5010" s="10" t="s">
        <v>1071</v>
      </c>
      <c r="E5010" s="11" t="str">
        <f t="array" ref="E5010">_xlfn.XLOOKUP(D5010,Insumos!B:B,Insumos!C:$C)</f>
        <v>M3</v>
      </c>
      <c r="F5010" s="14">
        <v>0.01</v>
      </c>
      <c r="G5010" s="87">
        <f t="array" ref="G5010">IF(B5010="insumo",_xlfn.XLOOKUP($D5010,Insumos!$B$1:$B$996,Insumos!$D$1:$D$996),"")</f>
        <v>134</v>
      </c>
      <c r="H5010" s="87">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332">
        <v>1</v>
      </c>
      <c r="B5011" s="332" t="s">
        <v>67</v>
      </c>
      <c r="C5011" s="332" t="s">
        <v>1072</v>
      </c>
      <c r="D5011" s="332" t="s">
        <v>1072</v>
      </c>
      <c r="E5011" s="333" t="s">
        <v>69</v>
      </c>
      <c r="F5011" s="332"/>
      <c r="G5011" s="334" t="str">
        <f t="array" ref="G5011">IF(B5011="insumo",_xlfn.XLOOKUP($D5011,Insumos!$B$1:$B$996,Insumos!$D$1:$D$996),"")</f>
        <v/>
      </c>
      <c r="H5011" s="334">
        <v>50</v>
      </c>
      <c r="I5011" s="335">
        <v>0</v>
      </c>
      <c r="J5011" s="335">
        <v>0</v>
      </c>
      <c r="K5011" s="335"/>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70</v>
      </c>
      <c r="C5012" s="10" t="s">
        <v>1072</v>
      </c>
      <c r="D5012" s="10" t="s">
        <v>1073</v>
      </c>
      <c r="E5012" s="11" t="str">
        <f t="array" ref="E5012">_xlfn.XLOOKUP(D5012,Insumos!B:B,Insumos!C:$C)</f>
        <v>M2</v>
      </c>
      <c r="F5012" s="14">
        <v>1</v>
      </c>
      <c r="G5012" s="87">
        <f t="array" ref="G5012">IF(B5012="insumo",_xlfn.XLOOKUP($D5012,Insumos!$B$1:$B$996,Insumos!$D$1:$D$996),"")</f>
        <v>50</v>
      </c>
      <c r="H5012" s="87">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332">
        <v>1</v>
      </c>
      <c r="B5013" s="332" t="s">
        <v>67</v>
      </c>
      <c r="C5013" s="332" t="s">
        <v>1074</v>
      </c>
      <c r="D5013" s="332" t="s">
        <v>1074</v>
      </c>
      <c r="E5013" s="333" t="s">
        <v>69</v>
      </c>
      <c r="F5013" s="332"/>
      <c r="G5013" s="334" t="str">
        <f t="array" ref="G5013">IF(B5013="insumo",_xlfn.XLOOKUP($D5013,Insumos!$B$1:$B$996,Insumos!$D$1:$D$996),"")</f>
        <v/>
      </c>
      <c r="H5013" s="334">
        <v>28.335750000000001</v>
      </c>
      <c r="I5013" s="335">
        <v>0</v>
      </c>
      <c r="J5013" s="335">
        <v>0</v>
      </c>
      <c r="K5013" s="335"/>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70</v>
      </c>
      <c r="C5014" s="10" t="s">
        <v>1074</v>
      </c>
      <c r="D5014" s="10" t="s">
        <v>755</v>
      </c>
      <c r="E5014" s="11" t="str">
        <f t="array" ref="E5014">_xlfn.XLOOKUP(D5014,Insumos!B:B,Insumos!C:$C)</f>
        <v>L</v>
      </c>
      <c r="F5014" s="14">
        <v>2.1000000000000001E-2</v>
      </c>
      <c r="G5014" s="87">
        <f t="array" ref="G5014">IF(B5014="insumo",_xlfn.XLOOKUP($D5014,Insumos!$B$1:$B$996,Insumos!$D$1:$D$996),"")</f>
        <v>21.99</v>
      </c>
      <c r="H5014" s="87">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70</v>
      </c>
      <c r="C5015" s="10" t="s">
        <v>1074</v>
      </c>
      <c r="D5015" s="10" t="s">
        <v>1075</v>
      </c>
      <c r="E5015" s="11" t="str">
        <f t="array" ref="E5015">_xlfn.XLOOKUP(D5015,Insumos!B:B,Insumos!C:$C)</f>
        <v>L</v>
      </c>
      <c r="F5015" s="14">
        <v>0.42699999999999999</v>
      </c>
      <c r="G5015" s="87">
        <f t="array" ref="G5015">IF(B5015="insumo",_xlfn.XLOOKUP($D5015,Insumos!$B$1:$B$996,Insumos!$D$1:$D$996),"")</f>
        <v>35.42</v>
      </c>
      <c r="H5015" s="87">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70</v>
      </c>
      <c r="C5016" s="10" t="s">
        <v>1074</v>
      </c>
      <c r="D5016" s="10" t="s">
        <v>749</v>
      </c>
      <c r="E5016" s="11" t="str">
        <f t="array" ref="E5016">_xlfn.XLOOKUP(D5016,Insumos!B:B,Insumos!C:$C)</f>
        <v>UN</v>
      </c>
      <c r="F5016" s="14">
        <v>1.2E-2</v>
      </c>
      <c r="G5016" s="87">
        <f t="array" ref="G5016">IF(B5016="insumo",_xlfn.XLOOKUP($D5016,Insumos!$B$1:$B$996,Insumos!$D$1:$D$996),"")</f>
        <v>11.26</v>
      </c>
      <c r="H5016" s="87">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70</v>
      </c>
      <c r="C5017" s="10" t="s">
        <v>1074</v>
      </c>
      <c r="D5017" s="10" t="s">
        <v>1076</v>
      </c>
      <c r="E5017" s="11" t="str">
        <f t="array" ref="E5017">_xlfn.XLOOKUP(D5017,Insumos!B:B,Insumos!C:$C)</f>
        <v>L</v>
      </c>
      <c r="F5017" s="14">
        <v>0.25</v>
      </c>
      <c r="G5017" s="87">
        <f t="array" ref="G5017">IF(B5017="insumo",_xlfn.XLOOKUP($D5017,Insumos!$B$1:$B$996,Insumos!$D$1:$D$996),"")</f>
        <v>40.25</v>
      </c>
      <c r="H5017" s="87">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70</v>
      </c>
      <c r="C5018" s="10" t="s">
        <v>1074</v>
      </c>
      <c r="D5018" s="10" t="s">
        <v>1077</v>
      </c>
      <c r="E5018" s="11" t="str">
        <f t="array" ref="E5018">_xlfn.XLOOKUP(D5018,Insumos!B:B,Insumos!C:$C)</f>
        <v>KG</v>
      </c>
      <c r="F5018" s="14">
        <v>0.11</v>
      </c>
      <c r="G5018" s="87">
        <f t="array" ref="G5018">IF(B5018="insumo",_xlfn.XLOOKUP($D5018,Insumos!$B$1:$B$996,Insumos!$D$1:$D$996),"")</f>
        <v>23.2</v>
      </c>
      <c r="H5018" s="87">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332">
        <v>1</v>
      </c>
      <c r="B5019" s="332" t="s">
        <v>67</v>
      </c>
      <c r="C5019" s="332" t="s">
        <v>1078</v>
      </c>
      <c r="D5019" s="332" t="s">
        <v>1078</v>
      </c>
      <c r="E5019" s="333" t="s">
        <v>69</v>
      </c>
      <c r="F5019" s="332"/>
      <c r="G5019" s="334" t="str">
        <f t="array" ref="G5019">IF(B5019="insumo",_xlfn.XLOOKUP($D5019,Insumos!$B$1:$B$996,Insumos!$D$1:$D$996),"")</f>
        <v/>
      </c>
      <c r="H5019" s="334">
        <v>2.8284899999999999</v>
      </c>
      <c r="I5019" s="335">
        <v>0</v>
      </c>
      <c r="J5019" s="335">
        <v>0</v>
      </c>
      <c r="K5019" s="335"/>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70</v>
      </c>
      <c r="C5020" s="10" t="s">
        <v>1078</v>
      </c>
      <c r="D5020" s="10" t="s">
        <v>755</v>
      </c>
      <c r="E5020" s="11" t="str">
        <f t="array" ref="E5020">_xlfn.XLOOKUP(D5020,Insumos!B:B,Insumos!C:$C)</f>
        <v>L</v>
      </c>
      <c r="F5020" s="14">
        <v>2E-3</v>
      </c>
      <c r="G5020" s="87">
        <f t="array" ref="G5020">IF(B5020="insumo",_xlfn.XLOOKUP($D5020,Insumos!$B$1:$B$996,Insumos!$D$1:$D$996),"")</f>
        <v>21.99</v>
      </c>
      <c r="H5020" s="87">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70</v>
      </c>
      <c r="C5021" s="10" t="s">
        <v>1078</v>
      </c>
      <c r="D5021" s="10" t="s">
        <v>1075</v>
      </c>
      <c r="E5021" s="11" t="str">
        <f t="array" ref="E5021">_xlfn.XLOOKUP(D5021,Insumos!B:B,Insumos!C:$C)</f>
        <v>L</v>
      </c>
      <c r="F5021" s="14">
        <v>4.2999999999999997E-2</v>
      </c>
      <c r="G5021" s="87">
        <f t="array" ref="G5021">IF(B5021="insumo",_xlfn.XLOOKUP($D5021,Insumos!$B$1:$B$996,Insumos!$D$1:$D$996),"")</f>
        <v>35.42</v>
      </c>
      <c r="H5021" s="87">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70</v>
      </c>
      <c r="C5022" s="10" t="s">
        <v>1078</v>
      </c>
      <c r="D5022" s="10" t="s">
        <v>1076</v>
      </c>
      <c r="E5022" s="11" t="str">
        <f t="array" ref="E5022">_xlfn.XLOOKUP(D5022,Insumos!B:B,Insumos!C:$C)</f>
        <v>L</v>
      </c>
      <c r="F5022" s="14">
        <v>2.5000000000000001E-2</v>
      </c>
      <c r="G5022" s="87">
        <f t="array" ref="G5022">IF(B5022="insumo",_xlfn.XLOOKUP($D5022,Insumos!$B$1:$B$996,Insumos!$D$1:$D$996),"")</f>
        <v>40.25</v>
      </c>
      <c r="H5022" s="87">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70</v>
      </c>
      <c r="C5023" s="10" t="s">
        <v>1078</v>
      </c>
      <c r="D5023" s="10" t="s">
        <v>1077</v>
      </c>
      <c r="E5023" s="11" t="str">
        <f t="array" ref="E5023">_xlfn.XLOOKUP(D5023,Insumos!B:B,Insumos!C:$C)</f>
        <v>KG</v>
      </c>
      <c r="F5023" s="14">
        <v>1.0999999999999999E-2</v>
      </c>
      <c r="G5023" s="87">
        <f t="array" ref="G5023">IF(B5023="insumo",_xlfn.XLOOKUP($D5023,Insumos!$B$1:$B$996,Insumos!$D$1:$D$996),"")</f>
        <v>23.2</v>
      </c>
      <c r="H5023" s="87">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332">
        <v>1</v>
      </c>
      <c r="B5024" s="332" t="s">
        <v>67</v>
      </c>
      <c r="C5024" s="332" t="s">
        <v>1079</v>
      </c>
      <c r="D5024" s="332" t="s">
        <v>1079</v>
      </c>
      <c r="E5024" s="333" t="s">
        <v>69</v>
      </c>
      <c r="F5024" s="332"/>
      <c r="G5024" s="334" t="str">
        <f t="array" ref="G5024">IF(B5024="insumo",_xlfn.XLOOKUP($D5024,Insumos!$B$1:$B$996,Insumos!$D$1:$D$996),"")</f>
        <v/>
      </c>
      <c r="H5024" s="334">
        <v>20</v>
      </c>
      <c r="I5024" s="335">
        <v>0</v>
      </c>
      <c r="J5024" s="335">
        <v>0</v>
      </c>
      <c r="K5024" s="335"/>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70</v>
      </c>
      <c r="C5025" s="10" t="s">
        <v>1079</v>
      </c>
      <c r="D5025" s="10" t="s">
        <v>1079</v>
      </c>
      <c r="E5025" s="11" t="str">
        <f t="array" ref="E5025">_xlfn.XLOOKUP(D5025,Insumos!B:B,Insumos!C:$C)</f>
        <v>M2</v>
      </c>
      <c r="F5025" s="14">
        <v>1</v>
      </c>
      <c r="G5025" s="87">
        <f t="array" ref="G5025">IF(B5025="insumo",_xlfn.XLOOKUP($D5025,Insumos!$B$1:$B$996,Insumos!$D$1:$D$996),"")</f>
        <v>20</v>
      </c>
      <c r="H5025" s="87">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332">
        <v>1</v>
      </c>
      <c r="B5026" s="332" t="s">
        <v>67</v>
      </c>
      <c r="C5026" s="332" t="s">
        <v>1080</v>
      </c>
      <c r="D5026" s="332" t="s">
        <v>1080</v>
      </c>
      <c r="E5026" s="333" t="s">
        <v>112</v>
      </c>
      <c r="F5026" s="332"/>
      <c r="G5026" s="334" t="str">
        <f t="array" ref="G5026">IF(B5026="insumo",_xlfn.XLOOKUP($D5026,Insumos!$B$1:$B$996,Insumos!$D$1:$D$996),"")</f>
        <v/>
      </c>
      <c r="H5026" s="334">
        <v>5</v>
      </c>
      <c r="I5026" s="335">
        <v>0</v>
      </c>
      <c r="J5026" s="335">
        <v>0</v>
      </c>
      <c r="K5026" s="335"/>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70</v>
      </c>
      <c r="C5027" s="10" t="s">
        <v>1080</v>
      </c>
      <c r="D5027" s="10" t="s">
        <v>1080</v>
      </c>
      <c r="E5027" s="11" t="str">
        <f t="array" ref="E5027">_xlfn.XLOOKUP(D5027,Insumos!B:B,Insumos!C:$C)</f>
        <v>M</v>
      </c>
      <c r="F5027" s="14">
        <v>1</v>
      </c>
      <c r="G5027" s="87">
        <f t="array" ref="G5027">IF(B5027="insumo",_xlfn.XLOOKUP($D5027,Insumos!$B$1:$B$996,Insumos!$D$1:$D$996),"")</f>
        <v>5</v>
      </c>
      <c r="H5027" s="87">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08" priority="13722">
      <formula>$B159="Subetapa"</formula>
    </cfRule>
  </conditionalFormatting>
  <conditionalFormatting sqref="B4976:B4983">
    <cfRule type="expression" dxfId="9507" priority="7843">
      <formula>$B4976="Subetapa"</formula>
    </cfRule>
    <cfRule type="expression" dxfId="9506" priority="7844">
      <formula>$B4976="Serviço"</formula>
    </cfRule>
  </conditionalFormatting>
  <conditionalFormatting sqref="B4:B151 B153:B194">
    <cfRule type="expression" dxfId="9505" priority="13599">
      <formula>$B4="Subetapa"</formula>
    </cfRule>
  </conditionalFormatting>
  <conditionalFormatting sqref="B271 B273 F2263 D2263">
    <cfRule type="expression" dxfId="9504" priority="9735">
      <formula>$B271="Serviço"</formula>
    </cfRule>
    <cfRule type="expression" dxfId="9503" priority="9736">
      <formula>$B271="Subetapa"</formula>
    </cfRule>
  </conditionalFormatting>
  <conditionalFormatting sqref="B287:B289 B295 B293 B291">
    <cfRule type="expression" dxfId="9502" priority="9752">
      <formula>$B287="Serviço"</formula>
    </cfRule>
    <cfRule type="expression" dxfId="9501" priority="9753">
      <formula>$B287="Subetapa"</formula>
    </cfRule>
  </conditionalFormatting>
  <conditionalFormatting sqref="B297">
    <cfRule type="expression" dxfId="9500" priority="9724">
      <formula>$B297="Serviço"</formula>
    </cfRule>
    <cfRule type="expression" dxfId="9499" priority="9725">
      <formula>$B297="Subetapa"</formula>
    </cfRule>
  </conditionalFormatting>
  <conditionalFormatting sqref="B345:B360 D349:F349 D353:F353 D350:D352 F350:F352 D357:F357 D354:D356 F354:F356 D358:D360 F358:F360 C349:C360">
    <cfRule type="expression" dxfId="9498" priority="13774">
      <formula>$B345="Subetapa"</formula>
    </cfRule>
  </conditionalFormatting>
  <conditionalFormatting sqref="B461:B463">
    <cfRule type="expression" dxfId="9497" priority="9715">
      <formula>$B461="Serviço"</formula>
    </cfRule>
    <cfRule type="expression" dxfId="9496" priority="9716">
      <formula>$B461="Subetapa"</formula>
    </cfRule>
  </conditionalFormatting>
  <conditionalFormatting sqref="B473:B476">
    <cfRule type="expression" dxfId="9495" priority="9706">
      <formula>$B473="Serviço"</formula>
    </cfRule>
    <cfRule type="expression" dxfId="9494" priority="9707">
      <formula>$B473="Subetapa"</formula>
    </cfRule>
  </conditionalFormatting>
  <conditionalFormatting sqref="B500:B501">
    <cfRule type="expression" dxfId="9493" priority="9697">
      <formula>$B500="Serviço"</formula>
    </cfRule>
    <cfRule type="expression" dxfId="9492" priority="9698">
      <formula>$B500="Subetapa"</formula>
    </cfRule>
  </conditionalFormatting>
  <conditionalFormatting sqref="B621:B639">
    <cfRule type="expression" dxfId="9491" priority="9688">
      <formula>$B621="Serviço"</formula>
    </cfRule>
    <cfRule type="expression" dxfId="9490"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89"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88" priority="9676">
      <formula>$B661="Subetapa"</formula>
    </cfRule>
  </conditionalFormatting>
  <conditionalFormatting sqref="B787:B791 B793:B809">
    <cfRule type="expression" dxfId="9487" priority="13567">
      <formula>$B787="Subetapa"</formula>
    </cfRule>
  </conditionalFormatting>
  <conditionalFormatting sqref="B814:B834">
    <cfRule type="expression" dxfId="9486" priority="9649">
      <formula>$B814="Serviço"</formula>
    </cfRule>
    <cfRule type="expression" dxfId="9485" priority="9650">
      <formula>$B814="Subetapa"</formula>
    </cfRule>
  </conditionalFormatting>
  <conditionalFormatting sqref="B835:B838">
    <cfRule type="expression" dxfId="9484" priority="9630">
      <formula>$B835="Serviço"</formula>
    </cfRule>
    <cfRule type="expression" dxfId="9483" priority="9631">
      <formula>$B835="Subetapa"</formula>
    </cfRule>
  </conditionalFormatting>
  <conditionalFormatting sqref="B843:B847">
    <cfRule type="expression" dxfId="9482" priority="13731">
      <formula>$B843="Subetapa"</formula>
    </cfRule>
  </conditionalFormatting>
  <conditionalFormatting sqref="B848:B850">
    <cfRule type="expression" dxfId="9481" priority="13786">
      <formula>$B848="Subetapa"</formula>
    </cfRule>
  </conditionalFormatting>
  <conditionalFormatting sqref="B852:B860">
    <cfRule type="expression" dxfId="9480" priority="13698">
      <formula>$B852="Subetapa"</formula>
    </cfRule>
  </conditionalFormatting>
  <conditionalFormatting sqref="B860:B862 D864:F864 D865:D866 F865:F866 C864:C866">
    <cfRule type="expression" dxfId="9479" priority="13680">
      <formula>$B860="Subetapa"</formula>
    </cfRule>
  </conditionalFormatting>
  <conditionalFormatting sqref="B879:B882">
    <cfRule type="expression" dxfId="9478" priority="9608">
      <formula>$B879="Serviço"</formula>
    </cfRule>
    <cfRule type="expression" dxfId="9477" priority="9609">
      <formula>$B879="Subetapa"</formula>
    </cfRule>
  </conditionalFormatting>
  <conditionalFormatting sqref="B883:B884">
    <cfRule type="expression" dxfId="9476" priority="9604">
      <formula>$B883="Serviço"</formula>
    </cfRule>
    <cfRule type="expression" dxfId="9475" priority="9605">
      <formula>$B883="Subetapa"</formula>
    </cfRule>
  </conditionalFormatting>
  <conditionalFormatting sqref="B895:B896">
    <cfRule type="expression" dxfId="9474" priority="9624">
      <formula>$B895="Serviço"</formula>
    </cfRule>
    <cfRule type="expression" dxfId="9473" priority="9625">
      <formula>$B895="Subetapa"</formula>
    </cfRule>
  </conditionalFormatting>
  <conditionalFormatting sqref="B918:B929">
    <cfRule type="expression" dxfId="9472" priority="9912">
      <formula>$B918="Serviço"</formula>
    </cfRule>
    <cfRule type="expression" dxfId="9471" priority="9913">
      <formula>$B918="Subetapa"</formula>
    </cfRule>
  </conditionalFormatting>
  <conditionalFormatting sqref="B931:B942">
    <cfRule type="expression" dxfId="9470" priority="9954">
      <formula>$B931="Serviço"</formula>
    </cfRule>
    <cfRule type="expression" dxfId="9469" priority="9955">
      <formula>$B931="Subetapa"</formula>
    </cfRule>
  </conditionalFormatting>
  <conditionalFormatting sqref="D943:F944 D947:F947 D945:D946 F945:F946 D950:F950 D948:D949 F948:F949 D953:F953 D951:D952 F951:F952 D956:F956 D954:D955 F954:F955 B943:C956">
    <cfRule type="expression" dxfId="9468" priority="11766">
      <formula>$B943="Subetapa"</formula>
    </cfRule>
  </conditionalFormatting>
  <conditionalFormatting sqref="B957:B962 B1169:B1172">
    <cfRule type="expression" dxfId="9467" priority="13737">
      <formula>$B957="Subetapa"</formula>
    </cfRule>
  </conditionalFormatting>
  <conditionalFormatting sqref="B963:B989 C970:F970">
    <cfRule type="expression" dxfId="9466" priority="11762">
      <formula>$B963="Subetapa"</formula>
    </cfRule>
  </conditionalFormatting>
  <conditionalFormatting sqref="B979:B980">
    <cfRule type="expression" dxfId="9465" priority="13655">
      <formula>$B979="Subetapa"</formula>
    </cfRule>
  </conditionalFormatting>
  <conditionalFormatting sqref="B1175:B1185 D1177:D1185">
    <cfRule type="expression" dxfId="9464" priority="9583">
      <formula>$B1175="Subetapa"</formula>
    </cfRule>
  </conditionalFormatting>
  <conditionalFormatting sqref="B1175:B1185">
    <cfRule type="expression" dxfId="9463" priority="9582">
      <formula>$B1175="Serviço"</formula>
    </cfRule>
  </conditionalFormatting>
  <conditionalFormatting sqref="B1290:B1299">
    <cfRule type="expression" dxfId="9462" priority="9497">
      <formula>$B1290="Serviço"</formula>
    </cfRule>
  </conditionalFormatting>
  <conditionalFormatting sqref="B1301:B1310 B1312:B1321 B1323:B1332 B1334:B1343 B1345:B1346 D1312:D1321 F1345">
    <cfRule type="expression" dxfId="9461"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0"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59" priority="9559">
      <formula>$B1257="Serviço"</formula>
    </cfRule>
  </conditionalFormatting>
  <conditionalFormatting sqref="B1376:B1385">
    <cfRule type="expression" dxfId="9458" priority="9561">
      <formula>$B1376="Serviço"</formula>
    </cfRule>
  </conditionalFormatting>
  <conditionalFormatting sqref="B1549:B1624">
    <cfRule type="expression" dxfId="9457" priority="13384">
      <formula>$B1549="Subetapa"</formula>
    </cfRule>
  </conditionalFormatting>
  <conditionalFormatting sqref="B1627:B1636">
    <cfRule type="expression" dxfId="9456" priority="13372">
      <formula>$B1627="Subetapa"</formula>
    </cfRule>
  </conditionalFormatting>
  <conditionalFormatting sqref="B1639:B1648">
    <cfRule type="expression" dxfId="9455" priority="13330">
      <formula>$B1639="Subetapa"</formula>
    </cfRule>
  </conditionalFormatting>
  <conditionalFormatting sqref="B1814:B1822">
    <cfRule type="expression" dxfId="9454" priority="13659">
      <formula>$B1814="Subetapa"</formula>
    </cfRule>
  </conditionalFormatting>
  <conditionalFormatting sqref="B1868:B1891">
    <cfRule type="expression" dxfId="9453" priority="13261">
      <formula>$B1868="Subetapa"</formula>
    </cfRule>
  </conditionalFormatting>
  <conditionalFormatting sqref="B1882:B1892 D1881:D1891">
    <cfRule type="expression" dxfId="9452" priority="13270">
      <formula>$B1881="Subetapa"</formula>
    </cfRule>
  </conditionalFormatting>
  <conditionalFormatting sqref="B1893:B1904">
    <cfRule type="expression" dxfId="9451" priority="13249">
      <formula>$B1893="Subetapa"</formula>
    </cfRule>
  </conditionalFormatting>
  <conditionalFormatting sqref="B1907:B1916">
    <cfRule type="expression" dxfId="9450" priority="13223">
      <formula>$B1907="Subetapa"</formula>
    </cfRule>
  </conditionalFormatting>
  <conditionalFormatting sqref="B1908:B1916 D1908:D1916">
    <cfRule type="expression" dxfId="9449" priority="13228">
      <formula>$B1908="Subetapa"</formula>
    </cfRule>
  </conditionalFormatting>
  <conditionalFormatting sqref="B1918:B1928">
    <cfRule type="expression" dxfId="9448" priority="13207">
      <formula>$B1918="Subetapa"</formula>
    </cfRule>
  </conditionalFormatting>
  <conditionalFormatting sqref="B1920:B1928 D1920:D1928">
    <cfRule type="expression" dxfId="9447" priority="13212">
      <formula>$B1920="Subetapa"</formula>
    </cfRule>
  </conditionalFormatting>
  <conditionalFormatting sqref="B1930:B1941">
    <cfRule type="expression" dxfId="9446" priority="13191">
      <formula>$B1930="Subetapa"</formula>
    </cfRule>
  </conditionalFormatting>
  <conditionalFormatting sqref="B1943:B1954">
    <cfRule type="expression" dxfId="9445" priority="13175">
      <formula>$B1943="Subetapa"</formula>
    </cfRule>
  </conditionalFormatting>
  <conditionalFormatting sqref="B1956:B1967">
    <cfRule type="expression" dxfId="9444" priority="13159">
      <formula>$B1956="Subetapa"</formula>
    </cfRule>
  </conditionalFormatting>
  <conditionalFormatting sqref="B1969:B1980">
    <cfRule type="expression" dxfId="9443" priority="13143">
      <formula>$B1969="Subetapa"</formula>
    </cfRule>
  </conditionalFormatting>
  <conditionalFormatting sqref="B1982:B1992">
    <cfRule type="expression" dxfId="9442" priority="13127">
      <formula>$B1982="Subetapa"</formula>
    </cfRule>
  </conditionalFormatting>
  <conditionalFormatting sqref="B1994:B2004">
    <cfRule type="expression" dxfId="9441" priority="13109">
      <formula>$B1994="Subetapa"</formula>
    </cfRule>
  </conditionalFormatting>
  <conditionalFormatting sqref="B2006:B2016">
    <cfRule type="expression" dxfId="9440" priority="13237">
      <formula>$B2006="Subetapa"</formula>
    </cfRule>
  </conditionalFormatting>
  <conditionalFormatting sqref="B2008:B2017 D2008:D2016">
    <cfRule type="expression" dxfId="9439" priority="13242">
      <formula>$B2008="Subetapa"</formula>
    </cfRule>
  </conditionalFormatting>
  <conditionalFormatting sqref="B2021:B2028 B2018:B2019">
    <cfRule type="expression" dxfId="9438" priority="13096">
      <formula>$B2018="Subetapa"</formula>
    </cfRule>
  </conditionalFormatting>
  <conditionalFormatting sqref="B2031:B2040 D2030:D2032 D2035:D2040">
    <cfRule type="expression" dxfId="9437" priority="13074">
      <formula>$B2030="Subetapa"</formula>
    </cfRule>
  </conditionalFormatting>
  <conditionalFormatting sqref="B2043:B2052 D2042:D2044 D2047:D2052">
    <cfRule type="expression" dxfId="9436" priority="13064">
      <formula>$B2042="Subetapa"</formula>
    </cfRule>
  </conditionalFormatting>
  <conditionalFormatting sqref="B2054:B2055 D2054:D2055">
    <cfRule type="expression" dxfId="9435" priority="13044">
      <formula>$B2054="Subetapa"</formula>
    </cfRule>
  </conditionalFormatting>
  <conditionalFormatting sqref="B2055:B2065">
    <cfRule type="expression" dxfId="9434" priority="13042">
      <formula>$B2055="Subetapa"</formula>
    </cfRule>
  </conditionalFormatting>
  <conditionalFormatting sqref="B2056:B2066 D2056:D2057 D2060:D2065">
    <cfRule type="expression" dxfId="9433" priority="13054">
      <formula>$B2056="Subetapa"</formula>
    </cfRule>
  </conditionalFormatting>
  <conditionalFormatting sqref="B2105:B2112">
    <cfRule type="expression" dxfId="9432" priority="12955">
      <formula>$B2105="Subetapa"</formula>
    </cfRule>
  </conditionalFormatting>
  <conditionalFormatting sqref="B2113:B2118">
    <cfRule type="expression" dxfId="9431" priority="12935">
      <formula>$B2113="Subetapa"</formula>
    </cfRule>
  </conditionalFormatting>
  <conditionalFormatting sqref="B2120:B2125">
    <cfRule type="expression" dxfId="9430" priority="12915">
      <formula>$B2120="Subetapa"</formula>
    </cfRule>
  </conditionalFormatting>
  <conditionalFormatting sqref="B2127:B2132">
    <cfRule type="expression" dxfId="9429" priority="12895">
      <formula>$B2127="Subetapa"</formula>
    </cfRule>
  </conditionalFormatting>
  <conditionalFormatting sqref="B2134:B2139">
    <cfRule type="expression" dxfId="9428" priority="12875">
      <formula>$B2134="Subetapa"</formula>
    </cfRule>
  </conditionalFormatting>
  <conditionalFormatting sqref="B2179:B2180">
    <cfRule type="expression" dxfId="9427"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26" priority="13626">
      <formula>$B2181="Subetapa"</formula>
    </cfRule>
  </conditionalFormatting>
  <conditionalFormatting sqref="B2212:B2223">
    <cfRule type="expression" dxfId="9425" priority="9975">
      <formula>$B2212="Subetapa"</formula>
    </cfRule>
  </conditionalFormatting>
  <conditionalFormatting sqref="B2224:B2243">
    <cfRule type="expression" dxfId="9424" priority="9999">
      <formula>$B2224="Subetapa"</formula>
    </cfRule>
  </conditionalFormatting>
  <conditionalFormatting sqref="B2338:B2341">
    <cfRule type="expression" dxfId="9423" priority="9458">
      <formula>$B2338="Serviço"</formula>
    </cfRule>
    <cfRule type="expression" dxfId="9422" priority="9462">
      <formula>$B2338="Subetapa"</formula>
    </cfRule>
  </conditionalFormatting>
  <conditionalFormatting sqref="B2347:B2348">
    <cfRule type="expression" dxfId="9421" priority="9444">
      <formula>$B2347="Serviço"</formula>
    </cfRule>
    <cfRule type="expression" dxfId="9420" priority="9448">
      <formula>$B2347="Subetapa"</formula>
    </cfRule>
  </conditionalFormatting>
  <conditionalFormatting sqref="B2349:B2350">
    <cfRule type="expression" dxfId="9419" priority="9435">
      <formula>$B2349="Serviço"</formula>
    </cfRule>
    <cfRule type="expression" dxfId="9418" priority="9439">
      <formula>$B2349="Subetapa"</formula>
    </cfRule>
  </conditionalFormatting>
  <conditionalFormatting sqref="B2356:B2357">
    <cfRule type="expression" dxfId="9417" priority="12825">
      <formula>$B2356="Subetapa"</formula>
    </cfRule>
  </conditionalFormatting>
  <conditionalFormatting sqref="B2359:B2367 B2369:B2373 B2344:B2345 B2390:B2434">
    <cfRule type="expression" dxfId="9416" priority="13671">
      <formula>$B2344="Subetapa"</formula>
    </cfRule>
  </conditionalFormatting>
  <conditionalFormatting sqref="B2374:B2378">
    <cfRule type="expression" dxfId="9415" priority="9426">
      <formula>$B2374="Serviço"</formula>
    </cfRule>
    <cfRule type="expression" dxfId="9414" priority="9430">
      <formula>$B2374="Subetapa"</formula>
    </cfRule>
  </conditionalFormatting>
  <conditionalFormatting sqref="B2379:B2388">
    <cfRule type="expression" dxfId="9413" priority="9409">
      <formula>$B2379="Subetapa"</formula>
    </cfRule>
  </conditionalFormatting>
  <conditionalFormatting sqref="B2380:B2383 B2385:B2388">
    <cfRule type="expression" dxfId="9412" priority="9410">
      <formula>$B2380="Serviço"</formula>
    </cfRule>
  </conditionalFormatting>
  <conditionalFormatting sqref="B2435:B2469">
    <cfRule type="expression" dxfId="9411" priority="12725">
      <formula>$B2435="Subetapa"</formula>
    </cfRule>
  </conditionalFormatting>
  <conditionalFormatting sqref="B2470:B2474">
    <cfRule type="expression" dxfId="9410"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09" priority="11598">
      <formula>$B2637="Subetapa"</formula>
    </cfRule>
  </conditionalFormatting>
  <conditionalFormatting sqref="D2666:F2666 D2667:D2669 F2667:F2669 D2662:F2662 F2663:F2665 D2663:D2665 B2662:C2669">
    <cfRule type="expression" dxfId="9408" priority="11563">
      <formula>$B2662="Subetapa"</formula>
    </cfRule>
  </conditionalFormatting>
  <conditionalFormatting sqref="D2670:F2671 D2672 F2672 B2670:C2672">
    <cfRule type="expression" dxfId="9407" priority="11566">
      <formula>$B2670="Subetapa"</formula>
    </cfRule>
  </conditionalFormatting>
  <conditionalFormatting sqref="B2673:B2674 B2690 B2682 B2687:B2688 B2684:B2685">
    <cfRule type="expression" dxfId="9406" priority="9306">
      <formula>$B2673="Serviço"</formula>
    </cfRule>
  </conditionalFormatting>
  <conditionalFormatting sqref="B2673:B2674 B2690 B2685 B2687:B2688">
    <cfRule type="expression" dxfId="9405" priority="9304">
      <formula>$B2673="Subetapa"</formula>
    </cfRule>
  </conditionalFormatting>
  <conditionalFormatting sqref="D2731:F2732 D2734:F2734 D2733 F2733 D2735 F2735 B2731:C2735">
    <cfRule type="expression" dxfId="9404"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3" priority="11594">
      <formula>$B2737="Subetapa"</formula>
    </cfRule>
  </conditionalFormatting>
  <conditionalFormatting sqref="D2765:F2765 D2766:D2767 F2766:F2767 B2765:C2767">
    <cfRule type="expression" dxfId="9402" priority="9294">
      <formula>$B2765="Serviço"</formula>
    </cfRule>
  </conditionalFormatting>
  <conditionalFormatting sqref="B2765:B2767">
    <cfRule type="expression" dxfId="9401" priority="9297">
      <formula>$B2765="Subetapa"</formula>
    </cfRule>
  </conditionalFormatting>
  <conditionalFormatting sqref="B2772:B2787">
    <cfRule type="expression" dxfId="9400" priority="12670">
      <formula>$B2772="Subetapa"</formula>
    </cfRule>
  </conditionalFormatting>
  <conditionalFormatting sqref="B2806:B2816 D2815:D2816">
    <cfRule type="expression" dxfId="9399" priority="9289">
      <formula>$B2806="Subetapa"</formula>
    </cfRule>
  </conditionalFormatting>
  <conditionalFormatting sqref="B2806:B2816">
    <cfRule type="expression" dxfId="9398" priority="9288">
      <formula>$B2806="Serviço"</formula>
    </cfRule>
  </conditionalFormatting>
  <conditionalFormatting sqref="B2817:B2821">
    <cfRule type="expression" dxfId="9397" priority="10665">
      <formula>$B2817="Subetapa"</formula>
    </cfRule>
  </conditionalFormatting>
  <conditionalFormatting sqref="B2883:B2884 B3247:B3249 B3177:B3188">
    <cfRule type="expression" dxfId="9396" priority="9279">
      <formula>$B2883="Subetapa"</formula>
    </cfRule>
    <cfRule type="expression" dxfId="9395" priority="9280">
      <formula>$B2883="Serviço"</formula>
    </cfRule>
  </conditionalFormatting>
  <conditionalFormatting sqref="B2911:B2918">
    <cfRule type="expression" dxfId="9394" priority="12574">
      <formula>$B2911="Subetapa"</formula>
    </cfRule>
  </conditionalFormatting>
  <conditionalFormatting sqref="D2957:F2957 D2959:D2960 F2958:F2960 B2937:B2960 C2957:C2960">
    <cfRule type="expression" dxfId="9393"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2" priority="13803">
      <formula>$B3023="Subetapa"</formula>
    </cfRule>
  </conditionalFormatting>
  <conditionalFormatting sqref="B3056:B3063">
    <cfRule type="expression" dxfId="9391" priority="9268">
      <formula>$B3056="Subetapa"</formula>
    </cfRule>
    <cfRule type="expression" dxfId="9390" priority="9270">
      <formula>$B3056="Serviço"</formula>
    </cfRule>
  </conditionalFormatting>
  <conditionalFormatting sqref="B3097:B3098">
    <cfRule type="expression" dxfId="9389" priority="9261">
      <formula>$B3097="Serviço"</formula>
    </cfRule>
  </conditionalFormatting>
  <conditionalFormatting sqref="B3097:B3098">
    <cfRule type="expression" dxfId="9388" priority="9256">
      <formula>$B3097="Subetapa"</formula>
    </cfRule>
  </conditionalFormatting>
  <conditionalFormatting sqref="B3099:B3106 B3108:B3128 B3137:B3138">
    <cfRule type="expression" dxfId="9387" priority="13673">
      <formula>$B3099="Subetapa"</formula>
    </cfRule>
  </conditionalFormatting>
  <conditionalFormatting sqref="B3129:B3136">
    <cfRule type="expression" dxfId="9386" priority="9246">
      <formula>$B3129="Subetapa"</formula>
    </cfRule>
    <cfRule type="expression" dxfId="9385" priority="9252">
      <formula>$B3129="Serviço"</formula>
    </cfRule>
  </conditionalFormatting>
  <conditionalFormatting sqref="B3350:B3379">
    <cfRule type="expression" dxfId="9384" priority="12442">
      <formula>$B3350="Subetapa"</formula>
    </cfRule>
  </conditionalFormatting>
  <conditionalFormatting sqref="B3380:B3463">
    <cfRule type="expression" dxfId="9383" priority="12474">
      <formula>$B3380="Subetapa"</formula>
    </cfRule>
  </conditionalFormatting>
  <conditionalFormatting sqref="B3464:B3475">
    <cfRule type="expression" dxfId="9382" priority="12464">
      <formula>$B3464="Subetapa"</formula>
    </cfRule>
  </conditionalFormatting>
  <conditionalFormatting sqref="D3623:F3623 D3624:D3625 F3624:F3625 B3623:C3625">
    <cfRule type="expression" dxfId="9381" priority="12372">
      <formula>$B3623="Subetapa"</formula>
    </cfRule>
  </conditionalFormatting>
  <conditionalFormatting sqref="D3626:F3626 D3627:D3628 F3627:F3628 B3626:C3628">
    <cfRule type="expression" dxfId="9380" priority="12389">
      <formula>$B3626="Subetapa"</formula>
    </cfRule>
  </conditionalFormatting>
  <conditionalFormatting sqref="D3640:F3640 D3641:D3643 F3641:F3643 B3640:C3643">
    <cfRule type="expression" dxfId="9379" priority="12380">
      <formula>$B3640="Subetapa"</formula>
    </cfRule>
  </conditionalFormatting>
  <conditionalFormatting sqref="D3662:F3662 D3665:F3665 D3663:D3664 F3663:F3664 D3668:F3668 D3666:D3667 F3666:F3667 D3671:F3671 D3669:D3670 F3669:F3670 D3672:D3673 F3672:F3673 B3662:C3673">
    <cfRule type="expression" dxfId="9378" priority="12384">
      <formula>$B3662="Subetapa"</formula>
    </cfRule>
  </conditionalFormatting>
  <conditionalFormatting sqref="B3674:B3678">
    <cfRule type="expression" dxfId="9377" priority="9011">
      <formula>$B3674="Serviço"</formula>
    </cfRule>
    <cfRule type="expression" dxfId="9376" priority="9012">
      <formula>$B3674="Subetapa"</formula>
    </cfRule>
  </conditionalFormatting>
  <conditionalFormatting sqref="B3679:B3683">
    <cfRule type="expression" dxfId="9375" priority="12376">
      <formula>$B3679="Subetapa"</formula>
    </cfRule>
  </conditionalFormatting>
  <conditionalFormatting sqref="B3684:B3688">
    <cfRule type="expression" dxfId="9374" priority="8999">
      <formula>$B3684="Serviço"</formula>
    </cfRule>
    <cfRule type="expression" dxfId="9373" priority="9000">
      <formula>$B3684="Subetapa"</formula>
    </cfRule>
  </conditionalFormatting>
  <conditionalFormatting sqref="B3699:B3708">
    <cfRule type="expression" dxfId="9372" priority="8987">
      <formula>$B3699="Serviço"</formula>
    </cfRule>
    <cfRule type="expression" dxfId="9371" priority="8988">
      <formula>$B3699="Subetapa"</formula>
    </cfRule>
  </conditionalFormatting>
  <conditionalFormatting sqref="B3722:B3724">
    <cfRule type="expression" dxfId="9370" priority="8963">
      <formula>$B3722="Serviço"</formula>
    </cfRule>
    <cfRule type="expression" dxfId="9369"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68"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67" priority="12524">
      <formula>$B3767="Subetapa"</formula>
    </cfRule>
  </conditionalFormatting>
  <conditionalFormatting sqref="D3788:F3788 D3792:F3792 D3789 F3789 D3793 F3793 D3790:F3790 F3791 D3791 B3788:C3793">
    <cfRule type="expression" dxfId="9366" priority="11461">
      <formula>$B3788="Subetapa"</formula>
    </cfRule>
  </conditionalFormatting>
  <conditionalFormatting sqref="D3794:F3795 D3797:F3797 D3796 F3796 D3799:F3799 D3798 F3798 D3801:F3803 D3800 F3800 D3804:D3807 F3804:F3807 B3794:C3807">
    <cfRule type="expression" dxfId="9365" priority="12298">
      <formula>$B3794="Subetapa"</formula>
    </cfRule>
  </conditionalFormatting>
  <conditionalFormatting sqref="D3808:F3808 D3811:F3811 D3809:D3810 F3809:F3810 D3812:D3815 F3812:F3815 B3808:C3815">
    <cfRule type="expression" dxfId="9364" priority="8649">
      <formula>$B3808="Serviço"</formula>
    </cfRule>
  </conditionalFormatting>
  <conditionalFormatting sqref="B3808:B3815">
    <cfRule type="expression" dxfId="9363" priority="8646">
      <formula>$B3808="Subetapa"</formula>
    </cfRule>
  </conditionalFormatting>
  <conditionalFormatting sqref="B3846:B3847">
    <cfRule type="expression" dxfId="9362" priority="12110">
      <formula>$B3846="Subetapa"</formula>
    </cfRule>
  </conditionalFormatting>
  <conditionalFormatting sqref="B3858:B3859 D3858:F3859">
    <cfRule type="expression" dxfId="9361" priority="12279">
      <formula>$B3858="Subetapa"</formula>
    </cfRule>
  </conditionalFormatting>
  <conditionalFormatting sqref="B3861:B3862">
    <cfRule type="expression" dxfId="9360" priority="12269">
      <formula>$B3861="Subetapa"</formula>
    </cfRule>
  </conditionalFormatting>
  <conditionalFormatting sqref="B3864:B3865">
    <cfRule type="expression" dxfId="9359" priority="12231">
      <formula>$B3864="Subetapa"</formula>
    </cfRule>
  </conditionalFormatting>
  <conditionalFormatting sqref="B3883:B3884">
    <cfRule type="expression" dxfId="9358" priority="12218">
      <formula>$B3883="Subetapa"</formula>
    </cfRule>
  </conditionalFormatting>
  <conditionalFormatting sqref="B3894:B3895">
    <cfRule type="expression" dxfId="9357" priority="12205">
      <formula>$B3894="Subetapa"</formula>
    </cfRule>
  </conditionalFormatting>
  <conditionalFormatting sqref="B3905:B3906">
    <cfRule type="expression" dxfId="9356" priority="12192">
      <formula>$B3905="Subetapa"</formula>
    </cfRule>
  </conditionalFormatting>
  <conditionalFormatting sqref="B3916:B3917">
    <cfRule type="expression" dxfId="9355" priority="12179">
      <formula>$B3916="Subetapa"</formula>
    </cfRule>
  </conditionalFormatting>
  <conditionalFormatting sqref="B3927:B3928">
    <cfRule type="expression" dxfId="9354" priority="12166">
      <formula>$B3927="Subetapa"</formula>
    </cfRule>
  </conditionalFormatting>
  <conditionalFormatting sqref="B3929:B3932 D3929:D3932">
    <cfRule type="expression" dxfId="9353" priority="10566">
      <formula>$B3929="Subetapa"</formula>
    </cfRule>
  </conditionalFormatting>
  <conditionalFormatting sqref="B3938:B3943 D3939:D3940">
    <cfRule type="expression" dxfId="9352" priority="13742">
      <formula>$B3938="Subetapa"</formula>
    </cfRule>
  </conditionalFormatting>
  <conditionalFormatting sqref="B3944:B3952">
    <cfRule type="expression" dxfId="9351" priority="10551">
      <formula>$B3944="Subetapa"</formula>
    </cfRule>
  </conditionalFormatting>
  <conditionalFormatting sqref="B3956:B3959">
    <cfRule type="expression" dxfId="9350" priority="10139">
      <formula>$B3956="Subetapa"</formula>
    </cfRule>
  </conditionalFormatting>
  <conditionalFormatting sqref="B3983:B3986">
    <cfRule type="expression" dxfId="9349" priority="8264">
      <formula>$B3983="Serviço"</formula>
    </cfRule>
  </conditionalFormatting>
  <conditionalFormatting sqref="B4041:B4043 D4051:F4051 D4054:F4054 D4052:D4053 F4052:F4053 B4051:B4056 C4051:C4054">
    <cfRule type="expression" dxfId="9348" priority="7873">
      <formula>$B4041="Serviço"</formula>
    </cfRule>
  </conditionalFormatting>
  <conditionalFormatting sqref="B4041:B4043 B4051:B4056">
    <cfRule type="expression" dxfId="9347" priority="7872">
      <formula>$B4041="Subetapa"</formula>
    </cfRule>
  </conditionalFormatting>
  <conditionalFormatting sqref="B4058:B4067">
    <cfRule type="expression" dxfId="9346" priority="13628">
      <formula>$B4058="Subetapa"</formula>
    </cfRule>
  </conditionalFormatting>
  <conditionalFormatting sqref="B4069:B4076">
    <cfRule type="expression" dxfId="9345"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4" priority="13589">
      <formula>$B4078="Subetapa"</formula>
    </cfRule>
  </conditionalFormatting>
  <conditionalFormatting sqref="B4110:B4113 B4088:B4097">
    <cfRule type="expression" dxfId="9343" priority="13762">
      <formula>$B4088="Subetapa"</formula>
    </cfRule>
  </conditionalFormatting>
  <conditionalFormatting sqref="D4114:F4114 D4115 F4115 B4114:C4115">
    <cfRule type="expression" dxfId="9342" priority="7797">
      <formula>$B4114="Subetapa"</formula>
    </cfRule>
  </conditionalFormatting>
  <conditionalFormatting sqref="B4122:B4124">
    <cfRule type="expression" dxfId="9341" priority="7818">
      <formula>$B4122="Serviço"</formula>
    </cfRule>
    <cfRule type="expression" dxfId="9340" priority="7820">
      <formula>$B4122="Subetapa"</formula>
    </cfRule>
  </conditionalFormatting>
  <conditionalFormatting sqref="B4125:B4134">
    <cfRule type="expression" dxfId="9339" priority="12334">
      <formula>$B4125="Subetapa"</formula>
    </cfRule>
  </conditionalFormatting>
  <conditionalFormatting sqref="B4156:B4161">
    <cfRule type="expression" dxfId="9338" priority="7786">
      <formula>$B4156="Serviço"</formula>
    </cfRule>
    <cfRule type="expression" dxfId="9337"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36" priority="13705">
      <formula>$B4187="Subetapa"</formula>
    </cfRule>
  </conditionalFormatting>
  <conditionalFormatting sqref="B4245:B4248">
    <cfRule type="expression" dxfId="9335" priority="7757">
      <formula>$B4245="Serviço"</formula>
    </cfRule>
    <cfRule type="expression" dxfId="9334" priority="7758">
      <formula>$B4245="Subetapa"</formula>
    </cfRule>
  </conditionalFormatting>
  <conditionalFormatting sqref="B4296:B4301">
    <cfRule type="expression" dxfId="9333" priority="12077">
      <formula>$B4296="Subetapa"</formula>
    </cfRule>
  </conditionalFormatting>
  <conditionalFormatting sqref="B4323:B4372">
    <cfRule type="expression" dxfId="9332"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1" priority="7749">
      <formula>$B4373="Subetapa"</formula>
    </cfRule>
    <cfRule type="expression" dxfId="9330"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29" priority="12096">
      <formula>$B4403="Subetapa"</formula>
    </cfRule>
  </conditionalFormatting>
  <conditionalFormatting sqref="B4456:B4457">
    <cfRule type="expression" dxfId="9328" priority="14557">
      <formula>$B4456="Subetapa"</formula>
    </cfRule>
  </conditionalFormatting>
  <conditionalFormatting sqref="B4462:B4463">
    <cfRule type="expression" dxfId="9327" priority="13745">
      <formula>$B4462="Subetapa"</formula>
    </cfRule>
  </conditionalFormatting>
  <conditionalFormatting sqref="B4573:B4585 B4598:B4609">
    <cfRule type="expression" dxfId="9326"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25" priority="7743">
      <formula>$B4686="Subetapa"</formula>
    </cfRule>
    <cfRule type="expression" dxfId="9324"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3" priority="13814">
      <formula>$B3240="Subetapa"</formula>
    </cfRule>
  </conditionalFormatting>
  <conditionalFormatting sqref="B4727:B4790 D4726:D4749">
    <cfRule type="expression" dxfId="9322" priority="13645">
      <formula>$B4726="Subetapa"</formula>
    </cfRule>
  </conditionalFormatting>
  <conditionalFormatting sqref="B4801:B4810">
    <cfRule type="expression" dxfId="9321" priority="7613">
      <formula>$B4801="Serviço"</formula>
    </cfRule>
    <cfRule type="expression" dxfId="9320" priority="7622">
      <formula>$B4801="Subetapa"</formula>
    </cfRule>
  </conditionalFormatting>
  <conditionalFormatting sqref="B4872:B4917 B4923:B4931">
    <cfRule type="expression" dxfId="9319" priority="13748">
      <formula>$B4872="Subetapa"</formula>
    </cfRule>
  </conditionalFormatting>
  <conditionalFormatting sqref="B4918:B4922">
    <cfRule type="expression" dxfId="9318" priority="7600">
      <formula>$B4918="Serviço"</formula>
    </cfRule>
    <cfRule type="expression" dxfId="9317" priority="7603">
      <formula>$B4918="Subetapa"</formula>
    </cfRule>
  </conditionalFormatting>
  <conditionalFormatting sqref="B4933:B4975">
    <cfRule type="expression" dxfId="9316" priority="13749">
      <formula>$B4933="Subetapa"</formula>
    </cfRule>
  </conditionalFormatting>
  <conditionalFormatting sqref="D303:F304 B303">
    <cfRule type="expression" dxfId="9315" priority="9791">
      <formula>$B303="Subetapa"</formula>
    </cfRule>
  </conditionalFormatting>
  <conditionalFormatting sqref="B810:B813 B839:B842">
    <cfRule type="expression" dxfId="9314" priority="7472">
      <formula>$B810="Subetapa"</formula>
    </cfRule>
  </conditionalFormatting>
  <conditionalFormatting sqref="B881">
    <cfRule type="expression" dxfId="9313" priority="9606">
      <formula>$B881="Serviço"</formula>
    </cfRule>
    <cfRule type="expression" dxfId="9312" priority="9607">
      <formula>$B881="Subetapa"</formula>
    </cfRule>
  </conditionalFormatting>
  <conditionalFormatting sqref="B894">
    <cfRule type="expression" dxfId="9311" priority="9617">
      <formula>$B894="Serviço"</formula>
    </cfRule>
    <cfRule type="expression" dxfId="9310" priority="9618">
      <formula>$B894="Subetapa"</formula>
    </cfRule>
  </conditionalFormatting>
  <conditionalFormatting sqref="B896">
    <cfRule type="expression" dxfId="9309" priority="9620">
      <formula>$B896="Serviço"</formula>
    </cfRule>
    <cfRule type="expression" dxfId="9308" priority="9621">
      <formula>$B896="Subetapa"</formula>
    </cfRule>
  </conditionalFormatting>
  <conditionalFormatting sqref="B923">
    <cfRule type="expression" dxfId="9307" priority="9899">
      <formula>$B923="Serviço"</formula>
    </cfRule>
    <cfRule type="expression" dxfId="9306" priority="9900">
      <formula>$B923="Subetapa"</formula>
    </cfRule>
  </conditionalFormatting>
  <conditionalFormatting sqref="B926">
    <cfRule type="expression" dxfId="9305" priority="9903">
      <formula>$B926="Serviço"</formula>
    </cfRule>
    <cfRule type="expression" dxfId="9304" priority="9904">
      <formula>$B926="Subetapa"</formula>
    </cfRule>
  </conditionalFormatting>
  <conditionalFormatting sqref="B929">
    <cfRule type="expression" dxfId="9303" priority="9905">
      <formula>$B929="Serviço"</formula>
    </cfRule>
    <cfRule type="expression" dxfId="9302" priority="9906">
      <formula>$B929="Subetapa"</formula>
    </cfRule>
  </conditionalFormatting>
  <conditionalFormatting sqref="B933">
    <cfRule type="expression" dxfId="9301" priority="9941">
      <formula>$B933="Serviço"</formula>
    </cfRule>
    <cfRule type="expression" dxfId="9300" priority="9942">
      <formula>$B933="Subetapa"</formula>
    </cfRule>
  </conditionalFormatting>
  <conditionalFormatting sqref="B936">
    <cfRule type="expression" dxfId="9299" priority="9939">
      <formula>$B936="Serviço"</formula>
    </cfRule>
    <cfRule type="expression" dxfId="9298" priority="9940">
      <formula>$B936="Subetapa"</formula>
    </cfRule>
  </conditionalFormatting>
  <conditionalFormatting sqref="B939">
    <cfRule type="expression" dxfId="9297" priority="9943">
      <formula>$B939="Serviço"</formula>
    </cfRule>
    <cfRule type="expression" dxfId="9296" priority="9944">
      <formula>$B939="Subetapa"</formula>
    </cfRule>
  </conditionalFormatting>
  <conditionalFormatting sqref="B942">
    <cfRule type="expression" dxfId="9295" priority="9947">
      <formula>$B942="Serviço"</formula>
    </cfRule>
    <cfRule type="expression" dxfId="9294" priority="9948">
      <formula>$B942="Subetapa"</formula>
    </cfRule>
  </conditionalFormatting>
  <conditionalFormatting sqref="B959 B962">
    <cfRule type="expression" dxfId="9293"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2" priority="13557">
      <formula>$B1186="Subetapa"</formula>
    </cfRule>
  </conditionalFormatting>
  <conditionalFormatting sqref="B1290">
    <cfRule type="expression" dxfId="9291" priority="9498">
      <formula>$B1290="Subetapa"</formula>
    </cfRule>
  </conditionalFormatting>
  <conditionalFormatting sqref="B1300">
    <cfRule type="expression" dxfId="9290" priority="9490">
      <formula>$B1300="Subetapa"</formula>
    </cfRule>
  </conditionalFormatting>
  <conditionalFormatting sqref="B1311">
    <cfRule type="expression" dxfId="9289" priority="9492">
      <formula>$B1311="Subetapa"</formula>
    </cfRule>
  </conditionalFormatting>
  <conditionalFormatting sqref="B1322">
    <cfRule type="expression" dxfId="9288" priority="9494">
      <formula>$B1322="Subetapa"</formula>
    </cfRule>
  </conditionalFormatting>
  <conditionalFormatting sqref="B1333">
    <cfRule type="expression" dxfId="9287" priority="9496">
      <formula>$B1333="Subetapa"</formula>
    </cfRule>
  </conditionalFormatting>
  <conditionalFormatting sqref="B1344">
    <cfRule type="expression" dxfId="9286" priority="9480">
      <formula>$B1344="Subetapa"</formula>
    </cfRule>
  </conditionalFormatting>
  <conditionalFormatting sqref="B1386:B1396 B1541 B1548 B1626 B1638 B1535">
    <cfRule type="expression" dxfId="9285" priority="13426">
      <formula>$B1386="Subetapa"</formula>
    </cfRule>
  </conditionalFormatting>
  <conditionalFormatting sqref="B1542:B1546">
    <cfRule type="expression" dxfId="9284" priority="7262">
      <formula>$B1542="Subetapa"</formula>
    </cfRule>
  </conditionalFormatting>
  <conditionalFormatting sqref="B1650:B1842">
    <cfRule type="expression" dxfId="9283" priority="7444">
      <formula>$B1650="Subetapa"</formula>
    </cfRule>
  </conditionalFormatting>
  <conditionalFormatting sqref="B1844:B1854">
    <cfRule type="expression" dxfId="9282" priority="7440">
      <formula>$B1844="Subetapa"</formula>
    </cfRule>
  </conditionalFormatting>
  <conditionalFormatting sqref="B1856:B1866">
    <cfRule type="expression" dxfId="9281" priority="7436">
      <formula>$B1856="Subetapa"</formula>
    </cfRule>
  </conditionalFormatting>
  <conditionalFormatting sqref="D1868:D1869 B1869 B1871:B1879 D1871:D1879">
    <cfRule type="expression" dxfId="9280" priority="13266">
      <formula>$B1868="Subetapa"</formula>
    </cfRule>
  </conditionalFormatting>
  <conditionalFormatting sqref="B1870">
    <cfRule type="expression" dxfId="9279" priority="13256">
      <formula>$B1870="Subetapa"</formula>
    </cfRule>
  </conditionalFormatting>
  <conditionalFormatting sqref="D1893:D1894 D1896:D1904 B1894 B1896:B1906">
    <cfRule type="expression" dxfId="9278" priority="13254">
      <formula>$B1893="Subetapa"</formula>
    </cfRule>
  </conditionalFormatting>
  <conditionalFormatting sqref="D1930:D1931 B1931 B1933:B1941 D1933:D1941">
    <cfRule type="expression" dxfId="9277" priority="13196">
      <formula>$B1930="Subetapa"</formula>
    </cfRule>
  </conditionalFormatting>
  <conditionalFormatting sqref="D1943:D1944 B1944 B1946:B1954 D1946:D1954">
    <cfRule type="expression" dxfId="9276" priority="13180">
      <formula>$B1943="Subetapa"</formula>
    </cfRule>
  </conditionalFormatting>
  <conditionalFormatting sqref="D1956:D1957 B1957 B1959:B1967 D1959:D1967">
    <cfRule type="expression" dxfId="9275" priority="13164">
      <formula>$B1956="Subetapa"</formula>
    </cfRule>
  </conditionalFormatting>
  <conditionalFormatting sqref="D1969:D1970 B1970 B1972:B1980 D1972:D1980">
    <cfRule type="expression" dxfId="9274" priority="13148">
      <formula>$B1969="Subetapa"</formula>
    </cfRule>
  </conditionalFormatting>
  <conditionalFormatting sqref="B2020">
    <cfRule type="expression" dxfId="9273" priority="12006">
      <formula>$B2020="Subetapa"</formula>
    </cfRule>
  </conditionalFormatting>
  <conditionalFormatting sqref="B2042:B2052">
    <cfRule type="expression" dxfId="9272" priority="7391">
      <formula>$B2042="Subetapa"</formula>
    </cfRule>
  </conditionalFormatting>
  <conditionalFormatting sqref="B2068">
    <cfRule type="expression" dxfId="9271" priority="13024">
      <formula>$B2068="Subetapa"</formula>
    </cfRule>
  </conditionalFormatting>
  <conditionalFormatting sqref="B2081">
    <cfRule type="expression" dxfId="9270" priority="13006">
      <formula>$B2081="Subetapa"</formula>
    </cfRule>
  </conditionalFormatting>
  <conditionalFormatting sqref="B2094">
    <cfRule type="expression" dxfId="9269" priority="12988">
      <formula>$B2094="Subetapa"</formula>
    </cfRule>
  </conditionalFormatting>
  <conditionalFormatting sqref="B2331:B2336">
    <cfRule type="expression" dxfId="9268" priority="7351">
      <formula>$B2331="Subetapa"</formula>
    </cfRule>
  </conditionalFormatting>
  <conditionalFormatting sqref="B2346">
    <cfRule type="expression" dxfId="9267" priority="12807">
      <formula>$B2346="Subetapa"</formula>
    </cfRule>
  </conditionalFormatting>
  <conditionalFormatting sqref="B2379 B2384">
    <cfRule type="expression" dxfId="9266" priority="9405">
      <formula>$B2379="Serviço"</formula>
    </cfRule>
  </conditionalFormatting>
  <conditionalFormatting sqref="B2692:B2718">
    <cfRule type="expression" dxfId="9265" priority="7254">
      <formula>$B2692="Subetapa"</formula>
    </cfRule>
  </conditionalFormatting>
  <conditionalFormatting sqref="B2756:B2764">
    <cfRule type="expression" dxfId="9264" priority="7211">
      <formula>$B2756="Subetapa"</formula>
    </cfRule>
  </conditionalFormatting>
  <conditionalFormatting sqref="B2768">
    <cfRule type="expression" dxfId="9263" priority="12651">
      <formula>$B2768="Subetapa"</formula>
    </cfRule>
  </conditionalFormatting>
  <conditionalFormatting sqref="B2876">
    <cfRule type="expression" dxfId="9262" priority="12614">
      <formula>$B2876="Subetapa"</formula>
    </cfRule>
  </conditionalFormatting>
  <conditionalFormatting sqref="B2885:B2889 B2905:B2910">
    <cfRule type="expression" dxfId="9261" priority="7252">
      <formula>$B2885="Subetapa"</formula>
    </cfRule>
  </conditionalFormatting>
  <conditionalFormatting sqref="B3107">
    <cfRule type="expression" dxfId="9260" priority="12544">
      <formula>$B3107="Subetapa"</formula>
    </cfRule>
  </conditionalFormatting>
  <conditionalFormatting sqref="B3561:B3575">
    <cfRule type="expression" dxfId="9259" priority="7334">
      <formula>$B3561="Subetapa"</formula>
    </cfRule>
  </conditionalFormatting>
  <conditionalFormatting sqref="B3577:B3588 B3618:B3621">
    <cfRule type="expression" dxfId="9258" priority="7326">
      <formula>$B3577="Subetapa"</formula>
    </cfRule>
  </conditionalFormatting>
  <conditionalFormatting sqref="B3816:B3845">
    <cfRule type="expression" dxfId="9257" priority="7245">
      <formula>$B3816="Subetapa"</formula>
    </cfRule>
  </conditionalFormatting>
  <conditionalFormatting sqref="B3848:B3850">
    <cfRule type="expression" dxfId="9256" priority="7288">
      <formula>$B3848="Subetapa"</formula>
    </cfRule>
  </conditionalFormatting>
  <conditionalFormatting sqref="B3937">
    <cfRule type="expression" dxfId="9255" priority="10567">
      <formula>$B3937="Subetapa"</formula>
    </cfRule>
  </conditionalFormatting>
  <conditionalFormatting sqref="B3991">
    <cfRule type="expression" dxfId="9254" priority="8277">
      <formula>$B3991="Serviço"</formula>
    </cfRule>
  </conditionalFormatting>
  <conditionalFormatting sqref="B4124">
    <cfRule type="expression" dxfId="9253" priority="7816">
      <formula>$B4124="Serviço"</formula>
    </cfRule>
    <cfRule type="expression" dxfId="9252" priority="7817">
      <formula>$B4124="Subetapa"</formula>
    </cfRule>
  </conditionalFormatting>
  <conditionalFormatting sqref="B4460">
    <cfRule type="expression" dxfId="9251" priority="13642">
      <formula>$B4460="Subetapa"</formula>
    </cfRule>
  </conditionalFormatting>
  <conditionalFormatting sqref="B4482">
    <cfRule type="expression" dxfId="9250" priority="13644">
      <formula>$B4482="Subetapa"</formula>
    </cfRule>
  </conditionalFormatting>
  <conditionalFormatting sqref="B4701:B4702">
    <cfRule type="expression" dxfId="9249" priority="7243">
      <formula>$B4701="Subetapa"</formula>
    </cfRule>
  </conditionalFormatting>
  <conditionalFormatting sqref="B323:D323">
    <cfRule type="expression" dxfId="9248" priority="14327">
      <formula>$B323="Subetapa"</formula>
    </cfRule>
  </conditionalFormatting>
  <conditionalFormatting sqref="B1842:D1842">
    <cfRule type="expression" dxfId="9247" priority="13282">
      <formula>$B1842="Subetapa"</formula>
    </cfRule>
  </conditionalFormatting>
  <conditionalFormatting sqref="B2769:D2769">
    <cfRule type="expression" dxfId="9246" priority="10044">
      <formula>$B2769="Subetapa"</formula>
    </cfRule>
  </conditionalFormatting>
  <conditionalFormatting sqref="B2770:D2770">
    <cfRule type="expression" dxfId="9245" priority="10072">
      <formula>$B2770="Subetapa"</formula>
    </cfRule>
  </conditionalFormatting>
  <conditionalFormatting sqref="B2771:D2771">
    <cfRule type="expression" dxfId="9244" priority="10055">
      <formula>$B2771="Subetapa"</formula>
    </cfRule>
  </conditionalFormatting>
  <conditionalFormatting sqref="B4932:D4932">
    <cfRule type="expression" dxfId="9243" priority="13830">
      <formula>$B4932="Subetapa"</formula>
    </cfRule>
  </conditionalFormatting>
  <conditionalFormatting sqref="B2007:D2007">
    <cfRule type="expression" dxfId="9242" priority="13232">
      <formula>$B2007="Subetapa"</formula>
    </cfRule>
  </conditionalFormatting>
  <conditionalFormatting sqref="B3865 D3865">
    <cfRule type="expression" dxfId="9241" priority="12227">
      <formula>$B3865="Subetapa"</formula>
    </cfRule>
  </conditionalFormatting>
  <conditionalFormatting sqref="B3871 D3871">
    <cfRule type="expression" dxfId="9240" priority="10188">
      <formula>$B3871="Subetapa"</formula>
    </cfRule>
  </conditionalFormatting>
  <conditionalFormatting sqref="B3872 D3872">
    <cfRule type="expression" dxfId="9239" priority="10172">
      <formula>$B3872="Subetapa"</formula>
    </cfRule>
  </conditionalFormatting>
  <conditionalFormatting sqref="B3873 D3873">
    <cfRule type="expression" dxfId="9238" priority="10156">
      <formula>$B3873="Subetapa"</formula>
    </cfRule>
  </conditionalFormatting>
  <conditionalFormatting sqref="B3884 D3884">
    <cfRule type="expression" dxfId="9237" priority="12214">
      <formula>$B3884="Subetapa"</formula>
    </cfRule>
  </conditionalFormatting>
  <conditionalFormatting sqref="B3890:D3890">
    <cfRule type="expression" dxfId="9236" priority="10254">
      <formula>$B3890="Subetapa"</formula>
    </cfRule>
  </conditionalFormatting>
  <conditionalFormatting sqref="B3891:D3891">
    <cfRule type="expression" dxfId="9235" priority="10238">
      <formula>$B3891="Subetapa"</formula>
    </cfRule>
  </conditionalFormatting>
  <conditionalFormatting sqref="B3892:D3892">
    <cfRule type="expression" dxfId="9234" priority="10222">
      <formula>$B3892="Subetapa"</formula>
    </cfRule>
  </conditionalFormatting>
  <conditionalFormatting sqref="B3895:D3895">
    <cfRule type="expression" dxfId="9233" priority="12201">
      <formula>$B3895="Subetapa"</formula>
    </cfRule>
  </conditionalFormatting>
  <conditionalFormatting sqref="B3901:D3901">
    <cfRule type="expression" dxfId="9232" priority="10320">
      <formula>$B3901="Subetapa"</formula>
    </cfRule>
  </conditionalFormatting>
  <conditionalFormatting sqref="B3902:D3902">
    <cfRule type="expression" dxfId="9231" priority="10304">
      <formula>$B3902="Subetapa"</formula>
    </cfRule>
  </conditionalFormatting>
  <conditionalFormatting sqref="B3903:D3903">
    <cfRule type="expression" dxfId="9230" priority="10288">
      <formula>$B3903="Subetapa"</formula>
    </cfRule>
  </conditionalFormatting>
  <conditionalFormatting sqref="B3906:D3906">
    <cfRule type="expression" dxfId="9229" priority="12188">
      <formula>$B3906="Subetapa"</formula>
    </cfRule>
  </conditionalFormatting>
  <conditionalFormatting sqref="B3912:D3912">
    <cfRule type="expression" dxfId="9228" priority="10386">
      <formula>$B3912="Subetapa"</formula>
    </cfRule>
  </conditionalFormatting>
  <conditionalFormatting sqref="B3913:D3913">
    <cfRule type="expression" dxfId="9227" priority="10370">
      <formula>$B3913="Subetapa"</formula>
    </cfRule>
  </conditionalFormatting>
  <conditionalFormatting sqref="B3914:D3914">
    <cfRule type="expression" dxfId="9226" priority="10354">
      <formula>$B3914="Subetapa"</formula>
    </cfRule>
  </conditionalFormatting>
  <conditionalFormatting sqref="B3917:D3917">
    <cfRule type="expression" dxfId="9225" priority="12175">
      <formula>$B3917="Subetapa"</formula>
    </cfRule>
  </conditionalFormatting>
  <conditionalFormatting sqref="B3923:D3923">
    <cfRule type="expression" dxfId="9224" priority="10452">
      <formula>$B3923="Subetapa"</formula>
    </cfRule>
  </conditionalFormatting>
  <conditionalFormatting sqref="B3924:D3924">
    <cfRule type="expression" dxfId="9223" priority="10436">
      <formula>$B3924="Subetapa"</formula>
    </cfRule>
  </conditionalFormatting>
  <conditionalFormatting sqref="B3925:D3925">
    <cfRule type="expression" dxfId="9222" priority="10420">
      <formula>$B3925="Subetapa"</formula>
    </cfRule>
  </conditionalFormatting>
  <conditionalFormatting sqref="B3933:D3933">
    <cfRule type="expression" dxfId="9221" priority="10534">
      <formula>$B3933="Subetapa"</formula>
    </cfRule>
  </conditionalFormatting>
  <conditionalFormatting sqref="B3934:D3934">
    <cfRule type="expression" dxfId="9220" priority="10518">
      <formula>$B3934="Subetapa"</formula>
    </cfRule>
  </conditionalFormatting>
  <conditionalFormatting sqref="B3935:D3935">
    <cfRule type="expression" dxfId="9219" priority="10502">
      <formula>$B3935="Subetapa"</formula>
    </cfRule>
  </conditionalFormatting>
  <conditionalFormatting sqref="B3936:D3936">
    <cfRule type="expression" dxfId="9218" priority="10486">
      <formula>$B3936="Subetapa"</formula>
    </cfRule>
  </conditionalFormatting>
  <conditionalFormatting sqref="B3953:D3953">
    <cfRule type="expression" dxfId="9217" priority="10122">
      <formula>$B3953="Subetapa"</formula>
    </cfRule>
  </conditionalFormatting>
  <conditionalFormatting sqref="B3954:D3954">
    <cfRule type="expression" dxfId="9216" priority="10106">
      <formula>$B3954="Subetapa"</formula>
    </cfRule>
  </conditionalFormatting>
  <conditionalFormatting sqref="B3955:D3955">
    <cfRule type="expression" dxfId="9215" priority="10090">
      <formula>$B3955="Subetapa"</formula>
    </cfRule>
  </conditionalFormatting>
  <conditionalFormatting sqref="F1547 B1547:D1547">
    <cfRule type="expression" dxfId="9214" priority="13414">
      <formula>$B1547="Subetapa"</formula>
    </cfRule>
  </conditionalFormatting>
  <conditionalFormatting sqref="F1625 B1625:D1625">
    <cfRule type="expression" dxfId="9213" priority="13378">
      <formula>$B1625="Subetapa"</formula>
    </cfRule>
  </conditionalFormatting>
  <conditionalFormatting sqref="F1637 B1637:D1637">
    <cfRule type="expression" dxfId="9212" priority="13366">
      <formula>$B1637="Subetapa"</formula>
    </cfRule>
  </conditionalFormatting>
  <conditionalFormatting sqref="F1649 B1649:D1649">
    <cfRule type="expression" dxfId="9211" priority="13324">
      <formula>$B1649="Subetapa"</formula>
    </cfRule>
  </conditionalFormatting>
  <conditionalFormatting sqref="F1895 B1895:D1895">
    <cfRule type="expression" dxfId="9210" priority="13244">
      <formula>$B1895="Subetapa"</formula>
    </cfRule>
  </conditionalFormatting>
  <conditionalFormatting sqref="B3243:F3243">
    <cfRule type="expression" dxfId="9209" priority="9222">
      <formula>$B3243="Serviço"</formula>
    </cfRule>
  </conditionalFormatting>
  <conditionalFormatting sqref="B3622:F3622">
    <cfRule type="expression" dxfId="9208" priority="12520">
      <formula>$B3622="Subetapa"</formula>
    </cfRule>
  </conditionalFormatting>
  <conditionalFormatting sqref="F3860 B3860:D3860">
    <cfRule type="expression" dxfId="9207" priority="12259">
      <formula>$B3860="Subetapa"</formula>
    </cfRule>
  </conditionalFormatting>
  <conditionalFormatting sqref="F3971:F3974 F3976:F3979 D3976:D3979 D3971:D3974 D3975:F3975 D3970:F3970 B3970:C3979">
    <cfRule type="expression" dxfId="9206" priority="11388">
      <formula>$B3970="Subetapa"</formula>
    </cfRule>
  </conditionalFormatting>
  <conditionalFormatting sqref="B4068:F4068">
    <cfRule type="expression" dxfId="9205" priority="12288">
      <formula>$B4068="Subetapa"</formula>
    </cfRule>
  </conditionalFormatting>
  <conditionalFormatting sqref="B4077:F4077">
    <cfRule type="expression" dxfId="9204" priority="12290">
      <formula>$B4077="Subetapa"</formula>
    </cfRule>
  </conditionalFormatting>
  <conditionalFormatting sqref="B4087:F4087">
    <cfRule type="expression" dxfId="9203" priority="12354">
      <formula>$B4087="Subetapa"</formula>
    </cfRule>
  </conditionalFormatting>
  <conditionalFormatting sqref="F4237 F4239 F4241 F4244 D4244 D4241 D4242:F4243 D4239 D4240:F4240 D4237 D4238:F4238 D4235:F4236 B4235:C4244 B4205:F4205">
    <cfRule type="expression" dxfId="9202"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1"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0" priority="11725">
      <formula>$B1843="Subetapa"</formula>
    </cfRule>
  </conditionalFormatting>
  <conditionalFormatting sqref="C2066:F2066 C2079:F2079 C2092:F2092 B2053:H2053 B2041:H2041">
    <cfRule type="expression" dxfId="9199" priority="11661">
      <formula>$B2041="Subetapa"</formula>
    </cfRule>
  </conditionalFormatting>
  <conditionalFormatting sqref="B2168:H2168">
    <cfRule type="expression" dxfId="9198" priority="11822">
      <formula>$B2168="Subetapa"</formula>
    </cfRule>
  </conditionalFormatting>
  <conditionalFormatting sqref="F2209 F2211 F2278 D2278 D2211 D2209 B2277:C2278 B2208:C2211 D2210:H2210 D2277:H2277 D2208:H2208">
    <cfRule type="expression" dxfId="9197" priority="5941">
      <formula>$B2208="Subetapa"</formula>
    </cfRule>
  </conditionalFormatting>
  <conditionalFormatting sqref="B2525:F2525">
    <cfRule type="expression" dxfId="9196" priority="12855">
      <formula>$B2525="Subetapa"</formula>
    </cfRule>
  </conditionalFormatting>
  <conditionalFormatting sqref="B2755:F2755">
    <cfRule type="expression" dxfId="9195" priority="12672">
      <formula>$B2755="Subetapa"</formula>
    </cfRule>
  </conditionalFormatting>
  <conditionalFormatting sqref="F2875 B2875:D2875">
    <cfRule type="expression" dxfId="9194" priority="10661">
      <formula>$B2875="Subetapa"</formula>
    </cfRule>
  </conditionalFormatting>
  <conditionalFormatting sqref="B2936:F2936">
    <cfRule type="expression" dxfId="9193" priority="12562">
      <formula>$B2936="Subetapa"</formula>
    </cfRule>
  </conditionalFormatting>
  <conditionalFormatting sqref="B2961:F2961">
    <cfRule type="expression" dxfId="9192"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1" priority="5828">
      <formula>$B2964="Subetapa"</formula>
    </cfRule>
  </conditionalFormatting>
  <conditionalFormatting sqref="B3022:F3022">
    <cfRule type="expression" dxfId="9190" priority="12554">
      <formula>$B3022="Subetapa"</formula>
    </cfRule>
  </conditionalFormatting>
  <conditionalFormatting sqref="F3710:F3713 D3710:D3713 B3709:C3713 D3709:H3709">
    <cfRule type="expression" dxfId="9189"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88" priority="5948">
      <formula>$B3715="Subetapa"</formula>
    </cfRule>
  </conditionalFormatting>
  <conditionalFormatting sqref="F4024 F4026:F4028 D4026:D4028 D4024 B4023:C4028 D4025:H4025 D4023:H4023">
    <cfRule type="expression" dxfId="9187" priority="5947">
      <formula>$B4023="Subetapa"</formula>
    </cfRule>
  </conditionalFormatting>
  <conditionalFormatting sqref="F4274 F4276 D4272:F4272 D4276 D4274 B4272:C4277 D4277:H4277 D4275:H4275 D4273:H4273">
    <cfRule type="expression" dxfId="9186" priority="11450">
      <formula>$B4272="Subetapa"</formula>
    </cfRule>
  </conditionalFormatting>
  <conditionalFormatting sqref="B4700:F4700">
    <cfRule type="expression" dxfId="9185" priority="12094">
      <formula>$B4700="Subetapa"</formula>
    </cfRule>
  </conditionalFormatting>
  <conditionalFormatting sqref="F4722 B4722:D4722">
    <cfRule type="expression" dxfId="9184" priority="12020">
      <formula>$B4722="Subetapa"</formula>
    </cfRule>
  </conditionalFormatting>
  <conditionalFormatting sqref="B3089:B3092">
    <cfRule type="expression" dxfId="9183" priority="7493">
      <formula>$B3089="Subetapa"</formula>
    </cfRule>
  </conditionalFormatting>
  <conditionalFormatting sqref="B3191:B3194 B3209:B3214">
    <cfRule type="expression" dxfId="9182" priority="7324">
      <formula>$B3191="Subetapa"</formula>
    </cfRule>
  </conditionalFormatting>
  <conditionalFormatting sqref="D957:D962">
    <cfRule type="expression" dxfId="9181" priority="7532">
      <formula>$B957="Subetapa"</formula>
    </cfRule>
  </conditionalFormatting>
  <conditionalFormatting sqref="D2351:F2351 D2353:F2353 D2352 F2352 F2354:F2355 D2354:D2355">
    <cfRule type="expression" dxfId="9180" priority="7353">
      <formula>$B2351="Subetapa"</formula>
    </cfRule>
  </conditionalFormatting>
  <conditionalFormatting sqref="D2359:F2359 D2369:F2369 D2364:F2364 D2360:D2363 F2360:F2363 D2365:D2367 F2365:F2367 D2370:D2373 F2370:F2373 C2359:C2367 C2369:C2373">
    <cfRule type="expression" dxfId="9179" priority="7492">
      <formula>$B2359="Subetapa"</formula>
    </cfRule>
  </conditionalFormatting>
  <conditionalFormatting sqref="D3679:F3679 D3680:D3683 F3680:F3683 C3679:C3683">
    <cfRule type="expression" dxfId="9178" priority="7315">
      <formula>$B3679="Subetapa"</formula>
    </cfRule>
  </conditionalFormatting>
  <conditionalFormatting sqref="D4279:F4279 D4280:D4282 F4280:F4282 C4279:C4282">
    <cfRule type="expression" dxfId="9177" priority="7274">
      <formula>$B4279="Subetapa"</formula>
    </cfRule>
  </conditionalFormatting>
  <conditionalFormatting sqref="D284:D286">
    <cfRule type="expression" dxfId="9176" priority="13766">
      <formula>$B284="Subetapa"</formula>
    </cfRule>
  </conditionalFormatting>
  <conditionalFormatting sqref="C287:D289 C295:D295 C293:D293 C291:D291">
    <cfRule type="expression" dxfId="9175" priority="9759">
      <formula>$B287="Subetapa"</formula>
    </cfRule>
  </conditionalFormatting>
  <conditionalFormatting sqref="D321:D322 F321:F323">
    <cfRule type="expression" dxfId="9174" priority="14130">
      <formula>$B321="Subetapa"</formula>
    </cfRule>
  </conditionalFormatting>
  <conditionalFormatting sqref="D662:D664">
    <cfRule type="expression" dxfId="9173" priority="9677">
      <formula>$B662="Serviço"</formula>
    </cfRule>
  </conditionalFormatting>
  <conditionalFormatting sqref="D867:D868">
    <cfRule type="expression" dxfId="9172" priority="13856">
      <formula>$B867="Subetapa"</formula>
    </cfRule>
  </conditionalFormatting>
  <conditionalFormatting sqref="D964:D966">
    <cfRule type="expression" dxfId="9171" priority="13684">
      <formula>$B964="Subetapa"</formula>
    </cfRule>
  </conditionalFormatting>
  <conditionalFormatting sqref="D967:D969">
    <cfRule type="expression" dxfId="9170" priority="13686">
      <formula>$B967="Subetapa"</formula>
    </cfRule>
  </conditionalFormatting>
  <conditionalFormatting sqref="D971:D972">
    <cfRule type="expression" dxfId="9169" priority="13863">
      <formula>$B971="Subetapa"</formula>
    </cfRule>
  </conditionalFormatting>
  <conditionalFormatting sqref="D974:D975">
    <cfRule type="expression" dxfId="9168" priority="13865">
      <formula>$B974="Subetapa"</formula>
    </cfRule>
  </conditionalFormatting>
  <conditionalFormatting sqref="D1345:D1347">
    <cfRule type="expression" dxfId="9167" priority="9475">
      <formula>$B1345="Subetapa"</formula>
    </cfRule>
  </conditionalFormatting>
  <conditionalFormatting sqref="D1844:D1854">
    <cfRule type="expression" dxfId="9166" priority="13276">
      <formula>$B1844="Subetapa"</formula>
    </cfRule>
  </conditionalFormatting>
  <conditionalFormatting sqref="D1856:D1866">
    <cfRule type="expression" dxfId="9165" priority="13272">
      <formula>$B1856="Subetapa"</formula>
    </cfRule>
  </conditionalFormatting>
  <conditionalFormatting sqref="C1918:D1918">
    <cfRule type="expression" dxfId="9164" priority="13216">
      <formula>$B1918="Subetapa"</formula>
    </cfRule>
  </conditionalFormatting>
  <conditionalFormatting sqref="D1982:D1992">
    <cfRule type="expression" dxfId="9163" priority="13121">
      <formula>$B1982="Subetapa"</formula>
    </cfRule>
  </conditionalFormatting>
  <conditionalFormatting sqref="D1994:D2004">
    <cfRule type="expression" dxfId="9162" priority="13103">
      <formula>$B1994="Subetapa"</formula>
    </cfRule>
  </conditionalFormatting>
  <conditionalFormatting sqref="D2018:D2028 B2019:B2040">
    <cfRule type="expression" dxfId="9161" priority="12008">
      <formula>$B2018="Subetapa"</formula>
    </cfRule>
  </conditionalFormatting>
  <conditionalFormatting sqref="D2033:D2034">
    <cfRule type="expression" dxfId="9160" priority="13070">
      <formula>$B2033="Subetapa"</formula>
    </cfRule>
  </conditionalFormatting>
  <conditionalFormatting sqref="D2045:D2046">
    <cfRule type="expression" dxfId="9159" priority="13060">
      <formula>$B2045="Subetapa"</formula>
    </cfRule>
  </conditionalFormatting>
  <conditionalFormatting sqref="D2058:D2059">
    <cfRule type="expression" dxfId="9158" priority="13050">
      <formula>$B2058="Subetapa"</formula>
    </cfRule>
  </conditionalFormatting>
  <conditionalFormatting sqref="D2067:D2068 B2067:B2078">
    <cfRule type="expression" dxfId="9157" priority="13026">
      <formula>$B2067="Subetapa"</formula>
    </cfRule>
  </conditionalFormatting>
  <conditionalFormatting sqref="D2069:D2070 D2073:D2078 B2069:B2079">
    <cfRule type="expression" dxfId="9156" priority="13036">
      <formula>$B2069="Subetapa"</formula>
    </cfRule>
  </conditionalFormatting>
  <conditionalFormatting sqref="D2071:D2072">
    <cfRule type="expression" dxfId="9155" priority="13032">
      <formula>$B2071="Subetapa"</formula>
    </cfRule>
  </conditionalFormatting>
  <conditionalFormatting sqref="D2080:D2081 B2080:B2091">
    <cfRule type="expression" dxfId="9154" priority="13008">
      <formula>$B2080="Subetapa"</formula>
    </cfRule>
  </conditionalFormatting>
  <conditionalFormatting sqref="D2082:D2083 D2086:D2091 B2082:B2092">
    <cfRule type="expression" dxfId="9153" priority="13018">
      <formula>$B2082="Subetapa"</formula>
    </cfRule>
  </conditionalFormatting>
  <conditionalFormatting sqref="D2084:D2085">
    <cfRule type="expression" dxfId="9152" priority="13014">
      <formula>$B2084="Subetapa"</formula>
    </cfRule>
  </conditionalFormatting>
  <conditionalFormatting sqref="D2093:D2094 B2093:B2104">
    <cfRule type="expression" dxfId="9151" priority="12990">
      <formula>$B2093="Subetapa"</formula>
    </cfRule>
  </conditionalFormatting>
  <conditionalFormatting sqref="D2095:D2096 D2099:D2104 B2095:B2104">
    <cfRule type="expression" dxfId="9150" priority="13000">
      <formula>$B2095="Subetapa"</formula>
    </cfRule>
  </conditionalFormatting>
  <conditionalFormatting sqref="D2097:D2098">
    <cfRule type="expression" dxfId="9149" priority="12996">
      <formula>$B2097="Subetapa"</formula>
    </cfRule>
  </conditionalFormatting>
  <conditionalFormatting sqref="D2106:D2111">
    <cfRule type="expression" dxfId="9148" priority="12949">
      <formula>$B2106="Subetapa"</formula>
    </cfRule>
  </conditionalFormatting>
  <conditionalFormatting sqref="D2113:D2118">
    <cfRule type="expression" dxfId="9147" priority="12929">
      <formula>$B2113="Subetapa"</formula>
    </cfRule>
  </conditionalFormatting>
  <conditionalFormatting sqref="D2120:D2125">
    <cfRule type="expression" dxfId="9146" priority="12909">
      <formula>$B2120="Subetapa"</formula>
    </cfRule>
  </conditionalFormatting>
  <conditionalFormatting sqref="D2127:D2132">
    <cfRule type="expression" dxfId="9145" priority="12889">
      <formula>$B2127="Subetapa"</formula>
    </cfRule>
  </conditionalFormatting>
  <conditionalFormatting sqref="D2134:D2139">
    <cfRule type="expression" dxfId="9144" priority="12869">
      <formula>$B2134="Subetapa"</formula>
    </cfRule>
  </conditionalFormatting>
  <conditionalFormatting sqref="D2332:D2336">
    <cfRule type="expression" dxfId="9143" priority="12835">
      <formula>$B2332="Subetapa"</formula>
    </cfRule>
  </conditionalFormatting>
  <conditionalFormatting sqref="C2613:D2613 C2693:D2693 C2716:D2716">
    <cfRule type="expression" dxfId="9142" priority="13877">
      <formula>$A2613=2</formula>
    </cfRule>
  </conditionalFormatting>
  <conditionalFormatting sqref="C2723:D2723">
    <cfRule type="expression" dxfId="9141" priority="9310">
      <formula>$B2723="Subetapa"</formula>
    </cfRule>
  </conditionalFormatting>
  <conditionalFormatting sqref="D2757:D2759">
    <cfRule type="expression" dxfId="9140" priority="10022">
      <formula>$B2757="Subetapa"</formula>
    </cfRule>
  </conditionalFormatting>
  <conditionalFormatting sqref="D2761:D2764">
    <cfRule type="expression" dxfId="9139" priority="10033">
      <formula>$B2761="Subetapa"</formula>
    </cfRule>
  </conditionalFormatting>
  <conditionalFormatting sqref="D2772:D2785">
    <cfRule type="expression" dxfId="9138" priority="12668">
      <formula>$B2772="Subetapa"</formula>
    </cfRule>
  </conditionalFormatting>
  <conditionalFormatting sqref="D2786:D2787">
    <cfRule type="expression" dxfId="9137" priority="13881">
      <formula>$A2786=2</formula>
    </cfRule>
  </conditionalFormatting>
  <conditionalFormatting sqref="C2912:D2913 C4879:D4879 C4723:D4724 C4713:D4720">
    <cfRule type="expression" dxfId="9136" priority="13883">
      <formula>$I2912="CÉLULA CONSTRUTIVA"</formula>
    </cfRule>
    <cfRule type="expression" dxfId="9135" priority="13884">
      <formula>$I2912="ETAPA"</formula>
    </cfRule>
  </conditionalFormatting>
  <conditionalFormatting sqref="D2914:D2915">
    <cfRule type="expression" dxfId="9134" priority="12645">
      <formula>$I2914="SUBETAPA"</formula>
    </cfRule>
    <cfRule type="expression" dxfId="9133" priority="12646">
      <formula>$I2914="CÉLULA CONSTRUTIVA"</formula>
    </cfRule>
    <cfRule type="expression" dxfId="9132" priority="12647">
      <formula>$I2914="ETAPA"</formula>
    </cfRule>
  </conditionalFormatting>
  <conditionalFormatting sqref="D2916:D2917">
    <cfRule type="expression" dxfId="9131" priority="12575">
      <formula>$I2916="SUBETAPA"</formula>
    </cfRule>
    <cfRule type="expression" dxfId="9130" priority="12576">
      <formula>$I2916="CÉLULA CONSTRUTIVA"</formula>
    </cfRule>
    <cfRule type="expression" dxfId="9129" priority="12577">
      <formula>$I2916="ETAPA"</formula>
    </cfRule>
  </conditionalFormatting>
  <conditionalFormatting sqref="C3194:D3194">
    <cfRule type="expression" dxfId="9128" priority="13885">
      <formula>$A3194=2</formula>
    </cfRule>
  </conditionalFormatting>
  <conditionalFormatting sqref="C3286:D3286">
    <cfRule type="expression" dxfId="9127" priority="9072">
      <formula>$B3286="Serviço"</formula>
    </cfRule>
    <cfRule type="expression" dxfId="9126" priority="9073">
      <formula>$B3286="Subetapa"</formula>
    </cfRule>
  </conditionalFormatting>
  <conditionalFormatting sqref="C3301:D3301">
    <cfRule type="expression" dxfId="9125" priority="9070">
      <formula>$B3301="Serviço"</formula>
    </cfRule>
    <cfRule type="expression" dxfId="9124"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3" priority="13887">
      <formula>$A3286="Subetapa"</formula>
    </cfRule>
  </conditionalFormatting>
  <conditionalFormatting sqref="C3578:D3578">
    <cfRule type="expression" dxfId="9122" priority="12423">
      <formula>$A3578=2</formula>
    </cfRule>
  </conditionalFormatting>
  <conditionalFormatting sqref="C3582:D3582">
    <cfRule type="expression" dxfId="9121" priority="13891">
      <formula>$A3582=2</formula>
    </cfRule>
  </conditionalFormatting>
  <conditionalFormatting sqref="D3619:D3621 F2527:F2530 F3317:F3319">
    <cfRule type="expression" dxfId="9120" priority="13893">
      <formula>$A2527="Subetapa"</formula>
    </cfRule>
  </conditionalFormatting>
  <conditionalFormatting sqref="C3659:D3659">
    <cfRule type="expression" dxfId="9119" priority="13894">
      <formula>$A3659=2</formula>
    </cfRule>
  </conditionalFormatting>
  <conditionalFormatting sqref="C3846:D3846">
    <cfRule type="expression" dxfId="9118" priority="12111">
      <formula>$B3846="Subetapa"</formula>
    </cfRule>
  </conditionalFormatting>
  <conditionalFormatting sqref="C3853:D3853">
    <cfRule type="expression" dxfId="9117" priority="8636">
      <formula>$B3853="Subetapa"</formula>
    </cfRule>
  </conditionalFormatting>
  <conditionalFormatting sqref="D3862:D3863">
    <cfRule type="expression" dxfId="9116" priority="12245">
      <formula>$B3862="Subetapa"</formula>
    </cfRule>
  </conditionalFormatting>
  <conditionalFormatting sqref="D3863">
    <cfRule type="expression" dxfId="9115" priority="12240">
      <formula>$B3863="Subetapa"</formula>
    </cfRule>
  </conditionalFormatting>
  <conditionalFormatting sqref="D3883">
    <cfRule type="expression" dxfId="9114" priority="12160">
      <formula>$B3883="Subetapa"</formula>
    </cfRule>
  </conditionalFormatting>
  <conditionalFormatting sqref="C3894:D3894">
    <cfRule type="expression" dxfId="9113" priority="12158">
      <formula>$B3894="Subetapa"</formula>
    </cfRule>
  </conditionalFormatting>
  <conditionalFormatting sqref="C3905:D3905">
    <cfRule type="expression" dxfId="9112" priority="12156">
      <formula>$B3905="Subetapa"</formula>
    </cfRule>
  </conditionalFormatting>
  <conditionalFormatting sqref="C3916:D3916">
    <cfRule type="expression" dxfId="9111" priority="12154">
      <formula>$B3916="Subetapa"</formula>
    </cfRule>
  </conditionalFormatting>
  <conditionalFormatting sqref="D3927:D3928">
    <cfRule type="expression" dxfId="9110" priority="12152">
      <formula>$B3927="Subetapa"</formula>
    </cfRule>
  </conditionalFormatting>
  <conditionalFormatting sqref="D3939:D3943">
    <cfRule type="expression" dxfId="9109" priority="13897">
      <formula>$B3939="Subetapa"</formula>
    </cfRule>
  </conditionalFormatting>
  <conditionalFormatting sqref="C3981:D3981">
    <cfRule type="expression" dxfId="9108" priority="8302">
      <formula>$B3981="Serviço"</formula>
    </cfRule>
  </conditionalFormatting>
  <conditionalFormatting sqref="C3997:D3997">
    <cfRule type="expression" dxfId="9107" priority="8238">
      <formula>$A3997="Serviço"</formula>
    </cfRule>
    <cfRule type="expression" dxfId="9106" priority="8239">
      <formula>$A3997="Subetapa"</formula>
    </cfRule>
  </conditionalFormatting>
  <conditionalFormatting sqref="D3997:D3998">
    <cfRule type="expression" dxfId="9105" priority="8240">
      <formula>$A3997="Serviço"</formula>
    </cfRule>
    <cfRule type="expression" dxfId="9104" priority="8241">
      <formula>$A3997="Subetapa"</formula>
    </cfRule>
  </conditionalFormatting>
  <conditionalFormatting sqref="C3998:D3998">
    <cfRule type="expression" dxfId="9103" priority="8246">
      <formula>$A3998="Serviço"</formula>
    </cfRule>
    <cfRule type="expression" dxfId="9102" priority="8247">
      <formula>$A3998="Subetapa"</formula>
    </cfRule>
  </conditionalFormatting>
  <conditionalFormatting sqref="C4000:D4000">
    <cfRule type="expression" dxfId="9101" priority="8252">
      <formula>$A4000="Serviço"</formula>
    </cfRule>
    <cfRule type="expression" dxfId="9100" priority="8253">
      <formula>$A4000="Subetapa"</formula>
    </cfRule>
  </conditionalFormatting>
  <conditionalFormatting sqref="D4000:D4001">
    <cfRule type="expression" dxfId="9099" priority="8254">
      <formula>$A4000="Serviço"</formula>
    </cfRule>
    <cfRule type="expression" dxfId="9098" priority="8255">
      <formula>$A4000="Subetapa"</formula>
    </cfRule>
  </conditionalFormatting>
  <conditionalFormatting sqref="C4001:D4001">
    <cfRule type="expression" dxfId="9097" priority="8295">
      <formula>$A4001="Serviço"</formula>
    </cfRule>
    <cfRule type="expression" dxfId="9096" priority="8296">
      <formula>$A4001="Subetapa"</formula>
    </cfRule>
  </conditionalFormatting>
  <conditionalFormatting sqref="C4055:D4055">
    <cfRule type="expression" dxfId="9095" priority="7859">
      <formula>$A4055="Serviço"</formula>
    </cfRule>
    <cfRule type="expression" dxfId="9094" priority="7860">
      <formula>$A4055="Subetapa"</formula>
    </cfRule>
  </conditionalFormatting>
  <conditionalFormatting sqref="D4055:D4056">
    <cfRule type="expression" dxfId="9093" priority="7861">
      <formula>$A4055="Serviço"</formula>
    </cfRule>
    <cfRule type="expression" dxfId="9092" priority="7862">
      <formula>$A4055="Subetapa"</formula>
    </cfRule>
  </conditionalFormatting>
  <conditionalFormatting sqref="C4056:D4056">
    <cfRule type="expression" dxfId="9091" priority="7867">
      <formula>$A4056="Serviço"</formula>
    </cfRule>
    <cfRule type="expression" dxfId="9090" priority="7868">
      <formula>$A4056="Subetapa"</formula>
    </cfRule>
  </conditionalFormatting>
  <conditionalFormatting sqref="D4090:D4091">
    <cfRule type="expression" dxfId="9089" priority="13899">
      <formula>$B4090="Subetapa"</formula>
    </cfRule>
  </conditionalFormatting>
  <conditionalFormatting sqref="D4092:D4097">
    <cfRule type="expression" dxfId="9088" priority="13901">
      <formula>$B4092="Subetapa"</formula>
    </cfRule>
  </conditionalFormatting>
  <conditionalFormatting sqref="B4107:B4109 C4107:D4107">
    <cfRule type="expression" dxfId="9087" priority="7833">
      <formula>$B4107="Subetapa"</formula>
    </cfRule>
  </conditionalFormatting>
  <conditionalFormatting sqref="D4292:D4295">
    <cfRule type="expression" dxfId="9086" priority="12083">
      <formula>$B4292="Subetapa"</formula>
    </cfRule>
  </conditionalFormatting>
  <conditionalFormatting sqref="C4522:D4522">
    <cfRule type="expression" dxfId="9085" priority="7714">
      <formula>$B4522="Serviço"</formula>
    </cfRule>
  </conditionalFormatting>
  <conditionalFormatting sqref="C4546:D4546">
    <cfRule type="expression" dxfId="9084" priority="7711">
      <formula>$B4546="Serviço"</formula>
    </cfRule>
  </conditionalFormatting>
  <conditionalFormatting sqref="C4548:D4548">
    <cfRule type="expression" dxfId="9083" priority="7712">
      <formula>$B4548="Serviço"</formula>
    </cfRule>
  </conditionalFormatting>
  <conditionalFormatting sqref="C4550:D4550">
    <cfRule type="expression" dxfId="9082" priority="7713">
      <formula>$B4550="Serviço"</formula>
    </cfRule>
  </conditionalFormatting>
  <conditionalFormatting sqref="C4552:D4552">
    <cfRule type="expression" dxfId="9081" priority="7715">
      <formula>$B4552="Serviço"</formula>
    </cfRule>
  </conditionalFormatting>
  <conditionalFormatting sqref="C2912:D2913 C4879:D4879 C4723:D4724 C4713:D4720">
    <cfRule type="expression" dxfId="9080" priority="13882">
      <formula>$I2912="SUBETAPA"</formula>
    </cfRule>
  </conditionalFormatting>
  <conditionalFormatting sqref="D4751:D4758 F4751:F4758">
    <cfRule type="expression" dxfId="9079" priority="13908">
      <formula>$B4751="Subetapa"</formula>
    </cfRule>
  </conditionalFormatting>
  <conditionalFormatting sqref="D4880:D4888 D4833:D4838 B2170:B2172 B2">
    <cfRule type="expression" dxfId="9078" priority="13750">
      <formula>$B2="Subetapa"</formula>
    </cfRule>
  </conditionalFormatting>
  <conditionalFormatting sqref="C4918:D4918">
    <cfRule type="expression" dxfId="9077" priority="7606">
      <formula>$B4918="Serviço"</formula>
    </cfRule>
    <cfRule type="expression" dxfId="9076" priority="7607">
      <formula>$B4918="Subetapa"</formula>
    </cfRule>
  </conditionalFormatting>
  <conditionalFormatting sqref="C4936:D4936">
    <cfRule type="expression" dxfId="9075" priority="13832">
      <formula>$B4936="Subetapa"</formula>
    </cfRule>
  </conditionalFormatting>
  <conditionalFormatting sqref="D4942:D4974">
    <cfRule type="expression" dxfId="9074" priority="13930">
      <formula>$B4942="Subetapa"</formula>
    </cfRule>
  </conditionalFormatting>
  <conditionalFormatting sqref="C4974:D4975 C4990:D4990">
    <cfRule type="expression" dxfId="9073" priority="14249">
      <formula>$B4974="Subetapa"</formula>
    </cfRule>
  </conditionalFormatting>
  <conditionalFormatting sqref="D815:D823">
    <cfRule type="expression" dxfId="9072" priority="9641">
      <formula>$B815="Serviço"</formula>
    </cfRule>
    <cfRule type="expression" dxfId="9071" priority="9642">
      <formula>$B815="Subetapa"</formula>
    </cfRule>
  </conditionalFormatting>
  <conditionalFormatting sqref="D1256:D1265">
    <cfRule type="expression" dxfId="9070" priority="9505">
      <formula>$B1256="Subetapa"</formula>
    </cfRule>
  </conditionalFormatting>
  <conditionalFormatting sqref="D1302:D1310">
    <cfRule type="expression" dxfId="9069" priority="9477">
      <formula>$B1302="Serviço"</formula>
    </cfRule>
    <cfRule type="expression" dxfId="9068" priority="9478">
      <formula>$B1302="Subetapa"</formula>
    </cfRule>
  </conditionalFormatting>
  <conditionalFormatting sqref="D1358:D1361">
    <cfRule type="expression" dxfId="9067" priority="9542">
      <formula>$B1358="Serviço"</formula>
    </cfRule>
    <cfRule type="expression" dxfId="9066" priority="9543">
      <formula>$B1358="Subetapa"</formula>
    </cfRule>
  </conditionalFormatting>
  <conditionalFormatting sqref="D1364:D1367">
    <cfRule type="expression" dxfId="9065" priority="9545">
      <formula>$B1364="Serviço"</formula>
    </cfRule>
    <cfRule type="expression" dxfId="9064" priority="9546">
      <formula>$B1364="Subetapa"</formula>
    </cfRule>
  </conditionalFormatting>
  <conditionalFormatting sqref="D1376:D1384">
    <cfRule type="expression" dxfId="9063" priority="9551">
      <formula>$B1376="Subetapa"</formula>
    </cfRule>
  </conditionalFormatting>
  <conditionalFormatting sqref="D2476:D2479">
    <cfRule type="expression" dxfId="9062" priority="9336">
      <formula>$B2476="Serviço"</formula>
    </cfRule>
  </conditionalFormatting>
  <conditionalFormatting sqref="D2481:D2484">
    <cfRule type="expression" dxfId="9061" priority="9339">
      <formula>$B2481="Serviço"</formula>
    </cfRule>
  </conditionalFormatting>
  <conditionalFormatting sqref="D2486:D2489">
    <cfRule type="expression" dxfId="9060" priority="9363">
      <formula>$B2486="Serviço"</formula>
    </cfRule>
  </conditionalFormatting>
  <conditionalFormatting sqref="D2521:D2524">
    <cfRule type="expression" dxfId="9059" priority="9348">
      <formula>$B2521="Serviço"</formula>
    </cfRule>
  </conditionalFormatting>
  <conditionalFormatting sqref="D3866:D3870">
    <cfRule type="expression" dxfId="9058" priority="10646">
      <formula>$B3866="Subetapa"</formula>
    </cfRule>
  </conditionalFormatting>
  <conditionalFormatting sqref="D3885:D3889">
    <cfRule type="expression" dxfId="9057" priority="10630">
      <formula>$B3885="Subetapa"</formula>
    </cfRule>
  </conditionalFormatting>
  <conditionalFormatting sqref="D3896:D3900">
    <cfRule type="expression" dxfId="9056" priority="10614">
      <formula>$B3896="Subetapa"</formula>
    </cfRule>
  </conditionalFormatting>
  <conditionalFormatting sqref="D3907:D3911">
    <cfRule type="expression" dxfId="9055" priority="10598">
      <formula>$B3907="Subetapa"</formula>
    </cfRule>
  </conditionalFormatting>
  <conditionalFormatting sqref="D3918:D3922">
    <cfRule type="expression" dxfId="9054" priority="10582">
      <formula>$B3918="Subetapa"</formula>
    </cfRule>
  </conditionalFormatting>
  <conditionalFormatting sqref="D3948:D3952">
    <cfRule type="expression" dxfId="9053" priority="10550">
      <formula>$B3948="Subetapa"</formula>
    </cfRule>
  </conditionalFormatting>
  <conditionalFormatting sqref="C4003:D4003 C3999:F3999">
    <cfRule type="expression" dxfId="9052" priority="8305">
      <formula>$B3999="Serviço"</formula>
    </cfRule>
  </conditionalFormatting>
  <conditionalFormatting sqref="C4003:D4003">
    <cfRule type="expression" dxfId="9051" priority="8301">
      <formula>$B4003="Subetapa"</formula>
    </cfRule>
  </conditionalFormatting>
  <conditionalFormatting sqref="D4005:D4006">
    <cfRule type="expression" dxfId="9050" priority="8195">
      <formula>$B4005="Subetapa"</formula>
    </cfRule>
  </conditionalFormatting>
  <conditionalFormatting sqref="D4008:D4009">
    <cfRule type="expression" dxfId="9049" priority="8202">
      <formula>$B4008="Subetapa"</formula>
    </cfRule>
  </conditionalFormatting>
  <conditionalFormatting sqref="D4011:D4012">
    <cfRule type="expression" dxfId="9048" priority="8209">
      <formula>$B4011="Subetapa"</formula>
    </cfRule>
  </conditionalFormatting>
  <conditionalFormatting sqref="D4014:D4015">
    <cfRule type="expression" dxfId="9047" priority="8216">
      <formula>$B4014="Subetapa"</formula>
    </cfRule>
  </conditionalFormatting>
  <conditionalFormatting sqref="D4017:D4018">
    <cfRule type="expression" dxfId="9046" priority="8223">
      <formula>$B4017="Subetapa"</formula>
    </cfRule>
  </conditionalFormatting>
  <conditionalFormatting sqref="D4020:D4021">
    <cfRule type="expression" dxfId="9045" priority="8230">
      <formula>$B4020="Subetapa"</formula>
    </cfRule>
  </conditionalFormatting>
  <conditionalFormatting sqref="D4042:D4043">
    <cfRule type="expression" dxfId="9044"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3"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2" priority="10656">
      <formula>$B153="Subetapa"</formula>
    </cfRule>
  </conditionalFormatting>
  <conditionalFormatting sqref="C271:F271 C273:F273">
    <cfRule type="expression" dxfId="9041" priority="9741">
      <formula>$B271="Subetapa"</formula>
    </cfRule>
  </conditionalFormatting>
  <conditionalFormatting sqref="C271:F271 C273:F273">
    <cfRule type="expression" dxfId="9040" priority="9740">
      <formula>$B271="Serviço"</formula>
    </cfRule>
  </conditionalFormatting>
  <conditionalFormatting sqref="D275:F275 E285:F286 D277:F277 D276 F276 D279:F279 D278 F278 D281:F283 D280 F280 F284 C275:C283">
    <cfRule type="expression" dxfId="9039" priority="13950">
      <formula>$B275="Subetapa"</formula>
    </cfRule>
  </conditionalFormatting>
  <conditionalFormatting sqref="D287:F287 D289:F289 D288 F288 C287:C289 C291:F291 C293:F293 C295:F295">
    <cfRule type="expression" dxfId="9038" priority="9757">
      <formula>$B287="Serviço"</formula>
    </cfRule>
  </conditionalFormatting>
  <conditionalFormatting sqref="C297:F297">
    <cfRule type="expression" dxfId="9037" priority="9730">
      <formula>$B297="Serviço"</formula>
    </cfRule>
    <cfRule type="expression" dxfId="9036"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35" priority="14293">
      <formula>$B299="Subetapa"</formula>
    </cfRule>
  </conditionalFormatting>
  <conditionalFormatting sqref="D306:F306 D305 F305 D308:F308 D307 F307 D310:F310 D309 F309 D311 F311 C305:C311 C320:F320 C312:F312">
    <cfRule type="expression" dxfId="9034" priority="13840">
      <formula>$B305="Subetapa"</formula>
    </cfRule>
  </conditionalFormatting>
  <conditionalFormatting sqref="D461:F461 D462:D463 F462:F463 C461:C463">
    <cfRule type="expression" dxfId="9033" priority="9717">
      <formula>$B461="Serviço"</formula>
    </cfRule>
    <cfRule type="expression" dxfId="9032" priority="9718">
      <formula>$B461="Subetapa"</formula>
    </cfRule>
  </conditionalFormatting>
  <conditionalFormatting sqref="D473:F473 D474:D476 F474:F476 C473:C476">
    <cfRule type="expression" dxfId="9031" priority="9708">
      <formula>$B473="Serviço"</formula>
    </cfRule>
    <cfRule type="expression" dxfId="9030" priority="9709">
      <formula>$B473="Subetapa"</formula>
    </cfRule>
  </conditionalFormatting>
  <conditionalFormatting sqref="D500:F500 D501 F501 C500:C501">
    <cfRule type="expression" dxfId="9029" priority="9699">
      <formula>$B500="Serviço"</formula>
    </cfRule>
    <cfRule type="expression" dxfId="9028" priority="9700">
      <formula>$B500="Subetapa"</formula>
    </cfRule>
  </conditionalFormatting>
  <conditionalFormatting sqref="D621:F621 D627:F627 D622:D626 F622:F626 D632:F632 D628:D631 F628:F631 D637:F637 D633:D636 F633:F636 D638:D639 F638:F639 C621:C639">
    <cfRule type="expression" dxfId="9027" priority="9686">
      <formula>$B621="Serviço"</formula>
    </cfRule>
    <cfRule type="expression" dxfId="9026" priority="9687">
      <formula>$B621="Subetapa"</formula>
    </cfRule>
  </conditionalFormatting>
  <conditionalFormatting sqref="C661:F661">
    <cfRule type="expression" dxfId="9025" priority="9674">
      <formula>$B661="Serviço"</formula>
    </cfRule>
  </conditionalFormatting>
  <conditionalFormatting sqref="D661:F661 D662:D664 F662:F664 C661:C664">
    <cfRule type="expression" dxfId="9024" priority="9678">
      <formula>$B661="Subetapa"</formula>
    </cfRule>
  </conditionalFormatting>
  <conditionalFormatting sqref="D738:F738 D739:D741 F739:F741 B738:C741">
    <cfRule type="expression" dxfId="9023" priority="9667">
      <formula>$B738="Serviço"</formula>
    </cfRule>
    <cfRule type="expression" dxfId="9022" priority="9668">
      <formula>$B738="Subetapa"</formula>
    </cfRule>
  </conditionalFormatting>
  <conditionalFormatting sqref="D759:F759 D760:D762 F760:F762 B759:C762">
    <cfRule type="expression" dxfId="9021" priority="9660">
      <formula>$B759="Serviço"</formula>
    </cfRule>
    <cfRule type="expression" dxfId="9020" priority="9661">
      <formula>$B759="Subetapa"</formula>
    </cfRule>
  </conditionalFormatting>
  <conditionalFormatting sqref="D779:F779 D780:D786 F780:F786 B779:C786">
    <cfRule type="expression" dxfId="9019" priority="9888">
      <formula>$B779="Serviço"</formula>
    </cfRule>
    <cfRule type="expression" dxfId="9018" priority="9889">
      <formula>$B779="Subetapa"</formula>
    </cfRule>
  </conditionalFormatting>
  <conditionalFormatting sqref="C814:F814">
    <cfRule type="expression" dxfId="9017" priority="9647">
      <formula>$B814="Serviço"</formula>
    </cfRule>
    <cfRule type="expression" dxfId="9016" priority="9648">
      <formula>$B814="Subetapa"</formula>
    </cfRule>
  </conditionalFormatting>
  <conditionalFormatting sqref="D824:F824 D826:F826 D825 F825 C824:C826">
    <cfRule type="expression" dxfId="9015" priority="9637">
      <formula>$B824="Serviço"</formula>
    </cfRule>
    <cfRule type="expression" dxfId="9014" priority="9638">
      <formula>$B824="Subetapa"</formula>
    </cfRule>
  </conditionalFormatting>
  <conditionalFormatting sqref="D827:D834 F827:F834">
    <cfRule type="expression" dxfId="9013" priority="9651">
      <formula>$B827="Serviço"</formula>
    </cfRule>
    <cfRule type="expression" dxfId="9012" priority="9652">
      <formula>$B827="Subetapa"</formula>
    </cfRule>
  </conditionalFormatting>
  <conditionalFormatting sqref="D835:F835 D837:F837 D836 F836 D838 F838 C835:C838">
    <cfRule type="expression" dxfId="9011" priority="9628">
      <formula>$B835="Serviço"</formula>
    </cfRule>
    <cfRule type="expression" dxfId="9010" priority="9629">
      <formula>$B835="Subetapa"</formula>
    </cfRule>
  </conditionalFormatting>
  <conditionalFormatting sqref="D879:F879 D882:F882 D880:D881 F880:F881 D883:D884 F883:F884 B920 B884 C879:C884">
    <cfRule type="expression" dxfId="9009" priority="9901">
      <formula>$B879="Serviço"</formula>
    </cfRule>
    <cfRule type="expression" dxfId="9008" priority="9902">
      <formula>$B879="Subetapa"</formula>
    </cfRule>
  </conditionalFormatting>
  <conditionalFormatting sqref="D894:F894 D895:D896 F895:F896 C894:C896">
    <cfRule type="expression" dxfId="9007" priority="9615">
      <formula>$B894="Serviço"</formula>
    </cfRule>
    <cfRule type="expression" dxfId="9006" priority="9616">
      <formula>$B894="Subetapa"</formula>
    </cfRule>
  </conditionalFormatting>
  <conditionalFormatting sqref="D903:F903 B906:B907 D907:F907 D904:D906 F904:F906 C903:C907">
    <cfRule type="expression" dxfId="9005" priority="9957">
      <formula>$B903="Subetapa"</formula>
    </cfRule>
  </conditionalFormatting>
  <conditionalFormatting sqref="D918:F918 D921:F921 D919:D920 F919:F920 D924:F924 D922:D923 F922:F923 D927:F927 D925:D926 F925:F926 D928:D929 F928:F929 C918:C929">
    <cfRule type="expression" dxfId="9004" priority="9907">
      <formula>$B918="Serviço"</formula>
    </cfRule>
    <cfRule type="expression" dxfId="9003" priority="9908">
      <formula>$B918="Subetapa"</formula>
    </cfRule>
  </conditionalFormatting>
  <conditionalFormatting sqref="D931:F931 D934:F934 D932:D933 F932:F933 D937:F937 D935:D936 F935:F936 D940:F940 D938:D939 F938:F939 D941:D942 F941:F942 C931:C942">
    <cfRule type="expression" dxfId="9002" priority="9949">
      <formula>$B931="Serviço"</formula>
    </cfRule>
    <cfRule type="expression" dxfId="9001" priority="9950">
      <formula>$B931="Subetapa"</formula>
    </cfRule>
  </conditionalFormatting>
  <conditionalFormatting sqref="D1169:F1169 D1171:F1171 D1170 F1170 C1169:C1171">
    <cfRule type="expression" dxfId="9000" priority="14061">
      <formula>$B1169="Subetapa"</formula>
    </cfRule>
  </conditionalFormatting>
  <conditionalFormatting sqref="D1175:F1175 D1176 F1176 C1175:C1176">
    <cfRule type="expression" dxfId="8999" priority="9580">
      <formula>$B1175="Subetapa"</formula>
    </cfRule>
  </conditionalFormatting>
  <conditionalFormatting sqref="D1175:F1175 D1176:D1185 F1176:F1185 C1175:C1185">
    <cfRule type="expression" dxfId="8998" priority="9578">
      <formula>$B1175="Serviço"</formula>
    </cfRule>
  </conditionalFormatting>
  <conditionalFormatting sqref="D1198:F1198 D1199 F1199 C1198:C1199">
    <cfRule type="expression" dxfId="8997" priority="9552">
      <formula>$B1198="Subetapa"</formula>
    </cfRule>
  </conditionalFormatting>
  <conditionalFormatting sqref="D1198:F1198 D1199:D1208 F1199:F1208 C1198:C1208">
    <cfRule type="expression" dxfId="8996" priority="9537">
      <formula>$B1198="Serviço"</formula>
    </cfRule>
  </conditionalFormatting>
  <conditionalFormatting sqref="D1209:F1209 D1210:D1217 F1210:F1217 C1209:C1217">
    <cfRule type="expression" dxfId="8995" priority="9541">
      <formula>$B1209="Subetapa"</formula>
    </cfRule>
  </conditionalFormatting>
  <conditionalFormatting sqref="C1255:F1255">
    <cfRule type="expression" dxfId="8994" priority="9506">
      <formula>$B1255="Subetapa"</formula>
    </cfRule>
  </conditionalFormatting>
  <conditionalFormatting sqref="D1255:F1255 D1266:F1266 D1256:D1265 F1256:F1265 D1277:F1277 D1267:D1276 F1267:F1276 D1288:F1288 D1278:D1287 F1278:F1287 D1289 F1289 C1255:C1289">
    <cfRule type="expression" dxfId="8993" priority="9500">
      <formula>$B1255="Serviço"</formula>
    </cfRule>
  </conditionalFormatting>
  <conditionalFormatting sqref="D1266:F1266 D1277:F1277 D1267:D1276 F1267:F1276 D1288:F1288 D1278:D1287 F1278:F1287 D1289 F1289 C1266:C1289">
    <cfRule type="expression" dxfId="8992" priority="9508">
      <formula>$B1266="Subetapa"</formula>
    </cfRule>
  </conditionalFormatting>
  <conditionalFormatting sqref="D1300:F1300 D1290:D1299 F1290:F1299 C1290:C1300">
    <cfRule type="expression" dxfId="8991" priority="9489">
      <formula>$B1290="Serviço"</formula>
    </cfRule>
    <cfRule type="expression" dxfId="8990" priority="9491">
      <formula>$B1290="Subetapa"</formula>
    </cfRule>
  </conditionalFormatting>
  <conditionalFormatting sqref="F1301 C1301:D1301">
    <cfRule type="expression" dxfId="8989" priority="9487">
      <formula>$B1301="Serviço"</formula>
    </cfRule>
    <cfRule type="expression" dxfId="8988" priority="9488">
      <formula>$B1301="Subetapa"</formula>
    </cfRule>
  </conditionalFormatting>
  <conditionalFormatting sqref="C1311:F1311">
    <cfRule type="expression" dxfId="8987" priority="9493">
      <formula>$B1311="Subetapa"</formula>
    </cfRule>
  </conditionalFormatting>
  <conditionalFormatting sqref="D1311:F1311 D1322:F1322 D1312:D1321 F1312:F1321 D1323 F1323 C1311:C1323">
    <cfRule type="expression" dxfId="8986" priority="9482">
      <formula>$B1311="Serviço"</formula>
    </cfRule>
  </conditionalFormatting>
  <conditionalFormatting sqref="D1322:F1322 D1323 F1323 C1322:C1323">
    <cfRule type="expression" dxfId="8985" priority="9495">
      <formula>$B1322="Subetapa"</formula>
    </cfRule>
  </conditionalFormatting>
  <conditionalFormatting sqref="D1333:F1333 D1324:D1332 F1324:F1332 D1344:F1344 D1334:D1343 F1334:F1343 C1324:C1344">
    <cfRule type="expression" dxfId="8984" priority="9474">
      <formula>$B1324="Subetapa"</formula>
    </cfRule>
  </conditionalFormatting>
  <conditionalFormatting sqref="D1333:F1333 D1324:D1332 F1324:F1332 D1344:F1344 D1334:D1343 F1334:F1343 D1345:D1355 F1345:F1355 D1356:F1356 C1324:C1356">
    <cfRule type="expression" dxfId="8983" priority="9473">
      <formula>$B1324="Serviço"</formula>
    </cfRule>
  </conditionalFormatting>
  <conditionalFormatting sqref="D1348:D1355 F1348:F1355">
    <cfRule type="expression" dxfId="8982" priority="9479">
      <formula>$B1348="Subetapa"</formula>
    </cfRule>
  </conditionalFormatting>
  <conditionalFormatting sqref="D1541:F1541 D1542:D1546 F1542:F1546 C1541:C1546">
    <cfRule type="expression" dxfId="8981"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0" priority="13382">
      <formula>$B1548="Subetapa"</formula>
    </cfRule>
  </conditionalFormatting>
  <conditionalFormatting sqref="D1626:F1626 D1627:D1636 F1627:F1636 C1626:C1636">
    <cfRule type="expression" dxfId="8979" priority="13360">
      <formula>$B1626="Subetapa"</formula>
    </cfRule>
  </conditionalFormatting>
  <conditionalFormatting sqref="D1638:F1638 D1639:D1648 F1639:F1648 C1638:C1648">
    <cfRule type="expression" dxfId="8978" priority="13328">
      <formula>$B1638="Subetapa"</formula>
    </cfRule>
  </conditionalFormatting>
  <conditionalFormatting sqref="D1813:D1814 F1813:F1814">
    <cfRule type="expression" dxfId="8977" priority="13955">
      <formula>$B1813="Subetapa"</formula>
    </cfRule>
  </conditionalFormatting>
  <conditionalFormatting sqref="C1836:F1836">
    <cfRule type="expression" dxfId="8976" priority="13288">
      <formula>$B1836="Subetapa"</formula>
    </cfRule>
  </conditionalFormatting>
  <conditionalFormatting sqref="F1870 C1870:D1870">
    <cfRule type="expression" dxfId="8975" priority="13258">
      <formula>$B1870="Subetapa"</formula>
    </cfRule>
  </conditionalFormatting>
  <conditionalFormatting sqref="F1907 C1907:D1907">
    <cfRule type="expression" dxfId="8974" priority="13220">
      <formula>$B1907="Subetapa"</formula>
    </cfRule>
  </conditionalFormatting>
  <conditionalFormatting sqref="F1919 C1919:D1919">
    <cfRule type="expression" dxfId="8973" priority="13204">
      <formula>$B1919="Subetapa"</formula>
    </cfRule>
  </conditionalFormatting>
  <conditionalFormatting sqref="F1932 C1932:D1932">
    <cfRule type="expression" dxfId="8972" priority="13188">
      <formula>$B1932="Subetapa"</formula>
    </cfRule>
  </conditionalFormatting>
  <conditionalFormatting sqref="F1945 C1945:D1945">
    <cfRule type="expression" dxfId="8971" priority="13172">
      <formula>$B1945="Subetapa"</formula>
    </cfRule>
  </conditionalFormatting>
  <conditionalFormatting sqref="F1958 C1958:D1958">
    <cfRule type="expression" dxfId="8970" priority="13156">
      <formula>$B1958="Subetapa"</formula>
    </cfRule>
  </conditionalFormatting>
  <conditionalFormatting sqref="F1971 C1971:D1971">
    <cfRule type="expression" dxfId="8969" priority="13140">
      <formula>$B1971="Subetapa"</formula>
    </cfRule>
  </conditionalFormatting>
  <conditionalFormatting sqref="C2029:F2029">
    <cfRule type="expression" dxfId="8968" priority="13080">
      <formula>$B2029="Subetapa"</formula>
    </cfRule>
  </conditionalFormatting>
  <conditionalFormatting sqref="C2105:F2105 C2112:F2112 B2133:H2133 B2126:H2126 B2119:H2119">
    <cfRule type="expression" dxfId="8967" priority="11639">
      <formula>$B2105="Subetapa"</formula>
    </cfRule>
  </conditionalFormatting>
  <conditionalFormatting sqref="D2176:F2176 D2178:F2178 D2177 F2177 D2181:F2181 D2179:D2180 F2179:F2180 D2184:F2184 D2182:D2183 F2182:F2183 C2176:C2184">
    <cfRule type="expression" dxfId="8966" priority="13990">
      <formula>$B2176="Subetapa"</formula>
    </cfRule>
  </conditionalFormatting>
  <conditionalFormatting sqref="D2185:D2186 F2185:F2186">
    <cfRule type="expression" dxfId="8965" priority="14333">
      <formula>$B2185="Subetapa"</formula>
    </cfRule>
  </conditionalFormatting>
  <conditionalFormatting sqref="C2187:F2187">
    <cfRule type="expression" dxfId="8964" priority="14065">
      <formula>$B2187="Subetapa"</formula>
    </cfRule>
  </conditionalFormatting>
  <conditionalFormatting sqref="D2212:F2212 D2214:F2214 D2213 F2213 D2215 F2215 C2212:C2215 B2267:B2268 B2274:B2275 B2212:B2261">
    <cfRule type="expression" dxfId="8963" priority="10000">
      <formula>$B2212="Serviço"</formula>
    </cfRule>
  </conditionalFormatting>
  <conditionalFormatting sqref="D2212:F2212 D2214:F2214 D2213 F2213 D2215 F2215 C2212:C2215">
    <cfRule type="expression" dxfId="8962" priority="9998">
      <formula>$B2212="Subetapa"</formula>
    </cfRule>
  </conditionalFormatting>
  <conditionalFormatting sqref="D2216:F2216 D2219:F2219 D2217:D2218 F2217:F2218 D2221:F2221 D2220 F2220 D2222:D2223 F2222:F2223 C2216:C2223">
    <cfRule type="expression" dxfId="8961" priority="9976">
      <formula>$B2216="Serviço"</formula>
    </cfRule>
    <cfRule type="expression" dxfId="8960" priority="9977">
      <formula>$B2216="Subetapa"</formula>
    </cfRule>
  </conditionalFormatting>
  <conditionalFormatting sqref="D2224:F2224 D2226:F2226 D2225 F2225 D2227 F2227 C2224:C2227">
    <cfRule type="expression" dxfId="8959" priority="9992">
      <formula>$B2224="Serviço"</formula>
    </cfRule>
    <cfRule type="expression" dxfId="8958" priority="9993">
      <formula>$B2224="Subetapa"</formula>
    </cfRule>
  </conditionalFormatting>
  <conditionalFormatting sqref="D2228:F2228 D2229 F2229 C2228:C2229">
    <cfRule type="expression" dxfId="8957" priority="9980">
      <formula>$B2228="Serviço"</formula>
    </cfRule>
    <cfRule type="expression" dxfId="8956" priority="9981">
      <formula>$B2228="Subetapa"</formula>
    </cfRule>
  </conditionalFormatting>
  <conditionalFormatting sqref="D2230:F2230 D2234:F2234 D2231:D2233 F2231:F2233 D2236:F2236 D2235 F2235 D2240:F2240 D2237:D2239 F2237:F2239 D2241:D2243 F2241:F2243 C2230:C2275">
    <cfRule type="expression" dxfId="8955" priority="9988">
      <formula>$B2230="Serviço"</formula>
    </cfRule>
    <cfRule type="expression" dxfId="8954" priority="9989">
      <formula>$B2230="Subetapa"</formula>
    </cfRule>
  </conditionalFormatting>
  <conditionalFormatting sqref="D2338:F2338 D2340:F2340 D2339 F2339 D2341 F2341 C2338:C2341">
    <cfRule type="expression" dxfId="8953" priority="9460">
      <formula>$B2338="Serviço"</formula>
    </cfRule>
    <cfRule type="expression" dxfId="8952" priority="9461">
      <formula>$B2338="Subetapa"</formula>
    </cfRule>
  </conditionalFormatting>
  <conditionalFormatting sqref="D2347:F2347 D2348 F2348">
    <cfRule type="expression" dxfId="8951" priority="9446">
      <formula>$B2347="Serviço"</formula>
    </cfRule>
    <cfRule type="expression" dxfId="8950" priority="9447">
      <formula>$B2347="Subetapa"</formula>
    </cfRule>
  </conditionalFormatting>
  <conditionalFormatting sqref="D2349:F2349 D2350 F2350">
    <cfRule type="expression" dxfId="8949" priority="9437">
      <formula>$B2349="Serviço"</formula>
    </cfRule>
    <cfRule type="expression" dxfId="8948" priority="9438">
      <formula>$B2349="Subetapa"</formula>
    </cfRule>
  </conditionalFormatting>
  <conditionalFormatting sqref="F2357 D2357">
    <cfRule type="expression" dxfId="8947" priority="12823">
      <formula>$B2357="Subetapa"</formula>
    </cfRule>
  </conditionalFormatting>
  <conditionalFormatting sqref="D2374:F2374 D2375:D2377 C2374:C2377">
    <cfRule type="expression" dxfId="8946" priority="9427">
      <formula>$B2374="Serviço"</formula>
    </cfRule>
    <cfRule type="expression" dxfId="8945" priority="9428">
      <formula>$B2374="Subetapa"</formula>
    </cfRule>
  </conditionalFormatting>
  <conditionalFormatting sqref="D2379:F2379 D2384:F2384 D2380:D2383 F2380:F2383 D2385:D2387 F2385:F2388 C2379:C2387">
    <cfRule type="expression" dxfId="8944" priority="9407">
      <formula>$B2379="Serviço"</formula>
    </cfRule>
    <cfRule type="expression" dxfId="8943" priority="9408">
      <formula>$B2379="Subetapa"</formula>
    </cfRule>
  </conditionalFormatting>
  <conditionalFormatting sqref="D2400:F2400 D2405:F2405 D2401:D2404 F2401:F2404 D2410:F2410 D2406:D2409 F2406:F2409 C2400:C2410">
    <cfRule type="expression" dxfId="8942" priority="13998">
      <formula>$B2400="Subetapa"</formula>
    </cfRule>
  </conditionalFormatting>
  <conditionalFormatting sqref="D2470:F2470 D2471:D2474 C2470:C2474">
    <cfRule type="expression" dxfId="8941" priority="9371">
      <formula>$B2470="Serviço"</formula>
    </cfRule>
    <cfRule type="expression" dxfId="8940" priority="9372">
      <formula>$B2470="Subetapa"</formula>
    </cfRule>
  </conditionalFormatting>
  <conditionalFormatting sqref="D2475:F2475 D2476 C2475:C2476 C2480:F2480 C2485:F2485 C2520:F2520">
    <cfRule type="expression" dxfId="8939" priority="9401">
      <formula>$B2475="Serviço"</formula>
    </cfRule>
  </conditionalFormatting>
  <conditionalFormatting sqref="D2475:F2475 D2476:D2479 D2480:F2480 D2485:F2485 D2520:F2520 D2486:D2489 D2521:D2524 D2481:D2484 C2520:C2524 C2475:C2489">
    <cfRule type="expression" dxfId="8938" priority="9402">
      <formula>$B2475="Subetapa"</formula>
    </cfRule>
  </conditionalFormatting>
  <conditionalFormatting sqref="D2490:F2490 D2491:D2494 C2490:C2494">
    <cfRule type="expression" dxfId="8937" priority="9353">
      <formula>$B2490="Subetapa"</formula>
    </cfRule>
  </conditionalFormatting>
  <conditionalFormatting sqref="D2495:F2495 D2496:D2499 C2495:C2499">
    <cfRule type="expression" dxfId="8936" priority="9356">
      <formula>$B2495="Subetapa"</formula>
    </cfRule>
  </conditionalFormatting>
  <conditionalFormatting sqref="D2500:F2500 D2501:D2504 C2500:C2504">
    <cfRule type="expression" dxfId="8935" priority="9344">
      <formula>$B2500="Subetapa"</formula>
    </cfRule>
  </conditionalFormatting>
  <conditionalFormatting sqref="D2505:F2505 D2506:D2509 C2505:C2509">
    <cfRule type="expression" dxfId="8934" priority="9347">
      <formula>$B2505="Subetapa"</formula>
    </cfRule>
  </conditionalFormatting>
  <conditionalFormatting sqref="D2510:F2510 D2511:D2514 C2510:C2514">
    <cfRule type="expression" dxfId="8933" priority="9359">
      <formula>$B2510="Subetapa"</formula>
    </cfRule>
  </conditionalFormatting>
  <conditionalFormatting sqref="D2515:F2515 D2516:D2519 D2510:F2510 D2511:D2514 D2495:F2495 D2496:D2499 D2491:D2494 D2505:F2505 D2506:D2509 D2500:F2500 D2501:D2504 C2491:C2519">
    <cfRule type="expression" dxfId="8932" priority="9383">
      <formula>$B2491="Serviço"</formula>
    </cfRule>
  </conditionalFormatting>
  <conditionalFormatting sqref="D2515:F2515 D2516:D2519 C2515:C2519">
    <cfRule type="expression" dxfId="8931" priority="9362">
      <formula>$B2515="Subetapa"</formula>
    </cfRule>
  </conditionalFormatting>
  <conditionalFormatting sqref="D2673:F2673 D2674 F2674 E2688:F2688 F2690 C2673:C2674">
    <cfRule type="expression" dxfId="8930" priority="9302">
      <formula>$B2673="Subetapa"</formula>
    </cfRule>
    <cfRule type="expression" dxfId="8929"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28" priority="11561">
      <formula>$B2695="Subetapa"</formula>
    </cfRule>
  </conditionalFormatting>
  <conditionalFormatting sqref="D2719:F2719 D2720:D2721 F2720:F2721 C2719:C2721">
    <cfRule type="expression" dxfId="8927" priority="9315">
      <formula>$B2719="Subetapa"</formula>
    </cfRule>
    <cfRule type="expression" dxfId="8926" priority="9316">
      <formula>$B2719="Serviço"</formula>
    </cfRule>
  </conditionalFormatting>
  <conditionalFormatting sqref="F2723:F2724 C2722:F2722 C2724:D2724">
    <cfRule type="expression" dxfId="8925" priority="9313">
      <formula>$B2722="Subetapa"</formula>
    </cfRule>
  </conditionalFormatting>
  <conditionalFormatting sqref="C2722:F2722">
    <cfRule type="expression" dxfId="8924" priority="9312">
      <formula>$B2722="Serviço"</formula>
    </cfRule>
  </conditionalFormatting>
  <conditionalFormatting sqref="D2723:D2724 F2723:F2724">
    <cfRule type="expression" dxfId="8923" priority="9311">
      <formula>$B2723="Serviço"</formula>
    </cfRule>
  </conditionalFormatting>
  <conditionalFormatting sqref="D2725:F2725 D2726:D2727 F2726:F2727 C2725:C2727">
    <cfRule type="expression" dxfId="8922" priority="9318">
      <formula>$B2725="Subetapa"</formula>
    </cfRule>
  </conditionalFormatting>
  <conditionalFormatting sqref="D2728:F2728 D2729:D2730 F2729:F2730 C2728:C2730">
    <cfRule type="expression" dxfId="8921" priority="9320">
      <formula>$B2728="Subetapa"</formula>
    </cfRule>
  </conditionalFormatting>
  <conditionalFormatting sqref="D2765:F2765 D2766:D2767 F2766:F2767 C2765:C2767">
    <cfRule type="expression" dxfId="8920"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19" priority="13741">
      <formula>$B2788="Subetapa"</formula>
    </cfRule>
  </conditionalFormatting>
  <conditionalFormatting sqref="D2806:F2806 D2807:D2814 F2807:F2814 C2806:C2814">
    <cfRule type="expression" dxfId="8918" priority="9286">
      <formula>$B2806="Subetapa"</formula>
    </cfRule>
  </conditionalFormatting>
  <conditionalFormatting sqref="D2806:F2806 D2807:D2816 F2807:F2816 C2806:C2816">
    <cfRule type="expression" dxfId="8917" priority="9285">
      <formula>$B2806="Serviço"</formula>
    </cfRule>
  </conditionalFormatting>
  <conditionalFormatting sqref="D2817:F2818 D2841:F2841 D2819 F2819 D2842 F2842 D2820:F2820 D2821 F2821 C2841:C2842 C2817:C2821">
    <cfRule type="expression" dxfId="8916"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15" priority="10659">
      <formula>$B2845="Subetapa"</formula>
    </cfRule>
  </conditionalFormatting>
  <conditionalFormatting sqref="D2883:F2883 D2884 F2884 C2883:C2884">
    <cfRule type="expression" dxfId="8914" priority="9277">
      <formula>$B2883="Serviço"</formula>
    </cfRule>
  </conditionalFormatting>
  <conditionalFormatting sqref="D2883:F2883 D2884 F2884 C2883:C2884">
    <cfRule type="expression" dxfId="8913" priority="9278">
      <formula>$B2883="Subetapa"</formula>
    </cfRule>
  </conditionalFormatting>
  <conditionalFormatting sqref="C2905:F2905">
    <cfRule type="expression" dxfId="8912" priority="12593">
      <formula>$B2905="Subetapa"</formula>
    </cfRule>
  </conditionalFormatting>
  <conditionalFormatting sqref="F2906 C2906:D2906">
    <cfRule type="expression" dxfId="8911" priority="12578">
      <formula>$B2906="Subetapa"</formula>
    </cfRule>
  </conditionalFormatting>
  <conditionalFormatting sqref="C2907:F2907">
    <cfRule type="expression" dxfId="8910" priority="12585">
      <formula>$B2907="Subetapa"</formula>
    </cfRule>
  </conditionalFormatting>
  <conditionalFormatting sqref="D2909:F2909 D2908 F2908 D2910 F2910 C2908:C2910">
    <cfRule type="expression" dxfId="8909" priority="11537">
      <formula>$B2908="Subetapa"</formula>
    </cfRule>
  </conditionalFormatting>
  <conditionalFormatting sqref="C2911:F2911">
    <cfRule type="expression" dxfId="8908"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07" priority="12395">
      <formula>$B2912="Subetapa"</formula>
    </cfRule>
  </conditionalFormatting>
  <conditionalFormatting sqref="D3056:F3056 D3058:F3058 D3057 F3057 D3060:F3060 D3059 F3059 D3062:F3062 D3061 F3061 D3063 F3063 C3056:C3063">
    <cfRule type="expression" dxfId="8906" priority="9267">
      <formula>$B3056="Subetapa"</formula>
    </cfRule>
    <cfRule type="expression" dxfId="8905" priority="9269">
      <formula>$B3056="Serviço"</formula>
    </cfRule>
  </conditionalFormatting>
  <conditionalFormatting sqref="D3097:F3097 D3098 F3098 C3097:C3098">
    <cfRule type="expression" dxfId="8904" priority="9257">
      <formula>$B3097="Serviço"</formula>
    </cfRule>
    <cfRule type="expression" dxfId="8903"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2" priority="13889">
      <formula>$B3113="Subetapa"</formula>
    </cfRule>
  </conditionalFormatting>
  <conditionalFormatting sqref="C3129:F3129">
    <cfRule type="expression" dxfId="8901" priority="9249">
      <formula>$B3129="Subetapa"</formula>
    </cfRule>
  </conditionalFormatting>
  <conditionalFormatting sqref="D3129:F3129 D3130:D3136 F3130:F3136 C3129:C3136">
    <cfRule type="expression" dxfId="8900" priority="9250">
      <formula>$B3129="Serviço"</formula>
    </cfRule>
  </conditionalFormatting>
  <conditionalFormatting sqref="D3130:D3136 F3130:F3136">
    <cfRule type="expression" dxfId="8899" priority="9251">
      <formula>$B3130="Subetapa"</formula>
    </cfRule>
  </conditionalFormatting>
  <conditionalFormatting sqref="D3137:F3137 D3138 F3138 C3137:C3138">
    <cfRule type="expression" dxfId="8898" priority="14338">
      <formula>$B3137="Subetapa"</formula>
    </cfRule>
  </conditionalFormatting>
  <conditionalFormatting sqref="D3143:F3144">
    <cfRule type="expression" dxfId="8897"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896" priority="9738">
      <formula>$B3139="Serviço"</formula>
    </cfRule>
    <cfRule type="expression" dxfId="8895" priority="9739">
      <formula>$B3139="Subetapa"</formula>
    </cfRule>
  </conditionalFormatting>
  <conditionalFormatting sqref="D3211:F3211 D3210 F3210 D3213:F3213 D3212 F3212 D3215:F3215 D3214 F3214 C3210:C3215">
    <cfRule type="expression" dxfId="8894" priority="12401">
      <formula>$B3210="Subetapa"</formula>
    </cfRule>
  </conditionalFormatting>
  <conditionalFormatting sqref="C3243:F3243">
    <cfRule type="expression" dxfId="8893" priority="9214">
      <formula>$B3243="Subetapa"</formula>
    </cfRule>
  </conditionalFormatting>
  <conditionalFormatting sqref="C3259:F3259">
    <cfRule type="expression" dxfId="8892" priority="9227">
      <formula>$B3259="Subetapa"</formula>
    </cfRule>
  </conditionalFormatting>
  <conditionalFormatting sqref="C3320:F3320 B4162:F4162">
    <cfRule type="expression" dxfId="8891" priority="13563">
      <formula>$B3320="Subetapa"</formula>
    </cfRule>
  </conditionalFormatting>
  <conditionalFormatting sqref="D3440:F3440 D3445:F3445 D3441:D3444 F3441:F3444 D3446:D3449 F3446:F3449 C3440:C3449">
    <cfRule type="expression" dxfId="8890" priority="12426">
      <formula>$B3440="Subetapa"</formula>
    </cfRule>
  </conditionalFormatting>
  <conditionalFormatting sqref="D3485:F3485 D3486:D3489 C3485:C3489">
    <cfRule type="expression" dxfId="8889" priority="9133">
      <formula>$B3485="Serviço"</formula>
    </cfRule>
    <cfRule type="expression" dxfId="8888" priority="9134">
      <formula>$B3485="Subetapa"</formula>
    </cfRule>
  </conditionalFormatting>
  <conditionalFormatting sqref="D3490:F3490 D3491:D3494 C3490:C3494">
    <cfRule type="expression" dxfId="8887" priority="9120">
      <formula>$B3490="Serviço"</formula>
    </cfRule>
  </conditionalFormatting>
  <conditionalFormatting sqref="D3495:F3495 D3496:D3499 C3495:C3499">
    <cfRule type="expression" dxfId="8886" priority="9113">
      <formula>$B3495="Serviço"</formula>
    </cfRule>
  </conditionalFormatting>
  <conditionalFormatting sqref="D3505:F3505 D3506:D3509 D3490:F3490 D3491:D3494 D3495:F3495 D3496:D3499 D3500:F3500 D3501:D3504 C3490:C3509">
    <cfRule type="expression" dxfId="8885" priority="9209">
      <formula>$B3490="Subetapa"</formula>
    </cfRule>
  </conditionalFormatting>
  <conditionalFormatting sqref="D3505:F3505 D3506:D3509 C3505:C3509">
    <cfRule type="expression" dxfId="8884" priority="9192">
      <formula>$B3505="Serviço"</formula>
    </cfRule>
  </conditionalFormatting>
  <conditionalFormatting sqref="D3515:F3515 D3516:D3519 C3515:C3519">
    <cfRule type="expression" dxfId="8883" priority="9080">
      <formula>$B3515="Serviço"</formula>
    </cfRule>
    <cfRule type="expression" dxfId="8882" priority="9081">
      <formula>$B3515="Subetapa"</formula>
    </cfRule>
  </conditionalFormatting>
  <conditionalFormatting sqref="D3520:F3520 D3521:D3524 C3520:C3524">
    <cfRule type="expression" dxfId="8881" priority="9098">
      <formula>$B3520="Serviço"</formula>
    </cfRule>
    <cfRule type="expression" dxfId="8880" priority="9099">
      <formula>$B3520="Subetapa"</formula>
    </cfRule>
  </conditionalFormatting>
  <conditionalFormatting sqref="D3525:F3525 D3526:D3529 C3525:C3529">
    <cfRule type="expression" dxfId="8879" priority="9102">
      <formula>$B3525="Serviço"</formula>
    </cfRule>
    <cfRule type="expression" dxfId="8878" priority="9103">
      <formula>$B3525="Subetapa"</formula>
    </cfRule>
  </conditionalFormatting>
  <conditionalFormatting sqref="D3530:F3530 D3531:D3534 C3530:C3534">
    <cfRule type="expression" dxfId="8877" priority="9090">
      <formula>$B3530="Serviço"</formula>
    </cfRule>
    <cfRule type="expression" dxfId="8876" priority="9091">
      <formula>$B3530="Subetapa"</formula>
    </cfRule>
  </conditionalFormatting>
  <conditionalFormatting sqref="D3535:F3535 D3536:D3539 C3535:C3539">
    <cfRule type="expression" dxfId="8875" priority="9094">
      <formula>$B3535="Serviço"</formula>
    </cfRule>
    <cfRule type="expression" dxfId="8874" priority="9095">
      <formula>$B3535="Subetapa"</formula>
    </cfRule>
  </conditionalFormatting>
  <conditionalFormatting sqref="D3540:F3540 D3541:D3544 C3540:C3544">
    <cfRule type="expression" dxfId="8873" priority="9116">
      <formula>$B3540="Serviço"</formula>
    </cfRule>
    <cfRule type="expression" dxfId="8872" priority="9117">
      <formula>$B3540="Subetapa"</formula>
    </cfRule>
  </conditionalFormatting>
  <conditionalFormatting sqref="D3644:F3644 D3648:F3648 D3645:D3647 F3645:F3647 D3651:F3651 D3649:D3650 F3649:F3650 D3652:D3653 F3652:F3653 B3644:B3661 D3654:F3654 D3655 C3658:F3658 C3644:C3655">
    <cfRule type="expression" dxfId="8871" priority="13805">
      <formula>$B3644="Subetapa"</formula>
    </cfRule>
  </conditionalFormatting>
  <conditionalFormatting sqref="D3674:F3674 D3675:D3678 F3675:F3678 C3674:C3678">
    <cfRule type="expression" dxfId="8870" priority="9007">
      <formula>$B3674="Subetapa"</formula>
    </cfRule>
    <cfRule type="expression" dxfId="8869" priority="9008">
      <formula>$B3674="Serviço"</formula>
    </cfRule>
  </conditionalFormatting>
  <conditionalFormatting sqref="D3684:F3684 D3685:D3688 F3685:F3688 C3684:C3688">
    <cfRule type="expression" dxfId="8868" priority="8995">
      <formula>$B3684="Subetapa"</formula>
    </cfRule>
    <cfRule type="expression" dxfId="8867" priority="8996">
      <formula>$B3684="Serviço"</formula>
    </cfRule>
  </conditionalFormatting>
  <conditionalFormatting sqref="D3704:F3704 D3705:D3708 F3705:F3708 C3704:C3708">
    <cfRule type="expression" dxfId="8866" priority="8983">
      <formula>$B3704="Subetapa"</formula>
    </cfRule>
    <cfRule type="expression" dxfId="8865" priority="8984">
      <formula>$B3704="Serviço"</formula>
    </cfRule>
  </conditionalFormatting>
  <conditionalFormatting sqref="D3722:F3722 D3723 F3723 C3722:C3723">
    <cfRule type="expression" dxfId="8864" priority="8960">
      <formula>$B3722="Serviço"</formula>
    </cfRule>
  </conditionalFormatting>
  <conditionalFormatting sqref="D3722:F3722 D3723:D3724 F3723:F3724 C3722:C3724">
    <cfRule type="expression" dxfId="8863" priority="8959">
      <formula>$B3722="Subetapa"</formula>
    </cfRule>
  </conditionalFormatting>
  <conditionalFormatting sqref="F3724 C3724:D3724">
    <cfRule type="expression" dxfId="8862" priority="8967">
      <formula>$B3724="Serviço"</formula>
    </cfRule>
  </conditionalFormatting>
  <conditionalFormatting sqref="D3808:F3808 D3811:F3811 D3809:D3810 F3809:F3810 D3812:D3815 F3812:F3815 C3808:C3815">
    <cfRule type="expression" dxfId="8861"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0" priority="11382">
      <formula>$B3821="Subetapa"</formula>
    </cfRule>
  </conditionalFormatting>
  <conditionalFormatting sqref="C3861:F3861 C3862:C3885">
    <cfRule type="expression" dxfId="8859" priority="12266">
      <formula>$B3861="Subetapa"</formula>
    </cfRule>
  </conditionalFormatting>
  <conditionalFormatting sqref="D3864:F3864">
    <cfRule type="expression" dxfId="8858" priority="12236">
      <formula>$B3864="Subetapa"</formula>
    </cfRule>
  </conditionalFormatting>
  <conditionalFormatting sqref="F3981 C3980:F3980">
    <cfRule type="expression" dxfId="8857" priority="8314">
      <formula>$B3980="Serviço"</formula>
    </cfRule>
  </conditionalFormatting>
  <conditionalFormatting sqref="C3999:F3999">
    <cfRule type="expression" dxfId="8856" priority="8263">
      <formula>$B3999="Subetapa"</formula>
    </cfRule>
  </conditionalFormatting>
  <conditionalFormatting sqref="C4002:F4002">
    <cfRule type="expression" dxfId="8855" priority="8280">
      <formula>$B4002="Subetapa"</formula>
    </cfRule>
    <cfRule type="expression" dxfId="8854" priority="8300">
      <formula>$B4002="Serviço"</formula>
    </cfRule>
  </conditionalFormatting>
  <conditionalFormatting sqref="D4004:F4004 D4005:D4006 C4004:C4006">
    <cfRule type="expression" dxfId="8853" priority="8194">
      <formula>$B4004="Serviço"</formula>
    </cfRule>
  </conditionalFormatting>
  <conditionalFormatting sqref="C4004:F4004">
    <cfRule type="expression" dxfId="8852" priority="8196">
      <formula>$B4004="Subetapa"</formula>
    </cfRule>
  </conditionalFormatting>
  <conditionalFormatting sqref="D4007:F4007 D4008:D4009 C4007:C4009">
    <cfRule type="expression" dxfId="8851" priority="8201">
      <formula>$B4007="Serviço"</formula>
    </cfRule>
  </conditionalFormatting>
  <conditionalFormatting sqref="C4007:F4007">
    <cfRule type="expression" dxfId="8850" priority="8203">
      <formula>$B4007="Subetapa"</formula>
    </cfRule>
  </conditionalFormatting>
  <conditionalFormatting sqref="D4010:F4010 D4011:D4012 C4010:C4012">
    <cfRule type="expression" dxfId="8849" priority="8208">
      <formula>$B4010="Serviço"</formula>
    </cfRule>
  </conditionalFormatting>
  <conditionalFormatting sqref="C4010:F4010">
    <cfRule type="expression" dxfId="8848" priority="8210">
      <formula>$B4010="Subetapa"</formula>
    </cfRule>
  </conditionalFormatting>
  <conditionalFormatting sqref="D4013:F4013 D4014:D4015 C4013:C4015">
    <cfRule type="expression" dxfId="8847" priority="8215">
      <formula>$B4013="Serviço"</formula>
    </cfRule>
  </conditionalFormatting>
  <conditionalFormatting sqref="C4013:F4013">
    <cfRule type="expression" dxfId="8846" priority="8217">
      <formula>$B4013="Subetapa"</formula>
    </cfRule>
  </conditionalFormatting>
  <conditionalFormatting sqref="D4016:F4016 D4017:D4018 C4016:C4018">
    <cfRule type="expression" dxfId="8845" priority="8222">
      <formula>$B4016="Serviço"</formula>
    </cfRule>
  </conditionalFormatting>
  <conditionalFormatting sqref="C4016:F4016">
    <cfRule type="expression" dxfId="8844" priority="8224">
      <formula>$B4016="Subetapa"</formula>
    </cfRule>
  </conditionalFormatting>
  <conditionalFormatting sqref="D4019:F4019 D4020:D4021 C4019:C4021">
    <cfRule type="expression" dxfId="8843" priority="8229">
      <formula>$B4019="Serviço"</formula>
    </cfRule>
  </conditionalFormatting>
  <conditionalFormatting sqref="C4019:F4019">
    <cfRule type="expression" dxfId="8842" priority="8231">
      <formula>$B4019="Subetapa"</formula>
    </cfRule>
  </conditionalFormatting>
  <conditionalFormatting sqref="D4041:F4041 D4042:D4043 C4041:C4043">
    <cfRule type="expression" dxfId="8841" priority="7852">
      <formula>$B4041="Serviço"</formula>
    </cfRule>
  </conditionalFormatting>
  <conditionalFormatting sqref="C4041:F4041">
    <cfRule type="expression" dxfId="8840" priority="7854">
      <formula>$B4041="Subetapa"</formula>
    </cfRule>
  </conditionalFormatting>
  <conditionalFormatting sqref="D4051:F4051 D4054:F4054 D4052:D4053 F4052:F4053 C4051:C4054">
    <cfRule type="expression" dxfId="8839" priority="7869">
      <formula>$B4051="Subetapa"</formula>
    </cfRule>
  </conditionalFormatting>
  <conditionalFormatting sqref="D4058:F4058 D4060:F4060 D4059 F4059 D4064:F4064 D4061 F4061 D4066:F4066 D4065 F4065 D4067 F4067 D4062:F4062 F4063 D4063 C4058:C4067">
    <cfRule type="expression" dxfId="8838"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37" priority="13965">
      <formula>$B4088="Subetapa"</formula>
    </cfRule>
  </conditionalFormatting>
  <conditionalFormatting sqref="D4098:F4098 D4100:F4100 D4099 F4099 D4102:F4102 D4101 F4101 D4103 F4103 C4098:C4103">
    <cfRule type="expression" dxfId="8836" priority="7822">
      <formula>$B4098="Subetapa"</formula>
    </cfRule>
  </conditionalFormatting>
  <conditionalFormatting sqref="D4105:D4106 F4105:F4106">
    <cfRule type="expression" dxfId="8835" priority="7828">
      <formula>$B4105="Subetapa"</formula>
    </cfRule>
  </conditionalFormatting>
  <conditionalFormatting sqref="D4108:D4109 F4108:F4109">
    <cfRule type="expression" dxfId="8834" priority="7831">
      <formula>$B4108="Subetapa"</formula>
    </cfRule>
  </conditionalFormatting>
  <conditionalFormatting sqref="D4122:F4122 D4123:D4124 F4123:F4124 C4122:C4124">
    <cfRule type="expression" dxfId="8833" priority="7812">
      <formula>$B4122="Serviço"</formula>
    </cfRule>
    <cfRule type="expression" dxfId="8832" priority="7813">
      <formula>$B4122="Subetapa"</formula>
    </cfRule>
  </conditionalFormatting>
  <conditionalFormatting sqref="D4131:F4131 D4132 F4132 C4131:C4132">
    <cfRule type="expression" dxfId="8831" priority="12337">
      <formula>$B4131="Subetapa"</formula>
    </cfRule>
  </conditionalFormatting>
  <conditionalFormatting sqref="E4160:F4160 F4161">
    <cfRule type="expression" dxfId="8830" priority="7788">
      <formula>$B4160="Serviço"</formula>
    </cfRule>
    <cfRule type="expression" dxfId="8829" priority="7789">
      <formula>$B4160="Subetapa"</formula>
    </cfRule>
  </conditionalFormatting>
  <conditionalFormatting sqref="D4245:F4245 D4247:F4247 D4246 F4246 D4248 F4248 C4245:C4248">
    <cfRule type="expression" dxfId="8828" priority="7759">
      <formula>$B4245="Serviço"</formula>
    </cfRule>
    <cfRule type="expression" dxfId="8827" priority="7760">
      <formula>$B4245="Subetapa"</formula>
    </cfRule>
  </conditionalFormatting>
  <conditionalFormatting sqref="B4291:B4295 F4291 C4291:D4291">
    <cfRule type="expression" dxfId="8826"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25" priority="12075">
      <formula>$B4297="Subetapa"</formula>
    </cfRule>
  </conditionalFormatting>
  <conditionalFormatting sqref="D4358:F4358 D4367:D4370 D4361:F4361 D4359:D4360 F4359:F4360 D4366:F4366 D4362:D4365 F4362:F4365 C4358:C4370">
    <cfRule type="expression" dxfId="8824" priority="12064">
      <formula>$B4358="Subetapa"</formula>
    </cfRule>
  </conditionalFormatting>
  <conditionalFormatting sqref="C4458:F4458">
    <cfRule type="expression" dxfId="8823" priority="14035">
      <formula>$B4458="Subetapa"</formula>
    </cfRule>
  </conditionalFormatting>
  <conditionalFormatting sqref="D4483:F4483 D4482 F4482 D4486:F4486 D4484:D4485 F4484:F4485 D4487:D4488 F4487:F4488 C4482:C4488">
    <cfRule type="expression" dxfId="8822"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1"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0" priority="7716">
      <formula>$B4495="Subetapa"</formula>
    </cfRule>
  </conditionalFormatting>
  <conditionalFormatting sqref="D4573:F4574 D4576:F4576 D4575 F4575 D4578:F4578 D4577 F4577 D4580:F4580 D4579 F4579 C4573:C4580">
    <cfRule type="expression" dxfId="8819"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18" priority="11338">
      <formula>$B4701="Subetapa"</formula>
    </cfRule>
  </conditionalFormatting>
  <conditionalFormatting sqref="D4717:F4717 D4714 F4714 D4718 F4718 D4719:F4719 F4720 D4720 D4715:F4715 D4716 F4716 C4723:F4723 C4714:C4720">
    <cfRule type="expression" dxfId="8817" priority="14101">
      <formula>$B4714="Subetapa"</formula>
    </cfRule>
  </conditionalFormatting>
  <conditionalFormatting sqref="C4721:F4721">
    <cfRule type="expression" dxfId="8816" priority="11352">
      <formula>$B4721="Subetapa"</formula>
    </cfRule>
  </conditionalFormatting>
  <conditionalFormatting sqref="F4724 C4724:D4724">
    <cfRule type="expression" dxfId="8815"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4" priority="13910">
      <formula>$B4759="Subetapa"</formula>
    </cfRule>
  </conditionalFormatting>
  <conditionalFormatting sqref="D4801:F4801 D4802:D4810 F4802 C4801:C4810">
    <cfRule type="expression" dxfId="8813" priority="7616">
      <formula>$B4801="Serviço"</formula>
    </cfRule>
    <cfRule type="expression" dxfId="8812" priority="7617">
      <formula>$B4801="Subetapa"</formula>
    </cfRule>
  </conditionalFormatting>
  <conditionalFormatting sqref="C4839:F4839">
    <cfRule type="expression" dxfId="8811" priority="14045">
      <formula>$B4839="Subetapa"</formula>
    </cfRule>
  </conditionalFormatting>
  <conditionalFormatting sqref="D4864:F4874">
    <cfRule type="expression" dxfId="8810" priority="14049">
      <formula>$B4864="Subetapa"</formula>
    </cfRule>
  </conditionalFormatting>
  <conditionalFormatting sqref="C4875:F4875">
    <cfRule type="expression" dxfId="8809" priority="14587">
      <formula>$B4875="Subetapa"</formula>
    </cfRule>
  </conditionalFormatting>
  <conditionalFormatting sqref="D4876:D4877 F4876:F4877">
    <cfRule type="expression" dxfId="8808"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07" priority="14387">
      <formula>$B263="Subetapa"</formula>
    </cfRule>
  </conditionalFormatting>
  <conditionalFormatting sqref="D4918:F4918 D4919:D4922 F4919:F4922 C4918:C4922">
    <cfRule type="expression" dxfId="8806" priority="7604">
      <formula>$B4918="Serviço"</formula>
    </cfRule>
    <cfRule type="expression" dxfId="8805" priority="7605">
      <formula>$B4918="Subetapa"</formula>
    </cfRule>
  </conditionalFormatting>
  <conditionalFormatting sqref="D4976:F4976 D4980:F4980 D4977:D4979 F4977:F4979 D4981:D4983 F4981:F4983 C4976:C4983">
    <cfRule type="expression" dxfId="8804" priority="7841">
      <formula>$B4976="Serviço"</formula>
    </cfRule>
    <cfRule type="expression" dxfId="8803"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2" priority="6292">
      <formula>$B1186="Subetapa"</formula>
    </cfRule>
  </conditionalFormatting>
  <conditionalFormatting sqref="D1387:D1396 F1387:F1396 C1386:C1396 D1386:H1386 G1541:H1541 C1535:H1535">
    <cfRule type="expression" dxfId="8801" priority="7058">
      <formula>$B1386="Subetapa"</formula>
    </cfRule>
  </conditionalFormatting>
  <conditionalFormatting sqref="C2768:H2768">
    <cfRule type="expression" dxfId="8800" priority="6991">
      <formula>$B2768="Subetapa"</formula>
    </cfRule>
  </conditionalFormatting>
  <conditionalFormatting sqref="C2876:H2876">
    <cfRule type="expression" dxfId="8799" priority="6990">
      <formula>$B2876="Subetapa"</formula>
    </cfRule>
  </conditionalFormatting>
  <conditionalFormatting sqref="D4599:D4602 F4599:F4602 D4604 F4604 D4606:D4609 F4606:F4609 C4598:C4609 D4598:H4598 D4603:H4603 D4605:H4605">
    <cfRule type="expression" dxfId="8798" priority="5981">
      <formula>$B4598="Subetapa"</formula>
    </cfRule>
  </conditionalFormatting>
  <conditionalFormatting sqref="E3846 F3848 C3848:D3848">
    <cfRule type="expression" dxfId="8797" priority="12113">
      <formula>$B3846="Subetapa"</formula>
    </cfRule>
  </conditionalFormatting>
  <conditionalFormatting sqref="D3980:D3981">
    <cfRule type="expression" dxfId="8796" priority="8316">
      <formula>$B3980="Subetapa"</formula>
    </cfRule>
  </conditionalFormatting>
  <conditionalFormatting sqref="E4750 E4759">
    <cfRule type="containsText" dxfId="8795" priority="14128" operator="containsText" text="INSERIR">
      <formula>NOT(ISERROR(SEARCH(("INSERIR"),(E4750))))</formula>
    </cfRule>
  </conditionalFormatting>
  <conditionalFormatting sqref="E4863">
    <cfRule type="containsText" dxfId="8794"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3" priority="14056">
      <formula>$B345="Subetapa"</formula>
    </cfRule>
  </conditionalFormatting>
  <conditionalFormatting sqref="E287:F287 F288">
    <cfRule type="expression" dxfId="8792" priority="9745">
      <formula>$B287="Subetapa"</formula>
    </cfRule>
  </conditionalFormatting>
  <conditionalFormatting sqref="E289:F289">
    <cfRule type="expression" dxfId="8791" priority="9747">
      <formula>$B289="Subetapa"</formula>
    </cfRule>
  </conditionalFormatting>
  <conditionalFormatting sqref="E291:F291">
    <cfRule type="expression" dxfId="8790" priority="9749">
      <formula>$B291="Subetapa"</formula>
    </cfRule>
  </conditionalFormatting>
  <conditionalFormatting sqref="E293:F293">
    <cfRule type="expression" dxfId="8789" priority="9751">
      <formula>$B293="Subetapa"</formula>
    </cfRule>
  </conditionalFormatting>
  <conditionalFormatting sqref="E295:F295">
    <cfRule type="expression" dxfId="8788" priority="9761">
      <formula>$B295="Subetapa"</formula>
    </cfRule>
  </conditionalFormatting>
  <conditionalFormatting sqref="F662:F664 B664">
    <cfRule type="expression" dxfId="8787"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86" priority="13559">
      <formula>$B867="Subetapa"</formula>
    </cfRule>
  </conditionalFormatting>
  <conditionalFormatting sqref="E957:F957 E960:F960 F958:F959 F961:F962">
    <cfRule type="expression" dxfId="8785" priority="14140">
      <formula>$B957="Subetapa"</formula>
    </cfRule>
  </conditionalFormatting>
  <conditionalFormatting sqref="E964:F964 E967:F967 F965:F966 F968:F969">
    <cfRule type="expression" dxfId="8784" priority="11906">
      <formula>$B964="Subetapa"</formula>
    </cfRule>
  </conditionalFormatting>
  <conditionalFormatting sqref="E971:F971 F975:F976 F972:F973">
    <cfRule type="expression" dxfId="8783" priority="14142">
      <formula>$B971="Subetapa"</formula>
    </cfRule>
  </conditionalFormatting>
  <conditionalFormatting sqref="E974:F974">
    <cfRule type="expression" dxfId="8782" priority="14397">
      <formula>$B974="Subetapa"</formula>
    </cfRule>
  </conditionalFormatting>
  <conditionalFormatting sqref="F1346:F1347">
    <cfRule type="expression" dxfId="8781" priority="9476">
      <formula>$B1346="Subetapa"</formula>
    </cfRule>
  </conditionalFormatting>
  <conditionalFormatting sqref="F1837:F1842">
    <cfRule type="expression" dxfId="8780" priority="13280">
      <formula>$B1837="Subetapa"</formula>
    </cfRule>
  </conditionalFormatting>
  <conditionalFormatting sqref="F1868:F1869">
    <cfRule type="expression" dxfId="8779" priority="11715">
      <formula>$B1868="Subetapa"</formula>
    </cfRule>
  </conditionalFormatting>
  <conditionalFormatting sqref="F1881:F1891">
    <cfRule type="expression" dxfId="8778" priority="11717">
      <formula>$B1881="Subetapa"</formula>
    </cfRule>
  </conditionalFormatting>
  <conditionalFormatting sqref="F1893:F1894 F1896:F1904">
    <cfRule type="expression" dxfId="8777" priority="11711">
      <formula>$B1893="Subetapa"</formula>
    </cfRule>
  </conditionalFormatting>
  <conditionalFormatting sqref="F1918">
    <cfRule type="expression" dxfId="8776" priority="11699">
      <formula>$B1918="Subetapa"</formula>
    </cfRule>
  </conditionalFormatting>
  <conditionalFormatting sqref="F1930:F1931">
    <cfRule type="expression" dxfId="8775" priority="11693">
      <formula>$B1930="Subetapa"</formula>
    </cfRule>
  </conditionalFormatting>
  <conditionalFormatting sqref="F1943:F1944">
    <cfRule type="expression" dxfId="8774" priority="11689">
      <formula>$B1943="Subetapa"</formula>
    </cfRule>
  </conditionalFormatting>
  <conditionalFormatting sqref="F1956:F1957">
    <cfRule type="expression" dxfId="8773" priority="11685">
      <formula>$B1956="Subetapa"</formula>
    </cfRule>
  </conditionalFormatting>
  <conditionalFormatting sqref="F1969:F1970">
    <cfRule type="expression" dxfId="8772" priority="11681">
      <formula>$B1969="Subetapa"</formula>
    </cfRule>
  </conditionalFormatting>
  <conditionalFormatting sqref="F1982">
    <cfRule type="expression" dxfId="8771" priority="11677">
      <formula>$B1982="Subetapa"</formula>
    </cfRule>
  </conditionalFormatting>
  <conditionalFormatting sqref="F1983">
    <cfRule type="expression" dxfId="8770" priority="13124">
      <formula>$B1983="Subetapa"</formula>
    </cfRule>
  </conditionalFormatting>
  <conditionalFormatting sqref="F1994">
    <cfRule type="expression" dxfId="8769" priority="11671">
      <formula>$B1994="Subetapa"</formula>
    </cfRule>
  </conditionalFormatting>
  <conditionalFormatting sqref="F1995">
    <cfRule type="expression" dxfId="8768" priority="13106">
      <formula>$B1995="Subetapa"</formula>
    </cfRule>
  </conditionalFormatting>
  <conditionalFormatting sqref="F2008:F2016">
    <cfRule type="expression" dxfId="8767" priority="11707">
      <formula>$B2008="Subetapa"</formula>
    </cfRule>
  </conditionalFormatting>
  <conditionalFormatting sqref="F2030:F2040">
    <cfRule type="expression" dxfId="8766" priority="13072">
      <formula>$B2030="Subetapa"</formula>
    </cfRule>
  </conditionalFormatting>
  <conditionalFormatting sqref="F2106">
    <cfRule type="expression" dxfId="8765" priority="11637">
      <formula>$B2106="Subetapa"</formula>
    </cfRule>
  </conditionalFormatting>
  <conditionalFormatting sqref="F2107">
    <cfRule type="expression" dxfId="8764" priority="12952">
      <formula>$B2107="Subetapa"</formula>
    </cfRule>
  </conditionalFormatting>
  <conditionalFormatting sqref="F2113">
    <cfRule type="expression" dxfId="8763" priority="11631">
      <formula>$B2113="Subetapa"</formula>
    </cfRule>
  </conditionalFormatting>
  <conditionalFormatting sqref="F2114">
    <cfRule type="expression" dxfId="8762" priority="12932">
      <formula>$B2114="Subetapa"</formula>
    </cfRule>
  </conditionalFormatting>
  <conditionalFormatting sqref="F2120">
    <cfRule type="expression" dxfId="8761" priority="11625">
      <formula>$B2120="Subetapa"</formula>
    </cfRule>
  </conditionalFormatting>
  <conditionalFormatting sqref="F2121">
    <cfRule type="expression" dxfId="8760" priority="12912">
      <formula>$B2121="Subetapa"</formula>
    </cfRule>
  </conditionalFormatting>
  <conditionalFormatting sqref="F2127">
    <cfRule type="expression" dxfId="8759" priority="11619">
      <formula>$B2127="Subetapa"</formula>
    </cfRule>
  </conditionalFormatting>
  <conditionalFormatting sqref="F2128">
    <cfRule type="expression" dxfId="8758" priority="12892">
      <formula>$B2128="Subetapa"</formula>
    </cfRule>
  </conditionalFormatting>
  <conditionalFormatting sqref="F2134">
    <cfRule type="expression" dxfId="8757" priority="11613">
      <formula>$B2134="Subetapa"</formula>
    </cfRule>
  </conditionalFormatting>
  <conditionalFormatting sqref="F2135">
    <cfRule type="expression" dxfId="8756" priority="12872">
      <formula>$B2135="Subetapa"</formula>
    </cfRule>
  </conditionalFormatting>
  <conditionalFormatting sqref="E2333:F2333 E2335:F2335 F2334 F2336">
    <cfRule type="expression" dxfId="8755" priority="12843">
      <formula>$B2333="Subetapa"</formula>
    </cfRule>
  </conditionalFormatting>
  <conditionalFormatting sqref="E2356:F2356">
    <cfRule type="expression" dxfId="8754" priority="12827">
      <formula>$B2356="Subetapa"</formula>
    </cfRule>
  </conditionalFormatting>
  <conditionalFormatting sqref="F2757:F2759">
    <cfRule type="expression" dxfId="8753" priority="10028">
      <formula>$B2757="Subetapa"</formula>
    </cfRule>
  </conditionalFormatting>
  <conditionalFormatting sqref="F2761:F2764">
    <cfRule type="expression" dxfId="8752" priority="10039">
      <formula>$B2761="Subetapa"</formula>
    </cfRule>
  </conditionalFormatting>
  <conditionalFormatting sqref="F2769">
    <cfRule type="expression" dxfId="8751" priority="10050">
      <formula>$B2769="Subetapa"</formula>
    </cfRule>
  </conditionalFormatting>
  <conditionalFormatting sqref="E2770:F2770">
    <cfRule type="expression" dxfId="8750" priority="10077">
      <formula>$B2770="Subetapa"</formula>
    </cfRule>
  </conditionalFormatting>
  <conditionalFormatting sqref="F2771">
    <cfRule type="expression" dxfId="8749" priority="10061">
      <formula>$B2771="Subetapa"</formula>
    </cfRule>
  </conditionalFormatting>
  <conditionalFormatting sqref="E2772:F2772">
    <cfRule type="expression" dxfId="8748" priority="11558">
      <formula>$B2772="Subetapa"</formula>
    </cfRule>
  </conditionalFormatting>
  <conditionalFormatting sqref="F3863">
    <cfRule type="expression" dxfId="8747" priority="12247">
      <formula>$B3863="Subetapa"</formula>
    </cfRule>
  </conditionalFormatting>
  <conditionalFormatting sqref="E3883:F3883">
    <cfRule type="expression" dxfId="8746" priority="12222">
      <formula>$B3883="Subetapa"</formula>
    </cfRule>
  </conditionalFormatting>
  <conditionalFormatting sqref="E3894:F3894">
    <cfRule type="expression" dxfId="8745" priority="12209">
      <formula>$B3894="Subetapa"</formula>
    </cfRule>
  </conditionalFormatting>
  <conditionalFormatting sqref="E3905:F3905">
    <cfRule type="expression" dxfId="8744" priority="12196">
      <formula>$B3905="Subetapa"</formula>
    </cfRule>
  </conditionalFormatting>
  <conditionalFormatting sqref="E3916:F3916">
    <cfRule type="expression" dxfId="8743" priority="12183">
      <formula>$B3916="Subetapa"</formula>
    </cfRule>
  </conditionalFormatting>
  <conditionalFormatting sqref="E3927:F3927">
    <cfRule type="expression" dxfId="8742" priority="12170">
      <formula>$B3927="Subetapa"</formula>
    </cfRule>
  </conditionalFormatting>
  <conditionalFormatting sqref="E4107:F4107">
    <cfRule type="expression" dxfId="8741" priority="7836">
      <formula>$B4107="Subetapa"</formula>
    </cfRule>
  </conditionalFormatting>
  <conditionalFormatting sqref="E4292:F4292 E4294:F4294 F4293 F4295">
    <cfRule type="expression" dxfId="8740" priority="12086">
      <formula>$B4292="Subetapa"</formula>
    </cfRule>
  </conditionalFormatting>
  <conditionalFormatting sqref="E4296:F4296">
    <cfRule type="expression" dxfId="8739" priority="12079">
      <formula>$B4296="Subetapa"</formula>
    </cfRule>
  </conditionalFormatting>
  <conditionalFormatting sqref="F4803:F4810">
    <cfRule type="expression" dxfId="8738" priority="7610">
      <formula>$B4803="Serviço"</formula>
    </cfRule>
    <cfRule type="expression" dxfId="8737" priority="7611">
      <formula>$B4803="Subetapa"</formula>
    </cfRule>
  </conditionalFormatting>
  <conditionalFormatting sqref="E4932:F4932 F4929:F4931 E4936:F4936 F4933:F4935 F4937:F4938">
    <cfRule type="expression" dxfId="8736" priority="14135">
      <formula>$B4929="Subetapa"</formula>
    </cfRule>
  </conditionalFormatting>
  <conditionalFormatting sqref="F1844:F1854">
    <cfRule type="expression" dxfId="8735" priority="6140">
      <formula>$B1844="Subetapa"</formula>
    </cfRule>
  </conditionalFormatting>
  <conditionalFormatting sqref="F1856:F1866">
    <cfRule type="expression" dxfId="8734" priority="6136">
      <formula>$B1856="Subetapa"</formula>
    </cfRule>
  </conditionalFormatting>
  <conditionalFormatting sqref="F1908:F1916">
    <cfRule type="expression" dxfId="8733" priority="6122">
      <formula>$B1908="Subetapa"</formula>
    </cfRule>
  </conditionalFormatting>
  <conditionalFormatting sqref="F1920:F1928">
    <cfRule type="expression" dxfId="8732" priority="6118">
      <formula>$B1920="Subetapa"</formula>
    </cfRule>
  </conditionalFormatting>
  <conditionalFormatting sqref="F1984:F1992">
    <cfRule type="expression" dxfId="8731" priority="6106">
      <formula>$B1984="Subetapa"</formula>
    </cfRule>
  </conditionalFormatting>
  <conditionalFormatting sqref="F1996:F2004">
    <cfRule type="expression" dxfId="8730" priority="6102">
      <formula>$B1996="Subetapa"</formula>
    </cfRule>
  </conditionalFormatting>
  <conditionalFormatting sqref="F2018:F2028">
    <cfRule type="expression" dxfId="8729" priority="6098">
      <formula>$B2018="Subetapa"</formula>
    </cfRule>
  </conditionalFormatting>
  <conditionalFormatting sqref="F2042:F2052">
    <cfRule type="expression" dxfId="8728" priority="6091">
      <formula>$B2042="Subetapa"</formula>
    </cfRule>
  </conditionalFormatting>
  <conditionalFormatting sqref="F2054:F2065">
    <cfRule type="expression" dxfId="8727" priority="6085">
      <formula>$B2054="Subetapa"</formula>
    </cfRule>
  </conditionalFormatting>
  <conditionalFormatting sqref="F2067:F2078">
    <cfRule type="expression" dxfId="8726" priority="6081">
      <formula>$B2067="Subetapa"</formula>
    </cfRule>
  </conditionalFormatting>
  <conditionalFormatting sqref="F2080:F2091">
    <cfRule type="expression" dxfId="8725" priority="6077">
      <formula>$B2080="Subetapa"</formula>
    </cfRule>
  </conditionalFormatting>
  <conditionalFormatting sqref="F2093:F2104">
    <cfRule type="expression" dxfId="8724" priority="6073">
      <formula>$B2093="Subetapa"</formula>
    </cfRule>
  </conditionalFormatting>
  <conditionalFormatting sqref="F2115:F2118">
    <cfRule type="expression" dxfId="8723" priority="6068">
      <formula>$B2115="Subetapa"</formula>
    </cfRule>
  </conditionalFormatting>
  <conditionalFormatting sqref="F2122:F2125">
    <cfRule type="expression" dxfId="8722" priority="6064">
      <formula>$B2122="Subetapa"</formula>
    </cfRule>
  </conditionalFormatting>
  <conditionalFormatting sqref="F2129:F2132">
    <cfRule type="expression" dxfId="8721" priority="6060">
      <formula>$B2129="Subetapa"</formula>
    </cfRule>
  </conditionalFormatting>
  <conditionalFormatting sqref="F2136:F2139">
    <cfRule type="expression" dxfId="8720" priority="6056">
      <formula>$B2136="Subetapa"</formula>
    </cfRule>
  </conditionalFormatting>
  <conditionalFormatting sqref="F815:F821">
    <cfRule type="expression" dxfId="8719" priority="9645">
      <formula>$B815="Serviço"</formula>
    </cfRule>
    <cfRule type="expression" dxfId="8718" priority="9646">
      <formula>$B815="Subetapa"</formula>
    </cfRule>
  </conditionalFormatting>
  <conditionalFormatting sqref="F816:F823">
    <cfRule type="expression" dxfId="8717" priority="9639">
      <formula>$B816="Serviço"</formula>
    </cfRule>
    <cfRule type="expression" dxfId="8716" priority="9640">
      <formula>$B816="Subetapa"</formula>
    </cfRule>
  </conditionalFormatting>
  <conditionalFormatting sqref="F1177:F1183">
    <cfRule type="expression" dxfId="8715" priority="9579">
      <formula>$B1177="Subetapa"</formula>
    </cfRule>
  </conditionalFormatting>
  <conditionalFormatting sqref="F1184:F1185">
    <cfRule type="expression" dxfId="8714" priority="9577">
      <formula>$B1184="Subetapa"</formula>
    </cfRule>
  </conditionalFormatting>
  <conditionalFormatting sqref="F1200:F1206">
    <cfRule type="expression" dxfId="8713" priority="9538">
      <formula>$B1200="Subetapa"</formula>
    </cfRule>
  </conditionalFormatting>
  <conditionalFormatting sqref="F1207:F1208">
    <cfRule type="expression" dxfId="8712" priority="9536">
      <formula>$B1207="Subetapa"</formula>
    </cfRule>
  </conditionalFormatting>
  <conditionalFormatting sqref="F1218:F1219">
    <cfRule type="expression" dxfId="8711" priority="9539">
      <formula>$B1218="Subetapa"</formula>
    </cfRule>
  </conditionalFormatting>
  <conditionalFormatting sqref="F1256:F1263">
    <cfRule type="expression" dxfId="8710" priority="9501">
      <formula>$B1256="Subetapa"</formula>
    </cfRule>
  </conditionalFormatting>
  <conditionalFormatting sqref="F1264:F1265">
    <cfRule type="expression" dxfId="8709" priority="9499">
      <formula>$B1264="Subetapa"</formula>
    </cfRule>
  </conditionalFormatting>
  <conditionalFormatting sqref="F1302:F1308">
    <cfRule type="expression" dxfId="8708" priority="9486">
      <formula>$B1302="Subetapa"</formula>
    </cfRule>
  </conditionalFormatting>
  <conditionalFormatting sqref="F1302:F1310">
    <cfRule type="expression" dxfId="8707" priority="9485">
      <formula>$B1302="Serviço"</formula>
    </cfRule>
  </conditionalFormatting>
  <conditionalFormatting sqref="F1309:F1310">
    <cfRule type="expression" dxfId="8706" priority="9484">
      <formula>$B1309="Subetapa"</formula>
    </cfRule>
  </conditionalFormatting>
  <conditionalFormatting sqref="F1312:F1319">
    <cfRule type="expression" dxfId="8705" priority="9483">
      <formula>$B1312="Subetapa"</formula>
    </cfRule>
  </conditionalFormatting>
  <conditionalFormatting sqref="F1320:F1321">
    <cfRule type="expression" dxfId="8704" priority="9481">
      <formula>$B1320="Subetapa"</formula>
    </cfRule>
  </conditionalFormatting>
  <conditionalFormatting sqref="F1358:F1359">
    <cfRule type="expression" dxfId="8703" priority="9534">
      <formula>$B1358="Serviço"</formula>
    </cfRule>
  </conditionalFormatting>
  <conditionalFormatting sqref="F1358:F1360">
    <cfRule type="expression" dxfId="8702" priority="9535">
      <formula>$B1358="Subetapa"</formula>
    </cfRule>
  </conditionalFormatting>
  <conditionalFormatting sqref="F1360">
    <cfRule type="expression" dxfId="8701" priority="9544">
      <formula>$B1360="Serviço"</formula>
    </cfRule>
  </conditionalFormatting>
  <conditionalFormatting sqref="F1361">
    <cfRule type="expression" dxfId="8700" priority="9532">
      <formula>$B1361="Subetapa"</formula>
    </cfRule>
    <cfRule type="expression" dxfId="8699" priority="9533">
      <formula>$B1361="Serviço"</formula>
    </cfRule>
  </conditionalFormatting>
  <conditionalFormatting sqref="F1364:F1365">
    <cfRule type="expression" dxfId="8698" priority="9529">
      <formula>$B1364="Serviço"</formula>
    </cfRule>
  </conditionalFormatting>
  <conditionalFormatting sqref="F1364:F1366">
    <cfRule type="expression" dxfId="8697" priority="9530">
      <formula>$B1364="Subetapa"</formula>
    </cfRule>
  </conditionalFormatting>
  <conditionalFormatting sqref="F1366">
    <cfRule type="expression" dxfId="8696" priority="9531">
      <formula>$B1366="Serviço"</formula>
    </cfRule>
  </conditionalFormatting>
  <conditionalFormatting sqref="F1367">
    <cfRule type="expression" dxfId="8695" priority="9527">
      <formula>$B1367="Subetapa"</formula>
    </cfRule>
    <cfRule type="expression" dxfId="8694" priority="9528">
      <formula>$B1367="Serviço"</formula>
    </cfRule>
  </conditionalFormatting>
  <conditionalFormatting sqref="F1369:F1371">
    <cfRule type="expression" dxfId="8693" priority="9524">
      <formula>$B1369="Serviço"</formula>
    </cfRule>
  </conditionalFormatting>
  <conditionalFormatting sqref="F1369:F1372">
    <cfRule type="expression" dxfId="8692" priority="9525">
      <formula>$B1369="Subetapa"</formula>
    </cfRule>
  </conditionalFormatting>
  <conditionalFormatting sqref="F1372">
    <cfRule type="expression" dxfId="8691" priority="9526">
      <formula>$B1372="Serviço"</formula>
    </cfRule>
  </conditionalFormatting>
  <conditionalFormatting sqref="F1373">
    <cfRule type="expression" dxfId="8690" priority="9522">
      <formula>$B1373="Subetapa"</formula>
    </cfRule>
    <cfRule type="expression" dxfId="8689" priority="9523">
      <formula>$B1373="Serviço"</formula>
    </cfRule>
  </conditionalFormatting>
  <conditionalFormatting sqref="F1376:F1382">
    <cfRule type="expression" dxfId="8688" priority="9511">
      <formula>$B1376="Subetapa"</formula>
    </cfRule>
  </conditionalFormatting>
  <conditionalFormatting sqref="F1383:F1384">
    <cfRule type="expression" dxfId="8687" priority="9509">
      <formula>$B1383="Subetapa"</formula>
    </cfRule>
  </conditionalFormatting>
  <conditionalFormatting sqref="F2225">
    <cfRule type="expression" dxfId="8686" priority="9984">
      <formula>$B2225="Serviço"</formula>
    </cfRule>
    <cfRule type="expression" dxfId="8685" priority="9985">
      <formula>$B2225="Subetapa"</formula>
    </cfRule>
  </conditionalFormatting>
  <conditionalFormatting sqref="F2227">
    <cfRule type="expression" dxfId="8684" priority="9990">
      <formula>$B2227="Serviço"</formula>
    </cfRule>
    <cfRule type="expression" dxfId="8683" priority="9991">
      <formula>$B2227="Subetapa"</formula>
    </cfRule>
  </conditionalFormatting>
  <conditionalFormatting sqref="F2229">
    <cfRule type="expression" dxfId="8682" priority="9994">
      <formula>$B2229="Serviço"</formula>
    </cfRule>
    <cfRule type="expression" dxfId="8681" priority="9995">
      <formula>$B2229="Subetapa"</formula>
    </cfRule>
  </conditionalFormatting>
  <conditionalFormatting sqref="F2231">
    <cfRule type="expression" dxfId="8680" priority="9978">
      <formula>$B2231="Serviço"</formula>
    </cfRule>
    <cfRule type="expression" dxfId="8679" priority="9979">
      <formula>$B2231="Subetapa"</formula>
    </cfRule>
  </conditionalFormatting>
  <conditionalFormatting sqref="F2235">
    <cfRule type="expression" dxfId="8678" priority="9986">
      <formula>$B2235="Serviço"</formula>
    </cfRule>
    <cfRule type="expression" dxfId="8677" priority="9987">
      <formula>$B2235="Subetapa"</formula>
    </cfRule>
  </conditionalFormatting>
  <conditionalFormatting sqref="F2332">
    <cfRule type="expression" dxfId="8676" priority="14532">
      <formula>$B2332="Subetapa"</formula>
    </cfRule>
  </conditionalFormatting>
  <conditionalFormatting sqref="F2375:F2378 F2608:F2611 F3190 F3291:F3294 F3296:F3299 F3557:F3560 F3301:F3304 F3306:F3309 F3244:F3246">
    <cfRule type="expression" dxfId="8675" priority="9424">
      <formula>$A2375="Serviço"</formula>
    </cfRule>
    <cfRule type="expression" dxfId="8674" priority="9425">
      <formula>$A2375="Subetapa"</formula>
    </cfRule>
  </conditionalFormatting>
  <conditionalFormatting sqref="F2471:F2474">
    <cfRule type="expression" dxfId="8673" priority="9369">
      <formula>$A2471="Serviço"</formula>
    </cfRule>
    <cfRule type="expression" dxfId="8672" priority="9370">
      <formula>$A2471="Subetapa"</formula>
    </cfRule>
  </conditionalFormatting>
  <conditionalFormatting sqref="F2476:F2479">
    <cfRule type="expression" dxfId="8671" priority="9337">
      <formula>$A2476="Serviço"</formula>
    </cfRule>
    <cfRule type="expression" dxfId="8670" priority="9338">
      <formula>$A2476="Subetapa"</formula>
    </cfRule>
  </conditionalFormatting>
  <conditionalFormatting sqref="F2481:F2484">
    <cfRule type="expression" dxfId="8669" priority="9340">
      <formula>$A2481="Serviço"</formula>
    </cfRule>
    <cfRule type="expression" dxfId="8668" priority="9341">
      <formula>$A2481="Subetapa"</formula>
    </cfRule>
  </conditionalFormatting>
  <conditionalFormatting sqref="F2486:F2489">
    <cfRule type="expression" dxfId="8667" priority="9364">
      <formula>$A2486="Serviço"</formula>
    </cfRule>
    <cfRule type="expression" dxfId="8666" priority="9365">
      <formula>$A2486="Subetapa"</formula>
    </cfRule>
  </conditionalFormatting>
  <conditionalFormatting sqref="F2491:F2494">
    <cfRule type="expression" dxfId="8665" priority="9351">
      <formula>$A2491="Serviço"</formula>
    </cfRule>
    <cfRule type="expression" dxfId="8664" priority="9352">
      <formula>$A2491="Subetapa"</formula>
    </cfRule>
  </conditionalFormatting>
  <conditionalFormatting sqref="F2496:F2499">
    <cfRule type="expression" dxfId="8663" priority="9354">
      <formula>$A2496="Serviço"</formula>
    </cfRule>
    <cfRule type="expression" dxfId="8662" priority="9355">
      <formula>$A2496="Subetapa"</formula>
    </cfRule>
  </conditionalFormatting>
  <conditionalFormatting sqref="F2501:F2504">
    <cfRule type="expression" dxfId="8661" priority="9342">
      <formula>$A2501="Serviço"</formula>
    </cfRule>
    <cfRule type="expression" dxfId="8660" priority="9343">
      <formula>$A2501="Subetapa"</formula>
    </cfRule>
  </conditionalFormatting>
  <conditionalFormatting sqref="F2506:F2509">
    <cfRule type="expression" dxfId="8659" priority="9345">
      <formula>$A2506="Serviço"</formula>
    </cfRule>
    <cfRule type="expression" dxfId="8658" priority="9346">
      <formula>$A2506="Subetapa"</formula>
    </cfRule>
  </conditionalFormatting>
  <conditionalFormatting sqref="F2511:F2514">
    <cfRule type="expression" dxfId="8657" priority="9357">
      <formula>$A2511="Serviço"</formula>
    </cfRule>
    <cfRule type="expression" dxfId="8656" priority="9358">
      <formula>$A2511="Subetapa"</formula>
    </cfRule>
  </conditionalFormatting>
  <conditionalFormatting sqref="F2516:F2519">
    <cfRule type="expression" dxfId="8655" priority="9360">
      <formula>$A2516="Serviço"</formula>
    </cfRule>
    <cfRule type="expression" dxfId="8654" priority="9361">
      <formula>$A2516="Subetapa"</formula>
    </cfRule>
  </conditionalFormatting>
  <conditionalFormatting sqref="F2521:F2524">
    <cfRule type="expression" dxfId="8653" priority="9349">
      <formula>$A2521="Serviço"</formula>
    </cfRule>
    <cfRule type="expression" dxfId="8652" priority="9350">
      <formula>$A2521="Subetapa"</formula>
    </cfRule>
  </conditionalFormatting>
  <conditionalFormatting sqref="F2815:F2816">
    <cfRule type="expression" dxfId="8651" priority="9284">
      <formula>$B2815="Subetapa"</formula>
    </cfRule>
  </conditionalFormatting>
  <conditionalFormatting sqref="F3486:F3489">
    <cfRule type="expression" dxfId="8650" priority="9121">
      <formula>$A3486="Serviço"</formula>
    </cfRule>
    <cfRule type="expression" dxfId="8649" priority="9122">
      <formula>$A3486="Subetapa"</formula>
    </cfRule>
  </conditionalFormatting>
  <conditionalFormatting sqref="F3491:F3494">
    <cfRule type="expression" dxfId="8648" priority="9118">
      <formula>$A3491="Serviço"</formula>
    </cfRule>
    <cfRule type="expression" dxfId="8647" priority="9119">
      <formula>$A3491="Subetapa"</formula>
    </cfRule>
  </conditionalFormatting>
  <conditionalFormatting sqref="F3496:F3499">
    <cfRule type="expression" dxfId="8646" priority="9111">
      <formula>$A3496="Serviço"</formula>
    </cfRule>
    <cfRule type="expression" dxfId="8645" priority="9112">
      <formula>$A3496="Subetapa"</formula>
    </cfRule>
  </conditionalFormatting>
  <conditionalFormatting sqref="F3506:F3509">
    <cfRule type="expression" dxfId="8644" priority="9185">
      <formula>$A3506="Serviço"</formula>
    </cfRule>
    <cfRule type="expression" dxfId="8643" priority="9186">
      <formula>$A3506="Subetapa"</formula>
    </cfRule>
  </conditionalFormatting>
  <conditionalFormatting sqref="F3516:F3519">
    <cfRule type="expression" dxfId="8642" priority="9078">
      <formula>$A3516="Serviço"</formula>
    </cfRule>
    <cfRule type="expression" dxfId="8641" priority="9079">
      <formula>$A3516="Subetapa"</formula>
    </cfRule>
  </conditionalFormatting>
  <conditionalFormatting sqref="F3521:F3524">
    <cfRule type="expression" dxfId="8640" priority="9096">
      <formula>$A3521="Serviço"</formula>
    </cfRule>
    <cfRule type="expression" dxfId="8639" priority="9097">
      <formula>$A3521="Subetapa"</formula>
    </cfRule>
  </conditionalFormatting>
  <conditionalFormatting sqref="F3526:F3529">
    <cfRule type="expression" dxfId="8638" priority="9100">
      <formula>$A3526="Serviço"</formula>
    </cfRule>
    <cfRule type="expression" dxfId="8637" priority="9101">
      <formula>$A3526="Subetapa"</formula>
    </cfRule>
  </conditionalFormatting>
  <conditionalFormatting sqref="F3531:F3534">
    <cfRule type="expression" dxfId="8636" priority="9088">
      <formula>$A3531="Serviço"</formula>
    </cfRule>
    <cfRule type="expression" dxfId="8635" priority="9089">
      <formula>$A3531="Subetapa"</formula>
    </cfRule>
  </conditionalFormatting>
  <conditionalFormatting sqref="F3536:F3539">
    <cfRule type="expression" dxfId="8634" priority="9092">
      <formula>$A3536="Serviço"</formula>
    </cfRule>
    <cfRule type="expression" dxfId="8633" priority="9093">
      <formula>$A3536="Subetapa"</formula>
    </cfRule>
  </conditionalFormatting>
  <conditionalFormatting sqref="F3541:F3544">
    <cfRule type="expression" dxfId="8632" priority="9114">
      <formula>$A3541="Serviço"</formula>
    </cfRule>
    <cfRule type="expression" dxfId="8631" priority="9115">
      <formula>$A3541="Subetapa"</formula>
    </cfRule>
  </conditionalFormatting>
  <conditionalFormatting sqref="F3846">
    <cfRule type="expression" dxfId="8630" priority="12114">
      <formula>$B3846="Subetapa"</formula>
    </cfRule>
  </conditionalFormatting>
  <conditionalFormatting sqref="F3939:F3943">
    <cfRule type="expression" dxfId="8629" priority="14236">
      <formula>$B3939="Subetapa"</formula>
    </cfRule>
  </conditionalFormatting>
  <conditionalFormatting sqref="F3980:F3981">
    <cfRule type="expression" dxfId="8628" priority="8306">
      <formula>$B3980="Subetapa"</formula>
    </cfRule>
  </conditionalFormatting>
  <conditionalFormatting sqref="F3997">
    <cfRule type="expression" dxfId="8627" priority="8234">
      <formula>$A3997="Serviço"</formula>
    </cfRule>
    <cfRule type="expression" dxfId="8626" priority="8235">
      <formula>$A3997="Subetapa"</formula>
    </cfRule>
  </conditionalFormatting>
  <conditionalFormatting sqref="F3997:F3998">
    <cfRule type="expression" dxfId="8625" priority="8236">
      <formula>$A3997="Serviço"</formula>
    </cfRule>
    <cfRule type="expression" dxfId="8624" priority="8237">
      <formula>$A3997="Subetapa"</formula>
    </cfRule>
  </conditionalFormatting>
  <conditionalFormatting sqref="F3998">
    <cfRule type="expression" dxfId="8623" priority="8244">
      <formula>$A3998="Serviço"</formula>
    </cfRule>
    <cfRule type="expression" dxfId="8622" priority="8245">
      <formula>$A3998="Subetapa"</formula>
    </cfRule>
  </conditionalFormatting>
  <conditionalFormatting sqref="F4000">
    <cfRule type="expression" dxfId="8621" priority="8248">
      <formula>$A4000="Serviço"</formula>
    </cfRule>
    <cfRule type="expression" dxfId="8620" priority="8249">
      <formula>$A4000="Subetapa"</formula>
    </cfRule>
  </conditionalFormatting>
  <conditionalFormatting sqref="F4000:F4001">
    <cfRule type="expression" dxfId="8619" priority="8250">
      <formula>$A4000="Serviço"</formula>
    </cfRule>
    <cfRule type="expression" dxfId="8618" priority="8251">
      <formula>$A4000="Subetapa"</formula>
    </cfRule>
  </conditionalFormatting>
  <conditionalFormatting sqref="F4001">
    <cfRule type="expression" dxfId="8617" priority="8258">
      <formula>$A4001="Serviço"</formula>
    </cfRule>
    <cfRule type="expression" dxfId="8616" priority="8259">
      <formula>$A4001="Subetapa"</formula>
    </cfRule>
  </conditionalFormatting>
  <conditionalFormatting sqref="F4003">
    <cfRule type="expression" dxfId="8615" priority="8278">
      <formula>$A4003="Serviço"</formula>
    </cfRule>
    <cfRule type="expression" dxfId="8614" priority="8279">
      <formula>$A4003="Subetapa"</formula>
    </cfRule>
    <cfRule type="expression" dxfId="8613" priority="8297">
      <formula>$A4003="Serviço"</formula>
    </cfRule>
    <cfRule type="expression" dxfId="8612" priority="8298">
      <formula>$A4003="Subetapa"</formula>
    </cfRule>
  </conditionalFormatting>
  <conditionalFormatting sqref="F4005:F4006">
    <cfRule type="expression" dxfId="8611" priority="8192">
      <formula>$A4005="Serviço"</formula>
    </cfRule>
    <cfRule type="expression" dxfId="8610" priority="8193">
      <formula>$A4005="Subetapa"</formula>
    </cfRule>
  </conditionalFormatting>
  <conditionalFormatting sqref="F4006">
    <cfRule type="expression" dxfId="8609" priority="8190">
      <formula>$A4006="Serviço"</formula>
    </cfRule>
    <cfRule type="expression" dxfId="8608" priority="8191">
      <formula>$A4006="Subetapa"</formula>
    </cfRule>
  </conditionalFormatting>
  <conditionalFormatting sqref="F4008:F4009">
    <cfRule type="expression" dxfId="8607" priority="8199">
      <formula>$A4008="Serviço"</formula>
    </cfRule>
    <cfRule type="expression" dxfId="8606" priority="8200">
      <formula>$A4008="Subetapa"</formula>
    </cfRule>
  </conditionalFormatting>
  <conditionalFormatting sqref="F4009">
    <cfRule type="expression" dxfId="8605" priority="8197">
      <formula>$A4009="Serviço"</formula>
    </cfRule>
    <cfRule type="expression" dxfId="8604" priority="8198">
      <formula>$A4009="Subetapa"</formula>
    </cfRule>
  </conditionalFormatting>
  <conditionalFormatting sqref="F4011:F4012">
    <cfRule type="expression" dxfId="8603" priority="8206">
      <formula>$A4011="Serviço"</formula>
    </cfRule>
    <cfRule type="expression" dxfId="8602" priority="8207">
      <formula>$A4011="Subetapa"</formula>
    </cfRule>
  </conditionalFormatting>
  <conditionalFormatting sqref="F4012">
    <cfRule type="expression" dxfId="8601" priority="8204">
      <formula>$A4012="Serviço"</formula>
    </cfRule>
    <cfRule type="expression" dxfId="8600" priority="8205">
      <formula>$A4012="Subetapa"</formula>
    </cfRule>
  </conditionalFormatting>
  <conditionalFormatting sqref="F4014:F4015">
    <cfRule type="expression" dxfId="8599" priority="8213">
      <formula>$A4014="Serviço"</formula>
    </cfRule>
    <cfRule type="expression" dxfId="8598" priority="8214">
      <formula>$A4014="Subetapa"</formula>
    </cfRule>
  </conditionalFormatting>
  <conditionalFormatting sqref="F4015">
    <cfRule type="expression" dxfId="8597" priority="8211">
      <formula>$A4015="Serviço"</formula>
    </cfRule>
    <cfRule type="expression" dxfId="8596" priority="8212">
      <formula>$A4015="Subetapa"</formula>
    </cfRule>
  </conditionalFormatting>
  <conditionalFormatting sqref="F4017:F4018">
    <cfRule type="expression" dxfId="8595" priority="8220">
      <formula>$A4017="Serviço"</formula>
    </cfRule>
    <cfRule type="expression" dxfId="8594" priority="8221">
      <formula>$A4017="Subetapa"</formula>
    </cfRule>
  </conditionalFormatting>
  <conditionalFormatting sqref="F4018">
    <cfRule type="expression" dxfId="8593" priority="8218">
      <formula>$A4018="Serviço"</formula>
    </cfRule>
    <cfRule type="expression" dxfId="8592" priority="8219">
      <formula>$A4018="Subetapa"</formula>
    </cfRule>
  </conditionalFormatting>
  <conditionalFormatting sqref="F4020:F4021">
    <cfRule type="expression" dxfId="8591" priority="8227">
      <formula>$A4020="Serviço"</formula>
    </cfRule>
    <cfRule type="expression" dxfId="8590" priority="8228">
      <formula>$A4020="Subetapa"</formula>
    </cfRule>
  </conditionalFormatting>
  <conditionalFormatting sqref="F4021">
    <cfRule type="expression" dxfId="8589" priority="8225">
      <formula>$A4021="Serviço"</formula>
    </cfRule>
    <cfRule type="expression" dxfId="8588" priority="8226">
      <formula>$A4021="Subetapa"</formula>
    </cfRule>
  </conditionalFormatting>
  <conditionalFormatting sqref="F4042:F4043">
    <cfRule type="expression" dxfId="8587" priority="7850">
      <formula>$A4042="Serviço"</formula>
    </cfRule>
    <cfRule type="expression" dxfId="8586" priority="7851">
      <formula>$A4042="Subetapa"</formula>
    </cfRule>
  </conditionalFormatting>
  <conditionalFormatting sqref="F4043">
    <cfRule type="expression" dxfId="8585" priority="7848">
      <formula>$A4043="Serviço"</formula>
    </cfRule>
    <cfRule type="expression" dxfId="8584" priority="7849">
      <formula>$A4043="Subetapa"</formula>
    </cfRule>
  </conditionalFormatting>
  <conditionalFormatting sqref="F4055">
    <cfRule type="expression" dxfId="8583" priority="7855">
      <formula>$A4055="Serviço"</formula>
    </cfRule>
    <cfRule type="expression" dxfId="8582" priority="7856">
      <formula>$A4055="Subetapa"</formula>
    </cfRule>
  </conditionalFormatting>
  <conditionalFormatting sqref="F4055:F4056">
    <cfRule type="expression" dxfId="8581" priority="7857">
      <formula>$A4055="Serviço"</formula>
    </cfRule>
    <cfRule type="expression" dxfId="8580" priority="7858">
      <formula>$A4055="Subetapa"</formula>
    </cfRule>
  </conditionalFormatting>
  <conditionalFormatting sqref="F4056">
    <cfRule type="expression" dxfId="8579" priority="7865">
      <formula>$A4056="Serviço"</formula>
    </cfRule>
    <cfRule type="expression" dxfId="8578" priority="7866">
      <formula>$A4056="Subetapa"</formula>
    </cfRule>
  </conditionalFormatting>
  <conditionalFormatting sqref="F4801">
    <cfRule type="expression" dxfId="8577" priority="7614" stopIfTrue="1">
      <formula>$B4801="complemento do insumo"</formula>
    </cfRule>
    <cfRule type="expression" dxfId="8576" priority="7615" stopIfTrue="1">
      <formula>$B4801="insumo"</formula>
    </cfRule>
  </conditionalFormatting>
  <conditionalFormatting sqref="F4837:F4838">
    <cfRule type="expression" dxfId="8575" priority="13911">
      <formula>$B4837="Subetapa"</formula>
    </cfRule>
  </conditionalFormatting>
  <conditionalFormatting sqref="F4942:F4965">
    <cfRule type="expression" dxfId="8574" priority="14224">
      <formula>$B4942="Subetapa"</formula>
    </cfRule>
  </conditionalFormatting>
  <conditionalFormatting sqref="F2007">
    <cfRule type="expression" dxfId="8573" priority="7043">
      <formula>$B2007="Subetapa"</formula>
    </cfRule>
  </conditionalFormatting>
  <conditionalFormatting sqref="G3065:H3065 G3069:H3069 G3073:H3073 G3077:H3077 G3081:H3081 G3085:H3085">
    <cfRule type="expression" dxfId="8572" priority="6267">
      <formula>$B3065="Subetapa"</formula>
    </cfRule>
  </conditionalFormatting>
  <conditionalFormatting sqref="G271:H271 G273:H273">
    <cfRule type="expression" dxfId="8571" priority="5886">
      <formula>$B271="Serviço"</formula>
    </cfRule>
    <cfRule type="expression" dxfId="8570" priority="5887">
      <formula>$B271="Subetapa"</formula>
    </cfRule>
  </conditionalFormatting>
  <conditionalFormatting sqref="G287:H287 G289:H289 G291:H291 G293:H293 G295:H295">
    <cfRule type="expression" dxfId="8569" priority="5890">
      <formula>$B287="Serviço"</formula>
    </cfRule>
    <cfRule type="expression" dxfId="8568" priority="5891">
      <formula>$B287="Subetapa"</formula>
    </cfRule>
  </conditionalFormatting>
  <conditionalFormatting sqref="G297:H297">
    <cfRule type="expression" dxfId="8567" priority="5884">
      <formula>$B297="Serviço"</formula>
    </cfRule>
    <cfRule type="expression" dxfId="8566"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65" priority="6278">
      <formula>$B263="Subetapa"</formula>
    </cfRule>
  </conditionalFormatting>
  <conditionalFormatting sqref="G461:H461">
    <cfRule type="expression" dxfId="8564" priority="5882">
      <formula>$B461="Serviço"</formula>
    </cfRule>
    <cfRule type="expression" dxfId="8563" priority="5883">
      <formula>$B461="Subetapa"</formula>
    </cfRule>
  </conditionalFormatting>
  <conditionalFormatting sqref="G473:H473">
    <cfRule type="expression" dxfId="8562" priority="5880">
      <formula>$B473="Serviço"</formula>
    </cfRule>
    <cfRule type="expression" dxfId="8561" priority="5881">
      <formula>$B473="Subetapa"</formula>
    </cfRule>
  </conditionalFormatting>
  <conditionalFormatting sqref="G500:H500">
    <cfRule type="expression" dxfId="8560" priority="5878">
      <formula>$B500="Serviço"</formula>
    </cfRule>
    <cfRule type="expression" dxfId="8559" priority="5879">
      <formula>$B500="Subetapa"</formula>
    </cfRule>
  </conditionalFormatting>
  <conditionalFormatting sqref="G621:H621 G627:H627 G632:H632 G637:H637">
    <cfRule type="expression" dxfId="8558" priority="5876">
      <formula>$B621="Serviço"</formula>
    </cfRule>
    <cfRule type="expression" dxfId="8557" priority="5877">
      <formula>$B621="Subetapa"</formula>
    </cfRule>
  </conditionalFormatting>
  <conditionalFormatting sqref="G661:H661">
    <cfRule type="expression" dxfId="8556" priority="5874">
      <formula>$B661="Serviço"</formula>
    </cfRule>
  </conditionalFormatting>
  <conditionalFormatting sqref="G661:H661">
    <cfRule type="expression" dxfId="8555" priority="5875">
      <formula>$B661="Subetapa"</formula>
    </cfRule>
  </conditionalFormatting>
  <conditionalFormatting sqref="G738:H738">
    <cfRule type="expression" dxfId="8554" priority="5872">
      <formula>$B738="Serviço"</formula>
    </cfRule>
    <cfRule type="expression" dxfId="8553" priority="5873">
      <formula>$B738="Subetapa"</formula>
    </cfRule>
  </conditionalFormatting>
  <conditionalFormatting sqref="G759:H759">
    <cfRule type="expression" dxfId="8552" priority="5870">
      <formula>$B759="Serviço"</formula>
    </cfRule>
    <cfRule type="expression" dxfId="8551" priority="5871">
      <formula>$B759="Subetapa"</formula>
    </cfRule>
  </conditionalFormatting>
  <conditionalFormatting sqref="G779:H779">
    <cfRule type="expression" dxfId="8550" priority="5892">
      <formula>$B779="Serviço"</formula>
    </cfRule>
    <cfRule type="expression" dxfId="8549" priority="5893">
      <formula>$B779="Subetapa"</formula>
    </cfRule>
  </conditionalFormatting>
  <conditionalFormatting sqref="G801:H801">
    <cfRule type="expression" dxfId="8548" priority="6197">
      <formula>$B801="Subetapa"</formula>
    </cfRule>
  </conditionalFormatting>
  <conditionalFormatting sqref="G814:H814 G824:H824 G826:H826">
    <cfRule type="expression" dxfId="8547" priority="5868">
      <formula>$B814="Serviço"</formula>
    </cfRule>
    <cfRule type="expression" dxfId="8546" priority="5869">
      <formula>$B814="Subetapa"</formula>
    </cfRule>
  </conditionalFormatting>
  <conditionalFormatting sqref="G835:H835 G837:H837">
    <cfRule type="expression" dxfId="8545" priority="5866">
      <formula>$B835="Serviço"</formula>
    </cfRule>
    <cfRule type="expression" dxfId="8544" priority="5867">
      <formula>$B835="Subetapa"</formula>
    </cfRule>
  </conditionalFormatting>
  <conditionalFormatting sqref="G843:H843 G845:H845 G847:H847">
    <cfRule type="expression" dxfId="8543" priority="6226">
      <formula>$B843="Subetapa"</formula>
    </cfRule>
  </conditionalFormatting>
  <conditionalFormatting sqref="G852:H852 G854:H854 G856:H856 G858:H858">
    <cfRule type="expression" dxfId="8542" priority="6199">
      <formula>$B852="Subetapa"</formula>
    </cfRule>
  </conditionalFormatting>
  <conditionalFormatting sqref="G861:H861">
    <cfRule type="expression" dxfId="8541" priority="6196">
      <formula>$B861="Subetapa"</formula>
    </cfRule>
  </conditionalFormatting>
  <conditionalFormatting sqref="G864:H864 G867:H867 G870:H870 G873:H873 G876:H876">
    <cfRule type="expression" dxfId="8540" priority="6279">
      <formula>$B864="Subetapa"</formula>
    </cfRule>
  </conditionalFormatting>
  <conditionalFormatting sqref="G879:H879 G882:H882">
    <cfRule type="expression" dxfId="8539" priority="5862">
      <formula>$B879="Serviço"</formula>
    </cfRule>
    <cfRule type="expression" dxfId="8538" priority="5863">
      <formula>$B879="Subetapa"</formula>
    </cfRule>
  </conditionalFormatting>
  <conditionalFormatting sqref="G894:H894">
    <cfRule type="expression" dxfId="8537" priority="6805">
      <formula>$B894="Serviço"</formula>
    </cfRule>
    <cfRule type="expression" dxfId="8536" priority="6806">
      <formula>$B894="Subetapa"</formula>
    </cfRule>
  </conditionalFormatting>
  <conditionalFormatting sqref="G897:H897 G900:H900 G903:H903 G908:H908 G911:H911 G914:H914">
    <cfRule type="expression" dxfId="8535" priority="5900">
      <formula>$B897="Subetapa"</formula>
    </cfRule>
  </conditionalFormatting>
  <conditionalFormatting sqref="G918:H918 G921:H921 G924:H924 G927:H927">
    <cfRule type="expression" dxfId="8534" priority="5896">
      <formula>$B918="Serviço"</formula>
    </cfRule>
    <cfRule type="expression" dxfId="8533" priority="5897">
      <formula>$B918="Subetapa"</formula>
    </cfRule>
  </conditionalFormatting>
  <conditionalFormatting sqref="G931:H931 G934:H934 G937:H937 G940:H940">
    <cfRule type="expression" dxfId="8532" priority="5898">
      <formula>$B931="Serviço"</formula>
    </cfRule>
    <cfRule type="expression" dxfId="8531" priority="5899">
      <formula>$B931="Subetapa"</formula>
    </cfRule>
  </conditionalFormatting>
  <conditionalFormatting sqref="G944:H944 G947:H947 G950:H950 G953:H953 G957:H957 G960:H960">
    <cfRule type="expression" dxfId="8530" priority="5968">
      <formula>$B944="Subetapa"</formula>
    </cfRule>
  </conditionalFormatting>
  <conditionalFormatting sqref="G964:H964 G967:H967 G971:H971 G974:H974 G977:H977 G981:H981">
    <cfRule type="expression" dxfId="8529" priority="5966">
      <formula>$B964="Subetapa"</formula>
    </cfRule>
  </conditionalFormatting>
  <conditionalFormatting sqref="G1169:H1169 G1171:H1171 G1173:H1173">
    <cfRule type="expression" dxfId="8528" priority="6232">
      <formula>$B1169="Subetapa"</formula>
    </cfRule>
  </conditionalFormatting>
  <conditionalFormatting sqref="G1175:H1175">
    <cfRule type="expression" dxfId="8527" priority="5858">
      <formula>$B1175="Serviço"</formula>
    </cfRule>
    <cfRule type="expression" dxfId="8526"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5"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4" priority="6809">
      <formula>$B1198="Serviço"</formula>
    </cfRule>
  </conditionalFormatting>
  <conditionalFormatting sqref="G1300:H1300">
    <cfRule type="expression" dxfId="8523" priority="6798">
      <formula>$B1300="Subetapa"</formula>
    </cfRule>
  </conditionalFormatting>
  <conditionalFormatting sqref="G1356:H1356 G1362:H1362 G1368:H1368">
    <cfRule type="expression" dxfId="8522" priority="5854">
      <formula>$B1356="Subetapa"</formula>
    </cfRule>
  </conditionalFormatting>
  <conditionalFormatting sqref="G1311:H1311">
    <cfRule type="expression" dxfId="8521" priority="6799">
      <formula>$B1311="Subetapa"</formula>
    </cfRule>
  </conditionalFormatting>
  <conditionalFormatting sqref="G1322:H1322">
    <cfRule type="expression" dxfId="8520" priority="6800">
      <formula>$B1322="Subetapa"</formula>
    </cfRule>
  </conditionalFormatting>
  <conditionalFormatting sqref="G1333:H1333">
    <cfRule type="expression" dxfId="8519" priority="6801">
      <formula>$B1333="Subetapa"</formula>
    </cfRule>
  </conditionalFormatting>
  <conditionalFormatting sqref="G1344:H1344">
    <cfRule type="expression" dxfId="8518" priority="6797">
      <formula>$B1344="Subetapa"</formula>
    </cfRule>
  </conditionalFormatting>
  <conditionalFormatting sqref="G1356:H1356 G1362:H1362 G1368:H1368 G1374:H1374">
    <cfRule type="expression" dxfId="8517" priority="5894">
      <formula>$B1356="Serviço"</formula>
    </cfRule>
  </conditionalFormatting>
  <conditionalFormatting sqref="G1374:H1374">
    <cfRule type="expression" dxfId="8516" priority="5895">
      <formula>$B1374="Subetapa"</formula>
    </cfRule>
  </conditionalFormatting>
  <conditionalFormatting sqref="G1548:H1548">
    <cfRule type="expression" dxfId="8515" priority="7057">
      <formula>$B1548="Subetapa"</formula>
    </cfRule>
  </conditionalFormatting>
  <conditionalFormatting sqref="G1559:H1559 G1570:H1570 G1581:H1581 G1592:H1592 G1603:H1603 G1614:H1614 G1626:H1626">
    <cfRule type="expression" dxfId="8514" priority="6154">
      <formula>$B1559="Subetapa"</formula>
    </cfRule>
  </conditionalFormatting>
  <conditionalFormatting sqref="G1638:H1638">
    <cfRule type="expression" dxfId="8513"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2" priority="6144">
      <formula>$B1650="Subetapa"</formula>
    </cfRule>
  </conditionalFormatting>
  <conditionalFormatting sqref="G1880:H1880">
    <cfRule type="expression" dxfId="8511" priority="6130">
      <formula>$B1880="Subetapa"</formula>
    </cfRule>
  </conditionalFormatting>
  <conditionalFormatting sqref="F1871:F1879">
    <cfRule type="expression" dxfId="8510" priority="7051">
      <formula>$B1871="Subetapa"</formula>
    </cfRule>
  </conditionalFormatting>
  <conditionalFormatting sqref="G1892:H1892">
    <cfRule type="expression" dxfId="8509" priority="6134">
      <formula>$B1892="Subetapa"</formula>
    </cfRule>
  </conditionalFormatting>
  <conditionalFormatting sqref="G1905:H1905">
    <cfRule type="expression" dxfId="8508" priority="7048">
      <formula>$B1905="Subetapa"</formula>
    </cfRule>
  </conditionalFormatting>
  <conditionalFormatting sqref="F1933:F1941">
    <cfRule type="expression" dxfId="8507" priority="7037">
      <formula>$B1933="Subetapa"</formula>
    </cfRule>
  </conditionalFormatting>
  <conditionalFormatting sqref="F1946:F1954">
    <cfRule type="expression" dxfId="8506" priority="7033">
      <formula>$B1946="Subetapa"</formula>
    </cfRule>
  </conditionalFormatting>
  <conditionalFormatting sqref="F1959:F1967">
    <cfRule type="expression" dxfId="8505" priority="7029">
      <formula>$B1959="Subetapa"</formula>
    </cfRule>
  </conditionalFormatting>
  <conditionalFormatting sqref="F1972:F1980">
    <cfRule type="expression" dxfId="8504" priority="7025">
      <formula>$B1972="Subetapa"</formula>
    </cfRule>
  </conditionalFormatting>
  <conditionalFormatting sqref="G2029:H2029">
    <cfRule type="expression" dxfId="8503" priority="5977">
      <formula>$B2029="Subetapa"</formula>
    </cfRule>
  </conditionalFormatting>
  <conditionalFormatting sqref="G2105:H2105 G2112:H2112">
    <cfRule type="expression" dxfId="8502" priority="6066">
      <formula>$B2105="Subetapa"</formula>
    </cfRule>
  </conditionalFormatting>
  <conditionalFormatting sqref="G2140:H2140 G2142:H2142">
    <cfRule type="expression" dxfId="8501" priority="6054">
      <formula>$B2140="Subetapa"</formula>
    </cfRule>
  </conditionalFormatting>
  <conditionalFormatting sqref="G2170:H2170 G2173:H2173 G2176:H2176 G2178:H2178">
    <cfRule type="expression" dxfId="8500"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499" priority="6175">
      <formula>$B2181="Subetapa"</formula>
    </cfRule>
  </conditionalFormatting>
  <conditionalFormatting sqref="G2212:H2212 G2214:H2214 G2216:H2216 G2219:H2219 G2221:H2221">
    <cfRule type="expression" dxfId="8498" priority="5907">
      <formula>$B2212="Subetapa"</formula>
    </cfRule>
  </conditionalFormatting>
  <conditionalFormatting sqref="G2212:H2212 G2214:H2214 G2216:H2216 G2219:H2219 G2221:H2221 G2224:H2224 G2226:H2226 G2228:H2228 G2230:H2230 G2234:H2234 G2236:H2236 G2240">
    <cfRule type="expression" dxfId="8497" priority="5909">
      <formula>$B2212="Serviço"</formula>
    </cfRule>
  </conditionalFormatting>
  <conditionalFormatting sqref="G2224:H2224 G2226:H2226 G2228:H2228 G2230:H2230 G2234:H2234 G2236:H2236 G2240">
    <cfRule type="expression" dxfId="8496" priority="5908">
      <formula>$B2224="Subetapa"</formula>
    </cfRule>
  </conditionalFormatting>
  <conditionalFormatting sqref="G2331:H2331 G2333:H2333 G2335:H2335">
    <cfRule type="expression" dxfId="8495" priority="6051">
      <formula>$B2331="Subetapa"</formula>
    </cfRule>
  </conditionalFormatting>
  <conditionalFormatting sqref="G2338:H2338 G2340:H2340">
    <cfRule type="expression" dxfId="8494" priority="5846">
      <formula>$B2338="Serviço"</formula>
    </cfRule>
    <cfRule type="expression" dxfId="8493" priority="5847">
      <formula>$B2338="Subetapa"</formula>
    </cfRule>
  </conditionalFormatting>
  <conditionalFormatting sqref="G2347:H2347">
    <cfRule type="expression" dxfId="8492" priority="5844">
      <formula>$B2347="Serviço"</formula>
    </cfRule>
    <cfRule type="expression" dxfId="8491" priority="5845">
      <formula>$B2347="Subetapa"</formula>
    </cfRule>
  </conditionalFormatting>
  <conditionalFormatting sqref="G2349:H2349">
    <cfRule type="expression" dxfId="8490" priority="5842">
      <formula>$B2349="Serviço"</formula>
    </cfRule>
    <cfRule type="expression" dxfId="8489" priority="5843">
      <formula>$B2349="Subetapa"</formula>
    </cfRule>
  </conditionalFormatting>
  <conditionalFormatting sqref="G2351:H2351 G2353:H2353">
    <cfRule type="expression" dxfId="8488" priority="6053">
      <formula>$B2351="Subetapa"</formula>
    </cfRule>
  </conditionalFormatting>
  <conditionalFormatting sqref="G2356:H2356">
    <cfRule type="expression" dxfId="8487" priority="6049">
      <formula>$B2356="Subetapa"</formula>
    </cfRule>
  </conditionalFormatting>
  <conditionalFormatting sqref="G2359:H2359 G2369:H2369 G2390:H2390 G2342:H2342 G2344:H2344 G2364:H2364 G2395:H2395 G2400:H2400 G2405:H2405 G2410:H2410 G2430:H2430">
    <cfRule type="expression" dxfId="8486" priority="6192">
      <formula>$B2342="Subetapa"</formula>
    </cfRule>
  </conditionalFormatting>
  <conditionalFormatting sqref="G2374:H2374">
    <cfRule type="expression" dxfId="8485" priority="5840">
      <formula>$B2374="Serviço"</formula>
    </cfRule>
    <cfRule type="expression" dxfId="8484" priority="5841">
      <formula>$B2374="Subetapa"</formula>
    </cfRule>
  </conditionalFormatting>
  <conditionalFormatting sqref="G2379:H2379 G2384:H2384">
    <cfRule type="expression" dxfId="8483" priority="6796">
      <formula>$B2379="Serviço"</formula>
    </cfRule>
  </conditionalFormatting>
  <conditionalFormatting sqref="G2379:H2379 G2384:H2384">
    <cfRule type="expression" dxfId="8482" priority="5838">
      <formula>$B2379="Subetapa"</formula>
    </cfRule>
  </conditionalFormatting>
  <conditionalFormatting sqref="G2435:H2435 G2440:H2440 G2445:H2445 G2450:H2450 G2455:H2455 G2460:H2460 G2465:H2465">
    <cfRule type="expression" dxfId="8481" priority="6048">
      <formula>$B2435="Subetapa"</formula>
    </cfRule>
  </conditionalFormatting>
  <conditionalFormatting sqref="G2470:H2470">
    <cfRule type="expression" dxfId="8480" priority="5837">
      <formula>$B2470="Serviço"</formula>
    </cfRule>
  </conditionalFormatting>
  <conditionalFormatting sqref="G2658:H2658 G2666:H2666">
    <cfRule type="expression" dxfId="8479" priority="5956">
      <formula>$B2658="Subetapa"</formula>
    </cfRule>
  </conditionalFormatting>
  <conditionalFormatting sqref="G2671:H2671">
    <cfRule type="expression" dxfId="8478" priority="5958">
      <formula>$B2671="Subetapa"</formula>
    </cfRule>
  </conditionalFormatting>
  <conditionalFormatting sqref="G2673:H2673">
    <cfRule type="expression" dxfId="8477" priority="5835">
      <formula>$B2673="Subetapa"</formula>
    </cfRule>
    <cfRule type="expression" dxfId="8476" priority="5836">
      <formula>$B2673="Serviço"</formula>
    </cfRule>
  </conditionalFormatting>
  <conditionalFormatting sqref="G2692:H2692 G2695:H2695 G2698:H2698 G2704:H2704 G2707:H2707 G2710:H2710 G2715:H2715 G2701:H2701">
    <cfRule type="expression" dxfId="8475" priority="5954">
      <formula>$B2692="Subetapa"</formula>
    </cfRule>
  </conditionalFormatting>
  <conditionalFormatting sqref="G2732:H2732 G2734:H2734">
    <cfRule type="expression" dxfId="8474" priority="5960">
      <formula>$B2732="Subetapa"</formula>
    </cfRule>
  </conditionalFormatting>
  <conditionalFormatting sqref="G2737:H2737 G2739:H2739 G2742:H2742 G2746:H2746 G2748:H2748 G2750:H2750 G2752:H2752 G2754:H2754">
    <cfRule type="expression" dxfId="8473" priority="5959">
      <formula>$B2737="Subetapa"</formula>
    </cfRule>
  </conditionalFormatting>
  <conditionalFormatting sqref="G2756:H2756 G2760:H2760">
    <cfRule type="expression" dxfId="8472" priority="5911">
      <formula>$B2756="Subetapa"</formula>
    </cfRule>
  </conditionalFormatting>
  <conditionalFormatting sqref="G2765:H2765">
    <cfRule type="expression" dxfId="8471" priority="5833">
      <formula>$B2765="Serviço"</formula>
    </cfRule>
    <cfRule type="expression" dxfId="8470" priority="5834">
      <formula>$B2765="Subetapa"</formula>
    </cfRule>
  </conditionalFormatting>
  <conditionalFormatting sqref="G2770:H2770 G2783:H2783 G2785:H2785 G2788:H2788 G2790:H2790 G2792:H2792 G2798:H2798 G2800:H2800 G2802:H2802 G2804:H2804">
    <cfRule type="expression" dxfId="8469" priority="6046">
      <formula>$B2770="Subetapa"</formula>
    </cfRule>
  </conditionalFormatting>
  <conditionalFormatting sqref="G2806:H2806">
    <cfRule type="expression" dxfId="8468" priority="5831">
      <formula>$B2806="Serviço"</formula>
    </cfRule>
    <cfRule type="expression" dxfId="8467" priority="5832">
      <formula>$B2806="Subetapa"</formula>
    </cfRule>
  </conditionalFormatting>
  <conditionalFormatting sqref="G2883:H2883 G3181:H3181 G3247:H3247 G3183:H3183 G3185:H3185 G3187:H3187">
    <cfRule type="expression" dxfId="8466" priority="5829">
      <formula>$B2883="Subetapa"</formula>
    </cfRule>
    <cfRule type="expression" dxfId="8465" priority="5830">
      <formula>$B2883="Serviço"</formula>
    </cfRule>
  </conditionalFormatting>
  <conditionalFormatting sqref="G2885:H2885 G2905:H2905 G2907:H2907 G2909:H2909">
    <cfRule type="expression" dxfId="8464" priority="5952">
      <formula>$B2885="Subetapa"</formula>
    </cfRule>
  </conditionalFormatting>
  <conditionalFormatting sqref="G2912:H2912 G2914:H2914 G2916:H2916 G2918:H2918">
    <cfRule type="expression" dxfId="8463" priority="6041">
      <formula>$B2912="Subetapa"</formula>
    </cfRule>
  </conditionalFormatting>
  <conditionalFormatting sqref="G2920:H2920 G2922:H2922 G2926:H2926 G2929:H2929 G2932:H2932">
    <cfRule type="expression" dxfId="8462" priority="6022">
      <formula>$B2920="Subetapa"</formula>
    </cfRule>
  </conditionalFormatting>
  <conditionalFormatting sqref="G2957:H2957">
    <cfRule type="expression" dxfId="8461" priority="6168">
      <formula>$B2957="Subetapa"</formula>
    </cfRule>
  </conditionalFormatting>
  <conditionalFormatting sqref="G3048:H3048 G3023:H3023 G3027:H3027 G3031:H3031 G3035:H3035 G3039:H3039 G3043:H3043 G3051:H3051 G3054:H3054">
    <cfRule type="expression" dxfId="8460" priority="6257">
      <formula>$B3023="Subetapa"</formula>
    </cfRule>
  </conditionalFormatting>
  <conditionalFormatting sqref="G3056:H3056 G3058:H3058 G3060:H3060 G3062:H3062">
    <cfRule type="expression" dxfId="8459" priority="5826">
      <formula>$B3056="Subetapa"</formula>
    </cfRule>
    <cfRule type="expression" dxfId="8458" priority="5827">
      <formula>$B3056="Serviço"</formula>
    </cfRule>
  </conditionalFormatting>
  <conditionalFormatting sqref="G3089:H3089 G3099:H3099 G3137:H3137 G3103:H3103 G3108:H3108 G3112:H3112 G3115:H3115 G3118:H3118 G3122:H3122 G3124:H3124">
    <cfRule type="expression" dxfId="8457" priority="6193">
      <formula>$B3089="Subetapa"</formula>
    </cfRule>
  </conditionalFormatting>
  <conditionalFormatting sqref="G3097:H3097">
    <cfRule type="expression" dxfId="8456" priority="5824">
      <formula>$B3097="Subetapa"</formula>
    </cfRule>
    <cfRule type="expression" dxfId="8455" priority="5825">
      <formula>$B3097="Serviço"</formula>
    </cfRule>
  </conditionalFormatting>
  <conditionalFormatting sqref="G3129:H3129">
    <cfRule type="expression" dxfId="8454" priority="5822">
      <formula>$B3129="Subetapa"</formula>
    </cfRule>
    <cfRule type="expression" dxfId="8453" priority="5823">
      <formula>$B3129="Serviço"</formula>
    </cfRule>
  </conditionalFormatting>
  <conditionalFormatting sqref="G3139:H3139">
    <cfRule type="expression" dxfId="8452" priority="5888">
      <formula>$B3139="Serviço"</formula>
    </cfRule>
    <cfRule type="expression" dxfId="8451" priority="5889">
      <formula>$B3139="Subetapa"</formula>
    </cfRule>
  </conditionalFormatting>
  <conditionalFormatting sqref="G3144:H3144 G3191:H3191 G3209:H3209 G3175:H3175 G3193:H3193 G3211:H3211 G3213:H3213">
    <cfRule type="expression" dxfId="8450" priority="6024">
      <formula>$B3144="Subetapa"</formula>
    </cfRule>
  </conditionalFormatting>
  <conditionalFormatting sqref="G3243:H3243">
    <cfRule type="expression" dxfId="8449" priority="6795">
      <formula>$B3243="Serviço"</formula>
    </cfRule>
  </conditionalFormatting>
  <conditionalFormatting sqref="G3350:H3350 G3355:H3355 G3360:H3360 G3365:H3365 G3370:H3370 G3375:H3375">
    <cfRule type="expression" dxfId="8448"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47" priority="6033">
      <formula>$B3380="Subetapa"</formula>
    </cfRule>
  </conditionalFormatting>
  <conditionalFormatting sqref="G3465:H3465 G3470:H3470 G3475:H3475">
    <cfRule type="expression" dxfId="8446" priority="6031">
      <formula>$B3465="Subetapa"</formula>
    </cfRule>
  </conditionalFormatting>
  <conditionalFormatting sqref="G3623:H3623">
    <cfRule type="expression" dxfId="8445" priority="6013">
      <formula>$B3623="Subetapa"</formula>
    </cfRule>
  </conditionalFormatting>
  <conditionalFormatting sqref="G3626:H3626 G3629:H3629 G3632:H3632 G3636:H3636">
    <cfRule type="expression" dxfId="8444" priority="6021">
      <formula>$B3626="Subetapa"</formula>
    </cfRule>
  </conditionalFormatting>
  <conditionalFormatting sqref="G3644:H3644 G3648:H3648 G3651:H3651 G3658:H3658">
    <cfRule type="expression" dxfId="8443" priority="6259">
      <formula>$B3644="Subetapa"</formula>
    </cfRule>
  </conditionalFormatting>
  <conditionalFormatting sqref="G3662:H3662 G3665:H3665 G3668:H3668 G3671:H3671">
    <cfRule type="expression" dxfId="8442" priority="6019">
      <formula>$B3662="Subetapa"</formula>
    </cfRule>
  </conditionalFormatting>
  <conditionalFormatting sqref="G3674:H3674">
    <cfRule type="expression" dxfId="8441" priority="5820">
      <formula>$B3674="Serviço"</formula>
    </cfRule>
    <cfRule type="expression" dxfId="8440" priority="5821">
      <formula>$B3674="Subetapa"</formula>
    </cfRule>
  </conditionalFormatting>
  <conditionalFormatting sqref="G3679:H3679">
    <cfRule type="expression" dxfId="8439" priority="6015">
      <formula>$B3679="Subetapa"</formula>
    </cfRule>
  </conditionalFormatting>
  <conditionalFormatting sqref="G3684:H3684">
    <cfRule type="expression" dxfId="8438" priority="5818">
      <formula>$B3684="Serviço"</formula>
    </cfRule>
    <cfRule type="expression" dxfId="8437" priority="5819">
      <formula>$B3684="Subetapa"</formula>
    </cfRule>
  </conditionalFormatting>
  <conditionalFormatting sqref="G3704:H3704">
    <cfRule type="expression" dxfId="8436" priority="5816">
      <formula>$B3704="Serviço"</formula>
    </cfRule>
    <cfRule type="expression" dxfId="8435" priority="5817">
      <formula>$B3704="Subetapa"</formula>
    </cfRule>
  </conditionalFormatting>
  <conditionalFormatting sqref="G3722:H3722">
    <cfRule type="expression" dxfId="8434" priority="5814">
      <formula>$B3722="Serviço"</formula>
    </cfRule>
    <cfRule type="expression" dxfId="8433"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2" priority="5950">
      <formula>$B3732="Subetapa"</formula>
    </cfRule>
  </conditionalFormatting>
  <conditionalFormatting sqref="G3795:H3795 G3797:H3797 G3799:H3799 G3801:H3801 G3803:H3803">
    <cfRule type="expression" dxfId="8431" priority="6004">
      <formula>$B3795="Subetapa"</formula>
    </cfRule>
  </conditionalFormatting>
  <conditionalFormatting sqref="G3808:H3808 G3811:H3811">
    <cfRule type="expression" dxfId="8430" priority="5812">
      <formula>$B3808="Subetapa"</formula>
    </cfRule>
    <cfRule type="expression" dxfId="8429" priority="5813">
      <formula>$B3808="Serviço"</formula>
    </cfRule>
  </conditionalFormatting>
  <conditionalFormatting sqref="G3816:H3816 G3821:H3821 G3826:H3826 G3830:H3830 G3835:H3835 G3838:H3838 G3842:H3842">
    <cfRule type="expression" dxfId="8428" priority="5945">
      <formula>$B3816="Subetapa"</formula>
    </cfRule>
  </conditionalFormatting>
  <conditionalFormatting sqref="G3846:H3846">
    <cfRule type="expression" dxfId="8427" priority="5990">
      <formula>$B3846="Subetapa"</formula>
    </cfRule>
  </conditionalFormatting>
  <conditionalFormatting sqref="G3849:H3849">
    <cfRule type="expression" dxfId="8426" priority="5988">
      <formula>$B3849="Subetapa"</formula>
    </cfRule>
  </conditionalFormatting>
  <conditionalFormatting sqref="G3859:H3859">
    <cfRule type="expression" dxfId="8425" priority="6002">
      <formula>$B3859="Subetapa"</formula>
    </cfRule>
  </conditionalFormatting>
  <conditionalFormatting sqref="G3861:G3883">
    <cfRule type="expression" dxfId="8424" priority="6001">
      <formula>$B3861="Subetapa"</formula>
    </cfRule>
  </conditionalFormatting>
  <conditionalFormatting sqref="G3894:H3894">
    <cfRule type="expression" dxfId="8423" priority="5927">
      <formula>$B3894="Subetapa"</formula>
    </cfRule>
  </conditionalFormatting>
  <conditionalFormatting sqref="G3905:H3905">
    <cfRule type="expression" dxfId="8422" priority="5924">
      <formula>$B3905="Subetapa"</formula>
    </cfRule>
  </conditionalFormatting>
  <conditionalFormatting sqref="G3916:H3916">
    <cfRule type="expression" dxfId="8421" priority="5921">
      <formula>$B3916="Subetapa"</formula>
    </cfRule>
  </conditionalFormatting>
  <conditionalFormatting sqref="G3927:H3927">
    <cfRule type="expression" dxfId="8420" priority="5919">
      <formula>$B3927="Subetapa"</formula>
    </cfRule>
  </conditionalFormatting>
  <conditionalFormatting sqref="G3938:H3938 G3943:H3943 G3945:H3945">
    <cfRule type="expression" dxfId="8419" priority="5916">
      <formula>$B3938="Subetapa"</formula>
    </cfRule>
  </conditionalFormatting>
  <conditionalFormatting sqref="G3957:H3957 G3968:H3968 G3970:H3970">
    <cfRule type="expression" dxfId="8418" priority="5914">
      <formula>$B3957="Subetapa"</formula>
    </cfRule>
  </conditionalFormatting>
  <conditionalFormatting sqref="G3975:H3975">
    <cfRule type="expression" dxfId="8417" priority="6290">
      <formula>$B3975="Subetapa"</formula>
    </cfRule>
  </conditionalFormatting>
  <conditionalFormatting sqref="G3991:H3991">
    <cfRule type="expression" dxfId="8416" priority="6794">
      <formula>$B3991="Serviço"</formula>
    </cfRule>
  </conditionalFormatting>
  <conditionalFormatting sqref="G4041:H4041 G4051:H4051 G4054:H4054">
    <cfRule type="expression" dxfId="8415" priority="5809">
      <formula>$B4041="Subetapa"</formula>
    </cfRule>
    <cfRule type="expression" dxfId="8414" priority="5810">
      <formula>$B4041="Serviço"</formula>
    </cfRule>
  </conditionalFormatting>
  <conditionalFormatting sqref="G4058:H4058 G4060:H4060 G4064:H4064 G4066:H4066">
    <cfRule type="expression" dxfId="8413" priority="6176">
      <formula>$B4058="Subetapa"</formula>
    </cfRule>
  </conditionalFormatting>
  <conditionalFormatting sqref="G4069:H4069 G4073:H4073 G4075:H4075">
    <cfRule type="expression" dxfId="8412" priority="5992">
      <formula>$B4069="Subetapa"</formula>
    </cfRule>
  </conditionalFormatting>
  <conditionalFormatting sqref="G4082:H4082 G4152:H4152 G4084:H4084 G4086:H4086 G4090:H4090 G4094:H4094 G4154:H4154 G4088:H4088">
    <cfRule type="expression" dxfId="8411" priority="6169">
      <formula>$B4082="Subetapa"</formula>
    </cfRule>
  </conditionalFormatting>
  <conditionalFormatting sqref="G4107:H4107">
    <cfRule type="expression" dxfId="8410" priority="5806">
      <formula>$B4107="Subetapa"</formula>
    </cfRule>
  </conditionalFormatting>
  <conditionalFormatting sqref="G4110:H4110 G4112:H4112">
    <cfRule type="expression" dxfId="8409" priority="6245">
      <formula>$B4110="Subetapa"</formula>
    </cfRule>
  </conditionalFormatting>
  <conditionalFormatting sqref="G4114:H4114">
    <cfRule type="expression" dxfId="8408" priority="5803">
      <formula>$B4114="Subetapa"</formula>
    </cfRule>
  </conditionalFormatting>
  <conditionalFormatting sqref="G4122:H4122">
    <cfRule type="expression" dxfId="8407" priority="5804">
      <formula>$B4122="Serviço"</formula>
    </cfRule>
    <cfRule type="expression" dxfId="8406" priority="5805">
      <formula>$B4122="Subetapa"</formula>
    </cfRule>
  </conditionalFormatting>
  <conditionalFormatting sqref="G4125:H4125 G4127:H4127 G4129:H4129 G4131:H4131 G4133:H4133">
    <cfRule type="expression" dxfId="8405" priority="6010">
      <formula>$B4125="Subetapa"</formula>
    </cfRule>
  </conditionalFormatting>
  <conditionalFormatting sqref="G4160:H4160">
    <cfRule type="expression" dxfId="8404" priority="5801">
      <formula>$B4160="Serviço"</formula>
    </cfRule>
    <cfRule type="expression" dxfId="8403" priority="5802">
      <formula>$B4160="Subetapa"</formula>
    </cfRule>
  </conditionalFormatting>
  <conditionalFormatting sqref="G4205:H4205 G4236:H4236 G4238:H4238 G4240:H4240 G4243:H4243">
    <cfRule type="expression" dxfId="8402" priority="6952">
      <formula>$B4205="Subetapa"</formula>
    </cfRule>
  </conditionalFormatting>
  <conditionalFormatting sqref="G4245:H4245 G4247:H4247">
    <cfRule type="expression" dxfId="8401" priority="5799">
      <formula>$B4245="Serviço"</formula>
    </cfRule>
    <cfRule type="expression" dxfId="8400" priority="5800">
      <formula>$B4245="Subetapa"</formula>
    </cfRule>
  </conditionalFormatting>
  <conditionalFormatting sqref="G4292:H4292 G4294:H4294 G4296:H4296 G4298:H4298 G4300:H4300">
    <cfRule type="expression" dxfId="8399" priority="5975">
      <formula>$B4292="Subetapa"</formula>
    </cfRule>
  </conditionalFormatting>
  <conditionalFormatting sqref="G4323:H4323 G4328:H4328 G4333:H4333 G4338:H4338 G4343:H4343 G4348:H4348 G4353:H4353 G4358:H4358 G4361:H4361 G4366:H4366 G4371:H4371">
    <cfRule type="expression" dxfId="8398" priority="5983">
      <formula>$B4323="Subetapa"</formula>
    </cfRule>
  </conditionalFormatting>
  <conditionalFormatting sqref="G4373:H4373 G4388:H4388 G4393:H4393 G4398:H4398">
    <cfRule type="expression" dxfId="8397" priority="5797">
      <formula>$B4373="Subetapa"</formula>
    </cfRule>
    <cfRule type="expression" dxfId="8396" priority="5798">
      <formula>$B4373="Serviço"</formula>
    </cfRule>
  </conditionalFormatting>
  <conditionalFormatting sqref="G4404:H4404 G4408:H4408 G4412:H4412 G4417:H4417 G4422:H4422">
    <cfRule type="expression" dxfId="8395" priority="5987">
      <formula>$B4404="Subetapa"</formula>
    </cfRule>
  </conditionalFormatting>
  <conditionalFormatting sqref="G4428:H4428 G4433:H4433 G4438:H4438 G4440:H4440 G4443:H4443 G4447:H4447 G4455:H4455 G4458:H4458 G4461:H4461">
    <cfRule type="expression" dxfId="8394" priority="6180">
      <formula>$B4428="Subetapa"</formula>
    </cfRule>
  </conditionalFormatting>
  <conditionalFormatting sqref="G4464:H4464 G4467:H4467 G4471:H4471 G4475:H4475 G4479:H4479 G4481:H4481 G4483:H4483 G4486:H4486 G4489:H4489 G4492:H4492 H4493:H4503">
    <cfRule type="expression" dxfId="8393" priority="7069">
      <formula>$B4464="Subetapa"</formula>
    </cfRule>
  </conditionalFormatting>
  <conditionalFormatting sqref="G4574:H4574 G4576:H4576 G4578:H4578">
    <cfRule type="expression" dxfId="8392" priority="5986">
      <formula>$B4574="Subetapa"</formula>
    </cfRule>
  </conditionalFormatting>
  <conditionalFormatting sqref="G4686:H4686 G4689:H4689 G4691:H4691 G4693:H4693 G4695:H4695 G4698:H4698">
    <cfRule type="expression" dxfId="8391" priority="5795">
      <formula>$B4686="Subetapa"</formula>
    </cfRule>
    <cfRule type="expression" dxfId="8390" priority="5796">
      <formula>$B4686="Serviço"</formula>
    </cfRule>
  </conditionalFormatting>
  <conditionalFormatting sqref="G4701:H4701">
    <cfRule type="expression" dxfId="8389"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88" priority="6262">
      <formula>$B4723="Subetapa"</formula>
    </cfRule>
  </conditionalFormatting>
  <conditionalFormatting sqref="G4801:H4801">
    <cfRule type="expression" dxfId="8387" priority="5793">
      <formula>$B4801="Serviço"</formula>
    </cfRule>
    <cfRule type="expression" dxfId="8386" priority="5794">
      <formula>$B4801="Subetapa"</formula>
    </cfRule>
  </conditionalFormatting>
  <conditionalFormatting sqref="G4878:H4878 G4923:H4923 G4880:H4880 G4884:H4884 G4888:H4888 G4894:H4894 G4900:H4900 G4906:H4906 G4912:H4912 G4928:H4928">
    <cfRule type="expression" dxfId="8385" priority="6237">
      <formula>$B4878="Subetapa"</formula>
    </cfRule>
  </conditionalFormatting>
  <conditionalFormatting sqref="G4918:H4918">
    <cfRule type="expression" dxfId="8384" priority="5791">
      <formula>$B4918="Serviço"</formula>
    </cfRule>
    <cfRule type="expression" dxfId="8383" priority="5792">
      <formula>$B4918="Subetapa"</formula>
    </cfRule>
  </conditionalFormatting>
  <conditionalFormatting sqref="G4936:H4936 G4939:H4939 G4950:H4950 G4958:H4958 G4966:H4966 G4974:H4974 G4941:H4942">
    <cfRule type="expression" dxfId="8382" priority="6238">
      <formula>$B4936="Subetapa"</formula>
    </cfRule>
  </conditionalFormatting>
  <conditionalFormatting sqref="G4976:H4976 G4980:H4980">
    <cfRule type="expression" dxfId="8381" priority="5807">
      <formula>$B4976="Subetapa"</formula>
    </cfRule>
    <cfRule type="expression" dxfId="8380" priority="5808">
      <formula>$B4976="Serviço"</formula>
    </cfRule>
  </conditionalFormatting>
  <conditionalFormatting sqref="G2:H2">
    <cfRule type="expression" dxfId="8379" priority="7074">
      <formula>$B2="Subetapa"</formula>
    </cfRule>
  </conditionalFormatting>
  <conditionalFormatting sqref="G324:H324 G328:H328 G332:H332 G336:H336 G340:H340">
    <cfRule type="expression" dxfId="8378" priority="6271">
      <formula>$B324="Subetapa"</formula>
    </cfRule>
  </conditionalFormatting>
  <conditionalFormatting sqref="G345:H345 G349:H349 G353:H353 G357:H357">
    <cfRule type="expression" dxfId="8377" priority="6248">
      <formula>$B345="Subetapa"</formula>
    </cfRule>
  </conditionalFormatting>
  <conditionalFormatting sqref="G810:H810 G839:H839 G812:H812 G841:H841">
    <cfRule type="expression" dxfId="8376" priority="6172">
      <formula>$B810="Subetapa"</formula>
    </cfRule>
  </conditionalFormatting>
  <conditionalFormatting sqref="G4734:H4734 G4742:H4742 G4750:H4750 G4759:H4759 G4768:H4768 G4781:H4781">
    <cfRule type="expression" dxfId="8375" priority="6181">
      <formula>$B4734="Subetapa"</formula>
    </cfRule>
  </conditionalFormatting>
  <conditionalFormatting sqref="G4932:H4932">
    <cfRule type="expression" dxfId="8374"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3"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2"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1"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0" priority="9623">
      <formula>$B2470="Subetapa"</formula>
    </cfRule>
  </conditionalFormatting>
  <conditionalFormatting sqref="D2191:F2191 D2188:D2190 F2188:F2190 C2188:C2191">
    <cfRule type="expression" dxfId="8369"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68" priority="13555">
      <formula>$B867="Subetapa"</formula>
    </cfRule>
  </conditionalFormatting>
  <conditionalFormatting sqref="D2342:F2342 D2344:F2344 D2343 F2343 D2346:F2346 D2345 F2345 C2342:C2346 B2351:C2355">
    <cfRule type="expression" dxfId="8367" priority="12863">
      <formula>$B2342="Subetapa"</formula>
    </cfRule>
  </conditionalFormatting>
  <conditionalFormatting sqref="D4069:F4069 D4073:F4073 D4070 F4070 D4075:F4075 D4074 F4074 D4076 F4076 D4071:F4071 F4072 C4069:C4076 D4072">
    <cfRule type="expression" dxfId="8366" priority="12128">
      <formula>$B4069="Subetapa"</formula>
    </cfRule>
  </conditionalFormatting>
  <conditionalFormatting sqref="B1168:F1168">
    <cfRule type="expression" dxfId="8365" priority="11760">
      <formula>$B1168="Subetapa"</formula>
    </cfRule>
  </conditionalFormatting>
  <conditionalFormatting sqref="C2760:F2760">
    <cfRule type="expression" dxfId="8364" priority="11934">
      <formula>$B2760="Subetapa"</formula>
    </cfRule>
  </conditionalFormatting>
  <conditionalFormatting sqref="C3238:F3238">
    <cfRule type="expression" dxfId="8363" priority="11504">
      <formula>$B3238="Subetapa"</formula>
    </cfRule>
  </conditionalFormatting>
  <conditionalFormatting sqref="D4841:F4841 D4840 F4840 D4842 F4842 C4840:C4842">
    <cfRule type="expression" dxfId="8362" priority="11828">
      <formula>$B4840="Subetapa"</formula>
    </cfRule>
  </conditionalFormatting>
  <conditionalFormatting sqref="D4861:F4863 D4860 F4860 C4860:C4863">
    <cfRule type="expression" dxfId="8361" priority="11846">
      <formula>$B4860="Subetapa"</formula>
    </cfRule>
  </conditionalFormatting>
  <conditionalFormatting sqref="B2736:F2736">
    <cfRule type="expression" dxfId="8360" priority="11793">
      <formula>$B2736="Subetapa"</formula>
    </cfRule>
  </conditionalFormatting>
  <conditionalFormatting sqref="F4831">
    <cfRule type="expression" dxfId="8359" priority="11817">
      <formula>$B4831="Subetapa"</formula>
    </cfRule>
  </conditionalFormatting>
  <conditionalFormatting sqref="K943:K959">
    <cfRule type="expression" dxfId="8358" priority="4865">
      <formula>$B943="Subetapa"</formula>
    </cfRule>
  </conditionalFormatting>
  <conditionalFormatting sqref="I970:K970">
    <cfRule type="expression" dxfId="8357" priority="4861">
      <formula>$B970="Subetapa"</formula>
    </cfRule>
  </conditionalFormatting>
  <conditionalFormatting sqref="K2317:K2330 K2203:K2207">
    <cfRule type="expression" dxfId="8356" priority="5050">
      <formula>$B2203="Subetapa"</formula>
    </cfRule>
  </conditionalFormatting>
  <conditionalFormatting sqref="K2379:K2388">
    <cfRule type="expression" dxfId="8355" priority="4601">
      <formula>$B2379="Serviço"</formula>
    </cfRule>
  </conditionalFormatting>
  <conditionalFormatting sqref="K2637:K2661">
    <cfRule type="expression" dxfId="8354" priority="4846">
      <formula>$B2637="Subetapa"</formula>
    </cfRule>
  </conditionalFormatting>
  <conditionalFormatting sqref="K2662:K2669">
    <cfRule type="expression" dxfId="8353" priority="4838">
      <formula>$B2662="Subetapa"</formula>
    </cfRule>
  </conditionalFormatting>
  <conditionalFormatting sqref="K2670:K2672">
    <cfRule type="expression" dxfId="8352" priority="4840">
      <formula>$B2670="Subetapa"</formula>
    </cfRule>
  </conditionalFormatting>
  <conditionalFormatting sqref="I2673:K2674 I2690:K2690 I2682:K2682 I2687:K2688 I2684:K2685">
    <cfRule type="expression" dxfId="8351" priority="4599">
      <formula>$B2673="Serviço"</formula>
    </cfRule>
  </conditionalFormatting>
  <conditionalFormatting sqref="K2731:K2735">
    <cfRule type="expression" dxfId="8350" priority="4844">
      <formula>$B2731="Subetapa"</formula>
    </cfRule>
  </conditionalFormatting>
  <conditionalFormatting sqref="K2737:K2753">
    <cfRule type="expression" dxfId="8349" priority="4842">
      <formula>$B2737="Subetapa"</formula>
    </cfRule>
  </conditionalFormatting>
  <conditionalFormatting sqref="K3243:K3246 K3177:K3188">
    <cfRule type="expression" dxfId="8348" priority="4592">
      <formula>$B3177="Subetapa"</formula>
    </cfRule>
    <cfRule type="expression" dxfId="8347" priority="4593">
      <formula>$B3177="Serviço"</formula>
    </cfRule>
  </conditionalFormatting>
  <conditionalFormatting sqref="K2957:K2960">
    <cfRule type="expression" dxfId="8346" priority="5048">
      <formula>$B2957="Subetapa"</formula>
    </cfRule>
  </conditionalFormatting>
  <conditionalFormatting sqref="K3731:K3758">
    <cfRule type="expression" dxfId="8345" priority="4823">
      <formula>$B3731="Subetapa"</formula>
    </cfRule>
  </conditionalFormatting>
  <conditionalFormatting sqref="K3767:K3787">
    <cfRule type="expression" dxfId="8344" priority="4977">
      <formula>$B3767="Subetapa"</formula>
    </cfRule>
  </conditionalFormatting>
  <conditionalFormatting sqref="K3788:K3793">
    <cfRule type="expression" dxfId="8343" priority="4811">
      <formula>$B3788="Subetapa"</formula>
    </cfRule>
  </conditionalFormatting>
  <conditionalFormatting sqref="K3794:K3807">
    <cfRule type="expression" dxfId="8342" priority="4949">
      <formula>$B3794="Subetapa"</formula>
    </cfRule>
  </conditionalFormatting>
  <conditionalFormatting sqref="K4078:K4086">
    <cfRule type="expression" dxfId="8341" priority="5051">
      <formula>$B4078="Subetapa"</formula>
    </cfRule>
  </conditionalFormatting>
  <conditionalFormatting sqref="K4373:K4402">
    <cfRule type="expression" dxfId="8340" priority="4560">
      <formula>$B4373="Subetapa"</formula>
    </cfRule>
    <cfRule type="expression" dxfId="8339" priority="4561">
      <formula>$B4373="Serviço"</formula>
    </cfRule>
  </conditionalFormatting>
  <conditionalFormatting sqref="K4686:K4699">
    <cfRule type="expression" dxfId="8338" priority="4558">
      <formula>$B4686="Subetapa"</formula>
    </cfRule>
    <cfRule type="expression" dxfId="8337" priority="4559">
      <formula>$B4686="Serviço"</formula>
    </cfRule>
  </conditionalFormatting>
  <conditionalFormatting sqref="K3759:K3766 K3816:K3820">
    <cfRule type="expression" dxfId="8336"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35" priority="5043">
      <formula>$B2612="Subetapa"</formula>
    </cfRule>
  </conditionalFormatting>
  <conditionalFormatting sqref="K4087:K4097">
    <cfRule type="expression" dxfId="8334" priority="4963">
      <formula>$B4087="Subetapa"</formula>
    </cfRule>
  </conditionalFormatting>
  <conditionalFormatting sqref="K4235:K4244">
    <cfRule type="expression" dxfId="8333" priority="4930">
      <formula>$B4235="Subetapa"</formula>
    </cfRule>
  </conditionalFormatting>
  <conditionalFormatting sqref="I972:K989 I1011:K1013 I1016:K1016 I2342:K2343 I3470:K3484 I4135:K4138 I4323:K4327 I4371:K4372">
    <cfRule type="expression" dxfId="8332" priority="4872">
      <formula>$B972="Subetapa"</formula>
    </cfRule>
  </conditionalFormatting>
  <conditionalFormatting sqref="I2168:K2168 I2170:K2180">
    <cfRule type="expression" dxfId="8331" priority="4881">
      <formula>$B2168="Subetapa"</formula>
    </cfRule>
  </conditionalFormatting>
  <conditionalFormatting sqref="K2277:K2278 K2208:K2211">
    <cfRule type="expression" dxfId="8330" priority="4523">
      <formula>$B2208="Subetapa"</formula>
    </cfRule>
  </conditionalFormatting>
  <conditionalFormatting sqref="I2525:K2525">
    <cfRule type="expression" dxfId="8329" priority="4993">
      <formula>$B2525="Subetapa"</formula>
    </cfRule>
  </conditionalFormatting>
  <conditionalFormatting sqref="I2936:K2936">
    <cfRule type="expression" dxfId="8328" priority="4980">
      <formula>$B2936="Subetapa"</formula>
    </cfRule>
  </conditionalFormatting>
  <conditionalFormatting sqref="I2961:K2961">
    <cfRule type="expression" dxfId="8327" priority="4979">
      <formula>$B2961="Subetapa"</formula>
    </cfRule>
  </conditionalFormatting>
  <conditionalFormatting sqref="I3022:K3022">
    <cfRule type="expression" dxfId="8326" priority="4978">
      <formula>$B3022="Subetapa"</formula>
    </cfRule>
  </conditionalFormatting>
  <conditionalFormatting sqref="K3709:K3713">
    <cfRule type="expression" dxfId="8325" priority="4530">
      <formula>$B3709="Subetapa"</formula>
    </cfRule>
  </conditionalFormatting>
  <conditionalFormatting sqref="K3725:K3730 K3715:K3721">
    <cfRule type="expression" dxfId="8324" priority="4526">
      <formula>$B3715="Subetapa"</formula>
    </cfRule>
  </conditionalFormatting>
  <conditionalFormatting sqref="K4023:K4028">
    <cfRule type="expression" dxfId="8323" priority="4525">
      <formula>$B4023="Subetapa"</formula>
    </cfRule>
  </conditionalFormatting>
  <conditionalFormatting sqref="K4272:K4276">
    <cfRule type="expression" dxfId="8322" priority="4809">
      <formula>$B4272="Subetapa"</formula>
    </cfRule>
  </conditionalFormatting>
  <conditionalFormatting sqref="I4700:K4700">
    <cfRule type="expression" dxfId="8321" priority="4939">
      <formula>$B4700="Subetapa"</formula>
    </cfRule>
  </conditionalFormatting>
  <conditionalFormatting sqref="K153:K213 K215:K217">
    <cfRule type="expression" dxfId="8320" priority="4780">
      <formula>$B153="Subetapa"</formula>
    </cfRule>
  </conditionalFormatting>
  <conditionalFormatting sqref="I271:K271 I273:K273">
    <cfRule type="expression" dxfId="8319" priority="4636">
      <formula>$B271="Subetapa"</formula>
    </cfRule>
  </conditionalFormatting>
  <conditionalFormatting sqref="K903:K907">
    <cfRule type="expression" dxfId="8318" priority="4675">
      <formula>$B903="Subetapa"</formula>
    </cfRule>
  </conditionalFormatting>
  <conditionalFormatting sqref="I2126:K2126 I2133:K2133">
    <cfRule type="expression" dxfId="8317" priority="4849">
      <formula>$B2126="Subetapa"</formula>
    </cfRule>
  </conditionalFormatting>
  <conditionalFormatting sqref="K2267:K2268 K2274:K2275 K2212:K2261">
    <cfRule type="expression" dxfId="8316" priority="4682">
      <formula>$B2212="Serviço"</formula>
    </cfRule>
  </conditionalFormatting>
  <conditionalFormatting sqref="K2817:K2831 K2835:K2842">
    <cfRule type="expression" dxfId="8315" priority="4834">
      <formula>$B2817="Subetapa"</formula>
    </cfRule>
  </conditionalFormatting>
  <conditionalFormatting sqref="K2883:K2884">
    <cfRule type="expression" dxfId="8314" priority="4591">
      <formula>$B2883="Serviço"</formula>
    </cfRule>
  </conditionalFormatting>
  <conditionalFormatting sqref="I2911:K2911">
    <cfRule type="expression" dxfId="8313" priority="4987">
      <formula>$B2911="Subetapa"</formula>
    </cfRule>
  </conditionalFormatting>
  <conditionalFormatting sqref="K2912:K2935">
    <cfRule type="expression" dxfId="8312" priority="4968">
      <formula>$B2912="Subetapa"</formula>
    </cfRule>
  </conditionalFormatting>
  <conditionalFormatting sqref="I3259:K3259">
    <cfRule type="expression" dxfId="8311" priority="4583">
      <formula>$B3259="Subetapa"</formula>
    </cfRule>
  </conditionalFormatting>
  <conditionalFormatting sqref="K3821:K3850">
    <cfRule type="expression" dxfId="8310" priority="4796">
      <formula>$B3821="Subetapa"</formula>
    </cfRule>
  </conditionalFormatting>
  <conditionalFormatting sqref="K4058:K4067">
    <cfRule type="expression" dxfId="8309" priority="4879">
      <formula>$B4058="Subetapa"</formula>
    </cfRule>
  </conditionalFormatting>
  <conditionalFormatting sqref="K4573:K4585">
    <cfRule type="expression" dxfId="8308" priority="4938">
      <formula>$B4573="Subetapa"</formula>
    </cfRule>
  </conditionalFormatting>
  <conditionalFormatting sqref="I263:K265 I275:K286 I299:K299 I2754:K2754 I267:K267 I269:K269 I301:K301 I304:K343">
    <cfRule type="expression" dxfId="8307" priority="5124">
      <formula>$B263="Subetapa"</formula>
    </cfRule>
  </conditionalFormatting>
  <conditionalFormatting sqref="K4598:K4609">
    <cfRule type="expression" dxfId="8306" priority="4529">
      <formula>$B4598="Subetapa"</formula>
    </cfRule>
  </conditionalFormatting>
  <conditionalFormatting sqref="K4725:K4790 K5013:K5019">
    <cfRule type="expression" dxfId="8305" priority="5068">
      <formula>$B4725="Subetapa"</formula>
    </cfRule>
  </conditionalFormatting>
  <conditionalFormatting sqref="K661:K664">
    <cfRule type="expression" dxfId="8304" priority="4624">
      <formula>$B661="Serviço"</formula>
    </cfRule>
  </conditionalFormatting>
  <conditionalFormatting sqref="I897:K902 I990:K1010 I1014:K1015 I1017:K1017 I2691:K2691 I3310:K3310 I3714:K3714 I4133:K4134 I4277:K4278 I4322:K4322 I4022:K4022">
    <cfRule type="expression" dxfId="8303" priority="5045">
      <formula>$B897="Subetapa"</formula>
    </cfRule>
  </conditionalFormatting>
  <conditionalFormatting sqref="K964:K969 K960:K962">
    <cfRule type="expression" dxfId="8302" priority="4899">
      <formula>$B960="Subetapa"</formula>
    </cfRule>
  </conditionalFormatting>
  <conditionalFormatting sqref="I2772:K2772">
    <cfRule type="expression" dxfId="8301" priority="4835">
      <formula>$B2772="Subetapa"</formula>
    </cfRule>
  </conditionalFormatting>
  <conditionalFormatting sqref="K2042:K2052">
    <cfRule type="expression" dxfId="8300" priority="4536">
      <formula>$B2042="Subetapa"</formula>
    </cfRule>
  </conditionalFormatting>
  <conditionalFormatting sqref="I4801:K4801">
    <cfRule type="expression" dxfId="8299" priority="4553" stopIfTrue="1">
      <formula>$B4801="complemento do insumo"</formula>
    </cfRule>
    <cfRule type="expression" dxfId="8298" priority="4554" stopIfTrue="1">
      <formula>$B4801="insumo"</formula>
    </cfRule>
  </conditionalFormatting>
  <conditionalFormatting sqref="K2937:K2956">
    <cfRule type="expression" dxfId="8297" priority="4540">
      <formula>$B2937="Subetapa"</formula>
    </cfRule>
  </conditionalFormatting>
  <conditionalFormatting sqref="K1169:K1174">
    <cfRule type="expression" dxfId="8296" priority="4538">
      <formula>$B1169="Subetapa"</formula>
    </cfRule>
  </conditionalFormatting>
  <conditionalFormatting sqref="K2120:K2125">
    <cfRule type="expression" dxfId="8295" priority="4535">
      <formula>$B2120="Subetapa"</formula>
    </cfRule>
  </conditionalFormatting>
  <conditionalFormatting sqref="K2127:K2132">
    <cfRule type="expression" dxfId="8294" priority="4534">
      <formula>$B2127="Subetapa"</formula>
    </cfRule>
  </conditionalFormatting>
  <conditionalFormatting sqref="K2134:K2143">
    <cfRule type="expression" dxfId="8293" priority="4533">
      <formula>$B2134="Subetapa"</formula>
    </cfRule>
  </conditionalFormatting>
  <conditionalFormatting sqref="K2356:K2357">
    <cfRule type="expression" dxfId="8292" priority="4532">
      <formula>$B2356="Subetapa"</formula>
    </cfRule>
  </conditionalFormatting>
  <conditionalFormatting sqref="K2692:K2718">
    <cfRule type="expression" dxfId="8291" priority="4528">
      <formula>$B2692="Subetapa"</formula>
    </cfRule>
  </conditionalFormatting>
  <conditionalFormatting sqref="K2885:K2889 K2905:K2910">
    <cfRule type="expression" dxfId="8290" priority="4527">
      <formula>$B2885="Subetapa"</formula>
    </cfRule>
  </conditionalFormatting>
  <conditionalFormatting sqref="K3023:K3046">
    <cfRule type="expression" dxfId="8289" priority="4539">
      <formula>$B3023="Subetapa"</formula>
    </cfRule>
  </conditionalFormatting>
  <conditionalFormatting sqref="K3191:K3194">
    <cfRule type="expression" dxfId="8288" priority="4531">
      <formula>$B3191="Subetapa"</formula>
    </cfRule>
  </conditionalFormatting>
  <conditionalFormatting sqref="I3892:K3892">
    <cfRule type="expression" dxfId="8287" priority="4545">
      <formula>$B3892="Subetapa"</formula>
    </cfRule>
  </conditionalFormatting>
  <conditionalFormatting sqref="I3903:K3903">
    <cfRule type="expression" dxfId="8286" priority="4546">
      <formula>$B3903="Subetapa"</formula>
    </cfRule>
  </conditionalFormatting>
  <conditionalFormatting sqref="I3914:K3914">
    <cfRule type="expression" dxfId="8285" priority="4547">
      <formula>$B3914="Subetapa"</formula>
    </cfRule>
  </conditionalFormatting>
  <conditionalFormatting sqref="I3925:K3925">
    <cfRule type="expression" dxfId="8284" priority="4548">
      <formula>$B3925="Subetapa"</formula>
    </cfRule>
  </conditionalFormatting>
  <conditionalFormatting sqref="I3936:K3936">
    <cfRule type="expression" dxfId="8283" priority="4549">
      <formula>$B3936="Subetapa"</formula>
    </cfRule>
  </conditionalFormatting>
  <conditionalFormatting sqref="I3955:K3955">
    <cfRule type="expression" dxfId="8282" priority="4544">
      <formula>$B3955="Subetapa"</formula>
    </cfRule>
  </conditionalFormatting>
  <conditionalFormatting sqref="K4701:K4702">
    <cfRule type="expression" dxfId="8281" priority="4524">
      <formula>$B4701="Subetapa"</formula>
    </cfRule>
  </conditionalFormatting>
  <conditionalFormatting sqref="K3065:K3088">
    <cfRule type="expression" dxfId="8280" priority="4543">
      <formula>$B3065="Subetapa"</formula>
    </cfRule>
  </conditionalFormatting>
  <conditionalFormatting sqref="I271:K271 I273:K273">
    <cfRule type="expression" dxfId="8279" priority="4635">
      <formula>$B271="Serviço"</formula>
    </cfRule>
  </conditionalFormatting>
  <conditionalFormatting sqref="I287:K289 I295:K295 I293:K293 I291:K291">
    <cfRule type="expression" dxfId="8278" priority="4637">
      <formula>$B287="Serviço"</formula>
    </cfRule>
    <cfRule type="expression" dxfId="8277" priority="4638">
      <formula>$B287="Subetapa"</formula>
    </cfRule>
  </conditionalFormatting>
  <conditionalFormatting sqref="I297:K297">
    <cfRule type="expression" dxfId="8276" priority="4633">
      <formula>$B297="Serviço"</formula>
    </cfRule>
    <cfRule type="expression" dxfId="8275" priority="4634">
      <formula>$B297="Subetapa"</formula>
    </cfRule>
  </conditionalFormatting>
  <conditionalFormatting sqref="K461:K463">
    <cfRule type="expression" dxfId="8274" priority="4631">
      <formula>$B461="Subetapa"</formula>
    </cfRule>
    <cfRule type="expression" dxfId="8273" priority="4632">
      <formula>$B461="Serviço"</formula>
    </cfRule>
  </conditionalFormatting>
  <conditionalFormatting sqref="K473:K476">
    <cfRule type="expression" dxfId="8272" priority="4629">
      <formula>$B473="Subetapa"</formula>
    </cfRule>
    <cfRule type="expression" dxfId="8271" priority="4630">
      <formula>$B473="Serviço"</formula>
    </cfRule>
  </conditionalFormatting>
  <conditionalFormatting sqref="K500:K501">
    <cfRule type="expression" dxfId="8270" priority="4627">
      <formula>$B500="Subetapa"</formula>
    </cfRule>
    <cfRule type="expression" dxfId="8269" priority="4628">
      <formula>$B500="Serviço"</formula>
    </cfRule>
  </conditionalFormatting>
  <conditionalFormatting sqref="K621:K639">
    <cfRule type="expression" dxfId="8268" priority="4625">
      <formula>$B621="Subetapa"</formula>
    </cfRule>
    <cfRule type="expression" dxfId="8267" priority="4626">
      <formula>$B621="Serviço"</formula>
    </cfRule>
  </conditionalFormatting>
  <conditionalFormatting sqref="K661:K664">
    <cfRule type="expression" dxfId="8266" priority="4623">
      <formula>$B661="Subetapa"</formula>
    </cfRule>
  </conditionalFormatting>
  <conditionalFormatting sqref="K738:K741">
    <cfRule type="expression" dxfId="8265" priority="4621">
      <formula>$B738="Subetapa"</formula>
    </cfRule>
    <cfRule type="expression" dxfId="8264" priority="4622">
      <formula>$B738="Serviço"</formula>
    </cfRule>
  </conditionalFormatting>
  <conditionalFormatting sqref="K759:K762">
    <cfRule type="expression" dxfId="8263" priority="4619">
      <formula>$B759="Subetapa"</formula>
    </cfRule>
    <cfRule type="expression" dxfId="8262" priority="4620">
      <formula>$B759="Serviço"</formula>
    </cfRule>
  </conditionalFormatting>
  <conditionalFormatting sqref="K779:K786">
    <cfRule type="expression" dxfId="8261" priority="4665">
      <formula>$B779="Subetapa"</formula>
    </cfRule>
    <cfRule type="expression" dxfId="8260" priority="4666">
      <formula>$B779="Serviço"</formula>
    </cfRule>
  </conditionalFormatting>
  <conditionalFormatting sqref="K814:K834">
    <cfRule type="expression" dxfId="8259" priority="4617">
      <formula>$B814="Subetapa"</formula>
    </cfRule>
    <cfRule type="expression" dxfId="8258" priority="4618">
      <formula>$B814="Serviço"</formula>
    </cfRule>
  </conditionalFormatting>
  <conditionalFormatting sqref="K835:K838">
    <cfRule type="expression" dxfId="8257" priority="4615">
      <formula>$B835="Subetapa"</formula>
    </cfRule>
    <cfRule type="expression" dxfId="8256" priority="4616">
      <formula>$B835="Serviço"</formula>
    </cfRule>
  </conditionalFormatting>
  <conditionalFormatting sqref="K879:K884">
    <cfRule type="expression" dxfId="8255"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4" priority="4613">
      <formula>$B885="Serviço"</formula>
    </cfRule>
  </conditionalFormatting>
  <conditionalFormatting sqref="K885:K896">
    <cfRule type="expression" dxfId="8253" priority="4612">
      <formula>$B885="Subetapa"</formula>
    </cfRule>
  </conditionalFormatting>
  <conditionalFormatting sqref="K918:K929 K879:K884">
    <cfRule type="expression" dxfId="8252" priority="4668">
      <formula>$B879="Serviço"</formula>
    </cfRule>
  </conditionalFormatting>
  <conditionalFormatting sqref="K918:K929">
    <cfRule type="expression" dxfId="8251" priority="4667">
      <formula>$B918="Subetapa"</formula>
    </cfRule>
  </conditionalFormatting>
  <conditionalFormatting sqref="K931:K942">
    <cfRule type="expression" dxfId="8250" priority="4672">
      <formula>$B931="Subetapa"</formula>
    </cfRule>
    <cfRule type="expression" dxfId="8249" priority="4673">
      <formula>$B931="Serviço"</formula>
    </cfRule>
  </conditionalFormatting>
  <conditionalFormatting sqref="I971:K971">
    <cfRule type="expression" dxfId="8248" priority="5074">
      <formula>$B971="Subetapa"</formula>
    </cfRule>
  </conditionalFormatting>
  <conditionalFormatting sqref="K1175:K1185">
    <cfRule type="expression" dxfId="8247" priority="4610">
      <formula>$B1175="Subetapa"</formula>
    </cfRule>
    <cfRule type="expression" dxfId="8246"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45" priority="4614">
      <formula>$B2470="Subetapa"</formula>
    </cfRule>
  </conditionalFormatting>
  <conditionalFormatting sqref="K2181:K2187">
    <cfRule type="expression" dxfId="8244" priority="5126">
      <formula>$B2181="Subetapa"</formula>
    </cfRule>
  </conditionalFormatting>
  <conditionalFormatting sqref="I2188:K2188">
    <cfRule type="expression" dxfId="8243" priority="5120">
      <formula>$B2188="Subetapa"</formula>
    </cfRule>
  </conditionalFormatting>
  <conditionalFormatting sqref="K2189:K2202">
    <cfRule type="expression" dxfId="8242" priority="5127">
      <formula>$B2189="Subetapa"</formula>
    </cfRule>
  </conditionalFormatting>
  <conditionalFormatting sqref="K2267:K2268 K2274:K2275 K2212:K2261">
    <cfRule type="expression" dxfId="8241" priority="4681">
      <formula>$B2212="Subetapa"</formula>
    </cfRule>
  </conditionalFormatting>
  <conditionalFormatting sqref="I2229:K2229 I2235:K2235">
    <cfRule type="expression" dxfId="8240" priority="4680">
      <formula>$B2229="Subetapa"</formula>
    </cfRule>
  </conditionalFormatting>
  <conditionalFormatting sqref="I2231:K2231">
    <cfRule type="expression" dxfId="8239" priority="4678">
      <formula>$B2231="Serviço"</formula>
    </cfRule>
    <cfRule type="expression" dxfId="8238" priority="4679">
      <formula>$B2231="Subetapa"</formula>
    </cfRule>
  </conditionalFormatting>
  <conditionalFormatting sqref="K2331:K2334">
    <cfRule type="expression" dxfId="8237" priority="4991">
      <formula>$B2331="Subetapa"</formula>
    </cfRule>
  </conditionalFormatting>
  <conditionalFormatting sqref="K2335:K2337 K3561:K3565">
    <cfRule type="expression" dxfId="8236" priority="5041">
      <formula>$B2335="Subetapa"</formula>
    </cfRule>
  </conditionalFormatting>
  <conditionalFormatting sqref="K2338:K2341">
    <cfRule type="expression" dxfId="8235" priority="4608">
      <formula>$B2338="Subetapa"</formula>
    </cfRule>
    <cfRule type="expression" dxfId="8234" priority="4609">
      <formula>$B2338="Serviço"</formula>
    </cfRule>
  </conditionalFormatting>
  <conditionalFormatting sqref="K2344:K2346 K2351:K2355">
    <cfRule type="expression" dxfId="8233" priority="5001">
      <formula>$B2344="Subetapa"</formula>
    </cfRule>
  </conditionalFormatting>
  <conditionalFormatting sqref="K2347:K2348">
    <cfRule type="expression" dxfId="8232" priority="4606">
      <formula>$B2347="Subetapa"</formula>
    </cfRule>
    <cfRule type="expression" dxfId="8231" priority="4607">
      <formula>$B2347="Serviço"</formula>
    </cfRule>
  </conditionalFormatting>
  <conditionalFormatting sqref="K2349:K2350">
    <cfRule type="expression" dxfId="8230" priority="4604">
      <formula>$B2349="Subetapa"</formula>
    </cfRule>
    <cfRule type="expression" dxfId="8229" priority="4605">
      <formula>$B2349="Serviço"</formula>
    </cfRule>
  </conditionalFormatting>
  <conditionalFormatting sqref="K2359:K2367 K2369:K2373">
    <cfRule type="expression" dxfId="8228" priority="5071">
      <formula>$B2359="Subetapa"</formula>
    </cfRule>
  </conditionalFormatting>
  <conditionalFormatting sqref="K2374:K2378">
    <cfRule type="expression" dxfId="8227" priority="4602">
      <formula>$B2374="Subetapa"</formula>
    </cfRule>
    <cfRule type="expression" dxfId="8226" priority="4603">
      <formula>$B2374="Serviço"</formula>
    </cfRule>
  </conditionalFormatting>
  <conditionalFormatting sqref="K2379:K2388">
    <cfRule type="expression" dxfId="8225" priority="4600">
      <formula>$B2379="Subetapa"</formula>
    </cfRule>
  </conditionalFormatting>
  <conditionalFormatting sqref="I2673:K2674 I2690:K2690 I2682:K2682 I2687:K2688 I2684:K2685">
    <cfRule type="expression" dxfId="8224" priority="4598">
      <formula>$B2673="Subetapa"</formula>
    </cfRule>
  </conditionalFormatting>
  <conditionalFormatting sqref="K2765:K2767">
    <cfRule type="expression" dxfId="8223" priority="4596">
      <formula>$B2765="Subetapa"</formula>
    </cfRule>
    <cfRule type="expression" dxfId="8222" priority="4597">
      <formula>$B2765="Serviço"</formula>
    </cfRule>
  </conditionalFormatting>
  <conditionalFormatting sqref="I2768:K2768">
    <cfRule type="expression" dxfId="8221" priority="4986">
      <formula>$B2768="Subetapa"</formula>
    </cfRule>
  </conditionalFormatting>
  <conditionalFormatting sqref="K2806:K2816">
    <cfRule type="expression" dxfId="8220" priority="4594">
      <formula>$B2806="Subetapa"</formula>
    </cfRule>
    <cfRule type="expression" dxfId="8219" priority="4595">
      <formula>$B2806="Serviço"</formula>
    </cfRule>
  </conditionalFormatting>
  <conditionalFormatting sqref="K2883:K2884">
    <cfRule type="expression" dxfId="8218" priority="4590">
      <formula>$B2883="Subetapa"</formula>
    </cfRule>
  </conditionalFormatting>
  <conditionalFormatting sqref="K3056:K3063">
    <cfRule type="expression" dxfId="8217" priority="4588">
      <formula>$B3056="Subetapa"</formula>
    </cfRule>
    <cfRule type="expression" dxfId="8216" priority="4589">
      <formula>$B3056="Serviço"</formula>
    </cfRule>
  </conditionalFormatting>
  <conditionalFormatting sqref="K3089:K3092 K3099:K3106">
    <cfRule type="expression" dxfId="8215" priority="5128">
      <formula>$B3089="Subetapa"</formula>
    </cfRule>
  </conditionalFormatting>
  <conditionalFormatting sqref="K3097:K3098">
    <cfRule type="expression" dxfId="8214" priority="4586">
      <formula>$B3097="Subetapa"</formula>
    </cfRule>
    <cfRule type="expression" dxfId="8213" priority="4587">
      <formula>$B3097="Serviço"</formula>
    </cfRule>
  </conditionalFormatting>
  <conditionalFormatting sqref="K3129:K3136">
    <cfRule type="expression" dxfId="8212" priority="4584">
      <formula>$B3129="Subetapa"</formula>
    </cfRule>
    <cfRule type="expression" dxfId="8211" priority="4585">
      <formula>$B3129="Serviço"</formula>
    </cfRule>
  </conditionalFormatting>
  <conditionalFormatting sqref="K3350:K3379">
    <cfRule type="expression" dxfId="8210" priority="4974">
      <formula>$B3350="Subetapa"</formula>
    </cfRule>
  </conditionalFormatting>
  <conditionalFormatting sqref="K3380:K3469">
    <cfRule type="expression" dxfId="8209" priority="4976">
      <formula>$B3380="Subetapa"</formula>
    </cfRule>
  </conditionalFormatting>
  <conditionalFormatting sqref="K3577:K3588 K3618:K3622">
    <cfRule type="expression" dxfId="8208" priority="4971">
      <formula>$B3577="Subetapa"</formula>
    </cfRule>
  </conditionalFormatting>
  <conditionalFormatting sqref="K3674:K3678">
    <cfRule type="expression" dxfId="8207" priority="4580">
      <formula>$B3674="Subetapa"</formula>
    </cfRule>
    <cfRule type="expression" dxfId="8206" priority="4581">
      <formula>$B3674="Serviço"</formula>
    </cfRule>
  </conditionalFormatting>
  <conditionalFormatting sqref="K3684:K3688">
    <cfRule type="expression" dxfId="8205" priority="4578">
      <formula>$B3684="Subetapa"</formula>
    </cfRule>
    <cfRule type="expression" dxfId="8204" priority="4579">
      <formula>$B3684="Serviço"</formula>
    </cfRule>
  </conditionalFormatting>
  <conditionalFormatting sqref="K3699:K3708">
    <cfRule type="expression" dxfId="8203" priority="4576">
      <formula>$B3699="Subetapa"</formula>
    </cfRule>
    <cfRule type="expression" dxfId="8202" priority="4577">
      <formula>$B3699="Serviço"</formula>
    </cfRule>
  </conditionalFormatting>
  <conditionalFormatting sqref="K3722:K3724">
    <cfRule type="expression" dxfId="8201" priority="4574">
      <formula>$B3722="Subetapa"</formula>
    </cfRule>
    <cfRule type="expression" dxfId="8200" priority="4575">
      <formula>$B3722="Serviço"</formula>
    </cfRule>
  </conditionalFormatting>
  <conditionalFormatting sqref="K3808:K3815">
    <cfRule type="expression" dxfId="8199" priority="4572">
      <formula>$B3808="Subetapa"</formula>
    </cfRule>
    <cfRule type="expression" dxfId="8198" priority="4573">
      <formula>$B3808="Serviço"</formula>
    </cfRule>
  </conditionalFormatting>
  <conditionalFormatting sqref="I3858:K3858">
    <cfRule type="expression" dxfId="8197" priority="4947">
      <formula>$B3858="Subetapa"</formula>
    </cfRule>
  </conditionalFormatting>
  <conditionalFormatting sqref="K3859:K3884">
    <cfRule type="expression" dxfId="8196" priority="4703">
      <formula>$B3859="Subetapa"</formula>
    </cfRule>
  </conditionalFormatting>
  <conditionalFormatting sqref="I3863:K3863">
    <cfRule type="expression" dxfId="8195" priority="4946">
      <formula>$B3863="Subetapa"</formula>
    </cfRule>
  </conditionalFormatting>
  <conditionalFormatting sqref="K3890:K3891">
    <cfRule type="expression" dxfId="8194" priority="4716">
      <formula>$B3890="Subetapa"</formula>
    </cfRule>
  </conditionalFormatting>
  <conditionalFormatting sqref="K3891:K3892">
    <cfRule type="expression" dxfId="8193" priority="4714">
      <formula>$B3891="Subetapa"</formula>
    </cfRule>
  </conditionalFormatting>
  <conditionalFormatting sqref="K3901:K3902">
    <cfRule type="expression" dxfId="8192" priority="4725">
      <formula>$B3901="Subetapa"</formula>
    </cfRule>
  </conditionalFormatting>
  <conditionalFormatting sqref="K3902:K3903">
    <cfRule type="expression" dxfId="8191" priority="4723">
      <formula>$B3902="Subetapa"</formula>
    </cfRule>
  </conditionalFormatting>
  <conditionalFormatting sqref="K3912:K3913">
    <cfRule type="expression" dxfId="8190" priority="4734">
      <formula>$B3912="Subetapa"</formula>
    </cfRule>
  </conditionalFormatting>
  <conditionalFormatting sqref="K3913:K3914">
    <cfRule type="expression" dxfId="8189" priority="4732">
      <formula>$B3913="Subetapa"</formula>
    </cfRule>
  </conditionalFormatting>
  <conditionalFormatting sqref="K3923:K3924">
    <cfRule type="expression" dxfId="8188" priority="4743">
      <formula>$B3923="Subetapa"</formula>
    </cfRule>
  </conditionalFormatting>
  <conditionalFormatting sqref="K3924:K3925">
    <cfRule type="expression" dxfId="8187" priority="4741">
      <formula>$B3924="Subetapa"</formula>
    </cfRule>
  </conditionalFormatting>
  <conditionalFormatting sqref="K3933:K3934">
    <cfRule type="expression" dxfId="8186" priority="4754">
      <formula>$B3933="Subetapa"</formula>
    </cfRule>
  </conditionalFormatting>
  <conditionalFormatting sqref="K3934:K3935">
    <cfRule type="expression" dxfId="8185" priority="4752">
      <formula>$B3934="Subetapa"</formula>
    </cfRule>
  </conditionalFormatting>
  <conditionalFormatting sqref="K3935:K3936">
    <cfRule type="expression" dxfId="8184" priority="4750">
      <formula>$B3935="Subetapa"</formula>
    </cfRule>
  </conditionalFormatting>
  <conditionalFormatting sqref="K3939:K3941">
    <cfRule type="expression" dxfId="8183" priority="5129">
      <formula>$B3939="Subetapa"</formula>
    </cfRule>
  </conditionalFormatting>
  <conditionalFormatting sqref="K3953:K3954">
    <cfRule type="expression" dxfId="8182" priority="4697">
      <formula>$B3953="Subetapa"</formula>
    </cfRule>
  </conditionalFormatting>
  <conditionalFormatting sqref="K3954:K3955">
    <cfRule type="expression" dxfId="8181" priority="4695">
      <formula>$B3954="Subetapa"</formula>
    </cfRule>
  </conditionalFormatting>
  <conditionalFormatting sqref="K4041:K4043 K4051:K4056">
    <cfRule type="expression" dxfId="8180" priority="4570">
      <formula>$B4041="Subetapa"</formula>
    </cfRule>
    <cfRule type="expression" dxfId="8179" priority="4571">
      <formula>$B4041="Serviço"</formula>
    </cfRule>
  </conditionalFormatting>
  <conditionalFormatting sqref="K4068:K4077">
    <cfRule type="expression" dxfId="8178" priority="4942">
      <formula>$B4068="Subetapa"</formula>
    </cfRule>
  </conditionalFormatting>
  <conditionalFormatting sqref="K4122:K4124">
    <cfRule type="expression" dxfId="8177" priority="4566">
      <formula>$B4122="Subetapa"</formula>
    </cfRule>
    <cfRule type="expression" dxfId="8176" priority="4567">
      <formula>$B4122="Serviço"</formula>
    </cfRule>
  </conditionalFormatting>
  <conditionalFormatting sqref="K4125:K4132">
    <cfRule type="expression" dxfId="8175" priority="4959">
      <formula>$B4125="Subetapa"</formula>
    </cfRule>
  </conditionalFormatting>
  <conditionalFormatting sqref="K4152:K4155">
    <cfRule type="expression" dxfId="8174" priority="5130">
      <formula>$B4152="Subetapa"</formula>
    </cfRule>
  </conditionalFormatting>
  <conditionalFormatting sqref="K4156:K4161">
    <cfRule type="expression" dxfId="8173" priority="4564">
      <formula>$B4156="Subetapa"</formula>
    </cfRule>
    <cfRule type="expression" dxfId="8172" priority="4565">
      <formula>$B4156="Serviço"</formula>
    </cfRule>
  </conditionalFormatting>
  <conditionalFormatting sqref="K4187:K4201">
    <cfRule type="expression" dxfId="8171" priority="5072">
      <formula>$B4187="Subetapa"</formula>
    </cfRule>
  </conditionalFormatting>
  <conditionalFormatting sqref="K4245:K4248">
    <cfRule type="expression" dxfId="8170" priority="4562">
      <formula>$B4245="Subetapa"</formula>
    </cfRule>
    <cfRule type="expression" dxfId="8169" priority="4563">
      <formula>$B4245="Serviço"</formula>
    </cfRule>
  </conditionalFormatting>
  <conditionalFormatting sqref="K4279:K4282">
    <cfRule type="expression" dxfId="8168" priority="4926">
      <formula>$B4279="Subetapa"</formula>
    </cfRule>
  </conditionalFormatting>
  <conditionalFormatting sqref="K4328:K4333">
    <cfRule type="expression" dxfId="8167" priority="5121">
      <formula>$B4328="Subetapa"</formula>
    </cfRule>
  </conditionalFormatting>
  <conditionalFormatting sqref="K4334:K4370">
    <cfRule type="expression" dxfId="8166" priority="4934">
      <formula>$B4334="Subetapa"</formula>
    </cfRule>
  </conditionalFormatting>
  <conditionalFormatting sqref="K4434:K4436">
    <cfRule type="expression" dxfId="8165" priority="5131">
      <formula>$B4434="Subetapa"</formula>
    </cfRule>
  </conditionalFormatting>
  <conditionalFormatting sqref="K4459:K4460">
    <cfRule type="expression" dxfId="8164" priority="5122">
      <formula>$B4459="Subetapa"</formula>
    </cfRule>
  </conditionalFormatting>
  <conditionalFormatting sqref="I4463:K4463">
    <cfRule type="expression" dxfId="8163" priority="5132">
      <formula>$B4463="Subetapa"</formula>
    </cfRule>
  </conditionalFormatting>
  <conditionalFormatting sqref="I4482:K4482">
    <cfRule type="expression" dxfId="8162" priority="5133">
      <formula>$B4482="Subetapa"</formula>
    </cfRule>
  </conditionalFormatting>
  <conditionalFormatting sqref="I4572:K4572">
    <cfRule type="expression" dxfId="8161" priority="4557">
      <formula>$B4572="Serviço"</formula>
    </cfRule>
  </conditionalFormatting>
  <conditionalFormatting sqref="K4791:K4800 K4811:K4830">
    <cfRule type="expression" dxfId="8160" priority="5135">
      <formula>$B4791="Subetapa"</formula>
    </cfRule>
  </conditionalFormatting>
  <conditionalFormatting sqref="K4801:K4810">
    <cfRule type="expression" dxfId="8159" priority="4555">
      <formula>$B4801="Serviço"</formula>
    </cfRule>
    <cfRule type="expression" dxfId="8158" priority="4556">
      <formula>$B4801="Subetapa"</formula>
    </cfRule>
  </conditionalFormatting>
  <conditionalFormatting sqref="K4832:K4834">
    <cfRule type="expression" dxfId="8157" priority="5136">
      <formula>$B4832="Subetapa"</formula>
    </cfRule>
  </conditionalFormatting>
  <conditionalFormatting sqref="K4918:K4922">
    <cfRule type="expression" dxfId="8156" priority="4551">
      <formula>$B4918="Serviço"</formula>
    </cfRule>
    <cfRule type="expression" dxfId="8155" priority="4552">
      <formula>$B4918="Subetapa"</formula>
    </cfRule>
  </conditionalFormatting>
  <conditionalFormatting sqref="K4976:K4983">
    <cfRule type="expression" dxfId="8154" priority="4568">
      <formula>$B4976="Subetapa"</formula>
    </cfRule>
    <cfRule type="expression" dxfId="8153" priority="4569">
      <formula>$B4976="Serviço"</formula>
    </cfRule>
  </conditionalFormatting>
  <conditionalFormatting sqref="K345:K360 K370:K383 K385:K460">
    <cfRule type="expression" dxfId="8152" priority="4871">
      <formula>$B345="Subetapa"</formula>
    </cfRule>
  </conditionalFormatting>
  <conditionalFormatting sqref="I1018:K1018 I1168:K1168">
    <cfRule type="expression" dxfId="8151" priority="4859">
      <formula>$B1018="Subetapa"</formula>
    </cfRule>
  </conditionalFormatting>
  <conditionalFormatting sqref="K1186:K1197">
    <cfRule type="expression" dxfId="8150" priority="4550">
      <formula>$B1186="Subetapa"</formula>
    </cfRule>
  </conditionalFormatting>
  <conditionalFormatting sqref="K2053:K2119">
    <cfRule type="expression" dxfId="8149" priority="4848">
      <formula>$B2053="Subetapa"</formula>
    </cfRule>
  </conditionalFormatting>
  <conditionalFormatting sqref="I2188:K2188">
    <cfRule type="expression" dxfId="8148" priority="4903">
      <formula>$B2188="Subetapa"</formula>
    </cfRule>
  </conditionalFormatting>
  <conditionalFormatting sqref="K2755:K2756">
    <cfRule type="expression" dxfId="8147" priority="4836">
      <formula>$B2755="Subetapa"</formula>
    </cfRule>
  </conditionalFormatting>
  <conditionalFormatting sqref="K2770:K2771">
    <cfRule type="expression" dxfId="8146" priority="4692">
      <formula>$B2770="Subetapa"</formula>
    </cfRule>
  </conditionalFormatting>
  <conditionalFormatting sqref="I2760:K2760 I2773:K2805">
    <cfRule type="expression" dxfId="8145" priority="4909">
      <formula>$B2760="Subetapa"</formula>
    </cfRule>
  </conditionalFormatting>
  <conditionalFormatting sqref="K3048:K3055">
    <cfRule type="expression" dxfId="8144" priority="4542">
      <formula>$B3048="Subetapa"</formula>
    </cfRule>
  </conditionalFormatting>
  <conditionalFormatting sqref="I3238:K3238">
    <cfRule type="expression" dxfId="8143" priority="4818">
      <formula>$B3238="Subetapa"</formula>
    </cfRule>
  </conditionalFormatting>
  <conditionalFormatting sqref="K3623:K3673">
    <cfRule type="expression" dxfId="8142" priority="4812">
      <formula>$B3623="Subetapa"</formula>
    </cfRule>
  </conditionalFormatting>
  <conditionalFormatting sqref="K3679:K3683">
    <cfRule type="expression" dxfId="8141" priority="4541">
      <formula>$B3679="Subetapa"</formula>
    </cfRule>
  </conditionalFormatting>
  <conditionalFormatting sqref="K3885:K3889">
    <cfRule type="expression" dxfId="8140" priority="4772">
      <formula>$B3885="Subetapa"</formula>
    </cfRule>
  </conditionalFormatting>
  <conditionalFormatting sqref="I3893:K3893">
    <cfRule type="expression" dxfId="8139" priority="4719">
      <formula>$B3893="Subetapa"</formula>
    </cfRule>
  </conditionalFormatting>
  <conditionalFormatting sqref="K3894:K3900">
    <cfRule type="expression" dxfId="8138" priority="4769">
      <formula>$B3894="Subetapa"</formula>
    </cfRule>
  </conditionalFormatting>
  <conditionalFormatting sqref="I3895:K3895">
    <cfRule type="expression" dxfId="8137" priority="4804">
      <formula>$B3895="Subetapa"</formula>
    </cfRule>
  </conditionalFormatting>
  <conditionalFormatting sqref="I3904:K3904">
    <cfRule type="expression" dxfId="8136" priority="4728">
      <formula>$B3904="Subetapa"</formula>
    </cfRule>
  </conditionalFormatting>
  <conditionalFormatting sqref="K3905:K3911">
    <cfRule type="expression" dxfId="8135" priority="4766">
      <formula>$B3905="Subetapa"</formula>
    </cfRule>
  </conditionalFormatting>
  <conditionalFormatting sqref="I3906:K3906">
    <cfRule type="expression" dxfId="8134" priority="4803">
      <formula>$B3906="Subetapa"</formula>
    </cfRule>
  </conditionalFormatting>
  <conditionalFormatting sqref="I3915:K3915">
    <cfRule type="expression" dxfId="8133" priority="4737">
      <formula>$B3915="Subetapa"</formula>
    </cfRule>
  </conditionalFormatting>
  <conditionalFormatting sqref="K3916:K3922">
    <cfRule type="expression" dxfId="8132" priority="4763">
      <formula>$B3916="Subetapa"</formula>
    </cfRule>
  </conditionalFormatting>
  <conditionalFormatting sqref="I3917:K3917">
    <cfRule type="expression" dxfId="8131" priority="4802">
      <formula>$B3917="Subetapa"</formula>
    </cfRule>
  </conditionalFormatting>
  <conditionalFormatting sqref="I3926:K3926">
    <cfRule type="expression" dxfId="8130" priority="4746">
      <formula>$B3926="Subetapa"</formula>
    </cfRule>
  </conditionalFormatting>
  <conditionalFormatting sqref="K3927:K3932 K3937:K3947">
    <cfRule type="expression" dxfId="8129" priority="4760">
      <formula>$B3927="Subetapa"</formula>
    </cfRule>
  </conditionalFormatting>
  <conditionalFormatting sqref="I3928:K3928">
    <cfRule type="expression" dxfId="8128" priority="4801">
      <formula>$B3928="Subetapa"</formula>
    </cfRule>
  </conditionalFormatting>
  <conditionalFormatting sqref="K3948:K3952">
    <cfRule type="expression" dxfId="8127" priority="4757">
      <formula>$B3948="Subetapa"</formula>
    </cfRule>
  </conditionalFormatting>
  <conditionalFormatting sqref="K3956:K3959 K3962:K3979">
    <cfRule type="expression" dxfId="8126" priority="4700">
      <formula>$B3956="Subetapa"</formula>
    </cfRule>
  </conditionalFormatting>
  <conditionalFormatting sqref="K4283:K4301 K4304:K4321">
    <cfRule type="expression" dxfId="8125" priority="4789">
      <formula>$B4283="Subetapa"</formula>
    </cfRule>
  </conditionalFormatting>
  <conditionalFormatting sqref="K4703:K4720">
    <cfRule type="expression" dxfId="8124" priority="4874">
      <formula>$B4703="Subetapa"</formula>
    </cfRule>
  </conditionalFormatting>
  <conditionalFormatting sqref="K4721:K4724">
    <cfRule type="expression" dxfId="8123" priority="4790">
      <formula>$B4721="Subetapa"</formula>
    </cfRule>
  </conditionalFormatting>
  <conditionalFormatting sqref="K4835:K4836 K4840:K4842 K4971:K4974 K4992:K4997 K5009:K5010">
    <cfRule type="expression" dxfId="8122" priority="4885">
      <formula>$B4835="Subetapa"</formula>
    </cfRule>
  </conditionalFormatting>
  <conditionalFormatting sqref="I4860:K4860">
    <cfRule type="expression" dxfId="8121" priority="4893">
      <formula>$B4860="Subetapa"</formula>
    </cfRule>
  </conditionalFormatting>
  <conditionalFormatting sqref="K4941:K4957">
    <cfRule type="expression" dxfId="8120" priority="4883">
      <formula>$B4941="Subetapa"</formula>
    </cfRule>
  </conditionalFormatting>
  <conditionalFormatting sqref="K4974:K4975 K4984:K4991">
    <cfRule type="expression" dxfId="8119" priority="4916">
      <formula>$B4974="Subetapa"</formula>
    </cfRule>
  </conditionalFormatting>
  <conditionalFormatting sqref="I2736:K2736">
    <cfRule type="expression" dxfId="8118" priority="4876">
      <formula>$B2736="Subetapa"</formula>
    </cfRule>
  </conditionalFormatting>
  <conditionalFormatting sqref="I2192:K2192 I4831:K4831">
    <cfRule type="expression" dxfId="8117" priority="4880">
      <formula>$B2192="Subetapa"</formula>
    </cfRule>
  </conditionalFormatting>
  <conditionalFormatting sqref="K3108:K3128 K3137:K3138">
    <cfRule type="expression" dxfId="8116" priority="4910">
      <formula>$B3108="Subetapa"</formula>
    </cfRule>
  </conditionalFormatting>
  <conditionalFormatting sqref="K4460:K4503">
    <cfRule type="expression" dxfId="8115" priority="4793">
      <formula>$B4460="Subetapa"</formula>
    </cfRule>
  </conditionalFormatting>
  <conditionalFormatting sqref="A195:A212">
    <cfRule type="expression" dxfId="8114" priority="4457">
      <formula>$B195="Subetapa"</formula>
    </cfRule>
  </conditionalFormatting>
  <conditionalFormatting sqref="A4976:A4983">
    <cfRule type="expression" dxfId="8113" priority="3729">
      <formula>$B4976="Subetapa"</formula>
    </cfRule>
    <cfRule type="expression" dxfId="8112" priority="3730">
      <formula>$B4976="Serviço"</formula>
    </cfRule>
  </conditionalFormatting>
  <conditionalFormatting sqref="A4:A151 A153:A194">
    <cfRule type="expression" dxfId="8111" priority="4406">
      <formula>$B4="Subetapa"</formula>
    </cfRule>
  </conditionalFormatting>
  <conditionalFormatting sqref="A271 A273">
    <cfRule type="expression" dxfId="8110" priority="3826">
      <formula>$B271="Serviço"</formula>
    </cfRule>
    <cfRule type="expression" dxfId="8109" priority="3827">
      <formula>$B271="Subetapa"</formula>
    </cfRule>
  </conditionalFormatting>
  <conditionalFormatting sqref="A287:A289 A295 A293 A291">
    <cfRule type="expression" dxfId="8108" priority="3830">
      <formula>$B287="Serviço"</formula>
    </cfRule>
    <cfRule type="expression" dxfId="8107" priority="3831">
      <formula>$B287="Subetapa"</formula>
    </cfRule>
  </conditionalFormatting>
  <conditionalFormatting sqref="A297">
    <cfRule type="expression" dxfId="8106" priority="3824">
      <formula>$B297="Serviço"</formula>
    </cfRule>
    <cfRule type="expression" dxfId="8105" priority="3825">
      <formula>$B297="Subetapa"</formula>
    </cfRule>
  </conditionalFormatting>
  <conditionalFormatting sqref="A345:A360">
    <cfRule type="expression" dxfId="8104" priority="4481">
      <formula>$B345="Subetapa"</formula>
    </cfRule>
  </conditionalFormatting>
  <conditionalFormatting sqref="A461:A463">
    <cfRule type="expression" dxfId="8103" priority="3822">
      <formula>$B461="Serviço"</formula>
    </cfRule>
    <cfRule type="expression" dxfId="8102" priority="3823">
      <formula>$B461="Subetapa"</formula>
    </cfRule>
  </conditionalFormatting>
  <conditionalFormatting sqref="A473:A476">
    <cfRule type="expression" dxfId="8101" priority="3820">
      <formula>$B473="Serviço"</formula>
    </cfRule>
    <cfRule type="expression" dxfId="8100" priority="3821">
      <formula>$B473="Subetapa"</formula>
    </cfRule>
  </conditionalFormatting>
  <conditionalFormatting sqref="A500:A501">
    <cfRule type="expression" dxfId="8099" priority="3818">
      <formula>$B500="Serviço"</formula>
    </cfRule>
    <cfRule type="expression" dxfId="8098" priority="3819">
      <formula>$B500="Subetapa"</formula>
    </cfRule>
  </conditionalFormatting>
  <conditionalFormatting sqref="A621:A639">
    <cfRule type="expression" dxfId="8097" priority="3816">
      <formula>$B621="Serviço"</formula>
    </cfRule>
    <cfRule type="expression" dxfId="8096" priority="3817">
      <formula>$B621="Subetapa"</formula>
    </cfRule>
  </conditionalFormatting>
  <conditionalFormatting sqref="A661:A663">
    <cfRule type="expression" dxfId="8095" priority="3813">
      <formula>$B661="Serviço"</formula>
    </cfRule>
  </conditionalFormatting>
  <conditionalFormatting sqref="A661:A664">
    <cfRule type="expression" dxfId="8094" priority="3814">
      <formula>$B661="Subetapa"</formula>
    </cfRule>
  </conditionalFormatting>
  <conditionalFormatting sqref="A787:A791 A793:A809">
    <cfRule type="expression" dxfId="8093" priority="4400">
      <formula>$B787="Subetapa"</formula>
    </cfRule>
  </conditionalFormatting>
  <conditionalFormatting sqref="A814:A834">
    <cfRule type="expression" dxfId="8092" priority="3807">
      <formula>$B814="Serviço"</formula>
    </cfRule>
    <cfRule type="expression" dxfId="8091" priority="3808">
      <formula>$B814="Subetapa"</formula>
    </cfRule>
  </conditionalFormatting>
  <conditionalFormatting sqref="A835:A838">
    <cfRule type="expression" dxfId="8090" priority="3805">
      <formula>$B835="Serviço"</formula>
    </cfRule>
    <cfRule type="expression" dxfId="8089" priority="3806">
      <formula>$B835="Subetapa"</formula>
    </cfRule>
  </conditionalFormatting>
  <conditionalFormatting sqref="A843:A847">
    <cfRule type="expression" dxfId="8088" priority="4458">
      <formula>$B843="Subetapa"</formula>
    </cfRule>
  </conditionalFormatting>
  <conditionalFormatting sqref="A848:A850">
    <cfRule type="expression" dxfId="8087" priority="4486">
      <formula>$B848="Subetapa"</formula>
    </cfRule>
  </conditionalFormatting>
  <conditionalFormatting sqref="A852:A860">
    <cfRule type="expression" dxfId="8086" priority="4438">
      <formula>$B852="Subetapa"</formula>
    </cfRule>
  </conditionalFormatting>
  <conditionalFormatting sqref="A860:A862">
    <cfRule type="expression" dxfId="8085" priority="4434">
      <formula>$B860="Subetapa"</formula>
    </cfRule>
  </conditionalFormatting>
  <conditionalFormatting sqref="A879:A882">
    <cfRule type="expression" dxfId="8084" priority="3795">
      <formula>$B879="Serviço"</formula>
    </cfRule>
    <cfRule type="expression" dxfId="8083" priority="3796">
      <formula>$B879="Subetapa"</formula>
    </cfRule>
  </conditionalFormatting>
  <conditionalFormatting sqref="A883:A884">
    <cfRule type="expression" dxfId="8082" priority="3791">
      <formula>$B883="Serviço"</formula>
    </cfRule>
    <cfRule type="expression" dxfId="8081" priority="3792">
      <formula>$B883="Subetapa"</formula>
    </cfRule>
  </conditionalFormatting>
  <conditionalFormatting sqref="A895:A896">
    <cfRule type="expression" dxfId="8080" priority="3803">
      <formula>$B895="Serviço"</formula>
    </cfRule>
    <cfRule type="expression" dxfId="8079" priority="3804">
      <formula>$B895="Subetapa"</formula>
    </cfRule>
  </conditionalFormatting>
  <conditionalFormatting sqref="A918:A929">
    <cfRule type="expression" dxfId="8078" priority="3870">
      <formula>$B918="Serviço"</formula>
    </cfRule>
    <cfRule type="expression" dxfId="8077" priority="3871">
      <formula>$B918="Subetapa"</formula>
    </cfRule>
  </conditionalFormatting>
  <conditionalFormatting sqref="A931:A942">
    <cfRule type="expression" dxfId="8076" priority="3882">
      <formula>$B931="Serviço"</formula>
    </cfRule>
    <cfRule type="expression" dxfId="8075" priority="3883">
      <formula>$B931="Subetapa"</formula>
    </cfRule>
  </conditionalFormatting>
  <conditionalFormatting sqref="A943:A956">
    <cfRule type="expression" dxfId="8074" priority="4074">
      <formula>$B943="Subetapa"</formula>
    </cfRule>
  </conditionalFormatting>
  <conditionalFormatting sqref="A957:A962 A1169:A1172">
    <cfRule type="expression" dxfId="8073" priority="4464">
      <formula>$B957="Subetapa"</formula>
    </cfRule>
  </conditionalFormatting>
  <conditionalFormatting sqref="A963:A989">
    <cfRule type="expression" dxfId="8072" priority="4072">
      <formula>$B963="Subetapa"</formula>
    </cfRule>
  </conditionalFormatting>
  <conditionalFormatting sqref="A979:A980">
    <cfRule type="expression" dxfId="8071" priority="4423">
      <formula>$B979="Subetapa"</formula>
    </cfRule>
  </conditionalFormatting>
  <conditionalFormatting sqref="A1175:A1185">
    <cfRule type="expression" dxfId="8070" priority="3790">
      <formula>$B1175="Subetapa"</formula>
    </cfRule>
  </conditionalFormatting>
  <conditionalFormatting sqref="A1175:A1185">
    <cfRule type="expression" dxfId="8069" priority="3789">
      <formula>$B1175="Serviço"</formula>
    </cfRule>
  </conditionalFormatting>
  <conditionalFormatting sqref="A1290:A1299">
    <cfRule type="expression" dxfId="8068" priority="3778">
      <formula>$B1290="Serviço"</formula>
    </cfRule>
  </conditionalFormatting>
  <conditionalFormatting sqref="A1301:A1310 A1312:A1321 A1323:A1332 A1334:A1343 A1345:A1346">
    <cfRule type="expression" dxfId="8067" priority="3787">
      <formula>$B1301="Subetapa"</formula>
    </cfRule>
  </conditionalFormatting>
  <conditionalFormatting sqref="A1302:A1310 A1313:A1321 A1324:A1332 A1335:A1343 A1356:A1373">
    <cfRule type="expression" dxfId="8066" priority="3785">
      <formula>$B1302="Subetapa"</formula>
    </cfRule>
  </conditionalFormatting>
  <conditionalFormatting sqref="A1257:A1265 A1268:A1276 A1279:A1287 A1302:A1310 A1313:A1321 A1324:A1332 A1335:A1343 A1357:A1361 A1363:A1367 A1369:A1373">
    <cfRule type="expression" dxfId="8065" priority="3784">
      <formula>$B1257="Serviço"</formula>
    </cfRule>
  </conditionalFormatting>
  <conditionalFormatting sqref="A1376:A1385">
    <cfRule type="expression" dxfId="8064" priority="3786">
      <formula>$B1376="Serviço"</formula>
    </cfRule>
  </conditionalFormatting>
  <conditionalFormatting sqref="A1549:A1624">
    <cfRule type="expression" dxfId="8063" priority="4377">
      <formula>$B1549="Subetapa"</formula>
    </cfRule>
  </conditionalFormatting>
  <conditionalFormatting sqref="A1627:A1636">
    <cfRule type="expression" dxfId="8062" priority="4375">
      <formula>$B1627="Subetapa"</formula>
    </cfRule>
  </conditionalFormatting>
  <conditionalFormatting sqref="A1639:A1648">
    <cfRule type="expression" dxfId="8061" priority="4372">
      <formula>$B1639="Subetapa"</formula>
    </cfRule>
  </conditionalFormatting>
  <conditionalFormatting sqref="A1814:A1822">
    <cfRule type="expression" dxfId="8060" priority="4426">
      <formula>$B1814="Subetapa"</formula>
    </cfRule>
  </conditionalFormatting>
  <conditionalFormatting sqref="A1868:A1891">
    <cfRule type="expression" dxfId="8059" priority="4352">
      <formula>$B1868="Subetapa"</formula>
    </cfRule>
  </conditionalFormatting>
  <conditionalFormatting sqref="A1882:A1892">
    <cfRule type="expression" dxfId="8058" priority="4357">
      <formula>$B1882="Subetapa"</formula>
    </cfRule>
  </conditionalFormatting>
  <conditionalFormatting sqref="A1893:A1904">
    <cfRule type="expression" dxfId="8057" priority="4346">
      <formula>$B1893="Subetapa"</formula>
    </cfRule>
  </conditionalFormatting>
  <conditionalFormatting sqref="A1907:A1916">
    <cfRule type="expression" dxfId="8056" priority="4334">
      <formula>$B1907="Subetapa"</formula>
    </cfRule>
  </conditionalFormatting>
  <conditionalFormatting sqref="A1908:A1916">
    <cfRule type="expression" dxfId="8055" priority="4336">
      <formula>$B1908="Subetapa"</formula>
    </cfRule>
  </conditionalFormatting>
  <conditionalFormatting sqref="A1918:A1928">
    <cfRule type="expression" dxfId="8054" priority="4327">
      <formula>$B1918="Subetapa"</formula>
    </cfRule>
  </conditionalFormatting>
  <conditionalFormatting sqref="A1920:A1928">
    <cfRule type="expression" dxfId="8053" priority="4329">
      <formula>$B1920="Subetapa"</formula>
    </cfRule>
  </conditionalFormatting>
  <conditionalFormatting sqref="A1930:A1941">
    <cfRule type="expression" dxfId="8052" priority="4321">
      <formula>$B1930="Subetapa"</formula>
    </cfRule>
  </conditionalFormatting>
  <conditionalFormatting sqref="A1943:A1954">
    <cfRule type="expression" dxfId="8051" priority="4315">
      <formula>$B1943="Subetapa"</formula>
    </cfRule>
  </conditionalFormatting>
  <conditionalFormatting sqref="A1956:A1967">
    <cfRule type="expression" dxfId="8050" priority="4309">
      <formula>$B1956="Subetapa"</formula>
    </cfRule>
  </conditionalFormatting>
  <conditionalFormatting sqref="A1969:A1980">
    <cfRule type="expression" dxfId="8049" priority="4303">
      <formula>$B1969="Subetapa"</formula>
    </cfRule>
  </conditionalFormatting>
  <conditionalFormatting sqref="A1982:A1992">
    <cfRule type="expression" dxfId="8048" priority="4296">
      <formula>$B1982="Subetapa"</formula>
    </cfRule>
  </conditionalFormatting>
  <conditionalFormatting sqref="A1994:A2004">
    <cfRule type="expression" dxfId="8047" priority="4289">
      <formula>$B1994="Subetapa"</formula>
    </cfRule>
  </conditionalFormatting>
  <conditionalFormatting sqref="A2006:A2016">
    <cfRule type="expression" dxfId="8046" priority="4340">
      <formula>$B2006="Subetapa"</formula>
    </cfRule>
  </conditionalFormatting>
  <conditionalFormatting sqref="A2008:A2017">
    <cfRule type="expression" dxfId="8045" priority="4342">
      <formula>$B2008="Subetapa"</formula>
    </cfRule>
  </conditionalFormatting>
  <conditionalFormatting sqref="A2021:A2028 A2018:A2019">
    <cfRule type="expression" dxfId="8044" priority="4285">
      <formula>$B2018="Subetapa"</formula>
    </cfRule>
  </conditionalFormatting>
  <conditionalFormatting sqref="A2031:A2040">
    <cfRule type="expression" dxfId="8043" priority="4283">
      <formula>$B2031="Subetapa"</formula>
    </cfRule>
  </conditionalFormatting>
  <conditionalFormatting sqref="A2043:A2052">
    <cfRule type="expression" dxfId="8042" priority="4280">
      <formula>$B2043="Subetapa"</formula>
    </cfRule>
  </conditionalFormatting>
  <conditionalFormatting sqref="A2054:A2055">
    <cfRule type="expression" dxfId="8041" priority="4274">
      <formula>$B2054="Subetapa"</formula>
    </cfRule>
  </conditionalFormatting>
  <conditionalFormatting sqref="A2055:A2065">
    <cfRule type="expression" dxfId="8040" priority="4272">
      <formula>$B2055="Subetapa"</formula>
    </cfRule>
  </conditionalFormatting>
  <conditionalFormatting sqref="A2056:A2066">
    <cfRule type="expression" dxfId="8039" priority="4277">
      <formula>$B2056="Subetapa"</formula>
    </cfRule>
  </conditionalFormatting>
  <conditionalFormatting sqref="A2105:A2112">
    <cfRule type="expression" dxfId="8038" priority="4251">
      <formula>$B2105="Subetapa"</formula>
    </cfRule>
  </conditionalFormatting>
  <conditionalFormatting sqref="A2113:A2118">
    <cfRule type="expression" dxfId="8037" priority="4244">
      <formula>$B2113="Subetapa"</formula>
    </cfRule>
  </conditionalFormatting>
  <conditionalFormatting sqref="A2120:A2125">
    <cfRule type="expression" dxfId="8036" priority="4237">
      <formula>$B2120="Subetapa"</formula>
    </cfRule>
  </conditionalFormatting>
  <conditionalFormatting sqref="A2127:A2132">
    <cfRule type="expression" dxfId="8035" priority="4230">
      <formula>$B2127="Subetapa"</formula>
    </cfRule>
  </conditionalFormatting>
  <conditionalFormatting sqref="A2134:A2139">
    <cfRule type="expression" dxfId="8034" priority="4223">
      <formula>$B2134="Subetapa"</formula>
    </cfRule>
  </conditionalFormatting>
  <conditionalFormatting sqref="A2179:A2180">
    <cfRule type="expression" dxfId="8033" priority="4466">
      <formula>$B2179="Subetapa"</formula>
    </cfRule>
  </conditionalFormatting>
  <conditionalFormatting sqref="A2181:A2207 A2317:A2330">
    <cfRule type="expression" dxfId="8032" priority="4411">
      <formula>$B2181="Subetapa"</formula>
    </cfRule>
  </conditionalFormatting>
  <conditionalFormatting sqref="A2212:A2223">
    <cfRule type="expression" dxfId="8031" priority="3895">
      <formula>$B2212="Subetapa"</formula>
    </cfRule>
  </conditionalFormatting>
  <conditionalFormatting sqref="A2224:A2243">
    <cfRule type="expression" dxfId="8030" priority="3896">
      <formula>$B2224="Subetapa"</formula>
    </cfRule>
  </conditionalFormatting>
  <conditionalFormatting sqref="A2338:A2341">
    <cfRule type="expression" dxfId="8029" priority="3771">
      <formula>$B2338="Serviço"</formula>
    </cfRule>
    <cfRule type="expression" dxfId="8028" priority="3772">
      <formula>$B2338="Subetapa"</formula>
    </cfRule>
  </conditionalFormatting>
  <conditionalFormatting sqref="A2347:A2348">
    <cfRule type="expression" dxfId="8027" priority="3769">
      <formula>$B2347="Serviço"</formula>
    </cfRule>
    <cfRule type="expression" dxfId="8026" priority="3770">
      <formula>$B2347="Subetapa"</formula>
    </cfRule>
  </conditionalFormatting>
  <conditionalFormatting sqref="A2349:A2350">
    <cfRule type="expression" dxfId="8025" priority="3767">
      <formula>$B2349="Serviço"</formula>
    </cfRule>
    <cfRule type="expression" dxfId="8024" priority="3768">
      <formula>$B2349="Subetapa"</formula>
    </cfRule>
  </conditionalFormatting>
  <conditionalFormatting sqref="A2356:A2357">
    <cfRule type="expression" dxfId="8023" priority="4210">
      <formula>$B2356="Subetapa"</formula>
    </cfRule>
  </conditionalFormatting>
  <conditionalFormatting sqref="A2359:A2367 A2369:A2373 A2344:A2345 A2390:A2434">
    <cfRule type="expression" dxfId="8022" priority="4430">
      <formula>$B2344="Subetapa"</formula>
    </cfRule>
  </conditionalFormatting>
  <conditionalFormatting sqref="A2374:A2378">
    <cfRule type="expression" dxfId="8021" priority="3765">
      <formula>$B2374="Serviço"</formula>
    </cfRule>
    <cfRule type="expression" dxfId="8020" priority="3766">
      <formula>$B2374="Subetapa"</formula>
    </cfRule>
  </conditionalFormatting>
  <conditionalFormatting sqref="A2379:A2388">
    <cfRule type="expression" dxfId="8019" priority="3763">
      <formula>$B2379="Subetapa"</formula>
    </cfRule>
  </conditionalFormatting>
  <conditionalFormatting sqref="A2380:A2383 A2385:A2388">
    <cfRule type="expression" dxfId="8018" priority="3764">
      <formula>$B2380="Serviço"</formula>
    </cfRule>
  </conditionalFormatting>
  <conditionalFormatting sqref="A2435:A2469">
    <cfRule type="expression" dxfId="8017" priority="4206">
      <formula>$B2435="Subetapa"</formula>
    </cfRule>
  </conditionalFormatting>
  <conditionalFormatting sqref="A2470:A2474">
    <cfRule type="expression" dxfId="8016" priority="3761">
      <formula>$B2470="Serviço"</formula>
    </cfRule>
  </conditionalFormatting>
  <conditionalFormatting sqref="A2637:A2661">
    <cfRule type="expression" dxfId="8015" priority="4059">
      <formula>$B2637="Subetapa"</formula>
    </cfRule>
  </conditionalFormatting>
  <conditionalFormatting sqref="A2662:A2669">
    <cfRule type="expression" dxfId="8014" priority="4051">
      <formula>$B2662="Subetapa"</formula>
    </cfRule>
  </conditionalFormatting>
  <conditionalFormatting sqref="A2670:A2672">
    <cfRule type="expression" dxfId="8013" priority="4053">
      <formula>$B2670="Subetapa"</formula>
    </cfRule>
  </conditionalFormatting>
  <conditionalFormatting sqref="A2673:A2674 A2690 A2682 A2687:A2688 A2684:A2685">
    <cfRule type="expression" dxfId="8012" priority="3760">
      <formula>$B2673="Serviço"</formula>
    </cfRule>
  </conditionalFormatting>
  <conditionalFormatting sqref="A2673:A2674 A2690 A2682 A2687:A2688 A2684:A2685">
    <cfRule type="expression" dxfId="8011" priority="3759">
      <formula>$B2673="Subetapa"</formula>
    </cfRule>
  </conditionalFormatting>
  <conditionalFormatting sqref="A2731:A2735">
    <cfRule type="expression" dxfId="8010" priority="4057">
      <formula>$B2731="Subetapa"</formula>
    </cfRule>
  </conditionalFormatting>
  <conditionalFormatting sqref="A2737:A2753">
    <cfRule type="expression" dxfId="8009" priority="4055">
      <formula>$B2737="Subetapa"</formula>
    </cfRule>
  </conditionalFormatting>
  <conditionalFormatting sqref="A2765:A2767">
    <cfRule type="expression" dxfId="8008" priority="3757">
      <formula>$B2765="Serviço"</formula>
    </cfRule>
  </conditionalFormatting>
  <conditionalFormatting sqref="A2765:A2767">
    <cfRule type="expression" dxfId="8007" priority="3758">
      <formula>$B2765="Subetapa"</formula>
    </cfRule>
  </conditionalFormatting>
  <conditionalFormatting sqref="A2772:A2787">
    <cfRule type="expression" dxfId="8006" priority="4203">
      <formula>$B2772="Subetapa"</formula>
    </cfRule>
  </conditionalFormatting>
  <conditionalFormatting sqref="A2806:A2816">
    <cfRule type="expression" dxfId="8005" priority="3756">
      <formula>$B2806="Subetapa"</formula>
    </cfRule>
  </conditionalFormatting>
  <conditionalFormatting sqref="A2806:A2816">
    <cfRule type="expression" dxfId="8004" priority="3755">
      <formula>$B2806="Serviço"</formula>
    </cfRule>
  </conditionalFormatting>
  <conditionalFormatting sqref="A2883:A2884 A3247:A3249 A3177:A3188">
    <cfRule type="expression" dxfId="8003" priority="3753">
      <formula>$B2883="Subetapa"</formula>
    </cfRule>
    <cfRule type="expression" dxfId="8002" priority="3754">
      <formula>$B2883="Serviço"</formula>
    </cfRule>
  </conditionalFormatting>
  <conditionalFormatting sqref="A2911:A2918">
    <cfRule type="expression" dxfId="8001" priority="4197">
      <formula>$B2911="Subetapa"</formula>
    </cfRule>
  </conditionalFormatting>
  <conditionalFormatting sqref="A2937:A2960">
    <cfRule type="expression" dxfId="8000" priority="4404">
      <formula>$B2937="Subetapa"</formula>
    </cfRule>
  </conditionalFormatting>
  <conditionalFormatting sqref="A3048:A3055 A3023:A3046">
    <cfRule type="expression" dxfId="7999" priority="4489">
      <formula>$B3023="Subetapa"</formula>
    </cfRule>
  </conditionalFormatting>
  <conditionalFormatting sqref="A3056:A3063">
    <cfRule type="expression" dxfId="7998" priority="3751">
      <formula>$B3056="Subetapa"</formula>
    </cfRule>
    <cfRule type="expression" dxfId="7997" priority="3752">
      <formula>$B3056="Serviço"</formula>
    </cfRule>
  </conditionalFormatting>
  <conditionalFormatting sqref="A3097:A3098">
    <cfRule type="expression" dxfId="7996" priority="3750">
      <formula>$B3097="Serviço"</formula>
    </cfRule>
  </conditionalFormatting>
  <conditionalFormatting sqref="A3097:A3098">
    <cfRule type="expression" dxfId="7995" priority="3749">
      <formula>$B3097="Subetapa"</formula>
    </cfRule>
  </conditionalFormatting>
  <conditionalFormatting sqref="A3099:A3106 A3108:A3128 A3137:A3138">
    <cfRule type="expression" dxfId="7994" priority="4431">
      <formula>$B3099="Subetapa"</formula>
    </cfRule>
  </conditionalFormatting>
  <conditionalFormatting sqref="A3129:A3136">
    <cfRule type="expression" dxfId="7993" priority="3747">
      <formula>$B3129="Subetapa"</formula>
    </cfRule>
    <cfRule type="expression" dxfId="7992" priority="3748">
      <formula>$B3129="Serviço"</formula>
    </cfRule>
  </conditionalFormatting>
  <conditionalFormatting sqref="A3350:A3379">
    <cfRule type="expression" dxfId="7991" priority="4183">
      <formula>$B3350="Subetapa"</formula>
    </cfRule>
  </conditionalFormatting>
  <conditionalFormatting sqref="A3380:A3463">
    <cfRule type="expression" dxfId="7990" priority="4187">
      <formula>$B3380="Subetapa"</formula>
    </cfRule>
  </conditionalFormatting>
  <conditionalFormatting sqref="A3464:A3475">
    <cfRule type="expression" dxfId="7989" priority="4185">
      <formula>$B3464="Subetapa"</formula>
    </cfRule>
  </conditionalFormatting>
  <conditionalFormatting sqref="A3623:A3625">
    <cfRule type="expression" dxfId="7988" priority="4168">
      <formula>$B3623="Subetapa"</formula>
    </cfRule>
  </conditionalFormatting>
  <conditionalFormatting sqref="A3626:A3628">
    <cfRule type="expression" dxfId="7987" priority="4176">
      <formula>$B3626="Subetapa"</formula>
    </cfRule>
  </conditionalFormatting>
  <conditionalFormatting sqref="A3640:A3643">
    <cfRule type="expression" dxfId="7986" priority="4172">
      <formula>$B3640="Subetapa"</formula>
    </cfRule>
  </conditionalFormatting>
  <conditionalFormatting sqref="A3662:A3673">
    <cfRule type="expression" dxfId="7985" priority="4174">
      <formula>$B3662="Subetapa"</formula>
    </cfRule>
  </conditionalFormatting>
  <conditionalFormatting sqref="A3674:A3678">
    <cfRule type="expression" dxfId="7984" priority="3743">
      <formula>$B3674="Serviço"</formula>
    </cfRule>
    <cfRule type="expression" dxfId="7983" priority="3744">
      <formula>$B3674="Subetapa"</formula>
    </cfRule>
  </conditionalFormatting>
  <conditionalFormatting sqref="A3679:A3683">
    <cfRule type="expression" dxfId="7982" priority="4170">
      <formula>$B3679="Subetapa"</formula>
    </cfRule>
  </conditionalFormatting>
  <conditionalFormatting sqref="A3684:A3688">
    <cfRule type="expression" dxfId="7981" priority="3741">
      <formula>$B3684="Serviço"</formula>
    </cfRule>
    <cfRule type="expression" dxfId="7980" priority="3742">
      <formula>$B3684="Subetapa"</formula>
    </cfRule>
  </conditionalFormatting>
  <conditionalFormatting sqref="A3699:A3708">
    <cfRule type="expression" dxfId="7979" priority="3739">
      <formula>$B3699="Serviço"</formula>
    </cfRule>
    <cfRule type="expression" dxfId="7978" priority="3740">
      <formula>$B3699="Subetapa"</formula>
    </cfRule>
  </conditionalFormatting>
  <conditionalFormatting sqref="A3722:A3724">
    <cfRule type="expression" dxfId="7977" priority="3737">
      <formula>$B3722="Serviço"</formula>
    </cfRule>
    <cfRule type="expression" dxfId="7976" priority="3738">
      <formula>$B3722="Subetapa"</formula>
    </cfRule>
  </conditionalFormatting>
  <conditionalFormatting sqref="A3731:A3758">
    <cfRule type="expression" dxfId="7975" priority="4042">
      <formula>$B3731="Subetapa"</formula>
    </cfRule>
  </conditionalFormatting>
  <conditionalFormatting sqref="A3767:A3787">
    <cfRule type="expression" dxfId="7974" priority="4190">
      <formula>$B3767="Subetapa"</formula>
    </cfRule>
  </conditionalFormatting>
  <conditionalFormatting sqref="A3788:A3793">
    <cfRule type="expression" dxfId="7973" priority="4034">
      <formula>$B3788="Subetapa"</formula>
    </cfRule>
  </conditionalFormatting>
  <conditionalFormatting sqref="A3794:A3807">
    <cfRule type="expression" dxfId="7972" priority="4156">
      <formula>$B3794="Subetapa"</formula>
    </cfRule>
  </conditionalFormatting>
  <conditionalFormatting sqref="A3808:A3815">
    <cfRule type="expression" dxfId="7971" priority="3736">
      <formula>$B3808="Serviço"</formula>
    </cfRule>
  </conditionalFormatting>
  <conditionalFormatting sqref="A3808:A3815">
    <cfRule type="expression" dxfId="7970" priority="3735">
      <formula>$B3808="Subetapa"</formula>
    </cfRule>
  </conditionalFormatting>
  <conditionalFormatting sqref="A3846:A3847">
    <cfRule type="expression" dxfId="7969" priority="4110">
      <formula>$B3846="Subetapa"</formula>
    </cfRule>
  </conditionalFormatting>
  <conditionalFormatting sqref="A3858:A3859">
    <cfRule type="expression" dxfId="7968" priority="4152">
      <formula>$B3858="Subetapa"</formula>
    </cfRule>
  </conditionalFormatting>
  <conditionalFormatting sqref="A3861:A3862">
    <cfRule type="expression" dxfId="7967" priority="4150">
      <formula>$B3861="Subetapa"</formula>
    </cfRule>
  </conditionalFormatting>
  <conditionalFormatting sqref="A3864:A3865">
    <cfRule type="expression" dxfId="7966" priority="4142">
      <formula>$B3864="Subetapa"</formula>
    </cfRule>
  </conditionalFormatting>
  <conditionalFormatting sqref="A3883:A3884">
    <cfRule type="expression" dxfId="7965" priority="4137">
      <formula>$B3883="Subetapa"</formula>
    </cfRule>
  </conditionalFormatting>
  <conditionalFormatting sqref="A3894:A3895">
    <cfRule type="expression" dxfId="7964" priority="4132">
      <formula>$B3894="Subetapa"</formula>
    </cfRule>
  </conditionalFormatting>
  <conditionalFormatting sqref="A3905:A3906">
    <cfRule type="expression" dxfId="7963" priority="4127">
      <formula>$B3905="Subetapa"</formula>
    </cfRule>
  </conditionalFormatting>
  <conditionalFormatting sqref="A3916:A3917">
    <cfRule type="expression" dxfId="7962" priority="4122">
      <formula>$B3916="Subetapa"</formula>
    </cfRule>
  </conditionalFormatting>
  <conditionalFormatting sqref="A3927:A3928">
    <cfRule type="expression" dxfId="7961" priority="4117">
      <formula>$B3927="Subetapa"</formula>
    </cfRule>
  </conditionalFormatting>
  <conditionalFormatting sqref="A3929:A3932">
    <cfRule type="expression" dxfId="7960" priority="3996">
      <formula>$B3929="Subetapa"</formula>
    </cfRule>
  </conditionalFormatting>
  <conditionalFormatting sqref="A3938:A3943">
    <cfRule type="expression" dxfId="7959" priority="4468">
      <formula>$B3938="Subetapa"</formula>
    </cfRule>
  </conditionalFormatting>
  <conditionalFormatting sqref="A3944:A3952">
    <cfRule type="expression" dxfId="7958" priority="3993">
      <formula>$B3944="Subetapa"</formula>
    </cfRule>
  </conditionalFormatting>
  <conditionalFormatting sqref="A3956:A3959">
    <cfRule type="expression" dxfId="7957" priority="3918">
      <formula>$B3956="Subetapa"</formula>
    </cfRule>
  </conditionalFormatting>
  <conditionalFormatting sqref="A3983:A3986">
    <cfRule type="expression" dxfId="7956" priority="3733">
      <formula>$B3983="Serviço"</formula>
    </cfRule>
  </conditionalFormatting>
  <conditionalFormatting sqref="A4041:A4043 A4051:A4056">
    <cfRule type="expression" dxfId="7955" priority="3732">
      <formula>$B4041="Serviço"</formula>
    </cfRule>
  </conditionalFormatting>
  <conditionalFormatting sqref="A4041:A4043 A4051:A4056">
    <cfRule type="expression" dxfId="7954" priority="3731">
      <formula>$B4041="Subetapa"</formula>
    </cfRule>
  </conditionalFormatting>
  <conditionalFormatting sqref="A4058:A4067">
    <cfRule type="expression" dxfId="7953" priority="4412">
      <formula>$B4058="Subetapa"</formula>
    </cfRule>
  </conditionalFormatting>
  <conditionalFormatting sqref="A4069:A4076">
    <cfRule type="expression" dxfId="7952" priority="4112">
      <formula>$B4069="Subetapa"</formula>
    </cfRule>
  </conditionalFormatting>
  <conditionalFormatting sqref="A4152:A4155 A4078:A4086">
    <cfRule type="expression" dxfId="7951" priority="4405">
      <formula>$B4078="Subetapa"</formula>
    </cfRule>
  </conditionalFormatting>
  <conditionalFormatting sqref="A4110:A4113 A4088:A4098">
    <cfRule type="expression" dxfId="7950" priority="4476">
      <formula>$B4088="Subetapa"</formula>
    </cfRule>
  </conditionalFormatting>
  <conditionalFormatting sqref="A4114:A4115">
    <cfRule type="expression" dxfId="7949" priority="3723">
      <formula>$B4114="Subetapa"</formula>
    </cfRule>
  </conditionalFormatting>
  <conditionalFormatting sqref="A4122:A4124">
    <cfRule type="expression" dxfId="7948" priority="3726">
      <formula>$B4122="Serviço"</formula>
    </cfRule>
    <cfRule type="expression" dxfId="7947" priority="3727">
      <formula>$B4122="Subetapa"</formula>
    </cfRule>
  </conditionalFormatting>
  <conditionalFormatting sqref="A4125:A4134">
    <cfRule type="expression" dxfId="7946" priority="4162">
      <formula>$B4125="Subetapa"</formula>
    </cfRule>
  </conditionalFormatting>
  <conditionalFormatting sqref="A4156:A4161">
    <cfRule type="expression" dxfId="7945" priority="3721">
      <formula>$B4156="Serviço"</formula>
    </cfRule>
    <cfRule type="expression" dxfId="7944" priority="3722">
      <formula>$B4156="Subetapa"</formula>
    </cfRule>
  </conditionalFormatting>
  <conditionalFormatting sqref="A4187:A4201">
    <cfRule type="expression" dxfId="7943" priority="4443">
      <formula>$B4187="Subetapa"</formula>
    </cfRule>
  </conditionalFormatting>
  <conditionalFormatting sqref="A4245:A4248">
    <cfRule type="expression" dxfId="7942" priority="3719">
      <formula>$B4245="Serviço"</formula>
    </cfRule>
    <cfRule type="expression" dxfId="7941" priority="3720">
      <formula>$B4245="Subetapa"</formula>
    </cfRule>
  </conditionalFormatting>
  <conditionalFormatting sqref="A4296:A4301">
    <cfRule type="expression" dxfId="7940" priority="4105">
      <formula>$B4296="Subetapa"</formula>
    </cfRule>
  </conditionalFormatting>
  <conditionalFormatting sqref="A4323:A4372">
    <cfRule type="expression" dxfId="7939" priority="4103">
      <formula>$B4323="Subetapa"</formula>
    </cfRule>
  </conditionalFormatting>
  <conditionalFormatting sqref="A4373:A4402">
    <cfRule type="expression" dxfId="7938" priority="3717">
      <formula>$B4373="Subetapa"</formula>
    </cfRule>
    <cfRule type="expression" dxfId="7937" priority="3718">
      <formula>$B4373="Serviço"</formula>
    </cfRule>
  </conditionalFormatting>
  <conditionalFormatting sqref="A4403:A4427">
    <cfRule type="expression" dxfId="7936" priority="4108">
      <formula>$B4403="Subetapa"</formula>
    </cfRule>
  </conditionalFormatting>
  <conditionalFormatting sqref="A4456:A4457">
    <cfRule type="expression" dxfId="7935" priority="4519">
      <formula>$B4456="Subetapa"</formula>
    </cfRule>
  </conditionalFormatting>
  <conditionalFormatting sqref="A4462:A4463">
    <cfRule type="expression" dxfId="7934" priority="4469">
      <formula>$B4462="Subetapa"</formula>
    </cfRule>
  </conditionalFormatting>
  <conditionalFormatting sqref="A4573:A4585 A4598:A4609">
    <cfRule type="expression" dxfId="7933" priority="4100">
      <formula>$B4573="Subetapa"</formula>
    </cfRule>
  </conditionalFormatting>
  <conditionalFormatting sqref="A4686:A4699">
    <cfRule type="expression" dxfId="7932" priority="3715">
      <formula>$B4686="Subetapa"</formula>
    </cfRule>
    <cfRule type="expression" dxfId="7931" priority="3716">
      <formula>$B4686="Serviço"</formula>
    </cfRule>
  </conditionalFormatting>
  <conditionalFormatting sqref="A4723:A4726 A4984:A5027 A3759:A3766 A3962:A3969">
    <cfRule type="expression" dxfId="7930" priority="4494">
      <formula>$B3759="Subetapa"</formula>
    </cfRule>
  </conditionalFormatting>
  <conditionalFormatting sqref="A4727:A4790">
    <cfRule type="expression" dxfId="7929" priority="4419">
      <formula>$B4727="Subetapa"</formula>
    </cfRule>
  </conditionalFormatting>
  <conditionalFormatting sqref="A4801:A4810">
    <cfRule type="expression" dxfId="7928" priority="3713">
      <formula>$B4801="Serviço"</formula>
    </cfRule>
    <cfRule type="expression" dxfId="7927" priority="3714">
      <formula>$B4801="Subetapa"</formula>
    </cfRule>
  </conditionalFormatting>
  <conditionalFormatting sqref="A4872:A4917 A4923:A4931">
    <cfRule type="expression" dxfId="7926" priority="4470">
      <formula>$B4872="Subetapa"</formula>
    </cfRule>
  </conditionalFormatting>
  <conditionalFormatting sqref="A4918:A4922">
    <cfRule type="expression" dxfId="7925" priority="3711">
      <formula>$B4918="Serviço"</formula>
    </cfRule>
    <cfRule type="expression" dxfId="7924" priority="3712">
      <formula>$B4918="Subetapa"</formula>
    </cfRule>
  </conditionalFormatting>
  <conditionalFormatting sqref="A4933:A4975">
    <cfRule type="expression" dxfId="7923" priority="4471">
      <formula>$B4933="Subetapa"</formula>
    </cfRule>
  </conditionalFormatting>
  <conditionalFormatting sqref="A303">
    <cfRule type="expression" dxfId="7922" priority="3837">
      <formula>$B303="Subetapa"</formula>
    </cfRule>
  </conditionalFormatting>
  <conditionalFormatting sqref="A810:A813 A839:A842">
    <cfRule type="expression" dxfId="7921" priority="3709">
      <formula>$B810="Subetapa"</formula>
    </cfRule>
  </conditionalFormatting>
  <conditionalFormatting sqref="A881">
    <cfRule type="expression" dxfId="7920" priority="3793">
      <formula>$B881="Serviço"</formula>
    </cfRule>
    <cfRule type="expression" dxfId="7919" priority="3794">
      <formula>$B881="Subetapa"</formula>
    </cfRule>
  </conditionalFormatting>
  <conditionalFormatting sqref="A894">
    <cfRule type="expression" dxfId="7918" priority="3797">
      <formula>$B894="Serviço"</formula>
    </cfRule>
    <cfRule type="expression" dxfId="7917" priority="3798">
      <formula>$B894="Subetapa"</formula>
    </cfRule>
  </conditionalFormatting>
  <conditionalFormatting sqref="A896">
    <cfRule type="expression" dxfId="7916" priority="3799">
      <formula>$B896="Serviço"</formula>
    </cfRule>
    <cfRule type="expression" dxfId="7915" priority="3800">
      <formula>$B896="Subetapa"</formula>
    </cfRule>
  </conditionalFormatting>
  <conditionalFormatting sqref="A923">
    <cfRule type="expression" dxfId="7914" priority="3860">
      <formula>$B923="Serviço"</formula>
    </cfRule>
    <cfRule type="expression" dxfId="7913" priority="3861">
      <formula>$B923="Subetapa"</formula>
    </cfRule>
  </conditionalFormatting>
  <conditionalFormatting sqref="A926">
    <cfRule type="expression" dxfId="7912" priority="3864">
      <formula>$B926="Serviço"</formula>
    </cfRule>
    <cfRule type="expression" dxfId="7911" priority="3865">
      <formula>$B926="Subetapa"</formula>
    </cfRule>
  </conditionalFormatting>
  <conditionalFormatting sqref="A929">
    <cfRule type="expression" dxfId="7910" priority="3866">
      <formula>$B929="Serviço"</formula>
    </cfRule>
    <cfRule type="expression" dxfId="7909" priority="3867">
      <formula>$B929="Subetapa"</formula>
    </cfRule>
  </conditionalFormatting>
  <conditionalFormatting sqref="A933">
    <cfRule type="expression" dxfId="7908" priority="3876">
      <formula>$B933="Serviço"</formula>
    </cfRule>
    <cfRule type="expression" dxfId="7907" priority="3877">
      <formula>$B933="Subetapa"</formula>
    </cfRule>
  </conditionalFormatting>
  <conditionalFormatting sqref="A936">
    <cfRule type="expression" dxfId="7906" priority="3874">
      <formula>$B936="Serviço"</formula>
    </cfRule>
    <cfRule type="expression" dxfId="7905" priority="3875">
      <formula>$B936="Subetapa"</formula>
    </cfRule>
  </conditionalFormatting>
  <conditionalFormatting sqref="A939">
    <cfRule type="expression" dxfId="7904" priority="3878">
      <formula>$B939="Serviço"</formula>
    </cfRule>
    <cfRule type="expression" dxfId="7903" priority="3879">
      <formula>$B939="Subetapa"</formula>
    </cfRule>
  </conditionalFormatting>
  <conditionalFormatting sqref="A942">
    <cfRule type="expression" dxfId="7902" priority="3880">
      <formula>$B942="Serviço"</formula>
    </cfRule>
    <cfRule type="expression" dxfId="7901" priority="3881">
      <formula>$B942="Subetapa"</formula>
    </cfRule>
  </conditionalFormatting>
  <conditionalFormatting sqref="A959 A962">
    <cfRule type="expression" dxfId="7900"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899" priority="4393">
      <formula>$B1186="Subetapa"</formula>
    </cfRule>
  </conditionalFormatting>
  <conditionalFormatting sqref="A1290">
    <cfRule type="expression" dxfId="7898" priority="3779">
      <formula>$B1290="Subetapa"</formula>
    </cfRule>
  </conditionalFormatting>
  <conditionalFormatting sqref="A1300">
    <cfRule type="expression" dxfId="7897" priority="3774">
      <formula>$B1300="Subetapa"</formula>
    </cfRule>
  </conditionalFormatting>
  <conditionalFormatting sqref="A1311">
    <cfRule type="expression" dxfId="7896" priority="3775">
      <formula>$B1311="Subetapa"</formula>
    </cfRule>
  </conditionalFormatting>
  <conditionalFormatting sqref="A1322">
    <cfRule type="expression" dxfId="7895" priority="3776">
      <formula>$B1322="Subetapa"</formula>
    </cfRule>
  </conditionalFormatting>
  <conditionalFormatting sqref="A1333">
    <cfRule type="expression" dxfId="7894" priority="3777">
      <formula>$B1333="Subetapa"</formula>
    </cfRule>
  </conditionalFormatting>
  <conditionalFormatting sqref="A1344">
    <cfRule type="expression" dxfId="7893" priority="3773">
      <formula>$B1344="Subetapa"</formula>
    </cfRule>
  </conditionalFormatting>
  <conditionalFormatting sqref="A1386:A1396 A1541 A1548 A1626 A1638 A1535">
    <cfRule type="expression" dxfId="7892" priority="4379">
      <formula>$B1386="Subetapa"</formula>
    </cfRule>
  </conditionalFormatting>
  <conditionalFormatting sqref="A1542:A1546">
    <cfRule type="expression" dxfId="7891" priority="3699">
      <formula>$B1542="Subetapa"</formula>
    </cfRule>
  </conditionalFormatting>
  <conditionalFormatting sqref="A1650:A1842">
    <cfRule type="expression" dxfId="7890" priority="3708">
      <formula>$B1650="Subetapa"</formula>
    </cfRule>
  </conditionalFormatting>
  <conditionalFormatting sqref="A1844:A1854">
    <cfRule type="expression" dxfId="7889" priority="3707">
      <formula>$B1844="Subetapa"</formula>
    </cfRule>
  </conditionalFormatting>
  <conditionalFormatting sqref="A1856:A1866">
    <cfRule type="expression" dxfId="7888" priority="3706">
      <formula>$B1856="Subetapa"</formula>
    </cfRule>
  </conditionalFormatting>
  <conditionalFormatting sqref="A1869 A1871:A1879">
    <cfRule type="expression" dxfId="7887" priority="4354">
      <formula>$B1869="Subetapa"</formula>
    </cfRule>
  </conditionalFormatting>
  <conditionalFormatting sqref="A1870">
    <cfRule type="expression" dxfId="7886" priority="4350">
      <formula>$B1870="Subetapa"</formula>
    </cfRule>
  </conditionalFormatting>
  <conditionalFormatting sqref="A1894 A1896:A1906">
    <cfRule type="expression" dxfId="7885" priority="4348">
      <formula>$B1894="Subetapa"</formula>
    </cfRule>
  </conditionalFormatting>
  <conditionalFormatting sqref="A1931 A1933:A1941">
    <cfRule type="expression" dxfId="7884" priority="4323">
      <formula>$B1931="Subetapa"</formula>
    </cfRule>
  </conditionalFormatting>
  <conditionalFormatting sqref="A1944 A1946:A1954">
    <cfRule type="expression" dxfId="7883" priority="4317">
      <formula>$B1944="Subetapa"</formula>
    </cfRule>
  </conditionalFormatting>
  <conditionalFormatting sqref="A1957 A1959:A1967">
    <cfRule type="expression" dxfId="7882" priority="4311">
      <formula>$B1957="Subetapa"</formula>
    </cfRule>
  </conditionalFormatting>
  <conditionalFormatting sqref="A1970 A1972:A1980">
    <cfRule type="expression" dxfId="7881" priority="4305">
      <formula>$B1970="Subetapa"</formula>
    </cfRule>
  </conditionalFormatting>
  <conditionalFormatting sqref="A2020">
    <cfRule type="expression" dxfId="7880" priority="4090">
      <formula>$B2020="Subetapa"</formula>
    </cfRule>
  </conditionalFormatting>
  <conditionalFormatting sqref="A2042:A2052">
    <cfRule type="expression" dxfId="7879" priority="3705">
      <formula>$B2042="Subetapa"</formula>
    </cfRule>
  </conditionalFormatting>
  <conditionalFormatting sqref="A2068">
    <cfRule type="expression" dxfId="7878" priority="4266">
      <formula>$B2068="Subetapa"</formula>
    </cfRule>
  </conditionalFormatting>
  <conditionalFormatting sqref="A2081">
    <cfRule type="expression" dxfId="7877" priority="4260">
      <formula>$B2081="Subetapa"</formula>
    </cfRule>
  </conditionalFormatting>
  <conditionalFormatting sqref="A2094">
    <cfRule type="expression" dxfId="7876" priority="4254">
      <formula>$B2094="Subetapa"</formula>
    </cfRule>
  </conditionalFormatting>
  <conditionalFormatting sqref="A2331:A2336">
    <cfRule type="expression" dxfId="7875" priority="3704">
      <formula>$B2331="Subetapa"</formula>
    </cfRule>
  </conditionalFormatting>
  <conditionalFormatting sqref="A2346">
    <cfRule type="expression" dxfId="7874" priority="4208">
      <formula>$B2346="Subetapa"</formula>
    </cfRule>
  </conditionalFormatting>
  <conditionalFormatting sqref="A2379 A2384">
    <cfRule type="expression" dxfId="7873" priority="3762">
      <formula>$B2379="Serviço"</formula>
    </cfRule>
  </conditionalFormatting>
  <conditionalFormatting sqref="A2692:A2718">
    <cfRule type="expression" dxfId="7872" priority="3698">
      <formula>$B2692="Subetapa"</formula>
    </cfRule>
  </conditionalFormatting>
  <conditionalFormatting sqref="A2756:A2764">
    <cfRule type="expression" dxfId="7871" priority="3694">
      <formula>$B2756="Subetapa"</formula>
    </cfRule>
  </conditionalFormatting>
  <conditionalFormatting sqref="A2768">
    <cfRule type="expression" dxfId="7870" priority="4202">
      <formula>$B2768="Subetapa"</formula>
    </cfRule>
  </conditionalFormatting>
  <conditionalFormatting sqref="A2876">
    <cfRule type="expression" dxfId="7869" priority="4200">
      <formula>$B2876="Subetapa"</formula>
    </cfRule>
  </conditionalFormatting>
  <conditionalFormatting sqref="A2885:A2889 A2905:A2910">
    <cfRule type="expression" dxfId="7868" priority="3697">
      <formula>$B2885="Subetapa"</formula>
    </cfRule>
  </conditionalFormatting>
  <conditionalFormatting sqref="A3107">
    <cfRule type="expression" dxfId="7867" priority="4192">
      <formula>$B3107="Subetapa"</formula>
    </cfRule>
  </conditionalFormatting>
  <conditionalFormatting sqref="A3561:A3575">
    <cfRule type="expression" dxfId="7866" priority="3703">
      <formula>$B3561="Subetapa"</formula>
    </cfRule>
  </conditionalFormatting>
  <conditionalFormatting sqref="A3577:A3588 A3618:A3621">
    <cfRule type="expression" dxfId="7865" priority="3702">
      <formula>$B3577="Subetapa"</formula>
    </cfRule>
  </conditionalFormatting>
  <conditionalFormatting sqref="A3816:A3845">
    <cfRule type="expression" dxfId="7864" priority="3696">
      <formula>$B3816="Subetapa"</formula>
    </cfRule>
  </conditionalFormatting>
  <conditionalFormatting sqref="A3848:A3850">
    <cfRule type="expression" dxfId="7863" priority="3700">
      <formula>$B3848="Subetapa"</formula>
    </cfRule>
  </conditionalFormatting>
  <conditionalFormatting sqref="A3937">
    <cfRule type="expression" dxfId="7862" priority="3997">
      <formula>$B3937="Subetapa"</formula>
    </cfRule>
  </conditionalFormatting>
  <conditionalFormatting sqref="A3991">
    <cfRule type="expression" dxfId="7861" priority="3734">
      <formula>$B3991="Serviço"</formula>
    </cfRule>
  </conditionalFormatting>
  <conditionalFormatting sqref="A4124">
    <cfRule type="expression" dxfId="7860" priority="3724">
      <formula>$B4124="Serviço"</formula>
    </cfRule>
    <cfRule type="expression" dxfId="7859" priority="3725">
      <formula>$B4124="Subetapa"</formula>
    </cfRule>
  </conditionalFormatting>
  <conditionalFormatting sqref="A4460">
    <cfRule type="expression" dxfId="7858" priority="4417">
      <formula>$B4460="Subetapa"</formula>
    </cfRule>
  </conditionalFormatting>
  <conditionalFormatting sqref="A4482">
    <cfRule type="expression" dxfId="7857" priority="4418">
      <formula>$B4482="Subetapa"</formula>
    </cfRule>
  </conditionalFormatting>
  <conditionalFormatting sqref="A4701:A4702">
    <cfRule type="expression" dxfId="7856" priority="3695">
      <formula>$B4701="Subetapa"</formula>
    </cfRule>
  </conditionalFormatting>
  <conditionalFormatting sqref="A323">
    <cfRule type="expression" dxfId="7855" priority="4507">
      <formula>$B323="Subetapa"</formula>
    </cfRule>
  </conditionalFormatting>
  <conditionalFormatting sqref="A1842">
    <cfRule type="expression" dxfId="7854" priority="4366">
      <formula>$B1842="Subetapa"</formula>
    </cfRule>
  </conditionalFormatting>
  <conditionalFormatting sqref="A2769">
    <cfRule type="expression" dxfId="7853" priority="3901">
      <formula>$B2769="Subetapa"</formula>
    </cfRule>
  </conditionalFormatting>
  <conditionalFormatting sqref="A2770">
    <cfRule type="expression" dxfId="7852" priority="3905">
      <formula>$B2770="Subetapa"</formula>
    </cfRule>
  </conditionalFormatting>
  <conditionalFormatting sqref="A2771">
    <cfRule type="expression" dxfId="7851" priority="3903">
      <formula>$B2771="Subetapa"</formula>
    </cfRule>
  </conditionalFormatting>
  <conditionalFormatting sqref="A4932">
    <cfRule type="expression" dxfId="7850" priority="4496">
      <formula>$B4932="Subetapa"</formula>
    </cfRule>
  </conditionalFormatting>
  <conditionalFormatting sqref="A2007">
    <cfRule type="expression" dxfId="7849" priority="4338">
      <formula>$B2007="Subetapa"</formula>
    </cfRule>
  </conditionalFormatting>
  <conditionalFormatting sqref="A3865">
    <cfRule type="expression" dxfId="7848" priority="4141">
      <formula>$B3865="Subetapa"</formula>
    </cfRule>
  </conditionalFormatting>
  <conditionalFormatting sqref="A3871">
    <cfRule type="expression" dxfId="7847" priority="3927">
      <formula>$B3871="Subetapa"</formula>
    </cfRule>
  </conditionalFormatting>
  <conditionalFormatting sqref="A3872">
    <cfRule type="expression" dxfId="7846" priority="3924">
      <formula>$B3872="Subetapa"</formula>
    </cfRule>
  </conditionalFormatting>
  <conditionalFormatting sqref="A3873">
    <cfRule type="expression" dxfId="7845" priority="3921">
      <formula>$B3873="Subetapa"</formula>
    </cfRule>
  </conditionalFormatting>
  <conditionalFormatting sqref="A3884">
    <cfRule type="expression" dxfId="7844" priority="4136">
      <formula>$B3884="Subetapa"</formula>
    </cfRule>
  </conditionalFormatting>
  <conditionalFormatting sqref="A3890">
    <cfRule type="expression" dxfId="7843" priority="3939">
      <formula>$B3890="Subetapa"</formula>
    </cfRule>
  </conditionalFormatting>
  <conditionalFormatting sqref="A3891">
    <cfRule type="expression" dxfId="7842" priority="3936">
      <formula>$B3891="Subetapa"</formula>
    </cfRule>
  </conditionalFormatting>
  <conditionalFormatting sqref="A3892">
    <cfRule type="expression" dxfId="7841" priority="3933">
      <formula>$B3892="Subetapa"</formula>
    </cfRule>
  </conditionalFormatting>
  <conditionalFormatting sqref="A3895">
    <cfRule type="expression" dxfId="7840" priority="4131">
      <formula>$B3895="Subetapa"</formula>
    </cfRule>
  </conditionalFormatting>
  <conditionalFormatting sqref="A3901">
    <cfRule type="expression" dxfId="7839" priority="3951">
      <formula>$B3901="Subetapa"</formula>
    </cfRule>
  </conditionalFormatting>
  <conditionalFormatting sqref="A3902">
    <cfRule type="expression" dxfId="7838" priority="3948">
      <formula>$B3902="Subetapa"</formula>
    </cfRule>
  </conditionalFormatting>
  <conditionalFormatting sqref="A3903">
    <cfRule type="expression" dxfId="7837" priority="3945">
      <formula>$B3903="Subetapa"</formula>
    </cfRule>
  </conditionalFormatting>
  <conditionalFormatting sqref="A3906">
    <cfRule type="expression" dxfId="7836" priority="4126">
      <formula>$B3906="Subetapa"</formula>
    </cfRule>
  </conditionalFormatting>
  <conditionalFormatting sqref="A3912">
    <cfRule type="expression" dxfId="7835" priority="3963">
      <formula>$B3912="Subetapa"</formula>
    </cfRule>
  </conditionalFormatting>
  <conditionalFormatting sqref="A3913">
    <cfRule type="expression" dxfId="7834" priority="3960">
      <formula>$B3913="Subetapa"</formula>
    </cfRule>
  </conditionalFormatting>
  <conditionalFormatting sqref="A3914">
    <cfRule type="expression" dxfId="7833" priority="3957">
      <formula>$B3914="Subetapa"</formula>
    </cfRule>
  </conditionalFormatting>
  <conditionalFormatting sqref="A3917">
    <cfRule type="expression" dxfId="7832" priority="4121">
      <formula>$B3917="Subetapa"</formula>
    </cfRule>
  </conditionalFormatting>
  <conditionalFormatting sqref="A3923">
    <cfRule type="expression" dxfId="7831" priority="3975">
      <formula>$B3923="Subetapa"</formula>
    </cfRule>
  </conditionalFormatting>
  <conditionalFormatting sqref="A3924">
    <cfRule type="expression" dxfId="7830" priority="3972">
      <formula>$B3924="Subetapa"</formula>
    </cfRule>
  </conditionalFormatting>
  <conditionalFormatting sqref="A3925">
    <cfRule type="expression" dxfId="7829" priority="3969">
      <formula>$B3925="Subetapa"</formula>
    </cfRule>
  </conditionalFormatting>
  <conditionalFormatting sqref="A3933">
    <cfRule type="expression" dxfId="7828" priority="3990">
      <formula>$B3933="Subetapa"</formula>
    </cfRule>
  </conditionalFormatting>
  <conditionalFormatting sqref="A3934">
    <cfRule type="expression" dxfId="7827" priority="3987">
      <formula>$B3934="Subetapa"</formula>
    </cfRule>
  </conditionalFormatting>
  <conditionalFormatting sqref="A3935">
    <cfRule type="expression" dxfId="7826" priority="3984">
      <formula>$B3935="Subetapa"</formula>
    </cfRule>
  </conditionalFormatting>
  <conditionalFormatting sqref="A3936">
    <cfRule type="expression" dxfId="7825" priority="3981">
      <formula>$B3936="Subetapa"</formula>
    </cfRule>
  </conditionalFormatting>
  <conditionalFormatting sqref="A3953">
    <cfRule type="expression" dxfId="7824" priority="3914">
      <formula>$B3953="Subetapa"</formula>
    </cfRule>
  </conditionalFormatting>
  <conditionalFormatting sqref="A3954">
    <cfRule type="expression" dxfId="7823" priority="3911">
      <formula>$B3954="Subetapa"</formula>
    </cfRule>
  </conditionalFormatting>
  <conditionalFormatting sqref="A3955">
    <cfRule type="expression" dxfId="7822" priority="3908">
      <formula>$B3955="Subetapa"</formula>
    </cfRule>
  </conditionalFormatting>
  <conditionalFormatting sqref="A1547">
    <cfRule type="expression" dxfId="7821" priority="4378">
      <formula>$B1547="Subetapa"</formula>
    </cfRule>
  </conditionalFormatting>
  <conditionalFormatting sqref="A1625">
    <cfRule type="expression" dxfId="7820" priority="4376">
      <formula>$B1625="Subetapa"</formula>
    </cfRule>
  </conditionalFormatting>
  <conditionalFormatting sqref="A1637">
    <cfRule type="expression" dxfId="7819" priority="4374">
      <formula>$B1637="Subetapa"</formula>
    </cfRule>
  </conditionalFormatting>
  <conditionalFormatting sqref="A1649">
    <cfRule type="expression" dxfId="7818" priority="4370">
      <formula>$B1649="Subetapa"</formula>
    </cfRule>
  </conditionalFormatting>
  <conditionalFormatting sqref="A1895">
    <cfRule type="expression" dxfId="7817" priority="4344">
      <formula>$B1895="Subetapa"</formula>
    </cfRule>
  </conditionalFormatting>
  <conditionalFormatting sqref="A3243">
    <cfRule type="expression" dxfId="7816" priority="3745">
      <formula>$B3243="Serviço"</formula>
    </cfRule>
  </conditionalFormatting>
  <conditionalFormatting sqref="A3622">
    <cfRule type="expression" dxfId="7815" priority="4189">
      <formula>$B3622="Subetapa"</formula>
    </cfRule>
  </conditionalFormatting>
  <conditionalFormatting sqref="A3860">
    <cfRule type="expression" dxfId="7814" priority="4148">
      <formula>$B3860="Subetapa"</formula>
    </cfRule>
  </conditionalFormatting>
  <conditionalFormatting sqref="A3970:A3979">
    <cfRule type="expression" dxfId="7813" priority="4028">
      <formula>$B3970="Subetapa"</formula>
    </cfRule>
  </conditionalFormatting>
  <conditionalFormatting sqref="A4068">
    <cfRule type="expression" dxfId="7812" priority="4153">
      <formula>$B4068="Subetapa"</formula>
    </cfRule>
  </conditionalFormatting>
  <conditionalFormatting sqref="A4077">
    <cfRule type="expression" dxfId="7811" priority="4154">
      <formula>$B4077="Subetapa"</formula>
    </cfRule>
  </conditionalFormatting>
  <conditionalFormatting sqref="A4087">
    <cfRule type="expression" dxfId="7810" priority="4166">
      <formula>$B4087="Subetapa"</formula>
    </cfRule>
  </conditionalFormatting>
  <conditionalFormatting sqref="A4205 A4235:A4244">
    <cfRule type="expression" dxfId="7809" priority="4095">
      <formula>$B4205="Subetapa"</formula>
    </cfRule>
  </conditionalFormatting>
  <conditionalFormatting sqref="A1536:A1540 A2877:A2882 A1016 A4135:A4138 A4283:A4290">
    <cfRule type="expression" dxfId="7808" priority="4077">
      <formula>$B1016="Subetapa"</formula>
    </cfRule>
  </conditionalFormatting>
  <conditionalFormatting sqref="A1843 A1855 A1867 A1917 A1929 A1942 A1955 A1968 A1981 A1993 A2005">
    <cfRule type="expression" dxfId="7807" priority="4065">
      <formula>$B1843="Subetapa"</formula>
    </cfRule>
  </conditionalFormatting>
  <conditionalFormatting sqref="A2041 A2053">
    <cfRule type="expression" dxfId="7806" priority="4063">
      <formula>$B2041="Subetapa"</formula>
    </cfRule>
  </conditionalFormatting>
  <conditionalFormatting sqref="A2168">
    <cfRule type="expression" dxfId="7805" priority="4082">
      <formula>$B2168="Subetapa"</formula>
    </cfRule>
  </conditionalFormatting>
  <conditionalFormatting sqref="A2208:A2211 A2277:A2278">
    <cfRule type="expression" dxfId="7804" priority="3690">
      <formula>$B2208="Subetapa"</formula>
    </cfRule>
  </conditionalFormatting>
  <conditionalFormatting sqref="A2525">
    <cfRule type="expression" dxfId="7803" priority="4213">
      <formula>$B2525="Subetapa"</formula>
    </cfRule>
  </conditionalFormatting>
  <conditionalFormatting sqref="A2755">
    <cfRule type="expression" dxfId="7802" priority="4204">
      <formula>$B2755="Subetapa"</formula>
    </cfRule>
  </conditionalFormatting>
  <conditionalFormatting sqref="A2875">
    <cfRule type="expression" dxfId="7801" priority="4019">
      <formula>$B2875="Subetapa"</formula>
    </cfRule>
  </conditionalFormatting>
  <conditionalFormatting sqref="A2936">
    <cfRule type="expression" dxfId="7800" priority="4195">
      <formula>$B2936="Subetapa"</formula>
    </cfRule>
  </conditionalFormatting>
  <conditionalFormatting sqref="A2961">
    <cfRule type="expression" dxfId="7799" priority="4194">
      <formula>$B2961="Subetapa"</formula>
    </cfRule>
  </conditionalFormatting>
  <conditionalFormatting sqref="A2964:A3021">
    <cfRule type="expression" dxfId="7798" priority="3689">
      <formula>$B2964="Subetapa"</formula>
    </cfRule>
  </conditionalFormatting>
  <conditionalFormatting sqref="A3022">
    <cfRule type="expression" dxfId="7797" priority="4193">
      <formula>$B3022="Subetapa"</formula>
    </cfRule>
  </conditionalFormatting>
  <conditionalFormatting sqref="A3709:A3713">
    <cfRule type="expression" dxfId="7796" priority="3693">
      <formula>$B3709="Subetapa"</formula>
    </cfRule>
  </conditionalFormatting>
  <conditionalFormatting sqref="A3715:A3721 A3725:A3730">
    <cfRule type="expression" dxfId="7795" priority="3692">
      <formula>$B3715="Subetapa"</formula>
    </cfRule>
  </conditionalFormatting>
  <conditionalFormatting sqref="A4023:A4028">
    <cfRule type="expression" dxfId="7794" priority="3691">
      <formula>$B4023="Subetapa"</formula>
    </cfRule>
  </conditionalFormatting>
  <conditionalFormatting sqref="A4272:A4277">
    <cfRule type="expression" dxfId="7793" priority="4032">
      <formula>$B4272="Subetapa"</formula>
    </cfRule>
  </conditionalFormatting>
  <conditionalFormatting sqref="A4700">
    <cfRule type="expression" dxfId="7792" priority="4107">
      <formula>$B4700="Subetapa"</formula>
    </cfRule>
  </conditionalFormatting>
  <conditionalFormatting sqref="A4722">
    <cfRule type="expression" dxfId="7791" priority="4096">
      <formula>$B4722="Subetapa"</formula>
    </cfRule>
  </conditionalFormatting>
  <conditionalFormatting sqref="A3089:A3092">
    <cfRule type="expression" dxfId="7790" priority="3710">
      <formula>$B3089="Subetapa"</formula>
    </cfRule>
  </conditionalFormatting>
  <conditionalFormatting sqref="A3191:A3194 A3207:A3214">
    <cfRule type="expression" dxfId="7789" priority="3701">
      <formula>$B3191="Subetapa"</formula>
    </cfRule>
  </conditionalFormatting>
  <conditionalFormatting sqref="A2019:A2040">
    <cfRule type="expression" dxfId="7788" priority="4092">
      <formula>$B2019="Subetapa"</formula>
    </cfRule>
  </conditionalFormatting>
  <conditionalFormatting sqref="A2067:A2078">
    <cfRule type="expression" dxfId="7787" priority="4268">
      <formula>$B2067="Subetapa"</formula>
    </cfRule>
  </conditionalFormatting>
  <conditionalFormatting sqref="A2069:A2079">
    <cfRule type="expression" dxfId="7786" priority="4270">
      <formula>$B2069="Subetapa"</formula>
    </cfRule>
  </conditionalFormatting>
  <conditionalFormatting sqref="A2080:A2091">
    <cfRule type="expression" dxfId="7785" priority="4262">
      <formula>$B2080="Subetapa"</formula>
    </cfRule>
  </conditionalFormatting>
  <conditionalFormatting sqref="A2082:A2092">
    <cfRule type="expression" dxfId="7784" priority="4264">
      <formula>$B2082="Subetapa"</formula>
    </cfRule>
  </conditionalFormatting>
  <conditionalFormatting sqref="A2093:A2104">
    <cfRule type="expression" dxfId="7783" priority="4256">
      <formula>$B2093="Subetapa"</formula>
    </cfRule>
  </conditionalFormatting>
  <conditionalFormatting sqref="A2095:A2104">
    <cfRule type="expression" dxfId="7782" priority="4258">
      <formula>$B2095="Subetapa"</formula>
    </cfRule>
  </conditionalFormatting>
  <conditionalFormatting sqref="A4107:A4109">
    <cfRule type="expression" dxfId="7781" priority="3728">
      <formula>$B4107="Subetapa"</formula>
    </cfRule>
  </conditionalFormatting>
  <conditionalFormatting sqref="A2170:A2172 A2">
    <cfRule type="expression" dxfId="7780" priority="4472">
      <formula>$B2="Subetapa"</formula>
    </cfRule>
  </conditionalFormatting>
  <conditionalFormatting sqref="A213 A215:A217">
    <cfRule type="expression" dxfId="7779" priority="4017">
      <formula>$B213="Subetapa"</formula>
    </cfRule>
  </conditionalFormatting>
  <conditionalFormatting sqref="A324:A343">
    <cfRule type="expression" dxfId="7778" priority="4504">
      <formula>$B324="Subetapa"</formula>
    </cfRule>
  </conditionalFormatting>
  <conditionalFormatting sqref="A738:A741">
    <cfRule type="expression" dxfId="7777" priority="3811">
      <formula>$B738="Serviço"</formula>
    </cfRule>
    <cfRule type="expression" dxfId="7776" priority="3812">
      <formula>$B738="Subetapa"</formula>
    </cfRule>
  </conditionalFormatting>
  <conditionalFormatting sqref="A759:A762">
    <cfRule type="expression" dxfId="7775" priority="3809">
      <formula>$B759="Serviço"</formula>
    </cfRule>
    <cfRule type="expression" dxfId="7774" priority="3810">
      <formula>$B759="Subetapa"</formula>
    </cfRule>
  </conditionalFormatting>
  <conditionalFormatting sqref="A779:A786">
    <cfRule type="expression" dxfId="7773" priority="3858">
      <formula>$B779="Serviço"</formula>
    </cfRule>
    <cfRule type="expression" dxfId="7772" priority="3859">
      <formula>$B779="Subetapa"</formula>
    </cfRule>
  </conditionalFormatting>
  <conditionalFormatting sqref="A920 A884">
    <cfRule type="expression" dxfId="7771" priority="3862">
      <formula>$B884="Serviço"</formula>
    </cfRule>
    <cfRule type="expression" dxfId="7770" priority="3863">
      <formula>$B884="Subetapa"</formula>
    </cfRule>
  </conditionalFormatting>
  <conditionalFormatting sqref="A906:A907">
    <cfRule type="expression" dxfId="7769" priority="3885">
      <formula>$B906="Subetapa"</formula>
    </cfRule>
  </conditionalFormatting>
  <conditionalFormatting sqref="A2119 A2126 A2133">
    <cfRule type="expression" dxfId="7768" priority="4061">
      <formula>$B2119="Subetapa"</formula>
    </cfRule>
  </conditionalFormatting>
  <conditionalFormatting sqref="A2267:A2268 A2274:A2275 A2212:A2261">
    <cfRule type="expression" dxfId="7767" priority="3897">
      <formula>$B2212="Serviço"</formula>
    </cfRule>
  </conditionalFormatting>
  <conditionalFormatting sqref="A2788:A2805">
    <cfRule type="expression" dxfId="7766" priority="4467">
      <formula>$B2788="Subetapa"</formula>
    </cfRule>
  </conditionalFormatting>
  <conditionalFormatting sqref="A2919:A2935">
    <cfRule type="expression" dxfId="7765" priority="4177">
      <formula>$B2919="Subetapa"</formula>
    </cfRule>
  </conditionalFormatting>
  <conditionalFormatting sqref="A3139:A3142">
    <cfRule type="expression" dxfId="7764" priority="3828">
      <formula>$B3139="Serviço"</formula>
    </cfRule>
    <cfRule type="expression" dxfId="7763" priority="3829">
      <formula>$B3139="Subetapa"</formula>
    </cfRule>
  </conditionalFormatting>
  <conditionalFormatting sqref="A4162">
    <cfRule type="expression" dxfId="7762" priority="4396">
      <formula>$B4162="Subetapa"</formula>
    </cfRule>
  </conditionalFormatting>
  <conditionalFormatting sqref="A3644:A3661">
    <cfRule type="expression" dxfId="7761" priority="4491">
      <formula>$B3644="Subetapa"</formula>
    </cfRule>
  </conditionalFormatting>
  <conditionalFormatting sqref="A4291:A4295">
    <cfRule type="expression" dxfId="7760" priority="4088">
      <formula>$B4291="Subetapa"</formula>
    </cfRule>
  </conditionalFormatting>
  <conditionalFormatting sqref="A263:A265 A3629:A3639 A267 A269 A320:A322 A304:A314">
    <cfRule type="expression" dxfId="7759" priority="4514">
      <formula>$B263="Subetapa"</formula>
    </cfRule>
  </conditionalFormatting>
  <conditionalFormatting sqref="A3065:A3088">
    <cfRule type="expression" dxfId="7758" priority="4500">
      <formula>$B3065="Subetapa"</formula>
    </cfRule>
  </conditionalFormatting>
  <conditionalFormatting sqref="A664">
    <cfRule type="expression" dxfId="7757"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56" priority="4395">
      <formula>$B872="Subetapa"</formula>
    </cfRule>
  </conditionalFormatting>
  <conditionalFormatting sqref="A1374:A1385">
    <cfRule type="expression" dxfId="7755"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4"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3" priority="3802">
      <formula>$B2470="Subetapa"</formula>
    </cfRule>
  </conditionalFormatting>
  <conditionalFormatting sqref="A2337 A867:A878 A897:A905 A995:A1013 A1015:A1018 A2140:A2143 A2342:A2343 A2754 A3476:A3484 A4463:A4494 A991:A993 A1173:A1174 A4306:A4321">
    <cfRule type="expression" dxfId="7752" priority="4391">
      <formula>$B867="Subetapa"</formula>
    </cfRule>
  </conditionalFormatting>
  <conditionalFormatting sqref="A2351:A2355">
    <cfRule type="expression" dxfId="7751" priority="4220">
      <formula>$B2351="Subetapa"</formula>
    </cfRule>
  </conditionalFormatting>
  <conditionalFormatting sqref="A1168">
    <cfRule type="expression" dxfId="7750" priority="4070">
      <formula>$B1168="Subetapa"</formula>
    </cfRule>
  </conditionalFormatting>
  <conditionalFormatting sqref="A2736">
    <cfRule type="expression" dxfId="7749" priority="4079">
      <formula>$B2736="Subetapa"</formula>
    </cfRule>
  </conditionalFormatting>
  <conditionalFormatting sqref="E290">
    <cfRule type="expression" dxfId="7748" priority="3489">
      <formula>$B290="Subetapa"</formula>
    </cfRule>
  </conditionalFormatting>
  <conditionalFormatting sqref="F290 B290:D290">
    <cfRule type="expression" dxfId="7747" priority="3490">
      <formula>$B290="Subetapa"</formula>
    </cfRule>
  </conditionalFormatting>
  <conditionalFormatting sqref="I290:K290">
    <cfRule type="expression" dxfId="7746" priority="3480">
      <formula>$B290="Subetapa"</formula>
    </cfRule>
  </conditionalFormatting>
  <conditionalFormatting sqref="A290">
    <cfRule type="expression" dxfId="7745" priority="3478">
      <formula>$B290="Subetapa"</formula>
    </cfRule>
  </conditionalFormatting>
  <conditionalFormatting sqref="E300">
    <cfRule type="expression" dxfId="7744" priority="3559">
      <formula>$B300="Subetapa"</formula>
    </cfRule>
  </conditionalFormatting>
  <conditionalFormatting sqref="F300 B300:D300">
    <cfRule type="expression" dxfId="7743" priority="3560">
      <formula>$B300="Subetapa"</formula>
    </cfRule>
  </conditionalFormatting>
  <conditionalFormatting sqref="I300:K300">
    <cfRule type="expression" dxfId="7742" priority="3550">
      <formula>$B300="Subetapa"</formula>
    </cfRule>
  </conditionalFormatting>
  <conditionalFormatting sqref="A300">
    <cfRule type="expression" dxfId="7741" priority="3548">
      <formula>$B300="Subetapa"</formula>
    </cfRule>
  </conditionalFormatting>
  <conditionalFormatting sqref="E274">
    <cfRule type="expression" dxfId="7740" priority="3643">
      <formula>$B274="Subetapa"</formula>
    </cfRule>
  </conditionalFormatting>
  <conditionalFormatting sqref="F274 B274:D274">
    <cfRule type="expression" dxfId="7739" priority="3644">
      <formula>$B274="Subetapa"</formula>
    </cfRule>
  </conditionalFormatting>
  <conditionalFormatting sqref="I274:K274">
    <cfRule type="expression" dxfId="7738" priority="3634">
      <formula>$B274="Subetapa"</formula>
    </cfRule>
  </conditionalFormatting>
  <conditionalFormatting sqref="A274">
    <cfRule type="expression" dxfId="7737" priority="3632">
      <formula>$B274="Subetapa"</formula>
    </cfRule>
  </conditionalFormatting>
  <conditionalFormatting sqref="E266">
    <cfRule type="expression" dxfId="7736" priority="3629">
      <formula>$B266="Subetapa"</formula>
    </cfRule>
  </conditionalFormatting>
  <conditionalFormatting sqref="F266 B266:D266">
    <cfRule type="expression" dxfId="7735" priority="3630">
      <formula>$B266="Subetapa"</formula>
    </cfRule>
  </conditionalFormatting>
  <conditionalFormatting sqref="I266:K266">
    <cfRule type="expression" dxfId="7734" priority="3620">
      <formula>$B266="Subetapa"</formula>
    </cfRule>
  </conditionalFormatting>
  <conditionalFormatting sqref="A266">
    <cfRule type="expression" dxfId="7733" priority="3618">
      <formula>$B266="Subetapa"</formula>
    </cfRule>
  </conditionalFormatting>
  <conditionalFormatting sqref="E268">
    <cfRule type="expression" dxfId="7732" priority="3615">
      <formula>$B268="Subetapa"</formula>
    </cfRule>
  </conditionalFormatting>
  <conditionalFormatting sqref="F268 B268:D268">
    <cfRule type="expression" dxfId="7731" priority="3616">
      <formula>$B268="Subetapa"</formula>
    </cfRule>
  </conditionalFormatting>
  <conditionalFormatting sqref="I268:K268">
    <cfRule type="expression" dxfId="7730" priority="3606">
      <formula>$B268="Subetapa"</formula>
    </cfRule>
  </conditionalFormatting>
  <conditionalFormatting sqref="A268">
    <cfRule type="expression" dxfId="7729" priority="3604">
      <formula>$B268="Subetapa"</formula>
    </cfRule>
  </conditionalFormatting>
  <conditionalFormatting sqref="E270">
    <cfRule type="expression" dxfId="7728" priority="3601">
      <formula>$B270="Subetapa"</formula>
    </cfRule>
  </conditionalFormatting>
  <conditionalFormatting sqref="F270 B270:D270">
    <cfRule type="expression" dxfId="7727" priority="3602">
      <formula>$B270="Subetapa"</formula>
    </cfRule>
  </conditionalFormatting>
  <conditionalFormatting sqref="I270:K270">
    <cfRule type="expression" dxfId="7726" priority="3592">
      <formula>$B270="Subetapa"</formula>
    </cfRule>
  </conditionalFormatting>
  <conditionalFormatting sqref="A270">
    <cfRule type="expression" dxfId="7725" priority="3590">
      <formula>$B270="Subetapa"</formula>
    </cfRule>
  </conditionalFormatting>
  <conditionalFormatting sqref="E272">
    <cfRule type="expression" dxfId="7724" priority="3587">
      <formula>$B272="Subetapa"</formula>
    </cfRule>
  </conditionalFormatting>
  <conditionalFormatting sqref="F272 B272:D272">
    <cfRule type="expression" dxfId="7723" priority="3588">
      <formula>$B272="Subetapa"</formula>
    </cfRule>
  </conditionalFormatting>
  <conditionalFormatting sqref="I272:K272">
    <cfRule type="expression" dxfId="7722" priority="3578">
      <formula>$B272="Subetapa"</formula>
    </cfRule>
  </conditionalFormatting>
  <conditionalFormatting sqref="A272">
    <cfRule type="expression" dxfId="7721" priority="3576">
      <formula>$B272="Subetapa"</formula>
    </cfRule>
  </conditionalFormatting>
  <conditionalFormatting sqref="E302">
    <cfRule type="expression" dxfId="7720" priority="3573">
      <formula>$B302="Subetapa"</formula>
    </cfRule>
  </conditionalFormatting>
  <conditionalFormatting sqref="F302 B302:D302">
    <cfRule type="expression" dxfId="7719" priority="3574">
      <formula>$B302="Subetapa"</formula>
    </cfRule>
  </conditionalFormatting>
  <conditionalFormatting sqref="I302:K302">
    <cfRule type="expression" dxfId="7718" priority="3564">
      <formula>$B302="Subetapa"</formula>
    </cfRule>
  </conditionalFormatting>
  <conditionalFormatting sqref="A302">
    <cfRule type="expression" dxfId="7717" priority="3562">
      <formula>$B302="Subetapa"</formula>
    </cfRule>
  </conditionalFormatting>
  <conditionalFormatting sqref="E298">
    <cfRule type="expression" dxfId="7716" priority="3545">
      <formula>$B298="Subetapa"</formula>
    </cfRule>
  </conditionalFormatting>
  <conditionalFormatting sqref="F298 B298:D298">
    <cfRule type="expression" dxfId="7715" priority="3546">
      <formula>$B298="Subetapa"</formula>
    </cfRule>
  </conditionalFormatting>
  <conditionalFormatting sqref="I298:K298">
    <cfRule type="expression" dxfId="7714" priority="3536">
      <formula>$B298="Subetapa"</formula>
    </cfRule>
  </conditionalFormatting>
  <conditionalFormatting sqref="A298">
    <cfRule type="expression" dxfId="7713" priority="3534">
      <formula>$B298="Subetapa"</formula>
    </cfRule>
  </conditionalFormatting>
  <conditionalFormatting sqref="E296">
    <cfRule type="expression" dxfId="7712" priority="3531">
      <formula>$B296="Subetapa"</formula>
    </cfRule>
  </conditionalFormatting>
  <conditionalFormatting sqref="F296 B296:D296">
    <cfRule type="expression" dxfId="7711" priority="3532">
      <formula>$B296="Subetapa"</formula>
    </cfRule>
  </conditionalFormatting>
  <conditionalFormatting sqref="I296:K296">
    <cfRule type="expression" dxfId="7710" priority="3522">
      <formula>$B296="Subetapa"</formula>
    </cfRule>
  </conditionalFormatting>
  <conditionalFormatting sqref="A296">
    <cfRule type="expression" dxfId="7709" priority="3520">
      <formula>$B296="Subetapa"</formula>
    </cfRule>
  </conditionalFormatting>
  <conditionalFormatting sqref="E294">
    <cfRule type="expression" dxfId="7708" priority="3517">
      <formula>$B294="Subetapa"</formula>
    </cfRule>
  </conditionalFormatting>
  <conditionalFormatting sqref="F294 B294:D294">
    <cfRule type="expression" dxfId="7707" priority="3518">
      <formula>$B294="Subetapa"</formula>
    </cfRule>
  </conditionalFormatting>
  <conditionalFormatting sqref="I294:K294">
    <cfRule type="expression" dxfId="7706" priority="3508">
      <formula>$B294="Subetapa"</formula>
    </cfRule>
  </conditionalFormatting>
  <conditionalFormatting sqref="A294">
    <cfRule type="expression" dxfId="7705" priority="3506">
      <formula>$B294="Subetapa"</formula>
    </cfRule>
  </conditionalFormatting>
  <conditionalFormatting sqref="E292">
    <cfRule type="expression" dxfId="7704" priority="3503">
      <formula>$B292="Subetapa"</formula>
    </cfRule>
  </conditionalFormatting>
  <conditionalFormatting sqref="F292 B292:D292">
    <cfRule type="expression" dxfId="7703" priority="3504">
      <formula>$B292="Subetapa"</formula>
    </cfRule>
  </conditionalFormatting>
  <conditionalFormatting sqref="I292:K292">
    <cfRule type="expression" dxfId="7702" priority="3494">
      <formula>$B292="Subetapa"</formula>
    </cfRule>
  </conditionalFormatting>
  <conditionalFormatting sqref="A292">
    <cfRule type="expression" dxfId="7701" priority="3492">
      <formula>$B292="Subetapa"</formula>
    </cfRule>
  </conditionalFormatting>
  <conditionalFormatting sqref="B2276:F2276">
    <cfRule type="expression" dxfId="7700" priority="3406">
      <formula>$B2276="Subetapa"</formula>
    </cfRule>
  </conditionalFormatting>
  <conditionalFormatting sqref="I2276:K2276">
    <cfRule type="expression" dxfId="7699" priority="3399">
      <formula>$B2276="Subetapa"</formula>
    </cfRule>
  </conditionalFormatting>
  <conditionalFormatting sqref="A2276">
    <cfRule type="expression" dxfId="7698" priority="3397">
      <formula>$B2276="Subetapa"</formula>
    </cfRule>
  </conditionalFormatting>
  <conditionalFormatting sqref="B2169:F2169">
    <cfRule type="expression" dxfId="7697" priority="3393">
      <formula>$B2169="Subetapa"</formula>
    </cfRule>
  </conditionalFormatting>
  <conditionalFormatting sqref="I2169:K2169">
    <cfRule type="expression" dxfId="7696" priority="3386">
      <formula>$B2169="Subetapa"</formula>
    </cfRule>
  </conditionalFormatting>
  <conditionalFormatting sqref="A2169">
    <cfRule type="expression" dxfId="7695" priority="3384">
      <formula>$B2169="Subetapa"</formula>
    </cfRule>
  </conditionalFormatting>
  <conditionalFormatting sqref="B2161:F2161">
    <cfRule type="expression" dxfId="7694" priority="3380">
      <formula>$B2161="Subetapa"</formula>
    </cfRule>
  </conditionalFormatting>
  <conditionalFormatting sqref="I2161:K2161">
    <cfRule type="expression" dxfId="7693" priority="3373">
      <formula>$B2161="Subetapa"</formula>
    </cfRule>
  </conditionalFormatting>
  <conditionalFormatting sqref="A2161">
    <cfRule type="expression" dxfId="7692" priority="3371">
      <formula>$B2161="Subetapa"</formula>
    </cfRule>
  </conditionalFormatting>
  <conditionalFormatting sqref="B892:B893">
    <cfRule type="expression" dxfId="7691" priority="3310">
      <formula>$B892="Serviço"</formula>
    </cfRule>
    <cfRule type="expression" dxfId="7690" priority="3311">
      <formula>$B892="Subetapa"</formula>
    </cfRule>
  </conditionalFormatting>
  <conditionalFormatting sqref="B891">
    <cfRule type="expression" dxfId="7689" priority="3306">
      <formula>$B891="Serviço"</formula>
    </cfRule>
    <cfRule type="expression" dxfId="7688" priority="3307">
      <formula>$B891="Subetapa"</formula>
    </cfRule>
  </conditionalFormatting>
  <conditionalFormatting sqref="B893">
    <cfRule type="expression" dxfId="7687" priority="3308">
      <formula>$B893="Serviço"</formula>
    </cfRule>
    <cfRule type="expression" dxfId="7686" priority="3309">
      <formula>$B893="Subetapa"</formula>
    </cfRule>
  </conditionalFormatting>
  <conditionalFormatting sqref="D891:F891 D892:D893 F892:F893 C891:C893">
    <cfRule type="expression" dxfId="7685" priority="3304">
      <formula>$B891="Serviço"</formula>
    </cfRule>
    <cfRule type="expression" dxfId="7684" priority="3305">
      <formula>$B891="Subetapa"</formula>
    </cfRule>
  </conditionalFormatting>
  <conditionalFormatting sqref="G891:H891">
    <cfRule type="expression" dxfId="7683" priority="3300">
      <formula>$B891="Serviço"</formula>
    </cfRule>
    <cfRule type="expression" dxfId="7682" priority="3301">
      <formula>$B891="Subetapa"</formula>
    </cfRule>
  </conditionalFormatting>
  <conditionalFormatting sqref="A892:A893">
    <cfRule type="expression" dxfId="7681" priority="3298">
      <formula>$B892="Serviço"</formula>
    </cfRule>
    <cfRule type="expression" dxfId="7680" priority="3299">
      <formula>$B892="Subetapa"</formula>
    </cfRule>
  </conditionalFormatting>
  <conditionalFormatting sqref="A891">
    <cfRule type="expression" dxfId="7679" priority="3294">
      <formula>$B891="Serviço"</formula>
    </cfRule>
    <cfRule type="expression" dxfId="7678" priority="3295">
      <formula>$B891="Subetapa"</formula>
    </cfRule>
  </conditionalFormatting>
  <conditionalFormatting sqref="A893">
    <cfRule type="expression" dxfId="7677" priority="3296">
      <formula>$B893="Serviço"</formula>
    </cfRule>
    <cfRule type="expression" dxfId="7676" priority="3297">
      <formula>$B893="Subetapa"</formula>
    </cfRule>
  </conditionalFormatting>
  <conditionalFormatting sqref="B889:B890">
    <cfRule type="expression" dxfId="7675" priority="3292">
      <formula>$B889="Serviço"</formula>
    </cfRule>
    <cfRule type="expression" dxfId="7674" priority="3293">
      <formula>$B889="Subetapa"</formula>
    </cfRule>
  </conditionalFormatting>
  <conditionalFormatting sqref="B888">
    <cfRule type="expression" dxfId="7673" priority="3288">
      <formula>$B888="Serviço"</formula>
    </cfRule>
    <cfRule type="expression" dxfId="7672" priority="3289">
      <formula>$B888="Subetapa"</formula>
    </cfRule>
  </conditionalFormatting>
  <conditionalFormatting sqref="B890">
    <cfRule type="expression" dxfId="7671" priority="3290">
      <formula>$B890="Serviço"</formula>
    </cfRule>
    <cfRule type="expression" dxfId="7670" priority="3291">
      <formula>$B890="Subetapa"</formula>
    </cfRule>
  </conditionalFormatting>
  <conditionalFormatting sqref="D888:F888 D889:D890 F889:F890 C888:C890">
    <cfRule type="expression" dxfId="7669" priority="3286">
      <formula>$B888="Serviço"</formula>
    </cfRule>
    <cfRule type="expression" dxfId="7668" priority="3287">
      <formula>$B888="Subetapa"</formula>
    </cfRule>
  </conditionalFormatting>
  <conditionalFormatting sqref="G888:H888">
    <cfRule type="expression" dxfId="7667" priority="3282">
      <formula>$B888="Serviço"</formula>
    </cfRule>
    <cfRule type="expression" dxfId="7666" priority="3283">
      <formula>$B888="Subetapa"</formula>
    </cfRule>
  </conditionalFormatting>
  <conditionalFormatting sqref="A889:A890">
    <cfRule type="expression" dxfId="7665" priority="3280">
      <formula>$B889="Serviço"</formula>
    </cfRule>
    <cfRule type="expression" dxfId="7664" priority="3281">
      <formula>$B889="Subetapa"</formula>
    </cfRule>
  </conditionalFormatting>
  <conditionalFormatting sqref="A888">
    <cfRule type="expression" dxfId="7663" priority="3276">
      <formula>$B888="Serviço"</formula>
    </cfRule>
    <cfRule type="expression" dxfId="7662" priority="3277">
      <formula>$B888="Subetapa"</formula>
    </cfRule>
  </conditionalFormatting>
  <conditionalFormatting sqref="A890">
    <cfRule type="expression" dxfId="7661" priority="3278">
      <formula>$B890="Serviço"</formula>
    </cfRule>
    <cfRule type="expression" dxfId="7660" priority="3279">
      <formula>$B890="Subetapa"</formula>
    </cfRule>
  </conditionalFormatting>
  <conditionalFormatting sqref="B886:B887">
    <cfRule type="expression" dxfId="7659" priority="3274">
      <formula>$B886="Serviço"</formula>
    </cfRule>
    <cfRule type="expression" dxfId="7658" priority="3275">
      <formula>$B886="Subetapa"</formula>
    </cfRule>
  </conditionalFormatting>
  <conditionalFormatting sqref="B885">
    <cfRule type="expression" dxfId="7657" priority="3270">
      <formula>$B885="Serviço"</formula>
    </cfRule>
    <cfRule type="expression" dxfId="7656" priority="3271">
      <formula>$B885="Subetapa"</formula>
    </cfRule>
  </conditionalFormatting>
  <conditionalFormatting sqref="B887">
    <cfRule type="expression" dxfId="7655" priority="3272">
      <formula>$B887="Serviço"</formula>
    </cfRule>
    <cfRule type="expression" dxfId="7654" priority="3273">
      <formula>$B887="Subetapa"</formula>
    </cfRule>
  </conditionalFormatting>
  <conditionalFormatting sqref="D885:F885 D886:D887 F886:F887 C885:C887">
    <cfRule type="expression" dxfId="7653" priority="3268">
      <formula>$B885="Serviço"</formula>
    </cfRule>
    <cfRule type="expression" dxfId="7652" priority="3269">
      <formula>$B885="Subetapa"</formula>
    </cfRule>
  </conditionalFormatting>
  <conditionalFormatting sqref="G885:H885">
    <cfRule type="expression" dxfId="7651" priority="3264">
      <formula>$B885="Serviço"</formula>
    </cfRule>
    <cfRule type="expression" dxfId="7650" priority="3265">
      <formula>$B885="Subetapa"</formula>
    </cfRule>
  </conditionalFormatting>
  <conditionalFormatting sqref="A886:A887">
    <cfRule type="expression" dxfId="7649" priority="3262">
      <formula>$B886="Serviço"</formula>
    </cfRule>
    <cfRule type="expression" dxfId="7648" priority="3263">
      <formula>$B886="Subetapa"</formula>
    </cfRule>
  </conditionalFormatting>
  <conditionalFormatting sqref="A885">
    <cfRule type="expression" dxfId="7647" priority="3258">
      <formula>$B885="Serviço"</formula>
    </cfRule>
    <cfRule type="expression" dxfId="7646" priority="3259">
      <formula>$B885="Subetapa"</formula>
    </cfRule>
  </conditionalFormatting>
  <conditionalFormatting sqref="A887">
    <cfRule type="expression" dxfId="7645" priority="3260">
      <formula>$B887="Serviço"</formula>
    </cfRule>
    <cfRule type="expression" dxfId="7644" priority="3261">
      <formula>$B887="Subetapa"</formula>
    </cfRule>
  </conditionalFormatting>
  <conditionalFormatting sqref="B1397:B1418">
    <cfRule type="expression" dxfId="7643" priority="3257">
      <formula>$B1397="Subetapa"</formula>
    </cfRule>
  </conditionalFormatting>
  <conditionalFormatting sqref="D1408:F1408 D1409:D1418 F1409:F1418 C1408:C1418">
    <cfRule type="expression" dxfId="7642" priority="3256">
      <formula>$B1408="Subetapa"</formula>
    </cfRule>
  </conditionalFormatting>
  <conditionalFormatting sqref="G1408:H1408">
    <cfRule type="expression" dxfId="7641" priority="3253">
      <formula>$B1408="Subetapa"</formula>
    </cfRule>
  </conditionalFormatting>
  <conditionalFormatting sqref="A1397:A1418">
    <cfRule type="expression" dxfId="7640" priority="3251">
      <formula>$B1397="Subetapa"</formula>
    </cfRule>
  </conditionalFormatting>
  <conditionalFormatting sqref="D1397:F1397 D1398:D1407 F1398:F1407 C1397:C1407">
    <cfRule type="expression" dxfId="7639" priority="3250">
      <formula>$B1397="Subetapa"</formula>
    </cfRule>
  </conditionalFormatting>
  <conditionalFormatting sqref="G1397:H1397">
    <cfRule type="expression" dxfId="7638" priority="3249">
      <formula>$B1397="Subetapa"</formula>
    </cfRule>
  </conditionalFormatting>
  <conditionalFormatting sqref="C1410:D1410">
    <cfRule type="expression" dxfId="7637" priority="3247">
      <formula>$B1410="Subetapa"</formula>
    </cfRule>
  </conditionalFormatting>
  <conditionalFormatting sqref="D1419:D1420 D1466:D1473 D1422:D1442 D1444:D1464 B1421:B1429 B1432:B1440 B1454:B1462 B1465:B1473 B1443:B1451">
    <cfRule type="expression" dxfId="7636" priority="3245">
      <formula>$B1419="Subetapa"</formula>
    </cfRule>
  </conditionalFormatting>
  <conditionalFormatting sqref="G1419:H1419">
    <cfRule type="expression" dxfId="7635" priority="3241">
      <formula>$B1419="Subetapa"</formula>
    </cfRule>
  </conditionalFormatting>
  <conditionalFormatting sqref="E1419:F1419">
    <cfRule type="expression" dxfId="7634" priority="3243">
      <formula>$B1419="Subetapa"</formula>
    </cfRule>
  </conditionalFormatting>
  <conditionalFormatting sqref="A1421:A1429 A1432:A1440 A1454:A1462 A1465:A1473 A1443:A1451">
    <cfRule type="expression" dxfId="7633" priority="3237">
      <formula>$B1421="Subetapa"</formula>
    </cfRule>
  </conditionalFormatting>
  <conditionalFormatting sqref="G1430:H1430">
    <cfRule type="expression" dxfId="7632" priority="3232">
      <formula>$B1430="Subetapa"</formula>
    </cfRule>
  </conditionalFormatting>
  <conditionalFormatting sqref="E1430:F1430">
    <cfRule type="expression" dxfId="7631" priority="3233">
      <formula>$B1430="Subetapa"</formula>
    </cfRule>
  </conditionalFormatting>
  <conditionalFormatting sqref="C1421:D1421">
    <cfRule type="expression" dxfId="7630" priority="3230">
      <formula>$B1421="Subetapa"</formula>
    </cfRule>
  </conditionalFormatting>
  <conditionalFormatting sqref="C1421:D1421">
    <cfRule type="expression" dxfId="7629" priority="3229">
      <formula>$B1421="Subetapa"</formula>
    </cfRule>
  </conditionalFormatting>
  <conditionalFormatting sqref="G1452:H1452">
    <cfRule type="expression" dxfId="7628" priority="3226">
      <formula>$B1452="Subetapa"</formula>
    </cfRule>
  </conditionalFormatting>
  <conditionalFormatting sqref="E1452:F1452">
    <cfRule type="expression" dxfId="7627" priority="3227">
      <formula>$B1452="Subetapa"</formula>
    </cfRule>
  </conditionalFormatting>
  <conditionalFormatting sqref="G1463:H1463">
    <cfRule type="expression" dxfId="7626" priority="3223">
      <formula>$B1463="Subetapa"</formula>
    </cfRule>
  </conditionalFormatting>
  <conditionalFormatting sqref="E1463:F1463">
    <cfRule type="expression" dxfId="7625" priority="3224">
      <formula>$B1463="Subetapa"</formula>
    </cfRule>
  </conditionalFormatting>
  <conditionalFormatting sqref="C1465:D1465">
    <cfRule type="expression" dxfId="7624" priority="3221">
      <formula>$B1465="Subetapa"</formula>
    </cfRule>
  </conditionalFormatting>
  <conditionalFormatting sqref="C1465:D1465">
    <cfRule type="expression" dxfId="7623" priority="3220">
      <formula>$B1465="Subetapa"</formula>
    </cfRule>
  </conditionalFormatting>
  <conditionalFormatting sqref="G1441:H1441">
    <cfRule type="expression" dxfId="7622" priority="3217">
      <formula>$B1441="Subetapa"</formula>
    </cfRule>
  </conditionalFormatting>
  <conditionalFormatting sqref="E1441:F1441">
    <cfRule type="expression" dxfId="7621" priority="3218">
      <formula>$B1441="Subetapa"</formula>
    </cfRule>
  </conditionalFormatting>
  <conditionalFormatting sqref="C1443:D1443">
    <cfRule type="expression" dxfId="7620" priority="3215">
      <formula>$B1443="Subetapa"</formula>
    </cfRule>
  </conditionalFormatting>
  <conditionalFormatting sqref="C1443:D1443">
    <cfRule type="expression" dxfId="7619" priority="3214">
      <formula>$B1443="Subetapa"</formula>
    </cfRule>
  </conditionalFormatting>
  <conditionalFormatting sqref="B1475:B1485 B1487:B1497 B1512:B1523 B1499:B1510">
    <cfRule type="expression" dxfId="7618" priority="3208">
      <formula>$B1475="Subetapa"</formula>
    </cfRule>
  </conditionalFormatting>
  <conditionalFormatting sqref="B1476 B1478:B1485 B1488 B1490:B1497 B1514 B1516:B1523 B1501 B1503:B1510 C1475:D1475 C1487:D1487 C1512:D1512 C1499:D1499">
    <cfRule type="expression" dxfId="7617" priority="3210">
      <formula>$B1475="Subetapa"</formula>
    </cfRule>
  </conditionalFormatting>
  <conditionalFormatting sqref="B1474:H1474">
    <cfRule type="expression" dxfId="7616" priority="3202">
      <formula>$B1474="Subetapa"</formula>
    </cfRule>
  </conditionalFormatting>
  <conditionalFormatting sqref="E1475 E1477">
    <cfRule type="expression" dxfId="7615" priority="3213">
      <formula>$B1475="Subetapa"</formula>
    </cfRule>
  </conditionalFormatting>
  <conditionalFormatting sqref="F1477 C1477:D1477">
    <cfRule type="expression" dxfId="7614" priority="3206">
      <formula>$B1477="Subetapa"</formula>
    </cfRule>
  </conditionalFormatting>
  <conditionalFormatting sqref="F1475">
    <cfRule type="expression" dxfId="7613" priority="3201">
      <formula>$B1475="Subetapa"</formula>
    </cfRule>
  </conditionalFormatting>
  <conditionalFormatting sqref="A1475:A1485 A1487:A1497 A1512:A1523 A1499:A1510">
    <cfRule type="expression" dxfId="7612" priority="3188">
      <formula>$B1475="Subetapa"</formula>
    </cfRule>
  </conditionalFormatting>
  <conditionalFormatting sqref="A1476 A1478:A1485 A1488 A1490:A1497 A1516:A1523 A1513:A1514 A1503:A1510 A1500:A1501">
    <cfRule type="expression" dxfId="7611" priority="3190">
      <formula>$B1476="Subetapa"</formula>
    </cfRule>
  </conditionalFormatting>
  <conditionalFormatting sqref="A1474">
    <cfRule type="expression" dxfId="7610" priority="3184">
      <formula>$B1474="Subetapa"</formula>
    </cfRule>
  </conditionalFormatting>
  <conditionalFormatting sqref="E1476:F1476">
    <cfRule type="expression" dxfId="7609" priority="3182">
      <formula>$B1476="Subetapa"</formula>
    </cfRule>
  </conditionalFormatting>
  <conditionalFormatting sqref="C1476:D1476">
    <cfRule type="expression" dxfId="7608" priority="3180">
      <formula>$B1476="Subetapa"</formula>
    </cfRule>
  </conditionalFormatting>
  <conditionalFormatting sqref="C1476:D1476">
    <cfRule type="expression" dxfId="7607" priority="3179">
      <formula>$B1476="Subetapa"</formula>
    </cfRule>
  </conditionalFormatting>
  <conditionalFormatting sqref="E1478:F1485 E1490:F1497 E1516:F1523 E1503:F1510">
    <cfRule type="expression" dxfId="7606" priority="3177">
      <formula>$B1478="Subetapa"</formula>
    </cfRule>
  </conditionalFormatting>
  <conditionalFormatting sqref="D1478:D1485 D1490:D1497 D1503:D1510 D1516:D1523">
    <cfRule type="expression" dxfId="7605" priority="3176">
      <formula>$B1478="Subetapa"</formula>
    </cfRule>
  </conditionalFormatting>
  <conditionalFormatting sqref="B1486:H1486">
    <cfRule type="expression" dxfId="7604" priority="3169">
      <formula>$B1486="Subetapa"</formula>
    </cfRule>
  </conditionalFormatting>
  <conditionalFormatting sqref="E1487 E1489">
    <cfRule type="expression" dxfId="7603" priority="3175">
      <formula>$B1487="Subetapa"</formula>
    </cfRule>
  </conditionalFormatting>
  <conditionalFormatting sqref="F1489 C1489:D1489">
    <cfRule type="expression" dxfId="7602" priority="3172">
      <formula>$B1489="Subetapa"</formula>
    </cfRule>
  </conditionalFormatting>
  <conditionalFormatting sqref="F1487">
    <cfRule type="expression" dxfId="7601" priority="3168">
      <formula>$B1487="Subetapa"</formula>
    </cfRule>
  </conditionalFormatting>
  <conditionalFormatting sqref="A1486">
    <cfRule type="expression" dxfId="7600" priority="3162">
      <formula>$B1486="Subetapa"</formula>
    </cfRule>
  </conditionalFormatting>
  <conditionalFormatting sqref="E1488:F1488">
    <cfRule type="expression" dxfId="7599" priority="3160">
      <formula>$B1488="Subetapa"</formula>
    </cfRule>
  </conditionalFormatting>
  <conditionalFormatting sqref="C1488:D1488">
    <cfRule type="expression" dxfId="7598" priority="3158">
      <formula>$B1488="Subetapa"</formula>
    </cfRule>
  </conditionalFormatting>
  <conditionalFormatting sqref="C1488:D1488">
    <cfRule type="expression" dxfId="7597" priority="3157">
      <formula>$B1488="Subetapa"</formula>
    </cfRule>
  </conditionalFormatting>
  <conditionalFormatting sqref="B1511:H1511">
    <cfRule type="expression" dxfId="7596" priority="3150">
      <formula>$B1511="Subetapa"</formula>
    </cfRule>
  </conditionalFormatting>
  <conditionalFormatting sqref="E1512 E1515">
    <cfRule type="expression" dxfId="7595" priority="3156">
      <formula>$B1512="Subetapa"</formula>
    </cfRule>
  </conditionalFormatting>
  <conditionalFormatting sqref="F1515 C1515:D1515">
    <cfRule type="expression" dxfId="7594" priority="3153">
      <formula>$B1515="Subetapa"</formula>
    </cfRule>
  </conditionalFormatting>
  <conditionalFormatting sqref="F1512">
    <cfRule type="expression" dxfId="7593" priority="3149">
      <formula>$B1512="Subetapa"</formula>
    </cfRule>
  </conditionalFormatting>
  <conditionalFormatting sqref="A1511">
    <cfRule type="expression" dxfId="7592" priority="3143">
      <formula>$B1511="Subetapa"</formula>
    </cfRule>
  </conditionalFormatting>
  <conditionalFormatting sqref="E1514:F1514">
    <cfRule type="expression" dxfId="7591" priority="3141">
      <formula>$B1514="Subetapa"</formula>
    </cfRule>
  </conditionalFormatting>
  <conditionalFormatting sqref="D1513:D1514">
    <cfRule type="expression" dxfId="7590" priority="3139">
      <formula>$B1513="Subetapa"</formula>
    </cfRule>
  </conditionalFormatting>
  <conditionalFormatting sqref="D1513:D1514">
    <cfRule type="expression" dxfId="7589" priority="3138">
      <formula>$B1513="Subetapa"</formula>
    </cfRule>
  </conditionalFormatting>
  <conditionalFormatting sqref="B1513">
    <cfRule type="expression" dxfId="7588" priority="3137">
      <formula>$B1513="Subetapa"</formula>
    </cfRule>
  </conditionalFormatting>
  <conditionalFormatting sqref="E1513:F1513">
    <cfRule type="expression" dxfId="7587" priority="3134">
      <formula>$B1513="Subetapa"</formula>
    </cfRule>
  </conditionalFormatting>
  <conditionalFormatting sqref="B1498:H1498">
    <cfRule type="expression" dxfId="7586" priority="3127">
      <formula>$B1498="Subetapa"</formula>
    </cfRule>
  </conditionalFormatting>
  <conditionalFormatting sqref="E1499 E1502">
    <cfRule type="expression" dxfId="7585" priority="3133">
      <formula>$B1499="Subetapa"</formula>
    </cfRule>
  </conditionalFormatting>
  <conditionalFormatting sqref="F1502 C1502:D1502">
    <cfRule type="expression" dxfId="7584" priority="3130">
      <formula>$B1502="Subetapa"</formula>
    </cfRule>
  </conditionalFormatting>
  <conditionalFormatting sqref="F1499">
    <cfRule type="expression" dxfId="7583" priority="3126">
      <formula>$B1499="Subetapa"</formula>
    </cfRule>
  </conditionalFormatting>
  <conditionalFormatting sqref="A1498">
    <cfRule type="expression" dxfId="7582" priority="3120">
      <formula>$B1498="Subetapa"</formula>
    </cfRule>
  </conditionalFormatting>
  <conditionalFormatting sqref="E1501:F1501">
    <cfRule type="expression" dxfId="7581" priority="3118">
      <formula>$B1501="Subetapa"</formula>
    </cfRule>
  </conditionalFormatting>
  <conditionalFormatting sqref="D1500:D1501">
    <cfRule type="expression" dxfId="7580" priority="3116">
      <formula>$B1500="Subetapa"</formula>
    </cfRule>
  </conditionalFormatting>
  <conditionalFormatting sqref="D1500:D1501">
    <cfRule type="expression" dxfId="7579" priority="3115">
      <formula>$B1500="Subetapa"</formula>
    </cfRule>
  </conditionalFormatting>
  <conditionalFormatting sqref="B1500">
    <cfRule type="expression" dxfId="7578" priority="3114">
      <formula>$B1500="Subetapa"</formula>
    </cfRule>
  </conditionalFormatting>
  <conditionalFormatting sqref="E1500:F1500">
    <cfRule type="expression" dxfId="7577" priority="3111">
      <formula>$B1500="Subetapa"</formula>
    </cfRule>
  </conditionalFormatting>
  <conditionalFormatting sqref="D1524:D1525 D1527:D1534 B1526:B1534">
    <cfRule type="expression" dxfId="7576" priority="3108">
      <formula>$B1524="Subetapa"</formula>
    </cfRule>
  </conditionalFormatting>
  <conditionalFormatting sqref="A1526:A1534">
    <cfRule type="expression" dxfId="7575" priority="3106">
      <formula>$B1526="Subetapa"</formula>
    </cfRule>
  </conditionalFormatting>
  <conditionalFormatting sqref="G1524:H1524">
    <cfRule type="expression" dxfId="7574" priority="3102">
      <formula>$B1524="Subetapa"</formula>
    </cfRule>
  </conditionalFormatting>
  <conditionalFormatting sqref="E1524:F1524">
    <cfRule type="expression" dxfId="7573" priority="3103">
      <formula>$B1524="Subetapa"</formula>
    </cfRule>
  </conditionalFormatting>
  <conditionalFormatting sqref="C1526:D1526">
    <cfRule type="expression" dxfId="7572" priority="3100">
      <formula>$B1526="Subetapa"</formula>
    </cfRule>
  </conditionalFormatting>
  <conditionalFormatting sqref="C1526:D1526">
    <cfRule type="expression" dxfId="7571" priority="3099">
      <formula>$B1526="Subetapa"</formula>
    </cfRule>
  </conditionalFormatting>
  <conditionalFormatting sqref="G2425:H2425">
    <cfRule type="expression" dxfId="7570" priority="3094">
      <formula>$B2425="Subetapa"</formula>
    </cfRule>
  </conditionalFormatting>
  <conditionalFormatting sqref="G2415:H2415">
    <cfRule type="expression" dxfId="7569" priority="3088">
      <formula>$B2415="Subetapa"</formula>
    </cfRule>
  </conditionalFormatting>
  <conditionalFormatting sqref="G2571:H2571">
    <cfRule type="expression" dxfId="7568" priority="3080">
      <formula>$B2571="Subetapa"</formula>
    </cfRule>
  </conditionalFormatting>
  <conditionalFormatting sqref="C2606:D2606 C2582:D2582 C2576:D2576 C2600:D2600 C2594:D2594 C2588:D2588">
    <cfRule type="expression" dxfId="7567" priority="3077">
      <formula>$B2576="Serviço"</formula>
    </cfRule>
  </conditionalFormatting>
  <conditionalFormatting sqref="C2606:D2606 C2582:D2582 C2576:D2576 C2600:D2600 C2594:D2594 C2588:D2588">
    <cfRule type="expression" dxfId="7566" priority="3078">
      <formula>$B2576="Subetapa"</formula>
    </cfRule>
  </conditionalFormatting>
  <conditionalFormatting sqref="G2577:H2577">
    <cfRule type="expression" dxfId="7565" priority="3072">
      <formula>$B2577="Subetapa"</formula>
    </cfRule>
  </conditionalFormatting>
  <conditionalFormatting sqref="G2601:H2601">
    <cfRule type="expression" dxfId="7564" priority="3066">
      <formula>$B2601="Subetapa"</formula>
    </cfRule>
  </conditionalFormatting>
  <conditionalFormatting sqref="G2595:H2595">
    <cfRule type="expression" dxfId="7563" priority="3060">
      <formula>$B2595="Subetapa"</formula>
    </cfRule>
  </conditionalFormatting>
  <conditionalFormatting sqref="E2639:E2641">
    <cfRule type="expression" dxfId="7562" priority="3058">
      <formula>$B2639="Subetapa"</formula>
    </cfRule>
  </conditionalFormatting>
  <conditionalFormatting sqref="G2638:H2638">
    <cfRule type="expression" dxfId="7561" priority="3053">
      <formula>$B2638="Subetapa"</formula>
    </cfRule>
  </conditionalFormatting>
  <conditionalFormatting sqref="E2643:E2645">
    <cfRule type="expression" dxfId="7560" priority="3052">
      <formula>$B2643="Subetapa"</formula>
    </cfRule>
  </conditionalFormatting>
  <conditionalFormatting sqref="G2642:H2642">
    <cfRule type="expression" dxfId="7559" priority="3047">
      <formula>$B2642="Subetapa"</formula>
    </cfRule>
  </conditionalFormatting>
  <conditionalFormatting sqref="E2647:E2649">
    <cfRule type="expression" dxfId="7558" priority="3046">
      <formula>$B2647="Subetapa"</formula>
    </cfRule>
  </conditionalFormatting>
  <conditionalFormatting sqref="G2646:H2646">
    <cfRule type="expression" dxfId="7557" priority="3041">
      <formula>$B2646="Subetapa"</formula>
    </cfRule>
  </conditionalFormatting>
  <conditionalFormatting sqref="E2655:E2657">
    <cfRule type="expression" dxfId="7556" priority="3040">
      <formula>$B2655="Subetapa"</formula>
    </cfRule>
  </conditionalFormatting>
  <conditionalFormatting sqref="G2654:H2654">
    <cfRule type="expression" dxfId="7555" priority="3035">
      <formula>$B2654="Subetapa"</formula>
    </cfRule>
  </conditionalFormatting>
  <conditionalFormatting sqref="E2651:E2653">
    <cfRule type="expression" dxfId="7554" priority="3034">
      <formula>$B2651="Subetapa"</formula>
    </cfRule>
  </conditionalFormatting>
  <conditionalFormatting sqref="G2650:H2650">
    <cfRule type="expression" dxfId="7553" priority="3029">
      <formula>$B2650="Subetapa"</formula>
    </cfRule>
  </conditionalFormatting>
  <conditionalFormatting sqref="D2675:F2676 D2679:F2679 F2677:F2678 D2677:D2678 F2680:F2681 F2689 B2675:B2681 B2689 F2683 D2680:D2684 B2683 C2675:C2684 F2686 B2686 C2685:D2690">
    <cfRule type="expression" dxfId="7552" priority="3027">
      <formula>$B2675="Subetapa"</formula>
    </cfRule>
  </conditionalFormatting>
  <conditionalFormatting sqref="G2676:H2676">
    <cfRule type="expression" dxfId="7551" priority="3021">
      <formula>$B2676="Subetapa"</formula>
    </cfRule>
  </conditionalFormatting>
  <conditionalFormatting sqref="G2688:H2688">
    <cfRule type="expression" dxfId="7550" priority="3019">
      <formula>$B2688="Subetapa"</formula>
    </cfRule>
    <cfRule type="expression" dxfId="7549" priority="3020">
      <formula>$B2688="Serviço"</formula>
    </cfRule>
  </conditionalFormatting>
  <conditionalFormatting sqref="K2675:K2681">
    <cfRule type="expression" dxfId="7548" priority="3014">
      <formula>$B2675="Subetapa"</formula>
    </cfRule>
  </conditionalFormatting>
  <conditionalFormatting sqref="A2675:A2681">
    <cfRule type="expression" dxfId="7547" priority="3011">
      <formula>$B2675="Subetapa"</formula>
    </cfRule>
  </conditionalFormatting>
  <conditionalFormatting sqref="G2679:H2679">
    <cfRule type="expression" dxfId="7546" priority="3007">
      <formula>$B2679="Subetapa"</formula>
    </cfRule>
  </conditionalFormatting>
  <conditionalFormatting sqref="I2689:K2689">
    <cfRule type="expression" dxfId="7545" priority="3000">
      <formula>$B2689="Subetapa"</formula>
    </cfRule>
  </conditionalFormatting>
  <conditionalFormatting sqref="A2689">
    <cfRule type="expression" dxfId="7544" priority="2998">
      <formula>$B2689="Subetapa"</formula>
    </cfRule>
  </conditionalFormatting>
  <conditionalFormatting sqref="G2662:H2662">
    <cfRule type="expression" dxfId="7543" priority="2996">
      <formula>$B2662="Subetapa"</formula>
    </cfRule>
  </conditionalFormatting>
  <conditionalFormatting sqref="G2744:H2744">
    <cfRule type="expression" dxfId="7542" priority="2995">
      <formula>$B2744="Subetapa"</formula>
    </cfRule>
  </conditionalFormatting>
  <conditionalFormatting sqref="D2826:F2827 B2835:B2840 D2835:F2840">
    <cfRule type="expression" dxfId="7541" priority="2991">
      <formula>$B2826="Serviço"</formula>
    </cfRule>
  </conditionalFormatting>
  <conditionalFormatting sqref="B2822:B2825">
    <cfRule type="expression" dxfId="7540" priority="2987">
      <formula>$B2822="Subetapa"</formula>
    </cfRule>
  </conditionalFormatting>
  <conditionalFormatting sqref="C2822:D2822">
    <cfRule type="expression" dxfId="7539" priority="2976">
      <formula>$B2822="Serviço"</formula>
    </cfRule>
    <cfRule type="expression" dxfId="7538" priority="2977">
      <formula>$B2822="Subetapa"</formula>
    </cfRule>
  </conditionalFormatting>
  <conditionalFormatting sqref="C2823:D2823">
    <cfRule type="expression" dxfId="7537" priority="2978">
      <formula>$A2823=2</formula>
    </cfRule>
  </conditionalFormatting>
  <conditionalFormatting sqref="C2824:D2824">
    <cfRule type="expression" dxfId="7536" priority="2981">
      <formula>$B2824="Serviço"</formula>
    </cfRule>
    <cfRule type="expression" dxfId="7535" priority="2982">
      <formula>$B2824="Subetapa"</formula>
    </cfRule>
  </conditionalFormatting>
  <conditionalFormatting sqref="C2825:D2825">
    <cfRule type="expression" dxfId="7534" priority="2983">
      <formula>$A2825=2</formula>
    </cfRule>
  </conditionalFormatting>
  <conditionalFormatting sqref="E2823">
    <cfRule type="expression" dxfId="7533" priority="2979">
      <formula>$B2823="Serviço"</formula>
    </cfRule>
  </conditionalFormatting>
  <conditionalFormatting sqref="E2825">
    <cfRule type="expression" dxfId="7532" priority="2989">
      <formula>$B2825="Serviço"</formula>
    </cfRule>
  </conditionalFormatting>
  <conditionalFormatting sqref="E2822:F2825">
    <cfRule type="expression" dxfId="7531" priority="2988">
      <formula>$B2822="Serviço"</formula>
    </cfRule>
  </conditionalFormatting>
  <conditionalFormatting sqref="E2822:F2823">
    <cfRule type="expression" dxfId="7530" priority="2980">
      <formula>$B2822="Subetapa"</formula>
    </cfRule>
  </conditionalFormatting>
  <conditionalFormatting sqref="E2824:F2825">
    <cfRule type="expression" dxfId="7529" priority="2990">
      <formula>$B2824="Subetapa"</formula>
    </cfRule>
  </conditionalFormatting>
  <conditionalFormatting sqref="B2822:B2825">
    <cfRule type="expression" dxfId="7528" priority="2986">
      <formula>$B2822="Serviço"</formula>
    </cfRule>
  </conditionalFormatting>
  <conditionalFormatting sqref="D2826:F2827 B2835:B2840 D2835:F2840">
    <cfRule type="expression" dxfId="7527" priority="2992">
      <formula>$B2826="Subetapa"</formula>
    </cfRule>
  </conditionalFormatting>
  <conditionalFormatting sqref="G2794:H2794">
    <cfRule type="expression" dxfId="7526" priority="2546">
      <formula>$B2794="Subetapa"</formula>
    </cfRule>
  </conditionalFormatting>
  <conditionalFormatting sqref="E2780">
    <cfRule type="expression" dxfId="7525" priority="2544">
      <formula>$B2780="Subetapa"</formula>
    </cfRule>
  </conditionalFormatting>
  <conditionalFormatting sqref="E2779:F2780">
    <cfRule type="expression" dxfId="7524" priority="2545">
      <formula>$B2779="Subetapa"</formula>
    </cfRule>
  </conditionalFormatting>
  <conditionalFormatting sqref="G2779:H2779">
    <cfRule type="expression" dxfId="7523" priority="2538">
      <formula>$B2779="Subetapa"</formula>
    </cfRule>
  </conditionalFormatting>
  <conditionalFormatting sqref="E2776">
    <cfRule type="expression" dxfId="7522" priority="2536">
      <formula>$B2776="Subetapa"</formula>
    </cfRule>
  </conditionalFormatting>
  <conditionalFormatting sqref="E2775:F2776">
    <cfRule type="expression" dxfId="7521" priority="2537">
      <formula>$B2775="Subetapa"</formula>
    </cfRule>
  </conditionalFormatting>
  <conditionalFormatting sqref="G2775:H2775">
    <cfRule type="expression" dxfId="7520" priority="2530">
      <formula>$B2775="Subetapa"</formula>
    </cfRule>
  </conditionalFormatting>
  <conditionalFormatting sqref="E2782">
    <cfRule type="expression" dxfId="7519" priority="2528">
      <formula>$B2782="Subetapa"</formula>
    </cfRule>
  </conditionalFormatting>
  <conditionalFormatting sqref="E2781:F2782">
    <cfRule type="expression" dxfId="7518" priority="2529">
      <formula>$B2781="Subetapa"</formula>
    </cfRule>
  </conditionalFormatting>
  <conditionalFormatting sqref="G2781:H2781">
    <cfRule type="expression" dxfId="7517" priority="2522">
      <formula>$B2781="Subetapa"</formula>
    </cfRule>
  </conditionalFormatting>
  <conditionalFormatting sqref="E2774">
    <cfRule type="expression" dxfId="7516" priority="2520">
      <formula>$B2774="Subetapa"</formula>
    </cfRule>
  </conditionalFormatting>
  <conditionalFormatting sqref="E2773:F2774">
    <cfRule type="expression" dxfId="7515" priority="2521">
      <formula>$B2773="Subetapa"</formula>
    </cfRule>
  </conditionalFormatting>
  <conditionalFormatting sqref="G2773:H2773">
    <cfRule type="expression" dxfId="7514" priority="2514">
      <formula>$B2773="Subetapa"</formula>
    </cfRule>
  </conditionalFormatting>
  <conditionalFormatting sqref="E2778">
    <cfRule type="expression" dxfId="7513" priority="2512">
      <formula>$B2778="Subetapa"</formula>
    </cfRule>
  </conditionalFormatting>
  <conditionalFormatting sqref="E2777:F2777 E2778">
    <cfRule type="expression" dxfId="7512" priority="2513">
      <formula>$B2777="Subetapa"</formula>
    </cfRule>
  </conditionalFormatting>
  <conditionalFormatting sqref="G2777:H2777">
    <cfRule type="expression" dxfId="7511" priority="2506">
      <formula>$B2777="Subetapa"</formula>
    </cfRule>
  </conditionalFormatting>
  <conditionalFormatting sqref="G2796:H2796">
    <cfRule type="expression" dxfId="7510" priority="2505">
      <formula>$B2796="Subetapa"</formula>
    </cfRule>
  </conditionalFormatting>
  <conditionalFormatting sqref="D2843:F2843 D2844 C2843:C2844">
    <cfRule type="expression" dxfId="7509" priority="2496">
      <formula>$B2843="Subetapa"</formula>
    </cfRule>
  </conditionalFormatting>
  <conditionalFormatting sqref="E2833:E2834">
    <cfRule type="expression" dxfId="7508" priority="2495">
      <formula>$B2833="Subetapa"</formula>
    </cfRule>
  </conditionalFormatting>
  <conditionalFormatting sqref="D2832:F2832 F2833:F2834 D2833:D2834 B2832:C2834">
    <cfRule type="expression" dxfId="7507" priority="2490">
      <formula>$B2832="Subetapa"</formula>
    </cfRule>
  </conditionalFormatting>
  <conditionalFormatting sqref="K2832:K2834">
    <cfRule type="expression" dxfId="7506" priority="2486">
      <formula>$B2832="Subetapa"</formula>
    </cfRule>
  </conditionalFormatting>
  <conditionalFormatting sqref="A2832:A2834">
    <cfRule type="expression" dxfId="7505" priority="2484">
      <formula>$B2832="Subetapa"</formula>
    </cfRule>
  </conditionalFormatting>
  <conditionalFormatting sqref="G2832:H2832">
    <cfRule type="expression" dxfId="7504" priority="2483">
      <formula>$B2832="Subetapa"</formula>
    </cfRule>
  </conditionalFormatting>
  <conditionalFormatting sqref="B2682 B2684">
    <cfRule type="expression" dxfId="7503" priority="2481">
      <formula>$B2682="Subetapa"</formula>
    </cfRule>
  </conditionalFormatting>
  <conditionalFormatting sqref="E2682:F2682 F2684">
    <cfRule type="expression" dxfId="7502" priority="2480">
      <formula>$B2682="Subetapa"</formula>
    </cfRule>
    <cfRule type="expression" dxfId="7501" priority="2482">
      <formula>$B2682="Serviço"</formula>
    </cfRule>
  </conditionalFormatting>
  <conditionalFormatting sqref="G2682:H2682">
    <cfRule type="expression" dxfId="7500" priority="2478">
      <formula>$B2682="Subetapa"</formula>
    </cfRule>
    <cfRule type="expression" dxfId="7499" priority="2479">
      <formula>$B2682="Serviço"</formula>
    </cfRule>
  </conditionalFormatting>
  <conditionalFormatting sqref="I2683:K2683">
    <cfRule type="expression" dxfId="7498" priority="2473">
      <formula>$B2683="Subetapa"</formula>
    </cfRule>
  </conditionalFormatting>
  <conditionalFormatting sqref="A2683">
    <cfRule type="expression" dxfId="7497" priority="2471">
      <formula>$B2683="Subetapa"</formula>
    </cfRule>
  </conditionalFormatting>
  <conditionalFormatting sqref="B2890:B2894">
    <cfRule type="expression" dxfId="7496" priority="2465">
      <formula>$B2890="Serviço"</formula>
    </cfRule>
    <cfRule type="expression" dxfId="7495" priority="2469">
      <formula>$B2890="Subetapa"</formula>
    </cfRule>
  </conditionalFormatting>
  <conditionalFormatting sqref="B2895:B2904">
    <cfRule type="expression" dxfId="7494" priority="2461">
      <formula>$B2895="Subetapa"</formula>
    </cfRule>
  </conditionalFormatting>
  <conditionalFormatting sqref="B2896:B2899 B2901:B2904">
    <cfRule type="expression" dxfId="7493" priority="2462">
      <formula>$B2896="Serviço"</formula>
    </cfRule>
  </conditionalFormatting>
  <conditionalFormatting sqref="B2895 B2900">
    <cfRule type="expression" dxfId="7492" priority="2457">
      <formula>$B2895="Serviço"</formula>
    </cfRule>
  </conditionalFormatting>
  <conditionalFormatting sqref="D2890:F2890 D2891:D2894 C2890:C2894">
    <cfRule type="expression" dxfId="7491" priority="2466">
      <formula>$B2890="Serviço"</formula>
    </cfRule>
    <cfRule type="expression" dxfId="7490" priority="2467">
      <formula>$B2890="Subetapa"</formula>
    </cfRule>
  </conditionalFormatting>
  <conditionalFormatting sqref="D2895:F2895 D2900:F2900 D2896:D2899 F2896:F2899 D2901:D2904 F2901:F2904 C2895:C2904">
    <cfRule type="expression" dxfId="7489" priority="2459">
      <formula>$B2895="Serviço"</formula>
    </cfRule>
    <cfRule type="expression" dxfId="7488" priority="2460">
      <formula>$B2895="Subetapa"</formula>
    </cfRule>
  </conditionalFormatting>
  <conditionalFormatting sqref="F2891:F2894">
    <cfRule type="expression" dxfId="7487" priority="2463">
      <formula>$A2891="Serviço"</formula>
    </cfRule>
    <cfRule type="expression" dxfId="7486" priority="2464">
      <formula>$A2891="Subetapa"</formula>
    </cfRule>
  </conditionalFormatting>
  <conditionalFormatting sqref="G2890:H2890">
    <cfRule type="expression" dxfId="7485" priority="2452">
      <formula>$B2890="Serviço"</formula>
    </cfRule>
    <cfRule type="expression" dxfId="7484" priority="2453">
      <formula>$B2890="Subetapa"</formula>
    </cfRule>
  </conditionalFormatting>
  <conditionalFormatting sqref="G2895:H2895 G2900:H2900">
    <cfRule type="expression" dxfId="7483" priority="2456">
      <formula>$B2895="Serviço"</formula>
    </cfRule>
  </conditionalFormatting>
  <conditionalFormatting sqref="G2895:H2895 G2900:H2900">
    <cfRule type="expression" dxfId="7482" priority="2451">
      <formula>$B2895="Subetapa"</formula>
    </cfRule>
  </conditionalFormatting>
  <conditionalFormatting sqref="K2895:K2904">
    <cfRule type="expression" dxfId="7481" priority="2444">
      <formula>$B2895="Serviço"</formula>
    </cfRule>
  </conditionalFormatting>
  <conditionalFormatting sqref="K2890:K2894">
    <cfRule type="expression" dxfId="7480" priority="2445">
      <formula>$B2890="Subetapa"</formula>
    </cfRule>
    <cfRule type="expression" dxfId="7479" priority="2446">
      <formula>$B2890="Serviço"</formula>
    </cfRule>
  </conditionalFormatting>
  <conditionalFormatting sqref="K2895:K2904">
    <cfRule type="expression" dxfId="7478" priority="2443">
      <formula>$B2895="Subetapa"</formula>
    </cfRule>
  </conditionalFormatting>
  <conditionalFormatting sqref="A2890:A2894">
    <cfRule type="expression" dxfId="7477" priority="2441">
      <formula>$B2890="Serviço"</formula>
    </cfRule>
    <cfRule type="expression" dxfId="7476" priority="2442">
      <formula>$B2890="Subetapa"</formula>
    </cfRule>
  </conditionalFormatting>
  <conditionalFormatting sqref="A2895:A2904">
    <cfRule type="expression" dxfId="7475" priority="2439">
      <formula>$B2895="Subetapa"</formula>
    </cfRule>
  </conditionalFormatting>
  <conditionalFormatting sqref="A2896:A2899 A2901:A2904">
    <cfRule type="expression" dxfId="7474" priority="2440">
      <formula>$B2896="Serviço"</formula>
    </cfRule>
  </conditionalFormatting>
  <conditionalFormatting sqref="A2895 A2900">
    <cfRule type="expression" dxfId="7473" priority="2438">
      <formula>$B2895="Serviço"</formula>
    </cfRule>
  </conditionalFormatting>
  <conditionalFormatting sqref="F2959:F2960">
    <cfRule type="expression" dxfId="7472" priority="2432">
      <formula>$B2959="Subetapa"</formula>
    </cfRule>
  </conditionalFormatting>
  <conditionalFormatting sqref="G3093:H3093">
    <cfRule type="expression" dxfId="7471" priority="2430">
      <formula>$B3093="Subetapa"</formula>
    </cfRule>
  </conditionalFormatting>
  <conditionalFormatting sqref="K3093:K3096">
    <cfRule type="expression" dxfId="7470" priority="2427">
      <formula>$B3093="Subetapa"</formula>
    </cfRule>
  </conditionalFormatting>
  <conditionalFormatting sqref="A3093:A3096">
    <cfRule type="expression" dxfId="7469" priority="2426">
      <formula>$B3093="Subetapa"</formula>
    </cfRule>
  </conditionalFormatting>
  <conditionalFormatting sqref="B3330:B3339">
    <cfRule type="expression" dxfId="7468" priority="2424">
      <formula>$B3330="Subetapa"</formula>
    </cfRule>
  </conditionalFormatting>
  <conditionalFormatting sqref="A3330:A3339">
    <cfRule type="expression" dxfId="7467" priority="2416">
      <formula>$B3330="Subetapa"</formula>
    </cfRule>
  </conditionalFormatting>
  <conditionalFormatting sqref="G3335:H3335">
    <cfRule type="expression" dxfId="7466" priority="2410">
      <formula>$B3335="Subetapa"</formula>
    </cfRule>
  </conditionalFormatting>
  <conditionalFormatting sqref="G3330:H3330">
    <cfRule type="expression" dxfId="7465" priority="2404">
      <formula>$B3330="Subetapa"</formula>
    </cfRule>
  </conditionalFormatting>
  <conditionalFormatting sqref="B3265:B3269">
    <cfRule type="expression" dxfId="7464" priority="2372">
      <formula>$B3265="Subetapa"</formula>
    </cfRule>
  </conditionalFormatting>
  <conditionalFormatting sqref="B3270:B3274">
    <cfRule type="expression" dxfId="7463" priority="2365">
      <formula>$B3270="Serviço"</formula>
    </cfRule>
    <cfRule type="expression" dxfId="7462" priority="2369">
      <formula>$B3270="Subetapa"</formula>
    </cfRule>
  </conditionalFormatting>
  <conditionalFormatting sqref="B3275:B3284">
    <cfRule type="expression" dxfId="7461" priority="2361">
      <formula>$B3275="Subetapa"</formula>
    </cfRule>
  </conditionalFormatting>
  <conditionalFormatting sqref="B3276:B3279 B3281:B3284">
    <cfRule type="expression" dxfId="7460" priority="2362">
      <formula>$B3276="Serviço"</formula>
    </cfRule>
  </conditionalFormatting>
  <conditionalFormatting sqref="B3275 B3280">
    <cfRule type="expression" dxfId="7459" priority="2357">
      <formula>$B3275="Serviço"</formula>
    </cfRule>
  </conditionalFormatting>
  <conditionalFormatting sqref="D3265:F3265 D3266:D3268 F3266:F3269 C3265:C3268">
    <cfRule type="expression" dxfId="7458" priority="2356">
      <formula>$B3265="Subetapa"</formula>
    </cfRule>
  </conditionalFormatting>
  <conditionalFormatting sqref="D3270:F3270 D3271:D3273 C3270:C3273">
    <cfRule type="expression" dxfId="7457" priority="2366">
      <formula>$B3270="Serviço"</formula>
    </cfRule>
    <cfRule type="expression" dxfId="7456" priority="2367">
      <formula>$B3270="Subetapa"</formula>
    </cfRule>
  </conditionalFormatting>
  <conditionalFormatting sqref="D3275:F3275 D3280:F3280 D3276:D3279 F3276:F3279 D3281:D3284 F3281:F3284 C3275:C3284">
    <cfRule type="expression" dxfId="7455" priority="2359">
      <formula>$B3275="Serviço"</formula>
    </cfRule>
    <cfRule type="expression" dxfId="7454" priority="2360">
      <formula>$B3275="Subetapa"</formula>
    </cfRule>
  </conditionalFormatting>
  <conditionalFormatting sqref="F3271:F3274">
    <cfRule type="expression" dxfId="7453" priority="2363">
      <formula>$A3271="Serviço"</formula>
    </cfRule>
    <cfRule type="expression" dxfId="7452" priority="2364">
      <formula>$A3271="Subetapa"</formula>
    </cfRule>
  </conditionalFormatting>
  <conditionalFormatting sqref="G3265:H3265">
    <cfRule type="expression" dxfId="7451" priority="2354">
      <formula>$B3265="Subetapa"</formula>
    </cfRule>
  </conditionalFormatting>
  <conditionalFormatting sqref="G3270:H3270">
    <cfRule type="expression" dxfId="7450" priority="2351">
      <formula>$B3270="Serviço"</formula>
    </cfRule>
    <cfRule type="expression" dxfId="7449" priority="2352">
      <formula>$B3270="Subetapa"</formula>
    </cfRule>
  </conditionalFormatting>
  <conditionalFormatting sqref="G3275:H3275 G3280:H3280">
    <cfRule type="expression" dxfId="7448" priority="2355">
      <formula>$B3275="Serviço"</formula>
    </cfRule>
  </conditionalFormatting>
  <conditionalFormatting sqref="G3275:H3275 G3280:H3280">
    <cfRule type="expression" dxfId="7447" priority="2350">
      <formula>$B3275="Subetapa"</formula>
    </cfRule>
  </conditionalFormatting>
  <conditionalFormatting sqref="K3275:K3284">
    <cfRule type="expression" dxfId="7446" priority="2339">
      <formula>$B3275="Serviço"</formula>
    </cfRule>
  </conditionalFormatting>
  <conditionalFormatting sqref="K3265:K3269">
    <cfRule type="expression" dxfId="7445" priority="2343">
      <formula>$B3265="Subetapa"</formula>
    </cfRule>
  </conditionalFormatting>
  <conditionalFormatting sqref="K3270:K3274">
    <cfRule type="expression" dxfId="7444" priority="2340">
      <formula>$B3270="Subetapa"</formula>
    </cfRule>
    <cfRule type="expression" dxfId="7443" priority="2341">
      <formula>$B3270="Serviço"</formula>
    </cfRule>
  </conditionalFormatting>
  <conditionalFormatting sqref="K3275:K3284">
    <cfRule type="expression" dxfId="7442" priority="2338">
      <formula>$B3275="Subetapa"</formula>
    </cfRule>
  </conditionalFormatting>
  <conditionalFormatting sqref="A3265:A3269">
    <cfRule type="expression" dxfId="7441" priority="2337">
      <formula>$B3265="Subetapa"</formula>
    </cfRule>
  </conditionalFormatting>
  <conditionalFormatting sqref="A3270:A3274">
    <cfRule type="expression" dxfId="7440" priority="2334">
      <formula>$B3270="Serviço"</formula>
    </cfRule>
    <cfRule type="expression" dxfId="7439" priority="2335">
      <formula>$B3270="Subetapa"</formula>
    </cfRule>
  </conditionalFormatting>
  <conditionalFormatting sqref="A3275:A3284">
    <cfRule type="expression" dxfId="7438" priority="2332">
      <formula>$B3275="Subetapa"</formula>
    </cfRule>
  </conditionalFormatting>
  <conditionalFormatting sqref="A3276:A3279 A3281:A3284">
    <cfRule type="expression" dxfId="7437" priority="2333">
      <formula>$B3276="Serviço"</formula>
    </cfRule>
  </conditionalFormatting>
  <conditionalFormatting sqref="A3275 A3280">
    <cfRule type="expression" dxfId="7436" priority="2331">
      <formula>$B3275="Serviço"</formula>
    </cfRule>
  </conditionalFormatting>
  <conditionalFormatting sqref="D3500:F3500 D3501:D3504 C3500:C3504">
    <cfRule type="expression" dxfId="7435" priority="2322">
      <formula>$B3500="Serviço"</formula>
    </cfRule>
  </conditionalFormatting>
  <conditionalFormatting sqref="F3501:F3504">
    <cfRule type="expression" dxfId="7434" priority="2320">
      <formula>$A3501="Serviço"</formula>
    </cfRule>
    <cfRule type="expression" dxfId="7433" priority="2321">
      <formula>$A3501="Subetapa"</formula>
    </cfRule>
  </conditionalFormatting>
  <conditionalFormatting sqref="G3500:H3500">
    <cfRule type="expression" dxfId="7432" priority="2319">
      <formula>$B3500="Subetapa"</formula>
    </cfRule>
  </conditionalFormatting>
  <conditionalFormatting sqref="G3500:H3500">
    <cfRule type="expression" dxfId="7431" priority="2318">
      <formula>$B3500="Serviço"</formula>
    </cfRule>
  </conditionalFormatting>
  <conditionalFormatting sqref="C3334:D3334">
    <cfRule type="expression" dxfId="7430" priority="2317">
      <formula>$B3334="Subetapa"</formula>
    </cfRule>
  </conditionalFormatting>
  <conditionalFormatting sqref="C3334:D3334">
    <cfRule type="expression" dxfId="7429" priority="2316">
      <formula>$B3334="Serviço"</formula>
    </cfRule>
  </conditionalFormatting>
  <conditionalFormatting sqref="C3339:D3339">
    <cfRule type="expression" dxfId="7428" priority="2315">
      <formula>$B3339="Subetapa"</formula>
    </cfRule>
  </conditionalFormatting>
  <conditionalFormatting sqref="C3339:D3339">
    <cfRule type="expression" dxfId="7427" priority="2314">
      <formula>$B3339="Serviço"</formula>
    </cfRule>
  </conditionalFormatting>
  <conditionalFormatting sqref="C3294:D3294">
    <cfRule type="expression" dxfId="7426" priority="2313">
      <formula>$B3294="Subetapa"</formula>
    </cfRule>
  </conditionalFormatting>
  <conditionalFormatting sqref="C3294:D3294">
    <cfRule type="expression" dxfId="7425" priority="2312">
      <formula>$B3294="Serviço"</formula>
    </cfRule>
  </conditionalFormatting>
  <conditionalFormatting sqref="C3274:D3274">
    <cfRule type="expression" dxfId="7424" priority="2311">
      <formula>$B3274="Subetapa"</formula>
    </cfRule>
  </conditionalFormatting>
  <conditionalFormatting sqref="C3274:D3274">
    <cfRule type="expression" dxfId="7423" priority="2310">
      <formula>$B3274="Serviço"</formula>
    </cfRule>
  </conditionalFormatting>
  <conditionalFormatting sqref="C3269:D3269">
    <cfRule type="expression" dxfId="7422" priority="2309">
      <formula>$B3269="Subetapa"</formula>
    </cfRule>
  </conditionalFormatting>
  <conditionalFormatting sqref="C3269:D3269">
    <cfRule type="expression" dxfId="7421" priority="2308">
      <formula>$B3269="Serviço"</formula>
    </cfRule>
  </conditionalFormatting>
  <conditionalFormatting sqref="C2378:D2378">
    <cfRule type="expression" dxfId="7420" priority="2307">
      <formula>$B2378="Subetapa"</formula>
    </cfRule>
  </conditionalFormatting>
  <conditionalFormatting sqref="C2378:D2378">
    <cfRule type="expression" dxfId="7419" priority="2306">
      <formula>$B2378="Serviço"</formula>
    </cfRule>
  </conditionalFormatting>
  <conditionalFormatting sqref="C2388:D2388">
    <cfRule type="expression" dxfId="7418" priority="2305">
      <formula>$B2388="Subetapa"</formula>
    </cfRule>
  </conditionalFormatting>
  <conditionalFormatting sqref="C2388:D2388">
    <cfRule type="expression" dxfId="7417" priority="2304">
      <formula>$B2388="Serviço"</formula>
    </cfRule>
  </conditionalFormatting>
  <conditionalFormatting sqref="C2419:D2419">
    <cfRule type="expression" dxfId="7416" priority="2303">
      <formula>$B2419="Subetapa"</formula>
    </cfRule>
  </conditionalFormatting>
  <conditionalFormatting sqref="C2419:D2419">
    <cfRule type="expression" dxfId="7415" priority="2302">
      <formula>$B2419="Serviço"</formula>
    </cfRule>
  </conditionalFormatting>
  <conditionalFormatting sqref="C2429:D2429">
    <cfRule type="expression" dxfId="7414" priority="2301">
      <formula>$B2429="Subetapa"</formula>
    </cfRule>
  </conditionalFormatting>
  <conditionalFormatting sqref="C2429:D2429">
    <cfRule type="expression" dxfId="7413" priority="2300">
      <formula>$B2429="Serviço"</formula>
    </cfRule>
  </conditionalFormatting>
  <conditionalFormatting sqref="G2566:H2566">
    <cfRule type="expression" dxfId="7412" priority="2293">
      <formula>$B2566="Subetapa"</formula>
    </cfRule>
  </conditionalFormatting>
  <conditionalFormatting sqref="C2570:D2570">
    <cfRule type="expression" dxfId="7411" priority="2290">
      <formula>$B2570="Serviço"</formula>
    </cfRule>
  </conditionalFormatting>
  <conditionalFormatting sqref="C2570:D2570">
    <cfRule type="expression" dxfId="7410" priority="2291">
      <formula>$B2570="Subetapa"</formula>
    </cfRule>
  </conditionalFormatting>
  <conditionalFormatting sqref="G2561:H2561">
    <cfRule type="expression" dxfId="7409" priority="2281">
      <formula>$B2561="Subetapa"</formula>
    </cfRule>
  </conditionalFormatting>
  <conditionalFormatting sqref="C2565:D2565">
    <cfRule type="expression" dxfId="7408" priority="2278">
      <formula>$B2565="Serviço"</formula>
    </cfRule>
  </conditionalFormatting>
  <conditionalFormatting sqref="C2565:D2565">
    <cfRule type="expression" dxfId="7407" priority="2279">
      <formula>$B2565="Subetapa"</formula>
    </cfRule>
  </conditionalFormatting>
  <conditionalFormatting sqref="G2546:H2546">
    <cfRule type="expression" dxfId="7406" priority="2269">
      <formula>$B2546="Subetapa"</formula>
    </cfRule>
  </conditionalFormatting>
  <conditionalFormatting sqref="C2550:D2550">
    <cfRule type="expression" dxfId="7405" priority="2266">
      <formula>$B2550="Serviço"</formula>
    </cfRule>
  </conditionalFormatting>
  <conditionalFormatting sqref="C2550:D2550">
    <cfRule type="expression" dxfId="7404" priority="2267">
      <formula>$B2550="Subetapa"</formula>
    </cfRule>
  </conditionalFormatting>
  <conditionalFormatting sqref="G2541:H2541">
    <cfRule type="expression" dxfId="7403" priority="2257">
      <formula>$B2541="Subetapa"</formula>
    </cfRule>
  </conditionalFormatting>
  <conditionalFormatting sqref="C2545:D2545">
    <cfRule type="expression" dxfId="7402" priority="2254">
      <formula>$B2545="Serviço"</formula>
    </cfRule>
  </conditionalFormatting>
  <conditionalFormatting sqref="C2545:D2545">
    <cfRule type="expression" dxfId="7401" priority="2255">
      <formula>$B2545="Subetapa"</formula>
    </cfRule>
  </conditionalFormatting>
  <conditionalFormatting sqref="G2536:H2536">
    <cfRule type="expression" dxfId="7400" priority="2245">
      <formula>$B2536="Subetapa"</formula>
    </cfRule>
  </conditionalFormatting>
  <conditionalFormatting sqref="C2540:D2540">
    <cfRule type="expression" dxfId="7399" priority="2242">
      <formula>$B2540="Serviço"</formula>
    </cfRule>
  </conditionalFormatting>
  <conditionalFormatting sqref="C2540:D2540">
    <cfRule type="expression" dxfId="7398" priority="2243">
      <formula>$B2540="Subetapa"</formula>
    </cfRule>
  </conditionalFormatting>
  <conditionalFormatting sqref="G2531:H2531">
    <cfRule type="expression" dxfId="7397" priority="2233">
      <formula>$B2531="Subetapa"</formula>
    </cfRule>
  </conditionalFormatting>
  <conditionalFormatting sqref="C2535:D2535">
    <cfRule type="expression" dxfId="7396" priority="2230">
      <formula>$B2535="Serviço"</formula>
    </cfRule>
  </conditionalFormatting>
  <conditionalFormatting sqref="C2535:D2535">
    <cfRule type="expression" dxfId="7395" priority="2231">
      <formula>$B2535="Subetapa"</formula>
    </cfRule>
  </conditionalFormatting>
  <conditionalFormatting sqref="G2589:H2589">
    <cfRule type="expression" dxfId="7394" priority="2225">
      <formula>$B2589="Subetapa"</formula>
    </cfRule>
  </conditionalFormatting>
  <conditionalFormatting sqref="G2583:H2583">
    <cfRule type="expression" dxfId="7393" priority="2219">
      <formula>$B2583="Subetapa"</formula>
    </cfRule>
  </conditionalFormatting>
  <conditionalFormatting sqref="G2556:H2556">
    <cfRule type="expression" dxfId="7392" priority="2209">
      <formula>$B2556="Subetapa"</formula>
    </cfRule>
  </conditionalFormatting>
  <conditionalFormatting sqref="C2560:D2560">
    <cfRule type="expression" dxfId="7391" priority="2206">
      <formula>$B2560="Serviço"</formula>
    </cfRule>
  </conditionalFormatting>
  <conditionalFormatting sqref="C2560:D2560">
    <cfRule type="expression" dxfId="7390" priority="2207">
      <formula>$B2560="Subetapa"</formula>
    </cfRule>
  </conditionalFormatting>
  <conditionalFormatting sqref="G2551:H2551">
    <cfRule type="expression" dxfId="7389" priority="2197">
      <formula>$B2551="Subetapa"</formula>
    </cfRule>
  </conditionalFormatting>
  <conditionalFormatting sqref="C2555:D2555">
    <cfRule type="expression" dxfId="7388" priority="2194">
      <formula>$B2555="Serviço"</formula>
    </cfRule>
  </conditionalFormatting>
  <conditionalFormatting sqref="C2555:D2555">
    <cfRule type="expression" dxfId="7387" priority="2195">
      <formula>$B2555="Subetapa"</formula>
    </cfRule>
  </conditionalFormatting>
  <conditionalFormatting sqref="G2420:H2420">
    <cfRule type="expression" dxfId="7386" priority="2189">
      <formula>$B2420="Subetapa"</formula>
    </cfRule>
  </conditionalFormatting>
  <conditionalFormatting sqref="C2424:D2424">
    <cfRule type="expression" dxfId="7385" priority="2187">
      <formula>$B2424="Subetapa"</formula>
    </cfRule>
  </conditionalFormatting>
  <conditionalFormatting sqref="C2424:D2424">
    <cfRule type="expression" dxfId="7384" priority="2186">
      <formula>$B2424="Serviço"</formula>
    </cfRule>
  </conditionalFormatting>
  <conditionalFormatting sqref="C3147:F3147">
    <cfRule type="expression" dxfId="7383" priority="2185">
      <formula>$B3147="Subetapa"</formula>
    </cfRule>
  </conditionalFormatting>
  <conditionalFormatting sqref="G3147:H3147">
    <cfRule type="expression" dxfId="7382" priority="2183">
      <formula>$B3147="Subetapa"</formula>
    </cfRule>
  </conditionalFormatting>
  <conditionalFormatting sqref="E3173:E3174">
    <cfRule type="expression" dxfId="7381" priority="2181">
      <formula>$B3173="Subetapa"</formula>
    </cfRule>
  </conditionalFormatting>
  <conditionalFormatting sqref="E3172:F3172">
    <cfRule type="expression" dxfId="7380" priority="2178">
      <formula>$B3172="Subetapa"</formula>
    </cfRule>
  </conditionalFormatting>
  <conditionalFormatting sqref="D3173:D3174 F3173:F3174">
    <cfRule type="expression" dxfId="7379" priority="2182">
      <formula>$B3173="Subetapa"</formula>
    </cfRule>
  </conditionalFormatting>
  <conditionalFormatting sqref="G3172:H3172">
    <cfRule type="expression" dxfId="7378" priority="2174">
      <formula>$B3172="Subetapa"</formula>
    </cfRule>
  </conditionalFormatting>
  <conditionalFormatting sqref="E3170:E3171">
    <cfRule type="expression" dxfId="7377" priority="2172">
      <formula>$B3170="Subetapa"</formula>
    </cfRule>
  </conditionalFormatting>
  <conditionalFormatting sqref="C3169:F3169">
    <cfRule type="expression" dxfId="7376" priority="2169">
      <formula>$B3169="Subetapa"</formula>
    </cfRule>
  </conditionalFormatting>
  <conditionalFormatting sqref="D3170:D3171 F3170:F3171">
    <cfRule type="expression" dxfId="7375" priority="2173">
      <formula>$B3170="Subetapa"</formula>
    </cfRule>
  </conditionalFormatting>
  <conditionalFormatting sqref="G3169:H3169">
    <cfRule type="expression" dxfId="7374" priority="2165">
      <formula>$B3169="Subetapa"</formula>
    </cfRule>
  </conditionalFormatting>
  <conditionalFormatting sqref="E3167:E3168">
    <cfRule type="expression" dxfId="7373" priority="2163">
      <formula>$B3167="Subetapa"</formula>
    </cfRule>
  </conditionalFormatting>
  <conditionalFormatting sqref="E3166:F3166">
    <cfRule type="expression" dxfId="7372" priority="2160">
      <formula>$B3166="Subetapa"</formula>
    </cfRule>
  </conditionalFormatting>
  <conditionalFormatting sqref="D3167:D3168 F3167:F3168">
    <cfRule type="expression" dxfId="7371" priority="2164">
      <formula>$B3167="Subetapa"</formula>
    </cfRule>
  </conditionalFormatting>
  <conditionalFormatting sqref="G3166:H3166">
    <cfRule type="expression" dxfId="7370" priority="2156">
      <formula>$B3166="Subetapa"</formula>
    </cfRule>
  </conditionalFormatting>
  <conditionalFormatting sqref="E3164:E3165">
    <cfRule type="expression" dxfId="7369" priority="2154">
      <formula>$B3164="Subetapa"</formula>
    </cfRule>
  </conditionalFormatting>
  <conditionalFormatting sqref="E3163:F3163">
    <cfRule type="expression" dxfId="7368" priority="2151">
      <formula>$B3163="Subetapa"</formula>
    </cfRule>
  </conditionalFormatting>
  <conditionalFormatting sqref="D3164:D3165 F3164:F3165">
    <cfRule type="expression" dxfId="7367" priority="2155">
      <formula>$B3164="Subetapa"</formula>
    </cfRule>
  </conditionalFormatting>
  <conditionalFormatting sqref="G3163:H3163">
    <cfRule type="expression" dxfId="7366" priority="2147">
      <formula>$B3163="Subetapa"</formula>
    </cfRule>
  </conditionalFormatting>
  <conditionalFormatting sqref="E3161:E3162">
    <cfRule type="expression" dxfId="7365" priority="2145">
      <formula>$B3161="Subetapa"</formula>
    </cfRule>
  </conditionalFormatting>
  <conditionalFormatting sqref="C3160:F3160">
    <cfRule type="expression" dxfId="7364" priority="2142">
      <formula>$B3160="Subetapa"</formula>
    </cfRule>
  </conditionalFormatting>
  <conditionalFormatting sqref="D3161:D3162 F3161:F3162">
    <cfRule type="expression" dxfId="7363" priority="2146">
      <formula>$B3161="Subetapa"</formula>
    </cfRule>
  </conditionalFormatting>
  <conditionalFormatting sqref="G3160:H3160">
    <cfRule type="expression" dxfId="7362" priority="2138">
      <formula>$B3160="Subetapa"</formula>
    </cfRule>
  </conditionalFormatting>
  <conditionalFormatting sqref="E3158:E3159">
    <cfRule type="expression" dxfId="7361" priority="2136">
      <formula>$B3158="Subetapa"</formula>
    </cfRule>
  </conditionalFormatting>
  <conditionalFormatting sqref="C3157:F3157">
    <cfRule type="expression" dxfId="7360" priority="2133">
      <formula>$B3157="Subetapa"</formula>
    </cfRule>
  </conditionalFormatting>
  <conditionalFormatting sqref="D3158:D3159 F3158:F3159">
    <cfRule type="expression" dxfId="7359" priority="2137">
      <formula>$B3158="Subetapa"</formula>
    </cfRule>
  </conditionalFormatting>
  <conditionalFormatting sqref="G3157:H3157">
    <cfRule type="expression" dxfId="7358" priority="2129">
      <formula>$B3157="Subetapa"</formula>
    </cfRule>
  </conditionalFormatting>
  <conditionalFormatting sqref="C3163:D3163">
    <cfRule type="expression" dxfId="7357" priority="2128">
      <formula>$B3163="Subetapa"</formula>
    </cfRule>
  </conditionalFormatting>
  <conditionalFormatting sqref="C3166:D3166">
    <cfRule type="expression" dxfId="7356" priority="2126">
      <formula>$B3166="Subetapa"</formula>
    </cfRule>
  </conditionalFormatting>
  <conditionalFormatting sqref="C3172:D3172">
    <cfRule type="expression" dxfId="7355" priority="2125">
      <formula>$B3172="Subetapa"</formula>
    </cfRule>
  </conditionalFormatting>
  <conditionalFormatting sqref="D3155:F3155 D3156 C3155:C3156">
    <cfRule type="expression" dxfId="7354" priority="2120">
      <formula>$B3155="Subetapa"</formula>
    </cfRule>
  </conditionalFormatting>
  <conditionalFormatting sqref="G3155:H3155">
    <cfRule type="expression" dxfId="7353" priority="2116">
      <formula>$B3155="Subetapa"</formula>
    </cfRule>
  </conditionalFormatting>
  <conditionalFormatting sqref="D3153:F3153 D3154 C3153:C3154">
    <cfRule type="expression" dxfId="7352" priority="2114">
      <formula>$B3153="Subetapa"</formula>
    </cfRule>
  </conditionalFormatting>
  <conditionalFormatting sqref="G3153:H3153">
    <cfRule type="expression" dxfId="7351" priority="2112">
      <formula>$B3153="Subetapa"</formula>
    </cfRule>
  </conditionalFormatting>
  <conditionalFormatting sqref="D3151:F3151 D3152 C3151:C3152">
    <cfRule type="expression" dxfId="7350" priority="2110">
      <formula>$B3151="Subetapa"</formula>
    </cfRule>
  </conditionalFormatting>
  <conditionalFormatting sqref="G3151:H3151">
    <cfRule type="expression" dxfId="7349" priority="2108">
      <formula>$B3151="Subetapa"</formula>
    </cfRule>
  </conditionalFormatting>
  <conditionalFormatting sqref="D3149:F3149 D3150 C3149:C3150">
    <cfRule type="expression" dxfId="7348" priority="2106">
      <formula>$B3149="Subetapa"</formula>
    </cfRule>
  </conditionalFormatting>
  <conditionalFormatting sqref="G3149:H3149">
    <cfRule type="expression" dxfId="7347"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46" priority="2102">
      <formula>$B3589="Subetapa"</formula>
    </cfRule>
  </conditionalFormatting>
  <conditionalFormatting sqref="D3614:F3614 F3615:F3617 D3615:D3617 B3614:C3617">
    <cfRule type="expression" dxfId="7345" priority="2100">
      <formula>$B3614="Subetapa"</formula>
    </cfRule>
  </conditionalFormatting>
  <conditionalFormatting sqref="G3610:H3610">
    <cfRule type="expression" dxfId="7344" priority="2098">
      <formula>$B3610="Subetapa"</formula>
    </cfRule>
  </conditionalFormatting>
  <conditionalFormatting sqref="K3589:K3613">
    <cfRule type="expression" dxfId="7343" priority="2092">
      <formula>$B3589="Subetapa"</formula>
    </cfRule>
  </conditionalFormatting>
  <conditionalFormatting sqref="K3614:K3617">
    <cfRule type="expression" dxfId="7342" priority="2090">
      <formula>$B3614="Subetapa"</formula>
    </cfRule>
  </conditionalFormatting>
  <conditionalFormatting sqref="A3589:A3613">
    <cfRule type="expression" dxfId="7341" priority="2088">
      <formula>$B3589="Subetapa"</formula>
    </cfRule>
  </conditionalFormatting>
  <conditionalFormatting sqref="A3614:A3617">
    <cfRule type="expression" dxfId="7340" priority="2086">
      <formula>$B3614="Subetapa"</formula>
    </cfRule>
  </conditionalFormatting>
  <conditionalFormatting sqref="E3595:E3597">
    <cfRule type="expression" dxfId="7339" priority="2085">
      <formula>$B3595="Subetapa"</formula>
    </cfRule>
  </conditionalFormatting>
  <conditionalFormatting sqref="G3594:H3594">
    <cfRule type="expression" dxfId="7338" priority="2080">
      <formula>$B3594="Subetapa"</formula>
    </cfRule>
  </conditionalFormatting>
  <conditionalFormatting sqref="E3599:E3601">
    <cfRule type="expression" dxfId="7337" priority="2079">
      <formula>$B3599="Subetapa"</formula>
    </cfRule>
  </conditionalFormatting>
  <conditionalFormatting sqref="G3598:H3598">
    <cfRule type="expression" dxfId="7336" priority="2074">
      <formula>$B3598="Subetapa"</formula>
    </cfRule>
  </conditionalFormatting>
  <conditionalFormatting sqref="E3607:E3609">
    <cfRule type="expression" dxfId="7335" priority="2073">
      <formula>$B3607="Subetapa"</formula>
    </cfRule>
  </conditionalFormatting>
  <conditionalFormatting sqref="G3606:H3606">
    <cfRule type="expression" dxfId="7334" priority="2068">
      <formula>$B3606="Subetapa"</formula>
    </cfRule>
  </conditionalFormatting>
  <conditionalFormatting sqref="E3603:E3605">
    <cfRule type="expression" dxfId="7333" priority="2067">
      <formula>$B3603="Subetapa"</formula>
    </cfRule>
  </conditionalFormatting>
  <conditionalFormatting sqref="G3602:H3602">
    <cfRule type="expression" dxfId="7332" priority="2062">
      <formula>$B3602="Subetapa"</formula>
    </cfRule>
  </conditionalFormatting>
  <conditionalFormatting sqref="G3614:H3614">
    <cfRule type="expression" dxfId="7331" priority="2060">
      <formula>$B3614="Subetapa"</formula>
    </cfRule>
  </conditionalFormatting>
  <conditionalFormatting sqref="E3590:E3593">
    <cfRule type="expression" dxfId="7330" priority="2055">
      <formula>$B3590="Subetapa"</formula>
    </cfRule>
  </conditionalFormatting>
  <conditionalFormatting sqref="G3589:H3589">
    <cfRule type="expression" dxfId="7329" priority="2050">
      <formula>$B3589="Subetapa"</formula>
    </cfRule>
  </conditionalFormatting>
  <conditionalFormatting sqref="G3221:H3221">
    <cfRule type="expression" dxfId="7328" priority="2049">
      <formula>$B3221="Subetapa"</formula>
    </cfRule>
  </conditionalFormatting>
  <conditionalFormatting sqref="G3219:H3219">
    <cfRule type="expression" dxfId="7327" priority="2047">
      <formula>$B3219="Subetapa"</formula>
    </cfRule>
  </conditionalFormatting>
  <conditionalFormatting sqref="F3178 C3177:F3177">
    <cfRule type="expression" dxfId="7326" priority="2044">
      <formula>$B3177="Serviço"</formula>
    </cfRule>
    <cfRule type="expression" dxfId="7325" priority="2045">
      <formula>$B3177="Subetapa"</formula>
    </cfRule>
  </conditionalFormatting>
  <conditionalFormatting sqref="G3177:H3177">
    <cfRule type="expression" dxfId="7324" priority="2042">
      <formula>$B3177="Subetapa"</formula>
    </cfRule>
    <cfRule type="expression" dxfId="7323" priority="2043">
      <formula>$B3177="Serviço"</formula>
    </cfRule>
  </conditionalFormatting>
  <conditionalFormatting sqref="C3178:D3178">
    <cfRule type="expression" dxfId="7322" priority="2041">
      <formula>$B3178="Subetapa"</formula>
    </cfRule>
  </conditionalFormatting>
  <conditionalFormatting sqref="E3179:F3179 F3180">
    <cfRule type="expression" dxfId="7321" priority="2038">
      <formula>$B3179="Serviço"</formula>
    </cfRule>
    <cfRule type="expression" dxfId="7320" priority="2039">
      <formula>$B3179="Subetapa"</formula>
    </cfRule>
  </conditionalFormatting>
  <conditionalFormatting sqref="G3179:H3179">
    <cfRule type="expression" dxfId="7319" priority="2036">
      <formula>$B3179="Subetapa"</formula>
    </cfRule>
    <cfRule type="expression" dxfId="7318" priority="2037">
      <formula>$B3179="Serviço"</formula>
    </cfRule>
  </conditionalFormatting>
  <conditionalFormatting sqref="C3179:D3179">
    <cfRule type="expression" dxfId="7317" priority="2034">
      <formula>$B3179="Serviço"</formula>
    </cfRule>
    <cfRule type="expression" dxfId="7316" priority="2035">
      <formula>$B3179="Subetapa"</formula>
    </cfRule>
  </conditionalFormatting>
  <conditionalFormatting sqref="C3180:D3180">
    <cfRule type="expression" dxfId="7315" priority="2033">
      <formula>$B3180="Subetapa"</formula>
    </cfRule>
  </conditionalFormatting>
  <conditionalFormatting sqref="G3217:H3217">
    <cfRule type="expression" dxfId="7314" priority="2031">
      <formula>$B3217="Subetapa"</formula>
    </cfRule>
  </conditionalFormatting>
  <conditionalFormatting sqref="G3195:H3195">
    <cfRule type="expression" dxfId="7313" priority="2029">
      <formula>$B3195="Subetapa"</formula>
    </cfRule>
  </conditionalFormatting>
  <conditionalFormatting sqref="G3195:H3195">
    <cfRule type="expression" dxfId="7312" priority="2028">
      <formula>$B3195="Serviço"</formula>
    </cfRule>
  </conditionalFormatting>
  <conditionalFormatting sqref="D3699:F3699 D3700:D3703 F3700:F3703 C3699:C3703">
    <cfRule type="expression" dxfId="7311" priority="2026">
      <formula>$B3699="Subetapa"</formula>
    </cfRule>
    <cfRule type="expression" dxfId="7310" priority="2027">
      <formula>$B3699="Serviço"</formula>
    </cfRule>
  </conditionalFormatting>
  <conditionalFormatting sqref="G3699:H3699">
    <cfRule type="expression" dxfId="7309" priority="2024">
      <formula>$B3699="Serviço"</formula>
    </cfRule>
    <cfRule type="expression" dxfId="7308" priority="2025">
      <formula>$B3699="Subetapa"</formula>
    </cfRule>
  </conditionalFormatting>
  <conditionalFormatting sqref="D3656:D3657">
    <cfRule type="expression" dxfId="7307" priority="2023">
      <formula>$B3656="Subetapa"</formula>
    </cfRule>
  </conditionalFormatting>
  <conditionalFormatting sqref="G3654:H3654">
    <cfRule type="expression" dxfId="7306" priority="2021">
      <formula>$B3654="Subetapa"</formula>
    </cfRule>
  </conditionalFormatting>
  <conditionalFormatting sqref="F3655:F3657">
    <cfRule type="expression" dxfId="7305" priority="2020">
      <formula>$B3655="Subetapa"</formula>
    </cfRule>
  </conditionalFormatting>
  <conditionalFormatting sqref="G3790:H3790">
    <cfRule type="expression" dxfId="7304" priority="2017">
      <formula>$B3790="Subetapa"</formula>
    </cfRule>
  </conditionalFormatting>
  <conditionalFormatting sqref="B3207:B3208">
    <cfRule type="expression" dxfId="7303" priority="2013">
      <formula>$B3207="Subetapa"</formula>
    </cfRule>
  </conditionalFormatting>
  <conditionalFormatting sqref="F3208">
    <cfRule type="expression" dxfId="7302" priority="2014">
      <formula>$B3208="Subetapa"</formula>
    </cfRule>
  </conditionalFormatting>
  <conditionalFormatting sqref="C3207:F3207">
    <cfRule type="expression" dxfId="7301" priority="2016">
      <formula>$B3207="Subetapa"</formula>
    </cfRule>
  </conditionalFormatting>
  <conditionalFormatting sqref="G3207:H3207">
    <cfRule type="expression" dxfId="7300" priority="2011">
      <formula>$B3207="Subetapa"</formula>
    </cfRule>
  </conditionalFormatting>
  <conditionalFormatting sqref="C3208:D3208">
    <cfRule type="expression" dxfId="7299" priority="2009">
      <formula>$B3208="Serviço"</formula>
    </cfRule>
  </conditionalFormatting>
  <conditionalFormatting sqref="C3208:D3208">
    <cfRule type="expression" dxfId="7298" priority="2010">
      <formula>$B3208="Subetapa"</formula>
    </cfRule>
  </conditionalFormatting>
  <conditionalFormatting sqref="B3325:B3329">
    <cfRule type="expression" dxfId="7297" priority="2008">
      <formula>$B3325="Subetapa"</formula>
    </cfRule>
  </conditionalFormatting>
  <conditionalFormatting sqref="A3325:A3329">
    <cfRule type="expression" dxfId="7296" priority="1998">
      <formula>$B3325="Subetapa"</formula>
    </cfRule>
  </conditionalFormatting>
  <conditionalFormatting sqref="G3325:H3325">
    <cfRule type="expression" dxfId="7295" priority="1992">
      <formula>$B3325="Subetapa"</formula>
    </cfRule>
  </conditionalFormatting>
  <conditionalFormatting sqref="C3329:D3329">
    <cfRule type="expression" dxfId="7294" priority="1988">
      <formula>$B3329="Subetapa"</formula>
    </cfRule>
  </conditionalFormatting>
  <conditionalFormatting sqref="C3329:D3329">
    <cfRule type="expression" dxfId="7293" priority="1987">
      <formula>$B3329="Serviço"</formula>
    </cfRule>
  </conditionalFormatting>
  <conditionalFormatting sqref="G3779:H3779">
    <cfRule type="expression" dxfId="7292" priority="1986">
      <formula>$B3779="Subetapa"</formula>
    </cfRule>
  </conditionalFormatting>
  <conditionalFormatting sqref="E3966:F3966">
    <cfRule type="expression" dxfId="7291" priority="1983">
      <formula>$B3966="Subetapa"</formula>
    </cfRule>
  </conditionalFormatting>
  <conditionalFormatting sqref="G3966:H3966">
    <cfRule type="expression" dxfId="7290" priority="1982">
      <formula>$B3966="Subetapa"</formula>
    </cfRule>
  </conditionalFormatting>
  <conditionalFormatting sqref="C3962:F3962">
    <cfRule type="expression" dxfId="7289" priority="1979">
      <formula>$B3962="Subetapa"</formula>
    </cfRule>
  </conditionalFormatting>
  <conditionalFormatting sqref="G3962:H3962">
    <cfRule type="expression" dxfId="7288" priority="1978">
      <formula>$B3962="Subetapa"</formula>
    </cfRule>
  </conditionalFormatting>
  <conditionalFormatting sqref="B3960">
    <cfRule type="expression" dxfId="7287" priority="1974">
      <formula>$B3960="Subetapa"</formula>
    </cfRule>
  </conditionalFormatting>
  <conditionalFormatting sqref="B3961">
    <cfRule type="expression" dxfId="7286" priority="1971">
      <formula>$B3961="Subetapa"</formula>
    </cfRule>
  </conditionalFormatting>
  <conditionalFormatting sqref="C3960:D3960">
    <cfRule type="expression" dxfId="7285" priority="1975">
      <formula>$B3960="Subetapa"</formula>
    </cfRule>
  </conditionalFormatting>
  <conditionalFormatting sqref="F3961 C3961:D3961">
    <cfRule type="expression" dxfId="7284" priority="1976">
      <formula>$B3961="Subetapa"</formula>
    </cfRule>
  </conditionalFormatting>
  <conditionalFormatting sqref="F3960">
    <cfRule type="expression" dxfId="7283" priority="1977">
      <formula>$B3960="Subetapa"</formula>
    </cfRule>
  </conditionalFormatting>
  <conditionalFormatting sqref="G3960:H3960">
    <cfRule type="expression" dxfId="7282" priority="1970">
      <formula>$B3960="Subetapa"</formula>
    </cfRule>
  </conditionalFormatting>
  <conditionalFormatting sqref="E3960">
    <cfRule type="expression" dxfId="7281" priority="1973">
      <formula>$B3960="Subetapa"</formula>
    </cfRule>
  </conditionalFormatting>
  <conditionalFormatting sqref="K3960:K3961">
    <cfRule type="expression" dxfId="7280" priority="1966">
      <formula>$B3960="Subetapa"</formula>
    </cfRule>
  </conditionalFormatting>
  <conditionalFormatting sqref="A3960">
    <cfRule type="expression" dxfId="7279" priority="1965">
      <formula>$B3960="Subetapa"</formula>
    </cfRule>
  </conditionalFormatting>
  <conditionalFormatting sqref="A3961">
    <cfRule type="expression" dxfId="7278" priority="1964">
      <formula>$B3961="Subetapa"</formula>
    </cfRule>
  </conditionalFormatting>
  <conditionalFormatting sqref="C3964:F3964">
    <cfRule type="expression" dxfId="7277" priority="1959">
      <formula>$B3964="Subetapa"</formula>
    </cfRule>
  </conditionalFormatting>
  <conditionalFormatting sqref="G3964:H3964">
    <cfRule type="expression" dxfId="7276" priority="1958">
      <formula>$B3964="Subetapa"</formula>
    </cfRule>
  </conditionalFormatting>
  <conditionalFormatting sqref="D3966:D3967">
    <cfRule type="expression" dxfId="7275" priority="1955">
      <formula>$B3966="Subetapa"</formula>
    </cfRule>
  </conditionalFormatting>
  <conditionalFormatting sqref="C3967:D3967">
    <cfRule type="expression" dxfId="7274" priority="1956">
      <formula>$B3967="Subetapa"</formula>
    </cfRule>
  </conditionalFormatting>
  <conditionalFormatting sqref="F3967">
    <cfRule type="expression" dxfId="7273" priority="1953">
      <formula>$B3967="Subetapa"</formula>
    </cfRule>
  </conditionalFormatting>
  <conditionalFormatting sqref="B4031:B4040 C4038:D4038 C4032:D4032 C4034:D4034 C4040:D4040">
    <cfRule type="expression" dxfId="7272" priority="1948">
      <formula>$B4031="Subetapa"</formula>
    </cfRule>
  </conditionalFormatting>
  <conditionalFormatting sqref="C4037:F4037">
    <cfRule type="expression" dxfId="7271" priority="1950">
      <formula>$B4037="Subetapa"</formula>
    </cfRule>
  </conditionalFormatting>
  <conditionalFormatting sqref="G4037:H4037">
    <cfRule type="expression" dxfId="7270" priority="1944">
      <formula>$B4037="Subetapa"</formula>
    </cfRule>
  </conditionalFormatting>
  <conditionalFormatting sqref="K4031:K4040">
    <cfRule type="expression" dxfId="7269" priority="1940">
      <formula>$B4031="Subetapa"</formula>
    </cfRule>
  </conditionalFormatting>
  <conditionalFormatting sqref="A4031:A4040">
    <cfRule type="expression" dxfId="7268" priority="1939">
      <formula>$B4031="Subetapa"</formula>
    </cfRule>
  </conditionalFormatting>
  <conditionalFormatting sqref="E4035:F4035">
    <cfRule type="expression" dxfId="7267" priority="1936">
      <formula>$B4035="Subetapa"</formula>
    </cfRule>
  </conditionalFormatting>
  <conditionalFormatting sqref="G4035:H4035">
    <cfRule type="expression" dxfId="7266" priority="1935">
      <formula>$B4035="Subetapa"</formula>
    </cfRule>
  </conditionalFormatting>
  <conditionalFormatting sqref="C4031:F4031">
    <cfRule type="expression" dxfId="7265" priority="1932">
      <formula>$B4031="Subetapa"</formula>
    </cfRule>
  </conditionalFormatting>
  <conditionalFormatting sqref="G4031:H4031">
    <cfRule type="expression" dxfId="7264" priority="1931">
      <formula>$B4031="Subetapa"</formula>
    </cfRule>
  </conditionalFormatting>
  <conditionalFormatting sqref="B4029">
    <cfRule type="expression" dxfId="7263" priority="1927">
      <formula>$B4029="Subetapa"</formula>
    </cfRule>
  </conditionalFormatting>
  <conditionalFormatting sqref="B4030">
    <cfRule type="expression" dxfId="7262" priority="1924">
      <formula>$B4030="Subetapa"</formula>
    </cfRule>
  </conditionalFormatting>
  <conditionalFormatting sqref="C4029:D4029">
    <cfRule type="expression" dxfId="7261" priority="1928">
      <formula>$B4029="Subetapa"</formula>
    </cfRule>
  </conditionalFormatting>
  <conditionalFormatting sqref="F4030 C4030:D4030">
    <cfRule type="expression" dxfId="7260" priority="1929">
      <formula>$B4030="Subetapa"</formula>
    </cfRule>
  </conditionalFormatting>
  <conditionalFormatting sqref="F4029">
    <cfRule type="expression" dxfId="7259" priority="1930">
      <formula>$B4029="Subetapa"</formula>
    </cfRule>
  </conditionalFormatting>
  <conditionalFormatting sqref="G4029:H4029">
    <cfRule type="expression" dxfId="7258" priority="1923">
      <formula>$B4029="Subetapa"</formula>
    </cfRule>
  </conditionalFormatting>
  <conditionalFormatting sqref="E4029">
    <cfRule type="expression" dxfId="7257" priority="1926">
      <formula>$B4029="Subetapa"</formula>
    </cfRule>
  </conditionalFormatting>
  <conditionalFormatting sqref="K4029:K4030">
    <cfRule type="expression" dxfId="7256" priority="1919">
      <formula>$B4029="Subetapa"</formula>
    </cfRule>
  </conditionalFormatting>
  <conditionalFormatting sqref="A4029">
    <cfRule type="expression" dxfId="7255" priority="1918">
      <formula>$B4029="Subetapa"</formula>
    </cfRule>
  </conditionalFormatting>
  <conditionalFormatting sqref="A4030">
    <cfRule type="expression" dxfId="7254" priority="1917">
      <formula>$B4030="Subetapa"</formula>
    </cfRule>
  </conditionalFormatting>
  <conditionalFormatting sqref="C4033:F4033">
    <cfRule type="expression" dxfId="7253" priority="1912">
      <formula>$B4033="Subetapa"</formula>
    </cfRule>
  </conditionalFormatting>
  <conditionalFormatting sqref="G4033:H4033">
    <cfRule type="expression" dxfId="7252" priority="1911">
      <formula>$B4033="Subetapa"</formula>
    </cfRule>
  </conditionalFormatting>
  <conditionalFormatting sqref="D4035:D4036">
    <cfRule type="expression" dxfId="7251" priority="1908">
      <formula>$B4035="Subetapa"</formula>
    </cfRule>
  </conditionalFormatting>
  <conditionalFormatting sqref="C4036:D4036">
    <cfRule type="expression" dxfId="7250" priority="1909">
      <formula>$B4036="Subetapa"</formula>
    </cfRule>
  </conditionalFormatting>
  <conditionalFormatting sqref="F4036">
    <cfRule type="expression" dxfId="7249" priority="1906">
      <formula>$B4036="Subetapa"</formula>
    </cfRule>
  </conditionalFormatting>
  <conditionalFormatting sqref="B4049:F4049">
    <cfRule type="expression" dxfId="7248" priority="1904">
      <formula>$B4049="Subetapa"</formula>
    </cfRule>
  </conditionalFormatting>
  <conditionalFormatting sqref="F4050 B4050:D4050">
    <cfRule type="expression" dxfId="7247" priority="1902">
      <formula>$B4050="Subetapa"</formula>
    </cfRule>
  </conditionalFormatting>
  <conditionalFormatting sqref="G4049:H4049">
    <cfRule type="expression" dxfId="7246" priority="1898">
      <formula>$B4049="Subetapa"</formula>
    </cfRule>
  </conditionalFormatting>
  <conditionalFormatting sqref="K4049:K4050">
    <cfRule type="expression" dxfId="7245" priority="1893">
      <formula>$B4049="Subetapa"</formula>
    </cfRule>
  </conditionalFormatting>
  <conditionalFormatting sqref="A4049">
    <cfRule type="expression" dxfId="7244" priority="1892">
      <formula>$B4049="Subetapa"</formula>
    </cfRule>
  </conditionalFormatting>
  <conditionalFormatting sqref="A4050">
    <cfRule type="expression" dxfId="7243" priority="1890">
      <formula>$B4050="Subetapa"</formula>
    </cfRule>
  </conditionalFormatting>
  <conditionalFormatting sqref="B4044:B4048">
    <cfRule type="expression" dxfId="7242" priority="1884">
      <formula>$B4044="Subetapa"</formula>
    </cfRule>
  </conditionalFormatting>
  <conditionalFormatting sqref="D4044:F4044 D4045:D4048 F4045:F4048 C4044:C4048">
    <cfRule type="expression" dxfId="7241" priority="1885">
      <formula>$B4044="Subetapa"</formula>
    </cfRule>
  </conditionalFormatting>
  <conditionalFormatting sqref="G4044:H4044">
    <cfRule type="expression" dxfId="7240" priority="1882">
      <formula>$B4044="Subetapa"</formula>
    </cfRule>
  </conditionalFormatting>
  <conditionalFormatting sqref="K4044:K4048">
    <cfRule type="expression" dxfId="7239" priority="1878">
      <formula>$B4044="Subetapa"</formula>
    </cfRule>
  </conditionalFormatting>
  <conditionalFormatting sqref="A4044:A4048">
    <cfRule type="expression" dxfId="7238" priority="1876">
      <formula>$B4044="Subetapa"</formula>
    </cfRule>
  </conditionalFormatting>
  <conditionalFormatting sqref="D4039:F4039 D4040 C4039:C4040">
    <cfRule type="expression" dxfId="7237" priority="1875">
      <formula>$B4039="Subetapa"</formula>
    </cfRule>
  </conditionalFormatting>
  <conditionalFormatting sqref="G4039:H4039">
    <cfRule type="expression" dxfId="7236" priority="1874">
      <formula>$B4039="Subetapa"</formula>
    </cfRule>
  </conditionalFormatting>
  <conditionalFormatting sqref="E4079">
    <cfRule type="expression" dxfId="7235" priority="1873">
      <formula>$B4079="Subetapa"</formula>
    </cfRule>
  </conditionalFormatting>
  <conditionalFormatting sqref="G4078:H4078">
    <cfRule type="expression" dxfId="7234" priority="1869">
      <formula>$B4078="Subetapa"</formula>
    </cfRule>
  </conditionalFormatting>
  <conditionalFormatting sqref="G4062:H4062">
    <cfRule type="expression" dxfId="7233" priority="1868">
      <formula>$B4062="Subetapa"</formula>
    </cfRule>
  </conditionalFormatting>
  <conditionalFormatting sqref="E4081">
    <cfRule type="expression" dxfId="7232" priority="1867">
      <formula>$B4081="Subetapa"</formula>
    </cfRule>
  </conditionalFormatting>
  <conditionalFormatting sqref="G4080:H4080">
    <cfRule type="expression" dxfId="7231" priority="1863">
      <formula>$B4080="Subetapa"</formula>
    </cfRule>
  </conditionalFormatting>
  <conditionalFormatting sqref="B4302:B4303">
    <cfRule type="expression" dxfId="7230" priority="1857">
      <formula>$B4302="Serviço"</formula>
    </cfRule>
    <cfRule type="expression" dxfId="7229" priority="1861">
      <formula>$B4302="Subetapa"</formula>
    </cfRule>
  </conditionalFormatting>
  <conditionalFormatting sqref="D4302:F4302 D4303 F4303 C4302:C4303">
    <cfRule type="expression" dxfId="7228" priority="1859">
      <formula>$B4302="Serviço"</formula>
    </cfRule>
    <cfRule type="expression" dxfId="7227" priority="1860">
      <formula>$B4302="Subetapa"</formula>
    </cfRule>
  </conditionalFormatting>
  <conditionalFormatting sqref="G4302:H4302">
    <cfRule type="expression" dxfId="7226" priority="1855">
      <formula>$B4302="Serviço"</formula>
    </cfRule>
    <cfRule type="expression" dxfId="7225" priority="1856">
      <formula>$B4302="Subetapa"</formula>
    </cfRule>
  </conditionalFormatting>
  <conditionalFormatting sqref="K4302:K4303">
    <cfRule type="expression" dxfId="7224" priority="1851">
      <formula>$B4302="Subetapa"</formula>
    </cfRule>
    <cfRule type="expression" dxfId="7223" priority="1852">
      <formula>$B4302="Serviço"</formula>
    </cfRule>
  </conditionalFormatting>
  <conditionalFormatting sqref="A4302:A4303">
    <cfRule type="expression" dxfId="7222" priority="1849">
      <formula>$B4302="Serviço"</formula>
    </cfRule>
    <cfRule type="expression" dxfId="7221" priority="1850">
      <formula>$B4302="Subetapa"</formula>
    </cfRule>
  </conditionalFormatting>
  <conditionalFormatting sqref="E4676:F4676 C4679:D4679">
    <cfRule type="expression" dxfId="7220" priority="1844">
      <formula>$B4676="Subetapa"</formula>
    </cfRule>
  </conditionalFormatting>
  <conditionalFormatting sqref="G4676:H4676">
    <cfRule type="expression" dxfId="7219" priority="1845">
      <formula>$B4676="Subetapa"</formula>
    </cfRule>
  </conditionalFormatting>
  <conditionalFormatting sqref="C4680:D4680">
    <cfRule type="expression" dxfId="7218" priority="1835">
      <formula>$B4680="Subetapa"</formula>
    </cfRule>
  </conditionalFormatting>
  <conditionalFormatting sqref="D4664:F4664 D4665:D4666 C4668:D4668 C4664:C4666">
    <cfRule type="expression" dxfId="7217" priority="1830">
      <formula>$B4664="Subetapa"</formula>
    </cfRule>
  </conditionalFormatting>
  <conditionalFormatting sqref="G4664:H4664">
    <cfRule type="expression" dxfId="7216" priority="1831">
      <formula>$B4664="Subetapa"</formula>
    </cfRule>
  </conditionalFormatting>
  <conditionalFormatting sqref="D4669:D4670">
    <cfRule type="expression" dxfId="7215" priority="1828">
      <formula>$B4669="Subetapa"</formula>
    </cfRule>
  </conditionalFormatting>
  <conditionalFormatting sqref="D4625:F4625 D4626:D4628 C4625:C4628">
    <cfRule type="expression" dxfId="7214" priority="1823">
      <formula>$B4625="Subetapa"</formula>
    </cfRule>
  </conditionalFormatting>
  <conditionalFormatting sqref="G4625:H4625">
    <cfRule type="expression" dxfId="7213" priority="1824">
      <formula>$B4625="Subetapa"</formula>
    </cfRule>
  </conditionalFormatting>
  <conditionalFormatting sqref="C4629:D4629 C4634:D4634">
    <cfRule type="expression" dxfId="7212" priority="1821">
      <formula>$B4629="Subetapa"</formula>
    </cfRule>
  </conditionalFormatting>
  <conditionalFormatting sqref="D4615:F4615 D4616:D4618 C4615:C4618">
    <cfRule type="expression" dxfId="7211" priority="1816">
      <formula>$B4615="Subetapa"</formula>
    </cfRule>
  </conditionalFormatting>
  <conditionalFormatting sqref="G4615:H4615">
    <cfRule type="expression" dxfId="7210" priority="1817">
      <formula>$B4615="Subetapa"</formula>
    </cfRule>
  </conditionalFormatting>
  <conditionalFormatting sqref="C4619:D4619">
    <cfRule type="expression" dxfId="7209" priority="1814">
      <formula>$B4619="Subetapa"</formula>
    </cfRule>
  </conditionalFormatting>
  <conditionalFormatting sqref="D4610:F4610 D4611:D4613 C4610:C4613">
    <cfRule type="expression" dxfId="7208" priority="1809">
      <formula>$B4610="Subetapa"</formula>
    </cfRule>
  </conditionalFormatting>
  <conditionalFormatting sqref="G4610:H4610">
    <cfRule type="expression" dxfId="7207" priority="1810">
      <formula>$B4610="Subetapa"</formula>
    </cfRule>
  </conditionalFormatting>
  <conditionalFormatting sqref="C4614:D4614">
    <cfRule type="expression" dxfId="7206" priority="1807">
      <formula>$B4614="Subetapa"</formula>
    </cfRule>
  </conditionalFormatting>
  <conditionalFormatting sqref="C4667:D4667">
    <cfRule type="expression" dxfId="7205" priority="1805">
      <formula>$B4667="Subetapa"</formula>
    </cfRule>
  </conditionalFormatting>
  <conditionalFormatting sqref="C4678:D4678">
    <cfRule type="expression" dxfId="7204" priority="1803">
      <formula>$B4678="Subetapa"</formula>
    </cfRule>
  </conditionalFormatting>
  <conditionalFormatting sqref="D4671:F4671 D4672:D4674 C4671:C4674">
    <cfRule type="expression" dxfId="7203" priority="1798">
      <formula>$B4671="Subetapa"</formula>
    </cfRule>
  </conditionalFormatting>
  <conditionalFormatting sqref="G4671:H4671">
    <cfRule type="expression" dxfId="7202" priority="1799">
      <formula>$B4671="Subetapa"</formula>
    </cfRule>
  </conditionalFormatting>
  <conditionalFormatting sqref="C4675:D4675">
    <cfRule type="expression" dxfId="7201" priority="1796">
      <formula>$B4675="Subetapa"</formula>
    </cfRule>
  </conditionalFormatting>
  <conditionalFormatting sqref="D4676:D4677">
    <cfRule type="expression" dxfId="7200" priority="1794">
      <formula>$B4676="Subetapa"</formula>
    </cfRule>
  </conditionalFormatting>
  <conditionalFormatting sqref="D4630:F4630 D4631:D4633 C4630:C4633">
    <cfRule type="expression" dxfId="7199" priority="1792">
      <formula>$B4630="Subetapa"</formula>
    </cfRule>
  </conditionalFormatting>
  <conditionalFormatting sqref="G4630:H4630">
    <cfRule type="expression" dxfId="7198" priority="1793">
      <formula>$B4630="Subetapa"</formula>
    </cfRule>
  </conditionalFormatting>
  <conditionalFormatting sqref="D4681:F4681 D4682:D4684 C4681:C4684">
    <cfRule type="expression" dxfId="7197" priority="1787">
      <formula>$B4681="Subetapa"</formula>
    </cfRule>
  </conditionalFormatting>
  <conditionalFormatting sqref="G4681:H4681">
    <cfRule type="expression" dxfId="7196" priority="1788">
      <formula>$B4681="Subetapa"</formula>
    </cfRule>
  </conditionalFormatting>
  <conditionalFormatting sqref="C4685:D4685">
    <cfRule type="expression" dxfId="7195" priority="1785">
      <formula>$B4685="Subetapa"</formula>
    </cfRule>
  </conditionalFormatting>
  <conditionalFormatting sqref="K4586:K4597 A4586:B4597">
    <cfRule type="expression" dxfId="7194" priority="1712">
      <formula>$B4586="Subetapa"</formula>
    </cfRule>
  </conditionalFormatting>
  <conditionalFormatting sqref="G4592:H4592">
    <cfRule type="expression" dxfId="7193" priority="1705">
      <formula>$B4592="Subetapa"</formula>
    </cfRule>
  </conditionalFormatting>
  <conditionalFormatting sqref="C4597:D4597">
    <cfRule type="expression" dxfId="7192" priority="1702">
      <formula>$B4597="Serviço"</formula>
    </cfRule>
  </conditionalFormatting>
  <conditionalFormatting sqref="C4597:D4597">
    <cfRule type="expression" dxfId="7191" priority="1703">
      <formula>$B4597="Subetapa"</formula>
    </cfRule>
  </conditionalFormatting>
  <conditionalFormatting sqref="C4720:D4720">
    <cfRule type="expression" dxfId="7190" priority="1696">
      <formula>$B4720="Subetapa"</formula>
    </cfRule>
  </conditionalFormatting>
  <conditionalFormatting sqref="D4620:F4620 D4621:D4623 C4620:C4623">
    <cfRule type="expression" dxfId="7189" priority="1690">
      <formula>$B4620="Subetapa"</formula>
    </cfRule>
  </conditionalFormatting>
  <conditionalFormatting sqref="G4620:H4620">
    <cfRule type="expression" dxfId="7188" priority="1691">
      <formula>$B4620="Subetapa"</formula>
    </cfRule>
  </conditionalFormatting>
  <conditionalFormatting sqref="C4624:D4624">
    <cfRule type="expression" dxfId="7187" priority="1688">
      <formula>$B4624="Subetapa"</formula>
    </cfRule>
  </conditionalFormatting>
  <conditionalFormatting sqref="D4156:F4156 D4157 F4157 C4156:C4157">
    <cfRule type="expression" dxfId="7186" priority="1684">
      <formula>$B4156="Serviço"</formula>
    </cfRule>
    <cfRule type="expression" dxfId="7185" priority="1685">
      <formula>$B4156="Subetapa"</formula>
    </cfRule>
  </conditionalFormatting>
  <conditionalFormatting sqref="G4156:H4156">
    <cfRule type="expression" dxfId="7184" priority="1682">
      <formula>$B4156="Serviço"</formula>
    </cfRule>
    <cfRule type="expression" dxfId="7183" priority="1683">
      <formula>$B4156="Subetapa"</formula>
    </cfRule>
  </conditionalFormatting>
  <conditionalFormatting sqref="D4158:F4158 F4159 D4159:D4161 C4158:C4161">
    <cfRule type="expression" dxfId="7182" priority="1680">
      <formula>$B4158="Serviço"</formula>
    </cfRule>
    <cfRule type="expression" dxfId="7181" priority="1681">
      <formula>$B4158="Subetapa"</formula>
    </cfRule>
  </conditionalFormatting>
  <conditionalFormatting sqref="G4158:H4158">
    <cfRule type="expression" dxfId="7180" priority="1678">
      <formula>$B4158="Serviço"</formula>
    </cfRule>
    <cfRule type="expression" dxfId="7179" priority="1679">
      <formula>$B4158="Subetapa"</formula>
    </cfRule>
  </conditionalFormatting>
  <conditionalFormatting sqref="G4264:H4264">
    <cfRule type="expression" dxfId="7178" priority="1677">
      <formula>$B4264="Subetapa"</formula>
    </cfRule>
  </conditionalFormatting>
  <conditionalFormatting sqref="G4264:H4264">
    <cfRule type="expression" dxfId="7177" priority="1676">
      <formula>$B4264="Serviço"</formula>
    </cfRule>
  </conditionalFormatting>
  <conditionalFormatting sqref="E548:E550 E552:E554">
    <cfRule type="expression" dxfId="7176" priority="1675">
      <formula>$B548="Subetapa"</formula>
    </cfRule>
  </conditionalFormatting>
  <conditionalFormatting sqref="E564:E566">
    <cfRule type="expression" dxfId="7175" priority="1653">
      <formula>$B564="Subetapa"</formula>
    </cfRule>
  </conditionalFormatting>
  <conditionalFormatting sqref="E568:E570">
    <cfRule type="expression" dxfId="7174" priority="1631">
      <formula>$B568="Subetapa"</formula>
    </cfRule>
  </conditionalFormatting>
  <conditionalFormatting sqref="E490:E492">
    <cfRule type="expression" dxfId="7173" priority="1609">
      <formula>$B490="Subetapa"</formula>
    </cfRule>
  </conditionalFormatting>
  <conditionalFormatting sqref="E512">
    <cfRule type="expression" dxfId="7172" priority="1573">
      <formula>$B512="Subetapa"</formula>
    </cfRule>
  </conditionalFormatting>
  <conditionalFormatting sqref="E514">
    <cfRule type="expression" dxfId="7171" priority="1553">
      <formula>$B514="Subetapa"</formula>
    </cfRule>
  </conditionalFormatting>
  <conditionalFormatting sqref="B361:B364 D361:F361 D362 F362:F364 C361:C362 C364:D364">
    <cfRule type="expression" dxfId="7170" priority="1525">
      <formula>$B361="Subetapa"</formula>
    </cfRule>
  </conditionalFormatting>
  <conditionalFormatting sqref="E362:E364">
    <cfRule type="expression" dxfId="7169" priority="1527">
      <formula>$B362="Subetapa"</formula>
    </cfRule>
  </conditionalFormatting>
  <conditionalFormatting sqref="G361:H361">
    <cfRule type="expression" dxfId="7168" priority="1520">
      <formula>$B361="Subetapa"</formula>
    </cfRule>
  </conditionalFormatting>
  <conditionalFormatting sqref="K361:K364">
    <cfRule type="expression" dxfId="7167" priority="1515">
      <formula>$B361="Subetapa"</formula>
    </cfRule>
  </conditionalFormatting>
  <conditionalFormatting sqref="A361:A364">
    <cfRule type="expression" dxfId="7166" priority="1513">
      <formula>$B361="Subetapa"</formula>
    </cfRule>
  </conditionalFormatting>
  <conditionalFormatting sqref="C363:D363">
    <cfRule type="expression" dxfId="7165" priority="1511">
      <formula>$B363="Subetapa"</formula>
    </cfRule>
  </conditionalFormatting>
  <conditionalFormatting sqref="E1073 E1075:E1084 E1086 E1088:E1097 E1102:E1111 E1099:E1100 E1114:E1123 E1155:E1167 E1126:E1138">
    <cfRule type="expression" dxfId="7164" priority="1482">
      <formula>$B1073="Subetapa"</formula>
    </cfRule>
  </conditionalFormatting>
  <conditionalFormatting sqref="A1102:B1111 A1114:B1123 K1110:K1119 K1155:K1163 A1155:B1167 F1156 K1137:K1138 K1122:K1134 F1127 A1126:B1138">
    <cfRule type="expression" dxfId="7163" priority="1478">
      <formula>$B1102="Serviço"</formula>
    </cfRule>
  </conditionalFormatting>
  <conditionalFormatting sqref="A1102:B1111 A1114:B1123 K1110:K1119 K1155:K1163 A1155:B1167 F1156 K1137:K1138 K1122:K1134 F1127 A1126:B1138">
    <cfRule type="expression" dxfId="7162" priority="1479">
      <formula>$B1102="Subetapa"</formula>
    </cfRule>
  </conditionalFormatting>
  <conditionalFormatting sqref="B1019:F1019">
    <cfRule type="expression" dxfId="7161" priority="1481">
      <formula>$B1019="Subetapa"</formula>
    </cfRule>
  </conditionalFormatting>
  <conditionalFormatting sqref="A1019">
    <cfRule type="expression" dxfId="7160" priority="1475">
      <formula>$B1019="Subetapa"</formula>
    </cfRule>
  </conditionalFormatting>
  <conditionalFormatting sqref="F1075:F1082 A1072:B1073 F1088:F1095 A1075:B1086 F1102:F1109 A1088:B1100 C1073:D1073 C1075:D1082 C1088:D1095 C1102:D1109 C1100:D1100">
    <cfRule type="expression" dxfId="7159" priority="1470">
      <formula>$B1072="Serviço"</formula>
    </cfRule>
  </conditionalFormatting>
  <conditionalFormatting sqref="F1075:F1082 A1072:B1073 F1088:F1095 A1075:B1086 F1102:F1109 A1088:B1100 C1073:D1073 C1075:D1082 C1088:D1095 C1102:D1109 C1100:D1100">
    <cfRule type="expression" dxfId="7158" priority="1471">
      <formula>$B1072="Subetapa"</formula>
    </cfRule>
  </conditionalFormatting>
  <conditionalFormatting sqref="K1020:K1028 K1031:K1041 K1044:K1054 K1083:K1093 K1096:K1107 K1057:K1067 K1070:K1080">
    <cfRule type="expression" dxfId="7157" priority="1466">
      <formula>$B1020="Serviço"</formula>
    </cfRule>
  </conditionalFormatting>
  <conditionalFormatting sqref="K1020:K1028 K1031:K1041 K1044:K1054 K1083:K1093 K1096:K1107 K1057:K1067 K1070:K1080">
    <cfRule type="expression" dxfId="7156" priority="1467">
      <formula>$B1020="Subetapa"</formula>
    </cfRule>
  </conditionalFormatting>
  <conditionalFormatting sqref="B1073 B1083:B1084 B1075:B1080 B1086 B1096:B1097 B1088:B1093 B1110:B1111 B1102:B1107 B1099:B1100 B1122:B1123 B1114:B1119 B1137:B1138 B1129:B1134">
    <cfRule type="expression" dxfId="7155"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4"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3" priority="1464">
      <formula>$B1072="Subetapa"</formula>
    </cfRule>
  </conditionalFormatting>
  <conditionalFormatting sqref="A1073 A1083:A1084 A1075:A1080 A1086 A1096:A1097 A1088:A1093 A1110:A1111 A1102:A1107 A1099:A1100 A1122:A1123 A1114:A1119 A1137:A1138 A1129:A1134">
    <cfRule type="expression" dxfId="7152" priority="1462">
      <formula>$B1073="Serviço"</formula>
    </cfRule>
  </conditionalFormatting>
  <conditionalFormatting sqref="K1081:K1082">
    <cfRule type="expression" dxfId="7151" priority="1458">
      <formula>$B1081="Subetapa"</formula>
    </cfRule>
    <cfRule type="expression" dxfId="7150" priority="1459">
      <formula>$B1081="Serviço"</formula>
    </cfRule>
  </conditionalFormatting>
  <conditionalFormatting sqref="F1073">
    <cfRule type="expression" dxfId="7149" priority="1452">
      <formula>$B1073="Subetapa"</formula>
    </cfRule>
  </conditionalFormatting>
  <conditionalFormatting sqref="F1073">
    <cfRule type="expression" dxfId="7148" priority="1453">
      <formula>$B1073="Serviço"</formula>
    </cfRule>
  </conditionalFormatting>
  <conditionalFormatting sqref="I1019:K1019">
    <cfRule type="expression" dxfId="7147" priority="1450">
      <formula>$B1019="Subetapa"</formula>
    </cfRule>
  </conditionalFormatting>
  <conditionalFormatting sqref="E1022:E1032 E1034:E1045 E1047:E1058 E1060:E1071">
    <cfRule type="expression" dxfId="7146" priority="1444">
      <formula>$B1022="Subetapa"</formula>
    </cfRule>
  </conditionalFormatting>
  <conditionalFormatting sqref="F1023:F1030 D1023:D1030 D1036:D1043 F1036:F1043 D1049:D1056 F1049:F1056 D1062:D1069 A1020:B1071 F1062:F1069">
    <cfRule type="expression" dxfId="7145" priority="1438">
      <formula>$B1020="Serviço"</formula>
    </cfRule>
  </conditionalFormatting>
  <conditionalFormatting sqref="F1023:F1030 D1023:D1030 D1036:D1043 F1036:F1043 D1049:D1056 F1049:F1056 D1062:D1069 A1020:B1071 F1062:F1069">
    <cfRule type="expression" dxfId="7144" priority="1439">
      <formula>$B1020="Subetapa"</formula>
    </cfRule>
  </conditionalFormatting>
  <conditionalFormatting sqref="B1031:B1032 B1021:B1028 B1044:B1045 B1034:B1041 B1057:B1058 B1047:B1054 B1070:B1071 B1060:B1067">
    <cfRule type="expression" dxfId="7143"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2"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1" priority="1434">
      <formula>$B1020="Subetapa"</formula>
    </cfRule>
  </conditionalFormatting>
  <conditionalFormatting sqref="A1031:A1032 A1021:A1028 A1044:A1045 A1034:A1041 A1057:A1058 A1047:A1054 A1070:A1071 A1060:A1067">
    <cfRule type="expression" dxfId="7140" priority="1432">
      <formula>$B1021="Serviço"</formula>
    </cfRule>
  </conditionalFormatting>
  <conditionalFormatting sqref="K1029:K1030">
    <cfRule type="expression" dxfId="7139" priority="1428">
      <formula>$B1029="Subetapa"</formula>
    </cfRule>
    <cfRule type="expression" dxfId="7138" priority="1429">
      <formula>$B1029="Serviço"</formula>
    </cfRule>
  </conditionalFormatting>
  <conditionalFormatting sqref="F1021:F1022">
    <cfRule type="expression" dxfId="7137" priority="1422">
      <formula>$B1021="Subetapa"</formula>
    </cfRule>
  </conditionalFormatting>
  <conditionalFormatting sqref="F1021:F1022">
    <cfRule type="expression" dxfId="7136" priority="1423">
      <formula>$B1021="Serviço"</formula>
    </cfRule>
  </conditionalFormatting>
  <conditionalFormatting sqref="C1021:D1021">
    <cfRule type="expression" dxfId="7135" priority="1420">
      <formula>$B1021="Serviço"</formula>
    </cfRule>
  </conditionalFormatting>
  <conditionalFormatting sqref="C1021:D1021">
    <cfRule type="expression" dxfId="7134" priority="1421">
      <formula>$B1021="Subetapa"</formula>
    </cfRule>
  </conditionalFormatting>
  <conditionalFormatting sqref="C1022:D1022">
    <cfRule type="expression" dxfId="7133" priority="1418">
      <formula>$B1022="Subetapa"</formula>
    </cfRule>
  </conditionalFormatting>
  <conditionalFormatting sqref="K1042:K1043">
    <cfRule type="expression" dxfId="7132" priority="1412">
      <formula>$B1042="Subetapa"</formula>
    </cfRule>
    <cfRule type="expression" dxfId="7131" priority="1413">
      <formula>$B1042="Serviço"</formula>
    </cfRule>
  </conditionalFormatting>
  <conditionalFormatting sqref="F1034:F1035">
    <cfRule type="expression" dxfId="7130" priority="1408">
      <formula>$B1034="Subetapa"</formula>
    </cfRule>
  </conditionalFormatting>
  <conditionalFormatting sqref="F1034:F1035">
    <cfRule type="expression" dxfId="7129" priority="1409">
      <formula>$B1034="Serviço"</formula>
    </cfRule>
  </conditionalFormatting>
  <conditionalFormatting sqref="C1035:D1035">
    <cfRule type="expression" dxfId="7128" priority="1406">
      <formula>$B1035="Subetapa"</formula>
    </cfRule>
  </conditionalFormatting>
  <conditionalFormatting sqref="C1034:D1034">
    <cfRule type="expression" dxfId="7127" priority="1404">
      <formula>$B1034="Serviço"</formula>
    </cfRule>
  </conditionalFormatting>
  <conditionalFormatting sqref="C1034:D1034">
    <cfRule type="expression" dxfId="7126" priority="1405">
      <formula>$B1034="Subetapa"</formula>
    </cfRule>
  </conditionalFormatting>
  <conditionalFormatting sqref="G1020:H1020">
    <cfRule type="expression" dxfId="7125" priority="1402">
      <formula>$B1020="Subetapa"</formula>
    </cfRule>
  </conditionalFormatting>
  <conditionalFormatting sqref="G1033:H1033">
    <cfRule type="expression" dxfId="7124" priority="1400">
      <formula>$B1033="Subetapa"</formula>
    </cfRule>
  </conditionalFormatting>
  <conditionalFormatting sqref="K1055:K1056">
    <cfRule type="expression" dxfId="7123" priority="1394">
      <formula>$B1055="Subetapa"</formula>
    </cfRule>
    <cfRule type="expression" dxfId="7122" priority="1395">
      <formula>$B1055="Serviço"</formula>
    </cfRule>
  </conditionalFormatting>
  <conditionalFormatting sqref="F1047:F1048">
    <cfRule type="expression" dxfId="7121" priority="1390">
      <formula>$B1047="Subetapa"</formula>
    </cfRule>
  </conditionalFormatting>
  <conditionalFormatting sqref="F1047:F1048">
    <cfRule type="expression" dxfId="7120" priority="1391">
      <formula>$B1047="Serviço"</formula>
    </cfRule>
  </conditionalFormatting>
  <conditionalFormatting sqref="C1048:D1048">
    <cfRule type="expression" dxfId="7119" priority="1388">
      <formula>$B1048="Subetapa"</formula>
    </cfRule>
  </conditionalFormatting>
  <conditionalFormatting sqref="C1047:D1047">
    <cfRule type="expression" dxfId="7118" priority="1386">
      <formula>$B1047="Serviço"</formula>
    </cfRule>
  </conditionalFormatting>
  <conditionalFormatting sqref="C1047:D1047">
    <cfRule type="expression" dxfId="7117" priority="1387">
      <formula>$B1047="Subetapa"</formula>
    </cfRule>
  </conditionalFormatting>
  <conditionalFormatting sqref="E1074">
    <cfRule type="expression" dxfId="7116" priority="1382">
      <formula>$B1074="Subetapa"</formula>
    </cfRule>
  </conditionalFormatting>
  <conditionalFormatting sqref="A1074:B1074">
    <cfRule type="expression" dxfId="7115" priority="1380">
      <formula>$B1074="Serviço"</formula>
    </cfRule>
  </conditionalFormatting>
  <conditionalFormatting sqref="A1074:B1074">
    <cfRule type="expression" dxfId="7114" priority="1381">
      <formula>$B1074="Subetapa"</formula>
    </cfRule>
  </conditionalFormatting>
  <conditionalFormatting sqref="B1074">
    <cfRule type="expression" dxfId="7113" priority="1379">
      <formula>$B1074="Serviço"</formula>
    </cfRule>
  </conditionalFormatting>
  <conditionalFormatting sqref="A1074">
    <cfRule type="expression" dxfId="7112" priority="1378">
      <formula>$B1074="Serviço"</formula>
    </cfRule>
  </conditionalFormatting>
  <conditionalFormatting sqref="F1074">
    <cfRule type="expression" dxfId="7111" priority="1372">
      <formula>$B1074="Subetapa"</formula>
    </cfRule>
  </conditionalFormatting>
  <conditionalFormatting sqref="F1074">
    <cfRule type="expression" dxfId="7110" priority="1373">
      <formula>$B1074="Serviço"</formula>
    </cfRule>
  </conditionalFormatting>
  <conditionalFormatting sqref="C1074:D1074">
    <cfRule type="expression" dxfId="7109" priority="1370">
      <formula>$B1074="Subetapa"</formula>
    </cfRule>
  </conditionalFormatting>
  <conditionalFormatting sqref="G1046:H1046">
    <cfRule type="expression" dxfId="7108" priority="1368">
      <formula>$B1046="Subetapa"</formula>
    </cfRule>
  </conditionalFormatting>
  <conditionalFormatting sqref="G1072:H1072">
    <cfRule type="expression" dxfId="7107" priority="1366">
      <formula>$B1072="Subetapa"</formula>
    </cfRule>
  </conditionalFormatting>
  <conditionalFormatting sqref="K1094:K1095">
    <cfRule type="expression" dxfId="7106" priority="1360">
      <formula>$B1094="Subetapa"</formula>
    </cfRule>
    <cfRule type="expression" dxfId="7105" priority="1361">
      <formula>$B1094="Serviço"</formula>
    </cfRule>
  </conditionalFormatting>
  <conditionalFormatting sqref="F1086">
    <cfRule type="expression" dxfId="7104" priority="1356">
      <formula>$B1086="Subetapa"</formula>
    </cfRule>
  </conditionalFormatting>
  <conditionalFormatting sqref="F1086">
    <cfRule type="expression" dxfId="7103" priority="1357">
      <formula>$B1086="Serviço"</formula>
    </cfRule>
  </conditionalFormatting>
  <conditionalFormatting sqref="E1087">
    <cfRule type="expression" dxfId="7102" priority="1352">
      <formula>$B1087="Subetapa"</formula>
    </cfRule>
  </conditionalFormatting>
  <conditionalFormatting sqref="A1087:B1087">
    <cfRule type="expression" dxfId="7101" priority="1350">
      <formula>$B1087="Serviço"</formula>
    </cfRule>
  </conditionalFormatting>
  <conditionalFormatting sqref="A1087:B1087">
    <cfRule type="expression" dxfId="7100" priority="1351">
      <formula>$B1087="Subetapa"</formula>
    </cfRule>
  </conditionalFormatting>
  <conditionalFormatting sqref="B1087">
    <cfRule type="expression" dxfId="7099" priority="1349">
      <formula>$B1087="Serviço"</formula>
    </cfRule>
  </conditionalFormatting>
  <conditionalFormatting sqref="A1087">
    <cfRule type="expression" dxfId="7098" priority="1348">
      <formula>$B1087="Serviço"</formula>
    </cfRule>
  </conditionalFormatting>
  <conditionalFormatting sqref="F1087">
    <cfRule type="expression" dxfId="7097" priority="1342">
      <formula>$B1087="Subetapa"</formula>
    </cfRule>
  </conditionalFormatting>
  <conditionalFormatting sqref="F1087">
    <cfRule type="expression" dxfId="7096" priority="1343">
      <formula>$B1087="Serviço"</formula>
    </cfRule>
  </conditionalFormatting>
  <conditionalFormatting sqref="C1087:D1087">
    <cfRule type="expression" dxfId="7095" priority="1340">
      <formula>$B1087="Subetapa"</formula>
    </cfRule>
  </conditionalFormatting>
  <conditionalFormatting sqref="G1085:H1085">
    <cfRule type="expression" dxfId="7094" priority="1338">
      <formula>$B1085="Subetapa"</formula>
    </cfRule>
  </conditionalFormatting>
  <conditionalFormatting sqref="C1086:D1086">
    <cfRule type="expression" dxfId="7093" priority="1336">
      <formula>$B1086="Serviço"</formula>
    </cfRule>
  </conditionalFormatting>
  <conditionalFormatting sqref="C1086:D1086">
    <cfRule type="expression" dxfId="7092" priority="1337">
      <formula>$B1086="Subetapa"</formula>
    </cfRule>
  </conditionalFormatting>
  <conditionalFormatting sqref="K1108:K1109">
    <cfRule type="expression" dxfId="7091" priority="1317">
      <formula>$B1108="Subetapa"</formula>
    </cfRule>
    <cfRule type="expression" dxfId="7090" priority="1318">
      <formula>$B1108="Serviço"</formula>
    </cfRule>
  </conditionalFormatting>
  <conditionalFormatting sqref="F1099">
    <cfRule type="expression" dxfId="7089" priority="1313">
      <formula>$B1099="Subetapa"</formula>
    </cfRule>
  </conditionalFormatting>
  <conditionalFormatting sqref="F1099">
    <cfRule type="expression" dxfId="7088" priority="1314">
      <formula>$B1099="Serviço"</formula>
    </cfRule>
  </conditionalFormatting>
  <conditionalFormatting sqref="E1101">
    <cfRule type="expression" dxfId="7087" priority="1309">
      <formula>$B1101="Subetapa"</formula>
    </cfRule>
  </conditionalFormatting>
  <conditionalFormatting sqref="A1101:B1101">
    <cfRule type="expression" dxfId="7086" priority="1307">
      <formula>$B1101="Serviço"</formula>
    </cfRule>
  </conditionalFormatting>
  <conditionalFormatting sqref="A1101:B1101">
    <cfRule type="expression" dxfId="7085" priority="1308">
      <formula>$B1101="Subetapa"</formula>
    </cfRule>
  </conditionalFormatting>
  <conditionalFormatting sqref="B1101">
    <cfRule type="expression" dxfId="7084" priority="1306">
      <formula>$B1101="Serviço"</formula>
    </cfRule>
  </conditionalFormatting>
  <conditionalFormatting sqref="A1101">
    <cfRule type="expression" dxfId="7083" priority="1305">
      <formula>$B1101="Serviço"</formula>
    </cfRule>
  </conditionalFormatting>
  <conditionalFormatting sqref="F1101">
    <cfRule type="expression" dxfId="7082" priority="1299">
      <formula>$B1101="Subetapa"</formula>
    </cfRule>
  </conditionalFormatting>
  <conditionalFormatting sqref="F1101">
    <cfRule type="expression" dxfId="7081" priority="1300">
      <formula>$B1101="Serviço"</formula>
    </cfRule>
  </conditionalFormatting>
  <conditionalFormatting sqref="C1101:D1101">
    <cfRule type="expression" dxfId="7080" priority="1297">
      <formula>$B1101="Subetapa"</formula>
    </cfRule>
  </conditionalFormatting>
  <conditionalFormatting sqref="G1098:H1098">
    <cfRule type="expression" dxfId="7079" priority="1295">
      <formula>$B1098="Subetapa"</formula>
    </cfRule>
  </conditionalFormatting>
  <conditionalFormatting sqref="C1099:D1099">
    <cfRule type="expression" dxfId="7078" priority="1293">
      <formula>$B1099="Serviço"</formula>
    </cfRule>
  </conditionalFormatting>
  <conditionalFormatting sqref="C1099:D1099">
    <cfRule type="expression" dxfId="7077" priority="1294">
      <formula>$B1099="Subetapa"</formula>
    </cfRule>
  </conditionalFormatting>
  <conditionalFormatting sqref="F1100">
    <cfRule type="expression" dxfId="7076" priority="1286">
      <formula>$B1100="Subetapa"</formula>
    </cfRule>
  </conditionalFormatting>
  <conditionalFormatting sqref="F1100">
    <cfRule type="expression" dxfId="7075" priority="1287">
      <formula>$B1100="Serviço"</formula>
    </cfRule>
  </conditionalFormatting>
  <conditionalFormatting sqref="K1068:K1069">
    <cfRule type="expression" dxfId="7074" priority="1278">
      <formula>$B1068="Subetapa"</formula>
    </cfRule>
    <cfRule type="expression" dxfId="7073" priority="1279">
      <formula>$B1068="Serviço"</formula>
    </cfRule>
  </conditionalFormatting>
  <conditionalFormatting sqref="F1060:F1061">
    <cfRule type="expression" dxfId="7072" priority="1274">
      <formula>$B1060="Subetapa"</formula>
    </cfRule>
  </conditionalFormatting>
  <conditionalFormatting sqref="F1060:F1061">
    <cfRule type="expression" dxfId="7071" priority="1275">
      <formula>$B1060="Serviço"</formula>
    </cfRule>
  </conditionalFormatting>
  <conditionalFormatting sqref="C1061:D1061">
    <cfRule type="expression" dxfId="7070" priority="1272">
      <formula>$B1061="Subetapa"</formula>
    </cfRule>
  </conditionalFormatting>
  <conditionalFormatting sqref="G1059:H1059">
    <cfRule type="expression" dxfId="7069" priority="1270">
      <formula>$B1059="Subetapa"</formula>
    </cfRule>
  </conditionalFormatting>
  <conditionalFormatting sqref="C1060:D1060">
    <cfRule type="expression" dxfId="7068" priority="1265">
      <formula>$B1060="Serviço"</formula>
    </cfRule>
  </conditionalFormatting>
  <conditionalFormatting sqref="C1060:D1060">
    <cfRule type="expression" dxfId="7067" priority="1266">
      <formula>$B1060="Subetapa"</formula>
    </cfRule>
  </conditionalFormatting>
  <conditionalFormatting sqref="F1114:F1121 D1114:D1121 A1112:B1112">
    <cfRule type="expression" dxfId="7066" priority="1263">
      <formula>$B1112="Serviço"</formula>
    </cfRule>
  </conditionalFormatting>
  <conditionalFormatting sqref="F1114:F1121 D1114:D1121 A1112:B1112">
    <cfRule type="expression" dxfId="7065" priority="1264">
      <formula>$B1112="Subetapa"</formula>
    </cfRule>
  </conditionalFormatting>
  <conditionalFormatting sqref="K1120:K1121">
    <cfRule type="expression" dxfId="7064" priority="1257">
      <formula>$B1120="Subetapa"</formula>
    </cfRule>
    <cfRule type="expression" dxfId="7063" priority="1258">
      <formula>$B1120="Serviço"</formula>
    </cfRule>
  </conditionalFormatting>
  <conditionalFormatting sqref="E1113">
    <cfRule type="expression" dxfId="7062" priority="1253">
      <formula>$B1113="Subetapa"</formula>
    </cfRule>
  </conditionalFormatting>
  <conditionalFormatting sqref="A1113:B1113">
    <cfRule type="expression" dxfId="7061" priority="1251">
      <formula>$B1113="Serviço"</formula>
    </cfRule>
  </conditionalFormatting>
  <conditionalFormatting sqref="A1113:B1113">
    <cfRule type="expression" dxfId="7060" priority="1252">
      <formula>$B1113="Subetapa"</formula>
    </cfRule>
  </conditionalFormatting>
  <conditionalFormatting sqref="B1113">
    <cfRule type="expression" dxfId="7059" priority="1250">
      <formula>$B1113="Serviço"</formula>
    </cfRule>
  </conditionalFormatting>
  <conditionalFormatting sqref="A1113">
    <cfRule type="expression" dxfId="7058" priority="1249">
      <formula>$B1113="Serviço"</formula>
    </cfRule>
  </conditionalFormatting>
  <conditionalFormatting sqref="F1113">
    <cfRule type="expression" dxfId="7057" priority="1243">
      <formula>$B1113="Subetapa"</formula>
    </cfRule>
  </conditionalFormatting>
  <conditionalFormatting sqref="F1113">
    <cfRule type="expression" dxfId="7056" priority="1244">
      <formula>$B1113="Serviço"</formula>
    </cfRule>
  </conditionalFormatting>
  <conditionalFormatting sqref="C1113:D1113">
    <cfRule type="expression" dxfId="7055" priority="1241">
      <formula>$B1113="Subetapa"</formula>
    </cfRule>
  </conditionalFormatting>
  <conditionalFormatting sqref="G1112:H1112">
    <cfRule type="expression" dxfId="7054" priority="1239">
      <formula>$B1112="Subetapa"</formula>
    </cfRule>
  </conditionalFormatting>
  <conditionalFormatting sqref="I1139:K1139 I1141:K1148 I1151:K1153 I1166:K1167">
    <cfRule type="expression" dxfId="7053" priority="1234">
      <formula>$B1139="Serviço"</formula>
    </cfRule>
  </conditionalFormatting>
  <conditionalFormatting sqref="I1139:K1139 I1141:K1148 I1151:K1153 I1166:K1167">
    <cfRule type="expression" dxfId="7052" priority="1235">
      <formula>$B1139="Subetapa"</formula>
    </cfRule>
  </conditionalFormatting>
  <conditionalFormatting sqref="E1141:E1152">
    <cfRule type="expression" dxfId="7051" priority="1230">
      <formula>$B1141="Subetapa"</formula>
    </cfRule>
  </conditionalFormatting>
  <conditionalFormatting sqref="A1139:B1139 D1143:D1150 F1143:F1150 A1141:B1153 D1158:D1165 F1158:F1165">
    <cfRule type="expression" dxfId="7050" priority="1226">
      <formula>$B1139="Serviço"</formula>
    </cfRule>
  </conditionalFormatting>
  <conditionalFormatting sqref="A1139:B1139 D1143:D1150 F1143:F1150 A1141:B1153 D1158:D1165 F1158:F1165">
    <cfRule type="expression" dxfId="7049" priority="1227">
      <formula>$B1139="Subetapa"</formula>
    </cfRule>
  </conditionalFormatting>
  <conditionalFormatting sqref="B1151:B1152 B1141:B1148 B1166:B1167">
    <cfRule type="expression" dxfId="7048" priority="1225">
      <formula>$B1141="Serviço"</formula>
    </cfRule>
  </conditionalFormatting>
  <conditionalFormatting sqref="F1151:F1152 D1151:D1152 D1153:F1153 F1166:F1167 C1139:F1139 C1151:C1153 C1166:D1167">
    <cfRule type="expression" dxfId="7047" priority="1223">
      <formula>$B1139="Serviço"</formula>
    </cfRule>
  </conditionalFormatting>
  <conditionalFormatting sqref="F1151:F1152 D1151:D1152 D1153:F1153 F1166:F1167 C1139:F1139 C1151:C1153 C1166:D1167">
    <cfRule type="expression" dxfId="7046" priority="1224">
      <formula>$B1139="Subetapa"</formula>
    </cfRule>
  </conditionalFormatting>
  <conditionalFormatting sqref="A1151:A1152 A1141:A1148 A1166:A1167">
    <cfRule type="expression" dxfId="7045" priority="1222">
      <formula>$B1141="Serviço"</formula>
    </cfRule>
  </conditionalFormatting>
  <conditionalFormatting sqref="K1149:K1150">
    <cfRule type="expression" dxfId="7044" priority="1214">
      <formula>$B1149="Subetapa"</formula>
    </cfRule>
    <cfRule type="expression" dxfId="7043" priority="1215">
      <formula>$B1149="Serviço"</formula>
    </cfRule>
  </conditionalFormatting>
  <conditionalFormatting sqref="F1141:F1142">
    <cfRule type="expression" dxfId="7042" priority="1212">
      <formula>$B1141="Subetapa"</formula>
    </cfRule>
  </conditionalFormatting>
  <conditionalFormatting sqref="F1141:F1142">
    <cfRule type="expression" dxfId="7041" priority="1213">
      <formula>$B1141="Serviço"</formula>
    </cfRule>
  </conditionalFormatting>
  <conditionalFormatting sqref="C1142:D1142">
    <cfRule type="expression" dxfId="7040" priority="1210">
      <formula>$B1142="Subetapa"</formula>
    </cfRule>
  </conditionalFormatting>
  <conditionalFormatting sqref="G1139:H1139">
    <cfRule type="expression" dxfId="7039" priority="1208">
      <formula>$B1139="Subetapa"</formula>
    </cfRule>
  </conditionalFormatting>
  <conditionalFormatting sqref="C1141:D1141">
    <cfRule type="expression" dxfId="7038" priority="1203">
      <formula>$B1141="Serviço"</formula>
    </cfRule>
  </conditionalFormatting>
  <conditionalFormatting sqref="C1141:D1141">
    <cfRule type="expression" dxfId="7037" priority="1204">
      <formula>$B1141="Subetapa"</formula>
    </cfRule>
  </conditionalFormatting>
  <conditionalFormatting sqref="I1140:K1140">
    <cfRule type="expression" dxfId="7036" priority="1201">
      <formula>$B1140="Serviço"</formula>
    </cfRule>
  </conditionalFormatting>
  <conditionalFormatting sqref="I1140:K1140">
    <cfRule type="expression" dxfId="7035" priority="1202">
      <formula>$B1140="Subetapa"</formula>
    </cfRule>
  </conditionalFormatting>
  <conditionalFormatting sqref="E1140">
    <cfRule type="expression" dxfId="7034" priority="1197">
      <formula>$B1140="Subetapa"</formula>
    </cfRule>
  </conditionalFormatting>
  <conditionalFormatting sqref="A1140:B1140">
    <cfRule type="expression" dxfId="7033" priority="1195">
      <formula>$B1140="Serviço"</formula>
    </cfRule>
  </conditionalFormatting>
  <conditionalFormatting sqref="A1140:B1140">
    <cfRule type="expression" dxfId="7032" priority="1196">
      <formula>$B1140="Subetapa"</formula>
    </cfRule>
  </conditionalFormatting>
  <conditionalFormatting sqref="B1140">
    <cfRule type="expression" dxfId="7031" priority="1194">
      <formula>$B1140="Serviço"</formula>
    </cfRule>
  </conditionalFormatting>
  <conditionalFormatting sqref="A1140">
    <cfRule type="expression" dxfId="7030" priority="1193">
      <formula>$B1140="Serviço"</formula>
    </cfRule>
  </conditionalFormatting>
  <conditionalFormatting sqref="F1140">
    <cfRule type="expression" dxfId="7029" priority="1187">
      <formula>$B1140="Subetapa"</formula>
    </cfRule>
  </conditionalFormatting>
  <conditionalFormatting sqref="F1140">
    <cfRule type="expression" dxfId="7028" priority="1188">
      <formula>$B1140="Serviço"</formula>
    </cfRule>
  </conditionalFormatting>
  <conditionalFormatting sqref="C1140:D1140">
    <cfRule type="expression" dxfId="7027" priority="1185">
      <formula>$B1140="Subetapa"</formula>
    </cfRule>
  </conditionalFormatting>
  <conditionalFormatting sqref="K1164:K1165">
    <cfRule type="expression" dxfId="7026" priority="1175">
      <formula>$B1164="Subetapa"</formula>
    </cfRule>
    <cfRule type="expression" dxfId="7025" priority="1176">
      <formula>$B1164="Serviço"</formula>
    </cfRule>
  </conditionalFormatting>
  <conditionalFormatting sqref="F1155 F1157">
    <cfRule type="expression" dxfId="7024" priority="1173">
      <formula>$B1155="Subetapa"</formula>
    </cfRule>
  </conditionalFormatting>
  <conditionalFormatting sqref="F1155 F1157">
    <cfRule type="expression" dxfId="7023" priority="1174">
      <formula>$B1155="Serviço"</formula>
    </cfRule>
  </conditionalFormatting>
  <conditionalFormatting sqref="C1157:D1157">
    <cfRule type="expression" dxfId="7022" priority="1171">
      <formula>$B1157="Subetapa"</formula>
    </cfRule>
  </conditionalFormatting>
  <conditionalFormatting sqref="G1153:H1153">
    <cfRule type="expression" dxfId="7021" priority="1169">
      <formula>$B1153="Subetapa"</formula>
    </cfRule>
  </conditionalFormatting>
  <conditionalFormatting sqref="I1154:K1154">
    <cfRule type="expression" dxfId="7020" priority="1164">
      <formula>$B1154="Serviço"</formula>
    </cfRule>
  </conditionalFormatting>
  <conditionalFormatting sqref="I1154:K1154">
    <cfRule type="expression" dxfId="7019" priority="1165">
      <formula>$B1154="Subetapa"</formula>
    </cfRule>
  </conditionalFormatting>
  <conditionalFormatting sqref="E1154">
    <cfRule type="expression" dxfId="7018" priority="1160">
      <formula>$B1154="Subetapa"</formula>
    </cfRule>
  </conditionalFormatting>
  <conditionalFormatting sqref="A1154:B1154">
    <cfRule type="expression" dxfId="7017" priority="1158">
      <formula>$B1154="Serviço"</formula>
    </cfRule>
  </conditionalFormatting>
  <conditionalFormatting sqref="A1154:B1154">
    <cfRule type="expression" dxfId="7016" priority="1159">
      <formula>$B1154="Subetapa"</formula>
    </cfRule>
  </conditionalFormatting>
  <conditionalFormatting sqref="B1154">
    <cfRule type="expression" dxfId="7015" priority="1157">
      <formula>$B1154="Serviço"</formula>
    </cfRule>
  </conditionalFormatting>
  <conditionalFormatting sqref="A1154">
    <cfRule type="expression" dxfId="7014" priority="1156">
      <formula>$B1154="Serviço"</formula>
    </cfRule>
  </conditionalFormatting>
  <conditionalFormatting sqref="F1154">
    <cfRule type="expression" dxfId="7013" priority="1152">
      <formula>$B1154="Subetapa"</formula>
    </cfRule>
  </conditionalFormatting>
  <conditionalFormatting sqref="F1154">
    <cfRule type="expression" dxfId="7012" priority="1153">
      <formula>$B1154="Serviço"</formula>
    </cfRule>
  </conditionalFormatting>
  <conditionalFormatting sqref="C1154:D1154">
    <cfRule type="expression" dxfId="7011" priority="1150">
      <formula>$B1154="Subetapa"</formula>
    </cfRule>
  </conditionalFormatting>
  <conditionalFormatting sqref="C1156:D1156">
    <cfRule type="expression" dxfId="7010" priority="1142">
      <formula>$B1156="Serviço"</formula>
    </cfRule>
  </conditionalFormatting>
  <conditionalFormatting sqref="C1156:D1156">
    <cfRule type="expression" dxfId="7009" priority="1143">
      <formula>$B1156="Subetapa"</formula>
    </cfRule>
  </conditionalFormatting>
  <conditionalFormatting sqref="C1155:D1155">
    <cfRule type="expression" dxfId="7008" priority="1140">
      <formula>$B1155="Serviço"</formula>
    </cfRule>
  </conditionalFormatting>
  <conditionalFormatting sqref="C1155:D1155">
    <cfRule type="expression" dxfId="7007" priority="1141">
      <formula>$B1155="Subetapa"</formula>
    </cfRule>
  </conditionalFormatting>
  <conditionalFormatting sqref="F1129:F1136 D1129:D1136 A1124:B1124">
    <cfRule type="expression" dxfId="7006" priority="1138">
      <formula>$B1124="Serviço"</formula>
    </cfRule>
  </conditionalFormatting>
  <conditionalFormatting sqref="F1129:F1136 D1129:D1136 A1124:B1124">
    <cfRule type="expression" dxfId="7005" priority="1139">
      <formula>$B1124="Subetapa"</formula>
    </cfRule>
  </conditionalFormatting>
  <conditionalFormatting sqref="K1135:K1136">
    <cfRule type="expression" dxfId="7004" priority="1132">
      <formula>$B1135="Subetapa"</formula>
    </cfRule>
    <cfRule type="expression" dxfId="7003" priority="1133">
      <formula>$B1135="Serviço"</formula>
    </cfRule>
  </conditionalFormatting>
  <conditionalFormatting sqref="E1125">
    <cfRule type="expression" dxfId="7002" priority="1128">
      <formula>$B1125="Subetapa"</formula>
    </cfRule>
  </conditionalFormatting>
  <conditionalFormatting sqref="A1125:B1125">
    <cfRule type="expression" dxfId="7001" priority="1126">
      <formula>$B1125="Serviço"</formula>
    </cfRule>
  </conditionalFormatting>
  <conditionalFormatting sqref="A1125:B1125">
    <cfRule type="expression" dxfId="7000" priority="1127">
      <formula>$B1125="Subetapa"</formula>
    </cfRule>
  </conditionalFormatting>
  <conditionalFormatting sqref="B1125">
    <cfRule type="expression" dxfId="6999" priority="1125">
      <formula>$B1125="Serviço"</formula>
    </cfRule>
  </conditionalFormatting>
  <conditionalFormatting sqref="A1125">
    <cfRule type="expression" dxfId="6998" priority="1124">
      <formula>$B1125="Serviço"</formula>
    </cfRule>
  </conditionalFormatting>
  <conditionalFormatting sqref="F1125">
    <cfRule type="expression" dxfId="6997" priority="1120">
      <formula>$B1125="Subetapa"</formula>
    </cfRule>
  </conditionalFormatting>
  <conditionalFormatting sqref="F1125">
    <cfRule type="expression" dxfId="6996" priority="1121">
      <formula>$B1125="Serviço"</formula>
    </cfRule>
  </conditionalFormatting>
  <conditionalFormatting sqref="C1125:D1125">
    <cfRule type="expression" dxfId="6995" priority="1118">
      <formula>$B1125="Subetapa"</formula>
    </cfRule>
  </conditionalFormatting>
  <conditionalFormatting sqref="G1124:H1124">
    <cfRule type="expression" dxfId="6994" priority="1116">
      <formula>$B1124="Subetapa"</formula>
    </cfRule>
  </conditionalFormatting>
  <conditionalFormatting sqref="F1126 F1128">
    <cfRule type="expression" dxfId="6993" priority="1111">
      <formula>$B1126="Subetapa"</formula>
    </cfRule>
  </conditionalFormatting>
  <conditionalFormatting sqref="F1126 F1128">
    <cfRule type="expression" dxfId="6992" priority="1112">
      <formula>$B1126="Serviço"</formula>
    </cfRule>
  </conditionalFormatting>
  <conditionalFormatting sqref="C1128:D1128">
    <cfRule type="expression" dxfId="6991" priority="1109">
      <formula>$B1128="Subetapa"</formula>
    </cfRule>
  </conditionalFormatting>
  <conditionalFormatting sqref="C1127:D1127">
    <cfRule type="expression" dxfId="6990" priority="1101">
      <formula>$B1127="Serviço"</formula>
    </cfRule>
  </conditionalFormatting>
  <conditionalFormatting sqref="C1127:D1127">
    <cfRule type="expression" dxfId="6989" priority="1102">
      <formula>$B1127="Subetapa"</formula>
    </cfRule>
  </conditionalFormatting>
  <conditionalFormatting sqref="C1126:D1126">
    <cfRule type="expression" dxfId="6988" priority="1099">
      <formula>$B1126="Serviço"</formula>
    </cfRule>
  </conditionalFormatting>
  <conditionalFormatting sqref="C1126:D1126">
    <cfRule type="expression" dxfId="6987" priority="1100">
      <formula>$B1126="Subetapa"</formula>
    </cfRule>
  </conditionalFormatting>
  <conditionalFormatting sqref="C2828:C2831">
    <cfRule type="expression" dxfId="6986" priority="911">
      <formula>$B2828="Serviço"</formula>
    </cfRule>
  </conditionalFormatting>
  <conditionalFormatting sqref="C2828:C2831">
    <cfRule type="expression" dxfId="6985" priority="912">
      <formula>$B2828="Subetapa"</formula>
    </cfRule>
  </conditionalFormatting>
  <conditionalFormatting sqref="C1177:C1185">
    <cfRule type="expression" dxfId="6984" priority="906">
      <formula>$B1177="Subetapa"</formula>
    </cfRule>
  </conditionalFormatting>
  <conditionalFormatting sqref="C1312:C1321">
    <cfRule type="expression" dxfId="6983" priority="905">
      <formula>$B1312="Subetapa"</formula>
    </cfRule>
  </conditionalFormatting>
  <conditionalFormatting sqref="C1881:C1891">
    <cfRule type="expression" dxfId="6982" priority="1030">
      <formula>$B1881="Subetapa"</formula>
    </cfRule>
  </conditionalFormatting>
  <conditionalFormatting sqref="C1908:C1916">
    <cfRule type="expression" dxfId="6981" priority="1025">
      <formula>$B1908="Subetapa"</formula>
    </cfRule>
  </conditionalFormatting>
  <conditionalFormatting sqref="C1920:C1928">
    <cfRule type="expression" dxfId="6980" priority="1024">
      <formula>$B1920="Subetapa"</formula>
    </cfRule>
  </conditionalFormatting>
  <conditionalFormatting sqref="C2008:C2016">
    <cfRule type="expression" dxfId="6979" priority="1026">
      <formula>$B2008="Subetapa"</formula>
    </cfRule>
  </conditionalFormatting>
  <conditionalFormatting sqref="C2030:C2032 C2035:C2040">
    <cfRule type="expression" dxfId="6978" priority="1010">
      <formula>$B2030="Subetapa"</formula>
    </cfRule>
  </conditionalFormatting>
  <conditionalFormatting sqref="C2042:C2044 C2047:C2052">
    <cfRule type="expression" dxfId="6977" priority="1007">
      <formula>$B2042="Subetapa"</formula>
    </cfRule>
  </conditionalFormatting>
  <conditionalFormatting sqref="C2054:C2055">
    <cfRule type="expression" dxfId="6976" priority="1002">
      <formula>$B2054="Subetapa"</formula>
    </cfRule>
  </conditionalFormatting>
  <conditionalFormatting sqref="C2056:C2057 C2060:C2065">
    <cfRule type="expression" dxfId="6975" priority="1004">
      <formula>$B2056="Subetapa"</formula>
    </cfRule>
  </conditionalFormatting>
  <conditionalFormatting sqref="C2815:C2816">
    <cfRule type="expression" dxfId="6974" priority="889">
      <formula>$B2815="Subetapa"</formula>
    </cfRule>
  </conditionalFormatting>
  <conditionalFormatting sqref="C3858:C3859">
    <cfRule type="expression" dxfId="6973" priority="944">
      <formula>$B3858="Subetapa"</formula>
    </cfRule>
  </conditionalFormatting>
  <conditionalFormatting sqref="C3929:C3932">
    <cfRule type="expression" dxfId="6972" priority="924">
      <formula>$B3929="Subetapa"</formula>
    </cfRule>
  </conditionalFormatting>
  <conditionalFormatting sqref="C3939:C3940">
    <cfRule type="expression" dxfId="6971" priority="1043">
      <formula>$B3939="Subetapa"</formula>
    </cfRule>
  </conditionalFormatting>
  <conditionalFormatting sqref="C4726:C4749">
    <cfRule type="expression" dxfId="6970" priority="1038">
      <formula>$B4726="Subetapa"</formula>
    </cfRule>
  </conditionalFormatting>
  <conditionalFormatting sqref="C303:C304">
    <cfRule type="expression" dxfId="6969" priority="914">
      <formula>$B303="Subetapa"</formula>
    </cfRule>
  </conditionalFormatting>
  <conditionalFormatting sqref="C1868:C1869 C1871:C1879">
    <cfRule type="expression" dxfId="6968" priority="1029">
      <formula>$B1868="Subetapa"</formula>
    </cfRule>
  </conditionalFormatting>
  <conditionalFormatting sqref="C1893:C1894 C1896:C1904">
    <cfRule type="expression" dxfId="6967" priority="1027">
      <formula>$B1893="Subetapa"</formula>
    </cfRule>
  </conditionalFormatting>
  <conditionalFormatting sqref="C1930:C1931 C1933:C1941">
    <cfRule type="expression" dxfId="6966" priority="1022">
      <formula>$B1930="Subetapa"</formula>
    </cfRule>
  </conditionalFormatting>
  <conditionalFormatting sqref="C1943:C1944 C1946:C1954">
    <cfRule type="expression" dxfId="6965" priority="1020">
      <formula>$B1943="Subetapa"</formula>
    </cfRule>
  </conditionalFormatting>
  <conditionalFormatting sqref="C1956:C1957 C1959:C1967">
    <cfRule type="expression" dxfId="6964" priority="1018">
      <formula>$B1956="Subetapa"</formula>
    </cfRule>
  </conditionalFormatting>
  <conditionalFormatting sqref="C1969:C1970 C1972:C1980">
    <cfRule type="expression" dxfId="6963" priority="1016">
      <formula>$B1969="Subetapa"</formula>
    </cfRule>
  </conditionalFormatting>
  <conditionalFormatting sqref="C957:C962">
    <cfRule type="expression" dxfId="6962" priority="871">
      <formula>$B957="Subetapa"</formula>
    </cfRule>
  </conditionalFormatting>
  <conditionalFormatting sqref="C284:C286">
    <cfRule type="expression" dxfId="6961" priority="1045">
      <formula>$B284="Subetapa"</formula>
    </cfRule>
  </conditionalFormatting>
  <conditionalFormatting sqref="C321:C322">
    <cfRule type="expression" dxfId="6960" priority="1087">
      <formula>$B321="Subetapa"</formula>
    </cfRule>
  </conditionalFormatting>
  <conditionalFormatting sqref="C662:C664">
    <cfRule type="expression" dxfId="6959" priority="913">
      <formula>$B662="Serviço"</formula>
    </cfRule>
  </conditionalFormatting>
  <conditionalFormatting sqref="C867:C868">
    <cfRule type="expression" dxfId="6958" priority="1051">
      <formula>$B867="Subetapa"</formula>
    </cfRule>
  </conditionalFormatting>
  <conditionalFormatting sqref="C964:C966">
    <cfRule type="expression" dxfId="6957" priority="1039">
      <formula>$B964="Subetapa"</formula>
    </cfRule>
  </conditionalFormatting>
  <conditionalFormatting sqref="C967:C969">
    <cfRule type="expression" dxfId="6956" priority="1040">
      <formula>$B967="Subetapa"</formula>
    </cfRule>
  </conditionalFormatting>
  <conditionalFormatting sqref="C971:C972">
    <cfRule type="expression" dxfId="6955" priority="1053">
      <formula>$B971="Subetapa"</formula>
    </cfRule>
  </conditionalFormatting>
  <conditionalFormatting sqref="C974:C975">
    <cfRule type="expression" dxfId="6954" priority="1054">
      <formula>$B974="Subetapa"</formula>
    </cfRule>
  </conditionalFormatting>
  <conditionalFormatting sqref="C1345:C1347">
    <cfRule type="expression" dxfId="6953" priority="895">
      <formula>$B1345="Subetapa"</formula>
    </cfRule>
  </conditionalFormatting>
  <conditionalFormatting sqref="C1844:C1854">
    <cfRule type="expression" dxfId="6952" priority="1032">
      <formula>$B1844="Subetapa"</formula>
    </cfRule>
  </conditionalFormatting>
  <conditionalFormatting sqref="C1856:C1866">
    <cfRule type="expression" dxfId="6951" priority="1031">
      <formula>$B1856="Subetapa"</formula>
    </cfRule>
  </conditionalFormatting>
  <conditionalFormatting sqref="C1982:C1992">
    <cfRule type="expression" dxfId="6950" priority="1014">
      <formula>$B1982="Subetapa"</formula>
    </cfRule>
  </conditionalFormatting>
  <conditionalFormatting sqref="C1994:C2004">
    <cfRule type="expression" dxfId="6949" priority="1012">
      <formula>$B1994="Subetapa"</formula>
    </cfRule>
  </conditionalFormatting>
  <conditionalFormatting sqref="C2018:C2028">
    <cfRule type="expression" dxfId="6948" priority="940">
      <formula>$B2018="Subetapa"</formula>
    </cfRule>
  </conditionalFormatting>
  <conditionalFormatting sqref="C2033:C2034">
    <cfRule type="expression" dxfId="6947" priority="1008">
      <formula>$B2033="Subetapa"</formula>
    </cfRule>
  </conditionalFormatting>
  <conditionalFormatting sqref="C2045:C2046">
    <cfRule type="expression" dxfId="6946" priority="1005">
      <formula>$B2045="Subetapa"</formula>
    </cfRule>
  </conditionalFormatting>
  <conditionalFormatting sqref="C2058:C2059">
    <cfRule type="expression" dxfId="6945" priority="1003">
      <formula>$B2058="Subetapa"</formula>
    </cfRule>
  </conditionalFormatting>
  <conditionalFormatting sqref="C2067:C2068">
    <cfRule type="expression" dxfId="6944" priority="998">
      <formula>$B2067="Subetapa"</formula>
    </cfRule>
  </conditionalFormatting>
  <conditionalFormatting sqref="C2069:C2070 C2073:C2078">
    <cfRule type="expression" dxfId="6943" priority="1000">
      <formula>$B2069="Subetapa"</formula>
    </cfRule>
  </conditionalFormatting>
  <conditionalFormatting sqref="C2071:C2072">
    <cfRule type="expression" dxfId="6942" priority="999">
      <formula>$B2071="Subetapa"</formula>
    </cfRule>
  </conditionalFormatting>
  <conditionalFormatting sqref="C2080:C2081">
    <cfRule type="expression" dxfId="6941" priority="994">
      <formula>$B2080="Subetapa"</formula>
    </cfRule>
  </conditionalFormatting>
  <conditionalFormatting sqref="C2082:C2083 C2086:C2091">
    <cfRule type="expression" dxfId="6940" priority="996">
      <formula>$B2082="Subetapa"</formula>
    </cfRule>
  </conditionalFormatting>
  <conditionalFormatting sqref="C2084:C2085">
    <cfRule type="expression" dxfId="6939" priority="995">
      <formula>$B2084="Subetapa"</formula>
    </cfRule>
  </conditionalFormatting>
  <conditionalFormatting sqref="C2093:C2094">
    <cfRule type="expression" dxfId="6938" priority="989">
      <formula>$B2093="Subetapa"</formula>
    </cfRule>
  </conditionalFormatting>
  <conditionalFormatting sqref="C2095:C2096 C2099:C2104">
    <cfRule type="expression" dxfId="6937" priority="992">
      <formula>$B2095="Subetapa"</formula>
    </cfRule>
  </conditionalFormatting>
  <conditionalFormatting sqref="C2097:C2098">
    <cfRule type="expression" dxfId="6936" priority="990">
      <formula>$B2097="Subetapa"</formula>
    </cfRule>
  </conditionalFormatting>
  <conditionalFormatting sqref="C2106:C2111">
    <cfRule type="expression" dxfId="6935" priority="987">
      <formula>$B2106="Subetapa"</formula>
    </cfRule>
  </conditionalFormatting>
  <conditionalFormatting sqref="C2113:C2118">
    <cfRule type="expression" dxfId="6934" priority="986">
      <formula>$B2113="Subetapa"</formula>
    </cfRule>
  </conditionalFormatting>
  <conditionalFormatting sqref="C2120:C2125">
    <cfRule type="expression" dxfId="6933" priority="985">
      <formula>$B2120="Subetapa"</formula>
    </cfRule>
  </conditionalFormatting>
  <conditionalFormatting sqref="C2127:C2132">
    <cfRule type="expression" dxfId="6932" priority="983">
      <formula>$B2127="Subetapa"</formula>
    </cfRule>
  </conditionalFormatting>
  <conditionalFormatting sqref="C2134:C2139">
    <cfRule type="expression" dxfId="6931" priority="981">
      <formula>$B2134="Subetapa"</formula>
    </cfRule>
  </conditionalFormatting>
  <conditionalFormatting sqref="C2332:C2336">
    <cfRule type="expression" dxfId="6930" priority="979">
      <formula>$B2332="Subetapa"</formula>
    </cfRule>
  </conditionalFormatting>
  <conditionalFormatting sqref="C2757:C2759">
    <cfRule type="expression" dxfId="6929" priority="917">
      <formula>$B2757="Subetapa"</formula>
    </cfRule>
  </conditionalFormatting>
  <conditionalFormatting sqref="C2761:C2764">
    <cfRule type="expression" dxfId="6928" priority="919">
      <formula>$B2761="Subetapa"</formula>
    </cfRule>
  </conditionalFormatting>
  <conditionalFormatting sqref="C2772:C2785">
    <cfRule type="expression" dxfId="6927" priority="963">
      <formula>$B2772="Subetapa"</formula>
    </cfRule>
  </conditionalFormatting>
  <conditionalFormatting sqref="C2786:C2787">
    <cfRule type="expression" dxfId="6926" priority="1059">
      <formula>$A2786=2</formula>
    </cfRule>
  </conditionalFormatting>
  <conditionalFormatting sqref="C2914:C2915">
    <cfRule type="expression" dxfId="6925" priority="960">
      <formula>$I2914="SUBETAPA"</formula>
    </cfRule>
    <cfRule type="expression" dxfId="6924" priority="961">
      <formula>$I2914="CÉLULA CONSTRUTIVA"</formula>
    </cfRule>
    <cfRule type="expression" dxfId="6923" priority="962">
      <formula>$I2914="ETAPA"</formula>
    </cfRule>
  </conditionalFormatting>
  <conditionalFormatting sqref="C2916:C2917">
    <cfRule type="expression" dxfId="6922" priority="957">
      <formula>$I2916="SUBETAPA"</formula>
    </cfRule>
    <cfRule type="expression" dxfId="6921" priority="958">
      <formula>$I2916="CÉLULA CONSTRUTIVA"</formula>
    </cfRule>
    <cfRule type="expression" dxfId="6920" priority="959">
      <formula>$I2916="ETAPA"</formula>
    </cfRule>
  </conditionalFormatting>
  <conditionalFormatting sqref="C3427:C3429">
    <cfRule type="expression" dxfId="6919" priority="1061">
      <formula>$A3427="Subetapa"</formula>
    </cfRule>
  </conditionalFormatting>
  <conditionalFormatting sqref="C3619:C3621">
    <cfRule type="expression" dxfId="6918" priority="1063">
      <formula>$A3619="Subetapa"</formula>
    </cfRule>
  </conditionalFormatting>
  <conditionalFormatting sqref="C3927:C3928">
    <cfRule type="expression" dxfId="6917" priority="942">
      <formula>$B3927="Subetapa"</formula>
    </cfRule>
  </conditionalFormatting>
  <conditionalFormatting sqref="C3939:C3943">
    <cfRule type="expression" dxfId="6916" priority="1065">
      <formula>$B3939="Subetapa"</formula>
    </cfRule>
  </conditionalFormatting>
  <conditionalFormatting sqref="C3997:C3998">
    <cfRule type="expression" dxfId="6915" priority="883">
      <formula>$A3997="Serviço"</formula>
    </cfRule>
    <cfRule type="expression" dxfId="6914" priority="884">
      <formula>$A3997="Subetapa"</formula>
    </cfRule>
  </conditionalFormatting>
  <conditionalFormatting sqref="C4000:C4001">
    <cfRule type="expression" dxfId="6913" priority="885">
      <formula>$A4000="Serviço"</formula>
    </cfRule>
    <cfRule type="expression" dxfId="6912" priority="886">
      <formula>$A4000="Subetapa"</formula>
    </cfRule>
  </conditionalFormatting>
  <conditionalFormatting sqref="C4055:C4056">
    <cfRule type="expression" dxfId="6911" priority="875">
      <formula>$A4055="Serviço"</formula>
    </cfRule>
    <cfRule type="expression" dxfId="6910" priority="876">
      <formula>$A4055="Subetapa"</formula>
    </cfRule>
  </conditionalFormatting>
  <conditionalFormatting sqref="C4095:C4097">
    <cfRule type="expression" dxfId="6909" priority="1068">
      <formula>$B4095="Subetapa"</formula>
    </cfRule>
  </conditionalFormatting>
  <conditionalFormatting sqref="C4292:C4295">
    <cfRule type="expression" dxfId="6908" priority="941">
      <formula>$B4292="Subetapa"</formula>
    </cfRule>
  </conditionalFormatting>
  <conditionalFormatting sqref="C4751:C4758">
    <cfRule type="expression" dxfId="6907" priority="1069">
      <formula>$B4751="Subetapa"</formula>
    </cfRule>
  </conditionalFormatting>
  <conditionalFormatting sqref="C4880:C4888 C4833:C4838">
    <cfRule type="expression" dxfId="6906" priority="1044">
      <formula>$B4833="Subetapa"</formula>
    </cfRule>
  </conditionalFormatting>
  <conditionalFormatting sqref="C4942:C4974">
    <cfRule type="expression" dxfId="6905" priority="1075">
      <formula>$B4942="Subetapa"</formula>
    </cfRule>
  </conditionalFormatting>
  <conditionalFormatting sqref="C815:C823">
    <cfRule type="expression" dxfId="6904" priority="907">
      <formula>$B815="Serviço"</formula>
    </cfRule>
    <cfRule type="expression" dxfId="6903" priority="908">
      <formula>$B815="Subetapa"</formula>
    </cfRule>
  </conditionalFormatting>
  <conditionalFormatting sqref="C1256:C1265">
    <cfRule type="expression" dxfId="6902" priority="899">
      <formula>$B1256="Subetapa"</formula>
    </cfRule>
  </conditionalFormatting>
  <conditionalFormatting sqref="C1302:C1310">
    <cfRule type="expression" dxfId="6901" priority="896">
      <formula>$B1302="Serviço"</formula>
    </cfRule>
    <cfRule type="expression" dxfId="6900" priority="897">
      <formula>$B1302="Subetapa"</formula>
    </cfRule>
  </conditionalFormatting>
  <conditionalFormatting sqref="C1358:C1361">
    <cfRule type="expression" dxfId="6899" priority="900">
      <formula>$B1358="Serviço"</formula>
    </cfRule>
    <cfRule type="expression" dxfId="6898" priority="901">
      <formula>$B1358="Subetapa"</formula>
    </cfRule>
  </conditionalFormatting>
  <conditionalFormatting sqref="C1364:C1367">
    <cfRule type="expression" dxfId="6897" priority="902">
      <formula>$B1364="Serviço"</formula>
    </cfRule>
    <cfRule type="expression" dxfId="6896" priority="903">
      <formula>$B1364="Subetapa"</formula>
    </cfRule>
  </conditionalFormatting>
  <conditionalFormatting sqref="C1376:C1384">
    <cfRule type="expression" dxfId="6895" priority="904">
      <formula>$B1376="Subetapa"</formula>
    </cfRule>
  </conditionalFormatting>
  <conditionalFormatting sqref="C2476:C2479">
    <cfRule type="expression" dxfId="6894" priority="891">
      <formula>$B2476="Serviço"</formula>
    </cfRule>
  </conditionalFormatting>
  <conditionalFormatting sqref="C2481:C2484">
    <cfRule type="expression" dxfId="6893" priority="892">
      <formula>$B2481="Serviço"</formula>
    </cfRule>
  </conditionalFormatting>
  <conditionalFormatting sqref="C2486:C2489">
    <cfRule type="expression" dxfId="6892" priority="894">
      <formula>$B2486="Serviço"</formula>
    </cfRule>
  </conditionalFormatting>
  <conditionalFormatting sqref="C2521:C2524">
    <cfRule type="expression" dxfId="6891" priority="893">
      <formula>$B2521="Serviço"</formula>
    </cfRule>
  </conditionalFormatting>
  <conditionalFormatting sqref="C3886:C3889">
    <cfRule type="expression" dxfId="6890" priority="932">
      <formula>$B3886="Subetapa"</formula>
    </cfRule>
  </conditionalFormatting>
  <conditionalFormatting sqref="C3896:C3900">
    <cfRule type="expression" dxfId="6889" priority="930">
      <formula>$B3896="Subetapa"</formula>
    </cfRule>
  </conditionalFormatting>
  <conditionalFormatting sqref="C3907:C3911">
    <cfRule type="expression" dxfId="6888" priority="928">
      <formula>$B3907="Subetapa"</formula>
    </cfRule>
  </conditionalFormatting>
  <conditionalFormatting sqref="C3918:C3922">
    <cfRule type="expression" dxfId="6887" priority="926">
      <formula>$B3918="Subetapa"</formula>
    </cfRule>
  </conditionalFormatting>
  <conditionalFormatting sqref="C3948:C3952">
    <cfRule type="expression" dxfId="6886" priority="922">
      <formula>$B3948="Subetapa"</formula>
    </cfRule>
  </conditionalFormatting>
  <conditionalFormatting sqref="C4005:C4006">
    <cfRule type="expression" dxfId="6885" priority="877">
      <formula>$B4005="Subetapa"</formula>
    </cfRule>
  </conditionalFormatting>
  <conditionalFormatting sqref="C4008:C4009">
    <cfRule type="expression" dxfId="6884" priority="878">
      <formula>$B4008="Subetapa"</formula>
    </cfRule>
  </conditionalFormatting>
  <conditionalFormatting sqref="C4011:C4012">
    <cfRule type="expression" dxfId="6883" priority="879">
      <formula>$B4011="Subetapa"</formula>
    </cfRule>
  </conditionalFormatting>
  <conditionalFormatting sqref="C4014:C4015">
    <cfRule type="expression" dxfId="6882" priority="880">
      <formula>$B4014="Subetapa"</formula>
    </cfRule>
  </conditionalFormatting>
  <conditionalFormatting sqref="C4017:C4018">
    <cfRule type="expression" dxfId="6881" priority="881">
      <formula>$B4017="Subetapa"</formula>
    </cfRule>
  </conditionalFormatting>
  <conditionalFormatting sqref="C4020:C4021">
    <cfRule type="expression" dxfId="6880" priority="882">
      <formula>$B4020="Subetapa"</formula>
    </cfRule>
  </conditionalFormatting>
  <conditionalFormatting sqref="C4042:C4043">
    <cfRule type="expression" dxfId="6879" priority="874">
      <formula>$B4042="Subetapa"</formula>
    </cfRule>
  </conditionalFormatting>
  <conditionalFormatting sqref="C827:C834">
    <cfRule type="expression" dxfId="6878" priority="909">
      <formula>$B827="Serviço"</formula>
    </cfRule>
    <cfRule type="expression" dxfId="6877" priority="910">
      <formula>$B827="Subetapa"</formula>
    </cfRule>
  </conditionalFormatting>
  <conditionalFormatting sqref="C1348:C1355">
    <cfRule type="expression" dxfId="6876" priority="898">
      <formula>$B1348="Subetapa"</formula>
    </cfRule>
  </conditionalFormatting>
  <conditionalFormatting sqref="C1813:C1814">
    <cfRule type="expression" dxfId="6875" priority="1081">
      <formula>$B1813="Subetapa"</formula>
    </cfRule>
  </conditionalFormatting>
  <conditionalFormatting sqref="C2185:C2186">
    <cfRule type="expression" dxfId="6874" priority="1088">
      <formula>$B2185="Subetapa"</formula>
    </cfRule>
  </conditionalFormatting>
  <conditionalFormatting sqref="C2723:C2724">
    <cfRule type="expression" dxfId="6873" priority="890">
      <formula>$B2723="Serviço"</formula>
    </cfRule>
  </conditionalFormatting>
  <conditionalFormatting sqref="C3130:C3136">
    <cfRule type="expression" dxfId="6872" priority="888">
      <formula>$B3130="Subetapa"</formula>
    </cfRule>
  </conditionalFormatting>
  <conditionalFormatting sqref="C3143:C3144">
    <cfRule type="expression" dxfId="6871" priority="956">
      <formula>$B3143="Subetapa"</formula>
    </cfRule>
  </conditionalFormatting>
  <conditionalFormatting sqref="C4105:C4106">
    <cfRule type="expression" dxfId="6870" priority="872">
      <formula>$B4105="Subetapa"</formula>
    </cfRule>
  </conditionalFormatting>
  <conditionalFormatting sqref="C4108:C4109">
    <cfRule type="expression" dxfId="6869" priority="873">
      <formula>$B4108="Subetapa"</formula>
    </cfRule>
  </conditionalFormatting>
  <conditionalFormatting sqref="C4864:C4874">
    <cfRule type="expression" dxfId="6868" priority="1086">
      <formula>$B4864="Subetapa"</formula>
    </cfRule>
  </conditionalFormatting>
  <conditionalFormatting sqref="C4876:C4877">
    <cfRule type="expression" dxfId="6867" priority="1090">
      <formula>$B4876="Subetapa"</formula>
    </cfRule>
  </conditionalFormatting>
  <conditionalFormatting sqref="C3980:C3981">
    <cfRule type="expression" dxfId="6866" priority="887">
      <formula>$B3980="Subetapa"</formula>
    </cfRule>
  </conditionalFormatting>
  <conditionalFormatting sqref="C1419:C1420 C1466:C1473 C1422:C1442 C1444:C1464">
    <cfRule type="expression" dxfId="6865" priority="870">
      <formula>$B1419="Subetapa"</formula>
    </cfRule>
  </conditionalFormatting>
  <conditionalFormatting sqref="C1478:C1485 C1490:C1497 C1503:C1510 C1516:C1523">
    <cfRule type="expression" dxfId="6864" priority="868">
      <formula>$B1478="Subetapa"</formula>
    </cfRule>
  </conditionalFormatting>
  <conditionalFormatting sqref="C1513:C1514">
    <cfRule type="expression" dxfId="6863" priority="866">
      <formula>$B1513="Subetapa"</formula>
    </cfRule>
  </conditionalFormatting>
  <conditionalFormatting sqref="C1513:C1514">
    <cfRule type="expression" dxfId="6862" priority="865">
      <formula>$B1513="Subetapa"</formula>
    </cfRule>
  </conditionalFormatting>
  <conditionalFormatting sqref="C1500:C1501">
    <cfRule type="expression" dxfId="6861" priority="863">
      <formula>$B1500="Subetapa"</formula>
    </cfRule>
  </conditionalFormatting>
  <conditionalFormatting sqref="C1500:C1501">
    <cfRule type="expression" dxfId="6860" priority="862">
      <formula>$B1500="Subetapa"</formula>
    </cfRule>
  </conditionalFormatting>
  <conditionalFormatting sqref="C1524:C1525 C1527:C1534">
    <cfRule type="expression" dxfId="6859" priority="861">
      <formula>$B1524="Subetapa"</formula>
    </cfRule>
  </conditionalFormatting>
  <conditionalFormatting sqref="C2826:C2827 C2835:C2840">
    <cfRule type="expression" dxfId="6858" priority="851">
      <formula>$B2826="Serviço"</formula>
    </cfRule>
  </conditionalFormatting>
  <conditionalFormatting sqref="C2826:C2827 C2835:C2840">
    <cfRule type="expression" dxfId="6857" priority="852">
      <formula>$B2826="Subetapa"</formula>
    </cfRule>
  </conditionalFormatting>
  <conditionalFormatting sqref="C3173:C3174">
    <cfRule type="expression" dxfId="6856" priority="825">
      <formula>$B3173="Subetapa"</formula>
    </cfRule>
  </conditionalFormatting>
  <conditionalFormatting sqref="C3170:C3171">
    <cfRule type="expression" dxfId="6855" priority="823">
      <formula>$B3170="Subetapa"</formula>
    </cfRule>
  </conditionalFormatting>
  <conditionalFormatting sqref="C3167:C3168">
    <cfRule type="expression" dxfId="6854" priority="822">
      <formula>$B3167="Subetapa"</formula>
    </cfRule>
  </conditionalFormatting>
  <conditionalFormatting sqref="C3164:C3165">
    <cfRule type="expression" dxfId="6853" priority="820">
      <formula>$B3164="Subetapa"</formula>
    </cfRule>
  </conditionalFormatting>
  <conditionalFormatting sqref="C3161:C3162">
    <cfRule type="expression" dxfId="6852" priority="818">
      <formula>$B3161="Subetapa"</formula>
    </cfRule>
  </conditionalFormatting>
  <conditionalFormatting sqref="C3158:C3159">
    <cfRule type="expression" dxfId="6851" priority="817">
      <formula>$B3158="Subetapa"</formula>
    </cfRule>
  </conditionalFormatting>
  <conditionalFormatting sqref="C3656:C3657">
    <cfRule type="expression" dxfId="6850" priority="816">
      <formula>$B3656="Subetapa"</formula>
    </cfRule>
  </conditionalFormatting>
  <conditionalFormatting sqref="C3966:C3967">
    <cfRule type="expression" dxfId="6849" priority="814">
      <formula>$B3966="Subetapa"</formula>
    </cfRule>
  </conditionalFormatting>
  <conditionalFormatting sqref="C4035:C4036">
    <cfRule type="expression" dxfId="6848" priority="812">
      <formula>$B4035="Subetapa"</formula>
    </cfRule>
  </conditionalFormatting>
  <conditionalFormatting sqref="C4669:C4670">
    <cfRule type="expression" dxfId="6847" priority="810">
      <formula>$B4669="Subetapa"</formula>
    </cfRule>
  </conditionalFormatting>
  <conditionalFormatting sqref="C4676:C4677">
    <cfRule type="expression" dxfId="6846" priority="808">
      <formula>$B4676="Subetapa"</formula>
    </cfRule>
  </conditionalFormatting>
  <conditionalFormatting sqref="C1023:C1030 C1036:C1043 C1049:C1056 C1062:C1069">
    <cfRule type="expression" dxfId="6845" priority="804">
      <formula>$B1023="Serviço"</formula>
    </cfRule>
  </conditionalFormatting>
  <conditionalFormatting sqref="C1023:C1030 C1036:C1043 C1049:C1056 C1062:C1069">
    <cfRule type="expression" dxfId="6844" priority="805">
      <formula>$B1023="Subetapa"</formula>
    </cfRule>
  </conditionalFormatting>
  <conditionalFormatting sqref="C1114:C1121">
    <cfRule type="expression" dxfId="6843" priority="802">
      <formula>$B1114="Serviço"</formula>
    </cfRule>
  </conditionalFormatting>
  <conditionalFormatting sqref="C1114:C1121">
    <cfRule type="expression" dxfId="6842" priority="803">
      <formula>$B1114="Subetapa"</formula>
    </cfRule>
  </conditionalFormatting>
  <conditionalFormatting sqref="C1143:C1150 C1158:C1165">
    <cfRule type="expression" dxfId="6841" priority="800">
      <formula>$B1143="Serviço"</formula>
    </cfRule>
  </conditionalFormatting>
  <conditionalFormatting sqref="C1143:C1150 C1158:C1165">
    <cfRule type="expression" dxfId="6840" priority="801">
      <formula>$B1143="Subetapa"</formula>
    </cfRule>
  </conditionalFormatting>
  <conditionalFormatting sqref="C1129:C1136">
    <cfRule type="expression" dxfId="6839" priority="798">
      <formula>$B1129="Serviço"</formula>
    </cfRule>
  </conditionalFormatting>
  <conditionalFormatting sqref="C1129:C1136">
    <cfRule type="expression" dxfId="6838" priority="799">
      <formula>$B1129="Subetapa"</formula>
    </cfRule>
  </conditionalFormatting>
  <conditionalFormatting sqref="A3879:B3879">
    <cfRule type="expression" dxfId="6837" priority="794">
      <formula>$B3879="Subetapa"</formula>
    </cfRule>
  </conditionalFormatting>
  <conditionalFormatting sqref="B3875:B3877 B3881:B3882">
    <cfRule type="expression" dxfId="6836" priority="784">
      <formula>$B3875="Subetapa"</formula>
    </cfRule>
  </conditionalFormatting>
  <conditionalFormatting sqref="D3875:F3875 D3876:D3877 F3876:F3877 F3881:F3882 D3881:D3882">
    <cfRule type="expression" dxfId="6835" priority="785">
      <formula>$B3875="Subetapa"</formula>
    </cfRule>
  </conditionalFormatting>
  <conditionalFormatting sqref="A3875:A3877 A3881:A3882">
    <cfRule type="expression" dxfId="6834" priority="776">
      <formula>$B3875="Subetapa"</formula>
    </cfRule>
  </conditionalFormatting>
  <conditionalFormatting sqref="F3878 B3878 D3878">
    <cfRule type="expression" dxfId="6833" priority="773">
      <formula>$B3878="Subetapa"</formula>
    </cfRule>
  </conditionalFormatting>
  <conditionalFormatting sqref="D3879:D3880">
    <cfRule type="expression" dxfId="6832" priority="767">
      <formula>$B3879="Subetapa"</formula>
    </cfRule>
  </conditionalFormatting>
  <conditionalFormatting sqref="D3880">
    <cfRule type="expression" dxfId="6831" priority="763">
      <formula>$B3880="Subetapa"</formula>
    </cfRule>
  </conditionalFormatting>
  <conditionalFormatting sqref="F3880">
    <cfRule type="expression" dxfId="6830" priority="768">
      <formula>$B3880="Subetapa"</formula>
    </cfRule>
  </conditionalFormatting>
  <conditionalFormatting sqref="A3878">
    <cfRule type="expression" dxfId="6829" priority="759">
      <formula>$B3878="Subetapa"</formula>
    </cfRule>
  </conditionalFormatting>
  <conditionalFormatting sqref="G4071:H4071">
    <cfRule type="expression" dxfId="6828" priority="755">
      <formula>$B4071="Subetapa"</formula>
    </cfRule>
  </conditionalFormatting>
  <conditionalFormatting sqref="H3861:H3883">
    <cfRule type="expression" dxfId="6827" priority="751">
      <formula>$B3861="Subetapa"</formula>
    </cfRule>
  </conditionalFormatting>
  <conditionalFormatting sqref="G4495">
    <cfRule type="expression" dxfId="6826" priority="668">
      <formula>$B4495="Subetapa"</formula>
    </cfRule>
  </conditionalFormatting>
  <conditionalFormatting sqref="G4495">
    <cfRule type="expression" dxfId="6825" priority="667">
      <formula>$B4495="Serviço"</formula>
    </cfRule>
  </conditionalFormatting>
  <conditionalFormatting sqref="E768:E770">
    <cfRule type="expression" dxfId="6824" priority="666">
      <formula>$B768="Subetapa"</formula>
    </cfRule>
  </conditionalFormatting>
  <conditionalFormatting sqref="E1021">
    <cfRule type="expression" dxfId="6823" priority="664">
      <formula>$B1021="Subetapa"</formula>
    </cfRule>
  </conditionalFormatting>
  <conditionalFormatting sqref="I1386:J2041 I2843:J2882 I2526:J2606 I3143:J3176 I4403:J4451 I4455:J4458">
    <cfRule type="expression" dxfId="6822" priority="661">
      <formula>$B1386="Subetapa"</formula>
    </cfRule>
  </conditionalFormatting>
  <conditionalFormatting sqref="I1198:J1385 I4504:J4572">
    <cfRule type="expression" dxfId="6821" priority="659">
      <formula>$B1198="Serviço"</formula>
    </cfRule>
  </conditionalFormatting>
  <conditionalFormatting sqref="I1198:J1385 I4504:J4572">
    <cfRule type="expression" dxfId="6820" priority="660">
      <formula>$B1198="Subetapa"</formula>
    </cfRule>
  </conditionalFormatting>
  <conditionalFormatting sqref="I943:J959">
    <cfRule type="expression" dxfId="6819" priority="475">
      <formula>$B943="Subetapa"</formula>
    </cfRule>
  </conditionalFormatting>
  <conditionalFormatting sqref="I2317:J2330 I2203:J2207">
    <cfRule type="expression" dxfId="6818" priority="603">
      <formula>$B2203="Subetapa"</formula>
    </cfRule>
  </conditionalFormatting>
  <conditionalFormatting sqref="I2379:J2388">
    <cfRule type="expression" dxfId="6817" priority="355">
      <formula>$B2379="Serviço"</formula>
    </cfRule>
  </conditionalFormatting>
  <conditionalFormatting sqref="I2637:J2661">
    <cfRule type="expression" dxfId="6816" priority="467">
      <formula>$B2637="Subetapa"</formula>
    </cfRule>
  </conditionalFormatting>
  <conditionalFormatting sqref="I2662:J2669">
    <cfRule type="expression" dxfId="6815" priority="462">
      <formula>$B2662="Subetapa"</formula>
    </cfRule>
  </conditionalFormatting>
  <conditionalFormatting sqref="I2670:J2672">
    <cfRule type="expression" dxfId="6814" priority="464">
      <formula>$B2670="Subetapa"</formula>
    </cfRule>
  </conditionalFormatting>
  <conditionalFormatting sqref="I2731:J2735">
    <cfRule type="expression" dxfId="6813" priority="466">
      <formula>$B2731="Subetapa"</formula>
    </cfRule>
  </conditionalFormatting>
  <conditionalFormatting sqref="I2737:J2753">
    <cfRule type="expression" dxfId="6812" priority="465">
      <formula>$B2737="Subetapa"</formula>
    </cfRule>
  </conditionalFormatting>
  <conditionalFormatting sqref="I3243:J3246 I3177:J3188">
    <cfRule type="expression" dxfId="6811" priority="348">
      <formula>$B3177="Subetapa"</formula>
    </cfRule>
    <cfRule type="expression" dxfId="6810" priority="349">
      <formula>$B3177="Serviço"</formula>
    </cfRule>
  </conditionalFormatting>
  <conditionalFormatting sqref="I2957:J2960">
    <cfRule type="expression" dxfId="6809" priority="601">
      <formula>$B2957="Subetapa"</formula>
    </cfRule>
  </conditionalFormatting>
  <conditionalFormatting sqref="I3731:J3758">
    <cfRule type="expression" dxfId="6808" priority="458">
      <formula>$B3731="Subetapa"</formula>
    </cfRule>
  </conditionalFormatting>
  <conditionalFormatting sqref="I3767:J3787">
    <cfRule type="expression" dxfId="6807" priority="552">
      <formula>$B3767="Subetapa"</formula>
    </cfRule>
  </conditionalFormatting>
  <conditionalFormatting sqref="I3788:J3793">
    <cfRule type="expression" dxfId="6806" priority="454">
      <formula>$B3788="Subetapa"</formula>
    </cfRule>
  </conditionalFormatting>
  <conditionalFormatting sqref="I3794:J3807">
    <cfRule type="expression" dxfId="6805" priority="529">
      <formula>$B3794="Subetapa"</formula>
    </cfRule>
  </conditionalFormatting>
  <conditionalFormatting sqref="I4078:J4086">
    <cfRule type="expression" dxfId="6804" priority="604">
      <formula>$B4078="Subetapa"</formula>
    </cfRule>
  </conditionalFormatting>
  <conditionalFormatting sqref="I4373:J4402">
    <cfRule type="expression" dxfId="6803" priority="318">
      <formula>$B4373="Subetapa"</formula>
    </cfRule>
    <cfRule type="expression" dxfId="6802" priority="319">
      <formula>$B4373="Serviço"</formula>
    </cfRule>
  </conditionalFormatting>
  <conditionalFormatting sqref="I4686:J4699">
    <cfRule type="expression" dxfId="6801" priority="316">
      <formula>$B4686="Subetapa"</formula>
    </cfRule>
    <cfRule type="expression" dxfId="6800" priority="317">
      <formula>$B4686="Serviço"</formula>
    </cfRule>
  </conditionalFormatting>
  <conditionalFormatting sqref="I3759:J3766 I3816:J3820">
    <cfRule type="expression" dxfId="6799" priority="615">
      <formula>$B3759="Subetapa"</formula>
    </cfRule>
  </conditionalFormatting>
  <conditionalFormatting sqref="I4087:J4097">
    <cfRule type="expression" dxfId="6798" priority="538">
      <formula>$B4087="Subetapa"</formula>
    </cfRule>
  </conditionalFormatting>
  <conditionalFormatting sqref="I4235:J4244">
    <cfRule type="expression" dxfId="6797" priority="517">
      <formula>$B4235="Subetapa"</formula>
    </cfRule>
  </conditionalFormatting>
  <conditionalFormatting sqref="I2277:J2278 I2208:J2211">
    <cfRule type="expression" dxfId="6796" priority="291">
      <formula>$B2208="Subetapa"</formula>
    </cfRule>
  </conditionalFormatting>
  <conditionalFormatting sqref="I3709:J3713">
    <cfRule type="expression" dxfId="6795" priority="298">
      <formula>$B3709="Subetapa"</formula>
    </cfRule>
  </conditionalFormatting>
  <conditionalFormatting sqref="I3725:J3730 I3715:J3721">
    <cfRule type="expression" dxfId="6794" priority="294">
      <formula>$B3715="Subetapa"</formula>
    </cfRule>
  </conditionalFormatting>
  <conditionalFormatting sqref="I4023:J4028">
    <cfRule type="expression" dxfId="6793" priority="293">
      <formula>$B4023="Subetapa"</formula>
    </cfRule>
  </conditionalFormatting>
  <conditionalFormatting sqref="I4272:J4276">
    <cfRule type="expression" dxfId="6792" priority="452">
      <formula>$B4272="Subetapa"</formula>
    </cfRule>
  </conditionalFormatting>
  <conditionalFormatting sqref="I153:J213 I215:J217">
    <cfRule type="expression" dxfId="6791" priority="440">
      <formula>$B153="Subetapa"</formula>
    </cfRule>
  </conditionalFormatting>
  <conditionalFormatting sqref="I903:J907">
    <cfRule type="expression" dxfId="6790" priority="394">
      <formula>$B903="Subetapa"</formula>
    </cfRule>
  </conditionalFormatting>
  <conditionalFormatting sqref="I2267:J2268 I2274:J2275 I2212:J2261">
    <cfRule type="expression" dxfId="6789" priority="398">
      <formula>$B2212="Serviço"</formula>
    </cfRule>
  </conditionalFormatting>
  <conditionalFormatting sqref="I2817:J2831 I2835:J2842">
    <cfRule type="expression" dxfId="6788" priority="459">
      <formula>$B2817="Subetapa"</formula>
    </cfRule>
  </conditionalFormatting>
  <conditionalFormatting sqref="I2883:J2884">
    <cfRule type="expression" dxfId="6787" priority="347">
      <formula>$B2883="Serviço"</formula>
    </cfRule>
  </conditionalFormatting>
  <conditionalFormatting sqref="I2912:J2935">
    <cfRule type="expression" dxfId="6786" priority="543">
      <formula>$B2912="Subetapa"</formula>
    </cfRule>
  </conditionalFormatting>
  <conditionalFormatting sqref="I3821:J3850">
    <cfRule type="expression" dxfId="6785" priority="447">
      <formula>$B3821="Subetapa"</formula>
    </cfRule>
  </conditionalFormatting>
  <conditionalFormatting sqref="I4058:J4067">
    <cfRule type="expression" dxfId="6784" priority="484">
      <formula>$B4058="Subetapa"</formula>
    </cfRule>
  </conditionalFormatting>
  <conditionalFormatting sqref="I4573:J4585">
    <cfRule type="expression" dxfId="6783" priority="523">
      <formula>$B4573="Subetapa"</formula>
    </cfRule>
  </conditionalFormatting>
  <conditionalFormatting sqref="I4598:J4609">
    <cfRule type="expression" dxfId="6782" priority="297">
      <formula>$B4598="Subetapa"</formula>
    </cfRule>
  </conditionalFormatting>
  <conditionalFormatting sqref="I4725:J4790 I5013:J5019">
    <cfRule type="expression" dxfId="6781" priority="617">
      <formula>$B4725="Subetapa"</formula>
    </cfRule>
  </conditionalFormatting>
  <conditionalFormatting sqref="I661:J664">
    <cfRule type="expression" dxfId="6780" priority="378">
      <formula>$B661="Serviço"</formula>
    </cfRule>
  </conditionalFormatting>
  <conditionalFormatting sqref="I964:J969 I960:J962">
    <cfRule type="expression" dxfId="6779" priority="493">
      <formula>$B960="Subetapa"</formula>
    </cfRule>
  </conditionalFormatting>
  <conditionalFormatting sqref="I2042:J2052">
    <cfRule type="expression" dxfId="6778" priority="304">
      <formula>$B2042="Subetapa"</formula>
    </cfRule>
  </conditionalFormatting>
  <conditionalFormatting sqref="I2937:J2956">
    <cfRule type="expression" dxfId="6777" priority="307">
      <formula>$B2937="Subetapa"</formula>
    </cfRule>
  </conditionalFormatting>
  <conditionalFormatting sqref="I1169:J1174">
    <cfRule type="expression" dxfId="6776" priority="305">
      <formula>$B1169="Subetapa"</formula>
    </cfRule>
  </conditionalFormatting>
  <conditionalFormatting sqref="I2120:J2125">
    <cfRule type="expression" dxfId="6775" priority="303">
      <formula>$B2120="Subetapa"</formula>
    </cfRule>
  </conditionalFormatting>
  <conditionalFormatting sqref="I2127:J2132">
    <cfRule type="expression" dxfId="6774" priority="302">
      <formula>$B2127="Subetapa"</formula>
    </cfRule>
  </conditionalFormatting>
  <conditionalFormatting sqref="I2134:J2143">
    <cfRule type="expression" dxfId="6773" priority="301">
      <formula>$B2134="Subetapa"</formula>
    </cfRule>
  </conditionalFormatting>
  <conditionalFormatting sqref="I2356:J2357">
    <cfRule type="expression" dxfId="6772" priority="300">
      <formula>$B2356="Subetapa"</formula>
    </cfRule>
  </conditionalFormatting>
  <conditionalFormatting sqref="I2692:J2718">
    <cfRule type="expression" dxfId="6771" priority="296">
      <formula>$B2692="Subetapa"</formula>
    </cfRule>
  </conditionalFormatting>
  <conditionalFormatting sqref="I2885:J2889 I2905:J2910">
    <cfRule type="expression" dxfId="6770" priority="295">
      <formula>$B2885="Subetapa"</formula>
    </cfRule>
  </conditionalFormatting>
  <conditionalFormatting sqref="I3023:J3046">
    <cfRule type="expression" dxfId="6769" priority="306">
      <formula>$B3023="Subetapa"</formula>
    </cfRule>
  </conditionalFormatting>
  <conditionalFormatting sqref="I3191:J3194">
    <cfRule type="expression" dxfId="6768" priority="299">
      <formula>$B3191="Subetapa"</formula>
    </cfRule>
  </conditionalFormatting>
  <conditionalFormatting sqref="I4701:J4702">
    <cfRule type="expression" dxfId="6767" priority="292">
      <formula>$B4701="Subetapa"</formula>
    </cfRule>
  </conditionalFormatting>
  <conditionalFormatting sqref="I3065:J3088">
    <cfRule type="expression" dxfId="6766" priority="310">
      <formula>$B3065="Subetapa"</formula>
    </cfRule>
  </conditionalFormatting>
  <conditionalFormatting sqref="I461:J463">
    <cfRule type="expression" dxfId="6765" priority="385">
      <formula>$B461="Subetapa"</formula>
    </cfRule>
    <cfRule type="expression" dxfId="6764" priority="386">
      <formula>$B461="Serviço"</formula>
    </cfRule>
  </conditionalFormatting>
  <conditionalFormatting sqref="I473:J476">
    <cfRule type="expression" dxfId="6763" priority="383">
      <formula>$B473="Subetapa"</formula>
    </cfRule>
    <cfRule type="expression" dxfId="6762" priority="384">
      <formula>$B473="Serviço"</formula>
    </cfRule>
  </conditionalFormatting>
  <conditionalFormatting sqref="I500:J501">
    <cfRule type="expression" dxfId="6761" priority="381">
      <formula>$B500="Subetapa"</formula>
    </cfRule>
    <cfRule type="expression" dxfId="6760" priority="382">
      <formula>$B500="Serviço"</formula>
    </cfRule>
  </conditionalFormatting>
  <conditionalFormatting sqref="I621:J639">
    <cfRule type="expression" dxfId="6759" priority="379">
      <formula>$B621="Subetapa"</formula>
    </cfRule>
    <cfRule type="expression" dxfId="6758" priority="380">
      <formula>$B621="Serviço"</formula>
    </cfRule>
  </conditionalFormatting>
  <conditionalFormatting sqref="I661:J664">
    <cfRule type="expression" dxfId="6757" priority="377">
      <formula>$B661="Subetapa"</formula>
    </cfRule>
  </conditionalFormatting>
  <conditionalFormatting sqref="I738:J741">
    <cfRule type="expression" dxfId="6756" priority="375">
      <formula>$B738="Subetapa"</formula>
    </cfRule>
    <cfRule type="expression" dxfId="6755" priority="376">
      <formula>$B738="Serviço"</formula>
    </cfRule>
  </conditionalFormatting>
  <conditionalFormatting sqref="I759:J762">
    <cfRule type="expression" dxfId="6754" priority="373">
      <formula>$B759="Subetapa"</formula>
    </cfRule>
    <cfRule type="expression" dxfId="6753" priority="374">
      <formula>$B759="Serviço"</formula>
    </cfRule>
  </conditionalFormatting>
  <conditionalFormatting sqref="I779:J786">
    <cfRule type="expression" dxfId="6752" priority="387">
      <formula>$B779="Subetapa"</formula>
    </cfRule>
    <cfRule type="expression" dxfId="6751" priority="388">
      <formula>$B779="Serviço"</formula>
    </cfRule>
  </conditionalFormatting>
  <conditionalFormatting sqref="I814:J834">
    <cfRule type="expression" dxfId="6750" priority="371">
      <formula>$B814="Subetapa"</formula>
    </cfRule>
    <cfRule type="expression" dxfId="6749" priority="372">
      <formula>$B814="Serviço"</formula>
    </cfRule>
  </conditionalFormatting>
  <conditionalFormatting sqref="I835:J838">
    <cfRule type="expression" dxfId="6748" priority="369">
      <formula>$B835="Subetapa"</formula>
    </cfRule>
    <cfRule type="expression" dxfId="6747" priority="370">
      <formula>$B835="Serviço"</formula>
    </cfRule>
  </conditionalFormatting>
  <conditionalFormatting sqref="I879:J884">
    <cfRule type="expression" dxfId="6746"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45" priority="367">
      <formula>$B885="Serviço"</formula>
    </cfRule>
  </conditionalFormatting>
  <conditionalFormatting sqref="I885:J896">
    <cfRule type="expression" dxfId="6744" priority="366">
      <formula>$B885="Subetapa"</formula>
    </cfRule>
  </conditionalFormatting>
  <conditionalFormatting sqref="I918:J929 I879:J884">
    <cfRule type="expression" dxfId="6743" priority="390">
      <formula>$B879="Serviço"</formula>
    </cfRule>
  </conditionalFormatting>
  <conditionalFormatting sqref="I918:J929">
    <cfRule type="expression" dxfId="6742" priority="389">
      <formula>$B918="Subetapa"</formula>
    </cfRule>
  </conditionalFormatting>
  <conditionalFormatting sqref="I931:J942">
    <cfRule type="expression" dxfId="6741" priority="392">
      <formula>$B931="Subetapa"</formula>
    </cfRule>
    <cfRule type="expression" dxfId="6740" priority="393">
      <formula>$B931="Serviço"</formula>
    </cfRule>
  </conditionalFormatting>
  <conditionalFormatting sqref="I1175:J1185">
    <cfRule type="expression" dxfId="6739" priority="364">
      <formula>$B1175="Subetapa"</formula>
    </cfRule>
    <cfRule type="expression" dxfId="6738"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37" priority="368">
      <formula>$B2470="Subetapa"</formula>
    </cfRule>
  </conditionalFormatting>
  <conditionalFormatting sqref="I2181:J2187">
    <cfRule type="expression" dxfId="6736" priority="633">
      <formula>$B2181="Subetapa"</formula>
    </cfRule>
  </conditionalFormatting>
  <conditionalFormatting sqref="I2189:J2202">
    <cfRule type="expression" dxfId="6735" priority="634">
      <formula>$B2189="Subetapa"</formula>
    </cfRule>
  </conditionalFormatting>
  <conditionalFormatting sqref="I2267:J2268 I2274:J2275 I2212:J2261">
    <cfRule type="expression" dxfId="6734" priority="397">
      <formula>$B2212="Subetapa"</formula>
    </cfRule>
  </conditionalFormatting>
  <conditionalFormatting sqref="I2331:J2334">
    <cfRule type="expression" dxfId="6733" priority="560">
      <formula>$B2331="Subetapa"</formula>
    </cfRule>
  </conditionalFormatting>
  <conditionalFormatting sqref="I2335:J2337 I3561:J3565">
    <cfRule type="expression" dxfId="6732" priority="599">
      <formula>$B2335="Subetapa"</formula>
    </cfRule>
  </conditionalFormatting>
  <conditionalFormatting sqref="I2338:J2341">
    <cfRule type="expression" dxfId="6731" priority="362">
      <formula>$B2338="Subetapa"</formula>
    </cfRule>
    <cfRule type="expression" dxfId="6730" priority="363">
      <formula>$B2338="Serviço"</formula>
    </cfRule>
  </conditionalFormatting>
  <conditionalFormatting sqref="I2344:J2346 I2351:J2355">
    <cfRule type="expression" dxfId="6729" priority="562">
      <formula>$B2344="Subetapa"</formula>
    </cfRule>
  </conditionalFormatting>
  <conditionalFormatting sqref="I2347:J2348">
    <cfRule type="expression" dxfId="6728" priority="360">
      <formula>$B2347="Subetapa"</formula>
    </cfRule>
    <cfRule type="expression" dxfId="6727" priority="361">
      <formula>$B2347="Serviço"</formula>
    </cfRule>
  </conditionalFormatting>
  <conditionalFormatting sqref="I2349:J2350">
    <cfRule type="expression" dxfId="6726" priority="358">
      <formula>$B2349="Subetapa"</formula>
    </cfRule>
    <cfRule type="expression" dxfId="6725" priority="359">
      <formula>$B2349="Serviço"</formula>
    </cfRule>
  </conditionalFormatting>
  <conditionalFormatting sqref="I2359:J2367 I2369:J2373">
    <cfRule type="expression" dxfId="6724" priority="620">
      <formula>$B2359="Subetapa"</formula>
    </cfRule>
  </conditionalFormatting>
  <conditionalFormatting sqref="I2374:J2378">
    <cfRule type="expression" dxfId="6723" priority="356">
      <formula>$B2374="Subetapa"</formula>
    </cfRule>
    <cfRule type="expression" dxfId="6722" priority="357">
      <formula>$B2374="Serviço"</formula>
    </cfRule>
  </conditionalFormatting>
  <conditionalFormatting sqref="I2379:J2388">
    <cfRule type="expression" dxfId="6721" priority="354">
      <formula>$B2379="Subetapa"</formula>
    </cfRule>
  </conditionalFormatting>
  <conditionalFormatting sqref="I2765:J2767">
    <cfRule type="expression" dxfId="6720" priority="352">
      <formula>$B2765="Subetapa"</formula>
    </cfRule>
    <cfRule type="expression" dxfId="6719" priority="353">
      <formula>$B2765="Serviço"</formula>
    </cfRule>
  </conditionalFormatting>
  <conditionalFormatting sqref="I2806:J2816">
    <cfRule type="expression" dxfId="6718" priority="350">
      <formula>$B2806="Subetapa"</formula>
    </cfRule>
    <cfRule type="expression" dxfId="6717" priority="351">
      <formula>$B2806="Serviço"</formula>
    </cfRule>
  </conditionalFormatting>
  <conditionalFormatting sqref="I2883:J2884">
    <cfRule type="expression" dxfId="6716" priority="346">
      <formula>$B2883="Subetapa"</formula>
    </cfRule>
  </conditionalFormatting>
  <conditionalFormatting sqref="I3056:J3063">
    <cfRule type="expression" dxfId="6715" priority="344">
      <formula>$B3056="Subetapa"</formula>
    </cfRule>
    <cfRule type="expression" dxfId="6714" priority="345">
      <formula>$B3056="Serviço"</formula>
    </cfRule>
  </conditionalFormatting>
  <conditionalFormatting sqref="I3089:J3092 I3099:J3106">
    <cfRule type="expression" dxfId="6713" priority="635">
      <formula>$B3089="Subetapa"</formula>
    </cfRule>
  </conditionalFormatting>
  <conditionalFormatting sqref="I3097:J3098">
    <cfRule type="expression" dxfId="6712" priority="342">
      <formula>$B3097="Subetapa"</formula>
    </cfRule>
    <cfRule type="expression" dxfId="6711" priority="343">
      <formula>$B3097="Serviço"</formula>
    </cfRule>
  </conditionalFormatting>
  <conditionalFormatting sqref="I3129:J3136">
    <cfRule type="expression" dxfId="6710" priority="340">
      <formula>$B3129="Subetapa"</formula>
    </cfRule>
    <cfRule type="expression" dxfId="6709" priority="341">
      <formula>$B3129="Serviço"</formula>
    </cfRule>
  </conditionalFormatting>
  <conditionalFormatting sqref="I3350:J3379">
    <cfRule type="expression" dxfId="6708" priority="549">
      <formula>$B3350="Subetapa"</formula>
    </cfRule>
  </conditionalFormatting>
  <conditionalFormatting sqref="I3380:J3469">
    <cfRule type="expression" dxfId="6707" priority="551">
      <formula>$B3380="Subetapa"</formula>
    </cfRule>
  </conditionalFormatting>
  <conditionalFormatting sqref="I3577:J3588 I3618:J3622">
    <cfRule type="expression" dxfId="6706" priority="546">
      <formula>$B3577="Subetapa"</formula>
    </cfRule>
  </conditionalFormatting>
  <conditionalFormatting sqref="I3674:J3678">
    <cfRule type="expression" dxfId="6705" priority="338">
      <formula>$B3674="Subetapa"</formula>
    </cfRule>
    <cfRule type="expression" dxfId="6704" priority="339">
      <formula>$B3674="Serviço"</formula>
    </cfRule>
  </conditionalFormatting>
  <conditionalFormatting sqref="I3684:J3688">
    <cfRule type="expression" dxfId="6703" priority="336">
      <formula>$B3684="Subetapa"</formula>
    </cfRule>
    <cfRule type="expression" dxfId="6702" priority="337">
      <formula>$B3684="Serviço"</formula>
    </cfRule>
  </conditionalFormatting>
  <conditionalFormatting sqref="I3699:J3708">
    <cfRule type="expression" dxfId="6701" priority="334">
      <formula>$B3699="Subetapa"</formula>
    </cfRule>
    <cfRule type="expression" dxfId="6700" priority="335">
      <formula>$B3699="Serviço"</formula>
    </cfRule>
  </conditionalFormatting>
  <conditionalFormatting sqref="I3722:J3724">
    <cfRule type="expression" dxfId="6699" priority="332">
      <formula>$B3722="Subetapa"</formula>
    </cfRule>
    <cfRule type="expression" dxfId="6698" priority="333">
      <formula>$B3722="Serviço"</formula>
    </cfRule>
  </conditionalFormatting>
  <conditionalFormatting sqref="I3808:J3815">
    <cfRule type="expression" dxfId="6697" priority="330">
      <formula>$B3808="Subetapa"</formula>
    </cfRule>
    <cfRule type="expression" dxfId="6696" priority="331">
      <formula>$B3808="Serviço"</formula>
    </cfRule>
  </conditionalFormatting>
  <conditionalFormatting sqref="I3859:J3884">
    <cfRule type="expression" dxfId="6695" priority="409">
      <formula>$B3859="Subetapa"</formula>
    </cfRule>
  </conditionalFormatting>
  <conditionalFormatting sqref="I3890:J3891">
    <cfRule type="expression" dxfId="6694" priority="411">
      <formula>$B3890="Subetapa"</formula>
    </cfRule>
  </conditionalFormatting>
  <conditionalFormatting sqref="I3891:J3892">
    <cfRule type="expression" dxfId="6693" priority="410">
      <formula>$B3891="Subetapa"</formula>
    </cfRule>
  </conditionalFormatting>
  <conditionalFormatting sqref="I3901:J3902">
    <cfRule type="expression" dxfId="6692" priority="413">
      <formula>$B3901="Subetapa"</formula>
    </cfRule>
  </conditionalFormatting>
  <conditionalFormatting sqref="I3902:J3903">
    <cfRule type="expression" dxfId="6691" priority="412">
      <formula>$B3902="Subetapa"</formula>
    </cfRule>
  </conditionalFormatting>
  <conditionalFormatting sqref="I3912:J3913">
    <cfRule type="expression" dxfId="6690" priority="415">
      <formula>$B3912="Subetapa"</formula>
    </cfRule>
  </conditionalFormatting>
  <conditionalFormatting sqref="I3913:J3914">
    <cfRule type="expression" dxfId="6689" priority="414">
      <formula>$B3913="Subetapa"</formula>
    </cfRule>
  </conditionalFormatting>
  <conditionalFormatting sqref="I3923:J3924">
    <cfRule type="expression" dxfId="6688" priority="417">
      <formula>$B3923="Subetapa"</formula>
    </cfRule>
  </conditionalFormatting>
  <conditionalFormatting sqref="I3924:J3925">
    <cfRule type="expression" dxfId="6687" priority="416">
      <formula>$B3924="Subetapa"</formula>
    </cfRule>
  </conditionalFormatting>
  <conditionalFormatting sqref="I3933:J3934">
    <cfRule type="expression" dxfId="6686" priority="420">
      <formula>$B3933="Subetapa"</formula>
    </cfRule>
  </conditionalFormatting>
  <conditionalFormatting sqref="I3934:J3935">
    <cfRule type="expression" dxfId="6685" priority="419">
      <formula>$B3934="Subetapa"</formula>
    </cfRule>
  </conditionalFormatting>
  <conditionalFormatting sqref="I3935:J3936">
    <cfRule type="expression" dxfId="6684" priority="418">
      <formula>$B3935="Subetapa"</formula>
    </cfRule>
  </conditionalFormatting>
  <conditionalFormatting sqref="I3939:J3941">
    <cfRule type="expression" dxfId="6683" priority="636">
      <formula>$B3939="Subetapa"</formula>
    </cfRule>
  </conditionalFormatting>
  <conditionalFormatting sqref="I3953:J3954">
    <cfRule type="expression" dxfId="6682" priority="407">
      <formula>$B3953="Subetapa"</formula>
    </cfRule>
  </conditionalFormatting>
  <conditionalFormatting sqref="I3954:J3955">
    <cfRule type="expression" dxfId="6681" priority="406">
      <formula>$B3954="Subetapa"</formula>
    </cfRule>
  </conditionalFormatting>
  <conditionalFormatting sqref="I4041:J4043 I4051:J4056">
    <cfRule type="expression" dxfId="6680" priority="328">
      <formula>$B4041="Subetapa"</formula>
    </cfRule>
    <cfRule type="expression" dxfId="6679" priority="329">
      <formula>$B4041="Serviço"</formula>
    </cfRule>
  </conditionalFormatting>
  <conditionalFormatting sqref="I4068:J4077">
    <cfRule type="expression" dxfId="6678" priority="525">
      <formula>$B4068="Subetapa"</formula>
    </cfRule>
  </conditionalFormatting>
  <conditionalFormatting sqref="I4122:J4124">
    <cfRule type="expression" dxfId="6677" priority="324">
      <formula>$B4122="Subetapa"</formula>
    </cfRule>
    <cfRule type="expression" dxfId="6676" priority="325">
      <formula>$B4122="Serviço"</formula>
    </cfRule>
  </conditionalFormatting>
  <conditionalFormatting sqref="I4125:J4132">
    <cfRule type="expression" dxfId="6675" priority="537">
      <formula>$B4125="Subetapa"</formula>
    </cfRule>
  </conditionalFormatting>
  <conditionalFormatting sqref="I4152:J4155">
    <cfRule type="expression" dxfId="6674" priority="637">
      <formula>$B4152="Subetapa"</formula>
    </cfRule>
  </conditionalFormatting>
  <conditionalFormatting sqref="I4156:J4161">
    <cfRule type="expression" dxfId="6673" priority="322">
      <formula>$B4156="Subetapa"</formula>
    </cfRule>
    <cfRule type="expression" dxfId="6672" priority="323">
      <formula>$B4156="Serviço"</formula>
    </cfRule>
  </conditionalFormatting>
  <conditionalFormatting sqref="I4187:J4201">
    <cfRule type="expression" dxfId="6671" priority="621">
      <formula>$B4187="Subetapa"</formula>
    </cfRule>
  </conditionalFormatting>
  <conditionalFormatting sqref="I4245:J4248">
    <cfRule type="expression" dxfId="6670" priority="320">
      <formula>$B4245="Subetapa"</formula>
    </cfRule>
    <cfRule type="expression" dxfId="6669" priority="321">
      <formula>$B4245="Serviço"</formula>
    </cfRule>
  </conditionalFormatting>
  <conditionalFormatting sqref="I4279:J4282">
    <cfRule type="expression" dxfId="6668" priority="513">
      <formula>$B4279="Subetapa"</formula>
    </cfRule>
  </conditionalFormatting>
  <conditionalFormatting sqref="I4328:J4333">
    <cfRule type="expression" dxfId="6667" priority="629">
      <formula>$B4328="Subetapa"</formula>
    </cfRule>
  </conditionalFormatting>
  <conditionalFormatting sqref="I4334:J4370">
    <cfRule type="expression" dxfId="6666" priority="519">
      <formula>$B4334="Subetapa"</formula>
    </cfRule>
  </conditionalFormatting>
  <conditionalFormatting sqref="I4434:J4436">
    <cfRule type="expression" dxfId="6665" priority="638">
      <formula>$B4434="Subetapa"</formula>
    </cfRule>
  </conditionalFormatting>
  <conditionalFormatting sqref="I4459:J4460">
    <cfRule type="expression" dxfId="6664" priority="630">
      <formula>$B4459="Subetapa"</formula>
    </cfRule>
  </conditionalFormatting>
  <conditionalFormatting sqref="I4791:J4800 I4811:J4830">
    <cfRule type="expression" dxfId="6663" priority="640">
      <formula>$B4791="Subetapa"</formula>
    </cfRule>
  </conditionalFormatting>
  <conditionalFormatting sqref="I4801:J4810">
    <cfRule type="expression" dxfId="6662" priority="314">
      <formula>$B4801="Serviço"</formula>
    </cfRule>
    <cfRule type="expression" dxfId="6661" priority="315">
      <formula>$B4801="Subetapa"</formula>
    </cfRule>
  </conditionalFormatting>
  <conditionalFormatting sqref="I4832:J4834">
    <cfRule type="expression" dxfId="6660" priority="641">
      <formula>$B4832="Subetapa"</formula>
    </cfRule>
  </conditionalFormatting>
  <conditionalFormatting sqref="I4918:J4922">
    <cfRule type="expression" dxfId="6659" priority="312">
      <formula>$B4918="Serviço"</formula>
    </cfRule>
    <cfRule type="expression" dxfId="6658" priority="313">
      <formula>$B4918="Subetapa"</formula>
    </cfRule>
  </conditionalFormatting>
  <conditionalFormatting sqref="I4976:J4983">
    <cfRule type="expression" dxfId="6657" priority="326">
      <formula>$B4976="Subetapa"</formula>
    </cfRule>
    <cfRule type="expression" dxfId="6656" priority="327">
      <formula>$B4976="Serviço"</formula>
    </cfRule>
  </conditionalFormatting>
  <conditionalFormatting sqref="I345:J360 I370:J383 I385:J460">
    <cfRule type="expression" dxfId="6655" priority="479">
      <formula>$B345="Subetapa"</formula>
    </cfRule>
  </conditionalFormatting>
  <conditionalFormatting sqref="I1186:J1197">
    <cfRule type="expression" dxfId="6654" priority="311">
      <formula>$B1186="Subetapa"</formula>
    </cfRule>
  </conditionalFormatting>
  <conditionalFormatting sqref="I2053:J2119">
    <cfRule type="expression" dxfId="6653" priority="468">
      <formula>$B2053="Subetapa"</formula>
    </cfRule>
  </conditionalFormatting>
  <conditionalFormatting sqref="I2755:J2756">
    <cfRule type="expression" dxfId="6652" priority="460">
      <formula>$B2755="Subetapa"</formula>
    </cfRule>
  </conditionalFormatting>
  <conditionalFormatting sqref="I2770:J2771">
    <cfRule type="expression" dxfId="6651" priority="405">
      <formula>$B2770="Subetapa"</formula>
    </cfRule>
  </conditionalFormatting>
  <conditionalFormatting sqref="I3048:J3055">
    <cfRule type="expression" dxfId="6650" priority="309">
      <formula>$B3048="Subetapa"</formula>
    </cfRule>
  </conditionalFormatting>
  <conditionalFormatting sqref="I3623:J3673">
    <cfRule type="expression" dxfId="6649" priority="455">
      <formula>$B3623="Subetapa"</formula>
    </cfRule>
  </conditionalFormatting>
  <conditionalFormatting sqref="I3679:J3683">
    <cfRule type="expression" dxfId="6648" priority="308">
      <formula>$B3679="Subetapa"</formula>
    </cfRule>
  </conditionalFormatting>
  <conditionalFormatting sqref="I3885:J3889">
    <cfRule type="expression" dxfId="6647" priority="434">
      <formula>$B3885="Subetapa"</formula>
    </cfRule>
  </conditionalFormatting>
  <conditionalFormatting sqref="I3894:J3900">
    <cfRule type="expression" dxfId="6646" priority="431">
      <formula>$B3894="Subetapa"</formula>
    </cfRule>
  </conditionalFormatting>
  <conditionalFormatting sqref="I3905:J3911">
    <cfRule type="expression" dxfId="6645" priority="428">
      <formula>$B3905="Subetapa"</formula>
    </cfRule>
  </conditionalFormatting>
  <conditionalFormatting sqref="I3916:J3922">
    <cfRule type="expression" dxfId="6644" priority="425">
      <formula>$B3916="Subetapa"</formula>
    </cfRule>
  </conditionalFormatting>
  <conditionalFormatting sqref="I3927:J3932 I3937:J3947">
    <cfRule type="expression" dxfId="6643" priority="424">
      <formula>$B3927="Subetapa"</formula>
    </cfRule>
  </conditionalFormatting>
  <conditionalFormatting sqref="I3948:J3952">
    <cfRule type="expression" dxfId="6642" priority="421">
      <formula>$B3948="Subetapa"</formula>
    </cfRule>
  </conditionalFormatting>
  <conditionalFormatting sqref="I3956:J3959 I3962:J3979">
    <cfRule type="expression" dxfId="6641" priority="408">
      <formula>$B3956="Subetapa"</formula>
    </cfRule>
  </conditionalFormatting>
  <conditionalFormatting sqref="I4283:J4301 I4304:J4321">
    <cfRule type="expression" dxfId="6640" priority="444">
      <formula>$B4283="Subetapa"</formula>
    </cfRule>
  </conditionalFormatting>
  <conditionalFormatting sqref="I4703:J4720">
    <cfRule type="expression" dxfId="6639" priority="481">
      <formula>$B4703="Subetapa"</formula>
    </cfRule>
  </conditionalFormatting>
  <conditionalFormatting sqref="I4721:J4724">
    <cfRule type="expression" dxfId="6638" priority="445">
      <formula>$B4721="Subetapa"</formula>
    </cfRule>
  </conditionalFormatting>
  <conditionalFormatting sqref="I4835:J4836 I4840:J4842 I4971:J4974 I4992:J4997 I5009:J5010">
    <cfRule type="expression" dxfId="6637" priority="487">
      <formula>$B4835="Subetapa"</formula>
    </cfRule>
  </conditionalFormatting>
  <conditionalFormatting sqref="I4941:J4957">
    <cfRule type="expression" dxfId="6636" priority="485">
      <formula>$B4941="Subetapa"</formula>
    </cfRule>
  </conditionalFormatting>
  <conditionalFormatting sqref="I4974:J4975 I4984:J4991">
    <cfRule type="expression" dxfId="6635" priority="505">
      <formula>$B4974="Subetapa"</formula>
    </cfRule>
  </conditionalFormatting>
  <conditionalFormatting sqref="I3108:J3128 I3137:J3138">
    <cfRule type="expression" dxfId="6634" priority="499">
      <formula>$B3108="Subetapa"</formula>
    </cfRule>
  </conditionalFormatting>
  <conditionalFormatting sqref="I4460:J4503">
    <cfRule type="expression" dxfId="6633" priority="446">
      <formula>$B4460="Subetapa"</formula>
    </cfRule>
  </conditionalFormatting>
  <conditionalFormatting sqref="I2675:J2681">
    <cfRule type="expression" dxfId="6632" priority="288">
      <formula>$B2675="Subetapa"</formula>
    </cfRule>
  </conditionalFormatting>
  <conditionalFormatting sqref="I2832:J2834">
    <cfRule type="expression" dxfId="6631" priority="286">
      <formula>$B2832="Subetapa"</formula>
    </cfRule>
  </conditionalFormatting>
  <conditionalFormatting sqref="I2895:J2904">
    <cfRule type="expression" dxfId="6630" priority="283">
      <formula>$B2895="Serviço"</formula>
    </cfRule>
  </conditionalFormatting>
  <conditionalFormatting sqref="I2890:J2894">
    <cfRule type="expression" dxfId="6629" priority="284">
      <formula>$B2890="Subetapa"</formula>
    </cfRule>
    <cfRule type="expression" dxfId="6628" priority="285">
      <formula>$B2890="Serviço"</formula>
    </cfRule>
  </conditionalFormatting>
  <conditionalFormatting sqref="I2895:J2904">
    <cfRule type="expression" dxfId="6627" priority="282">
      <formula>$B2895="Subetapa"</formula>
    </cfRule>
  </conditionalFormatting>
  <conditionalFormatting sqref="I3093:J3096">
    <cfRule type="expression" dxfId="6626" priority="281">
      <formula>$B3093="Subetapa"</formula>
    </cfRule>
  </conditionalFormatting>
  <conditionalFormatting sqref="I3275:J3284">
    <cfRule type="expression" dxfId="6625" priority="274">
      <formula>$B3275="Serviço"</formula>
    </cfRule>
  </conditionalFormatting>
  <conditionalFormatting sqref="I3265:J3269">
    <cfRule type="expression" dxfId="6624" priority="278">
      <formula>$B3265="Subetapa"</formula>
    </cfRule>
  </conditionalFormatting>
  <conditionalFormatting sqref="I3270:J3274">
    <cfRule type="expression" dxfId="6623" priority="275">
      <formula>$B3270="Subetapa"</formula>
    </cfRule>
    <cfRule type="expression" dxfId="6622" priority="276">
      <formula>$B3270="Serviço"</formula>
    </cfRule>
  </conditionalFormatting>
  <conditionalFormatting sqref="I3275:J3284">
    <cfRule type="expression" dxfId="6621" priority="273">
      <formula>$B3275="Subetapa"</formula>
    </cfRule>
  </conditionalFormatting>
  <conditionalFormatting sqref="I3589:J3613">
    <cfRule type="expression" dxfId="6620" priority="271">
      <formula>$B3589="Subetapa"</formula>
    </cfRule>
  </conditionalFormatting>
  <conditionalFormatting sqref="I3614:J3617">
    <cfRule type="expression" dxfId="6619" priority="269">
      <formula>$B3614="Subetapa"</formula>
    </cfRule>
  </conditionalFormatting>
  <conditionalFormatting sqref="I3960:J3961">
    <cfRule type="expression" dxfId="6618" priority="265">
      <formula>$B3960="Subetapa"</formula>
    </cfRule>
  </conditionalFormatting>
  <conditionalFormatting sqref="I4031:J4040">
    <cfRule type="expression" dxfId="6617" priority="263">
      <formula>$B4031="Subetapa"</formula>
    </cfRule>
  </conditionalFormatting>
  <conditionalFormatting sqref="I4029:J4030">
    <cfRule type="expression" dxfId="6616" priority="261">
      <formula>$B4029="Subetapa"</formula>
    </cfRule>
  </conditionalFormatting>
  <conditionalFormatting sqref="I4049:J4050">
    <cfRule type="expression" dxfId="6615" priority="259">
      <formula>$B4049="Subetapa"</formula>
    </cfRule>
  </conditionalFormatting>
  <conditionalFormatting sqref="I4044:J4048">
    <cfRule type="expression" dxfId="6614" priority="257">
      <formula>$B4044="Subetapa"</formula>
    </cfRule>
  </conditionalFormatting>
  <conditionalFormatting sqref="I4302:J4303">
    <cfRule type="expression" dxfId="6613" priority="255">
      <formula>$B4302="Subetapa"</formula>
    </cfRule>
    <cfRule type="expression" dxfId="6612" priority="256">
      <formula>$B4302="Serviço"</formula>
    </cfRule>
  </conditionalFormatting>
  <conditionalFormatting sqref="I4592:J4597">
    <cfRule type="expression" dxfId="6611" priority="253">
      <formula>$B4592="Subetapa"</formula>
    </cfRule>
  </conditionalFormatting>
  <conditionalFormatting sqref="I361:J364">
    <cfRule type="expression" dxfId="6610" priority="238">
      <formula>$B361="Subetapa"</formula>
    </cfRule>
  </conditionalFormatting>
  <conditionalFormatting sqref="I1110:J1119 I1155:J1163 I1137:J1138 I1122:J1134">
    <cfRule type="expression" dxfId="6609" priority="233">
      <formula>$B1110="Serviço"</formula>
    </cfRule>
  </conditionalFormatting>
  <conditionalFormatting sqref="I1110:J1119 I1155:J1163 I1137:J1138 I1122:J1134">
    <cfRule type="expression" dxfId="6608" priority="234">
      <formula>$B1110="Subetapa"</formula>
    </cfRule>
  </conditionalFormatting>
  <conditionalFormatting sqref="I1020:J1028 I1031:J1041 I1044:J1054 I1083:J1093 I1096:J1107 I1057:J1067 I1070:J1080">
    <cfRule type="expression" dxfId="6607" priority="231">
      <formula>$B1020="Serviço"</formula>
    </cfRule>
  </conditionalFormatting>
  <conditionalFormatting sqref="I1020:J1028 I1031:J1041 I1044:J1054 I1083:J1093 I1096:J1107 I1057:J1067 I1070:J1080">
    <cfRule type="expression" dxfId="6606" priority="232">
      <formula>$B1020="Subetapa"</formula>
    </cfRule>
  </conditionalFormatting>
  <conditionalFormatting sqref="I1081:J1082">
    <cfRule type="expression" dxfId="6605" priority="229">
      <formula>$B1081="Subetapa"</formula>
    </cfRule>
    <cfRule type="expression" dxfId="6604" priority="230">
      <formula>$B1081="Serviço"</formula>
    </cfRule>
  </conditionalFormatting>
  <conditionalFormatting sqref="I1029:J1030">
    <cfRule type="expression" dxfId="6603" priority="227">
      <formula>$B1029="Subetapa"</formula>
    </cfRule>
    <cfRule type="expression" dxfId="6602" priority="228">
      <formula>$B1029="Serviço"</formula>
    </cfRule>
  </conditionalFormatting>
  <conditionalFormatting sqref="I1042:J1043">
    <cfRule type="expression" dxfId="6601" priority="225">
      <formula>$B1042="Subetapa"</formula>
    </cfRule>
    <cfRule type="expression" dxfId="6600" priority="226">
      <formula>$B1042="Serviço"</formula>
    </cfRule>
  </conditionalFormatting>
  <conditionalFormatting sqref="I1055:J1056">
    <cfRule type="expression" dxfId="6599" priority="223">
      <formula>$B1055="Subetapa"</formula>
    </cfRule>
    <cfRule type="expression" dxfId="6598" priority="224">
      <formula>$B1055="Serviço"</formula>
    </cfRule>
  </conditionalFormatting>
  <conditionalFormatting sqref="I1094:J1095">
    <cfRule type="expression" dxfId="6597" priority="221">
      <formula>$B1094="Subetapa"</formula>
    </cfRule>
    <cfRule type="expression" dxfId="6596" priority="222">
      <formula>$B1094="Serviço"</formula>
    </cfRule>
  </conditionalFormatting>
  <conditionalFormatting sqref="I1108:J1109">
    <cfRule type="expression" dxfId="6595" priority="219">
      <formula>$B1108="Subetapa"</formula>
    </cfRule>
    <cfRule type="expression" dxfId="6594" priority="220">
      <formula>$B1108="Serviço"</formula>
    </cfRule>
  </conditionalFormatting>
  <conditionalFormatting sqref="I1068:J1069">
    <cfRule type="expression" dxfId="6593" priority="217">
      <formula>$B1068="Subetapa"</formula>
    </cfRule>
    <cfRule type="expression" dxfId="6592" priority="218">
      <formula>$B1068="Serviço"</formula>
    </cfRule>
  </conditionalFormatting>
  <conditionalFormatting sqref="I1120:J1121">
    <cfRule type="expression" dxfId="6591" priority="215">
      <formula>$B1120="Subetapa"</formula>
    </cfRule>
    <cfRule type="expression" dxfId="6590" priority="216">
      <formula>$B1120="Serviço"</formula>
    </cfRule>
  </conditionalFormatting>
  <conditionalFormatting sqref="I1149:J1150">
    <cfRule type="expression" dxfId="6589" priority="213">
      <formula>$B1149="Subetapa"</formula>
    </cfRule>
    <cfRule type="expression" dxfId="6588" priority="214">
      <formula>$B1149="Serviço"</formula>
    </cfRule>
  </conditionalFormatting>
  <conditionalFormatting sqref="I1164:J1165">
    <cfRule type="expression" dxfId="6587" priority="211">
      <formula>$B1164="Subetapa"</formula>
    </cfRule>
    <cfRule type="expression" dxfId="6586" priority="212">
      <formula>$B1164="Serviço"</formula>
    </cfRule>
  </conditionalFormatting>
  <conditionalFormatting sqref="I1135:J1136">
    <cfRule type="expression" dxfId="6585" priority="209">
      <formula>$B1135="Subetapa"</formula>
    </cfRule>
    <cfRule type="expression" dxfId="6584" priority="210">
      <formula>$B1135="Serviço"</formula>
    </cfRule>
  </conditionalFormatting>
  <conditionalFormatting sqref="E3876:E3882">
    <cfRule type="expression" dxfId="6583" priority="208">
      <formula>$B3876="Subetapa"</formula>
    </cfRule>
  </conditionalFormatting>
  <conditionalFormatting sqref="B2244:B2259">
    <cfRule type="expression" dxfId="6582"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1" priority="205">
      <formula>$B2244="Serviço"</formula>
    </cfRule>
    <cfRule type="expression" dxfId="6580" priority="206">
      <formula>$B2244="Subetapa"</formula>
    </cfRule>
  </conditionalFormatting>
  <conditionalFormatting sqref="G2244">
    <cfRule type="expression" dxfId="6579" priority="202">
      <formula>$B2244="Subetapa"</formula>
    </cfRule>
  </conditionalFormatting>
  <conditionalFormatting sqref="G2244">
    <cfRule type="expression" dxfId="6578" priority="203">
      <formula>$B2244="Serviço"</formula>
    </cfRule>
  </conditionalFormatting>
  <conditionalFormatting sqref="A2244:A2259">
    <cfRule type="expression" dxfId="6577" priority="201">
      <formula>$B2244="Subetapa"</formula>
    </cfRule>
  </conditionalFormatting>
  <conditionalFormatting sqref="G2253">
    <cfRule type="expression" dxfId="6576" priority="199">
      <formula>$B2253="Subetapa"</formula>
    </cfRule>
  </conditionalFormatting>
  <conditionalFormatting sqref="G2253">
    <cfRule type="expression" dxfId="6575" priority="200">
      <formula>$B2253="Serviço"</formula>
    </cfRule>
  </conditionalFormatting>
  <conditionalFormatting sqref="B2267:B2268 B2260:B2261 B2274:B2275">
    <cfRule type="expression" dxfId="6574" priority="198">
      <formula>$B2260="Subetapa"</formula>
    </cfRule>
  </conditionalFormatting>
  <conditionalFormatting sqref="D2265 F2265 D2264:F2264 F2267:F2268 D2267:D2268 D2270 F2270 D2269:F2269 F2274:F2275 D2274:D2275">
    <cfRule type="expression" dxfId="6573" priority="196">
      <formula>$B2264="Serviço"</formula>
    </cfRule>
    <cfRule type="expression" dxfId="6572" priority="197">
      <formula>$B2264="Subetapa"</formula>
    </cfRule>
  </conditionalFormatting>
  <conditionalFormatting sqref="G2264">
    <cfRule type="expression" dxfId="6571" priority="195">
      <formula>$B2264="Serviço"</formula>
    </cfRule>
  </conditionalFormatting>
  <conditionalFormatting sqref="G2264">
    <cfRule type="expression" dxfId="6570" priority="194">
      <formula>$B2264="Subetapa"</formula>
    </cfRule>
  </conditionalFormatting>
  <conditionalFormatting sqref="A2267:A2268 A2260:A2261 A2274:A2275">
    <cfRule type="expression" dxfId="6569" priority="193">
      <formula>$B2260="Subetapa"</formula>
    </cfRule>
  </conditionalFormatting>
  <conditionalFormatting sqref="F2266 B2266 D2266">
    <cfRule type="expression" dxfId="6568" priority="190">
      <formula>$B2266="Subetapa"</formula>
    </cfRule>
  </conditionalFormatting>
  <conditionalFormatting sqref="K2266">
    <cfRule type="expression" dxfId="6567" priority="187">
      <formula>$B2266="Subetapa"</formula>
    </cfRule>
  </conditionalFormatting>
  <conditionalFormatting sqref="I2266:K2266">
    <cfRule type="expression" dxfId="6566" priority="184">
      <formula>$B2266="Subetapa"</formula>
    </cfRule>
  </conditionalFormatting>
  <conditionalFormatting sqref="A2266">
    <cfRule type="expression" dxfId="6565" priority="183">
      <formula>$B2266="Subetapa"</formula>
    </cfRule>
  </conditionalFormatting>
  <conditionalFormatting sqref="I2266:J2266">
    <cfRule type="expression" dxfId="6564" priority="181">
      <formula>$B2266="Subetapa"</formula>
    </cfRule>
  </conditionalFormatting>
  <conditionalFormatting sqref="G2256">
    <cfRule type="expression" dxfId="6563" priority="178">
      <formula>$B2256="Subetapa"</formula>
    </cfRule>
  </conditionalFormatting>
  <conditionalFormatting sqref="G2256">
    <cfRule type="expression" dxfId="6562" priority="179">
      <formula>$B2256="Serviço"</formula>
    </cfRule>
  </conditionalFormatting>
  <conditionalFormatting sqref="G2247">
    <cfRule type="expression" dxfId="6561" priority="176">
      <formula>$B2247="Subetapa"</formula>
    </cfRule>
  </conditionalFormatting>
  <conditionalFormatting sqref="G2247">
    <cfRule type="expression" dxfId="6560" priority="177">
      <formula>$B2247="Serviço"</formula>
    </cfRule>
  </conditionalFormatting>
  <conditionalFormatting sqref="D2261 F2261 D2260:F2260">
    <cfRule type="expression" dxfId="6559" priority="174">
      <formula>$B2260="Serviço"</formula>
    </cfRule>
    <cfRule type="expression" dxfId="6558" priority="175">
      <formula>$B2260="Subetapa"</formula>
    </cfRule>
  </conditionalFormatting>
  <conditionalFormatting sqref="G2260">
    <cfRule type="expression" dxfId="6557" priority="173">
      <formula>$B2260="Serviço"</formula>
    </cfRule>
  </conditionalFormatting>
  <conditionalFormatting sqref="G2260">
    <cfRule type="expression" dxfId="6556" priority="172">
      <formula>$B2260="Subetapa"</formula>
    </cfRule>
  </conditionalFormatting>
  <conditionalFormatting sqref="F2262 B2262 D2262">
    <cfRule type="expression" dxfId="6555" priority="169">
      <formula>$B2262="Subetapa"</formula>
    </cfRule>
  </conditionalFormatting>
  <conditionalFormatting sqref="K2262">
    <cfRule type="expression" dxfId="6554" priority="166">
      <formula>$B2262="Subetapa"</formula>
    </cfRule>
  </conditionalFormatting>
  <conditionalFormatting sqref="I2262:K2262">
    <cfRule type="expression" dxfId="6553" priority="163">
      <formula>$B2262="Subetapa"</formula>
    </cfRule>
  </conditionalFormatting>
  <conditionalFormatting sqref="A2262">
    <cfRule type="expression" dxfId="6552" priority="162">
      <formula>$B2262="Subetapa"</formula>
    </cfRule>
  </conditionalFormatting>
  <conditionalFormatting sqref="I2262:J2262">
    <cfRule type="expression" dxfId="6551" priority="160">
      <formula>$B2262="Subetapa"</formula>
    </cfRule>
  </conditionalFormatting>
  <conditionalFormatting sqref="G2269">
    <cfRule type="expression" dxfId="6550" priority="158">
      <formula>$B2269="Serviço"</formula>
    </cfRule>
  </conditionalFormatting>
  <conditionalFormatting sqref="G2269">
    <cfRule type="expression" dxfId="6549" priority="157">
      <formula>$B2269="Subetapa"</formula>
    </cfRule>
  </conditionalFormatting>
  <conditionalFormatting sqref="F2273 B2273 D2273">
    <cfRule type="expression" dxfId="6548" priority="154">
      <formula>$B2273="Subetapa"</formula>
    </cfRule>
  </conditionalFormatting>
  <conditionalFormatting sqref="K2273">
    <cfRule type="expression" dxfId="6547" priority="151">
      <formula>$B2273="Subetapa"</formula>
    </cfRule>
  </conditionalFormatting>
  <conditionalFormatting sqref="I2273:K2273">
    <cfRule type="expression" dxfId="6546" priority="148">
      <formula>$B2273="Subetapa"</formula>
    </cfRule>
  </conditionalFormatting>
  <conditionalFormatting sqref="A2273">
    <cfRule type="expression" dxfId="6545" priority="147">
      <formula>$B2273="Subetapa"</formula>
    </cfRule>
  </conditionalFormatting>
  <conditionalFormatting sqref="I2273:J2273">
    <cfRule type="expression" dxfId="6544" priority="145">
      <formula>$B2273="Subetapa"</formula>
    </cfRule>
  </conditionalFormatting>
  <conditionalFormatting sqref="B2271">
    <cfRule type="expression" dxfId="6543" priority="141">
      <formula>$B2271="Subetapa"</formula>
    </cfRule>
  </conditionalFormatting>
  <conditionalFormatting sqref="F2271 D2271">
    <cfRule type="expression" dxfId="6542" priority="143">
      <formula>$B2271="Subetapa"</formula>
    </cfRule>
  </conditionalFormatting>
  <conditionalFormatting sqref="K2271">
    <cfRule type="expression" dxfId="6541" priority="139">
      <formula>$B2271="Subetapa"</formula>
    </cfRule>
  </conditionalFormatting>
  <conditionalFormatting sqref="A2271">
    <cfRule type="expression" dxfId="6540" priority="137">
      <formula>$B2271="Subetapa"</formula>
    </cfRule>
  </conditionalFormatting>
  <conditionalFormatting sqref="I2271:J2271">
    <cfRule type="expression" dxfId="6539" priority="135">
      <formula>$B2271="Subetapa"</formula>
    </cfRule>
  </conditionalFormatting>
  <conditionalFormatting sqref="B2272">
    <cfRule type="expression" dxfId="6538" priority="133">
      <formula>$B2272="Serviço"</formula>
    </cfRule>
  </conditionalFormatting>
  <conditionalFormatting sqref="K2272">
    <cfRule type="expression" dxfId="6537" priority="132">
      <formula>$B2272="Serviço"</formula>
    </cfRule>
  </conditionalFormatting>
  <conditionalFormatting sqref="K2272">
    <cfRule type="expression" dxfId="6536" priority="131">
      <formula>$B2272="Subetapa"</formula>
    </cfRule>
  </conditionalFormatting>
  <conditionalFormatting sqref="A2272">
    <cfRule type="expression" dxfId="6535" priority="130">
      <formula>$B2272="Serviço"</formula>
    </cfRule>
  </conditionalFormatting>
  <conditionalFormatting sqref="I2272:J2272">
    <cfRule type="expression" dxfId="6534" priority="129">
      <formula>$B2272="Serviço"</formula>
    </cfRule>
  </conditionalFormatting>
  <conditionalFormatting sqref="I2272:J2272">
    <cfRule type="expression" dxfId="6533" priority="128">
      <formula>$B2272="Subetapa"</formula>
    </cfRule>
  </conditionalFormatting>
  <conditionalFormatting sqref="B2272">
    <cfRule type="expression" dxfId="6532" priority="125">
      <formula>$B2272="Subetapa"</formula>
    </cfRule>
  </conditionalFormatting>
  <conditionalFormatting sqref="F2272 D2272">
    <cfRule type="expression" dxfId="6531" priority="126">
      <formula>$B2272="Serviço"</formula>
    </cfRule>
    <cfRule type="expression" dxfId="6530" priority="127">
      <formula>$B2272="Subetapa"</formula>
    </cfRule>
  </conditionalFormatting>
  <conditionalFormatting sqref="A2272">
    <cfRule type="expression" dxfId="6529" priority="124">
      <formula>$B2272="Subetapa"</formula>
    </cfRule>
  </conditionalFormatting>
  <conditionalFormatting sqref="G2250">
    <cfRule type="expression" dxfId="6528" priority="122">
      <formula>$B2250="Subetapa"</formula>
    </cfRule>
  </conditionalFormatting>
  <conditionalFormatting sqref="G2250">
    <cfRule type="expression" dxfId="6527" priority="123">
      <formula>$B2250="Serviço"</formula>
    </cfRule>
  </conditionalFormatting>
  <conditionalFormatting sqref="E2685:F2685 F2687">
    <cfRule type="expression" dxfId="6526" priority="118">
      <formula>$B2685="Subetapa"</formula>
    </cfRule>
    <cfRule type="expression" dxfId="6525" priority="119">
      <formula>$B2685="Serviço"</formula>
    </cfRule>
  </conditionalFormatting>
  <conditionalFormatting sqref="G2685:H2685">
    <cfRule type="expression" dxfId="6524" priority="116">
      <formula>$B2685="Subetapa"</formula>
    </cfRule>
    <cfRule type="expression" dxfId="6523" priority="117">
      <formula>$B2685="Serviço"</formula>
    </cfRule>
  </conditionalFormatting>
  <conditionalFormatting sqref="I2686:K2686">
    <cfRule type="expression" dxfId="6522" priority="113">
      <formula>$B2686="Subetapa"</formula>
    </cfRule>
  </conditionalFormatting>
  <conditionalFormatting sqref="A2686">
    <cfRule type="expression" dxfId="6521" priority="111">
      <formula>$B2686="Subetapa"</formula>
    </cfRule>
  </conditionalFormatting>
  <conditionalFormatting sqref="G4586:H4586">
    <cfRule type="expression" dxfId="6520" priority="110">
      <formula>$B4586="Subetapa"</formula>
    </cfRule>
  </conditionalFormatting>
  <conditionalFormatting sqref="C4591:D4591">
    <cfRule type="expression" dxfId="6519" priority="108">
      <formula>$B4591="Serviço"</formula>
    </cfRule>
  </conditionalFormatting>
  <conditionalFormatting sqref="C4591:D4591">
    <cfRule type="expression" dxfId="6518" priority="109">
      <formula>$B4591="Subetapa"</formula>
    </cfRule>
  </conditionalFormatting>
  <conditionalFormatting sqref="I4586:J4591">
    <cfRule type="expression" dxfId="6517" priority="107">
      <formula>$B4586="Subetapa"</formula>
    </cfRule>
  </conditionalFormatting>
  <conditionalFormatting sqref="B4452:B4453">
    <cfRule type="expression" dxfId="6516" priority="106">
      <formula>$B4452="Subetapa"</formula>
    </cfRule>
  </conditionalFormatting>
  <conditionalFormatting sqref="K4452:K4453">
    <cfRule type="expression" dxfId="6515" priority="105">
      <formula>$B4452="Subetapa"</formula>
    </cfRule>
  </conditionalFormatting>
  <conditionalFormatting sqref="A4452:A4453">
    <cfRule type="expression" dxfId="6514" priority="104">
      <formula>$B4452="Subetapa"</formula>
    </cfRule>
  </conditionalFormatting>
  <conditionalFormatting sqref="E4452:F4452">
    <cfRule type="expression" dxfId="6513" priority="103">
      <formula>$B4452="Subetapa"</formula>
    </cfRule>
  </conditionalFormatting>
  <conditionalFormatting sqref="G4452:H4452">
    <cfRule type="expression" dxfId="6512" priority="102">
      <formula>$B4452="Subetapa"</formula>
    </cfRule>
  </conditionalFormatting>
  <conditionalFormatting sqref="D4452:D4453">
    <cfRule type="expression" dxfId="6511" priority="100">
      <formula>$B4452="Subetapa"</formula>
    </cfRule>
  </conditionalFormatting>
  <conditionalFormatting sqref="D4453">
    <cfRule type="expression" dxfId="6510" priority="101">
      <formula>$B4453="Subetapa"</formula>
    </cfRule>
  </conditionalFormatting>
  <conditionalFormatting sqref="F4453">
    <cfRule type="expression" dxfId="6509" priority="99">
      <formula>$B4453="Subetapa"</formula>
    </cfRule>
  </conditionalFormatting>
  <conditionalFormatting sqref="C4452 C4455">
    <cfRule type="expression" dxfId="6508" priority="98">
      <formula>$B4452="Subetapa"</formula>
    </cfRule>
  </conditionalFormatting>
  <conditionalFormatting sqref="I4452:J4453">
    <cfRule type="expression" dxfId="6507" priority="97">
      <formula>$B4452="Subetapa"</formula>
    </cfRule>
  </conditionalFormatting>
  <conditionalFormatting sqref="B4454">
    <cfRule type="expression" dxfId="6506" priority="96">
      <formula>$B4454="Subetapa"</formula>
    </cfRule>
  </conditionalFormatting>
  <conditionalFormatting sqref="B4454">
    <cfRule type="expression" dxfId="6505" priority="95">
      <formula>$B4454="Subetapa"</formula>
    </cfRule>
  </conditionalFormatting>
  <conditionalFormatting sqref="A4454">
    <cfRule type="expression" dxfId="6504" priority="94">
      <formula>$B4454="Subetapa"</formula>
    </cfRule>
  </conditionalFormatting>
  <conditionalFormatting sqref="A4454">
    <cfRule type="expression" dxfId="6503" priority="93">
      <formula>$B4454="Subetapa"</formula>
    </cfRule>
  </conditionalFormatting>
  <conditionalFormatting sqref="I4454:J4454">
    <cfRule type="expression" dxfId="6502" priority="92">
      <formula>$B4454="Subetapa"</formula>
    </cfRule>
  </conditionalFormatting>
  <conditionalFormatting sqref="C4453:C4454">
    <cfRule type="expression" dxfId="6501" priority="91">
      <formula>$B4453="Subetapa"</formula>
    </cfRule>
  </conditionalFormatting>
  <conditionalFormatting sqref="C4456:C4457">
    <cfRule type="expression" dxfId="6500" priority="90">
      <formula>$B4456="Subetapa"</formula>
    </cfRule>
  </conditionalFormatting>
  <conditionalFormatting sqref="D4659 F4659">
    <cfRule type="expression" dxfId="6499" priority="88">
      <formula>$B4659="Subetapa"</formula>
    </cfRule>
  </conditionalFormatting>
  <conditionalFormatting sqref="G4659:H4659">
    <cfRule type="expression" dxfId="6498" priority="89">
      <formula>$B4659="Subetapa"</formula>
    </cfRule>
  </conditionalFormatting>
  <conditionalFormatting sqref="D4662:D4663">
    <cfRule type="expression" dxfId="6497" priority="87">
      <formula>$B4662="Subetapa"</formula>
    </cfRule>
  </conditionalFormatting>
  <conditionalFormatting sqref="D4661">
    <cfRule type="expression" dxfId="6496" priority="86">
      <formula>$B4661="Subetapa"</formula>
    </cfRule>
  </conditionalFormatting>
  <conditionalFormatting sqref="G4383:H4383">
    <cfRule type="expression" dxfId="6495" priority="83">
      <formula>$B4383="Subetapa"</formula>
    </cfRule>
    <cfRule type="expression" dxfId="6494" priority="84">
      <formula>$B4383="Serviço"</formula>
    </cfRule>
  </conditionalFormatting>
  <conditionalFormatting sqref="D4384">
    <cfRule type="expression" dxfId="6493" priority="82">
      <formula>$B4384="Subetapa"</formula>
    </cfRule>
  </conditionalFormatting>
  <conditionalFormatting sqref="D4646:F4646 D4648:D4650 F4647:F4650 B4646:C4650">
    <cfRule type="expression" dxfId="6492" priority="79">
      <formula>$B4646="Subetapa"</formula>
    </cfRule>
    <cfRule type="expression" dxfId="6491" priority="80">
      <formula>$B4646="Serviço"</formula>
    </cfRule>
  </conditionalFormatting>
  <conditionalFormatting sqref="E4647:E4650">
    <cfRule type="expression" dxfId="6490" priority="81">
      <formula>$B4647="Subetapa"</formula>
    </cfRule>
  </conditionalFormatting>
  <conditionalFormatting sqref="K4646:K4650">
    <cfRule type="expression" dxfId="6489" priority="77">
      <formula>$B4646="Subetapa"</formula>
    </cfRule>
    <cfRule type="expression" dxfId="6488" priority="78">
      <formula>$B4646="Serviço"</formula>
    </cfRule>
  </conditionalFormatting>
  <conditionalFormatting sqref="A4646:A4650">
    <cfRule type="expression" dxfId="6487" priority="75">
      <formula>$B4646="Subetapa"</formula>
    </cfRule>
    <cfRule type="expression" dxfId="6486" priority="76">
      <formula>$B4646="Serviço"</formula>
    </cfRule>
  </conditionalFormatting>
  <conditionalFormatting sqref="I4646:J4650">
    <cfRule type="expression" dxfId="6485" priority="73">
      <formula>$B4646="Subetapa"</formula>
    </cfRule>
    <cfRule type="expression" dxfId="6484" priority="74">
      <formula>$B4646="Serviço"</formula>
    </cfRule>
  </conditionalFormatting>
  <conditionalFormatting sqref="G4646:H4646">
    <cfRule type="expression" dxfId="6483" priority="71">
      <formula>$B4646="Subetapa"</formula>
    </cfRule>
    <cfRule type="expression" dxfId="6482" priority="72">
      <formula>$B4646="Serviço"</formula>
    </cfRule>
  </conditionalFormatting>
  <conditionalFormatting sqref="E4659">
    <cfRule type="expression" dxfId="6481" priority="68">
      <formula>$B4659="Subetapa"</formula>
    </cfRule>
    <cfRule type="expression" dxfId="6480" priority="69">
      <formula>$B4659="Serviço"</formula>
    </cfRule>
  </conditionalFormatting>
  <conditionalFormatting sqref="D4654 F4654">
    <cfRule type="expression" dxfId="6479" priority="60">
      <formula>$B4654="Subetapa"</formula>
    </cfRule>
  </conditionalFormatting>
  <conditionalFormatting sqref="G4654:H4654">
    <cfRule type="expression" dxfId="6478" priority="61">
      <formula>$B4654="Subetapa"</formula>
    </cfRule>
  </conditionalFormatting>
  <conditionalFormatting sqref="D4657">
    <cfRule type="expression" dxfId="6477" priority="59">
      <formula>$B4657="Subetapa"</formula>
    </cfRule>
  </conditionalFormatting>
  <conditionalFormatting sqref="D4656">
    <cfRule type="expression" dxfId="6476" priority="58">
      <formula>$B4656="Subetapa"</formula>
    </cfRule>
  </conditionalFormatting>
  <conditionalFormatting sqref="E4654">
    <cfRule type="expression" dxfId="6475" priority="56">
      <formula>$B4654="Subetapa"</formula>
    </cfRule>
    <cfRule type="expression" dxfId="6474" priority="57">
      <formula>$B4654="Serviço"</formula>
    </cfRule>
  </conditionalFormatting>
  <conditionalFormatting sqref="D4658">
    <cfRule type="expression" dxfId="6473" priority="55">
      <formula>$B4658="Subetapa"</formula>
    </cfRule>
  </conditionalFormatting>
  <conditionalFormatting sqref="D4638:F4638 D4640:D4642 F4639:F4642 B4638:C4642">
    <cfRule type="expression" dxfId="6472" priority="40">
      <formula>$B4638="Subetapa"</formula>
    </cfRule>
    <cfRule type="expression" dxfId="6471" priority="41">
      <formula>$B4638="Serviço"</formula>
    </cfRule>
  </conditionalFormatting>
  <conditionalFormatting sqref="E4639:E4642">
    <cfRule type="expression" dxfId="6470" priority="42">
      <formula>$B4639="Subetapa"</formula>
    </cfRule>
  </conditionalFormatting>
  <conditionalFormatting sqref="K4638:K4642">
    <cfRule type="expression" dxfId="6469" priority="38">
      <formula>$B4638="Subetapa"</formula>
    </cfRule>
    <cfRule type="expression" dxfId="6468" priority="39">
      <formula>$B4638="Serviço"</formula>
    </cfRule>
  </conditionalFormatting>
  <conditionalFormatting sqref="A4638:A4642">
    <cfRule type="expression" dxfId="6467" priority="36">
      <formula>$B4638="Subetapa"</formula>
    </cfRule>
    <cfRule type="expression" dxfId="6466" priority="37">
      <formula>$B4638="Serviço"</formula>
    </cfRule>
  </conditionalFormatting>
  <conditionalFormatting sqref="I4638:J4642">
    <cfRule type="expression" dxfId="6465" priority="34">
      <formula>$B4638="Subetapa"</formula>
    </cfRule>
    <cfRule type="expression" dxfId="6464" priority="35">
      <formula>$B4638="Serviço"</formula>
    </cfRule>
  </conditionalFormatting>
  <conditionalFormatting sqref="G4638:H4638">
    <cfRule type="expression" dxfId="6463" priority="32">
      <formula>$B4638="Subetapa"</formula>
    </cfRule>
    <cfRule type="expression" dxfId="6462" priority="33">
      <formula>$B4638="Serviço"</formula>
    </cfRule>
  </conditionalFormatting>
  <conditionalFormatting sqref="D4639">
    <cfRule type="expression" dxfId="6461" priority="31">
      <formula>$B4639="Subetapa"</formula>
    </cfRule>
  </conditionalFormatting>
  <conditionalFormatting sqref="D4647">
    <cfRule type="expression" dxfId="6460" priority="30">
      <formula>$B4647="Subetapa"</formula>
    </cfRule>
  </conditionalFormatting>
  <conditionalFormatting sqref="G4378:H4378">
    <cfRule type="expression" dxfId="6459" priority="28">
      <formula>$B4378="Subetapa"</formula>
    </cfRule>
    <cfRule type="expression" dxfId="6458" priority="29">
      <formula>$B4378="Serviço"</formula>
    </cfRule>
  </conditionalFormatting>
  <conditionalFormatting sqref="D4379">
    <cfRule type="expression" dxfId="6457" priority="27">
      <formula>$B4379="Subetapa"</formula>
    </cfRule>
  </conditionalFormatting>
  <conditionalFormatting sqref="E556:E558">
    <cfRule type="expression" dxfId="6456" priority="26">
      <formula>$B556="Subetapa"</formula>
    </cfRule>
  </conditionalFormatting>
  <conditionalFormatting sqref="E560:E562">
    <cfRule type="expression" dxfId="6455" priority="25">
      <formula>$B560="Subetapa"</formula>
    </cfRule>
  </conditionalFormatting>
  <conditionalFormatting sqref="B315:D315">
    <cfRule type="expression" dxfId="6454" priority="24">
      <formula>$B315="Subetapa"</formula>
    </cfRule>
  </conditionalFormatting>
  <conditionalFormatting sqref="D313:D314 F313:F315">
    <cfRule type="expression" dxfId="6453" priority="23">
      <formula>$B313="Subetapa"</formula>
    </cfRule>
  </conditionalFormatting>
  <conditionalFormatting sqref="G312:H312">
    <cfRule type="expression" dxfId="6452" priority="22">
      <formula>$B312="Subetapa"</formula>
    </cfRule>
  </conditionalFormatting>
  <conditionalFormatting sqref="A315">
    <cfRule type="expression" dxfId="6451" priority="21">
      <formula>$B315="Subetapa"</formula>
    </cfRule>
  </conditionalFormatting>
  <conditionalFormatting sqref="C313:C314">
    <cfRule type="expression" dxfId="6450" priority="20">
      <formula>$B313="Subetapa"</formula>
    </cfRule>
  </conditionalFormatting>
  <conditionalFormatting sqref="D316:F316 D317:D319 F317:F319 B316:C319">
    <cfRule type="expression" dxfId="6449" priority="19">
      <formula>$B316="Subetapa"</formula>
    </cfRule>
  </conditionalFormatting>
  <conditionalFormatting sqref="G316:H316">
    <cfRule type="expression" dxfId="6448" priority="18">
      <formula>$B316="Subetapa"</formula>
    </cfRule>
  </conditionalFormatting>
  <conditionalFormatting sqref="A316:A319">
    <cfRule type="expression" dxfId="6447" priority="17">
      <formula>$B316="Subetapa"</formula>
    </cfRule>
  </conditionalFormatting>
  <conditionalFormatting sqref="C2347:C2348">
    <cfRule type="expression" dxfId="6446" priority="14">
      <formula>$B2347="Serviço"</formula>
    </cfRule>
    <cfRule type="expression" dxfId="6445" priority="15">
      <formula>$B2347="Subetapa"</formula>
    </cfRule>
  </conditionalFormatting>
  <conditionalFormatting sqref="C2349:C2350">
    <cfRule type="expression" dxfId="6444" priority="12">
      <formula>$B2349="Serviço"</formula>
    </cfRule>
    <cfRule type="expression" dxfId="6443" priority="13">
      <formula>$B2349="Subetapa"</formula>
    </cfRule>
  </conditionalFormatting>
  <conditionalFormatting sqref="C2356:C2357">
    <cfRule type="expression" dxfId="6442" priority="16">
      <formula>$B2356="Subetapa"</formula>
    </cfRule>
  </conditionalFormatting>
  <conditionalFormatting sqref="D2958">
    <cfRule type="expression" dxfId="6441" priority="11">
      <formula>$B2958="Subetapa"</formula>
    </cfRule>
  </conditionalFormatting>
  <conditionalFormatting sqref="F2778">
    <cfRule type="expression" dxfId="6440" priority="10">
      <formula>$B2778="Subetapa"</formula>
    </cfRule>
  </conditionalFormatting>
  <conditionalFormatting sqref="F2784">
    <cfRule type="expression" dxfId="6439" priority="9">
      <formula>$B2784="Subetapa"</formula>
    </cfRule>
  </conditionalFormatting>
  <conditionalFormatting sqref="F2795">
    <cfRule type="expression" dxfId="6438" priority="7">
      <formula>$B2795="Subetapa"</formula>
    </cfRule>
  </conditionalFormatting>
  <conditionalFormatting sqref="F2797">
    <cfRule type="expression" dxfId="6437" priority="6">
      <formula>$B2797="Subetapa"</formula>
    </cfRule>
  </conditionalFormatting>
  <conditionalFormatting sqref="F2799">
    <cfRule type="expression" dxfId="6436" priority="5">
      <formula>$B2799="Subetapa"</formula>
    </cfRule>
  </conditionalFormatting>
  <conditionalFormatting sqref="F2801">
    <cfRule type="expression" dxfId="6435" priority="4">
      <formula>$B2801="Subetapa"</formula>
    </cfRule>
  </conditionalFormatting>
  <conditionalFormatting sqref="F2803">
    <cfRule type="expression" dxfId="6434" priority="3">
      <formula>$B2803="Subetapa"</formula>
    </cfRule>
  </conditionalFormatting>
  <conditionalFormatting sqref="F2805">
    <cfRule type="expression" dxfId="6433" priority="2">
      <formula>$B2805="Subetapa"</formula>
    </cfRule>
  </conditionalFormatting>
  <conditionalFormatting sqref="F2793">
    <cfRule type="expression" dxfId="6432"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57</v>
      </c>
      <c r="B1" s="5" t="s">
        <v>59</v>
      </c>
      <c r="C1" s="5" t="s">
        <v>60</v>
      </c>
      <c r="D1" s="18">
        <v>1</v>
      </c>
      <c r="E1" s="6" t="s">
        <v>1081</v>
      </c>
      <c r="F1" s="6" t="s">
        <v>1082</v>
      </c>
      <c r="G1" s="6" t="s">
        <v>1083</v>
      </c>
      <c r="H1" s="6" t="s">
        <v>64</v>
      </c>
      <c r="I1" s="4" t="s">
        <v>1084</v>
      </c>
    </row>
    <row r="2" spans="1:9" x14ac:dyDescent="0.25">
      <c r="A2" s="10">
        <f t="shared" ref="A2:A20" si="0">COUNTIFS($B$2:$B$996,B2)</f>
        <v>1</v>
      </c>
      <c r="B2" s="10" t="s">
        <v>207</v>
      </c>
      <c r="C2" s="11" t="s">
        <v>205</v>
      </c>
      <c r="D2" s="13">
        <f t="shared" ref="D2:D347" si="1">E2*$D$1</f>
        <v>13.69</v>
      </c>
      <c r="E2" s="13">
        <v>13.69</v>
      </c>
      <c r="F2" s="13" t="s">
        <v>1085</v>
      </c>
      <c r="G2" s="13" t="s">
        <v>1086</v>
      </c>
      <c r="H2" s="13"/>
      <c r="I2" s="4" t="s">
        <v>12</v>
      </c>
    </row>
    <row r="3" spans="1:9" x14ac:dyDescent="0.25">
      <c r="A3" s="10">
        <f t="shared" si="0"/>
        <v>1</v>
      </c>
      <c r="B3" s="10" t="s">
        <v>287</v>
      </c>
      <c r="C3" s="11" t="s">
        <v>205</v>
      </c>
      <c r="D3" s="13">
        <f t="shared" si="1"/>
        <v>13.73</v>
      </c>
      <c r="E3" s="13">
        <v>13.73</v>
      </c>
      <c r="F3" s="13" t="s">
        <v>1085</v>
      </c>
      <c r="G3" s="13" t="s">
        <v>1086</v>
      </c>
      <c r="H3" s="13" t="s">
        <v>1570</v>
      </c>
      <c r="I3" s="4" t="s">
        <v>12</v>
      </c>
    </row>
    <row r="4" spans="1:9" ht="14.25" x14ac:dyDescent="0.2">
      <c r="A4" s="10">
        <f t="shared" si="0"/>
        <v>1</v>
      </c>
      <c r="B4" s="77" t="s">
        <v>1664</v>
      </c>
      <c r="C4" s="78" t="s">
        <v>1668</v>
      </c>
      <c r="D4" s="79">
        <f>E4*$D$1</f>
        <v>3.82</v>
      </c>
      <c r="E4" s="79">
        <v>3.82</v>
      </c>
      <c r="F4" s="79" t="s">
        <v>1085</v>
      </c>
      <c r="G4" s="79" t="s">
        <v>1088</v>
      </c>
      <c r="H4" s="79"/>
      <c r="I4" s="80" t="s">
        <v>12</v>
      </c>
    </row>
    <row r="5" spans="1:9" ht="14.25" x14ac:dyDescent="0.2">
      <c r="A5" s="10">
        <f t="shared" si="0"/>
        <v>1</v>
      </c>
      <c r="B5" s="77" t="s">
        <v>1669</v>
      </c>
      <c r="C5" s="78" t="s">
        <v>205</v>
      </c>
      <c r="D5" s="79">
        <f>E5*$D$1</f>
        <v>15.5</v>
      </c>
      <c r="E5" s="79">
        <v>15.5</v>
      </c>
      <c r="F5" s="79" t="s">
        <v>1085</v>
      </c>
      <c r="G5" s="79" t="s">
        <v>1088</v>
      </c>
      <c r="H5" s="79"/>
      <c r="I5" s="80" t="s">
        <v>12</v>
      </c>
    </row>
    <row r="6" spans="1:9" x14ac:dyDescent="0.25">
      <c r="A6" s="10">
        <f t="shared" si="0"/>
        <v>1</v>
      </c>
      <c r="B6" s="10" t="s">
        <v>1087</v>
      </c>
      <c r="C6" s="11" t="s">
        <v>205</v>
      </c>
      <c r="D6" s="13">
        <f t="shared" si="1"/>
        <v>7.6873385012919897</v>
      </c>
      <c r="E6" s="13">
        <v>7.6873385012919897</v>
      </c>
      <c r="F6" s="13" t="s">
        <v>1085</v>
      </c>
      <c r="G6" s="13" t="s">
        <v>1088</v>
      </c>
      <c r="H6" s="13"/>
      <c r="I6" s="4" t="s">
        <v>12</v>
      </c>
    </row>
    <row r="7" spans="1:9" x14ac:dyDescent="0.25">
      <c r="A7" s="10">
        <f t="shared" si="0"/>
        <v>1</v>
      </c>
      <c r="B7" s="10" t="s">
        <v>1089</v>
      </c>
      <c r="C7" s="11" t="s">
        <v>205</v>
      </c>
      <c r="D7" s="13">
        <f t="shared" si="1"/>
        <v>8.2873385012919893</v>
      </c>
      <c r="E7" s="13">
        <v>8.2873385012919893</v>
      </c>
      <c r="F7" s="13" t="s">
        <v>1085</v>
      </c>
      <c r="G7" s="13" t="s">
        <v>1088</v>
      </c>
      <c r="H7" s="13"/>
      <c r="I7" s="4" t="s">
        <v>12</v>
      </c>
    </row>
    <row r="8" spans="1:9" x14ac:dyDescent="0.25">
      <c r="A8" s="10">
        <f t="shared" si="0"/>
        <v>1</v>
      </c>
      <c r="B8" s="10" t="s">
        <v>197</v>
      </c>
      <c r="C8" s="11" t="s">
        <v>205</v>
      </c>
      <c r="D8" s="13">
        <f t="shared" si="1"/>
        <v>302.92200000000003</v>
      </c>
      <c r="E8" s="13">
        <v>302.92200000000003</v>
      </c>
      <c r="F8" s="13" t="s">
        <v>1085</v>
      </c>
      <c r="G8" s="13" t="s">
        <v>1088</v>
      </c>
      <c r="H8" s="13"/>
      <c r="I8" s="4" t="s">
        <v>12</v>
      </c>
    </row>
    <row r="9" spans="1:9" x14ac:dyDescent="0.25">
      <c r="A9" s="10">
        <f t="shared" si="0"/>
        <v>1</v>
      </c>
      <c r="B9" s="10" t="s">
        <v>199</v>
      </c>
      <c r="C9" s="11" t="s">
        <v>205</v>
      </c>
      <c r="D9" s="13">
        <f t="shared" si="1"/>
        <v>466.33699999999999</v>
      </c>
      <c r="E9" s="13">
        <v>466.33699999999999</v>
      </c>
      <c r="F9" s="13" t="s">
        <v>1085</v>
      </c>
      <c r="G9" s="13" t="s">
        <v>1088</v>
      </c>
      <c r="H9" s="13"/>
      <c r="I9" s="4" t="s">
        <v>12</v>
      </c>
    </row>
    <row r="10" spans="1:9" x14ac:dyDescent="0.25">
      <c r="A10" s="10">
        <f t="shared" si="0"/>
        <v>1</v>
      </c>
      <c r="B10" s="10" t="s">
        <v>201</v>
      </c>
      <c r="C10" s="11" t="s">
        <v>205</v>
      </c>
      <c r="D10" s="13">
        <f t="shared" si="1"/>
        <v>937.63900000000001</v>
      </c>
      <c r="E10" s="13">
        <v>937.63900000000001</v>
      </c>
      <c r="F10" s="13" t="s">
        <v>1085</v>
      </c>
      <c r="G10" s="13" t="s">
        <v>1088</v>
      </c>
      <c r="H10" s="13"/>
      <c r="I10" s="4" t="s">
        <v>12</v>
      </c>
    </row>
    <row r="11" spans="1:9" x14ac:dyDescent="0.25">
      <c r="A11" s="10">
        <f t="shared" si="0"/>
        <v>1</v>
      </c>
      <c r="B11" s="10" t="s">
        <v>203</v>
      </c>
      <c r="C11" s="11" t="s">
        <v>205</v>
      </c>
      <c r="D11" s="13">
        <f t="shared" ref="D11:D31" si="2">E11*$D$1</f>
        <v>1609.6659999999999</v>
      </c>
      <c r="E11" s="13">
        <v>1609.6659999999999</v>
      </c>
      <c r="F11" s="13" t="s">
        <v>1085</v>
      </c>
      <c r="G11" s="13" t="s">
        <v>1088</v>
      </c>
      <c r="H11" s="13"/>
      <c r="I11" s="4" t="s">
        <v>12</v>
      </c>
    </row>
    <row r="12" spans="1:9" x14ac:dyDescent="0.25">
      <c r="A12" s="10">
        <f t="shared" si="0"/>
        <v>1</v>
      </c>
      <c r="B12" s="10" t="s">
        <v>212</v>
      </c>
      <c r="C12" s="11" t="s">
        <v>205</v>
      </c>
      <c r="D12" s="13">
        <f t="shared" si="2"/>
        <v>4.80068429029114</v>
      </c>
      <c r="E12" s="68">
        <v>4.80068429029114</v>
      </c>
      <c r="F12" s="13" t="s">
        <v>1085</v>
      </c>
      <c r="G12" s="13" t="s">
        <v>1088</v>
      </c>
      <c r="H12" s="68" t="s">
        <v>2863</v>
      </c>
      <c r="I12" s="4" t="s">
        <v>12</v>
      </c>
    </row>
    <row r="13" spans="1:9" x14ac:dyDescent="0.25">
      <c r="A13" s="10">
        <f t="shared" si="0"/>
        <v>1</v>
      </c>
      <c r="B13" s="10" t="s">
        <v>239</v>
      </c>
      <c r="C13" s="11" t="s">
        <v>205</v>
      </c>
      <c r="D13" s="13">
        <f t="shared" si="2"/>
        <v>5.0530855313352099</v>
      </c>
      <c r="E13" s="68">
        <v>5.0530855313352099</v>
      </c>
      <c r="F13" s="13" t="s">
        <v>1085</v>
      </c>
      <c r="G13" s="13" t="s">
        <v>1088</v>
      </c>
      <c r="H13" s="68" t="s">
        <v>2863</v>
      </c>
      <c r="I13" s="4" t="s">
        <v>12</v>
      </c>
    </row>
    <row r="14" spans="1:9" x14ac:dyDescent="0.25">
      <c r="A14" s="10">
        <f t="shared" si="0"/>
        <v>1</v>
      </c>
      <c r="B14" s="10" t="s">
        <v>214</v>
      </c>
      <c r="C14" s="11" t="s">
        <v>205</v>
      </c>
      <c r="D14" s="13">
        <f t="shared" si="2"/>
        <v>4.9405604085438029</v>
      </c>
      <c r="E14" s="68">
        <v>4.9405604085438029</v>
      </c>
      <c r="F14" s="13" t="s">
        <v>1085</v>
      </c>
      <c r="G14" s="13" t="s">
        <v>1088</v>
      </c>
      <c r="H14" s="68" t="s">
        <v>2863</v>
      </c>
      <c r="I14" s="4" t="s">
        <v>12</v>
      </c>
    </row>
    <row r="15" spans="1:9" x14ac:dyDescent="0.25">
      <c r="A15" s="10">
        <f t="shared" si="0"/>
        <v>1</v>
      </c>
      <c r="B15" s="10" t="s">
        <v>216</v>
      </c>
      <c r="C15" s="11" t="s">
        <v>205</v>
      </c>
      <c r="D15" s="13">
        <f t="shared" si="2"/>
        <v>5.0344353401833359</v>
      </c>
      <c r="E15" s="68">
        <v>5.0344353401833359</v>
      </c>
      <c r="F15" s="13" t="s">
        <v>1085</v>
      </c>
      <c r="G15" s="13" t="s">
        <v>1088</v>
      </c>
      <c r="H15" s="68" t="s">
        <v>2863</v>
      </c>
      <c r="I15" s="4" t="s">
        <v>12</v>
      </c>
    </row>
    <row r="16" spans="1:9" x14ac:dyDescent="0.25">
      <c r="A16" s="10">
        <f t="shared" si="0"/>
        <v>1</v>
      </c>
      <c r="B16" s="10" t="s">
        <v>243</v>
      </c>
      <c r="C16" s="11" t="s">
        <v>205</v>
      </c>
      <c r="D16" s="13">
        <f t="shared" si="2"/>
        <v>5.1608662250804</v>
      </c>
      <c r="E16" s="68">
        <v>5.1608662250804</v>
      </c>
      <c r="F16" s="13" t="s">
        <v>1085</v>
      </c>
      <c r="G16" s="13" t="s">
        <v>1088</v>
      </c>
      <c r="H16" s="68" t="s">
        <v>2863</v>
      </c>
      <c r="I16" s="4" t="s">
        <v>12</v>
      </c>
    </row>
    <row r="17" spans="1:9" x14ac:dyDescent="0.25">
      <c r="A17" s="10">
        <f t="shared" si="0"/>
        <v>1</v>
      </c>
      <c r="B17" s="10" t="s">
        <v>206</v>
      </c>
      <c r="C17" s="11" t="s">
        <v>205</v>
      </c>
      <c r="D17" s="13">
        <f t="shared" si="2"/>
        <v>5.2594749034506343</v>
      </c>
      <c r="E17" s="68">
        <v>5.2594749034506343</v>
      </c>
      <c r="F17" s="13" t="s">
        <v>1085</v>
      </c>
      <c r="G17" s="13" t="s">
        <v>1088</v>
      </c>
      <c r="H17" s="68" t="s">
        <v>2863</v>
      </c>
      <c r="I17" s="4" t="s">
        <v>12</v>
      </c>
    </row>
    <row r="18" spans="1:9" x14ac:dyDescent="0.25">
      <c r="A18" s="10">
        <f t="shared" si="0"/>
        <v>1</v>
      </c>
      <c r="B18" s="10" t="s">
        <v>210</v>
      </c>
      <c r="C18" s="11" t="s">
        <v>205</v>
      </c>
      <c r="D18" s="13">
        <f t="shared" si="2"/>
        <v>4.9248569626405612</v>
      </c>
      <c r="E18" s="68">
        <v>4.9248569626405612</v>
      </c>
      <c r="F18" s="13" t="s">
        <v>1085</v>
      </c>
      <c r="G18" s="13" t="s">
        <v>1088</v>
      </c>
      <c r="H18" s="68" t="s">
        <v>2863</v>
      </c>
      <c r="I18" s="4" t="s">
        <v>12</v>
      </c>
    </row>
    <row r="19" spans="1:9" x14ac:dyDescent="0.25">
      <c r="A19" s="10">
        <f t="shared" si="0"/>
        <v>1</v>
      </c>
      <c r="B19" s="10" t="s">
        <v>218</v>
      </c>
      <c r="C19" s="11" t="s">
        <v>205</v>
      </c>
      <c r="D19" s="13">
        <f t="shared" si="2"/>
        <v>6.1446196590167288</v>
      </c>
      <c r="E19" s="68">
        <v>6.1446196590167288</v>
      </c>
      <c r="F19" s="13" t="s">
        <v>1085</v>
      </c>
      <c r="G19" s="13" t="s">
        <v>1088</v>
      </c>
      <c r="H19" s="68" t="s">
        <v>2863</v>
      </c>
      <c r="I19" s="4" t="s">
        <v>12</v>
      </c>
    </row>
    <row r="20" spans="1:9" x14ac:dyDescent="0.25">
      <c r="A20" s="10">
        <f t="shared" si="0"/>
        <v>1</v>
      </c>
      <c r="B20" s="10" t="s">
        <v>246</v>
      </c>
      <c r="C20" s="11" t="s">
        <v>205</v>
      </c>
      <c r="D20" s="13">
        <f t="shared" si="2"/>
        <v>6.22</v>
      </c>
      <c r="E20" s="13">
        <v>6.22</v>
      </c>
      <c r="F20" s="13" t="s">
        <v>1085</v>
      </c>
      <c r="G20" s="13" t="s">
        <v>1088</v>
      </c>
      <c r="H20" s="13"/>
      <c r="I20" s="4" t="s">
        <v>12</v>
      </c>
    </row>
    <row r="21" spans="1:9" x14ac:dyDescent="0.25">
      <c r="A21" s="10">
        <f t="shared" ref="A21:A29" si="3">COUNTIFS($B$2:$B$876,B21)</f>
        <v>1</v>
      </c>
      <c r="B21" s="10" t="s">
        <v>2977</v>
      </c>
      <c r="C21" s="11" t="s">
        <v>196</v>
      </c>
      <c r="D21" s="13">
        <f>E21*$D$1</f>
        <v>8.67</v>
      </c>
      <c r="E21" s="68">
        <v>8.67</v>
      </c>
      <c r="F21" s="13" t="s">
        <v>1085</v>
      </c>
      <c r="G21" s="13" t="s">
        <v>1088</v>
      </c>
      <c r="H21" s="68" t="s">
        <v>2861</v>
      </c>
      <c r="I21" s="4" t="s">
        <v>12</v>
      </c>
    </row>
    <row r="22" spans="1:9" x14ac:dyDescent="0.25">
      <c r="A22" s="10">
        <f t="shared" si="3"/>
        <v>1</v>
      </c>
      <c r="B22" s="10" t="s">
        <v>2857</v>
      </c>
      <c r="C22" s="11" t="s">
        <v>196</v>
      </c>
      <c r="D22" s="13">
        <f t="shared" si="2"/>
        <v>8.67</v>
      </c>
      <c r="E22" s="68">
        <v>8.67</v>
      </c>
      <c r="F22" s="13" t="s">
        <v>1085</v>
      </c>
      <c r="G22" s="13" t="s">
        <v>1088</v>
      </c>
      <c r="H22" s="68" t="s">
        <v>2861</v>
      </c>
      <c r="I22" s="4" t="s">
        <v>12</v>
      </c>
    </row>
    <row r="23" spans="1:9" x14ac:dyDescent="0.25">
      <c r="A23" s="10">
        <f t="shared" si="3"/>
        <v>1</v>
      </c>
      <c r="B23" s="10" t="s">
        <v>2858</v>
      </c>
      <c r="C23" s="11" t="s">
        <v>196</v>
      </c>
      <c r="D23" s="13">
        <f>E23*$D$1</f>
        <v>8.67</v>
      </c>
      <c r="E23" s="68">
        <v>8.67</v>
      </c>
      <c r="F23" s="13" t="s">
        <v>1085</v>
      </c>
      <c r="G23" s="13" t="s">
        <v>1088</v>
      </c>
      <c r="H23" s="68" t="s">
        <v>2861</v>
      </c>
      <c r="I23" s="4" t="s">
        <v>12</v>
      </c>
    </row>
    <row r="24" spans="1:9" x14ac:dyDescent="0.25">
      <c r="A24" s="10">
        <f t="shared" si="3"/>
        <v>1</v>
      </c>
      <c r="B24" s="10" t="s">
        <v>2978</v>
      </c>
      <c r="C24" s="11" t="s">
        <v>196</v>
      </c>
      <c r="D24" s="13">
        <f t="shared" si="2"/>
        <v>8.67</v>
      </c>
      <c r="E24" s="68">
        <v>8.67</v>
      </c>
      <c r="F24" s="13" t="s">
        <v>1085</v>
      </c>
      <c r="G24" s="13" t="s">
        <v>1088</v>
      </c>
      <c r="H24" s="68" t="s">
        <v>2861</v>
      </c>
      <c r="I24" s="4" t="s">
        <v>12</v>
      </c>
    </row>
    <row r="25" spans="1:9" x14ac:dyDescent="0.25">
      <c r="A25" s="10">
        <f t="shared" si="3"/>
        <v>1</v>
      </c>
      <c r="B25" s="10" t="s">
        <v>2859</v>
      </c>
      <c r="C25" s="11" t="s">
        <v>196</v>
      </c>
      <c r="D25" s="13">
        <f>E25*$D$1</f>
        <v>8.19</v>
      </c>
      <c r="E25" s="68">
        <v>8.19</v>
      </c>
      <c r="F25" s="13" t="s">
        <v>1085</v>
      </c>
      <c r="G25" s="13" t="s">
        <v>1088</v>
      </c>
      <c r="H25" s="68" t="s">
        <v>2861</v>
      </c>
      <c r="I25" s="4" t="s">
        <v>12</v>
      </c>
    </row>
    <row r="26" spans="1:9" ht="14.25" customHeight="1" x14ac:dyDescent="0.25">
      <c r="A26" s="10">
        <f t="shared" si="3"/>
        <v>1</v>
      </c>
      <c r="B26" s="10" t="s">
        <v>2966</v>
      </c>
      <c r="C26" s="11" t="s">
        <v>196</v>
      </c>
      <c r="D26" s="13">
        <f>E26*$D$1</f>
        <v>8.19</v>
      </c>
      <c r="E26" s="68">
        <v>8.19</v>
      </c>
      <c r="F26" s="13" t="s">
        <v>1085</v>
      </c>
      <c r="G26" s="13" t="s">
        <v>1088</v>
      </c>
      <c r="H26" s="68" t="s">
        <v>2861</v>
      </c>
      <c r="I26" s="4" t="s">
        <v>12</v>
      </c>
    </row>
    <row r="27" spans="1:9" ht="14.25" customHeight="1" x14ac:dyDescent="0.25">
      <c r="A27" s="10">
        <f t="shared" si="3"/>
        <v>1</v>
      </c>
      <c r="B27" s="10" t="s">
        <v>2968</v>
      </c>
      <c r="C27" s="11" t="s">
        <v>196</v>
      </c>
      <c r="D27" s="13">
        <f t="shared" si="2"/>
        <v>8.19</v>
      </c>
      <c r="E27" s="68">
        <v>8.19</v>
      </c>
      <c r="F27" s="13" t="s">
        <v>1085</v>
      </c>
      <c r="G27" s="13" t="s">
        <v>1088</v>
      </c>
      <c r="H27" s="68" t="s">
        <v>2861</v>
      </c>
      <c r="I27" s="4" t="s">
        <v>12</v>
      </c>
    </row>
    <row r="28" spans="1:9" x14ac:dyDescent="0.25">
      <c r="A28" s="10">
        <f t="shared" si="3"/>
        <v>1</v>
      </c>
      <c r="B28" s="10" t="s">
        <v>2860</v>
      </c>
      <c r="C28" s="11" t="s">
        <v>196</v>
      </c>
      <c r="D28" s="13">
        <f>E28*$D$1</f>
        <v>8.19</v>
      </c>
      <c r="E28" s="68">
        <v>8.19</v>
      </c>
      <c r="F28" s="13" t="s">
        <v>1085</v>
      </c>
      <c r="G28" s="13" t="s">
        <v>1088</v>
      </c>
      <c r="H28" s="68" t="s">
        <v>2861</v>
      </c>
      <c r="I28" s="4" t="s">
        <v>12</v>
      </c>
    </row>
    <row r="29" spans="1:9" x14ac:dyDescent="0.25">
      <c r="A29" s="10">
        <f t="shared" si="3"/>
        <v>1</v>
      </c>
      <c r="B29" s="10" t="s">
        <v>2984</v>
      </c>
      <c r="C29" s="11" t="s">
        <v>196</v>
      </c>
      <c r="D29" s="13">
        <f t="shared" si="2"/>
        <v>8.7763609454436988</v>
      </c>
      <c r="E29" s="68">
        <f>(E21*E20)/E19</f>
        <v>8.7763609454436988</v>
      </c>
      <c r="F29" s="13" t="s">
        <v>1085</v>
      </c>
      <c r="G29" s="13" t="s">
        <v>1088</v>
      </c>
      <c r="H29" s="13"/>
      <c r="I29" s="4" t="s">
        <v>12</v>
      </c>
    </row>
    <row r="30" spans="1:9" x14ac:dyDescent="0.25">
      <c r="A30" s="10">
        <f t="shared" ref="A30:A61" si="4">COUNTIFS($B$2:$B$996,B30)</f>
        <v>1</v>
      </c>
      <c r="B30" s="10" t="s">
        <v>889</v>
      </c>
      <c r="C30" s="11" t="s">
        <v>196</v>
      </c>
      <c r="D30" s="13">
        <f t="shared" si="2"/>
        <v>305</v>
      </c>
      <c r="E30" s="13">
        <f>305</f>
        <v>305</v>
      </c>
      <c r="F30" s="13" t="s">
        <v>1085</v>
      </c>
      <c r="G30" s="13" t="s">
        <v>1090</v>
      </c>
      <c r="H30" s="13"/>
      <c r="I30" s="4" t="s">
        <v>12</v>
      </c>
    </row>
    <row r="31" spans="1:9" x14ac:dyDescent="0.25">
      <c r="A31" s="10">
        <f t="shared" si="4"/>
        <v>1</v>
      </c>
      <c r="B31" s="10" t="s">
        <v>397</v>
      </c>
      <c r="C31" s="11" t="s">
        <v>69</v>
      </c>
      <c r="D31" s="13">
        <f t="shared" si="2"/>
        <v>0.43</v>
      </c>
      <c r="E31" s="13">
        <v>0.43</v>
      </c>
      <c r="F31" s="13" t="s">
        <v>1085</v>
      </c>
      <c r="G31" s="13" t="s">
        <v>1090</v>
      </c>
      <c r="H31" s="13"/>
      <c r="I31" s="4" t="s">
        <v>12</v>
      </c>
    </row>
    <row r="32" spans="1:9" ht="15.75" customHeight="1" x14ac:dyDescent="0.25">
      <c r="A32" s="10">
        <f t="shared" si="4"/>
        <v>1</v>
      </c>
      <c r="B32" s="10" t="s">
        <v>98</v>
      </c>
      <c r="C32" s="11" t="s">
        <v>205</v>
      </c>
      <c r="D32" s="13">
        <f t="shared" si="1"/>
        <v>6.1</v>
      </c>
      <c r="E32" s="13">
        <v>6.1</v>
      </c>
      <c r="F32" s="13" t="s">
        <v>1085</v>
      </c>
      <c r="G32" s="13" t="s">
        <v>1091</v>
      </c>
      <c r="H32" s="13"/>
      <c r="I32" s="4" t="s">
        <v>12</v>
      </c>
    </row>
    <row r="33" spans="1:9" ht="15.75" customHeight="1" x14ac:dyDescent="0.25">
      <c r="A33" s="10">
        <f t="shared" si="4"/>
        <v>1</v>
      </c>
      <c r="B33" s="10" t="s">
        <v>298</v>
      </c>
      <c r="C33" s="11" t="s">
        <v>205</v>
      </c>
      <c r="D33" s="13">
        <f t="shared" si="1"/>
        <v>4.88</v>
      </c>
      <c r="E33" s="13">
        <v>4.88</v>
      </c>
      <c r="F33" s="13" t="s">
        <v>1085</v>
      </c>
      <c r="G33" s="13" t="s">
        <v>1091</v>
      </c>
      <c r="H33" s="13"/>
      <c r="I33" s="4" t="s">
        <v>12</v>
      </c>
    </row>
    <row r="34" spans="1:9" ht="14.25" x14ac:dyDescent="0.2">
      <c r="A34" s="10">
        <f t="shared" si="4"/>
        <v>1</v>
      </c>
      <c r="B34" s="77" t="s">
        <v>1665</v>
      </c>
      <c r="C34" s="78" t="s">
        <v>205</v>
      </c>
      <c r="D34" s="79">
        <f>E34*$D$1</f>
        <v>8.5370370370370363</v>
      </c>
      <c r="E34" s="79">
        <f>225.89/26.46</f>
        <v>8.5370370370370363</v>
      </c>
      <c r="F34" s="79" t="s">
        <v>1085</v>
      </c>
      <c r="G34" s="79" t="s">
        <v>1091</v>
      </c>
      <c r="H34" s="79"/>
      <c r="I34" s="80" t="s">
        <v>12</v>
      </c>
    </row>
    <row r="35" spans="1:9" ht="15.75" customHeight="1" x14ac:dyDescent="0.25">
      <c r="A35" s="10">
        <f t="shared" si="4"/>
        <v>1</v>
      </c>
      <c r="B35" s="10" t="s">
        <v>296</v>
      </c>
      <c r="C35" s="11" t="s">
        <v>205</v>
      </c>
      <c r="D35" s="13">
        <f t="shared" si="1"/>
        <v>9.1447124304267149</v>
      </c>
      <c r="E35" s="13">
        <v>9.1447124304267149</v>
      </c>
      <c r="F35" s="13" t="s">
        <v>1085</v>
      </c>
      <c r="G35" s="13" t="s">
        <v>1091</v>
      </c>
      <c r="H35" s="13"/>
      <c r="I35" s="4" t="s">
        <v>12</v>
      </c>
    </row>
    <row r="36" spans="1:9" ht="15.75" customHeight="1" x14ac:dyDescent="0.25">
      <c r="A36" s="10">
        <f t="shared" si="4"/>
        <v>1</v>
      </c>
      <c r="B36" s="10" t="s">
        <v>394</v>
      </c>
      <c r="C36" s="11" t="s">
        <v>196</v>
      </c>
      <c r="D36" s="13">
        <f t="shared" si="1"/>
        <v>2.5</v>
      </c>
      <c r="E36" s="13">
        <v>2.5</v>
      </c>
      <c r="F36" s="13" t="s">
        <v>1085</v>
      </c>
      <c r="G36" s="13" t="s">
        <v>1092</v>
      </c>
      <c r="H36" s="13"/>
      <c r="I36" s="4" t="s">
        <v>12</v>
      </c>
    </row>
    <row r="37" spans="1:9" ht="15.75" customHeight="1" x14ac:dyDescent="0.25">
      <c r="A37" s="10">
        <f t="shared" si="4"/>
        <v>1</v>
      </c>
      <c r="B37" s="10" t="s">
        <v>445</v>
      </c>
      <c r="C37" s="11" t="s">
        <v>69</v>
      </c>
      <c r="D37" s="13">
        <f t="shared" si="1"/>
        <v>14.27</v>
      </c>
      <c r="E37" s="13">
        <v>14.27</v>
      </c>
      <c r="F37" s="13" t="s">
        <v>1085</v>
      </c>
      <c r="G37" s="13" t="s">
        <v>1092</v>
      </c>
      <c r="H37" s="13"/>
      <c r="I37" s="4" t="s">
        <v>12</v>
      </c>
    </row>
    <row r="38" spans="1:9" ht="15.75" customHeight="1" x14ac:dyDescent="0.25">
      <c r="A38" s="10">
        <f t="shared" si="4"/>
        <v>1</v>
      </c>
      <c r="B38" s="10" t="s">
        <v>384</v>
      </c>
      <c r="C38" s="11" t="s">
        <v>196</v>
      </c>
      <c r="D38" s="13">
        <f t="shared" si="1"/>
        <v>7</v>
      </c>
      <c r="E38" s="13">
        <v>7</v>
      </c>
      <c r="F38" s="13" t="s">
        <v>1093</v>
      </c>
      <c r="G38" s="13" t="s">
        <v>1094</v>
      </c>
      <c r="H38" s="13"/>
      <c r="I38" s="4" t="s">
        <v>1095</v>
      </c>
    </row>
    <row r="39" spans="1:9" ht="15.75" customHeight="1" x14ac:dyDescent="0.25">
      <c r="A39" s="10">
        <f t="shared" si="4"/>
        <v>1</v>
      </c>
      <c r="B39" s="10" t="s">
        <v>387</v>
      </c>
      <c r="C39" s="11" t="s">
        <v>196</v>
      </c>
      <c r="D39" s="13">
        <f t="shared" si="1"/>
        <v>5.95</v>
      </c>
      <c r="E39" s="13">
        <v>5.95</v>
      </c>
      <c r="F39" s="13" t="s">
        <v>1093</v>
      </c>
      <c r="G39" s="13" t="s">
        <v>1094</v>
      </c>
      <c r="H39" s="13"/>
      <c r="I39" s="4" t="s">
        <v>1095</v>
      </c>
    </row>
    <row r="40" spans="1:9" ht="15.75" customHeight="1" x14ac:dyDescent="0.25">
      <c r="A40" s="10">
        <f t="shared" si="4"/>
        <v>1</v>
      </c>
      <c r="B40" s="10" t="s">
        <v>75</v>
      </c>
      <c r="C40" s="11" t="s">
        <v>196</v>
      </c>
      <c r="D40" s="13">
        <f t="shared" si="1"/>
        <v>2.95</v>
      </c>
      <c r="E40" s="13">
        <v>2.95</v>
      </c>
      <c r="F40" s="13" t="s">
        <v>1093</v>
      </c>
      <c r="G40" s="13" t="s">
        <v>1096</v>
      </c>
      <c r="H40" s="13"/>
      <c r="I40" s="4" t="s">
        <v>1097</v>
      </c>
    </row>
    <row r="41" spans="1:9" ht="15.75" customHeight="1" x14ac:dyDescent="0.25">
      <c r="A41" s="10">
        <f t="shared" si="4"/>
        <v>1</v>
      </c>
      <c r="B41" s="10" t="s">
        <v>366</v>
      </c>
      <c r="C41" s="11" t="s">
        <v>196</v>
      </c>
      <c r="D41" s="13">
        <f t="shared" si="1"/>
        <v>4.1861538461538466</v>
      </c>
      <c r="E41" s="13">
        <v>4.1861538461538466</v>
      </c>
      <c r="F41" s="13" t="s">
        <v>1093</v>
      </c>
      <c r="G41" s="13" t="s">
        <v>1096</v>
      </c>
      <c r="H41" s="13"/>
      <c r="I41" s="4" t="s">
        <v>1097</v>
      </c>
    </row>
    <row r="42" spans="1:9" ht="15.75" customHeight="1" x14ac:dyDescent="0.25">
      <c r="A42" s="10">
        <f t="shared" si="4"/>
        <v>1</v>
      </c>
      <c r="B42" s="10" t="s">
        <v>365</v>
      </c>
      <c r="C42" s="11" t="s">
        <v>196</v>
      </c>
      <c r="D42" s="13">
        <f t="shared" si="1"/>
        <v>3.9889743589743589</v>
      </c>
      <c r="E42" s="13">
        <v>3.9889743589743589</v>
      </c>
      <c r="F42" s="13" t="s">
        <v>1093</v>
      </c>
      <c r="G42" s="13" t="s">
        <v>1096</v>
      </c>
      <c r="H42" s="13"/>
      <c r="I42" s="4" t="s">
        <v>1097</v>
      </c>
    </row>
    <row r="43" spans="1:9" ht="15.75" customHeight="1" x14ac:dyDescent="0.25">
      <c r="A43" s="10">
        <f t="shared" si="4"/>
        <v>1</v>
      </c>
      <c r="B43" s="10" t="s">
        <v>364</v>
      </c>
      <c r="C43" s="11" t="s">
        <v>196</v>
      </c>
      <c r="D43" s="13">
        <f t="shared" si="1"/>
        <v>1.3760000000000001</v>
      </c>
      <c r="E43" s="13">
        <v>1.3760000000000001</v>
      </c>
      <c r="F43" s="13" t="s">
        <v>1093</v>
      </c>
      <c r="G43" s="13" t="s">
        <v>1096</v>
      </c>
      <c r="H43" s="13"/>
      <c r="I43" s="4" t="s">
        <v>1097</v>
      </c>
    </row>
    <row r="44" spans="1:9" ht="15.75" customHeight="1" x14ac:dyDescent="0.25">
      <c r="A44" s="10">
        <f t="shared" si="4"/>
        <v>1</v>
      </c>
      <c r="B44" s="10" t="s">
        <v>1098</v>
      </c>
      <c r="C44" s="11" t="s">
        <v>196</v>
      </c>
      <c r="D44" s="13">
        <f t="shared" si="1"/>
        <v>1.998</v>
      </c>
      <c r="E44" s="13">
        <v>1.998</v>
      </c>
      <c r="F44" s="13" t="s">
        <v>1093</v>
      </c>
      <c r="G44" s="13" t="s">
        <v>1096</v>
      </c>
      <c r="H44" s="13"/>
      <c r="I44" s="4" t="s">
        <v>1097</v>
      </c>
    </row>
    <row r="45" spans="1:9" ht="15.75" customHeight="1" x14ac:dyDescent="0.25">
      <c r="A45" s="10">
        <f t="shared" si="4"/>
        <v>1</v>
      </c>
      <c r="B45" s="10" t="s">
        <v>363</v>
      </c>
      <c r="C45" s="11" t="s">
        <v>196</v>
      </c>
      <c r="D45" s="13">
        <f t="shared" si="1"/>
        <v>1.998</v>
      </c>
      <c r="E45" s="13">
        <v>1.998</v>
      </c>
      <c r="F45" s="13" t="s">
        <v>1093</v>
      </c>
      <c r="G45" s="13" t="s">
        <v>1096</v>
      </c>
      <c r="H45" s="13"/>
      <c r="I45" s="4" t="s">
        <v>1097</v>
      </c>
    </row>
    <row r="46" spans="1:9" ht="15.75" customHeight="1" x14ac:dyDescent="0.25">
      <c r="A46" s="10">
        <f t="shared" si="4"/>
        <v>1</v>
      </c>
      <c r="B46" s="10" t="s">
        <v>362</v>
      </c>
      <c r="C46" s="11" t="s">
        <v>196</v>
      </c>
      <c r="D46" s="13">
        <f t="shared" si="1"/>
        <v>4.0199999999999996</v>
      </c>
      <c r="E46" s="13">
        <v>4.0199999999999996</v>
      </c>
      <c r="F46" s="13" t="s">
        <v>1093</v>
      </c>
      <c r="G46" s="13" t="s">
        <v>1096</v>
      </c>
      <c r="H46" s="13"/>
      <c r="I46" s="4" t="s">
        <v>1097</v>
      </c>
    </row>
    <row r="47" spans="1:9" ht="15.75" customHeight="1" x14ac:dyDescent="0.25">
      <c r="A47" s="10">
        <f t="shared" si="4"/>
        <v>1</v>
      </c>
      <c r="B47" s="10" t="s">
        <v>372</v>
      </c>
      <c r="C47" s="11" t="s">
        <v>196</v>
      </c>
      <c r="D47" s="13">
        <f t="shared" si="1"/>
        <v>4.1861538461538466</v>
      </c>
      <c r="E47" s="13">
        <v>4.1861538461538466</v>
      </c>
      <c r="F47" s="13" t="s">
        <v>1093</v>
      </c>
      <c r="G47" s="13" t="s">
        <v>1096</v>
      </c>
      <c r="H47" s="13"/>
      <c r="I47" s="4" t="s">
        <v>1097</v>
      </c>
    </row>
    <row r="48" spans="1:9" ht="15.75" customHeight="1" x14ac:dyDescent="0.25">
      <c r="A48" s="10">
        <f t="shared" si="4"/>
        <v>1</v>
      </c>
      <c r="B48" s="10" t="s">
        <v>371</v>
      </c>
      <c r="C48" s="11" t="s">
        <v>196</v>
      </c>
      <c r="D48" s="13">
        <f t="shared" si="1"/>
        <v>3.9889743589743589</v>
      </c>
      <c r="E48" s="13">
        <v>3.9889743589743589</v>
      </c>
      <c r="F48" s="13" t="s">
        <v>1093</v>
      </c>
      <c r="G48" s="13" t="s">
        <v>1096</v>
      </c>
      <c r="H48" s="13"/>
      <c r="I48" s="4" t="s">
        <v>1097</v>
      </c>
    </row>
    <row r="49" spans="1:9" ht="15.75" customHeight="1" x14ac:dyDescent="0.25">
      <c r="A49" s="10">
        <f t="shared" si="4"/>
        <v>1</v>
      </c>
      <c r="B49" s="10" t="s">
        <v>370</v>
      </c>
      <c r="C49" s="11" t="s">
        <v>196</v>
      </c>
      <c r="D49" s="13">
        <f t="shared" si="1"/>
        <v>1.4359999999999999</v>
      </c>
      <c r="E49" s="13">
        <v>1.4359999999999999</v>
      </c>
      <c r="F49" s="13" t="s">
        <v>1093</v>
      </c>
      <c r="G49" s="13" t="s">
        <v>1096</v>
      </c>
      <c r="H49" s="13"/>
      <c r="I49" s="4" t="s">
        <v>1097</v>
      </c>
    </row>
    <row r="50" spans="1:9" ht="15.75" customHeight="1" x14ac:dyDescent="0.25">
      <c r="A50" s="10">
        <f t="shared" si="4"/>
        <v>1</v>
      </c>
      <c r="B50" s="10" t="s">
        <v>369</v>
      </c>
      <c r="C50" s="11" t="s">
        <v>196</v>
      </c>
      <c r="D50" s="13">
        <f t="shared" si="1"/>
        <v>2.0979999999999999</v>
      </c>
      <c r="E50" s="13">
        <v>2.0979999999999999</v>
      </c>
      <c r="F50" s="13" t="s">
        <v>1093</v>
      </c>
      <c r="G50" s="13" t="s">
        <v>1096</v>
      </c>
      <c r="H50" s="13"/>
      <c r="I50" s="4" t="s">
        <v>1097</v>
      </c>
    </row>
    <row r="51" spans="1:9" ht="15.75" customHeight="1" x14ac:dyDescent="0.25">
      <c r="A51" s="10">
        <f t="shared" si="4"/>
        <v>1</v>
      </c>
      <c r="B51" s="10" t="s">
        <v>368</v>
      </c>
      <c r="C51" s="11" t="s">
        <v>196</v>
      </c>
      <c r="D51" s="13">
        <f t="shared" si="1"/>
        <v>4.1890000000000001</v>
      </c>
      <c r="E51" s="13">
        <v>4.1890000000000001</v>
      </c>
      <c r="F51" s="13" t="s">
        <v>1093</v>
      </c>
      <c r="G51" s="13" t="s">
        <v>1096</v>
      </c>
      <c r="H51" s="13"/>
      <c r="I51" s="4" t="s">
        <v>1097</v>
      </c>
    </row>
    <row r="52" spans="1:9" ht="15.75" customHeight="1" x14ac:dyDescent="0.25">
      <c r="A52" s="10">
        <f t="shared" si="4"/>
        <v>1</v>
      </c>
      <c r="B52" s="10" t="s">
        <v>375</v>
      </c>
      <c r="C52" s="11" t="s">
        <v>196</v>
      </c>
      <c r="D52" s="13">
        <f t="shared" si="1"/>
        <v>3.22</v>
      </c>
      <c r="E52" s="13">
        <v>3.22</v>
      </c>
      <c r="F52" s="13" t="s">
        <v>1093</v>
      </c>
      <c r="G52" s="13" t="s">
        <v>1096</v>
      </c>
      <c r="H52" s="13"/>
      <c r="I52" s="4" t="s">
        <v>1097</v>
      </c>
    </row>
    <row r="53" spans="1:9" ht="14.25" x14ac:dyDescent="0.2">
      <c r="A53" s="10">
        <f t="shared" si="4"/>
        <v>1</v>
      </c>
      <c r="B53" s="77" t="s">
        <v>1646</v>
      </c>
      <c r="C53" s="78" t="s">
        <v>196</v>
      </c>
      <c r="D53" s="79">
        <f t="shared" ref="D53:D61" si="5">E53*$D$1</f>
        <v>4.5</v>
      </c>
      <c r="E53" s="79">
        <v>4.5</v>
      </c>
      <c r="F53" s="79" t="s">
        <v>1093</v>
      </c>
      <c r="G53" s="79" t="s">
        <v>1099</v>
      </c>
      <c r="H53" s="79"/>
      <c r="I53" s="80" t="s">
        <v>1097</v>
      </c>
    </row>
    <row r="54" spans="1:9" ht="14.25" x14ac:dyDescent="0.2">
      <c r="A54" s="10">
        <f t="shared" si="4"/>
        <v>1</v>
      </c>
      <c r="B54" s="77" t="s">
        <v>1648</v>
      </c>
      <c r="C54" s="78" t="s">
        <v>196</v>
      </c>
      <c r="D54" s="79">
        <f t="shared" si="5"/>
        <v>6.5</v>
      </c>
      <c r="E54" s="79">
        <v>6.5</v>
      </c>
      <c r="F54" s="79" t="s">
        <v>1093</v>
      </c>
      <c r="G54" s="79" t="s">
        <v>1099</v>
      </c>
      <c r="H54" s="79"/>
      <c r="I54" s="80" t="s">
        <v>1097</v>
      </c>
    </row>
    <row r="55" spans="1:9" ht="14.25" x14ac:dyDescent="0.2">
      <c r="A55" s="10">
        <f t="shared" si="4"/>
        <v>1</v>
      </c>
      <c r="B55" s="77" t="s">
        <v>1650</v>
      </c>
      <c r="C55" s="78" t="s">
        <v>196</v>
      </c>
      <c r="D55" s="79">
        <f t="shared" si="5"/>
        <v>10</v>
      </c>
      <c r="E55" s="79">
        <v>10</v>
      </c>
      <c r="F55" s="79" t="s">
        <v>1093</v>
      </c>
      <c r="G55" s="79" t="s">
        <v>1099</v>
      </c>
      <c r="H55" s="79"/>
      <c r="I55" s="80" t="s">
        <v>1097</v>
      </c>
    </row>
    <row r="56" spans="1:9" ht="14.25" x14ac:dyDescent="0.2">
      <c r="A56" s="10">
        <f t="shared" si="4"/>
        <v>1</v>
      </c>
      <c r="B56" s="77" t="s">
        <v>1652</v>
      </c>
      <c r="C56" s="78" t="s">
        <v>196</v>
      </c>
      <c r="D56" s="79">
        <f t="shared" si="5"/>
        <v>9.5</v>
      </c>
      <c r="E56" s="79">
        <v>9.5</v>
      </c>
      <c r="F56" s="79" t="s">
        <v>1093</v>
      </c>
      <c r="G56" s="79" t="s">
        <v>1099</v>
      </c>
      <c r="H56" s="79"/>
      <c r="I56" s="80" t="s">
        <v>1097</v>
      </c>
    </row>
    <row r="57" spans="1:9" ht="14.25" x14ac:dyDescent="0.2">
      <c r="A57" s="10">
        <f t="shared" si="4"/>
        <v>1</v>
      </c>
      <c r="B57" s="77" t="s">
        <v>1662</v>
      </c>
      <c r="C57" s="78" t="s">
        <v>196</v>
      </c>
      <c r="D57" s="79">
        <f t="shared" si="5"/>
        <v>14.5</v>
      </c>
      <c r="E57" s="79">
        <v>14.5</v>
      </c>
      <c r="F57" s="79" t="s">
        <v>1093</v>
      </c>
      <c r="G57" s="79" t="s">
        <v>1099</v>
      </c>
      <c r="H57" s="79"/>
      <c r="I57" s="80" t="s">
        <v>1097</v>
      </c>
    </row>
    <row r="58" spans="1:9" ht="14.25" x14ac:dyDescent="0.2">
      <c r="A58" s="10">
        <f t="shared" si="4"/>
        <v>1</v>
      </c>
      <c r="B58" s="77" t="s">
        <v>1655</v>
      </c>
      <c r="C58" s="78" t="s">
        <v>196</v>
      </c>
      <c r="D58" s="79">
        <f t="shared" si="5"/>
        <v>4.8</v>
      </c>
      <c r="E58" s="79">
        <v>4.8</v>
      </c>
      <c r="F58" s="79" t="s">
        <v>1093</v>
      </c>
      <c r="G58" s="79" t="s">
        <v>1099</v>
      </c>
      <c r="H58" s="79"/>
      <c r="I58" s="80" t="s">
        <v>1097</v>
      </c>
    </row>
    <row r="59" spans="1:9" ht="14.25" x14ac:dyDescent="0.2">
      <c r="A59" s="10">
        <f t="shared" si="4"/>
        <v>1</v>
      </c>
      <c r="B59" s="77" t="s">
        <v>1657</v>
      </c>
      <c r="C59" s="78" t="s">
        <v>196</v>
      </c>
      <c r="D59" s="79">
        <f t="shared" si="5"/>
        <v>6.8</v>
      </c>
      <c r="E59" s="79">
        <v>6.8</v>
      </c>
      <c r="F59" s="79" t="s">
        <v>1093</v>
      </c>
      <c r="G59" s="79" t="s">
        <v>1099</v>
      </c>
      <c r="H59" s="79"/>
      <c r="I59" s="80" t="s">
        <v>1097</v>
      </c>
    </row>
    <row r="60" spans="1:9" ht="14.25" x14ac:dyDescent="0.2">
      <c r="A60" s="10">
        <f t="shared" si="4"/>
        <v>1</v>
      </c>
      <c r="B60" s="77" t="s">
        <v>1659</v>
      </c>
      <c r="C60" s="78" t="s">
        <v>196</v>
      </c>
      <c r="D60" s="79">
        <f t="shared" si="5"/>
        <v>9.8000000000000007</v>
      </c>
      <c r="E60" s="79">
        <v>9.8000000000000007</v>
      </c>
      <c r="F60" s="79" t="s">
        <v>1093</v>
      </c>
      <c r="G60" s="79" t="s">
        <v>1099</v>
      </c>
      <c r="H60" s="79"/>
      <c r="I60" s="80" t="s">
        <v>1097</v>
      </c>
    </row>
    <row r="61" spans="1:9" ht="14.25" x14ac:dyDescent="0.2">
      <c r="A61" s="10">
        <f t="shared" si="4"/>
        <v>1</v>
      </c>
      <c r="B61" s="77" t="s">
        <v>1661</v>
      </c>
      <c r="C61" s="78" t="s">
        <v>196</v>
      </c>
      <c r="D61" s="79">
        <f t="shared" si="5"/>
        <v>8.5</v>
      </c>
      <c r="E61" s="79">
        <v>8.5</v>
      </c>
      <c r="F61" s="79" t="s">
        <v>1093</v>
      </c>
      <c r="G61" s="79" t="s">
        <v>1099</v>
      </c>
      <c r="H61" s="79"/>
      <c r="I61" s="80" t="s">
        <v>1097</v>
      </c>
    </row>
    <row r="62" spans="1:9" ht="15.75" customHeight="1" x14ac:dyDescent="0.25">
      <c r="A62" s="10">
        <f t="shared" ref="A62:A93" si="6">COUNTIFS($B$2:$B$996,B62)</f>
        <v>1</v>
      </c>
      <c r="B62" s="10" t="s">
        <v>373</v>
      </c>
      <c r="C62" s="11" t="s">
        <v>196</v>
      </c>
      <c r="D62" s="13">
        <f t="shared" si="1"/>
        <v>3.3050000000000002</v>
      </c>
      <c r="E62" s="13">
        <v>3.3050000000000002</v>
      </c>
      <c r="F62" s="13" t="s">
        <v>1093</v>
      </c>
      <c r="G62" s="13" t="s">
        <v>1096</v>
      </c>
      <c r="H62" s="13"/>
      <c r="I62" s="4" t="s">
        <v>1097</v>
      </c>
    </row>
    <row r="63" spans="1:9" ht="15.75" customHeight="1" x14ac:dyDescent="0.25">
      <c r="A63" s="10">
        <f t="shared" si="6"/>
        <v>1</v>
      </c>
      <c r="B63" s="10" t="s">
        <v>376</v>
      </c>
      <c r="C63" s="11" t="s">
        <v>196</v>
      </c>
      <c r="D63" s="13">
        <f t="shared" si="1"/>
        <v>4.09</v>
      </c>
      <c r="E63" s="13">
        <v>4.09</v>
      </c>
      <c r="F63" s="13" t="s">
        <v>1093</v>
      </c>
      <c r="G63" s="13" t="s">
        <v>1096</v>
      </c>
      <c r="H63" s="13"/>
      <c r="I63" s="4" t="s">
        <v>1097</v>
      </c>
    </row>
    <row r="64" spans="1:9" ht="15.75" customHeight="1" x14ac:dyDescent="0.25">
      <c r="A64" s="10">
        <f t="shared" si="6"/>
        <v>1</v>
      </c>
      <c r="B64" s="10" t="s">
        <v>354</v>
      </c>
      <c r="C64" s="11" t="s">
        <v>196</v>
      </c>
      <c r="D64" s="13">
        <f t="shared" si="1"/>
        <v>1.69</v>
      </c>
      <c r="E64" s="13">
        <v>1.69</v>
      </c>
      <c r="F64" s="13" t="s">
        <v>1093</v>
      </c>
      <c r="G64" s="13" t="s">
        <v>1096</v>
      </c>
      <c r="H64" s="13"/>
      <c r="I64" s="4" t="s">
        <v>1097</v>
      </c>
    </row>
    <row r="65" spans="1:9" ht="15.75" customHeight="1" x14ac:dyDescent="0.25">
      <c r="A65" s="10">
        <f t="shared" si="6"/>
        <v>1</v>
      </c>
      <c r="B65" s="10" t="s">
        <v>357</v>
      </c>
      <c r="C65" s="11" t="s">
        <v>196</v>
      </c>
      <c r="D65" s="13">
        <f t="shared" si="1"/>
        <v>2.76</v>
      </c>
      <c r="E65" s="13">
        <v>2.76</v>
      </c>
      <c r="F65" s="13" t="s">
        <v>1093</v>
      </c>
      <c r="G65" s="13" t="s">
        <v>1096</v>
      </c>
      <c r="H65" s="13"/>
      <c r="I65" s="4" t="s">
        <v>1097</v>
      </c>
    </row>
    <row r="66" spans="1:9" ht="15.75" customHeight="1" x14ac:dyDescent="0.25">
      <c r="A66" s="10">
        <f t="shared" si="6"/>
        <v>1</v>
      </c>
      <c r="B66" s="10" t="s">
        <v>346</v>
      </c>
      <c r="C66" s="11" t="s">
        <v>196</v>
      </c>
      <c r="D66" s="13">
        <f>E66*$D$1</f>
        <v>1.4</v>
      </c>
      <c r="E66" s="13">
        <v>1.4</v>
      </c>
      <c r="F66" s="13" t="s">
        <v>1093</v>
      </c>
      <c r="G66" s="13" t="s">
        <v>1099</v>
      </c>
      <c r="H66" s="13"/>
      <c r="I66" s="4" t="s">
        <v>1097</v>
      </c>
    </row>
    <row r="67" spans="1:9" ht="15.75" customHeight="1" x14ac:dyDescent="0.25">
      <c r="A67" s="10">
        <f t="shared" si="6"/>
        <v>1</v>
      </c>
      <c r="B67" s="10" t="s">
        <v>1100</v>
      </c>
      <c r="C67" s="11" t="s">
        <v>196</v>
      </c>
      <c r="D67" s="13">
        <f>E67*$D$1</f>
        <v>0.99</v>
      </c>
      <c r="E67" s="13">
        <v>0.99</v>
      </c>
      <c r="F67" s="13" t="s">
        <v>1093</v>
      </c>
      <c r="G67" s="13" t="s">
        <v>1099</v>
      </c>
      <c r="H67" s="13"/>
      <c r="I67" s="4" t="s">
        <v>1097</v>
      </c>
    </row>
    <row r="68" spans="1:9" ht="15.75" customHeight="1" x14ac:dyDescent="0.25">
      <c r="A68" s="10">
        <f t="shared" si="6"/>
        <v>1</v>
      </c>
      <c r="B68" s="10" t="s">
        <v>2286</v>
      </c>
      <c r="C68" s="11" t="s">
        <v>196</v>
      </c>
      <c r="D68" s="13">
        <f t="shared" si="1"/>
        <v>1.1499999999999999</v>
      </c>
      <c r="E68" s="13">
        <f>E66*11.5/14</f>
        <v>1.1499999999999999</v>
      </c>
      <c r="F68" s="13" t="s">
        <v>1093</v>
      </c>
      <c r="G68" s="13" t="s">
        <v>1099</v>
      </c>
      <c r="H68" s="13"/>
      <c r="I68" s="4" t="s">
        <v>1097</v>
      </c>
    </row>
    <row r="69" spans="1:9" ht="15.75" customHeight="1" x14ac:dyDescent="0.25">
      <c r="A69" s="10">
        <f t="shared" si="6"/>
        <v>1</v>
      </c>
      <c r="B69" s="10" t="s">
        <v>2287</v>
      </c>
      <c r="C69" s="11" t="s">
        <v>196</v>
      </c>
      <c r="D69" s="13">
        <f t="shared" si="1"/>
        <v>1.9</v>
      </c>
      <c r="E69" s="13">
        <f>E66*19/14</f>
        <v>1.9</v>
      </c>
      <c r="F69" s="13" t="s">
        <v>1093</v>
      </c>
      <c r="G69" s="13" t="s">
        <v>1099</v>
      </c>
      <c r="H69" s="13"/>
      <c r="I69" s="4" t="s">
        <v>1097</v>
      </c>
    </row>
    <row r="70" spans="1:9" ht="15.75" customHeight="1" x14ac:dyDescent="0.25">
      <c r="A70" s="10">
        <f t="shared" si="6"/>
        <v>1</v>
      </c>
      <c r="B70" s="10" t="s">
        <v>340</v>
      </c>
      <c r="C70" s="11" t="s">
        <v>196</v>
      </c>
      <c r="D70" s="13">
        <f t="shared" si="1"/>
        <v>0.99</v>
      </c>
      <c r="E70" s="13">
        <v>0.99</v>
      </c>
      <c r="F70" s="13" t="s">
        <v>1093</v>
      </c>
      <c r="G70" s="13" t="s">
        <v>1099</v>
      </c>
      <c r="H70" s="13"/>
      <c r="I70" s="4" t="s">
        <v>1097</v>
      </c>
    </row>
    <row r="71" spans="1:9" ht="15.75" customHeight="1" x14ac:dyDescent="0.25">
      <c r="A71" s="10">
        <f t="shared" si="6"/>
        <v>1</v>
      </c>
      <c r="B71" s="10" t="s">
        <v>342</v>
      </c>
      <c r="C71" s="11" t="s">
        <v>196</v>
      </c>
      <c r="D71" s="13">
        <f t="shared" si="1"/>
        <v>1.24</v>
      </c>
      <c r="E71" s="13">
        <v>1.24</v>
      </c>
      <c r="F71" s="13" t="s">
        <v>1093</v>
      </c>
      <c r="G71" s="13" t="s">
        <v>1099</v>
      </c>
      <c r="H71" s="13"/>
      <c r="I71" s="4" t="s">
        <v>1097</v>
      </c>
    </row>
    <row r="72" spans="1:9" ht="15.75" customHeight="1" x14ac:dyDescent="0.25">
      <c r="A72" s="10">
        <f t="shared" si="6"/>
        <v>1</v>
      </c>
      <c r="B72" s="10" t="s">
        <v>344</v>
      </c>
      <c r="C72" s="11" t="s">
        <v>196</v>
      </c>
      <c r="D72" s="13">
        <f>E72*$D$1</f>
        <v>2.6</v>
      </c>
      <c r="E72" s="13">
        <v>2.6</v>
      </c>
      <c r="F72" s="13" t="s">
        <v>1093</v>
      </c>
      <c r="G72" s="13" t="s">
        <v>1099</v>
      </c>
      <c r="H72" s="13"/>
      <c r="I72" s="4" t="s">
        <v>1097</v>
      </c>
    </row>
    <row r="73" spans="1:9" ht="15.75" customHeight="1" x14ac:dyDescent="0.25">
      <c r="A73" s="10">
        <f t="shared" si="6"/>
        <v>1</v>
      </c>
      <c r="B73" s="10" t="s">
        <v>1574</v>
      </c>
      <c r="C73" s="11" t="s">
        <v>196</v>
      </c>
      <c r="D73" s="13">
        <f t="shared" si="1"/>
        <v>1.59</v>
      </c>
      <c r="E73" s="13">
        <v>1.59</v>
      </c>
      <c r="F73" s="13" t="s">
        <v>1093</v>
      </c>
      <c r="G73" s="13" t="s">
        <v>1099</v>
      </c>
      <c r="H73" s="13"/>
      <c r="I73" s="4" t="s">
        <v>1097</v>
      </c>
    </row>
    <row r="74" spans="1:9" ht="15.75" customHeight="1" x14ac:dyDescent="0.25">
      <c r="A74" s="10">
        <f t="shared" si="6"/>
        <v>1</v>
      </c>
      <c r="B74" s="10" t="s">
        <v>348</v>
      </c>
      <c r="C74" s="11" t="s">
        <v>196</v>
      </c>
      <c r="D74" s="13">
        <f t="shared" si="1"/>
        <v>2.7</v>
      </c>
      <c r="E74" s="13">
        <v>2.7</v>
      </c>
      <c r="F74" s="13" t="s">
        <v>1093</v>
      </c>
      <c r="G74" s="13" t="s">
        <v>1099</v>
      </c>
      <c r="H74" s="13"/>
      <c r="I74" s="4" t="s">
        <v>1097</v>
      </c>
    </row>
    <row r="75" spans="1:9" ht="15.75" customHeight="1" x14ac:dyDescent="0.25">
      <c r="A75" s="10">
        <f t="shared" si="6"/>
        <v>1</v>
      </c>
      <c r="B75" s="10" t="s">
        <v>1305</v>
      </c>
      <c r="C75" s="11" t="s">
        <v>196</v>
      </c>
      <c r="D75" s="13">
        <f>E75*$D$1</f>
        <v>3.4500000000000006</v>
      </c>
      <c r="E75" s="13">
        <f>E74/9*11.5</f>
        <v>3.4500000000000006</v>
      </c>
      <c r="F75" s="13" t="s">
        <v>1093</v>
      </c>
      <c r="G75" s="13" t="s">
        <v>1099</v>
      </c>
      <c r="H75" s="13"/>
      <c r="I75" s="4" t="s">
        <v>1097</v>
      </c>
    </row>
    <row r="76" spans="1:9" ht="15.75" customHeight="1" x14ac:dyDescent="0.25">
      <c r="A76" s="10">
        <f t="shared" si="6"/>
        <v>1</v>
      </c>
      <c r="B76" s="10" t="s">
        <v>1306</v>
      </c>
      <c r="C76" s="11" t="s">
        <v>196</v>
      </c>
      <c r="D76" s="13">
        <f>E76*$D$1</f>
        <v>5.7000000000000011</v>
      </c>
      <c r="E76" s="13">
        <f>E74/9*19</f>
        <v>5.7000000000000011</v>
      </c>
      <c r="F76" s="13" t="s">
        <v>1093</v>
      </c>
      <c r="G76" s="13" t="s">
        <v>1099</v>
      </c>
      <c r="H76" s="13"/>
      <c r="I76" s="4" t="s">
        <v>1097</v>
      </c>
    </row>
    <row r="77" spans="1:9" ht="15.75" customHeight="1" x14ac:dyDescent="0.25">
      <c r="A77" s="10">
        <f t="shared" si="6"/>
        <v>1</v>
      </c>
      <c r="B77" s="10" t="s">
        <v>382</v>
      </c>
      <c r="C77" s="11" t="s">
        <v>196</v>
      </c>
      <c r="D77" s="13">
        <f t="shared" si="1"/>
        <v>15</v>
      </c>
      <c r="E77" s="13">
        <v>15</v>
      </c>
      <c r="F77" s="13" t="s">
        <v>1093</v>
      </c>
      <c r="G77" s="13" t="s">
        <v>1099</v>
      </c>
      <c r="H77" s="4"/>
      <c r="I77" s="4" t="s">
        <v>1097</v>
      </c>
    </row>
    <row r="78" spans="1:9" ht="15.75" customHeight="1" x14ac:dyDescent="0.25">
      <c r="A78" s="10">
        <f t="shared" si="6"/>
        <v>1</v>
      </c>
      <c r="B78" s="10" t="s">
        <v>380</v>
      </c>
      <c r="C78" s="11" t="s">
        <v>196</v>
      </c>
      <c r="D78" s="13">
        <f t="shared" si="1"/>
        <v>11.99</v>
      </c>
      <c r="E78" s="13">
        <v>11.99</v>
      </c>
      <c r="F78" s="13" t="s">
        <v>1093</v>
      </c>
      <c r="G78" s="13" t="s">
        <v>1099</v>
      </c>
      <c r="H78" s="13"/>
      <c r="I78" s="4" t="s">
        <v>1097</v>
      </c>
    </row>
    <row r="79" spans="1:9" ht="15.75" customHeight="1" x14ac:dyDescent="0.25">
      <c r="A79" s="10">
        <f t="shared" si="6"/>
        <v>1</v>
      </c>
      <c r="B79" s="10" t="s">
        <v>350</v>
      </c>
      <c r="C79" s="11" t="s">
        <v>196</v>
      </c>
      <c r="D79" s="13">
        <f t="shared" si="1"/>
        <v>1.05</v>
      </c>
      <c r="E79" s="13">
        <v>1.05</v>
      </c>
      <c r="F79" s="13" t="s">
        <v>1093</v>
      </c>
      <c r="G79" s="13" t="s">
        <v>1099</v>
      </c>
      <c r="H79" s="13"/>
      <c r="I79" s="4" t="s">
        <v>1097</v>
      </c>
    </row>
    <row r="80" spans="1:9" ht="15.75" customHeight="1" x14ac:dyDescent="0.25">
      <c r="A80" s="10">
        <f t="shared" si="6"/>
        <v>1</v>
      </c>
      <c r="B80" s="10" t="s">
        <v>351</v>
      </c>
      <c r="C80" s="11" t="s">
        <v>196</v>
      </c>
      <c r="D80" s="13">
        <f t="shared" si="1"/>
        <v>1.18</v>
      </c>
      <c r="E80" s="13">
        <v>1.18</v>
      </c>
      <c r="F80" s="13" t="s">
        <v>1093</v>
      </c>
      <c r="G80" s="13" t="s">
        <v>1099</v>
      </c>
      <c r="H80" s="13"/>
      <c r="I80" s="4" t="s">
        <v>1097</v>
      </c>
    </row>
    <row r="81" spans="1:9" ht="15.75" customHeight="1" x14ac:dyDescent="0.25">
      <c r="A81" s="10">
        <f t="shared" si="6"/>
        <v>1</v>
      </c>
      <c r="B81" s="10" t="s">
        <v>352</v>
      </c>
      <c r="C81" s="11" t="s">
        <v>196</v>
      </c>
      <c r="D81" s="13">
        <f t="shared" si="1"/>
        <v>1.43</v>
      </c>
      <c r="E81" s="13">
        <v>1.43</v>
      </c>
      <c r="F81" s="13" t="s">
        <v>1093</v>
      </c>
      <c r="G81" s="13" t="s">
        <v>1099</v>
      </c>
      <c r="H81" s="13"/>
      <c r="I81" s="4" t="s">
        <v>1097</v>
      </c>
    </row>
    <row r="82" spans="1:9" ht="15.75" customHeight="1" x14ac:dyDescent="0.25">
      <c r="A82" s="10">
        <f t="shared" si="6"/>
        <v>1</v>
      </c>
      <c r="B82" s="10" t="s">
        <v>353</v>
      </c>
      <c r="C82" s="11" t="s">
        <v>196</v>
      </c>
      <c r="D82" s="13">
        <f>E82*$D$1</f>
        <v>1.72</v>
      </c>
      <c r="E82" s="13">
        <v>1.72</v>
      </c>
      <c r="F82" s="13" t="s">
        <v>1093</v>
      </c>
      <c r="G82" s="13" t="s">
        <v>1099</v>
      </c>
      <c r="H82" s="13"/>
      <c r="I82" s="4" t="s">
        <v>1097</v>
      </c>
    </row>
    <row r="83" spans="1:9" ht="15.75" customHeight="1" x14ac:dyDescent="0.25">
      <c r="A83" s="10">
        <f t="shared" si="6"/>
        <v>1</v>
      </c>
      <c r="B83" s="10" t="s">
        <v>1302</v>
      </c>
      <c r="C83" s="11" t="s">
        <v>196</v>
      </c>
      <c r="D83" s="13">
        <f t="shared" si="1"/>
        <v>2.3342857142857145</v>
      </c>
      <c r="E83" s="13">
        <f>E82/14*19</f>
        <v>2.3342857142857145</v>
      </c>
      <c r="F83" s="13" t="s">
        <v>1093</v>
      </c>
      <c r="G83" s="13" t="s">
        <v>1099</v>
      </c>
      <c r="H83" s="13"/>
      <c r="I83" s="4" t="s">
        <v>1097</v>
      </c>
    </row>
    <row r="84" spans="1:9" ht="15.75" customHeight="1" x14ac:dyDescent="0.25">
      <c r="A84" s="10">
        <f t="shared" si="6"/>
        <v>1</v>
      </c>
      <c r="B84" s="15" t="s">
        <v>358</v>
      </c>
      <c r="C84" s="11" t="s">
        <v>151</v>
      </c>
      <c r="D84" s="13">
        <f t="shared" si="1"/>
        <v>10.71</v>
      </c>
      <c r="E84" s="13">
        <v>10.71</v>
      </c>
      <c r="F84" s="13" t="s">
        <v>1101</v>
      </c>
      <c r="G84" s="13" t="s">
        <v>1102</v>
      </c>
      <c r="H84" s="13"/>
      <c r="I84" s="4" t="s">
        <v>1101</v>
      </c>
    </row>
    <row r="85" spans="1:9" ht="15.75" customHeight="1" x14ac:dyDescent="0.25">
      <c r="A85" s="10">
        <f t="shared" si="6"/>
        <v>1</v>
      </c>
      <c r="B85" s="15" t="s">
        <v>359</v>
      </c>
      <c r="C85" s="11" t="s">
        <v>151</v>
      </c>
      <c r="D85" s="13">
        <f t="shared" si="1"/>
        <v>12.41</v>
      </c>
      <c r="E85" s="13">
        <v>12.41</v>
      </c>
      <c r="F85" s="13" t="s">
        <v>1101</v>
      </c>
      <c r="G85" s="13" t="s">
        <v>1102</v>
      </c>
      <c r="H85" s="13"/>
      <c r="I85" s="4" t="s">
        <v>1101</v>
      </c>
    </row>
    <row r="86" spans="1:9" ht="15.75" customHeight="1" x14ac:dyDescent="0.25">
      <c r="A86" s="10">
        <f t="shared" si="6"/>
        <v>1</v>
      </c>
      <c r="B86" s="15" t="s">
        <v>360</v>
      </c>
      <c r="C86" s="11" t="s">
        <v>151</v>
      </c>
      <c r="D86" s="13">
        <f t="shared" si="1"/>
        <v>17.91</v>
      </c>
      <c r="E86" s="13">
        <v>17.91</v>
      </c>
      <c r="F86" s="13" t="s">
        <v>1101</v>
      </c>
      <c r="G86" s="13" t="s">
        <v>1102</v>
      </c>
      <c r="H86" s="13"/>
      <c r="I86" s="4" t="s">
        <v>1101</v>
      </c>
    </row>
    <row r="87" spans="1:9" ht="15.75" customHeight="1" x14ac:dyDescent="0.25">
      <c r="A87" s="10">
        <f t="shared" si="6"/>
        <v>1</v>
      </c>
      <c r="B87" s="15" t="s">
        <v>1311</v>
      </c>
      <c r="C87" s="11" t="s">
        <v>151</v>
      </c>
      <c r="D87" s="13">
        <f>E87*$D$1</f>
        <v>16.440000000000001</v>
      </c>
      <c r="E87" s="13">
        <v>16.440000000000001</v>
      </c>
      <c r="F87" s="13" t="s">
        <v>1101</v>
      </c>
      <c r="G87" s="13" t="s">
        <v>1102</v>
      </c>
      <c r="H87" s="13"/>
      <c r="I87" s="4" t="s">
        <v>1101</v>
      </c>
    </row>
    <row r="88" spans="1:9" ht="14.25" x14ac:dyDescent="0.2">
      <c r="A88" s="10">
        <f t="shared" si="6"/>
        <v>1</v>
      </c>
      <c r="B88" s="82" t="s">
        <v>1797</v>
      </c>
      <c r="C88" s="78" t="s">
        <v>151</v>
      </c>
      <c r="D88" s="79">
        <f>E88*$D$1</f>
        <v>43.48</v>
      </c>
      <c r="E88" s="79">
        <v>43.48</v>
      </c>
      <c r="F88" s="79" t="s">
        <v>1101</v>
      </c>
      <c r="G88" s="79" t="s">
        <v>1103</v>
      </c>
      <c r="H88" s="79"/>
      <c r="I88" s="80" t="s">
        <v>1101</v>
      </c>
    </row>
    <row r="89" spans="1:9" ht="15.75" customHeight="1" x14ac:dyDescent="0.25">
      <c r="A89" s="10">
        <f t="shared" si="6"/>
        <v>1</v>
      </c>
      <c r="B89" s="15" t="s">
        <v>491</v>
      </c>
      <c r="C89" s="11" t="s">
        <v>151</v>
      </c>
      <c r="D89" s="13">
        <f t="shared" si="1"/>
        <v>657.89</v>
      </c>
      <c r="E89" s="13">
        <v>657.89</v>
      </c>
      <c r="F89" s="13" t="s">
        <v>1101</v>
      </c>
      <c r="G89" s="13" t="s">
        <v>1103</v>
      </c>
      <c r="H89" s="13"/>
      <c r="I89" s="4" t="s">
        <v>1101</v>
      </c>
    </row>
    <row r="90" spans="1:9" ht="15.75" customHeight="1" x14ac:dyDescent="0.25">
      <c r="A90" s="10">
        <f t="shared" si="6"/>
        <v>1</v>
      </c>
      <c r="B90" s="15" t="s">
        <v>484</v>
      </c>
      <c r="C90" s="11" t="s">
        <v>151</v>
      </c>
      <c r="D90" s="13">
        <f t="shared" si="1"/>
        <v>633.27</v>
      </c>
      <c r="E90" s="13">
        <v>633.27</v>
      </c>
      <c r="F90" s="13" t="s">
        <v>1101</v>
      </c>
      <c r="G90" s="13" t="s">
        <v>1103</v>
      </c>
      <c r="H90" s="13"/>
      <c r="I90" s="4" t="s">
        <v>1101</v>
      </c>
    </row>
    <row r="91" spans="1:9" ht="15.75" customHeight="1" x14ac:dyDescent="0.25">
      <c r="A91" s="10">
        <f t="shared" si="6"/>
        <v>1</v>
      </c>
      <c r="B91" s="10" t="s">
        <v>76</v>
      </c>
      <c r="C91" s="11" t="s">
        <v>205</v>
      </c>
      <c r="D91" s="13">
        <f t="shared" si="1"/>
        <v>0.46</v>
      </c>
      <c r="E91" s="13">
        <v>0.46</v>
      </c>
      <c r="F91" s="13" t="s">
        <v>1101</v>
      </c>
      <c r="G91" s="13" t="s">
        <v>1104</v>
      </c>
      <c r="H91" s="13"/>
      <c r="I91" s="4" t="s">
        <v>1101</v>
      </c>
    </row>
    <row r="92" spans="1:9" ht="15.75" customHeight="1" x14ac:dyDescent="0.25">
      <c r="A92" s="10">
        <f t="shared" si="6"/>
        <v>1</v>
      </c>
      <c r="B92" s="10" t="s">
        <v>2660</v>
      </c>
      <c r="C92" s="11" t="s">
        <v>205</v>
      </c>
      <c r="D92" s="13">
        <f>E92*$D$1</f>
        <v>18.326666666666664</v>
      </c>
      <c r="E92" s="13">
        <f>274.9/15</f>
        <v>18.326666666666664</v>
      </c>
      <c r="F92" s="13" t="s">
        <v>1101</v>
      </c>
      <c r="G92" s="13" t="s">
        <v>1104</v>
      </c>
      <c r="H92" s="13"/>
      <c r="I92" s="4" t="s">
        <v>1101</v>
      </c>
    </row>
    <row r="93" spans="1:9" ht="15.75" customHeight="1" x14ac:dyDescent="0.25">
      <c r="A93" s="10">
        <f t="shared" si="6"/>
        <v>1</v>
      </c>
      <c r="B93" s="10" t="s">
        <v>391</v>
      </c>
      <c r="C93" s="11" t="s">
        <v>1105</v>
      </c>
      <c r="D93" s="13">
        <f t="shared" si="1"/>
        <v>2.5619999999999998</v>
      </c>
      <c r="E93" s="13">
        <v>2.5619999999999998</v>
      </c>
      <c r="F93" s="13" t="s">
        <v>1101</v>
      </c>
      <c r="G93" s="13" t="s">
        <v>1106</v>
      </c>
      <c r="H93" s="13"/>
      <c r="I93" s="4" t="s">
        <v>1101</v>
      </c>
    </row>
    <row r="94" spans="1:9" ht="15.75" customHeight="1" x14ac:dyDescent="0.25">
      <c r="A94" s="10">
        <f t="shared" ref="A94:A127" si="7">COUNTIFS($B$2:$B$996,B94)</f>
        <v>1</v>
      </c>
      <c r="B94" s="10" t="s">
        <v>480</v>
      </c>
      <c r="C94" s="11" t="s">
        <v>205</v>
      </c>
      <c r="D94" s="13">
        <f>E94*$D$1</f>
        <v>1.0645</v>
      </c>
      <c r="E94" s="13">
        <f>21.29/20</f>
        <v>1.0645</v>
      </c>
      <c r="F94" s="13" t="s">
        <v>1101</v>
      </c>
      <c r="G94" s="13" t="s">
        <v>1103</v>
      </c>
      <c r="H94" s="13"/>
      <c r="I94" s="4" t="s">
        <v>1101</v>
      </c>
    </row>
    <row r="95" spans="1:9" ht="15.75" customHeight="1" x14ac:dyDescent="0.25">
      <c r="A95" s="10">
        <f t="shared" si="7"/>
        <v>1</v>
      </c>
      <c r="B95" s="10" t="s">
        <v>657</v>
      </c>
      <c r="C95" s="11" t="s">
        <v>205</v>
      </c>
      <c r="D95" s="13">
        <f t="shared" si="1"/>
        <v>0.95</v>
      </c>
      <c r="E95" s="13">
        <f>19/20</f>
        <v>0.95</v>
      </c>
      <c r="F95" s="13" t="s">
        <v>1101</v>
      </c>
      <c r="G95" s="13" t="s">
        <v>1103</v>
      </c>
      <c r="H95" s="13"/>
      <c r="I95" s="4" t="s">
        <v>1101</v>
      </c>
    </row>
    <row r="96" spans="1:9" ht="15.75" customHeight="1" x14ac:dyDescent="0.25">
      <c r="A96" s="10">
        <f t="shared" si="7"/>
        <v>1</v>
      </c>
      <c r="B96" s="10" t="s">
        <v>1107</v>
      </c>
      <c r="C96" s="11" t="s">
        <v>205</v>
      </c>
      <c r="D96" s="13">
        <f t="shared" si="1"/>
        <v>4</v>
      </c>
      <c r="E96" s="13">
        <v>4</v>
      </c>
      <c r="F96" s="13" t="s">
        <v>1101</v>
      </c>
      <c r="G96" s="13" t="s">
        <v>1103</v>
      </c>
      <c r="H96" s="13"/>
      <c r="I96" s="4" t="s">
        <v>1101</v>
      </c>
    </row>
    <row r="97" spans="1:9" ht="15.75" customHeight="1" x14ac:dyDescent="0.25">
      <c r="A97" s="10">
        <f t="shared" si="7"/>
        <v>1</v>
      </c>
      <c r="B97" s="10" t="s">
        <v>1108</v>
      </c>
      <c r="C97" s="11" t="s">
        <v>205</v>
      </c>
      <c r="D97" s="13">
        <f t="shared" si="1"/>
        <v>1.36</v>
      </c>
      <c r="E97" s="13">
        <v>1.36</v>
      </c>
      <c r="F97" s="13" t="s">
        <v>1101</v>
      </c>
      <c r="G97" s="13" t="s">
        <v>1103</v>
      </c>
      <c r="H97" s="13"/>
      <c r="I97" s="4" t="s">
        <v>1101</v>
      </c>
    </row>
    <row r="98" spans="1:9" ht="15.75" customHeight="1" x14ac:dyDescent="0.25">
      <c r="A98" s="10">
        <f t="shared" si="7"/>
        <v>1</v>
      </c>
      <c r="B98" s="10" t="s">
        <v>486</v>
      </c>
      <c r="C98" s="11" t="s">
        <v>205</v>
      </c>
      <c r="D98" s="13">
        <f>E98*$D$1</f>
        <v>0.8</v>
      </c>
      <c r="E98" s="13">
        <v>0.8</v>
      </c>
      <c r="F98" s="13" t="s">
        <v>1101</v>
      </c>
      <c r="G98" s="13" t="s">
        <v>1106</v>
      </c>
      <c r="H98" s="13"/>
      <c r="I98" s="4" t="s">
        <v>1101</v>
      </c>
    </row>
    <row r="99" spans="1:9" ht="15.75" customHeight="1" x14ac:dyDescent="0.25">
      <c r="A99" s="10">
        <f t="shared" si="7"/>
        <v>1</v>
      </c>
      <c r="B99" s="10" t="s">
        <v>1391</v>
      </c>
      <c r="C99" s="11" t="s">
        <v>205</v>
      </c>
      <c r="D99" s="13">
        <f t="shared" si="1"/>
        <v>0.95</v>
      </c>
      <c r="E99" s="13">
        <v>0.95</v>
      </c>
      <c r="F99" s="13" t="s">
        <v>1101</v>
      </c>
      <c r="G99" s="13" t="s">
        <v>1106</v>
      </c>
      <c r="H99" s="13"/>
      <c r="I99" s="4" t="s">
        <v>1101</v>
      </c>
    </row>
    <row r="100" spans="1:9" ht="15.75" customHeight="1" x14ac:dyDescent="0.25">
      <c r="A100" s="10">
        <f t="shared" si="7"/>
        <v>1</v>
      </c>
      <c r="B100" s="10" t="s">
        <v>343</v>
      </c>
      <c r="C100" s="11" t="s">
        <v>205</v>
      </c>
      <c r="D100" s="13">
        <f t="shared" si="1"/>
        <v>19.116</v>
      </c>
      <c r="E100" s="13">
        <v>19.116</v>
      </c>
      <c r="F100" s="13" t="s">
        <v>1101</v>
      </c>
      <c r="G100" s="13" t="s">
        <v>1106</v>
      </c>
      <c r="H100" s="13"/>
      <c r="I100" s="4" t="s">
        <v>1101</v>
      </c>
    </row>
    <row r="101" spans="1:9" ht="15.75" customHeight="1" x14ac:dyDescent="0.25">
      <c r="A101" s="10">
        <f t="shared" si="7"/>
        <v>1</v>
      </c>
      <c r="B101" s="10" t="s">
        <v>385</v>
      </c>
      <c r="C101" s="11" t="s">
        <v>151</v>
      </c>
      <c r="D101" s="13">
        <f t="shared" si="1"/>
        <v>1.75</v>
      </c>
      <c r="E101" s="13">
        <v>1.75</v>
      </c>
      <c r="F101" s="13" t="s">
        <v>1101</v>
      </c>
      <c r="G101" s="13" t="s">
        <v>1106</v>
      </c>
      <c r="H101" s="13"/>
      <c r="I101" s="4" t="s">
        <v>1101</v>
      </c>
    </row>
    <row r="102" spans="1:9" ht="15.75" customHeight="1" x14ac:dyDescent="0.25">
      <c r="A102" s="10">
        <f>COUNTIFS($B$2:$B$996,B102)</f>
        <v>1</v>
      </c>
      <c r="B102" s="10" t="s">
        <v>495</v>
      </c>
      <c r="C102" s="11" t="s">
        <v>151</v>
      </c>
      <c r="D102" s="13">
        <f>E102*$D$1</f>
        <v>415</v>
      </c>
      <c r="E102" s="13">
        <v>415</v>
      </c>
      <c r="F102" s="13" t="s">
        <v>1101</v>
      </c>
      <c r="G102" s="13" t="s">
        <v>1106</v>
      </c>
      <c r="H102" s="13" t="s">
        <v>3011</v>
      </c>
      <c r="I102" s="4" t="s">
        <v>1101</v>
      </c>
    </row>
    <row r="103" spans="1:9" ht="15.75" customHeight="1" x14ac:dyDescent="0.25">
      <c r="A103" s="10">
        <f t="shared" si="7"/>
        <v>1</v>
      </c>
      <c r="B103" s="10" t="s">
        <v>3010</v>
      </c>
      <c r="C103" s="11" t="s">
        <v>151</v>
      </c>
      <c r="D103" s="13">
        <f t="shared" si="1"/>
        <v>45</v>
      </c>
      <c r="E103" s="13">
        <v>45</v>
      </c>
      <c r="F103" s="13" t="s">
        <v>1101</v>
      </c>
      <c r="G103" s="13" t="s">
        <v>1106</v>
      </c>
      <c r="H103" s="13" t="s">
        <v>3011</v>
      </c>
      <c r="I103" s="4" t="s">
        <v>1101</v>
      </c>
    </row>
    <row r="104" spans="1:9" ht="15.75" customHeight="1" x14ac:dyDescent="0.25">
      <c r="A104" s="10">
        <f>COUNTIFS($B$2:$B$996,B104)</f>
        <v>1</v>
      </c>
      <c r="B104" s="10" t="s">
        <v>444</v>
      </c>
      <c r="C104" s="11" t="s">
        <v>151</v>
      </c>
      <c r="D104" s="13">
        <f>E104*$D$1</f>
        <v>550</v>
      </c>
      <c r="E104" s="13">
        <v>550</v>
      </c>
      <c r="F104" s="13" t="s">
        <v>1101</v>
      </c>
      <c r="G104" s="13" t="s">
        <v>1106</v>
      </c>
      <c r="H104" s="13"/>
      <c r="I104" s="4" t="s">
        <v>1101</v>
      </c>
    </row>
    <row r="105" spans="1:9" ht="15.75" customHeight="1" x14ac:dyDescent="0.25">
      <c r="A105" s="10">
        <f t="shared" si="7"/>
        <v>1</v>
      </c>
      <c r="B105" s="10" t="s">
        <v>3013</v>
      </c>
      <c r="C105" s="11" t="s">
        <v>151</v>
      </c>
      <c r="D105" s="13">
        <f t="shared" si="1"/>
        <v>515</v>
      </c>
      <c r="E105" s="13">
        <v>515</v>
      </c>
      <c r="F105" s="13" t="s">
        <v>1101</v>
      </c>
      <c r="G105" s="13" t="s">
        <v>1106</v>
      </c>
      <c r="H105" s="13" t="s">
        <v>3011</v>
      </c>
      <c r="I105" s="4" t="s">
        <v>1101</v>
      </c>
    </row>
    <row r="106" spans="1:9" ht="15.75" customHeight="1" x14ac:dyDescent="0.25">
      <c r="A106" s="10">
        <f t="shared" si="7"/>
        <v>1</v>
      </c>
      <c r="B106" s="10" t="s">
        <v>615</v>
      </c>
      <c r="C106" s="11" t="s">
        <v>205</v>
      </c>
      <c r="D106" s="13">
        <f t="shared" si="1"/>
        <v>2.9449999999999998</v>
      </c>
      <c r="E106" s="13">
        <v>2.9449999999999998</v>
      </c>
      <c r="F106" s="13" t="s">
        <v>1101</v>
      </c>
      <c r="G106" s="13" t="s">
        <v>1106</v>
      </c>
      <c r="H106" s="13"/>
      <c r="I106" s="4" t="s">
        <v>1101</v>
      </c>
    </row>
    <row r="107" spans="1:9" ht="15.75" customHeight="1" x14ac:dyDescent="0.25">
      <c r="A107" s="10">
        <f t="shared" si="7"/>
        <v>1</v>
      </c>
      <c r="B107" s="10" t="s">
        <v>355</v>
      </c>
      <c r="C107" s="11" t="s">
        <v>151</v>
      </c>
      <c r="D107" s="13">
        <f t="shared" si="1"/>
        <v>425</v>
      </c>
      <c r="E107" s="13">
        <v>425</v>
      </c>
      <c r="F107" s="13" t="s">
        <v>1101</v>
      </c>
      <c r="G107" s="13" t="s">
        <v>1109</v>
      </c>
      <c r="H107" s="13"/>
      <c r="I107" s="4" t="s">
        <v>1101</v>
      </c>
    </row>
    <row r="108" spans="1:9" ht="15.75" customHeight="1" x14ac:dyDescent="0.25">
      <c r="A108" s="10">
        <f t="shared" si="7"/>
        <v>1</v>
      </c>
      <c r="B108" s="10" t="s">
        <v>485</v>
      </c>
      <c r="C108" s="11" t="s">
        <v>151</v>
      </c>
      <c r="D108" s="13">
        <f t="shared" si="1"/>
        <v>480</v>
      </c>
      <c r="E108" s="13">
        <v>480</v>
      </c>
      <c r="F108" s="13" t="s">
        <v>1101</v>
      </c>
      <c r="G108" s="13" t="s">
        <v>1109</v>
      </c>
      <c r="H108" s="13"/>
      <c r="I108" s="4" t="s">
        <v>1101</v>
      </c>
    </row>
    <row r="109" spans="1:9" ht="15.75" customHeight="1" x14ac:dyDescent="0.25">
      <c r="A109" s="10">
        <f t="shared" si="7"/>
        <v>1</v>
      </c>
      <c r="B109" s="10" t="s">
        <v>341</v>
      </c>
      <c r="C109" s="11" t="s">
        <v>151</v>
      </c>
      <c r="D109" s="13">
        <f t="shared" si="1"/>
        <v>425</v>
      </c>
      <c r="E109" s="13">
        <v>425</v>
      </c>
      <c r="F109" s="13" t="s">
        <v>1101</v>
      </c>
      <c r="G109" s="13" t="s">
        <v>1109</v>
      </c>
      <c r="H109" s="13"/>
      <c r="I109" s="4" t="s">
        <v>1101</v>
      </c>
    </row>
    <row r="110" spans="1:9" ht="15.75" customHeight="1" x14ac:dyDescent="0.25">
      <c r="A110" s="10">
        <f t="shared" si="7"/>
        <v>1</v>
      </c>
      <c r="B110" s="10" t="s">
        <v>1069</v>
      </c>
      <c r="C110" s="11" t="s">
        <v>69</v>
      </c>
      <c r="D110" s="13">
        <f t="shared" si="1"/>
        <v>75.900000000000006</v>
      </c>
      <c r="E110" s="13">
        <v>75.900000000000006</v>
      </c>
      <c r="F110" s="13" t="s">
        <v>1110</v>
      </c>
      <c r="G110" s="13" t="s">
        <v>1110</v>
      </c>
      <c r="H110" s="13"/>
      <c r="I110" s="4" t="s">
        <v>1111</v>
      </c>
    </row>
    <row r="111" spans="1:9" ht="15.75" customHeight="1" x14ac:dyDescent="0.25">
      <c r="A111" s="10">
        <f t="shared" si="7"/>
        <v>1</v>
      </c>
      <c r="B111" s="10" t="s">
        <v>1489</v>
      </c>
      <c r="C111" s="11" t="s">
        <v>69</v>
      </c>
      <c r="D111" s="13">
        <f>E111*$D$1</f>
        <v>180</v>
      </c>
      <c r="E111" s="13">
        <v>180</v>
      </c>
      <c r="F111" s="13" t="s">
        <v>1110</v>
      </c>
      <c r="G111" s="13" t="s">
        <v>1110</v>
      </c>
      <c r="H111" s="13"/>
      <c r="I111" s="4" t="s">
        <v>1111</v>
      </c>
    </row>
    <row r="112" spans="1:9" ht="15.75" customHeight="1" x14ac:dyDescent="0.25">
      <c r="A112" s="10">
        <f t="shared" si="7"/>
        <v>1</v>
      </c>
      <c r="B112" s="10" t="s">
        <v>732</v>
      </c>
      <c r="C112" s="11" t="s">
        <v>69</v>
      </c>
      <c r="D112" s="13">
        <f t="shared" si="1"/>
        <v>65.900000000000006</v>
      </c>
      <c r="E112" s="13">
        <v>65.900000000000006</v>
      </c>
      <c r="F112" s="13" t="s">
        <v>1110</v>
      </c>
      <c r="G112" s="13" t="s">
        <v>1110</v>
      </c>
      <c r="H112" s="13"/>
      <c r="I112" s="4" t="s">
        <v>1111</v>
      </c>
    </row>
    <row r="113" spans="1:9" ht="15.75" customHeight="1" x14ac:dyDescent="0.25">
      <c r="A113" s="10">
        <f t="shared" si="7"/>
        <v>1</v>
      </c>
      <c r="B113" s="10" t="s">
        <v>777</v>
      </c>
      <c r="C113" s="11" t="s">
        <v>69</v>
      </c>
      <c r="D113" s="13">
        <f t="shared" si="1"/>
        <v>102.9</v>
      </c>
      <c r="E113" s="13">
        <v>102.9</v>
      </c>
      <c r="F113" s="13" t="s">
        <v>1110</v>
      </c>
      <c r="G113" s="13" t="s">
        <v>1110</v>
      </c>
      <c r="H113" s="13"/>
      <c r="I113" s="4" t="s">
        <v>1111</v>
      </c>
    </row>
    <row r="114" spans="1:9" ht="15.75" customHeight="1" x14ac:dyDescent="0.25">
      <c r="A114" s="10">
        <f t="shared" si="7"/>
        <v>1</v>
      </c>
      <c r="B114" s="10" t="s">
        <v>1000</v>
      </c>
      <c r="C114" s="11" t="s">
        <v>1112</v>
      </c>
      <c r="D114" s="13">
        <f t="shared" si="1"/>
        <v>750</v>
      </c>
      <c r="E114" s="13">
        <v>750</v>
      </c>
      <c r="F114" s="13" t="s">
        <v>1113</v>
      </c>
      <c r="G114" s="13" t="s">
        <v>1113</v>
      </c>
      <c r="H114" s="13"/>
      <c r="I114" s="4" t="s">
        <v>1114</v>
      </c>
    </row>
    <row r="115" spans="1:9" ht="15.75" customHeight="1" x14ac:dyDescent="0.25">
      <c r="A115" s="10">
        <f t="shared" si="7"/>
        <v>1</v>
      </c>
      <c r="B115" s="10" t="s">
        <v>1002</v>
      </c>
      <c r="C115" s="11" t="s">
        <v>1112</v>
      </c>
      <c r="D115" s="13">
        <f t="shared" si="1"/>
        <v>750</v>
      </c>
      <c r="E115" s="13">
        <v>750</v>
      </c>
      <c r="F115" s="13" t="s">
        <v>1113</v>
      </c>
      <c r="G115" s="13" t="s">
        <v>1113</v>
      </c>
      <c r="H115" s="13"/>
      <c r="I115" s="4" t="s">
        <v>1114</v>
      </c>
    </row>
    <row r="116" spans="1:9" ht="15.75" customHeight="1" x14ac:dyDescent="0.25">
      <c r="A116" s="10">
        <f t="shared" si="7"/>
        <v>1</v>
      </c>
      <c r="B116" s="10" t="s">
        <v>1004</v>
      </c>
      <c r="C116" s="11" t="s">
        <v>1112</v>
      </c>
      <c r="D116" s="13">
        <f t="shared" si="1"/>
        <v>750</v>
      </c>
      <c r="E116" s="13">
        <v>750</v>
      </c>
      <c r="F116" s="13" t="s">
        <v>1113</v>
      </c>
      <c r="G116" s="13" t="s">
        <v>1113</v>
      </c>
      <c r="H116" s="13"/>
      <c r="I116" s="4" t="s">
        <v>1114</v>
      </c>
    </row>
    <row r="117" spans="1:9" ht="15.75" customHeight="1" x14ac:dyDescent="0.25">
      <c r="A117" s="10">
        <f t="shared" si="7"/>
        <v>1</v>
      </c>
      <c r="B117" s="10" t="s">
        <v>1021</v>
      </c>
      <c r="C117" s="11" t="s">
        <v>112</v>
      </c>
      <c r="D117" s="13">
        <f t="shared" si="1"/>
        <v>18.7148</v>
      </c>
      <c r="E117" s="13">
        <v>18.7148</v>
      </c>
      <c r="F117" s="13" t="s">
        <v>1115</v>
      </c>
      <c r="G117" s="13" t="s">
        <v>1116</v>
      </c>
      <c r="H117" s="13"/>
      <c r="I117" s="4" t="s">
        <v>1117</v>
      </c>
    </row>
    <row r="118" spans="1:9" ht="15.75" customHeight="1" x14ac:dyDescent="0.25">
      <c r="A118" s="10">
        <f t="shared" si="7"/>
        <v>1</v>
      </c>
      <c r="B118" s="10" t="s">
        <v>1025</v>
      </c>
      <c r="C118" s="11" t="s">
        <v>112</v>
      </c>
      <c r="D118" s="13">
        <f t="shared" si="1"/>
        <v>23.0336</v>
      </c>
      <c r="E118" s="13">
        <v>23.0336</v>
      </c>
      <c r="F118" s="13" t="s">
        <v>1115</v>
      </c>
      <c r="G118" s="13" t="s">
        <v>1116</v>
      </c>
      <c r="H118" s="13"/>
      <c r="I118" s="4" t="s">
        <v>1117</v>
      </c>
    </row>
    <row r="119" spans="1:9" ht="15.75" customHeight="1" x14ac:dyDescent="0.25">
      <c r="A119" s="10">
        <f t="shared" si="7"/>
        <v>1</v>
      </c>
      <c r="B119" s="10" t="s">
        <v>1027</v>
      </c>
      <c r="C119" s="11" t="s">
        <v>112</v>
      </c>
      <c r="D119" s="13">
        <f t="shared" si="1"/>
        <v>35.99</v>
      </c>
      <c r="E119" s="13">
        <v>35.99</v>
      </c>
      <c r="F119" s="13" t="s">
        <v>1115</v>
      </c>
      <c r="G119" s="13" t="s">
        <v>1116</v>
      </c>
      <c r="H119" s="13"/>
      <c r="I119" s="4" t="s">
        <v>1117</v>
      </c>
    </row>
    <row r="120" spans="1:9" ht="15.75" customHeight="1" x14ac:dyDescent="0.25">
      <c r="A120" s="10">
        <f t="shared" si="7"/>
        <v>1</v>
      </c>
      <c r="B120" s="10" t="s">
        <v>1029</v>
      </c>
      <c r="C120" s="11" t="s">
        <v>112</v>
      </c>
      <c r="D120" s="13">
        <f t="shared" si="1"/>
        <v>46.666666666666664</v>
      </c>
      <c r="E120" s="13">
        <v>46.666666666666664</v>
      </c>
      <c r="F120" s="13" t="s">
        <v>1115</v>
      </c>
      <c r="G120" s="13" t="s">
        <v>1116</v>
      </c>
      <c r="H120" s="13"/>
      <c r="I120" s="4" t="s">
        <v>1117</v>
      </c>
    </row>
    <row r="121" spans="1:9" ht="15.75" customHeight="1" x14ac:dyDescent="0.25">
      <c r="A121" s="10">
        <f t="shared" si="7"/>
        <v>1</v>
      </c>
      <c r="B121" s="10" t="s">
        <v>1030</v>
      </c>
      <c r="C121" s="11" t="s">
        <v>112</v>
      </c>
      <c r="D121" s="13">
        <f t="shared" si="1"/>
        <v>59.966666666666669</v>
      </c>
      <c r="E121" s="13">
        <v>59.966666666666669</v>
      </c>
      <c r="F121" s="13" t="s">
        <v>1115</v>
      </c>
      <c r="G121" s="13" t="s">
        <v>1116</v>
      </c>
      <c r="H121" s="13"/>
      <c r="I121" s="4" t="s">
        <v>1117</v>
      </c>
    </row>
    <row r="122" spans="1:9" ht="15.75" customHeight="1" x14ac:dyDescent="0.25">
      <c r="A122" s="10">
        <f t="shared" si="7"/>
        <v>1</v>
      </c>
      <c r="B122" s="10" t="s">
        <v>1118</v>
      </c>
      <c r="C122" s="11" t="s">
        <v>112</v>
      </c>
      <c r="D122" s="13">
        <f t="shared" si="1"/>
        <v>25</v>
      </c>
      <c r="E122" s="13">
        <v>25</v>
      </c>
      <c r="F122" s="13" t="s">
        <v>1115</v>
      </c>
      <c r="G122" s="13" t="s">
        <v>1119</v>
      </c>
      <c r="H122" s="13"/>
      <c r="I122" s="4" t="s">
        <v>1117</v>
      </c>
    </row>
    <row r="123" spans="1:9" ht="15.75" customHeight="1" x14ac:dyDescent="0.25">
      <c r="A123" s="10">
        <f t="shared" si="7"/>
        <v>1</v>
      </c>
      <c r="B123" s="10" t="s">
        <v>1032</v>
      </c>
      <c r="C123" s="11" t="s">
        <v>112</v>
      </c>
      <c r="D123" s="13">
        <f t="shared" si="1"/>
        <v>28</v>
      </c>
      <c r="E123" s="13">
        <v>28</v>
      </c>
      <c r="F123" s="13" t="s">
        <v>1115</v>
      </c>
      <c r="G123" s="13" t="s">
        <v>1119</v>
      </c>
      <c r="H123" s="13"/>
      <c r="I123" s="4" t="s">
        <v>1117</v>
      </c>
    </row>
    <row r="124" spans="1:9" ht="15.75" customHeight="1" x14ac:dyDescent="0.25">
      <c r="A124" s="10">
        <f t="shared" si="7"/>
        <v>1</v>
      </c>
      <c r="B124" s="10" t="s">
        <v>1019</v>
      </c>
      <c r="C124" s="11" t="s">
        <v>69</v>
      </c>
      <c r="D124" s="13">
        <f t="shared" si="1"/>
        <v>198.19</v>
      </c>
      <c r="E124" s="13">
        <v>198.19</v>
      </c>
      <c r="F124" s="13" t="s">
        <v>1115</v>
      </c>
      <c r="G124" s="13" t="s">
        <v>1120</v>
      </c>
      <c r="H124" s="13"/>
      <c r="I124" s="4" t="s">
        <v>1117</v>
      </c>
    </row>
    <row r="125" spans="1:9" ht="15.75" customHeight="1" x14ac:dyDescent="0.25">
      <c r="A125" s="10">
        <f t="shared" si="7"/>
        <v>1</v>
      </c>
      <c r="B125" s="10" t="s">
        <v>1006</v>
      </c>
      <c r="C125" s="11" t="s">
        <v>196</v>
      </c>
      <c r="D125" s="13">
        <f t="shared" si="1"/>
        <v>30657</v>
      </c>
      <c r="E125" s="13">
        <v>30657</v>
      </c>
      <c r="F125" s="13" t="s">
        <v>1115</v>
      </c>
      <c r="G125" s="13" t="s">
        <v>1120</v>
      </c>
      <c r="H125" s="13"/>
      <c r="I125" s="4" t="s">
        <v>1117</v>
      </c>
    </row>
    <row r="126" spans="1:9" ht="15.75" customHeight="1" x14ac:dyDescent="0.25">
      <c r="A126" s="10">
        <f t="shared" si="7"/>
        <v>1</v>
      </c>
      <c r="B126" s="10" t="s">
        <v>1017</v>
      </c>
      <c r="C126" s="11" t="s">
        <v>69</v>
      </c>
      <c r="D126" s="13">
        <f t="shared" si="1"/>
        <v>66.05</v>
      </c>
      <c r="E126" s="13">
        <v>66.05</v>
      </c>
      <c r="F126" s="13" t="s">
        <v>1115</v>
      </c>
      <c r="G126" s="13" t="s">
        <v>1120</v>
      </c>
      <c r="H126" s="13"/>
      <c r="I126" s="4" t="s">
        <v>1117</v>
      </c>
    </row>
    <row r="127" spans="1:9" ht="15.75" customHeight="1" x14ac:dyDescent="0.25">
      <c r="A127" s="10">
        <f t="shared" si="7"/>
        <v>1</v>
      </c>
      <c r="B127" s="10" t="s">
        <v>99</v>
      </c>
      <c r="C127" s="11" t="s">
        <v>69</v>
      </c>
      <c r="D127" s="13">
        <f t="shared" si="1"/>
        <v>21.31</v>
      </c>
      <c r="E127" s="13">
        <v>21.31</v>
      </c>
      <c r="F127" s="13" t="s">
        <v>1115</v>
      </c>
      <c r="G127" s="13" t="s">
        <v>1120</v>
      </c>
      <c r="H127" s="13"/>
      <c r="I127" s="4" t="s">
        <v>1117</v>
      </c>
    </row>
    <row r="128" spans="1:9" ht="15.75" customHeight="1" x14ac:dyDescent="0.25">
      <c r="A128" s="10">
        <f t="shared" ref="A128:A145" si="8">COUNTIFS($B$2:$B$996,B128)</f>
        <v>1</v>
      </c>
      <c r="B128" s="10" t="s">
        <v>72</v>
      </c>
      <c r="C128" s="11" t="s">
        <v>69</v>
      </c>
      <c r="D128" s="13">
        <f t="shared" si="1"/>
        <v>31</v>
      </c>
      <c r="E128" s="13">
        <v>31</v>
      </c>
      <c r="F128" s="13" t="s">
        <v>1115</v>
      </c>
      <c r="G128" s="13" t="s">
        <v>1120</v>
      </c>
      <c r="H128" s="13"/>
      <c r="I128" s="4" t="s">
        <v>1117</v>
      </c>
    </row>
    <row r="129" spans="1:9" ht="15.75" customHeight="1" x14ac:dyDescent="0.25">
      <c r="A129" s="10">
        <f t="shared" si="8"/>
        <v>1</v>
      </c>
      <c r="B129" s="10" t="s">
        <v>135</v>
      </c>
      <c r="C129" s="11" t="s">
        <v>69</v>
      </c>
      <c r="D129" s="13">
        <f t="shared" si="1"/>
        <v>97</v>
      </c>
      <c r="E129" s="13">
        <v>97</v>
      </c>
      <c r="F129" s="13" t="s">
        <v>1115</v>
      </c>
      <c r="G129" s="13" t="s">
        <v>1120</v>
      </c>
      <c r="H129" s="13"/>
      <c r="I129" s="4" t="s">
        <v>1117</v>
      </c>
    </row>
    <row r="130" spans="1:9" ht="15.75" customHeight="1" x14ac:dyDescent="0.25">
      <c r="A130" s="10">
        <f t="shared" si="8"/>
        <v>1</v>
      </c>
      <c r="B130" s="10" t="s">
        <v>1034</v>
      </c>
      <c r="C130" s="11" t="s">
        <v>196</v>
      </c>
      <c r="D130" s="13">
        <f>E130*$D$1</f>
        <v>120.08733624454149</v>
      </c>
      <c r="E130" s="13">
        <v>120.08733624454149</v>
      </c>
      <c r="F130" s="13" t="s">
        <v>1115</v>
      </c>
      <c r="G130" s="13" t="s">
        <v>1120</v>
      </c>
      <c r="H130" s="13"/>
      <c r="I130" s="4" t="s">
        <v>1117</v>
      </c>
    </row>
    <row r="131" spans="1:9" ht="15.75" customHeight="1" x14ac:dyDescent="0.25">
      <c r="A131" s="10">
        <f t="shared" si="8"/>
        <v>1</v>
      </c>
      <c r="B131" s="10" t="s">
        <v>1035</v>
      </c>
      <c r="C131" s="11" t="s">
        <v>196</v>
      </c>
      <c r="D131" s="13">
        <f>E131*$D$1</f>
        <v>382</v>
      </c>
      <c r="E131" s="13">
        <v>382</v>
      </c>
      <c r="F131" s="13" t="s">
        <v>1115</v>
      </c>
      <c r="G131" s="13" t="s">
        <v>1120</v>
      </c>
      <c r="H131" s="13"/>
      <c r="I131" s="4" t="s">
        <v>1117</v>
      </c>
    </row>
    <row r="132" spans="1:9" ht="15.75" customHeight="1" x14ac:dyDescent="0.25">
      <c r="A132" s="10">
        <f t="shared" si="8"/>
        <v>1</v>
      </c>
      <c r="B132" s="10" t="s">
        <v>157</v>
      </c>
      <c r="C132" s="11" t="s">
        <v>151</v>
      </c>
      <c r="D132" s="13">
        <f t="shared" si="1"/>
        <v>430.94</v>
      </c>
      <c r="E132" s="13">
        <v>430.94</v>
      </c>
      <c r="F132" s="13" t="s">
        <v>13</v>
      </c>
      <c r="G132" s="13" t="s">
        <v>13</v>
      </c>
      <c r="H132" s="13"/>
      <c r="I132" s="4" t="s">
        <v>1111</v>
      </c>
    </row>
    <row r="133" spans="1:9" ht="15.75" customHeight="1" x14ac:dyDescent="0.25">
      <c r="A133" s="10">
        <f t="shared" si="8"/>
        <v>1</v>
      </c>
      <c r="B133" s="10" t="s">
        <v>136</v>
      </c>
      <c r="C133" s="11" t="s">
        <v>151</v>
      </c>
      <c r="D133" s="13">
        <f t="shared" si="1"/>
        <v>352</v>
      </c>
      <c r="E133" s="13">
        <v>352</v>
      </c>
      <c r="F133" s="13" t="s">
        <v>13</v>
      </c>
      <c r="G133" s="13" t="s">
        <v>13</v>
      </c>
      <c r="H133" s="13"/>
      <c r="I133" s="4" t="s">
        <v>1111</v>
      </c>
    </row>
    <row r="134" spans="1:9" ht="15.75" customHeight="1" x14ac:dyDescent="0.25">
      <c r="A134" s="10">
        <f t="shared" si="8"/>
        <v>1</v>
      </c>
      <c r="B134" s="10" t="s">
        <v>1121</v>
      </c>
      <c r="C134" s="11" t="s">
        <v>151</v>
      </c>
      <c r="D134" s="13">
        <f t="shared" si="1"/>
        <v>502</v>
      </c>
      <c r="E134" s="13">
        <v>502</v>
      </c>
      <c r="F134" s="13" t="s">
        <v>13</v>
      </c>
      <c r="G134" s="13" t="s">
        <v>13</v>
      </c>
      <c r="H134" s="13"/>
      <c r="I134" s="4" t="s">
        <v>1111</v>
      </c>
    </row>
    <row r="135" spans="1:9" ht="15.75" customHeight="1" x14ac:dyDescent="0.25">
      <c r="A135" s="10">
        <f t="shared" si="8"/>
        <v>1</v>
      </c>
      <c r="B135" s="10" t="s">
        <v>73</v>
      </c>
      <c r="C135" s="11" t="s">
        <v>151</v>
      </c>
      <c r="D135" s="13">
        <f t="shared" si="1"/>
        <v>490</v>
      </c>
      <c r="E135" s="13">
        <v>490</v>
      </c>
      <c r="F135" s="13" t="s">
        <v>13</v>
      </c>
      <c r="G135" s="13" t="s">
        <v>13</v>
      </c>
      <c r="H135" s="13"/>
      <c r="I135" s="4" t="s">
        <v>1111</v>
      </c>
    </row>
    <row r="136" spans="1:9" ht="15.75" customHeight="1" x14ac:dyDescent="0.25">
      <c r="A136" s="10">
        <f t="shared" si="8"/>
        <v>1</v>
      </c>
      <c r="B136" s="10" t="s">
        <v>220</v>
      </c>
      <c r="C136" s="11" t="s">
        <v>151</v>
      </c>
      <c r="D136" s="13">
        <f t="shared" si="1"/>
        <v>492.99999999999994</v>
      </c>
      <c r="E136" s="13">
        <v>492.99999999999994</v>
      </c>
      <c r="F136" s="13" t="s">
        <v>13</v>
      </c>
      <c r="G136" s="13" t="s">
        <v>13</v>
      </c>
      <c r="H136" s="13"/>
      <c r="I136" s="4" t="s">
        <v>1111</v>
      </c>
    </row>
    <row r="137" spans="1:9" ht="15.75" customHeight="1" x14ac:dyDescent="0.25">
      <c r="A137" s="10">
        <f t="shared" si="8"/>
        <v>1</v>
      </c>
      <c r="B137" s="10" t="s">
        <v>248</v>
      </c>
      <c r="C137" s="11" t="s">
        <v>151</v>
      </c>
      <c r="D137" s="13">
        <f t="shared" si="1"/>
        <v>510</v>
      </c>
      <c r="E137" s="13">
        <v>510</v>
      </c>
      <c r="F137" s="13" t="s">
        <v>13</v>
      </c>
      <c r="G137" s="13" t="s">
        <v>13</v>
      </c>
      <c r="H137" s="13"/>
      <c r="I137" s="4" t="s">
        <v>1111</v>
      </c>
    </row>
    <row r="138" spans="1:9" ht="15.75" customHeight="1" x14ac:dyDescent="0.25">
      <c r="A138" s="10">
        <f t="shared" si="8"/>
        <v>1</v>
      </c>
      <c r="B138" s="10" t="s">
        <v>222</v>
      </c>
      <c r="C138" s="11" t="s">
        <v>151</v>
      </c>
      <c r="D138" s="13">
        <f t="shared" si="1"/>
        <v>517.65</v>
      </c>
      <c r="E138" s="13">
        <v>517.65</v>
      </c>
      <c r="F138" s="13" t="s">
        <v>13</v>
      </c>
      <c r="G138" s="13" t="s">
        <v>13</v>
      </c>
      <c r="H138" s="13"/>
      <c r="I138" s="4" t="s">
        <v>1111</v>
      </c>
    </row>
    <row r="139" spans="1:9" ht="15.75" customHeight="1" x14ac:dyDescent="0.25">
      <c r="A139" s="10">
        <f t="shared" si="8"/>
        <v>1</v>
      </c>
      <c r="B139" s="10" t="s">
        <v>250</v>
      </c>
      <c r="C139" s="11" t="s">
        <v>151</v>
      </c>
      <c r="D139" s="13">
        <f t="shared" si="1"/>
        <v>604.73</v>
      </c>
      <c r="E139" s="68">
        <v>604.73</v>
      </c>
      <c r="F139" s="13" t="s">
        <v>13</v>
      </c>
      <c r="G139" s="13" t="s">
        <v>13</v>
      </c>
      <c r="H139" s="68" t="s">
        <v>2861</v>
      </c>
      <c r="I139" s="4" t="s">
        <v>1111</v>
      </c>
    </row>
    <row r="140" spans="1:9" ht="15.75" customHeight="1" x14ac:dyDescent="0.25">
      <c r="A140" s="10">
        <f t="shared" si="8"/>
        <v>1</v>
      </c>
      <c r="B140" s="10" t="s">
        <v>224</v>
      </c>
      <c r="C140" s="11" t="s">
        <v>151</v>
      </c>
      <c r="D140" s="13">
        <f t="shared" si="1"/>
        <v>565</v>
      </c>
      <c r="E140" s="13">
        <v>565</v>
      </c>
      <c r="F140" s="13" t="s">
        <v>13</v>
      </c>
      <c r="G140" s="13" t="s">
        <v>13</v>
      </c>
      <c r="H140" s="13"/>
      <c r="I140" s="4" t="s">
        <v>1111</v>
      </c>
    </row>
    <row r="141" spans="1:9" ht="15.75" customHeight="1" x14ac:dyDescent="0.25">
      <c r="A141" s="10">
        <f t="shared" si="8"/>
        <v>1</v>
      </c>
      <c r="B141" s="10" t="s">
        <v>226</v>
      </c>
      <c r="C141" s="11" t="s">
        <v>151</v>
      </c>
      <c r="D141" s="13">
        <f t="shared" ref="D141:D147" si="9">E141*$D$1</f>
        <v>530</v>
      </c>
      <c r="E141" s="13">
        <v>530</v>
      </c>
      <c r="F141" s="13" t="s">
        <v>13</v>
      </c>
      <c r="G141" s="13" t="s">
        <v>13</v>
      </c>
      <c r="H141" s="13"/>
      <c r="I141" s="4" t="s">
        <v>1111</v>
      </c>
    </row>
    <row r="142" spans="1:9" ht="15.75" customHeight="1" x14ac:dyDescent="0.25">
      <c r="A142" s="10">
        <f t="shared" si="8"/>
        <v>1</v>
      </c>
      <c r="B142" s="10" t="s">
        <v>302</v>
      </c>
      <c r="C142" s="11" t="s">
        <v>151</v>
      </c>
      <c r="D142" s="13">
        <f t="shared" si="9"/>
        <v>560.52</v>
      </c>
      <c r="E142" s="68">
        <v>560.52</v>
      </c>
      <c r="F142" s="13" t="s">
        <v>13</v>
      </c>
      <c r="G142" s="13" t="s">
        <v>13</v>
      </c>
      <c r="H142" s="68" t="s">
        <v>2861</v>
      </c>
      <c r="I142" s="4" t="s">
        <v>1111</v>
      </c>
    </row>
    <row r="143" spans="1:9" ht="15.75" customHeight="1" x14ac:dyDescent="0.25">
      <c r="A143" s="10">
        <f t="shared" si="8"/>
        <v>1</v>
      </c>
      <c r="B143" s="10" t="s">
        <v>252</v>
      </c>
      <c r="C143" s="11" t="s">
        <v>151</v>
      </c>
      <c r="D143" s="13">
        <f t="shared" si="9"/>
        <v>550.14</v>
      </c>
      <c r="E143" s="68">
        <v>550.14</v>
      </c>
      <c r="F143" s="13" t="s">
        <v>13</v>
      </c>
      <c r="G143" s="13" t="s">
        <v>13</v>
      </c>
      <c r="H143" s="68" t="s">
        <v>2861</v>
      </c>
      <c r="I143" s="4" t="s">
        <v>1111</v>
      </c>
    </row>
    <row r="144" spans="1:9" ht="15.75" customHeight="1" x14ac:dyDescent="0.25">
      <c r="A144" s="10">
        <f t="shared" si="8"/>
        <v>1</v>
      </c>
      <c r="B144" s="10" t="s">
        <v>1572</v>
      </c>
      <c r="C144" s="11" t="s">
        <v>151</v>
      </c>
      <c r="D144" s="13">
        <f t="shared" si="9"/>
        <v>683.9</v>
      </c>
      <c r="E144" s="68">
        <v>683.9</v>
      </c>
      <c r="F144" s="13" t="s">
        <v>13</v>
      </c>
      <c r="G144" s="13" t="s">
        <v>13</v>
      </c>
      <c r="H144" s="68" t="s">
        <v>2861</v>
      </c>
      <c r="I144" s="4" t="s">
        <v>1111</v>
      </c>
    </row>
    <row r="145" spans="1:9" ht="15.75" customHeight="1" x14ac:dyDescent="0.25">
      <c r="A145" s="10">
        <f t="shared" si="8"/>
        <v>1</v>
      </c>
      <c r="B145" s="10" t="s">
        <v>2862</v>
      </c>
      <c r="C145" s="11" t="s">
        <v>151</v>
      </c>
      <c r="D145" s="13">
        <f t="shared" si="9"/>
        <v>757.72</v>
      </c>
      <c r="E145" s="68">
        <f>607.72+150</f>
        <v>757.72</v>
      </c>
      <c r="F145" s="13" t="s">
        <v>13</v>
      </c>
      <c r="G145" s="13" t="s">
        <v>13</v>
      </c>
      <c r="H145" s="68" t="s">
        <v>2861</v>
      </c>
      <c r="I145" s="4" t="s">
        <v>1111</v>
      </c>
    </row>
    <row r="146" spans="1:9" ht="15.75" customHeight="1" x14ac:dyDescent="0.25">
      <c r="A146" s="10">
        <f>COUNTIFS($B$2:$B$875,B146)</f>
        <v>1</v>
      </c>
      <c r="B146" s="10" t="s">
        <v>254</v>
      </c>
      <c r="C146" s="11" t="s">
        <v>151</v>
      </c>
      <c r="D146" s="13">
        <f t="shared" si="9"/>
        <v>607.72</v>
      </c>
      <c r="E146" s="68">
        <v>607.72</v>
      </c>
      <c r="F146" s="13" t="s">
        <v>13</v>
      </c>
      <c r="G146" s="13" t="s">
        <v>13</v>
      </c>
      <c r="H146" s="68" t="s">
        <v>2861</v>
      </c>
      <c r="I146" s="4" t="s">
        <v>1111</v>
      </c>
    </row>
    <row r="147" spans="1:9" ht="15.75" customHeight="1" x14ac:dyDescent="0.25">
      <c r="A147" s="10">
        <f t="shared" ref="A147:A166" si="10">COUNTIFS($B$2:$B$996,B147)</f>
        <v>1</v>
      </c>
      <c r="B147" s="10" t="s">
        <v>1573</v>
      </c>
      <c r="C147" s="11" t="s">
        <v>151</v>
      </c>
      <c r="D147" s="13">
        <f t="shared" si="9"/>
        <v>607.72</v>
      </c>
      <c r="E147" s="68">
        <v>607.72</v>
      </c>
      <c r="F147" s="13" t="s">
        <v>13</v>
      </c>
      <c r="G147" s="13" t="s">
        <v>13</v>
      </c>
      <c r="H147" s="68" t="s">
        <v>2861</v>
      </c>
      <c r="I147" s="4" t="s">
        <v>1111</v>
      </c>
    </row>
    <row r="148" spans="1:9" ht="15.75" customHeight="1" x14ac:dyDescent="0.25">
      <c r="A148" s="10">
        <f t="shared" si="10"/>
        <v>1</v>
      </c>
      <c r="B148" s="10" t="s">
        <v>256</v>
      </c>
      <c r="C148" s="11" t="s">
        <v>151</v>
      </c>
      <c r="D148" s="13">
        <f t="shared" si="1"/>
        <v>585.04</v>
      </c>
      <c r="E148" s="13">
        <v>585.04</v>
      </c>
      <c r="F148" s="13" t="s">
        <v>13</v>
      </c>
      <c r="G148" s="13" t="s">
        <v>13</v>
      </c>
      <c r="H148" s="13"/>
      <c r="I148" s="4" t="s">
        <v>1111</v>
      </c>
    </row>
    <row r="149" spans="1:9" ht="15.75" customHeight="1" x14ac:dyDescent="0.25">
      <c r="A149" s="10">
        <f t="shared" si="10"/>
        <v>1</v>
      </c>
      <c r="B149" s="10" t="s">
        <v>377</v>
      </c>
      <c r="C149" s="11" t="s">
        <v>151</v>
      </c>
      <c r="D149" s="13">
        <f t="shared" si="1"/>
        <v>468.86</v>
      </c>
      <c r="E149" s="13">
        <v>468.86</v>
      </c>
      <c r="F149" s="13" t="s">
        <v>13</v>
      </c>
      <c r="G149" s="13" t="s">
        <v>13</v>
      </c>
      <c r="H149" s="13"/>
      <c r="I149" s="4" t="s">
        <v>1111</v>
      </c>
    </row>
    <row r="150" spans="1:9" ht="15.75" customHeight="1" x14ac:dyDescent="0.25">
      <c r="A150" s="10">
        <f t="shared" si="10"/>
        <v>1</v>
      </c>
      <c r="B150" s="10" t="s">
        <v>378</v>
      </c>
      <c r="C150" s="11" t="s">
        <v>151</v>
      </c>
      <c r="D150" s="13">
        <f t="shared" si="1"/>
        <v>493.5</v>
      </c>
      <c r="E150" s="13">
        <v>493.5</v>
      </c>
      <c r="F150" s="13" t="s">
        <v>13</v>
      </c>
      <c r="G150" s="13" t="s">
        <v>13</v>
      </c>
      <c r="H150" s="13"/>
      <c r="I150" s="4" t="s">
        <v>1111</v>
      </c>
    </row>
    <row r="151" spans="1:9" ht="15.75" customHeight="1" x14ac:dyDescent="0.25">
      <c r="A151" s="10">
        <f t="shared" si="10"/>
        <v>1</v>
      </c>
      <c r="B151" s="10" t="s">
        <v>312</v>
      </c>
      <c r="C151" s="11" t="s">
        <v>205</v>
      </c>
      <c r="D151" s="13">
        <f t="shared" si="1"/>
        <v>4.4400000000000004</v>
      </c>
      <c r="E151" s="13">
        <v>4.4400000000000004</v>
      </c>
      <c r="F151" s="13" t="s">
        <v>13</v>
      </c>
      <c r="G151" s="13" t="s">
        <v>1122</v>
      </c>
      <c r="H151" s="13"/>
      <c r="I151" s="4" t="s">
        <v>1111</v>
      </c>
    </row>
    <row r="152" spans="1:9" ht="15.75" customHeight="1" x14ac:dyDescent="0.25">
      <c r="A152" s="10">
        <f t="shared" si="10"/>
        <v>1</v>
      </c>
      <c r="B152" s="10" t="s">
        <v>313</v>
      </c>
      <c r="C152" s="11" t="s">
        <v>205</v>
      </c>
      <c r="D152" s="13">
        <f t="shared" si="1"/>
        <v>0.4</v>
      </c>
      <c r="E152" s="13">
        <v>0.4</v>
      </c>
      <c r="F152" s="13" t="s">
        <v>13</v>
      </c>
      <c r="G152" s="13" t="s">
        <v>1122</v>
      </c>
      <c r="H152" s="13"/>
      <c r="I152" s="4" t="s">
        <v>1111</v>
      </c>
    </row>
    <row r="153" spans="1:9" ht="15.75" customHeight="1" x14ac:dyDescent="0.25">
      <c r="A153" s="10">
        <f t="shared" si="10"/>
        <v>1</v>
      </c>
      <c r="B153" s="10" t="s">
        <v>314</v>
      </c>
      <c r="C153" s="11" t="s">
        <v>205</v>
      </c>
      <c r="D153" s="13">
        <f t="shared" si="1"/>
        <v>0.4</v>
      </c>
      <c r="E153" s="13">
        <v>0.4</v>
      </c>
      <c r="F153" s="13" t="s">
        <v>13</v>
      </c>
      <c r="G153" s="13" t="s">
        <v>1122</v>
      </c>
      <c r="H153" s="13"/>
      <c r="I153" s="4" t="s">
        <v>1111</v>
      </c>
    </row>
    <row r="154" spans="1:9" ht="15.75" customHeight="1" x14ac:dyDescent="0.25">
      <c r="A154" s="10">
        <f t="shared" si="10"/>
        <v>1</v>
      </c>
      <c r="B154" s="10" t="s">
        <v>315</v>
      </c>
      <c r="C154" s="11" t="s">
        <v>205</v>
      </c>
      <c r="D154" s="13">
        <f t="shared" si="1"/>
        <v>0.2</v>
      </c>
      <c r="E154" s="13">
        <v>0.2</v>
      </c>
      <c r="F154" s="13" t="s">
        <v>13</v>
      </c>
      <c r="G154" s="13" t="s">
        <v>1122</v>
      </c>
      <c r="H154" s="13"/>
      <c r="I154" s="4" t="s">
        <v>1111</v>
      </c>
    </row>
    <row r="155" spans="1:9" ht="15.75" customHeight="1" x14ac:dyDescent="0.25">
      <c r="A155" s="10">
        <f t="shared" si="10"/>
        <v>1</v>
      </c>
      <c r="B155" s="10" t="s">
        <v>316</v>
      </c>
      <c r="C155" s="11" t="s">
        <v>196</v>
      </c>
      <c r="D155" s="13">
        <f t="shared" si="1"/>
        <v>0.5</v>
      </c>
      <c r="E155" s="13">
        <v>0.5</v>
      </c>
      <c r="F155" s="13" t="s">
        <v>13</v>
      </c>
      <c r="G155" s="13" t="s">
        <v>1122</v>
      </c>
      <c r="H155" s="13"/>
      <c r="I155" s="4" t="s">
        <v>1111</v>
      </c>
    </row>
    <row r="156" spans="1:9" ht="15.75" customHeight="1" x14ac:dyDescent="0.25">
      <c r="A156" s="10">
        <f t="shared" si="10"/>
        <v>1</v>
      </c>
      <c r="B156" s="10" t="s">
        <v>318</v>
      </c>
      <c r="C156" s="11" t="s">
        <v>196</v>
      </c>
      <c r="D156" s="13">
        <f t="shared" si="1"/>
        <v>12.5</v>
      </c>
      <c r="E156" s="13">
        <v>12.5</v>
      </c>
      <c r="F156" s="13" t="s">
        <v>13</v>
      </c>
      <c r="G156" s="13" t="s">
        <v>1122</v>
      </c>
      <c r="H156" s="13"/>
      <c r="I156" s="4" t="s">
        <v>1111</v>
      </c>
    </row>
    <row r="157" spans="1:9" ht="15.75" customHeight="1" x14ac:dyDescent="0.25">
      <c r="A157" s="10">
        <f t="shared" si="10"/>
        <v>1</v>
      </c>
      <c r="B157" s="10" t="s">
        <v>319</v>
      </c>
      <c r="C157" s="11" t="s">
        <v>1123</v>
      </c>
      <c r="D157" s="13">
        <f t="shared" si="1"/>
        <v>9.1300000000000008</v>
      </c>
      <c r="E157" s="13">
        <v>9.1300000000000008</v>
      </c>
      <c r="F157" s="13" t="s">
        <v>13</v>
      </c>
      <c r="G157" s="13" t="s">
        <v>1122</v>
      </c>
      <c r="H157" s="13"/>
      <c r="I157" s="4" t="s">
        <v>1111</v>
      </c>
    </row>
    <row r="158" spans="1:9" ht="15.75" customHeight="1" x14ac:dyDescent="0.25">
      <c r="A158" s="10">
        <f t="shared" si="10"/>
        <v>1</v>
      </c>
      <c r="B158" s="10" t="s">
        <v>320</v>
      </c>
      <c r="C158" s="11" t="s">
        <v>196</v>
      </c>
      <c r="D158" s="13">
        <f t="shared" si="1"/>
        <v>2.85</v>
      </c>
      <c r="E158" s="13">
        <v>2.85</v>
      </c>
      <c r="F158" s="13" t="s">
        <v>13</v>
      </c>
      <c r="G158" s="13" t="s">
        <v>1122</v>
      </c>
      <c r="H158" s="13"/>
      <c r="I158" s="4" t="s">
        <v>1111</v>
      </c>
    </row>
    <row r="159" spans="1:9" ht="15.75" customHeight="1" x14ac:dyDescent="0.25">
      <c r="A159" s="10">
        <f t="shared" si="10"/>
        <v>1</v>
      </c>
      <c r="B159" s="10" t="s">
        <v>321</v>
      </c>
      <c r="C159" s="11" t="s">
        <v>196</v>
      </c>
      <c r="D159" s="13">
        <f t="shared" si="1"/>
        <v>1.42</v>
      </c>
      <c r="E159" s="13">
        <v>1.42</v>
      </c>
      <c r="F159" s="13" t="s">
        <v>13</v>
      </c>
      <c r="G159" s="13" t="s">
        <v>1122</v>
      </c>
      <c r="H159" s="13"/>
      <c r="I159" s="4" t="s">
        <v>1111</v>
      </c>
    </row>
    <row r="160" spans="1:9" ht="15.75" customHeight="1" x14ac:dyDescent="0.25">
      <c r="A160" s="10">
        <f t="shared" si="10"/>
        <v>1</v>
      </c>
      <c r="B160" s="10" t="s">
        <v>322</v>
      </c>
      <c r="C160" s="11" t="s">
        <v>196</v>
      </c>
      <c r="D160" s="13">
        <f t="shared" si="1"/>
        <v>5.68</v>
      </c>
      <c r="E160" s="13">
        <v>5.68</v>
      </c>
      <c r="F160" s="13" t="s">
        <v>13</v>
      </c>
      <c r="G160" s="13" t="s">
        <v>1122</v>
      </c>
      <c r="H160" s="13"/>
      <c r="I160" s="4" t="s">
        <v>1111</v>
      </c>
    </row>
    <row r="161" spans="1:9" ht="15.75" customHeight="1" x14ac:dyDescent="0.25">
      <c r="A161" s="10">
        <f t="shared" si="10"/>
        <v>1</v>
      </c>
      <c r="B161" s="10" t="s">
        <v>323</v>
      </c>
      <c r="C161" s="11" t="s">
        <v>1123</v>
      </c>
      <c r="D161" s="13">
        <f t="shared" si="1"/>
        <v>2.2999999999999998</v>
      </c>
      <c r="E161" s="13">
        <v>2.2999999999999998</v>
      </c>
      <c r="F161" s="13" t="s">
        <v>13</v>
      </c>
      <c r="G161" s="13" t="s">
        <v>1122</v>
      </c>
      <c r="H161" s="13"/>
      <c r="I161" s="4" t="s">
        <v>1111</v>
      </c>
    </row>
    <row r="162" spans="1:9" ht="15.75" customHeight="1" x14ac:dyDescent="0.25">
      <c r="A162" s="10">
        <f t="shared" si="10"/>
        <v>1</v>
      </c>
      <c r="B162" s="10" t="s">
        <v>324</v>
      </c>
      <c r="C162" s="11" t="s">
        <v>1123</v>
      </c>
      <c r="D162" s="13">
        <f t="shared" si="1"/>
        <v>3.4</v>
      </c>
      <c r="E162" s="13">
        <v>3.4</v>
      </c>
      <c r="F162" s="13" t="s">
        <v>13</v>
      </c>
      <c r="G162" s="13" t="s">
        <v>1122</v>
      </c>
      <c r="H162" s="13"/>
      <c r="I162" s="4" t="s">
        <v>1111</v>
      </c>
    </row>
    <row r="163" spans="1:9" ht="15.75" customHeight="1" x14ac:dyDescent="0.25">
      <c r="A163" s="10">
        <f t="shared" si="10"/>
        <v>1</v>
      </c>
      <c r="B163" s="10" t="s">
        <v>325</v>
      </c>
      <c r="C163" s="11" t="s">
        <v>1123</v>
      </c>
      <c r="D163" s="13">
        <f t="shared" si="1"/>
        <v>1.1000000000000001</v>
      </c>
      <c r="E163" s="13">
        <v>1.1000000000000001</v>
      </c>
      <c r="F163" s="13" t="s">
        <v>13</v>
      </c>
      <c r="G163" s="13" t="s">
        <v>1122</v>
      </c>
      <c r="H163" s="13"/>
      <c r="I163" s="4" t="s">
        <v>1111</v>
      </c>
    </row>
    <row r="164" spans="1:9" ht="15.75" customHeight="1" x14ac:dyDescent="0.25">
      <c r="A164" s="10">
        <f t="shared" si="10"/>
        <v>1</v>
      </c>
      <c r="B164" s="10" t="s">
        <v>411</v>
      </c>
      <c r="C164" s="11" t="s">
        <v>112</v>
      </c>
      <c r="D164" s="13">
        <f t="shared" si="1"/>
        <v>0.31</v>
      </c>
      <c r="E164" s="13">
        <v>0.31</v>
      </c>
      <c r="F164" s="13" t="s">
        <v>1124</v>
      </c>
      <c r="G164" s="13" t="s">
        <v>1090</v>
      </c>
      <c r="H164" s="13"/>
      <c r="I164" s="4" t="s">
        <v>1090</v>
      </c>
    </row>
    <row r="165" spans="1:9" ht="15.75" customHeight="1" x14ac:dyDescent="0.25">
      <c r="A165" s="10">
        <f t="shared" si="10"/>
        <v>1</v>
      </c>
      <c r="B165" s="10" t="s">
        <v>412</v>
      </c>
      <c r="C165" s="11" t="s">
        <v>112</v>
      </c>
      <c r="D165" s="13">
        <f t="shared" si="1"/>
        <v>2.74</v>
      </c>
      <c r="E165" s="13">
        <v>2.74</v>
      </c>
      <c r="F165" s="13" t="s">
        <v>1124</v>
      </c>
      <c r="G165" s="13" t="s">
        <v>1090</v>
      </c>
      <c r="H165" s="13"/>
      <c r="I165" s="4" t="s">
        <v>1090</v>
      </c>
    </row>
    <row r="166" spans="1:9" ht="15.75" customHeight="1" x14ac:dyDescent="0.25">
      <c r="A166" s="10">
        <f t="shared" si="10"/>
        <v>1</v>
      </c>
      <c r="B166" s="10" t="s">
        <v>404</v>
      </c>
      <c r="C166" s="11" t="s">
        <v>205</v>
      </c>
      <c r="D166" s="13">
        <f t="shared" si="1"/>
        <v>3.43</v>
      </c>
      <c r="E166" s="13">
        <v>3.43</v>
      </c>
      <c r="F166" s="13" t="s">
        <v>1124</v>
      </c>
      <c r="G166" s="13" t="s">
        <v>1090</v>
      </c>
      <c r="H166" s="13"/>
      <c r="I166" s="4" t="s">
        <v>1090</v>
      </c>
    </row>
    <row r="167" spans="1:9" ht="15.75" customHeight="1" x14ac:dyDescent="0.25">
      <c r="A167" s="10">
        <f t="shared" ref="A167:A173" si="11">COUNTIFS($B$2:$B$979,B167)</f>
        <v>1</v>
      </c>
      <c r="B167" s="10" t="s">
        <v>417</v>
      </c>
      <c r="C167" s="11" t="s">
        <v>69</v>
      </c>
      <c r="D167" s="13">
        <f t="shared" si="1"/>
        <v>27.1</v>
      </c>
      <c r="E167" s="68">
        <v>27.1</v>
      </c>
      <c r="F167" s="13" t="s">
        <v>1124</v>
      </c>
      <c r="G167" s="13" t="s">
        <v>1090</v>
      </c>
      <c r="H167" s="13" t="s">
        <v>2890</v>
      </c>
      <c r="I167" s="4" t="s">
        <v>1090</v>
      </c>
    </row>
    <row r="168" spans="1:9" ht="15.75" customHeight="1" x14ac:dyDescent="0.25">
      <c r="A168" s="10">
        <f t="shared" si="11"/>
        <v>1</v>
      </c>
      <c r="B168" s="10" t="s">
        <v>407</v>
      </c>
      <c r="C168" s="11" t="s">
        <v>69</v>
      </c>
      <c r="D168" s="13">
        <f>E168*$D$1</f>
        <v>20.16</v>
      </c>
      <c r="E168" s="68">
        <v>20.16</v>
      </c>
      <c r="F168" s="13" t="s">
        <v>1124</v>
      </c>
      <c r="G168" s="13" t="s">
        <v>1090</v>
      </c>
      <c r="H168" s="13" t="s">
        <v>2890</v>
      </c>
      <c r="I168" s="4" t="s">
        <v>1090</v>
      </c>
    </row>
    <row r="169" spans="1:9" ht="15.75" customHeight="1" x14ac:dyDescent="0.25">
      <c r="A169" s="10">
        <f t="shared" si="11"/>
        <v>1</v>
      </c>
      <c r="B169" s="10" t="s">
        <v>2887</v>
      </c>
      <c r="C169" s="11" t="s">
        <v>69</v>
      </c>
      <c r="D169" s="13">
        <f>E169*$D$1</f>
        <v>34.513888888888893</v>
      </c>
      <c r="E169" s="68">
        <v>34.513888888888893</v>
      </c>
      <c r="F169" s="13" t="s">
        <v>1124</v>
      </c>
      <c r="G169" s="13" t="s">
        <v>1090</v>
      </c>
      <c r="H169" s="13" t="s">
        <v>2890</v>
      </c>
      <c r="I169" s="4" t="s">
        <v>1090</v>
      </c>
    </row>
    <row r="170" spans="1:9" ht="15.75" customHeight="1" x14ac:dyDescent="0.25">
      <c r="A170" s="10">
        <f t="shared" si="11"/>
        <v>1</v>
      </c>
      <c r="B170" s="10" t="s">
        <v>1426</v>
      </c>
      <c r="C170" s="11" t="s">
        <v>69</v>
      </c>
      <c r="D170" s="13">
        <f t="shared" si="1"/>
        <v>95</v>
      </c>
      <c r="E170" s="13">
        <v>95</v>
      </c>
      <c r="F170" s="13" t="s">
        <v>1124</v>
      </c>
      <c r="G170" s="13" t="s">
        <v>1090</v>
      </c>
      <c r="H170" s="13"/>
      <c r="I170" s="4" t="s">
        <v>1090</v>
      </c>
    </row>
    <row r="171" spans="1:9" ht="15.75" customHeight="1" x14ac:dyDescent="0.25">
      <c r="A171" s="10">
        <f t="shared" si="11"/>
        <v>1</v>
      </c>
      <c r="B171" s="10" t="s">
        <v>2303</v>
      </c>
      <c r="C171" s="11" t="s">
        <v>69</v>
      </c>
      <c r="D171" s="13">
        <f t="shared" si="1"/>
        <v>30.662500000000001</v>
      </c>
      <c r="E171" s="13">
        <f>60.21/(1.2*1.8)*1.1</f>
        <v>30.662500000000001</v>
      </c>
      <c r="F171" s="13" t="s">
        <v>1124</v>
      </c>
      <c r="G171" s="13" t="s">
        <v>1090</v>
      </c>
      <c r="H171" s="13"/>
      <c r="I171" s="4" t="s">
        <v>1090</v>
      </c>
    </row>
    <row r="172" spans="1:9" ht="15.75" customHeight="1" x14ac:dyDescent="0.25">
      <c r="A172" s="10">
        <f t="shared" si="11"/>
        <v>1</v>
      </c>
      <c r="B172" s="10" t="s">
        <v>2302</v>
      </c>
      <c r="C172" s="11" t="s">
        <v>69</v>
      </c>
      <c r="D172" s="13">
        <f t="shared" si="1"/>
        <v>62.847685185185185</v>
      </c>
      <c r="E172" s="13">
        <f>123.41/(1.2*1.8)*1.1</f>
        <v>62.847685185185185</v>
      </c>
      <c r="F172" s="13" t="s">
        <v>1124</v>
      </c>
      <c r="G172" s="13" t="s">
        <v>1090</v>
      </c>
      <c r="H172" s="13"/>
      <c r="I172" s="4" t="s">
        <v>1090</v>
      </c>
    </row>
    <row r="173" spans="1:9" ht="15.75" customHeight="1" x14ac:dyDescent="0.25">
      <c r="A173" s="10">
        <f t="shared" si="11"/>
        <v>1</v>
      </c>
      <c r="B173" s="10" t="s">
        <v>1373</v>
      </c>
      <c r="C173" s="11" t="s">
        <v>69</v>
      </c>
      <c r="D173" s="13">
        <f t="shared" si="1"/>
        <v>38.19444444444445</v>
      </c>
      <c r="E173" s="13">
        <f>75/(1.2*1.8)*1.1</f>
        <v>38.19444444444445</v>
      </c>
      <c r="F173" s="13" t="s">
        <v>1124</v>
      </c>
      <c r="G173" s="13" t="s">
        <v>1090</v>
      </c>
      <c r="H173" s="13"/>
      <c r="I173" s="4" t="s">
        <v>1090</v>
      </c>
    </row>
    <row r="174" spans="1:9" ht="15.75" customHeight="1" x14ac:dyDescent="0.25">
      <c r="A174" s="10">
        <f>COUNTIFS($B$2:$B$933,B174)</f>
        <v>1</v>
      </c>
      <c r="B174" s="10" t="s">
        <v>1372</v>
      </c>
      <c r="C174" s="11" t="s">
        <v>69</v>
      </c>
      <c r="D174" s="13">
        <f t="shared" si="1"/>
        <v>30.089583333333337</v>
      </c>
      <c r="E174" s="13">
        <f>78.78/(1.2*2.4)*1.1</f>
        <v>30.089583333333337</v>
      </c>
      <c r="F174" s="13" t="s">
        <v>1124</v>
      </c>
      <c r="G174" s="13" t="s">
        <v>1090</v>
      </c>
      <c r="H174" s="13"/>
      <c r="I174" s="4" t="s">
        <v>1090</v>
      </c>
    </row>
    <row r="175" spans="1:9" ht="15.75" customHeight="1" x14ac:dyDescent="0.25">
      <c r="A175" s="10">
        <f>COUNTIFS($B$2:$B$979,B175)</f>
        <v>1</v>
      </c>
      <c r="B175" s="10" t="s">
        <v>1374</v>
      </c>
      <c r="C175" s="11" t="s">
        <v>69</v>
      </c>
      <c r="D175" s="13">
        <f t="shared" ref="D175:D180" si="12">E175*$D$1</f>
        <v>84.027777777777786</v>
      </c>
      <c r="E175" s="13">
        <f>220/(1.2*2.4)*1.1</f>
        <v>84.027777777777786</v>
      </c>
      <c r="F175" s="13" t="s">
        <v>1124</v>
      </c>
      <c r="G175" s="13" t="s">
        <v>1090</v>
      </c>
      <c r="H175" s="13"/>
      <c r="I175" s="4" t="s">
        <v>1090</v>
      </c>
    </row>
    <row r="176" spans="1:9" ht="15.75" customHeight="1" x14ac:dyDescent="0.25">
      <c r="A176" s="10">
        <f>COUNTIFS($B$2:$B$979,B176)</f>
        <v>1</v>
      </c>
      <c r="B176" s="10" t="s">
        <v>1375</v>
      </c>
      <c r="C176" s="11" t="s">
        <v>69</v>
      </c>
      <c r="D176" s="13">
        <f t="shared" si="12"/>
        <v>117.21311475409837</v>
      </c>
      <c r="E176" s="13">
        <f>130/(2*0.61)*1.1</f>
        <v>117.21311475409837</v>
      </c>
      <c r="F176" s="13" t="s">
        <v>1124</v>
      </c>
      <c r="G176" s="13" t="s">
        <v>1124</v>
      </c>
      <c r="H176" s="13"/>
      <c r="I176" s="4" t="s">
        <v>1090</v>
      </c>
    </row>
    <row r="177" spans="1:9" ht="15.75" customHeight="1" x14ac:dyDescent="0.25">
      <c r="A177" s="10">
        <f>COUNTIFS($B$2:$B$979,B177)</f>
        <v>1</v>
      </c>
      <c r="B177" s="10" t="s">
        <v>1576</v>
      </c>
      <c r="C177" s="11" t="s">
        <v>69</v>
      </c>
      <c r="D177" s="13">
        <f t="shared" si="12"/>
        <v>13.019333333333332</v>
      </c>
      <c r="E177" s="13">
        <f>195.29/15</f>
        <v>13.019333333333332</v>
      </c>
      <c r="F177" s="13" t="s">
        <v>1124</v>
      </c>
      <c r="G177" s="13" t="s">
        <v>1124</v>
      </c>
      <c r="H177" s="13"/>
      <c r="I177" s="4" t="s">
        <v>1090</v>
      </c>
    </row>
    <row r="178" spans="1:9" ht="15.75" customHeight="1" x14ac:dyDescent="0.25">
      <c r="A178" s="10">
        <f>COUNTIFS($B$2:$B$979,B178)</f>
        <v>1</v>
      </c>
      <c r="B178" s="10" t="s">
        <v>415</v>
      </c>
      <c r="C178" s="11" t="s">
        <v>69</v>
      </c>
      <c r="D178" s="13">
        <f t="shared" si="12"/>
        <v>12.828666666666667</v>
      </c>
      <c r="E178" s="13">
        <v>12.828666666666667</v>
      </c>
      <c r="F178" s="13" t="s">
        <v>1124</v>
      </c>
      <c r="G178" s="13" t="s">
        <v>1124</v>
      </c>
      <c r="H178" s="13"/>
      <c r="I178" s="4" t="s">
        <v>1090</v>
      </c>
    </row>
    <row r="179" spans="1:9" ht="15.75" customHeight="1" x14ac:dyDescent="0.25">
      <c r="A179" s="10">
        <f>COUNTIFS($B$2:$B$950,B179)</f>
        <v>1</v>
      </c>
      <c r="B179" s="10" t="s">
        <v>2888</v>
      </c>
      <c r="C179" s="11" t="s">
        <v>112</v>
      </c>
      <c r="D179" s="13">
        <f t="shared" si="12"/>
        <v>3</v>
      </c>
      <c r="E179" s="68">
        <v>3</v>
      </c>
      <c r="F179" s="13" t="s">
        <v>1124</v>
      </c>
      <c r="G179" s="13" t="s">
        <v>1124</v>
      </c>
      <c r="H179" s="13" t="s">
        <v>2890</v>
      </c>
      <c r="I179" s="4" t="s">
        <v>1090</v>
      </c>
    </row>
    <row r="180" spans="1:9" ht="15.75" customHeight="1" x14ac:dyDescent="0.25">
      <c r="A180" s="10">
        <f>COUNTIFS($B$2:$B$950,B180)</f>
        <v>1</v>
      </c>
      <c r="B180" s="10" t="s">
        <v>2889</v>
      </c>
      <c r="C180" s="11" t="s">
        <v>112</v>
      </c>
      <c r="D180" s="13">
        <f t="shared" si="12"/>
        <v>0.6</v>
      </c>
      <c r="E180" s="68">
        <v>0.6</v>
      </c>
      <c r="F180" s="13" t="s">
        <v>1124</v>
      </c>
      <c r="G180" s="13" t="s">
        <v>1124</v>
      </c>
      <c r="H180" s="13" t="s">
        <v>2890</v>
      </c>
      <c r="I180" s="4" t="s">
        <v>1090</v>
      </c>
    </row>
    <row r="181" spans="1:9" ht="15.75" customHeight="1" x14ac:dyDescent="0.25">
      <c r="A181" s="10">
        <f t="shared" ref="A181:A244" si="13">COUNTIFS($B$2:$B$996,B181)</f>
        <v>1</v>
      </c>
      <c r="B181" s="10" t="s">
        <v>413</v>
      </c>
      <c r="C181" s="11" t="s">
        <v>196</v>
      </c>
      <c r="D181" s="13">
        <f t="shared" si="1"/>
        <v>0.09</v>
      </c>
      <c r="E181" s="13">
        <v>0.09</v>
      </c>
      <c r="F181" s="13" t="s">
        <v>1124</v>
      </c>
      <c r="G181" s="13" t="s">
        <v>1124</v>
      </c>
      <c r="H181" s="13"/>
      <c r="I181" s="4" t="s">
        <v>1090</v>
      </c>
    </row>
    <row r="182" spans="1:9" ht="15.75" customHeight="1" x14ac:dyDescent="0.25">
      <c r="A182" s="10">
        <f t="shared" si="13"/>
        <v>1</v>
      </c>
      <c r="B182" s="10" t="s">
        <v>414</v>
      </c>
      <c r="C182" s="11" t="s">
        <v>196</v>
      </c>
      <c r="D182" s="13">
        <f t="shared" si="1"/>
        <v>0.2</v>
      </c>
      <c r="E182" s="13">
        <v>0.2</v>
      </c>
      <c r="F182" s="13" t="s">
        <v>1124</v>
      </c>
      <c r="G182" s="13" t="s">
        <v>1124</v>
      </c>
      <c r="H182" s="13"/>
      <c r="I182" s="4" t="s">
        <v>1090</v>
      </c>
    </row>
    <row r="183" spans="1:9" ht="15.75" customHeight="1" x14ac:dyDescent="0.25">
      <c r="A183" s="10">
        <f t="shared" si="13"/>
        <v>1</v>
      </c>
      <c r="B183" s="10" t="s">
        <v>409</v>
      </c>
      <c r="C183" s="11" t="s">
        <v>112</v>
      </c>
      <c r="D183" s="13">
        <f t="shared" si="1"/>
        <v>7.03</v>
      </c>
      <c r="E183" s="13">
        <v>7.03</v>
      </c>
      <c r="F183" s="13" t="s">
        <v>1124</v>
      </c>
      <c r="G183" s="13" t="s">
        <v>1124</v>
      </c>
      <c r="H183" s="13"/>
      <c r="I183" s="4" t="s">
        <v>1090</v>
      </c>
    </row>
    <row r="184" spans="1:9" ht="15.75" customHeight="1" x14ac:dyDescent="0.25">
      <c r="A184" s="10">
        <f t="shared" si="13"/>
        <v>1</v>
      </c>
      <c r="B184" s="10" t="s">
        <v>422</v>
      </c>
      <c r="C184" s="11" t="s">
        <v>112</v>
      </c>
      <c r="D184" s="13">
        <f t="shared" si="1"/>
        <v>7.46</v>
      </c>
      <c r="E184" s="68">
        <v>7.46</v>
      </c>
      <c r="F184" s="13" t="s">
        <v>1124</v>
      </c>
      <c r="G184" s="13" t="s">
        <v>1124</v>
      </c>
      <c r="H184" s="13"/>
      <c r="I184" s="4" t="s">
        <v>1090</v>
      </c>
    </row>
    <row r="185" spans="1:9" ht="15.75" customHeight="1" x14ac:dyDescent="0.25">
      <c r="A185" s="10">
        <f t="shared" si="13"/>
        <v>1</v>
      </c>
      <c r="B185" s="10" t="s">
        <v>419</v>
      </c>
      <c r="C185" s="11" t="s">
        <v>112</v>
      </c>
      <c r="D185" s="13">
        <f>E185*$D$1</f>
        <v>8.64</v>
      </c>
      <c r="E185" s="68">
        <v>8.64</v>
      </c>
      <c r="F185" s="13" t="s">
        <v>1124</v>
      </c>
      <c r="G185" s="13" t="s">
        <v>1124</v>
      </c>
      <c r="H185" s="13"/>
      <c r="I185" s="4" t="s">
        <v>1090</v>
      </c>
    </row>
    <row r="186" spans="1:9" ht="15.75" customHeight="1" x14ac:dyDescent="0.25">
      <c r="A186" s="10">
        <f t="shared" si="13"/>
        <v>1</v>
      </c>
      <c r="B186" s="10" t="s">
        <v>410</v>
      </c>
      <c r="C186" s="11" t="s">
        <v>112</v>
      </c>
      <c r="D186" s="13">
        <f t="shared" si="1"/>
        <v>7.98</v>
      </c>
      <c r="E186" s="13">
        <v>7.98</v>
      </c>
      <c r="F186" s="13" t="s">
        <v>1124</v>
      </c>
      <c r="G186" s="13" t="s">
        <v>1124</v>
      </c>
      <c r="H186" s="13"/>
      <c r="I186" s="4" t="s">
        <v>1090</v>
      </c>
    </row>
    <row r="187" spans="1:9" ht="15.75" customHeight="1" x14ac:dyDescent="0.25">
      <c r="A187" s="10">
        <f t="shared" si="13"/>
        <v>1</v>
      </c>
      <c r="B187" s="10" t="s">
        <v>423</v>
      </c>
      <c r="C187" s="11" t="s">
        <v>112</v>
      </c>
      <c r="D187" s="13">
        <f t="shared" si="1"/>
        <v>7.98</v>
      </c>
      <c r="E187" s="13">
        <v>7.98</v>
      </c>
      <c r="F187" s="13" t="s">
        <v>1124</v>
      </c>
      <c r="G187" s="13" t="s">
        <v>1124</v>
      </c>
      <c r="H187" s="13"/>
      <c r="I187" s="4" t="s">
        <v>1090</v>
      </c>
    </row>
    <row r="188" spans="1:9" ht="15.75" customHeight="1" x14ac:dyDescent="0.25">
      <c r="A188" s="10">
        <f t="shared" si="13"/>
        <v>1</v>
      </c>
      <c r="B188" s="10" t="s">
        <v>420</v>
      </c>
      <c r="C188" s="11" t="s">
        <v>112</v>
      </c>
      <c r="D188" s="13">
        <f t="shared" si="1"/>
        <v>18.09</v>
      </c>
      <c r="E188" s="13">
        <v>18.09</v>
      </c>
      <c r="F188" s="13" t="s">
        <v>1124</v>
      </c>
      <c r="G188" s="13" t="s">
        <v>1124</v>
      </c>
      <c r="H188" s="13"/>
      <c r="I188" s="4" t="s">
        <v>1090</v>
      </c>
    </row>
    <row r="189" spans="1:9" ht="15.75" customHeight="1" x14ac:dyDescent="0.25">
      <c r="A189" s="10">
        <f t="shared" si="13"/>
        <v>1</v>
      </c>
      <c r="B189" s="10" t="s">
        <v>408</v>
      </c>
      <c r="C189" s="11" t="s">
        <v>196</v>
      </c>
      <c r="D189" s="13">
        <f t="shared" si="1"/>
        <v>0.504</v>
      </c>
      <c r="E189" s="13">
        <v>0.504</v>
      </c>
      <c r="F189" s="13" t="s">
        <v>1124</v>
      </c>
      <c r="G189" s="13" t="s">
        <v>1124</v>
      </c>
      <c r="H189" s="13"/>
      <c r="I189" s="4" t="s">
        <v>1090</v>
      </c>
    </row>
    <row r="190" spans="1:9" ht="15.75" customHeight="1" x14ac:dyDescent="0.25">
      <c r="A190" s="10">
        <f t="shared" si="13"/>
        <v>1</v>
      </c>
      <c r="B190" s="10" t="s">
        <v>393</v>
      </c>
      <c r="C190" s="11" t="s">
        <v>196</v>
      </c>
      <c r="D190" s="13">
        <f t="shared" si="1"/>
        <v>0.43359999999999999</v>
      </c>
      <c r="E190" s="13">
        <v>0.43359999999999999</v>
      </c>
      <c r="F190" s="13" t="s">
        <v>1124</v>
      </c>
      <c r="G190" s="13" t="s">
        <v>1124</v>
      </c>
      <c r="H190" s="13"/>
      <c r="I190" s="4" t="s">
        <v>1090</v>
      </c>
    </row>
    <row r="191" spans="1:9" ht="15.75" customHeight="1" x14ac:dyDescent="0.25">
      <c r="A191" s="10">
        <f t="shared" si="13"/>
        <v>1</v>
      </c>
      <c r="B191" s="10" t="s">
        <v>1567</v>
      </c>
      <c r="C191" s="11" t="s">
        <v>641</v>
      </c>
      <c r="D191" s="13">
        <f>E191*$D$1</f>
        <v>8.1</v>
      </c>
      <c r="E191" s="13">
        <f>405/(1*50)</f>
        <v>8.1</v>
      </c>
      <c r="F191" s="13" t="s">
        <v>1124</v>
      </c>
      <c r="G191" s="13" t="s">
        <v>1124</v>
      </c>
      <c r="H191" s="13"/>
      <c r="I191" s="4" t="s">
        <v>1090</v>
      </c>
    </row>
    <row r="192" spans="1:9" ht="15.75" customHeight="1" x14ac:dyDescent="0.25">
      <c r="A192" s="10">
        <f t="shared" si="13"/>
        <v>1</v>
      </c>
      <c r="B192" s="10" t="s">
        <v>1427</v>
      </c>
      <c r="C192" s="11" t="s">
        <v>112</v>
      </c>
      <c r="D192" s="13">
        <f>E192*$D$1</f>
        <v>7.5</v>
      </c>
      <c r="E192" s="13">
        <v>7.5</v>
      </c>
      <c r="F192" s="13" t="s">
        <v>1124</v>
      </c>
      <c r="G192" s="13" t="s">
        <v>1124</v>
      </c>
      <c r="H192" s="13"/>
      <c r="I192" s="4" t="s">
        <v>1090</v>
      </c>
    </row>
    <row r="193" spans="1:9" ht="15.75" customHeight="1" x14ac:dyDescent="0.25">
      <c r="A193" s="10">
        <f t="shared" si="13"/>
        <v>1</v>
      </c>
      <c r="B193" s="10" t="s">
        <v>1428</v>
      </c>
      <c r="C193" s="11" t="s">
        <v>112</v>
      </c>
      <c r="D193" s="13">
        <f>E193*$D$1</f>
        <v>6.5</v>
      </c>
      <c r="E193" s="13">
        <v>6.5</v>
      </c>
      <c r="F193" s="13" t="s">
        <v>1124</v>
      </c>
      <c r="G193" s="13" t="s">
        <v>1124</v>
      </c>
      <c r="H193" s="13"/>
      <c r="I193" s="4" t="s">
        <v>1090</v>
      </c>
    </row>
    <row r="194" spans="1:9" ht="15.75" customHeight="1" x14ac:dyDescent="0.25">
      <c r="A194" s="10">
        <f t="shared" si="13"/>
        <v>1</v>
      </c>
      <c r="B194" s="10" t="s">
        <v>1429</v>
      </c>
      <c r="C194" s="11" t="s">
        <v>112</v>
      </c>
      <c r="D194" s="13">
        <f>E194*$D$1</f>
        <v>15</v>
      </c>
      <c r="E194" s="13">
        <v>15</v>
      </c>
      <c r="F194" s="13" t="s">
        <v>1124</v>
      </c>
      <c r="G194" s="13" t="s">
        <v>1124</v>
      </c>
      <c r="H194" s="13"/>
      <c r="I194" s="4" t="s">
        <v>1090</v>
      </c>
    </row>
    <row r="195" spans="1:9" ht="15.75" customHeight="1" x14ac:dyDescent="0.25">
      <c r="A195" s="10">
        <f t="shared" si="13"/>
        <v>1</v>
      </c>
      <c r="B195" s="10" t="s">
        <v>1430</v>
      </c>
      <c r="C195" s="11" t="s">
        <v>196</v>
      </c>
      <c r="D195" s="13">
        <f>E195*$D$1</f>
        <v>0.5</v>
      </c>
      <c r="E195" s="13">
        <v>0.5</v>
      </c>
      <c r="F195" s="13" t="s">
        <v>1124</v>
      </c>
      <c r="G195" s="13" t="s">
        <v>1124</v>
      </c>
      <c r="H195" s="13"/>
      <c r="I195" s="4" t="s">
        <v>1090</v>
      </c>
    </row>
    <row r="196" spans="1:9" ht="15.75" customHeight="1" x14ac:dyDescent="0.25">
      <c r="A196" s="10">
        <f t="shared" si="13"/>
        <v>1</v>
      </c>
      <c r="B196" s="10" t="s">
        <v>400</v>
      </c>
      <c r="C196" s="11" t="s">
        <v>196</v>
      </c>
      <c r="D196" s="13">
        <f t="shared" si="1"/>
        <v>377.8363900815155</v>
      </c>
      <c r="E196" s="13">
        <v>377.8363900815155</v>
      </c>
      <c r="F196" s="13" t="s">
        <v>1124</v>
      </c>
      <c r="G196" s="13" t="s">
        <v>1124</v>
      </c>
      <c r="H196" s="13"/>
      <c r="I196" s="4" t="s">
        <v>1090</v>
      </c>
    </row>
    <row r="197" spans="1:9" ht="15.75" customHeight="1" x14ac:dyDescent="0.25">
      <c r="A197" s="10">
        <f t="shared" si="13"/>
        <v>1</v>
      </c>
      <c r="B197" s="10" t="s">
        <v>402</v>
      </c>
      <c r="C197" s="11" t="s">
        <v>196</v>
      </c>
      <c r="D197" s="13">
        <f t="shared" si="1"/>
        <v>58.988734923708691</v>
      </c>
      <c r="E197" s="13">
        <v>58.988734923708691</v>
      </c>
      <c r="F197" s="13" t="s">
        <v>1124</v>
      </c>
      <c r="G197" s="13" t="s">
        <v>1124</v>
      </c>
      <c r="H197" s="13"/>
      <c r="I197" s="4" t="s">
        <v>1090</v>
      </c>
    </row>
    <row r="198" spans="1:9" ht="15.75" customHeight="1" x14ac:dyDescent="0.25">
      <c r="A198" s="10">
        <f t="shared" si="13"/>
        <v>1</v>
      </c>
      <c r="B198" s="10" t="s">
        <v>855</v>
      </c>
      <c r="C198" s="11" t="s">
        <v>196</v>
      </c>
      <c r="D198" s="13">
        <f t="shared" si="1"/>
        <v>5.17</v>
      </c>
      <c r="E198" s="13">
        <v>5.17</v>
      </c>
      <c r="F198" s="13" t="s">
        <v>1124</v>
      </c>
      <c r="G198" s="13" t="s">
        <v>1124</v>
      </c>
      <c r="H198" s="13"/>
      <c r="I198" s="4" t="s">
        <v>1090</v>
      </c>
    </row>
    <row r="199" spans="1:9" ht="15.75" customHeight="1" x14ac:dyDescent="0.25">
      <c r="A199" s="10">
        <f t="shared" si="13"/>
        <v>1</v>
      </c>
      <c r="B199" s="10" t="s">
        <v>142</v>
      </c>
      <c r="C199" s="11" t="s">
        <v>787</v>
      </c>
      <c r="D199" s="13">
        <f t="shared" si="1"/>
        <v>110</v>
      </c>
      <c r="E199" s="13">
        <v>110</v>
      </c>
      <c r="F199" s="13" t="s">
        <v>1125</v>
      </c>
      <c r="G199" s="13" t="s">
        <v>1125</v>
      </c>
      <c r="H199" s="13"/>
      <c r="I199" s="4" t="s">
        <v>1126</v>
      </c>
    </row>
    <row r="200" spans="1:9" ht="15.75" customHeight="1" x14ac:dyDescent="0.25">
      <c r="A200" s="10">
        <f t="shared" si="13"/>
        <v>1</v>
      </c>
      <c r="B200" s="10" t="s">
        <v>132</v>
      </c>
      <c r="C200" s="11" t="s">
        <v>641</v>
      </c>
      <c r="D200" s="13">
        <f t="shared" si="1"/>
        <v>880</v>
      </c>
      <c r="E200" s="13">
        <v>880</v>
      </c>
      <c r="F200" s="13" t="s">
        <v>1125</v>
      </c>
      <c r="G200" s="13" t="s">
        <v>1125</v>
      </c>
      <c r="H200" s="13"/>
      <c r="I200" s="4" t="s">
        <v>1126</v>
      </c>
    </row>
    <row r="201" spans="1:9" ht="15.75" customHeight="1" x14ac:dyDescent="0.25">
      <c r="A201" s="10">
        <f t="shared" si="13"/>
        <v>1</v>
      </c>
      <c r="B201" s="10" t="s">
        <v>118</v>
      </c>
      <c r="C201" s="11" t="s">
        <v>196</v>
      </c>
      <c r="D201" s="13">
        <f t="shared" si="1"/>
        <v>45</v>
      </c>
      <c r="E201" s="13">
        <v>45</v>
      </c>
      <c r="F201" s="13" t="s">
        <v>1125</v>
      </c>
      <c r="G201" s="13" t="s">
        <v>1125</v>
      </c>
      <c r="H201" s="13"/>
      <c r="I201" s="4" t="s">
        <v>1126</v>
      </c>
    </row>
    <row r="202" spans="1:9" ht="15.75" customHeight="1" x14ac:dyDescent="0.25">
      <c r="A202" s="10">
        <f t="shared" si="13"/>
        <v>1</v>
      </c>
      <c r="B202" s="10" t="s">
        <v>107</v>
      </c>
      <c r="C202" s="11" t="s">
        <v>196</v>
      </c>
      <c r="D202" s="13">
        <f t="shared" si="1"/>
        <v>536.53</v>
      </c>
      <c r="E202" s="13">
        <v>536.53</v>
      </c>
      <c r="F202" s="13" t="s">
        <v>1125</v>
      </c>
      <c r="G202" s="13" t="s">
        <v>1125</v>
      </c>
      <c r="H202" s="13"/>
      <c r="I202" s="4" t="s">
        <v>1126</v>
      </c>
    </row>
    <row r="203" spans="1:9" ht="15.75" customHeight="1" x14ac:dyDescent="0.25">
      <c r="A203" s="10">
        <f t="shared" si="13"/>
        <v>1</v>
      </c>
      <c r="B203" s="10" t="s">
        <v>108</v>
      </c>
      <c r="C203" s="11" t="s">
        <v>196</v>
      </c>
      <c r="D203" s="13">
        <f t="shared" si="1"/>
        <v>520.85</v>
      </c>
      <c r="E203" s="13">
        <v>520.85</v>
      </c>
      <c r="F203" s="13" t="s">
        <v>1125</v>
      </c>
      <c r="G203" s="13" t="s">
        <v>1125</v>
      </c>
      <c r="H203" s="13"/>
      <c r="I203" s="4" t="s">
        <v>1126</v>
      </c>
    </row>
    <row r="204" spans="1:9" ht="15.75" customHeight="1" x14ac:dyDescent="0.25">
      <c r="A204" s="10">
        <f t="shared" si="13"/>
        <v>1</v>
      </c>
      <c r="B204" s="10" t="s">
        <v>140</v>
      </c>
      <c r="C204" s="11" t="s">
        <v>196</v>
      </c>
      <c r="D204" s="13">
        <f t="shared" si="1"/>
        <v>50</v>
      </c>
      <c r="E204" s="13">
        <v>50</v>
      </c>
      <c r="F204" s="13" t="s">
        <v>1125</v>
      </c>
      <c r="G204" s="13" t="s">
        <v>1125</v>
      </c>
      <c r="H204" s="13"/>
      <c r="I204" s="4" t="s">
        <v>1126</v>
      </c>
    </row>
    <row r="205" spans="1:9" ht="15.75" customHeight="1" x14ac:dyDescent="0.25">
      <c r="A205" s="10">
        <f t="shared" si="13"/>
        <v>1</v>
      </c>
      <c r="B205" s="10" t="s">
        <v>138</v>
      </c>
      <c r="C205" s="11" t="s">
        <v>112</v>
      </c>
      <c r="D205" s="13">
        <f t="shared" si="1"/>
        <v>5.2</v>
      </c>
      <c r="E205" s="13">
        <v>5.2</v>
      </c>
      <c r="F205" s="13" t="s">
        <v>1125</v>
      </c>
      <c r="G205" s="13" t="s">
        <v>1125</v>
      </c>
      <c r="H205" s="13"/>
      <c r="I205" s="4" t="s">
        <v>1126</v>
      </c>
    </row>
    <row r="206" spans="1:9" ht="15.75" customHeight="1" x14ac:dyDescent="0.25">
      <c r="A206" s="10">
        <f t="shared" si="13"/>
        <v>1</v>
      </c>
      <c r="B206" s="10" t="s">
        <v>127</v>
      </c>
      <c r="C206" s="11" t="s">
        <v>69</v>
      </c>
      <c r="D206" s="13">
        <f t="shared" si="1"/>
        <v>3.5</v>
      </c>
      <c r="E206" s="13">
        <v>3.5</v>
      </c>
      <c r="F206" s="13" t="s">
        <v>1125</v>
      </c>
      <c r="G206" s="13" t="s">
        <v>1125</v>
      </c>
      <c r="H206" s="13"/>
      <c r="I206" s="4" t="s">
        <v>1126</v>
      </c>
    </row>
    <row r="207" spans="1:9" ht="15.75" customHeight="1" x14ac:dyDescent="0.25">
      <c r="A207" s="10">
        <f t="shared" si="13"/>
        <v>1</v>
      </c>
      <c r="B207" s="10" t="s">
        <v>123</v>
      </c>
      <c r="C207" s="11" t="s">
        <v>112</v>
      </c>
      <c r="D207" s="13">
        <f t="shared" si="1"/>
        <v>2.73</v>
      </c>
      <c r="E207" s="13">
        <v>2.73</v>
      </c>
      <c r="F207" s="13" t="s">
        <v>1125</v>
      </c>
      <c r="G207" s="13" t="s">
        <v>1125</v>
      </c>
      <c r="H207" s="13"/>
      <c r="I207" s="4" t="s">
        <v>1126</v>
      </c>
    </row>
    <row r="208" spans="1:9" ht="15.75" customHeight="1" x14ac:dyDescent="0.25">
      <c r="A208" s="10">
        <f t="shared" si="13"/>
        <v>1</v>
      </c>
      <c r="B208" s="10" t="s">
        <v>145</v>
      </c>
      <c r="C208" s="11" t="s">
        <v>144</v>
      </c>
      <c r="D208" s="13">
        <f t="shared" si="1"/>
        <v>6500</v>
      </c>
      <c r="E208" s="13">
        <v>6500</v>
      </c>
      <c r="F208" s="13" t="s">
        <v>1127</v>
      </c>
      <c r="G208" s="13" t="s">
        <v>1127</v>
      </c>
      <c r="H208" s="13"/>
      <c r="I208" s="4" t="s">
        <v>1128</v>
      </c>
    </row>
    <row r="209" spans="1:9" ht="15.75" customHeight="1" x14ac:dyDescent="0.25">
      <c r="A209" s="10">
        <f t="shared" si="13"/>
        <v>1</v>
      </c>
      <c r="B209" s="10" t="s">
        <v>146</v>
      </c>
      <c r="C209" s="11" t="s">
        <v>144</v>
      </c>
      <c r="D209" s="13">
        <f t="shared" si="1"/>
        <v>900</v>
      </c>
      <c r="E209" s="13">
        <v>900</v>
      </c>
      <c r="F209" s="13" t="s">
        <v>1127</v>
      </c>
      <c r="G209" s="13" t="s">
        <v>1127</v>
      </c>
      <c r="H209" s="13"/>
      <c r="I209" s="4" t="s">
        <v>1128</v>
      </c>
    </row>
    <row r="210" spans="1:9" ht="15.75" customHeight="1" x14ac:dyDescent="0.25">
      <c r="A210" s="10">
        <f t="shared" si="13"/>
        <v>1</v>
      </c>
      <c r="B210" s="10" t="s">
        <v>149</v>
      </c>
      <c r="C210" s="11" t="s">
        <v>193</v>
      </c>
      <c r="D210" s="13">
        <f t="shared" si="1"/>
        <v>1200</v>
      </c>
      <c r="E210" s="13">
        <v>1200</v>
      </c>
      <c r="F210" s="13" t="s">
        <v>1127</v>
      </c>
      <c r="G210" s="13" t="s">
        <v>1127</v>
      </c>
      <c r="H210" s="13"/>
      <c r="I210" s="4" t="s">
        <v>1128</v>
      </c>
    </row>
    <row r="211" spans="1:9" ht="14.25" x14ac:dyDescent="0.2">
      <c r="A211" s="10">
        <f t="shared" si="13"/>
        <v>1</v>
      </c>
      <c r="B211" s="77" t="s">
        <v>1686</v>
      </c>
      <c r="C211" s="78" t="s">
        <v>193</v>
      </c>
      <c r="D211" s="79">
        <f>E211*$D$1</f>
        <v>24442.014536566567</v>
      </c>
      <c r="E211" s="79">
        <f>(950000*0.0257284363542806)/1</f>
        <v>24442.014536566567</v>
      </c>
      <c r="F211" s="79" t="s">
        <v>1127</v>
      </c>
      <c r="G211" s="79" t="s">
        <v>1127</v>
      </c>
      <c r="H211" s="79"/>
      <c r="I211" s="80" t="s">
        <v>1128</v>
      </c>
    </row>
    <row r="212" spans="1:9" ht="15.75" customHeight="1" x14ac:dyDescent="0.25">
      <c r="A212" s="10">
        <f t="shared" si="13"/>
        <v>1</v>
      </c>
      <c r="B212" s="10" t="s">
        <v>194</v>
      </c>
      <c r="C212" s="11" t="s">
        <v>193</v>
      </c>
      <c r="D212" s="13">
        <f t="shared" si="1"/>
        <v>26000</v>
      </c>
      <c r="E212" s="13">
        <v>26000</v>
      </c>
      <c r="F212" s="13" t="s">
        <v>1127</v>
      </c>
      <c r="G212" s="13" t="s">
        <v>1127</v>
      </c>
      <c r="H212" s="13"/>
      <c r="I212" s="4" t="s">
        <v>1128</v>
      </c>
    </row>
    <row r="213" spans="1:9" ht="15.75" customHeight="1" x14ac:dyDescent="0.25">
      <c r="A213" s="10">
        <f t="shared" si="13"/>
        <v>1</v>
      </c>
      <c r="B213" s="10" t="s">
        <v>192</v>
      </c>
      <c r="C213" s="11" t="s">
        <v>193</v>
      </c>
      <c r="D213" s="13">
        <f t="shared" si="1"/>
        <v>18500</v>
      </c>
      <c r="E213" s="13">
        <v>18500</v>
      </c>
      <c r="F213" s="13" t="s">
        <v>1127</v>
      </c>
      <c r="G213" s="13" t="s">
        <v>1127</v>
      </c>
      <c r="H213" s="13"/>
      <c r="I213" s="4" t="s">
        <v>1128</v>
      </c>
    </row>
    <row r="214" spans="1:9" ht="14.25" x14ac:dyDescent="0.2">
      <c r="A214" s="10">
        <f t="shared" si="13"/>
        <v>1</v>
      </c>
      <c r="B214" s="77" t="s">
        <v>1688</v>
      </c>
      <c r="C214" s="78" t="s">
        <v>112</v>
      </c>
      <c r="D214" s="79">
        <f>E214*$D$1</f>
        <v>0.8</v>
      </c>
      <c r="E214" s="79">
        <f>20/25</f>
        <v>0.8</v>
      </c>
      <c r="F214" s="79" t="s">
        <v>1166</v>
      </c>
      <c r="G214" s="79" t="s">
        <v>1090</v>
      </c>
      <c r="H214" s="79"/>
      <c r="I214" s="80" t="s">
        <v>1090</v>
      </c>
    </row>
    <row r="215" spans="1:9" ht="15.75" customHeight="1" x14ac:dyDescent="0.25">
      <c r="A215" s="10">
        <f t="shared" si="13"/>
        <v>1</v>
      </c>
      <c r="B215" s="10" t="s">
        <v>1063</v>
      </c>
      <c r="C215" s="11" t="s">
        <v>144</v>
      </c>
      <c r="D215" s="13">
        <f t="shared" si="1"/>
        <v>1500</v>
      </c>
      <c r="E215" s="13">
        <v>1500</v>
      </c>
      <c r="F215" s="13" t="s">
        <v>1127</v>
      </c>
      <c r="G215" s="13" t="s">
        <v>1127</v>
      </c>
      <c r="H215" s="13"/>
      <c r="I215" s="4" t="s">
        <v>1128</v>
      </c>
    </row>
    <row r="216" spans="1:9" ht="15.75" customHeight="1" x14ac:dyDescent="0.25">
      <c r="A216" s="10">
        <f t="shared" si="13"/>
        <v>1</v>
      </c>
      <c r="B216" s="10" t="s">
        <v>1042</v>
      </c>
      <c r="C216" s="11" t="s">
        <v>144</v>
      </c>
      <c r="D216" s="13">
        <f t="shared" si="1"/>
        <v>3200</v>
      </c>
      <c r="E216" s="13">
        <v>3200</v>
      </c>
      <c r="F216" s="13" t="s">
        <v>1127</v>
      </c>
      <c r="G216" s="13" t="s">
        <v>1127</v>
      </c>
      <c r="H216" s="13"/>
      <c r="I216" s="4" t="s">
        <v>1128</v>
      </c>
    </row>
    <row r="217" spans="1:9" ht="15.75" customHeight="1" x14ac:dyDescent="0.25">
      <c r="A217" s="10">
        <f t="shared" si="13"/>
        <v>1</v>
      </c>
      <c r="B217" s="10" t="s">
        <v>170</v>
      </c>
      <c r="C217" s="11" t="s">
        <v>144</v>
      </c>
      <c r="D217" s="13">
        <f t="shared" si="1"/>
        <v>33660</v>
      </c>
      <c r="E217" s="13">
        <v>33660</v>
      </c>
      <c r="F217" s="13" t="s">
        <v>1127</v>
      </c>
      <c r="G217" s="13" t="s">
        <v>1127</v>
      </c>
      <c r="H217" s="13"/>
      <c r="I217" s="4" t="s">
        <v>1128</v>
      </c>
    </row>
    <row r="218" spans="1:9" ht="15.75" customHeight="1" x14ac:dyDescent="0.25">
      <c r="A218" s="10">
        <f t="shared" si="13"/>
        <v>1</v>
      </c>
      <c r="B218" s="10" t="s">
        <v>172</v>
      </c>
      <c r="C218" s="11" t="s">
        <v>144</v>
      </c>
      <c r="D218" s="13">
        <f t="shared" si="1"/>
        <v>15000</v>
      </c>
      <c r="E218" s="13">
        <v>15000</v>
      </c>
      <c r="F218" s="13" t="s">
        <v>1127</v>
      </c>
      <c r="G218" s="13" t="s">
        <v>1127</v>
      </c>
      <c r="H218" s="13"/>
      <c r="I218" s="4" t="s">
        <v>1128</v>
      </c>
    </row>
    <row r="219" spans="1:9" ht="15.75" customHeight="1" x14ac:dyDescent="0.25">
      <c r="A219" s="10">
        <f t="shared" si="13"/>
        <v>1</v>
      </c>
      <c r="B219" s="10" t="s">
        <v>334</v>
      </c>
      <c r="C219" s="11" t="s">
        <v>1129</v>
      </c>
      <c r="D219" s="13">
        <f t="shared" si="1"/>
        <v>15000</v>
      </c>
      <c r="E219" s="13">
        <v>15000</v>
      </c>
      <c r="F219" s="13" t="s">
        <v>1127</v>
      </c>
      <c r="G219" s="13" t="s">
        <v>1127</v>
      </c>
      <c r="H219" s="13"/>
      <c r="I219" s="4" t="s">
        <v>1128</v>
      </c>
    </row>
    <row r="220" spans="1:9" ht="15.75" customHeight="1" x14ac:dyDescent="0.25">
      <c r="A220" s="10">
        <f t="shared" si="13"/>
        <v>1</v>
      </c>
      <c r="B220" s="10" t="s">
        <v>2055</v>
      </c>
      <c r="C220" s="11" t="s">
        <v>787</v>
      </c>
      <c r="D220" s="13">
        <f>E220*$D$1</f>
        <v>20</v>
      </c>
      <c r="E220" s="13">
        <v>20</v>
      </c>
      <c r="F220" s="13" t="s">
        <v>1127</v>
      </c>
      <c r="G220" s="13" t="s">
        <v>1127</v>
      </c>
      <c r="H220" s="13"/>
      <c r="I220" s="4" t="s">
        <v>1128</v>
      </c>
    </row>
    <row r="221" spans="1:9" ht="15.75" customHeight="1" x14ac:dyDescent="0.25">
      <c r="A221" s="10">
        <f t="shared" si="13"/>
        <v>1</v>
      </c>
      <c r="B221" s="10" t="s">
        <v>125</v>
      </c>
      <c r="C221" s="11" t="s">
        <v>196</v>
      </c>
      <c r="D221" s="13">
        <f t="shared" si="1"/>
        <v>32.9</v>
      </c>
      <c r="E221" s="13">
        <v>32.9</v>
      </c>
      <c r="F221" s="13" t="s">
        <v>1127</v>
      </c>
      <c r="G221" s="13" t="s">
        <v>1127</v>
      </c>
      <c r="H221" s="13"/>
      <c r="I221" s="4" t="s">
        <v>1128</v>
      </c>
    </row>
    <row r="222" spans="1:9" ht="15.75" customHeight="1" x14ac:dyDescent="0.25">
      <c r="A222" s="10">
        <f t="shared" si="13"/>
        <v>1</v>
      </c>
      <c r="B222" s="10" t="s">
        <v>330</v>
      </c>
      <c r="C222" s="11" t="s">
        <v>196</v>
      </c>
      <c r="D222" s="13">
        <f t="shared" si="1"/>
        <v>36.425026506170724</v>
      </c>
      <c r="E222" s="13">
        <v>36.425026506170724</v>
      </c>
      <c r="F222" s="13" t="s">
        <v>1127</v>
      </c>
      <c r="G222" s="13" t="s">
        <v>1127</v>
      </c>
      <c r="H222" s="13"/>
      <c r="I222" s="4" t="s">
        <v>1128</v>
      </c>
    </row>
    <row r="223" spans="1:9" ht="15.75" customHeight="1" x14ac:dyDescent="0.25">
      <c r="A223" s="10">
        <f t="shared" si="13"/>
        <v>1</v>
      </c>
      <c r="B223" s="10" t="s">
        <v>327</v>
      </c>
      <c r="C223" s="11" t="s">
        <v>1130</v>
      </c>
      <c r="D223" s="13">
        <f t="shared" si="1"/>
        <v>5.3064</v>
      </c>
      <c r="E223" s="13">
        <v>5.3064</v>
      </c>
      <c r="F223" s="13" t="s">
        <v>1127</v>
      </c>
      <c r="G223" s="13" t="s">
        <v>1127</v>
      </c>
      <c r="H223" s="13"/>
      <c r="I223" s="4" t="s">
        <v>1128</v>
      </c>
    </row>
    <row r="224" spans="1:9" ht="15.75" customHeight="1" x14ac:dyDescent="0.25">
      <c r="A224" s="10">
        <f t="shared" si="13"/>
        <v>1</v>
      </c>
      <c r="B224" s="10" t="s">
        <v>328</v>
      </c>
      <c r="C224" s="11" t="s">
        <v>193</v>
      </c>
      <c r="D224" s="13">
        <f t="shared" si="1"/>
        <v>39432.81</v>
      </c>
      <c r="E224" s="13">
        <v>39432.81</v>
      </c>
      <c r="F224" s="13" t="s">
        <v>1127</v>
      </c>
      <c r="G224" s="13" t="s">
        <v>1127</v>
      </c>
      <c r="H224" s="13"/>
      <c r="I224" s="4" t="s">
        <v>1128</v>
      </c>
    </row>
    <row r="225" spans="1:9" ht="15.75" customHeight="1" x14ac:dyDescent="0.25">
      <c r="A225" s="10">
        <f t="shared" si="13"/>
        <v>1</v>
      </c>
      <c r="B225" s="10" t="s">
        <v>1055</v>
      </c>
      <c r="C225" s="11" t="s">
        <v>144</v>
      </c>
      <c r="D225" s="13">
        <f t="shared" si="1"/>
        <v>1000</v>
      </c>
      <c r="E225" s="13">
        <v>1000</v>
      </c>
      <c r="F225" s="13" t="s">
        <v>1127</v>
      </c>
      <c r="G225" s="13" t="s">
        <v>1127</v>
      </c>
      <c r="H225" s="13"/>
      <c r="I225" s="4" t="s">
        <v>1128</v>
      </c>
    </row>
    <row r="226" spans="1:9" ht="15.75" customHeight="1" x14ac:dyDescent="0.25">
      <c r="A226" s="10">
        <f t="shared" si="13"/>
        <v>1</v>
      </c>
      <c r="B226" s="10" t="s">
        <v>1062</v>
      </c>
      <c r="C226" s="11" t="s">
        <v>144</v>
      </c>
      <c r="D226" s="13">
        <f t="shared" si="1"/>
        <v>4000</v>
      </c>
      <c r="E226" s="13">
        <v>4000</v>
      </c>
      <c r="F226" s="13" t="s">
        <v>1127</v>
      </c>
      <c r="G226" s="13" t="s">
        <v>1127</v>
      </c>
      <c r="H226" s="13"/>
      <c r="I226" s="4" t="s">
        <v>1128</v>
      </c>
    </row>
    <row r="227" spans="1:9" ht="15.75" customHeight="1" x14ac:dyDescent="0.25">
      <c r="A227" s="10">
        <f t="shared" si="13"/>
        <v>1</v>
      </c>
      <c r="B227" s="10" t="s">
        <v>1041</v>
      </c>
      <c r="C227" s="11" t="s">
        <v>144</v>
      </c>
      <c r="D227" s="13">
        <f t="shared" si="1"/>
        <v>1500</v>
      </c>
      <c r="E227" s="13">
        <v>1500</v>
      </c>
      <c r="F227" s="13" t="s">
        <v>1127</v>
      </c>
      <c r="G227" s="13" t="s">
        <v>1127</v>
      </c>
      <c r="H227" s="13"/>
      <c r="I227" s="4" t="s">
        <v>1128</v>
      </c>
    </row>
    <row r="228" spans="1:9" ht="15.75" customHeight="1" x14ac:dyDescent="0.25">
      <c r="A228" s="10">
        <f t="shared" si="13"/>
        <v>1</v>
      </c>
      <c r="B228" s="10" t="s">
        <v>1056</v>
      </c>
      <c r="C228" s="11" t="s">
        <v>144</v>
      </c>
      <c r="D228" s="13">
        <f t="shared" si="1"/>
        <v>1500</v>
      </c>
      <c r="E228" s="13">
        <v>1500</v>
      </c>
      <c r="F228" s="13" t="s">
        <v>1127</v>
      </c>
      <c r="G228" s="13" t="s">
        <v>1127</v>
      </c>
      <c r="H228" s="13"/>
      <c r="I228" s="4" t="s">
        <v>1128</v>
      </c>
    </row>
    <row r="229" spans="1:9" ht="15.75" customHeight="1" x14ac:dyDescent="0.25">
      <c r="A229" s="10">
        <f t="shared" si="13"/>
        <v>1</v>
      </c>
      <c r="B229" s="10" t="s">
        <v>1064</v>
      </c>
      <c r="C229" s="11" t="s">
        <v>144</v>
      </c>
      <c r="D229" s="13">
        <f t="shared" si="1"/>
        <v>2000</v>
      </c>
      <c r="E229" s="13">
        <v>2000</v>
      </c>
      <c r="F229" s="13" t="s">
        <v>1127</v>
      </c>
      <c r="G229" s="13" t="s">
        <v>1127</v>
      </c>
      <c r="H229" s="13"/>
      <c r="I229" s="4" t="s">
        <v>1128</v>
      </c>
    </row>
    <row r="230" spans="1:9" ht="15.75" customHeight="1" x14ac:dyDescent="0.25">
      <c r="A230" s="10">
        <f t="shared" si="13"/>
        <v>1</v>
      </c>
      <c r="B230" s="10" t="s">
        <v>173</v>
      </c>
      <c r="C230" s="11" t="s">
        <v>144</v>
      </c>
      <c r="D230" s="13">
        <f t="shared" si="1"/>
        <v>7000</v>
      </c>
      <c r="E230" s="13">
        <v>7000</v>
      </c>
      <c r="F230" s="13" t="s">
        <v>1127</v>
      </c>
      <c r="G230" s="13" t="s">
        <v>1127</v>
      </c>
      <c r="H230" s="13"/>
      <c r="I230" s="4" t="s">
        <v>1128</v>
      </c>
    </row>
    <row r="231" spans="1:9" ht="15.75" customHeight="1" x14ac:dyDescent="0.25">
      <c r="A231" s="10">
        <f t="shared" si="13"/>
        <v>1</v>
      </c>
      <c r="B231" s="10" t="s">
        <v>171</v>
      </c>
      <c r="C231" s="11" t="s">
        <v>144</v>
      </c>
      <c r="D231" s="13">
        <f t="shared" si="1"/>
        <v>32270</v>
      </c>
      <c r="E231" s="13">
        <v>32270</v>
      </c>
      <c r="F231" s="13" t="s">
        <v>1127</v>
      </c>
      <c r="G231" s="13" t="s">
        <v>1127</v>
      </c>
      <c r="H231" s="13"/>
      <c r="I231" s="4" t="s">
        <v>1128</v>
      </c>
    </row>
    <row r="232" spans="1:9" ht="15.75" customHeight="1" x14ac:dyDescent="0.25">
      <c r="A232" s="10">
        <f t="shared" si="13"/>
        <v>1</v>
      </c>
      <c r="B232" s="10" t="s">
        <v>786</v>
      </c>
      <c r="C232" s="11" t="s">
        <v>69</v>
      </c>
      <c r="D232" s="13">
        <f t="shared" si="1"/>
        <v>2140</v>
      </c>
      <c r="E232" s="13">
        <v>2140</v>
      </c>
      <c r="F232" s="13" t="s">
        <v>1131</v>
      </c>
      <c r="G232" s="13" t="s">
        <v>1132</v>
      </c>
      <c r="H232" s="13"/>
      <c r="I232" s="4" t="s">
        <v>1133</v>
      </c>
    </row>
    <row r="233" spans="1:9" ht="15.75" customHeight="1" x14ac:dyDescent="0.25">
      <c r="A233" s="10">
        <f t="shared" si="13"/>
        <v>1</v>
      </c>
      <c r="B233" s="10" t="s">
        <v>797</v>
      </c>
      <c r="C233" s="11" t="s">
        <v>69</v>
      </c>
      <c r="D233" s="13">
        <f t="shared" si="1"/>
        <v>768.5</v>
      </c>
      <c r="E233" s="13">
        <v>768.5</v>
      </c>
      <c r="F233" s="13" t="s">
        <v>1131</v>
      </c>
      <c r="G233" s="13" t="s">
        <v>1132</v>
      </c>
      <c r="H233" s="13"/>
      <c r="I233" s="4" t="s">
        <v>1133</v>
      </c>
    </row>
    <row r="234" spans="1:9" ht="15.75" customHeight="1" x14ac:dyDescent="0.25">
      <c r="A234" s="10">
        <f t="shared" si="13"/>
        <v>1</v>
      </c>
      <c r="B234" s="10" t="s">
        <v>796</v>
      </c>
      <c r="C234" s="11" t="s">
        <v>69</v>
      </c>
      <c r="D234" s="13">
        <f t="shared" si="1"/>
        <v>935.99</v>
      </c>
      <c r="E234" s="13">
        <v>935.99</v>
      </c>
      <c r="F234" s="13" t="s">
        <v>1131</v>
      </c>
      <c r="G234" s="13" t="s">
        <v>1132</v>
      </c>
      <c r="H234" s="13"/>
      <c r="I234" s="4" t="s">
        <v>1133</v>
      </c>
    </row>
    <row r="235" spans="1:9" ht="15.75" customHeight="1" x14ac:dyDescent="0.25">
      <c r="A235" s="10">
        <f t="shared" si="13"/>
        <v>1</v>
      </c>
      <c r="B235" s="10" t="s">
        <v>801</v>
      </c>
      <c r="C235" s="11" t="s">
        <v>112</v>
      </c>
      <c r="D235" s="13">
        <f t="shared" si="1"/>
        <v>530</v>
      </c>
      <c r="E235" s="13">
        <v>530</v>
      </c>
      <c r="F235" s="13" t="s">
        <v>1131</v>
      </c>
      <c r="G235" s="13" t="s">
        <v>1132</v>
      </c>
      <c r="H235" s="13"/>
      <c r="I235" s="4" t="s">
        <v>1133</v>
      </c>
    </row>
    <row r="236" spans="1:9" ht="15.75" customHeight="1" x14ac:dyDescent="0.25">
      <c r="A236" s="10">
        <f t="shared" si="13"/>
        <v>1</v>
      </c>
      <c r="B236" s="10" t="s">
        <v>799</v>
      </c>
      <c r="C236" s="11" t="s">
        <v>533</v>
      </c>
      <c r="D236" s="13">
        <f>E236*$D$1</f>
        <v>1014</v>
      </c>
      <c r="E236" s="13">
        <v>1014</v>
      </c>
      <c r="F236" s="13" t="s">
        <v>1131</v>
      </c>
      <c r="G236" s="13" t="s">
        <v>1132</v>
      </c>
      <c r="H236" s="13"/>
      <c r="I236" s="4" t="s">
        <v>1134</v>
      </c>
    </row>
    <row r="237" spans="1:9" ht="15.75" customHeight="1" x14ac:dyDescent="0.25">
      <c r="A237" s="10">
        <f t="shared" si="13"/>
        <v>1</v>
      </c>
      <c r="B237" s="10" t="s">
        <v>1516</v>
      </c>
      <c r="C237" s="11" t="s">
        <v>533</v>
      </c>
      <c r="D237" s="13">
        <f t="shared" si="1"/>
        <v>5040</v>
      </c>
      <c r="E237" s="13">
        <v>5040</v>
      </c>
      <c r="F237" s="13" t="s">
        <v>1131</v>
      </c>
      <c r="G237" s="13" t="s">
        <v>1132</v>
      </c>
      <c r="H237" s="13"/>
      <c r="I237" s="4" t="s">
        <v>1134</v>
      </c>
    </row>
    <row r="238" spans="1:9" ht="15.75" customHeight="1" x14ac:dyDescent="0.25">
      <c r="A238" s="10">
        <f t="shared" si="13"/>
        <v>1</v>
      </c>
      <c r="B238" s="10" t="s">
        <v>794</v>
      </c>
      <c r="C238" s="11" t="s">
        <v>69</v>
      </c>
      <c r="D238" s="13">
        <f t="shared" si="1"/>
        <v>1415.0275930380642</v>
      </c>
      <c r="E238" s="13">
        <v>1415.0275930380642</v>
      </c>
      <c r="F238" s="13" t="s">
        <v>1131</v>
      </c>
      <c r="G238" s="13" t="s">
        <v>1132</v>
      </c>
      <c r="H238" s="13"/>
      <c r="I238" s="4" t="s">
        <v>1133</v>
      </c>
    </row>
    <row r="239" spans="1:9" ht="15.75" customHeight="1" x14ac:dyDescent="0.25">
      <c r="A239" s="10">
        <f t="shared" si="13"/>
        <v>1</v>
      </c>
      <c r="B239" s="10" t="s">
        <v>804</v>
      </c>
      <c r="C239" s="11" t="s">
        <v>112</v>
      </c>
      <c r="D239" s="13">
        <f t="shared" si="1"/>
        <v>650</v>
      </c>
      <c r="E239" s="13">
        <v>650</v>
      </c>
      <c r="F239" s="13" t="s">
        <v>1131</v>
      </c>
      <c r="G239" s="13" t="s">
        <v>1135</v>
      </c>
      <c r="H239" s="13"/>
      <c r="I239" s="4" t="s">
        <v>1133</v>
      </c>
    </row>
    <row r="240" spans="1:9" ht="15.75" customHeight="1" x14ac:dyDescent="0.25">
      <c r="A240" s="10">
        <f t="shared" si="13"/>
        <v>1</v>
      </c>
      <c r="B240" s="10" t="s">
        <v>803</v>
      </c>
      <c r="C240" s="11" t="s">
        <v>112</v>
      </c>
      <c r="D240" s="13">
        <f t="shared" si="1"/>
        <v>80</v>
      </c>
      <c r="E240" s="13">
        <v>80</v>
      </c>
      <c r="F240" s="13" t="s">
        <v>1131</v>
      </c>
      <c r="G240" s="13" t="s">
        <v>1136</v>
      </c>
      <c r="H240" s="13"/>
      <c r="I240" s="4" t="s">
        <v>1137</v>
      </c>
    </row>
    <row r="241" spans="1:9" ht="15.75" customHeight="1" x14ac:dyDescent="0.25">
      <c r="A241" s="10">
        <f t="shared" si="13"/>
        <v>1</v>
      </c>
      <c r="B241" s="10" t="s">
        <v>795</v>
      </c>
      <c r="C241" s="11" t="s">
        <v>533</v>
      </c>
      <c r="D241" s="13">
        <f t="shared" si="1"/>
        <v>1031.7460317460318</v>
      </c>
      <c r="E241" s="13">
        <v>1031.7460317460318</v>
      </c>
      <c r="F241" s="13" t="s">
        <v>1131</v>
      </c>
      <c r="G241" s="13" t="s">
        <v>1136</v>
      </c>
      <c r="H241" s="13"/>
      <c r="I241" s="4" t="s">
        <v>1137</v>
      </c>
    </row>
    <row r="242" spans="1:9" ht="15.75" customHeight="1" x14ac:dyDescent="0.25">
      <c r="A242" s="10">
        <f t="shared" si="13"/>
        <v>1</v>
      </c>
      <c r="B242" s="10" t="s">
        <v>827</v>
      </c>
      <c r="C242" s="11" t="s">
        <v>533</v>
      </c>
      <c r="D242" s="13">
        <f t="shared" si="1"/>
        <v>4042.6711111111113</v>
      </c>
      <c r="E242" s="13">
        <f>E252/(0.9*2.1)*(1.4*2.1)</f>
        <v>4042.6711111111113</v>
      </c>
      <c r="F242" s="13" t="s">
        <v>1131</v>
      </c>
      <c r="G242" s="13" t="s">
        <v>1136</v>
      </c>
      <c r="H242" s="13" t="s">
        <v>1592</v>
      </c>
      <c r="I242" s="4" t="s">
        <v>1137</v>
      </c>
    </row>
    <row r="243" spans="1:9" ht="15.75" customHeight="1" x14ac:dyDescent="0.25">
      <c r="A243" s="10">
        <f t="shared" si="13"/>
        <v>1</v>
      </c>
      <c r="B243" s="10" t="s">
        <v>825</v>
      </c>
      <c r="C243" s="11" t="s">
        <v>533</v>
      </c>
      <c r="D243" s="13">
        <f>E243*$D$1</f>
        <v>3032.0033333333336</v>
      </c>
      <c r="E243" s="13">
        <f>E252/(0.9*2.1)*(1.05*2.1)</f>
        <v>3032.0033333333336</v>
      </c>
      <c r="F243" s="13" t="s">
        <v>1131</v>
      </c>
      <c r="G243" s="13" t="s">
        <v>1136</v>
      </c>
      <c r="H243" s="13" t="s">
        <v>1592</v>
      </c>
      <c r="I243" s="4" t="s">
        <v>1137</v>
      </c>
    </row>
    <row r="244" spans="1:9" ht="15.75" customHeight="1" x14ac:dyDescent="0.25">
      <c r="A244" s="10">
        <f t="shared" si="13"/>
        <v>1</v>
      </c>
      <c r="B244" s="10" t="s">
        <v>1521</v>
      </c>
      <c r="C244" s="11" t="s">
        <v>533</v>
      </c>
      <c r="D244" s="13">
        <f t="shared" si="1"/>
        <v>3176.3844444444453</v>
      </c>
      <c r="E244" s="13">
        <f>E252/(0.9*2.1)*(1.1*2.1)</f>
        <v>3176.3844444444453</v>
      </c>
      <c r="F244" s="13" t="s">
        <v>1131</v>
      </c>
      <c r="G244" s="13" t="s">
        <v>1136</v>
      </c>
      <c r="H244" s="13" t="s">
        <v>1592</v>
      </c>
      <c r="I244" s="4" t="s">
        <v>1137</v>
      </c>
    </row>
    <row r="245" spans="1:9" ht="15.75" customHeight="1" x14ac:dyDescent="0.25">
      <c r="A245" s="10">
        <f t="shared" ref="A245:A309" si="14">COUNTIFS($B$2:$B$996,B245)</f>
        <v>1</v>
      </c>
      <c r="B245" s="10" t="s">
        <v>823</v>
      </c>
      <c r="C245" s="11" t="s">
        <v>533</v>
      </c>
      <c r="D245" s="13">
        <f t="shared" si="1"/>
        <v>2887.6222222222223</v>
      </c>
      <c r="E245" s="13">
        <f>E252/(0.9*2.1)*(1*2.1)</f>
        <v>2887.6222222222223</v>
      </c>
      <c r="F245" s="13" t="s">
        <v>1131</v>
      </c>
      <c r="G245" s="13" t="s">
        <v>1136</v>
      </c>
      <c r="H245" s="13" t="s">
        <v>1592</v>
      </c>
      <c r="I245" s="4" t="s">
        <v>1137</v>
      </c>
    </row>
    <row r="246" spans="1:9" ht="15.75" customHeight="1" x14ac:dyDescent="0.25">
      <c r="A246" s="10">
        <f t="shared" si="14"/>
        <v>1</v>
      </c>
      <c r="B246" s="10" t="s">
        <v>829</v>
      </c>
      <c r="C246" s="11" t="s">
        <v>533</v>
      </c>
      <c r="D246" s="13">
        <f>E246*$D$1</f>
        <v>2209.5230485436896</v>
      </c>
      <c r="E246" s="13">
        <v>2209.5230485436896</v>
      </c>
      <c r="F246" s="13" t="s">
        <v>1131</v>
      </c>
      <c r="G246" s="13" t="s">
        <v>1136</v>
      </c>
      <c r="H246" s="13" t="s">
        <v>1592</v>
      </c>
      <c r="I246" s="4" t="s">
        <v>1137</v>
      </c>
    </row>
    <row r="247" spans="1:9" ht="15.75" customHeight="1" x14ac:dyDescent="0.25">
      <c r="A247" s="10">
        <f t="shared" si="14"/>
        <v>1</v>
      </c>
      <c r="B247" s="10" t="s">
        <v>806</v>
      </c>
      <c r="C247" s="11" t="s">
        <v>533</v>
      </c>
      <c r="D247" s="13">
        <f t="shared" si="1"/>
        <v>2209.5230485436896</v>
      </c>
      <c r="E247" s="13">
        <v>2209.5230485436896</v>
      </c>
      <c r="F247" s="13" t="s">
        <v>1131</v>
      </c>
      <c r="G247" s="13" t="s">
        <v>1136</v>
      </c>
      <c r="H247" s="13" t="s">
        <v>1592</v>
      </c>
      <c r="I247" s="4" t="s">
        <v>1137</v>
      </c>
    </row>
    <row r="248" spans="1:9" ht="15.75" customHeight="1" x14ac:dyDescent="0.25">
      <c r="A248" s="10">
        <f t="shared" si="14"/>
        <v>1</v>
      </c>
      <c r="B248" s="10" t="s">
        <v>1523</v>
      </c>
      <c r="C248" s="11" t="s">
        <v>533</v>
      </c>
      <c r="D248" s="13">
        <f>E248*$D$1</f>
        <v>2358.5676190476192</v>
      </c>
      <c r="E248" s="13">
        <f>E249/(0.6*2.1)*(0.6*2.2)</f>
        <v>2358.5676190476192</v>
      </c>
      <c r="F248" s="13" t="s">
        <v>1131</v>
      </c>
      <c r="G248" s="13" t="s">
        <v>1136</v>
      </c>
      <c r="H248" s="13" t="s">
        <v>1592</v>
      </c>
      <c r="I248" s="4" t="s">
        <v>1137</v>
      </c>
    </row>
    <row r="249" spans="1:9" ht="15.75" customHeight="1" x14ac:dyDescent="0.25">
      <c r="A249" s="10">
        <f t="shared" si="14"/>
        <v>1</v>
      </c>
      <c r="B249" s="10" t="s">
        <v>815</v>
      </c>
      <c r="C249" s="11" t="s">
        <v>533</v>
      </c>
      <c r="D249" s="13">
        <f t="shared" si="1"/>
        <v>2251.36</v>
      </c>
      <c r="E249" s="13">
        <v>2251.36</v>
      </c>
      <c r="F249" s="13" t="s">
        <v>1131</v>
      </c>
      <c r="G249" s="13" t="s">
        <v>1136</v>
      </c>
      <c r="H249" s="13" t="s">
        <v>1592</v>
      </c>
      <c r="I249" s="4" t="s">
        <v>1137</v>
      </c>
    </row>
    <row r="250" spans="1:9" ht="15.75" customHeight="1" x14ac:dyDescent="0.25">
      <c r="A250" s="10">
        <f t="shared" si="14"/>
        <v>2</v>
      </c>
      <c r="B250" s="10" t="s">
        <v>817</v>
      </c>
      <c r="C250" s="11" t="s">
        <v>533</v>
      </c>
      <c r="D250" s="13">
        <f t="shared" si="1"/>
        <v>2251.36</v>
      </c>
      <c r="E250" s="13">
        <v>2251.36</v>
      </c>
      <c r="F250" s="13" t="s">
        <v>1131</v>
      </c>
      <c r="G250" s="13" t="s">
        <v>1136</v>
      </c>
      <c r="H250" s="13" t="s">
        <v>1592</v>
      </c>
      <c r="I250" s="4" t="s">
        <v>1137</v>
      </c>
    </row>
    <row r="251" spans="1:9" ht="15.75" customHeight="1" x14ac:dyDescent="0.25">
      <c r="A251" s="10">
        <f t="shared" si="14"/>
        <v>1</v>
      </c>
      <c r="B251" s="10" t="s">
        <v>809</v>
      </c>
      <c r="C251" s="11" t="s">
        <v>533</v>
      </c>
      <c r="D251" s="13">
        <f t="shared" si="1"/>
        <v>2251.36</v>
      </c>
      <c r="E251" s="13">
        <v>2251.36</v>
      </c>
      <c r="F251" s="13" t="s">
        <v>1131</v>
      </c>
      <c r="G251" s="13" t="s">
        <v>1136</v>
      </c>
      <c r="H251" s="13" t="s">
        <v>1592</v>
      </c>
      <c r="I251" s="4" t="s">
        <v>1137</v>
      </c>
    </row>
    <row r="252" spans="1:9" ht="15.75" customHeight="1" x14ac:dyDescent="0.25">
      <c r="A252" s="10">
        <f t="shared" si="14"/>
        <v>1</v>
      </c>
      <c r="B252" s="10" t="s">
        <v>819</v>
      </c>
      <c r="C252" s="11" t="s">
        <v>533</v>
      </c>
      <c r="D252" s="13">
        <f t="shared" si="1"/>
        <v>2598.86</v>
      </c>
      <c r="E252" s="13">
        <v>2598.86</v>
      </c>
      <c r="F252" s="13" t="s">
        <v>1131</v>
      </c>
      <c r="G252" s="13" t="s">
        <v>1136</v>
      </c>
      <c r="H252" s="13" t="s">
        <v>1592</v>
      </c>
      <c r="I252" s="4" t="s">
        <v>1137</v>
      </c>
    </row>
    <row r="253" spans="1:9" ht="15.75" customHeight="1" x14ac:dyDescent="0.25">
      <c r="A253" s="10">
        <f t="shared" si="14"/>
        <v>1</v>
      </c>
      <c r="B253" s="10" t="s">
        <v>811</v>
      </c>
      <c r="C253" s="11" t="s">
        <v>533</v>
      </c>
      <c r="D253" s="13">
        <f t="shared" si="1"/>
        <v>2209.5230485436896</v>
      </c>
      <c r="E253" s="13">
        <v>2209.5230485436896</v>
      </c>
      <c r="F253" s="13" t="s">
        <v>1131</v>
      </c>
      <c r="G253" s="13" t="s">
        <v>1136</v>
      </c>
      <c r="H253" s="13" t="s">
        <v>1592</v>
      </c>
      <c r="I253" s="4" t="s">
        <v>1137</v>
      </c>
    </row>
    <row r="254" spans="1:9" ht="15.75" customHeight="1" x14ac:dyDescent="0.25">
      <c r="A254" s="10">
        <f t="shared" si="14"/>
        <v>1</v>
      </c>
      <c r="B254" s="10" t="s">
        <v>1522</v>
      </c>
      <c r="C254" s="11" t="s">
        <v>533</v>
      </c>
      <c r="D254" s="13">
        <f>E254*$D$1</f>
        <v>2209.5230485436896</v>
      </c>
      <c r="E254" s="13">
        <v>2209.5230485436896</v>
      </c>
      <c r="F254" s="13" t="s">
        <v>1131</v>
      </c>
      <c r="G254" s="13" t="s">
        <v>1136</v>
      </c>
      <c r="H254" s="13" t="s">
        <v>1592</v>
      </c>
      <c r="I254" s="4" t="s">
        <v>1137</v>
      </c>
    </row>
    <row r="255" spans="1:9" ht="15.75" customHeight="1" x14ac:dyDescent="0.25">
      <c r="A255" s="10">
        <f t="shared" si="14"/>
        <v>2</v>
      </c>
      <c r="B255" s="10" t="s">
        <v>817</v>
      </c>
      <c r="C255" s="11" t="s">
        <v>533</v>
      </c>
      <c r="D255" s="13">
        <f t="shared" si="1"/>
        <v>2251.36</v>
      </c>
      <c r="E255" s="13">
        <v>2251.36</v>
      </c>
      <c r="F255" s="13" t="s">
        <v>1131</v>
      </c>
      <c r="G255" s="13" t="s">
        <v>1136</v>
      </c>
      <c r="H255" s="13" t="s">
        <v>1592</v>
      </c>
      <c r="I255" s="4" t="s">
        <v>1137</v>
      </c>
    </row>
    <row r="256" spans="1:9" ht="15.75" customHeight="1" x14ac:dyDescent="0.25">
      <c r="A256" s="10">
        <f t="shared" si="14"/>
        <v>1</v>
      </c>
      <c r="B256" s="10" t="s">
        <v>813</v>
      </c>
      <c r="C256" s="11" t="s">
        <v>533</v>
      </c>
      <c r="D256" s="13">
        <f t="shared" si="1"/>
        <v>2209.5230485436896</v>
      </c>
      <c r="E256" s="13">
        <v>2209.5230485436896</v>
      </c>
      <c r="F256" s="13" t="s">
        <v>1131</v>
      </c>
      <c r="G256" s="13" t="s">
        <v>1136</v>
      </c>
      <c r="H256" s="13" t="s">
        <v>1592</v>
      </c>
      <c r="I256" s="4" t="s">
        <v>1137</v>
      </c>
    </row>
    <row r="257" spans="1:9" ht="15.75" customHeight="1" x14ac:dyDescent="0.25">
      <c r="A257" s="10">
        <f t="shared" si="14"/>
        <v>1</v>
      </c>
      <c r="B257" s="10" t="s">
        <v>831</v>
      </c>
      <c r="C257" s="11" t="s">
        <v>533</v>
      </c>
      <c r="D257" s="13">
        <f t="shared" si="1"/>
        <v>2251.36</v>
      </c>
      <c r="E257" s="13">
        <v>2251.36</v>
      </c>
      <c r="F257" s="13" t="s">
        <v>1131</v>
      </c>
      <c r="G257" s="13" t="s">
        <v>1136</v>
      </c>
      <c r="H257" s="13" t="s">
        <v>1592</v>
      </c>
      <c r="I257" s="4" t="s">
        <v>1137</v>
      </c>
    </row>
    <row r="258" spans="1:9" ht="15.75" customHeight="1" x14ac:dyDescent="0.25">
      <c r="A258" s="10">
        <f t="shared" si="14"/>
        <v>1</v>
      </c>
      <c r="B258" s="10" t="s">
        <v>821</v>
      </c>
      <c r="C258" s="11" t="s">
        <v>533</v>
      </c>
      <c r="D258" s="13">
        <f t="shared" si="1"/>
        <v>2660.7376190476193</v>
      </c>
      <c r="E258" s="13">
        <f>E252/(0.9*2.1)*(0.9*2.15)</f>
        <v>2660.7376190476193</v>
      </c>
      <c r="F258" s="13" t="s">
        <v>1131</v>
      </c>
      <c r="G258" s="13" t="s">
        <v>1136</v>
      </c>
      <c r="H258" s="13" t="s">
        <v>1592</v>
      </c>
      <c r="I258" s="4" t="s">
        <v>1137</v>
      </c>
    </row>
    <row r="259" spans="1:9" ht="15.75" customHeight="1" x14ac:dyDescent="0.25">
      <c r="A259" s="10">
        <f t="shared" si="14"/>
        <v>1</v>
      </c>
      <c r="B259" s="10" t="s">
        <v>1011</v>
      </c>
      <c r="C259" s="11" t="s">
        <v>533</v>
      </c>
      <c r="D259" s="13">
        <f t="shared" si="1"/>
        <v>1014</v>
      </c>
      <c r="E259" s="13">
        <v>1014</v>
      </c>
      <c r="F259" s="13" t="s">
        <v>1131</v>
      </c>
      <c r="G259" s="13" t="s">
        <v>1138</v>
      </c>
      <c r="H259" s="13"/>
      <c r="I259" s="4" t="s">
        <v>1139</v>
      </c>
    </row>
    <row r="260" spans="1:9" ht="15.75" customHeight="1" x14ac:dyDescent="0.25">
      <c r="A260" s="10">
        <f t="shared" si="14"/>
        <v>1</v>
      </c>
      <c r="B260" s="10" t="s">
        <v>798</v>
      </c>
      <c r="C260" s="11" t="s">
        <v>69</v>
      </c>
      <c r="D260" s="13">
        <f t="shared" si="1"/>
        <v>1533.99</v>
      </c>
      <c r="E260" s="13">
        <v>1533.99</v>
      </c>
      <c r="F260" s="13" t="s">
        <v>1131</v>
      </c>
      <c r="G260" s="13" t="s">
        <v>1138</v>
      </c>
      <c r="H260" s="13"/>
      <c r="I260" s="4" t="s">
        <v>1139</v>
      </c>
    </row>
    <row r="261" spans="1:9" ht="15.75" customHeight="1" x14ac:dyDescent="0.25">
      <c r="A261" s="10">
        <f t="shared" si="14"/>
        <v>1</v>
      </c>
      <c r="B261" s="10" t="s">
        <v>800</v>
      </c>
      <c r="C261" s="11" t="s">
        <v>69</v>
      </c>
      <c r="D261" s="13">
        <f t="shared" si="1"/>
        <v>3893.2833333333333</v>
      </c>
      <c r="E261" s="13">
        <v>3893.2833333333333</v>
      </c>
      <c r="F261" s="13" t="s">
        <v>1131</v>
      </c>
      <c r="G261" s="13" t="s">
        <v>1138</v>
      </c>
      <c r="H261" s="13"/>
      <c r="I261" s="4" t="s">
        <v>1139</v>
      </c>
    </row>
    <row r="262" spans="1:9" ht="15.75" customHeight="1" x14ac:dyDescent="0.25">
      <c r="A262" s="10">
        <f t="shared" si="14"/>
        <v>1</v>
      </c>
      <c r="B262" s="10" t="s">
        <v>2588</v>
      </c>
      <c r="C262" s="11" t="s">
        <v>112</v>
      </c>
      <c r="D262" s="13">
        <f>E262*$D$1</f>
        <v>150</v>
      </c>
      <c r="E262" s="13">
        <f>120+30</f>
        <v>150</v>
      </c>
      <c r="F262" s="13" t="s">
        <v>1131</v>
      </c>
      <c r="G262" s="13" t="s">
        <v>1140</v>
      </c>
      <c r="H262" s="13"/>
      <c r="I262" s="4" t="s">
        <v>1134</v>
      </c>
    </row>
    <row r="263" spans="1:9" ht="15.75" customHeight="1" x14ac:dyDescent="0.25">
      <c r="A263" s="10">
        <f t="shared" si="14"/>
        <v>1</v>
      </c>
      <c r="B263" s="10" t="s">
        <v>636</v>
      </c>
      <c r="C263" s="11" t="s">
        <v>69</v>
      </c>
      <c r="D263" s="13">
        <f t="shared" si="1"/>
        <v>568.92672413793116</v>
      </c>
      <c r="E263" s="13">
        <v>568.92672413793116</v>
      </c>
      <c r="F263" s="13" t="s">
        <v>1131</v>
      </c>
      <c r="G263" s="13" t="s">
        <v>1140</v>
      </c>
      <c r="H263" s="13"/>
      <c r="I263" s="4" t="s">
        <v>1134</v>
      </c>
    </row>
    <row r="264" spans="1:9" ht="15.75" customHeight="1" x14ac:dyDescent="0.25">
      <c r="A264" s="10">
        <f t="shared" si="14"/>
        <v>1</v>
      </c>
      <c r="B264" s="10" t="s">
        <v>836</v>
      </c>
      <c r="C264" s="11" t="s">
        <v>533</v>
      </c>
      <c r="D264" s="13">
        <f t="shared" si="1"/>
        <v>1100</v>
      </c>
      <c r="E264" s="13">
        <v>1100</v>
      </c>
      <c r="F264" s="13" t="s">
        <v>1131</v>
      </c>
      <c r="G264" s="13" t="s">
        <v>1140</v>
      </c>
      <c r="H264" s="13"/>
      <c r="I264" s="4" t="s">
        <v>1134</v>
      </c>
    </row>
    <row r="265" spans="1:9" ht="15.75" customHeight="1" x14ac:dyDescent="0.25">
      <c r="A265" s="10">
        <f t="shared" si="14"/>
        <v>1</v>
      </c>
      <c r="B265" s="10" t="s">
        <v>1517</v>
      </c>
      <c r="C265" s="11" t="s">
        <v>533</v>
      </c>
      <c r="D265" s="13">
        <f>E265*$D$1</f>
        <v>28645.08</v>
      </c>
      <c r="E265" s="13">
        <v>28645.08</v>
      </c>
      <c r="F265" s="13" t="s">
        <v>1131</v>
      </c>
      <c r="G265" s="13" t="s">
        <v>1140</v>
      </c>
      <c r="H265" s="13"/>
      <c r="I265" s="4" t="s">
        <v>1134</v>
      </c>
    </row>
    <row r="266" spans="1:9" ht="15.75" customHeight="1" x14ac:dyDescent="0.25">
      <c r="A266" s="10">
        <f t="shared" si="14"/>
        <v>1</v>
      </c>
      <c r="B266" s="10" t="s">
        <v>837</v>
      </c>
      <c r="C266" s="11" t="s">
        <v>533</v>
      </c>
      <c r="D266" s="13">
        <f t="shared" si="1"/>
        <v>13011.726190476189</v>
      </c>
      <c r="E266" s="13">
        <v>13011.726190476189</v>
      </c>
      <c r="F266" s="13" t="s">
        <v>1131</v>
      </c>
      <c r="G266" s="13" t="s">
        <v>1140</v>
      </c>
      <c r="H266" s="13"/>
      <c r="I266" s="4" t="s">
        <v>1134</v>
      </c>
    </row>
    <row r="267" spans="1:9" ht="15.75" customHeight="1" x14ac:dyDescent="0.25">
      <c r="A267" s="10">
        <f t="shared" si="14"/>
        <v>1</v>
      </c>
      <c r="B267" s="10" t="s">
        <v>838</v>
      </c>
      <c r="C267" s="11" t="s">
        <v>533</v>
      </c>
      <c r="D267" s="13">
        <f t="shared" si="1"/>
        <v>9302</v>
      </c>
      <c r="E267" s="13">
        <v>9302</v>
      </c>
      <c r="F267" s="13" t="s">
        <v>1131</v>
      </c>
      <c r="G267" s="13" t="s">
        <v>1140</v>
      </c>
      <c r="H267" s="13"/>
      <c r="I267" s="4" t="s">
        <v>1134</v>
      </c>
    </row>
    <row r="268" spans="1:9" ht="15.75" customHeight="1" x14ac:dyDescent="0.25">
      <c r="A268" s="10">
        <f t="shared" si="14"/>
        <v>1</v>
      </c>
      <c r="B268" s="10" t="s">
        <v>841</v>
      </c>
      <c r="C268" s="11" t="s">
        <v>533</v>
      </c>
      <c r="D268" s="13">
        <f t="shared" si="1"/>
        <v>1089.6084620689658</v>
      </c>
      <c r="E268" s="13">
        <v>1089.6084620689658</v>
      </c>
      <c r="F268" s="13" t="s">
        <v>1131</v>
      </c>
      <c r="G268" s="13" t="s">
        <v>1140</v>
      </c>
      <c r="H268" s="13"/>
      <c r="I268" s="4" t="s">
        <v>1134</v>
      </c>
    </row>
    <row r="269" spans="1:9" ht="15.75" customHeight="1" x14ac:dyDescent="0.25">
      <c r="A269" s="10">
        <f t="shared" si="14"/>
        <v>1</v>
      </c>
      <c r="B269" s="10" t="s">
        <v>843</v>
      </c>
      <c r="C269" s="11" t="s">
        <v>533</v>
      </c>
      <c r="D269" s="13">
        <f t="shared" si="1"/>
        <v>6500</v>
      </c>
      <c r="E269" s="13">
        <v>6500</v>
      </c>
      <c r="F269" s="13" t="s">
        <v>1131</v>
      </c>
      <c r="G269" s="13" t="s">
        <v>1140</v>
      </c>
      <c r="H269" s="13"/>
      <c r="I269" s="4" t="s">
        <v>1134</v>
      </c>
    </row>
    <row r="270" spans="1:9" ht="15.75" customHeight="1" x14ac:dyDescent="0.25">
      <c r="A270" s="10">
        <f t="shared" si="14"/>
        <v>1</v>
      </c>
      <c r="B270" s="10" t="s">
        <v>842</v>
      </c>
      <c r="C270" s="11" t="s">
        <v>533</v>
      </c>
      <c r="D270" s="13">
        <f t="shared" si="1"/>
        <v>2405</v>
      </c>
      <c r="E270" s="13">
        <v>2405</v>
      </c>
      <c r="F270" s="13" t="s">
        <v>1131</v>
      </c>
      <c r="G270" s="13" t="s">
        <v>1140</v>
      </c>
      <c r="H270" s="13"/>
      <c r="I270" s="4" t="s">
        <v>1134</v>
      </c>
    </row>
    <row r="271" spans="1:9" ht="15.75" customHeight="1" x14ac:dyDescent="0.25">
      <c r="A271" s="10">
        <f t="shared" si="14"/>
        <v>1</v>
      </c>
      <c r="B271" s="10" t="s">
        <v>839</v>
      </c>
      <c r="C271" s="11" t="s">
        <v>533</v>
      </c>
      <c r="D271" s="13">
        <f t="shared" si="1"/>
        <v>975</v>
      </c>
      <c r="E271" s="13">
        <v>975</v>
      </c>
      <c r="F271" s="13" t="s">
        <v>1131</v>
      </c>
      <c r="G271" s="13" t="s">
        <v>1140</v>
      </c>
      <c r="H271" s="13"/>
      <c r="I271" s="4" t="s">
        <v>1134</v>
      </c>
    </row>
    <row r="272" spans="1:9" ht="15.75" customHeight="1" x14ac:dyDescent="0.25">
      <c r="A272" s="10">
        <f t="shared" si="14"/>
        <v>1</v>
      </c>
      <c r="B272" s="10" t="s">
        <v>840</v>
      </c>
      <c r="C272" s="11" t="s">
        <v>533</v>
      </c>
      <c r="D272" s="13">
        <f t="shared" si="1"/>
        <v>2968</v>
      </c>
      <c r="E272" s="13">
        <v>2968</v>
      </c>
      <c r="F272" s="13" t="s">
        <v>1131</v>
      </c>
      <c r="G272" s="13" t="s">
        <v>1140</v>
      </c>
      <c r="H272" s="13"/>
      <c r="I272" s="4" t="s">
        <v>1134</v>
      </c>
    </row>
    <row r="273" spans="1:9" ht="15.75" customHeight="1" x14ac:dyDescent="0.25">
      <c r="A273" s="10">
        <f t="shared" si="14"/>
        <v>1</v>
      </c>
      <c r="B273" s="10" t="s">
        <v>1524</v>
      </c>
      <c r="C273" s="11" t="s">
        <v>533</v>
      </c>
      <c r="D273" s="13">
        <f>E273*$D$1</f>
        <v>3729.34</v>
      </c>
      <c r="E273" s="13">
        <v>3729.34</v>
      </c>
      <c r="F273" s="13" t="s">
        <v>1131</v>
      </c>
      <c r="G273" s="13" t="s">
        <v>1140</v>
      </c>
      <c r="H273" s="13"/>
      <c r="I273" s="4" t="s">
        <v>1134</v>
      </c>
    </row>
    <row r="274" spans="1:9" ht="15.75" customHeight="1" x14ac:dyDescent="0.25">
      <c r="A274" s="10">
        <f t="shared" si="14"/>
        <v>1</v>
      </c>
      <c r="B274" s="10" t="s">
        <v>1525</v>
      </c>
      <c r="C274" s="11" t="s">
        <v>533</v>
      </c>
      <c r="D274" s="13">
        <f>E274*$D$1</f>
        <v>3523.56</v>
      </c>
      <c r="E274" s="13">
        <v>3523.56</v>
      </c>
      <c r="F274" s="13" t="s">
        <v>1131</v>
      </c>
      <c r="G274" s="13" t="s">
        <v>1140</v>
      </c>
      <c r="H274" s="13"/>
      <c r="I274" s="4" t="s">
        <v>1134</v>
      </c>
    </row>
    <row r="275" spans="1:9" ht="15.75" customHeight="1" x14ac:dyDescent="0.25">
      <c r="A275" s="10">
        <f t="shared" si="14"/>
        <v>1</v>
      </c>
      <c r="B275" s="10" t="s">
        <v>1526</v>
      </c>
      <c r="C275" s="11" t="s">
        <v>533</v>
      </c>
      <c r="D275" s="13">
        <f>E275*$D$1</f>
        <v>1754.88</v>
      </c>
      <c r="E275" s="13">
        <v>1754.88</v>
      </c>
      <c r="F275" s="13" t="s">
        <v>1131</v>
      </c>
      <c r="G275" s="13" t="s">
        <v>1140</v>
      </c>
      <c r="H275" s="13"/>
      <c r="I275" s="4" t="s">
        <v>1134</v>
      </c>
    </row>
    <row r="276" spans="1:9" ht="15.75" customHeight="1" x14ac:dyDescent="0.25">
      <c r="A276" s="10">
        <f t="shared" si="14"/>
        <v>1</v>
      </c>
      <c r="B276" s="10" t="s">
        <v>1527</v>
      </c>
      <c r="C276" s="11" t="s">
        <v>533</v>
      </c>
      <c r="D276" s="13">
        <f>E276*$D$1</f>
        <v>1754.88</v>
      </c>
      <c r="E276" s="13">
        <v>1754.88</v>
      </c>
      <c r="F276" s="13" t="s">
        <v>1131</v>
      </c>
      <c r="G276" s="13" t="s">
        <v>1140</v>
      </c>
      <c r="H276" s="13"/>
      <c r="I276" s="4" t="s">
        <v>1134</v>
      </c>
    </row>
    <row r="277" spans="1:9" ht="15.75" customHeight="1" x14ac:dyDescent="0.25">
      <c r="A277" s="10">
        <f t="shared" si="14"/>
        <v>1</v>
      </c>
      <c r="B277" s="10" t="s">
        <v>430</v>
      </c>
      <c r="C277" s="11" t="s">
        <v>69</v>
      </c>
      <c r="D277" s="13">
        <f t="shared" si="1"/>
        <v>135.35555555555555</v>
      </c>
      <c r="E277" s="13">
        <v>135.35555555555555</v>
      </c>
      <c r="F277" s="13" t="s">
        <v>1131</v>
      </c>
      <c r="G277" s="13" t="s">
        <v>1140</v>
      </c>
      <c r="H277" s="13"/>
      <c r="I277" s="4" t="s">
        <v>1134</v>
      </c>
    </row>
    <row r="278" spans="1:9" ht="15.75" customHeight="1" x14ac:dyDescent="0.25">
      <c r="A278" s="10">
        <f t="shared" si="14"/>
        <v>1</v>
      </c>
      <c r="B278" s="10" t="s">
        <v>1577</v>
      </c>
      <c r="C278" s="11" t="s">
        <v>533</v>
      </c>
      <c r="D278" s="13">
        <f>E278*$D$1</f>
        <v>912.26415533980582</v>
      </c>
      <c r="E278" s="13">
        <f>(219169.63+75071.81+41713+38785.61+20961+20929.47+14994.09+13986.11+12679.48+4954.57+2353.88+1768.97+1211.23+1022.2+195+19.99)/515</f>
        <v>912.26415533980582</v>
      </c>
      <c r="F278" s="13" t="s">
        <v>1131</v>
      </c>
      <c r="G278" s="13" t="s">
        <v>1141</v>
      </c>
      <c r="H278" s="13"/>
      <c r="I278" s="4" t="s">
        <v>1139</v>
      </c>
    </row>
    <row r="279" spans="1:9" ht="15.75" customHeight="1" x14ac:dyDescent="0.25">
      <c r="A279" s="10">
        <f t="shared" si="14"/>
        <v>1</v>
      </c>
      <c r="B279" s="10" t="s">
        <v>835</v>
      </c>
      <c r="C279" s="11" t="s">
        <v>533</v>
      </c>
      <c r="D279" s="13">
        <f t="shared" si="1"/>
        <v>232.46</v>
      </c>
      <c r="E279" s="13">
        <v>232.46</v>
      </c>
      <c r="F279" s="13" t="s">
        <v>1131</v>
      </c>
      <c r="G279" s="13" t="s">
        <v>1141</v>
      </c>
      <c r="H279" s="13"/>
      <c r="I279" s="4" t="s">
        <v>1139</v>
      </c>
    </row>
    <row r="280" spans="1:9" ht="15.75" customHeight="1" x14ac:dyDescent="0.25">
      <c r="A280" s="10">
        <f t="shared" si="14"/>
        <v>1</v>
      </c>
      <c r="B280" s="10" t="s">
        <v>833</v>
      </c>
      <c r="C280" s="11" t="s">
        <v>533</v>
      </c>
      <c r="D280" s="13">
        <f t="shared" si="1"/>
        <v>1291.6400000000001</v>
      </c>
      <c r="E280" s="13">
        <f>1097.71+193.93</f>
        <v>1291.6400000000001</v>
      </c>
      <c r="F280" s="13" t="s">
        <v>1131</v>
      </c>
      <c r="G280" s="13" t="s">
        <v>1141</v>
      </c>
      <c r="H280" s="13"/>
      <c r="I280" s="4" t="s">
        <v>1139</v>
      </c>
    </row>
    <row r="281" spans="1:9" ht="14.25" x14ac:dyDescent="0.2">
      <c r="A281" s="10">
        <f t="shared" si="14"/>
        <v>1</v>
      </c>
      <c r="B281" s="77" t="s">
        <v>1620</v>
      </c>
      <c r="C281" s="78" t="s">
        <v>205</v>
      </c>
      <c r="D281" s="79">
        <f t="shared" si="1"/>
        <v>22</v>
      </c>
      <c r="E281" s="79">
        <v>22</v>
      </c>
      <c r="F281" s="79" t="s">
        <v>1142</v>
      </c>
      <c r="G281" s="79" t="s">
        <v>1142</v>
      </c>
      <c r="H281" s="79"/>
      <c r="I281" s="80" t="s">
        <v>1143</v>
      </c>
    </row>
    <row r="282" spans="1:9" ht="14.25" x14ac:dyDescent="0.2">
      <c r="A282" s="10">
        <f t="shared" si="14"/>
        <v>1</v>
      </c>
      <c r="B282" s="77" t="s">
        <v>1622</v>
      </c>
      <c r="C282" s="78" t="s">
        <v>205</v>
      </c>
      <c r="D282" s="79">
        <f t="shared" si="1"/>
        <v>25</v>
      </c>
      <c r="E282" s="79">
        <v>25</v>
      </c>
      <c r="F282" s="79" t="s">
        <v>1142</v>
      </c>
      <c r="G282" s="79" t="s">
        <v>1142</v>
      </c>
      <c r="H282" s="79"/>
      <c r="I282" s="80" t="s">
        <v>1143</v>
      </c>
    </row>
    <row r="283" spans="1:9" ht="14.25" x14ac:dyDescent="0.2">
      <c r="A283" s="10">
        <f t="shared" si="14"/>
        <v>1</v>
      </c>
      <c r="B283" s="77" t="s">
        <v>2673</v>
      </c>
      <c r="C283" s="78" t="s">
        <v>69</v>
      </c>
      <c r="D283" s="79">
        <f>E283*$D$1</f>
        <v>32</v>
      </c>
      <c r="E283" s="79">
        <v>32</v>
      </c>
      <c r="F283" s="79" t="s">
        <v>1142</v>
      </c>
      <c r="G283" s="79" t="s">
        <v>1142</v>
      </c>
      <c r="H283" s="79"/>
      <c r="I283" s="80" t="s">
        <v>1143</v>
      </c>
    </row>
    <row r="284" spans="1:9" ht="14.25" x14ac:dyDescent="0.2">
      <c r="A284" s="10">
        <f t="shared" si="14"/>
        <v>1</v>
      </c>
      <c r="B284" s="77" t="s">
        <v>1624</v>
      </c>
      <c r="C284" s="78" t="s">
        <v>205</v>
      </c>
      <c r="D284" s="79">
        <f t="shared" si="1"/>
        <v>30</v>
      </c>
      <c r="E284" s="79">
        <f>AVERAGE(24,36)</f>
        <v>30</v>
      </c>
      <c r="F284" s="79" t="s">
        <v>1142</v>
      </c>
      <c r="G284" s="79" t="s">
        <v>1142</v>
      </c>
      <c r="H284" s="79"/>
      <c r="I284" s="80" t="s">
        <v>1143</v>
      </c>
    </row>
    <row r="285" spans="1:9" ht="14.25" x14ac:dyDescent="0.2">
      <c r="A285" s="10">
        <f t="shared" si="14"/>
        <v>1</v>
      </c>
      <c r="B285" s="77" t="s">
        <v>1625</v>
      </c>
      <c r="C285" s="78" t="s">
        <v>205</v>
      </c>
      <c r="D285" s="79">
        <f t="shared" si="1"/>
        <v>9</v>
      </c>
      <c r="E285" s="79">
        <f>AVERAGE(6,12)</f>
        <v>9</v>
      </c>
      <c r="F285" s="79" t="s">
        <v>1142</v>
      </c>
      <c r="G285" s="79" t="s">
        <v>1142</v>
      </c>
      <c r="H285" s="79"/>
      <c r="I285" s="80" t="s">
        <v>1143</v>
      </c>
    </row>
    <row r="286" spans="1:9" ht="14.25" x14ac:dyDescent="0.2">
      <c r="A286" s="10">
        <f>COUNTIFS($B$2:$B$996,B286)</f>
        <v>1</v>
      </c>
      <c r="B286" s="77" t="s">
        <v>2906</v>
      </c>
      <c r="C286" s="78" t="s">
        <v>205</v>
      </c>
      <c r="D286" s="79">
        <f>E286*$D$1</f>
        <v>18.5</v>
      </c>
      <c r="E286" s="79">
        <v>18.5</v>
      </c>
      <c r="F286" s="79" t="s">
        <v>1142</v>
      </c>
      <c r="G286" s="79" t="s">
        <v>1142</v>
      </c>
      <c r="H286" s="79"/>
      <c r="I286" s="80" t="s">
        <v>1143</v>
      </c>
    </row>
    <row r="287" spans="1:9" ht="14.25" x14ac:dyDescent="0.2">
      <c r="A287" s="10">
        <f t="shared" si="14"/>
        <v>1</v>
      </c>
      <c r="B287" s="77" t="s">
        <v>1627</v>
      </c>
      <c r="C287" s="78" t="s">
        <v>205</v>
      </c>
      <c r="D287" s="79">
        <f t="shared" si="1"/>
        <v>9.8888888888888893</v>
      </c>
      <c r="E287" s="79">
        <f>178/18</f>
        <v>9.8888888888888893</v>
      </c>
      <c r="F287" s="79" t="s">
        <v>1142</v>
      </c>
      <c r="G287" s="79" t="s">
        <v>1142</v>
      </c>
      <c r="H287" s="79"/>
      <c r="I287" s="80" t="s">
        <v>1143</v>
      </c>
    </row>
    <row r="288" spans="1:9" ht="14.25" x14ac:dyDescent="0.2">
      <c r="A288" s="10">
        <f t="shared" si="14"/>
        <v>1</v>
      </c>
      <c r="B288" s="77" t="s">
        <v>1629</v>
      </c>
      <c r="C288" s="78" t="s">
        <v>205</v>
      </c>
      <c r="D288" s="79">
        <f t="shared" si="1"/>
        <v>9.8888888888888893</v>
      </c>
      <c r="E288" s="79">
        <f>178/18</f>
        <v>9.8888888888888893</v>
      </c>
      <c r="F288" s="79" t="s">
        <v>1142</v>
      </c>
      <c r="G288" s="79" t="s">
        <v>1142</v>
      </c>
      <c r="H288" s="79"/>
      <c r="I288" s="80" t="s">
        <v>1143</v>
      </c>
    </row>
    <row r="289" spans="1:9" ht="14.25" x14ac:dyDescent="0.2">
      <c r="A289" s="10">
        <f t="shared" si="14"/>
        <v>1</v>
      </c>
      <c r="B289" s="77" t="s">
        <v>1633</v>
      </c>
      <c r="C289" s="78" t="s">
        <v>205</v>
      </c>
      <c r="D289" s="79">
        <f t="shared" si="1"/>
        <v>9.8888888888888893</v>
      </c>
      <c r="E289" s="79">
        <f>178/18</f>
        <v>9.8888888888888893</v>
      </c>
      <c r="F289" s="79" t="s">
        <v>1142</v>
      </c>
      <c r="G289" s="79" t="s">
        <v>1142</v>
      </c>
      <c r="H289" s="79"/>
      <c r="I289" s="80" t="s">
        <v>1143</v>
      </c>
    </row>
    <row r="290" spans="1:9" ht="14.25" x14ac:dyDescent="0.2">
      <c r="A290" s="10">
        <f t="shared" si="14"/>
        <v>1</v>
      </c>
      <c r="B290" s="77" t="s">
        <v>1635</v>
      </c>
      <c r="C290" s="78" t="s">
        <v>205</v>
      </c>
      <c r="D290" s="79">
        <f t="shared" si="1"/>
        <v>24</v>
      </c>
      <c r="E290" s="79">
        <f>AVERAGE(20,28)</f>
        <v>24</v>
      </c>
      <c r="F290" s="79" t="s">
        <v>1142</v>
      </c>
      <c r="G290" s="79" t="s">
        <v>1142</v>
      </c>
      <c r="H290" s="79"/>
      <c r="I290" s="80" t="s">
        <v>1143</v>
      </c>
    </row>
    <row r="291" spans="1:9" ht="14.25" x14ac:dyDescent="0.2">
      <c r="A291" s="10">
        <f t="shared" si="14"/>
        <v>1</v>
      </c>
      <c r="B291" s="77" t="s">
        <v>1637</v>
      </c>
      <c r="C291" s="78" t="s">
        <v>205</v>
      </c>
      <c r="D291" s="79">
        <f t="shared" si="1"/>
        <v>24</v>
      </c>
      <c r="E291" s="79">
        <f>AVERAGE(20,28)</f>
        <v>24</v>
      </c>
      <c r="F291" s="79" t="s">
        <v>1142</v>
      </c>
      <c r="G291" s="79" t="s">
        <v>1142</v>
      </c>
      <c r="H291" s="79"/>
      <c r="I291" s="80" t="s">
        <v>1143</v>
      </c>
    </row>
    <row r="292" spans="1:9" ht="14.25" x14ac:dyDescent="0.2">
      <c r="A292" s="10">
        <f t="shared" si="14"/>
        <v>1</v>
      </c>
      <c r="B292" s="77" t="s">
        <v>1639</v>
      </c>
      <c r="C292" s="78" t="s">
        <v>205</v>
      </c>
      <c r="D292" s="79">
        <f t="shared" si="1"/>
        <v>24</v>
      </c>
      <c r="E292" s="79">
        <f>AVERAGE(20,28)</f>
        <v>24</v>
      </c>
      <c r="F292" s="79" t="s">
        <v>1142</v>
      </c>
      <c r="G292" s="79" t="s">
        <v>1142</v>
      </c>
      <c r="H292" s="79"/>
      <c r="I292" s="80" t="s">
        <v>1143</v>
      </c>
    </row>
    <row r="293" spans="1:9" ht="14.25" x14ac:dyDescent="0.2">
      <c r="A293" s="10">
        <f t="shared" si="14"/>
        <v>1</v>
      </c>
      <c r="B293" s="77" t="s">
        <v>1641</v>
      </c>
      <c r="C293" s="78" t="s">
        <v>1145</v>
      </c>
      <c r="D293" s="79">
        <f t="shared" si="1"/>
        <v>60</v>
      </c>
      <c r="E293" s="79">
        <f>AVERAGE(40,80)</f>
        <v>60</v>
      </c>
      <c r="F293" s="79" t="s">
        <v>1142</v>
      </c>
      <c r="G293" s="79" t="s">
        <v>1142</v>
      </c>
      <c r="H293" s="79"/>
      <c r="I293" s="80" t="s">
        <v>1143</v>
      </c>
    </row>
    <row r="294" spans="1:9" ht="14.25" x14ac:dyDescent="0.2">
      <c r="A294" s="10">
        <f t="shared" si="14"/>
        <v>1</v>
      </c>
      <c r="B294" s="77" t="s">
        <v>1643</v>
      </c>
      <c r="C294" s="78" t="s">
        <v>205</v>
      </c>
      <c r="D294" s="79">
        <f t="shared" si="1"/>
        <v>30</v>
      </c>
      <c r="E294" s="79">
        <v>30</v>
      </c>
      <c r="F294" s="79" t="s">
        <v>1142</v>
      </c>
      <c r="G294" s="79" t="s">
        <v>1142</v>
      </c>
      <c r="H294" s="79"/>
      <c r="I294" s="80" t="s">
        <v>1143</v>
      </c>
    </row>
    <row r="295" spans="1:9" ht="15.75" customHeight="1" x14ac:dyDescent="0.25">
      <c r="A295" s="10">
        <f t="shared" si="14"/>
        <v>1</v>
      </c>
      <c r="B295" s="10" t="s">
        <v>1602</v>
      </c>
      <c r="C295" s="11" t="s">
        <v>205</v>
      </c>
      <c r="D295" s="13">
        <f t="shared" si="1"/>
        <v>325</v>
      </c>
      <c r="E295" s="13">
        <v>325</v>
      </c>
      <c r="F295" s="13" t="s">
        <v>1142</v>
      </c>
      <c r="G295" s="13" t="s">
        <v>1142</v>
      </c>
      <c r="H295" s="13"/>
      <c r="I295" s="4" t="s">
        <v>1143</v>
      </c>
    </row>
    <row r="296" spans="1:9" ht="15.75" customHeight="1" x14ac:dyDescent="0.25">
      <c r="A296" s="10">
        <f t="shared" si="14"/>
        <v>1</v>
      </c>
      <c r="B296" s="10" t="s">
        <v>1596</v>
      </c>
      <c r="C296" s="11" t="s">
        <v>205</v>
      </c>
      <c r="D296" s="13">
        <f>E296*$D$1</f>
        <v>50</v>
      </c>
      <c r="E296" s="13">
        <v>50</v>
      </c>
      <c r="F296" s="13" t="s">
        <v>1142</v>
      </c>
      <c r="G296" s="13" t="s">
        <v>1142</v>
      </c>
      <c r="H296" s="13"/>
      <c r="I296" s="4" t="s">
        <v>1143</v>
      </c>
    </row>
    <row r="297" spans="1:9" ht="15.75" customHeight="1" x14ac:dyDescent="0.25">
      <c r="A297" s="10">
        <f t="shared" si="14"/>
        <v>1</v>
      </c>
      <c r="B297" s="10" t="s">
        <v>462</v>
      </c>
      <c r="C297" s="11" t="s">
        <v>205</v>
      </c>
      <c r="D297" s="13">
        <f t="shared" si="1"/>
        <v>11.33</v>
      </c>
      <c r="E297" s="13">
        <v>11.33</v>
      </c>
      <c r="F297" s="13" t="s">
        <v>1142</v>
      </c>
      <c r="G297" s="13" t="s">
        <v>1142</v>
      </c>
      <c r="H297" s="13"/>
      <c r="I297" s="4" t="s">
        <v>1143</v>
      </c>
    </row>
    <row r="298" spans="1:9" ht="15.75" customHeight="1" x14ac:dyDescent="0.25">
      <c r="A298" s="10">
        <f t="shared" si="14"/>
        <v>1</v>
      </c>
      <c r="B298" s="10" t="s">
        <v>1144</v>
      </c>
      <c r="C298" s="11" t="s">
        <v>69</v>
      </c>
      <c r="D298" s="13">
        <f>E298*$D$1</f>
        <v>8.9179999999999993</v>
      </c>
      <c r="E298" s="13">
        <f>445.9/50</f>
        <v>8.9179999999999993</v>
      </c>
      <c r="F298" s="13" t="s">
        <v>1142</v>
      </c>
      <c r="G298" s="13" t="s">
        <v>1142</v>
      </c>
      <c r="H298" s="13"/>
      <c r="I298" s="4" t="s">
        <v>1143</v>
      </c>
    </row>
    <row r="299" spans="1:9" ht="15.75" customHeight="1" x14ac:dyDescent="0.25">
      <c r="A299" s="10">
        <f t="shared" si="14"/>
        <v>1</v>
      </c>
      <c r="B299" s="10" t="s">
        <v>460</v>
      </c>
      <c r="C299" s="11" t="s">
        <v>205</v>
      </c>
      <c r="D299" s="13">
        <f t="shared" si="1"/>
        <v>11.055555555555555</v>
      </c>
      <c r="E299" s="13">
        <v>11.055555555555555</v>
      </c>
      <c r="F299" s="13" t="s">
        <v>1142</v>
      </c>
      <c r="G299" s="13" t="s">
        <v>1142</v>
      </c>
      <c r="H299" s="13"/>
      <c r="I299" s="4" t="s">
        <v>1143</v>
      </c>
    </row>
    <row r="300" spans="1:9" ht="15.75" customHeight="1" x14ac:dyDescent="0.25">
      <c r="A300" s="10">
        <f t="shared" si="14"/>
        <v>1</v>
      </c>
      <c r="B300" s="10" t="s">
        <v>447</v>
      </c>
      <c r="C300" s="11" t="s">
        <v>1145</v>
      </c>
      <c r="D300" s="13">
        <f t="shared" si="1"/>
        <v>19.440000000000001</v>
      </c>
      <c r="E300" s="13">
        <v>19.440000000000001</v>
      </c>
      <c r="F300" s="13" t="s">
        <v>1142</v>
      </c>
      <c r="G300" s="13" t="s">
        <v>1142</v>
      </c>
      <c r="H300" s="13"/>
      <c r="I300" s="4" t="s">
        <v>1143</v>
      </c>
    </row>
    <row r="301" spans="1:9" ht="14.25" x14ac:dyDescent="0.2">
      <c r="A301" s="10">
        <f t="shared" si="14"/>
        <v>1</v>
      </c>
      <c r="B301" s="77" t="s">
        <v>1792</v>
      </c>
      <c r="C301" s="78" t="s">
        <v>69</v>
      </c>
      <c r="D301" s="79">
        <f>E301*$D$1</f>
        <v>130</v>
      </c>
      <c r="E301" s="79">
        <v>130</v>
      </c>
      <c r="F301" s="79" t="s">
        <v>1142</v>
      </c>
      <c r="G301" s="79" t="s">
        <v>1142</v>
      </c>
      <c r="H301" s="79"/>
      <c r="I301" s="80" t="s">
        <v>1143</v>
      </c>
    </row>
    <row r="302" spans="1:9" ht="14.25" x14ac:dyDescent="0.2">
      <c r="A302" s="10">
        <f t="shared" si="14"/>
        <v>1</v>
      </c>
      <c r="B302" s="77" t="s">
        <v>1794</v>
      </c>
      <c r="C302" s="78" t="s">
        <v>69</v>
      </c>
      <c r="D302" s="79">
        <f>E302*$D$1</f>
        <v>220</v>
      </c>
      <c r="E302" s="79">
        <v>220</v>
      </c>
      <c r="F302" s="79" t="s">
        <v>1142</v>
      </c>
      <c r="G302" s="79" t="s">
        <v>1142</v>
      </c>
      <c r="H302" s="79"/>
      <c r="I302" s="80" t="s">
        <v>1143</v>
      </c>
    </row>
    <row r="303" spans="1:9" ht="14.25" x14ac:dyDescent="0.2">
      <c r="A303" s="10">
        <f t="shared" si="14"/>
        <v>1</v>
      </c>
      <c r="B303" s="77" t="s">
        <v>1795</v>
      </c>
      <c r="C303" s="78" t="s">
        <v>69</v>
      </c>
      <c r="D303" s="79">
        <f>E303*$D$1</f>
        <v>1200</v>
      </c>
      <c r="E303" s="79">
        <v>1200</v>
      </c>
      <c r="F303" s="79" t="s">
        <v>1142</v>
      </c>
      <c r="G303" s="79" t="s">
        <v>1142</v>
      </c>
      <c r="H303" s="79"/>
      <c r="I303" s="80" t="s">
        <v>1143</v>
      </c>
    </row>
    <row r="304" spans="1:9" ht="15.75" customHeight="1" x14ac:dyDescent="0.25">
      <c r="A304" s="10">
        <f t="shared" si="14"/>
        <v>1</v>
      </c>
      <c r="B304" s="10" t="s">
        <v>465</v>
      </c>
      <c r="C304" s="11" t="s">
        <v>205</v>
      </c>
      <c r="D304" s="13">
        <f t="shared" si="1"/>
        <v>29.277777777777779</v>
      </c>
      <c r="E304" s="13">
        <v>29.277777777777779</v>
      </c>
      <c r="F304" s="13" t="s">
        <v>1142</v>
      </c>
      <c r="G304" s="13" t="s">
        <v>1142</v>
      </c>
      <c r="H304" s="13"/>
      <c r="I304" s="4" t="s">
        <v>1143</v>
      </c>
    </row>
    <row r="305" spans="1:9" ht="15.75" customHeight="1" x14ac:dyDescent="0.25">
      <c r="A305" s="10">
        <f t="shared" si="14"/>
        <v>1</v>
      </c>
      <c r="B305" s="10" t="s">
        <v>467</v>
      </c>
      <c r="C305" s="11" t="s">
        <v>205</v>
      </c>
      <c r="D305" s="13">
        <f t="shared" si="1"/>
        <v>25.75</v>
      </c>
      <c r="E305" s="13">
        <v>25.75</v>
      </c>
      <c r="F305" s="13" t="s">
        <v>1142</v>
      </c>
      <c r="G305" s="13" t="s">
        <v>1142</v>
      </c>
      <c r="H305" s="13"/>
      <c r="I305" s="4" t="s">
        <v>1143</v>
      </c>
    </row>
    <row r="306" spans="1:9" ht="15.75" customHeight="1" x14ac:dyDescent="0.25">
      <c r="A306" s="10">
        <f t="shared" si="14"/>
        <v>1</v>
      </c>
      <c r="B306" s="10" t="s">
        <v>458</v>
      </c>
      <c r="C306" s="11" t="s">
        <v>69</v>
      </c>
      <c r="D306" s="13">
        <f t="shared" si="1"/>
        <v>37.99</v>
      </c>
      <c r="E306" s="13">
        <v>37.99</v>
      </c>
      <c r="F306" s="13" t="s">
        <v>1142</v>
      </c>
      <c r="G306" s="13" t="s">
        <v>1142</v>
      </c>
      <c r="H306" s="13"/>
      <c r="I306" s="4" t="s">
        <v>1143</v>
      </c>
    </row>
    <row r="307" spans="1:9" ht="15.75" customHeight="1" x14ac:dyDescent="0.25">
      <c r="A307" s="10">
        <f t="shared" si="14"/>
        <v>1</v>
      </c>
      <c r="B307" s="10" t="s">
        <v>452</v>
      </c>
      <c r="C307" s="11" t="s">
        <v>69</v>
      </c>
      <c r="D307" s="13">
        <f t="shared" si="1"/>
        <v>11.090769230769231</v>
      </c>
      <c r="E307" s="13">
        <v>11.090769230769231</v>
      </c>
      <c r="F307" s="13" t="s">
        <v>1142</v>
      </c>
      <c r="G307" s="13" t="s">
        <v>1142</v>
      </c>
      <c r="H307" s="13"/>
      <c r="I307" s="4" t="s">
        <v>1143</v>
      </c>
    </row>
    <row r="308" spans="1:9" ht="15.75" customHeight="1" x14ac:dyDescent="0.25">
      <c r="A308" s="10">
        <f t="shared" si="14"/>
        <v>1</v>
      </c>
      <c r="B308" s="10" t="s">
        <v>456</v>
      </c>
      <c r="C308" s="11" t="s">
        <v>69</v>
      </c>
      <c r="D308" s="13">
        <f t="shared" si="1"/>
        <v>57.02</v>
      </c>
      <c r="E308" s="13">
        <v>57.02</v>
      </c>
      <c r="F308" s="13" t="s">
        <v>1142</v>
      </c>
      <c r="G308" s="13" t="s">
        <v>1142</v>
      </c>
      <c r="H308" s="13"/>
      <c r="I308" s="4" t="s">
        <v>1143</v>
      </c>
    </row>
    <row r="309" spans="1:9" ht="15.75" customHeight="1" x14ac:dyDescent="0.25">
      <c r="A309" s="10">
        <f t="shared" si="14"/>
        <v>1</v>
      </c>
      <c r="B309" s="10" t="s">
        <v>454</v>
      </c>
      <c r="C309" s="11" t="s">
        <v>69</v>
      </c>
      <c r="D309" s="13">
        <f t="shared" si="1"/>
        <v>70.02</v>
      </c>
      <c r="E309" s="13">
        <v>70.02</v>
      </c>
      <c r="F309" s="13" t="s">
        <v>1142</v>
      </c>
      <c r="G309" s="13" t="s">
        <v>1142</v>
      </c>
      <c r="H309" s="13"/>
      <c r="I309" s="4" t="s">
        <v>1143</v>
      </c>
    </row>
    <row r="310" spans="1:9" ht="15.75" customHeight="1" x14ac:dyDescent="0.25">
      <c r="A310" s="10">
        <f t="shared" ref="A310:A373" si="15">COUNTIFS($B$2:$B$996,B310)</f>
        <v>1</v>
      </c>
      <c r="B310" s="10" t="s">
        <v>603</v>
      </c>
      <c r="C310" s="11" t="s">
        <v>69</v>
      </c>
      <c r="D310" s="13">
        <f t="shared" si="1"/>
        <v>30.555555555555557</v>
      </c>
      <c r="E310" s="13">
        <f>1100/(1.2*30)</f>
        <v>30.555555555555557</v>
      </c>
      <c r="F310" s="13" t="s">
        <v>1142</v>
      </c>
      <c r="G310" s="13" t="s">
        <v>1142</v>
      </c>
      <c r="H310" s="13"/>
      <c r="I310" s="4" t="s">
        <v>1143</v>
      </c>
    </row>
    <row r="311" spans="1:9" ht="15.75" customHeight="1" x14ac:dyDescent="0.25">
      <c r="A311" s="10">
        <f t="shared" si="15"/>
        <v>1</v>
      </c>
      <c r="B311" s="10" t="s">
        <v>601</v>
      </c>
      <c r="C311" s="11" t="s">
        <v>1145</v>
      </c>
      <c r="D311" s="13">
        <f t="shared" si="1"/>
        <v>7.16</v>
      </c>
      <c r="E311" s="13">
        <v>7.16</v>
      </c>
      <c r="F311" s="13" t="s">
        <v>1142</v>
      </c>
      <c r="G311" s="13" t="s">
        <v>1142</v>
      </c>
      <c r="H311" s="13"/>
      <c r="I311" s="4" t="s">
        <v>1143</v>
      </c>
    </row>
    <row r="312" spans="1:9" ht="15.75" customHeight="1" x14ac:dyDescent="0.25">
      <c r="A312" s="10">
        <f t="shared" si="15"/>
        <v>1</v>
      </c>
      <c r="B312" s="10" t="s">
        <v>605</v>
      </c>
      <c r="C312" s="11" t="s">
        <v>1145</v>
      </c>
      <c r="D312" s="13">
        <f t="shared" si="1"/>
        <v>26.563333333333333</v>
      </c>
      <c r="E312" s="13">
        <v>26.563333333333333</v>
      </c>
      <c r="F312" s="13" t="s">
        <v>1142</v>
      </c>
      <c r="G312" s="13" t="s">
        <v>1142</v>
      </c>
      <c r="H312" s="13"/>
      <c r="I312" s="4" t="s">
        <v>1143</v>
      </c>
    </row>
    <row r="313" spans="1:9" ht="15.75" customHeight="1" x14ac:dyDescent="0.25">
      <c r="A313" s="10">
        <f t="shared" si="15"/>
        <v>1</v>
      </c>
      <c r="B313" s="10" t="s">
        <v>451</v>
      </c>
      <c r="C313" s="11" t="s">
        <v>1145</v>
      </c>
      <c r="D313" s="13">
        <f t="shared" si="1"/>
        <v>23.52</v>
      </c>
      <c r="E313" s="13">
        <v>23.52</v>
      </c>
      <c r="F313" s="13" t="s">
        <v>1142</v>
      </c>
      <c r="G313" s="13" t="s">
        <v>1142</v>
      </c>
      <c r="H313" s="13"/>
      <c r="I313" s="4" t="s">
        <v>1143</v>
      </c>
    </row>
    <row r="314" spans="1:9" ht="15.75" customHeight="1" x14ac:dyDescent="0.25">
      <c r="A314" s="10">
        <f t="shared" si="15"/>
        <v>1</v>
      </c>
      <c r="B314" s="10" t="s">
        <v>468</v>
      </c>
      <c r="C314" s="11" t="s">
        <v>69</v>
      </c>
      <c r="D314" s="13">
        <f t="shared" si="1"/>
        <v>1.1000000000000001</v>
      </c>
      <c r="E314" s="13">
        <v>1.1000000000000001</v>
      </c>
      <c r="F314" s="13" t="s">
        <v>1142</v>
      </c>
      <c r="G314" s="13" t="s">
        <v>1142</v>
      </c>
      <c r="H314" s="13"/>
      <c r="I314" s="4" t="s">
        <v>1143</v>
      </c>
    </row>
    <row r="315" spans="1:9" ht="15.75" customHeight="1" x14ac:dyDescent="0.25">
      <c r="A315" s="10">
        <f t="shared" si="15"/>
        <v>1</v>
      </c>
      <c r="B315" s="10" t="s">
        <v>936</v>
      </c>
      <c r="C315" s="11" t="s">
        <v>196</v>
      </c>
      <c r="D315" s="13">
        <f t="shared" si="1"/>
        <v>5</v>
      </c>
      <c r="E315" s="13">
        <v>5</v>
      </c>
      <c r="F315" s="13" t="s">
        <v>1146</v>
      </c>
      <c r="G315" s="13" t="s">
        <v>1146</v>
      </c>
      <c r="H315" s="13"/>
      <c r="I315" s="4" t="s">
        <v>1147</v>
      </c>
    </row>
    <row r="316" spans="1:9" ht="15.75" customHeight="1" x14ac:dyDescent="0.25">
      <c r="A316" s="10">
        <f t="shared" si="15"/>
        <v>1</v>
      </c>
      <c r="B316" s="10" t="s">
        <v>935</v>
      </c>
      <c r="C316" s="11" t="s">
        <v>112</v>
      </c>
      <c r="D316" s="13">
        <f t="shared" si="1"/>
        <v>0.24</v>
      </c>
      <c r="E316" s="13">
        <v>0.24</v>
      </c>
      <c r="F316" s="13" t="s">
        <v>1146</v>
      </c>
      <c r="G316" s="13" t="s">
        <v>1146</v>
      </c>
      <c r="H316" s="13"/>
      <c r="I316" s="4" t="s">
        <v>1147</v>
      </c>
    </row>
    <row r="317" spans="1:9" ht="15.75" customHeight="1" x14ac:dyDescent="0.25">
      <c r="A317" s="10">
        <f t="shared" si="15"/>
        <v>1</v>
      </c>
      <c r="B317" s="10" t="s">
        <v>87</v>
      </c>
      <c r="C317" s="11" t="s">
        <v>196</v>
      </c>
      <c r="D317" s="13">
        <f t="shared" si="1"/>
        <v>185.37</v>
      </c>
      <c r="E317" s="13">
        <v>185.37</v>
      </c>
      <c r="F317" s="13" t="s">
        <v>1148</v>
      </c>
      <c r="G317" s="13" t="s">
        <v>1148</v>
      </c>
      <c r="H317" s="13"/>
      <c r="I317" s="4" t="s">
        <v>1147</v>
      </c>
    </row>
    <row r="318" spans="1:9" ht="15.75" customHeight="1" x14ac:dyDescent="0.25">
      <c r="A318" s="10">
        <f t="shared" si="15"/>
        <v>1</v>
      </c>
      <c r="B318" s="10" t="s">
        <v>992</v>
      </c>
      <c r="C318" s="11" t="s">
        <v>196</v>
      </c>
      <c r="D318" s="13">
        <f t="shared" si="1"/>
        <v>970</v>
      </c>
      <c r="E318" s="13">
        <v>970</v>
      </c>
      <c r="F318" s="13" t="s">
        <v>1149</v>
      </c>
      <c r="G318" s="13" t="s">
        <v>1150</v>
      </c>
      <c r="H318" s="13"/>
      <c r="I318" s="4" t="s">
        <v>1114</v>
      </c>
    </row>
    <row r="319" spans="1:9" ht="15.75" customHeight="1" x14ac:dyDescent="0.25">
      <c r="A319" s="10">
        <f t="shared" si="15"/>
        <v>1</v>
      </c>
      <c r="B319" s="10" t="s">
        <v>956</v>
      </c>
      <c r="C319" s="11" t="s">
        <v>196</v>
      </c>
      <c r="D319" s="13">
        <f t="shared" si="1"/>
        <v>225.38</v>
      </c>
      <c r="E319" s="13">
        <v>225.38</v>
      </c>
      <c r="F319" s="13" t="s">
        <v>1149</v>
      </c>
      <c r="G319" s="13" t="s">
        <v>1150</v>
      </c>
      <c r="H319" s="13"/>
      <c r="I319" s="4" t="s">
        <v>1114</v>
      </c>
    </row>
    <row r="320" spans="1:9" ht="15.75" customHeight="1" x14ac:dyDescent="0.25">
      <c r="A320" s="10">
        <f t="shared" si="15"/>
        <v>1</v>
      </c>
      <c r="B320" s="10" t="s">
        <v>990</v>
      </c>
      <c r="C320" s="11" t="s">
        <v>196</v>
      </c>
      <c r="D320" s="13">
        <f t="shared" si="1"/>
        <v>660</v>
      </c>
      <c r="E320" s="13">
        <v>660</v>
      </c>
      <c r="F320" s="13" t="s">
        <v>1149</v>
      </c>
      <c r="G320" s="13" t="s">
        <v>1151</v>
      </c>
      <c r="H320" s="13"/>
      <c r="I320" s="4" t="s">
        <v>1151</v>
      </c>
    </row>
    <row r="321" spans="1:9" ht="15.75" customHeight="1" x14ac:dyDescent="0.25">
      <c r="A321" s="10">
        <f t="shared" si="15"/>
        <v>1</v>
      </c>
      <c r="B321" s="10" t="s">
        <v>994</v>
      </c>
      <c r="C321" s="11" t="s">
        <v>196</v>
      </c>
      <c r="D321" s="13">
        <f t="shared" si="1"/>
        <v>1196.32</v>
      </c>
      <c r="E321" s="13">
        <v>1196.32</v>
      </c>
      <c r="F321" s="13" t="s">
        <v>1149</v>
      </c>
      <c r="G321" s="13" t="s">
        <v>1151</v>
      </c>
      <c r="H321" s="13"/>
      <c r="I321" s="4" t="s">
        <v>1151</v>
      </c>
    </row>
    <row r="322" spans="1:9" ht="15.75" customHeight="1" x14ac:dyDescent="0.25">
      <c r="A322" s="10">
        <f t="shared" si="15"/>
        <v>1</v>
      </c>
      <c r="B322" s="10" t="s">
        <v>1571</v>
      </c>
      <c r="C322" s="11" t="s">
        <v>196</v>
      </c>
      <c r="D322" s="13">
        <f>E322*$D$1</f>
        <v>1876.89</v>
      </c>
      <c r="E322" s="13">
        <v>1876.89</v>
      </c>
      <c r="F322" s="13" t="s">
        <v>1149</v>
      </c>
      <c r="G322" s="13" t="s">
        <v>1151</v>
      </c>
      <c r="H322" s="13"/>
      <c r="I322" s="4" t="s">
        <v>1151</v>
      </c>
    </row>
    <row r="323" spans="1:9" ht="15.75" customHeight="1" x14ac:dyDescent="0.25">
      <c r="A323" s="10">
        <f t="shared" si="15"/>
        <v>1</v>
      </c>
      <c r="B323" s="10" t="s">
        <v>980</v>
      </c>
      <c r="C323" s="11" t="s">
        <v>196</v>
      </c>
      <c r="D323" s="13">
        <f t="shared" si="1"/>
        <v>688.68</v>
      </c>
      <c r="E323" s="13">
        <v>688.68</v>
      </c>
      <c r="F323" s="13" t="s">
        <v>1149</v>
      </c>
      <c r="G323" s="13" t="s">
        <v>1151</v>
      </c>
      <c r="H323" s="13"/>
      <c r="I323" s="4" t="s">
        <v>1151</v>
      </c>
    </row>
    <row r="324" spans="1:9" ht="15.75" customHeight="1" x14ac:dyDescent="0.25">
      <c r="A324" s="10">
        <f t="shared" si="15"/>
        <v>1</v>
      </c>
      <c r="B324" s="10" t="s">
        <v>938</v>
      </c>
      <c r="C324" s="11" t="s">
        <v>196</v>
      </c>
      <c r="D324" s="13">
        <f t="shared" si="1"/>
        <v>26.9</v>
      </c>
      <c r="E324" s="13">
        <v>26.9</v>
      </c>
      <c r="F324" s="13" t="s">
        <v>1149</v>
      </c>
      <c r="G324" s="13" t="s">
        <v>1150</v>
      </c>
      <c r="H324" s="13"/>
      <c r="I324" s="4" t="s">
        <v>1114</v>
      </c>
    </row>
    <row r="325" spans="1:9" ht="15.75" customHeight="1" x14ac:dyDescent="0.25">
      <c r="A325" s="10">
        <f t="shared" si="15"/>
        <v>1</v>
      </c>
      <c r="B325" s="10" t="s">
        <v>958</v>
      </c>
      <c r="C325" s="11" t="s">
        <v>196</v>
      </c>
      <c r="D325" s="13">
        <f t="shared" si="1"/>
        <v>196.76</v>
      </c>
      <c r="E325" s="13">
        <v>196.76</v>
      </c>
      <c r="F325" s="13" t="s">
        <v>1149</v>
      </c>
      <c r="G325" s="13" t="s">
        <v>1150</v>
      </c>
      <c r="H325" s="13"/>
      <c r="I325" s="4" t="s">
        <v>1114</v>
      </c>
    </row>
    <row r="326" spans="1:9" ht="15.75" customHeight="1" x14ac:dyDescent="0.25">
      <c r="A326" s="10">
        <f t="shared" si="15"/>
        <v>1</v>
      </c>
      <c r="B326" s="10" t="s">
        <v>946</v>
      </c>
      <c r="C326" s="11" t="s">
        <v>196</v>
      </c>
      <c r="D326" s="13">
        <f t="shared" si="1"/>
        <v>65</v>
      </c>
      <c r="E326" s="13">
        <v>65</v>
      </c>
      <c r="F326" s="13" t="s">
        <v>1149</v>
      </c>
      <c r="G326" s="13" t="s">
        <v>1150</v>
      </c>
      <c r="H326" s="13"/>
      <c r="I326" s="4" t="s">
        <v>1114</v>
      </c>
    </row>
    <row r="327" spans="1:9" ht="15.75" customHeight="1" x14ac:dyDescent="0.25">
      <c r="A327" s="10">
        <f t="shared" si="15"/>
        <v>1</v>
      </c>
      <c r="B327" s="10" t="s">
        <v>965</v>
      </c>
      <c r="C327" s="11" t="s">
        <v>196</v>
      </c>
      <c r="D327" s="13">
        <f t="shared" si="1"/>
        <v>35.9</v>
      </c>
      <c r="E327" s="13">
        <v>35.9</v>
      </c>
      <c r="F327" s="13" t="s">
        <v>1149</v>
      </c>
      <c r="G327" s="13" t="s">
        <v>1150</v>
      </c>
      <c r="H327" s="13"/>
      <c r="I327" s="4" t="s">
        <v>1114</v>
      </c>
    </row>
    <row r="328" spans="1:9" ht="15.75" customHeight="1" x14ac:dyDescent="0.25">
      <c r="A328" s="10">
        <f t="shared" si="15"/>
        <v>1</v>
      </c>
      <c r="B328" s="10" t="s">
        <v>986</v>
      </c>
      <c r="C328" s="11" t="s">
        <v>196</v>
      </c>
      <c r="D328" s="13">
        <f t="shared" si="1"/>
        <v>900</v>
      </c>
      <c r="E328" s="13">
        <v>900</v>
      </c>
      <c r="F328" s="13" t="s">
        <v>1149</v>
      </c>
      <c r="G328" s="13" t="s">
        <v>1152</v>
      </c>
      <c r="H328" s="13"/>
      <c r="I328" s="4" t="s">
        <v>1114</v>
      </c>
    </row>
    <row r="329" spans="1:9" ht="15.75" customHeight="1" x14ac:dyDescent="0.25">
      <c r="A329" s="10">
        <f t="shared" si="15"/>
        <v>1</v>
      </c>
      <c r="B329" s="10" t="s">
        <v>1153</v>
      </c>
      <c r="C329" s="11" t="s">
        <v>196</v>
      </c>
      <c r="D329" s="13">
        <f t="shared" si="1"/>
        <v>736.50120000000004</v>
      </c>
      <c r="E329" s="13">
        <v>736.50120000000004</v>
      </c>
      <c r="F329" s="13" t="s">
        <v>1149</v>
      </c>
      <c r="G329" s="13" t="s">
        <v>31</v>
      </c>
      <c r="H329" s="13"/>
      <c r="I329" s="4" t="s">
        <v>1114</v>
      </c>
    </row>
    <row r="330" spans="1:9" ht="15.75" customHeight="1" x14ac:dyDescent="0.25">
      <c r="A330" s="10">
        <f t="shared" si="15"/>
        <v>1</v>
      </c>
      <c r="B330" s="10" t="s">
        <v>1154</v>
      </c>
      <c r="C330" s="11" t="s">
        <v>196</v>
      </c>
      <c r="D330" s="13">
        <f t="shared" si="1"/>
        <v>2556.62</v>
      </c>
      <c r="E330" s="13">
        <f>298.72+1295.7+962.2</f>
        <v>2556.62</v>
      </c>
      <c r="F330" s="13" t="s">
        <v>1149</v>
      </c>
      <c r="G330" s="13" t="s">
        <v>31</v>
      </c>
      <c r="H330" s="13"/>
      <c r="I330" s="4" t="s">
        <v>1114</v>
      </c>
    </row>
    <row r="331" spans="1:9" ht="15.75" customHeight="1" x14ac:dyDescent="0.25">
      <c r="A331" s="10">
        <f t="shared" si="15"/>
        <v>1</v>
      </c>
      <c r="B331" s="10" t="s">
        <v>932</v>
      </c>
      <c r="C331" s="11" t="s">
        <v>196</v>
      </c>
      <c r="D331" s="13">
        <f t="shared" si="1"/>
        <v>523.16999999999996</v>
      </c>
      <c r="E331" s="13">
        <v>523.16999999999996</v>
      </c>
      <c r="F331" s="13" t="s">
        <v>1149</v>
      </c>
      <c r="G331" s="13" t="s">
        <v>31</v>
      </c>
      <c r="H331" s="13"/>
      <c r="I331" s="4" t="s">
        <v>1114</v>
      </c>
    </row>
    <row r="332" spans="1:9" ht="15.75" customHeight="1" x14ac:dyDescent="0.25">
      <c r="A332" s="10">
        <f t="shared" si="15"/>
        <v>1</v>
      </c>
      <c r="B332" s="10" t="s">
        <v>1155</v>
      </c>
      <c r="C332" s="11" t="s">
        <v>196</v>
      </c>
      <c r="D332" s="13">
        <f t="shared" si="1"/>
        <v>1999</v>
      </c>
      <c r="E332" s="13">
        <v>1999</v>
      </c>
      <c r="F332" s="13" t="s">
        <v>1149</v>
      </c>
      <c r="G332" s="13" t="s">
        <v>31</v>
      </c>
      <c r="H332" s="13"/>
      <c r="I332" s="4" t="s">
        <v>1114</v>
      </c>
    </row>
    <row r="333" spans="1:9" ht="15.75" customHeight="1" x14ac:dyDescent="0.25">
      <c r="A333" s="10">
        <f t="shared" si="15"/>
        <v>1</v>
      </c>
      <c r="B333" s="10" t="s">
        <v>953</v>
      </c>
      <c r="C333" s="11" t="s">
        <v>196</v>
      </c>
      <c r="D333" s="13">
        <f t="shared" si="1"/>
        <v>2750.38</v>
      </c>
      <c r="E333" s="13">
        <v>2750.38</v>
      </c>
      <c r="F333" s="13" t="s">
        <v>1149</v>
      </c>
      <c r="G333" s="13" t="s">
        <v>31</v>
      </c>
      <c r="H333" s="13"/>
      <c r="I333" s="4" t="s">
        <v>1114</v>
      </c>
    </row>
    <row r="334" spans="1:9" ht="15.75" customHeight="1" x14ac:dyDescent="0.25">
      <c r="A334" s="10">
        <f t="shared" si="15"/>
        <v>1</v>
      </c>
      <c r="B334" s="10" t="s">
        <v>945</v>
      </c>
      <c r="C334" s="11" t="s">
        <v>196</v>
      </c>
      <c r="D334" s="13">
        <f t="shared" si="1"/>
        <v>272.89999999999998</v>
      </c>
      <c r="E334" s="13">
        <v>272.89999999999998</v>
      </c>
      <c r="F334" s="13" t="s">
        <v>1149</v>
      </c>
      <c r="G334" s="13" t="s">
        <v>31</v>
      </c>
      <c r="H334" s="13"/>
      <c r="I334" s="4" t="s">
        <v>1114</v>
      </c>
    </row>
    <row r="335" spans="1:9" ht="15.75" customHeight="1" x14ac:dyDescent="0.25">
      <c r="A335" s="10">
        <f t="shared" si="15"/>
        <v>1</v>
      </c>
      <c r="B335" s="10" t="s">
        <v>962</v>
      </c>
      <c r="C335" s="11" t="s">
        <v>196</v>
      </c>
      <c r="D335" s="13">
        <f t="shared" si="1"/>
        <v>460</v>
      </c>
      <c r="E335" s="13">
        <v>460</v>
      </c>
      <c r="F335" s="13" t="s">
        <v>1149</v>
      </c>
      <c r="G335" s="13" t="s">
        <v>31</v>
      </c>
      <c r="H335" s="13"/>
      <c r="I335" s="4" t="s">
        <v>1114</v>
      </c>
    </row>
    <row r="336" spans="1:9" ht="15.75" customHeight="1" x14ac:dyDescent="0.25">
      <c r="A336" s="10">
        <f t="shared" si="15"/>
        <v>1</v>
      </c>
      <c r="B336" s="10" t="s">
        <v>951</v>
      </c>
      <c r="C336" s="11" t="s">
        <v>196</v>
      </c>
      <c r="D336" s="13">
        <f t="shared" si="1"/>
        <v>1574.1</v>
      </c>
      <c r="E336" s="13">
        <v>1574.1</v>
      </c>
      <c r="F336" s="13" t="s">
        <v>1149</v>
      </c>
      <c r="G336" s="13" t="s">
        <v>31</v>
      </c>
      <c r="H336" s="13"/>
      <c r="I336" s="4" t="s">
        <v>1114</v>
      </c>
    </row>
    <row r="337" spans="1:9" ht="15.75" customHeight="1" x14ac:dyDescent="0.25">
      <c r="A337" s="10">
        <f t="shared" si="15"/>
        <v>1</v>
      </c>
      <c r="B337" s="10" t="s">
        <v>964</v>
      </c>
      <c r="C337" s="11" t="s">
        <v>196</v>
      </c>
      <c r="D337" s="13">
        <f t="shared" si="1"/>
        <v>203.9</v>
      </c>
      <c r="E337" s="13">
        <v>203.9</v>
      </c>
      <c r="F337" s="13" t="s">
        <v>1149</v>
      </c>
      <c r="G337" s="13" t="s">
        <v>31</v>
      </c>
      <c r="H337" s="13"/>
      <c r="I337" s="4" t="s">
        <v>1114</v>
      </c>
    </row>
    <row r="338" spans="1:9" ht="15.75" customHeight="1" x14ac:dyDescent="0.25">
      <c r="A338" s="10">
        <f t="shared" si="15"/>
        <v>1</v>
      </c>
      <c r="B338" s="10" t="s">
        <v>940</v>
      </c>
      <c r="C338" s="11" t="s">
        <v>196</v>
      </c>
      <c r="D338" s="13">
        <f t="shared" si="1"/>
        <v>1010.4012000000001</v>
      </c>
      <c r="E338" s="13">
        <v>1010.4012000000001</v>
      </c>
      <c r="F338" s="13" t="s">
        <v>1149</v>
      </c>
      <c r="G338" s="13" t="s">
        <v>31</v>
      </c>
      <c r="H338" s="13"/>
      <c r="I338" s="4" t="s">
        <v>1114</v>
      </c>
    </row>
    <row r="339" spans="1:9" ht="15.75" customHeight="1" x14ac:dyDescent="0.25">
      <c r="A339" s="10">
        <f t="shared" si="15"/>
        <v>1</v>
      </c>
      <c r="B339" s="10" t="s">
        <v>969</v>
      </c>
      <c r="C339" s="11" t="s">
        <v>196</v>
      </c>
      <c r="D339" s="13">
        <f t="shared" si="1"/>
        <v>396.87</v>
      </c>
      <c r="E339" s="13">
        <v>396.87</v>
      </c>
      <c r="F339" s="13" t="s">
        <v>1149</v>
      </c>
      <c r="G339" s="13" t="s">
        <v>31</v>
      </c>
      <c r="H339" s="13"/>
      <c r="I339" s="4" t="s">
        <v>1114</v>
      </c>
    </row>
    <row r="340" spans="1:9" ht="14.25" x14ac:dyDescent="0.2">
      <c r="A340" s="10">
        <f t="shared" si="15"/>
        <v>1</v>
      </c>
      <c r="B340" s="77" t="s">
        <v>1934</v>
      </c>
      <c r="C340" s="78" t="s">
        <v>196</v>
      </c>
      <c r="D340" s="79">
        <f>E340*$D$1</f>
        <v>215</v>
      </c>
      <c r="E340" s="79">
        <v>215</v>
      </c>
      <c r="F340" s="79" t="s">
        <v>1149</v>
      </c>
      <c r="G340" s="79" t="s">
        <v>31</v>
      </c>
      <c r="H340" s="79"/>
      <c r="I340" s="80" t="s">
        <v>1114</v>
      </c>
    </row>
    <row r="341" spans="1:9" ht="15.75" customHeight="1" x14ac:dyDescent="0.25">
      <c r="A341" s="10">
        <f t="shared" si="15"/>
        <v>1</v>
      </c>
      <c r="B341" s="10" t="s">
        <v>967</v>
      </c>
      <c r="C341" s="11" t="s">
        <v>196</v>
      </c>
      <c r="D341" s="13">
        <f t="shared" si="1"/>
        <v>760</v>
      </c>
      <c r="E341" s="13">
        <v>760</v>
      </c>
      <c r="F341" s="13" t="s">
        <v>1149</v>
      </c>
      <c r="G341" s="13" t="s">
        <v>31</v>
      </c>
      <c r="H341" s="13"/>
      <c r="I341" s="4" t="s">
        <v>1114</v>
      </c>
    </row>
    <row r="342" spans="1:9" ht="15.75" customHeight="1" x14ac:dyDescent="0.25">
      <c r="A342" s="10">
        <f t="shared" si="15"/>
        <v>1</v>
      </c>
      <c r="B342" s="10" t="s">
        <v>984</v>
      </c>
      <c r="C342" s="11" t="s">
        <v>196</v>
      </c>
      <c r="D342" s="13">
        <f t="shared" si="1"/>
        <v>493.7</v>
      </c>
      <c r="E342" s="13">
        <v>493.7</v>
      </c>
      <c r="F342" s="13" t="s">
        <v>1149</v>
      </c>
      <c r="G342" s="13" t="s">
        <v>1151</v>
      </c>
      <c r="H342" s="13"/>
      <c r="I342" s="4" t="s">
        <v>1151</v>
      </c>
    </row>
    <row r="343" spans="1:9" ht="15.75" customHeight="1" x14ac:dyDescent="0.25">
      <c r="A343" s="10">
        <f t="shared" si="15"/>
        <v>1</v>
      </c>
      <c r="B343" s="10" t="s">
        <v>982</v>
      </c>
      <c r="C343" s="11" t="s">
        <v>196</v>
      </c>
      <c r="D343" s="13">
        <f t="shared" si="1"/>
        <v>240.41</v>
      </c>
      <c r="E343" s="13">
        <v>240.41</v>
      </c>
      <c r="F343" s="13" t="s">
        <v>1149</v>
      </c>
      <c r="G343" s="13" t="s">
        <v>1151</v>
      </c>
      <c r="H343" s="13"/>
      <c r="I343" s="4" t="s">
        <v>1151</v>
      </c>
    </row>
    <row r="344" spans="1:9" ht="15.75" customHeight="1" x14ac:dyDescent="0.25">
      <c r="A344" s="10">
        <f t="shared" si="15"/>
        <v>1</v>
      </c>
      <c r="B344" s="10" t="s">
        <v>988</v>
      </c>
      <c r="C344" s="11" t="s">
        <v>196</v>
      </c>
      <c r="D344" s="13">
        <f t="shared" si="1"/>
        <v>84.8</v>
      </c>
      <c r="E344" s="13">
        <v>84.8</v>
      </c>
      <c r="F344" s="13" t="s">
        <v>1149</v>
      </c>
      <c r="G344" s="13" t="s">
        <v>1151</v>
      </c>
      <c r="H344" s="13"/>
      <c r="I344" s="4" t="s">
        <v>1151</v>
      </c>
    </row>
    <row r="345" spans="1:9" ht="15.75" customHeight="1" x14ac:dyDescent="0.25">
      <c r="A345" s="10">
        <f t="shared" si="15"/>
        <v>1</v>
      </c>
      <c r="B345" s="10" t="s">
        <v>949</v>
      </c>
      <c r="C345" s="11" t="s">
        <v>196</v>
      </c>
      <c r="D345" s="13">
        <f t="shared" si="1"/>
        <v>32</v>
      </c>
      <c r="E345" s="13">
        <v>32</v>
      </c>
      <c r="F345" s="13" t="s">
        <v>1149</v>
      </c>
      <c r="G345" s="13" t="s">
        <v>1151</v>
      </c>
      <c r="H345" s="13"/>
      <c r="I345" s="4" t="s">
        <v>1151</v>
      </c>
    </row>
    <row r="346" spans="1:9" ht="15.75" customHeight="1" x14ac:dyDescent="0.25">
      <c r="A346" s="10">
        <f t="shared" si="15"/>
        <v>1</v>
      </c>
      <c r="B346" s="10" t="s">
        <v>997</v>
      </c>
      <c r="C346" s="11" t="s">
        <v>196</v>
      </c>
      <c r="D346" s="13">
        <f t="shared" si="1"/>
        <v>293</v>
      </c>
      <c r="E346" s="13">
        <v>293</v>
      </c>
      <c r="F346" s="13" t="s">
        <v>1149</v>
      </c>
      <c r="G346" s="13" t="s">
        <v>1151</v>
      </c>
      <c r="H346" s="13"/>
      <c r="I346" s="4" t="s">
        <v>1151</v>
      </c>
    </row>
    <row r="347" spans="1:9" ht="15.75" customHeight="1" x14ac:dyDescent="0.25">
      <c r="A347" s="10">
        <f t="shared" si="15"/>
        <v>1</v>
      </c>
      <c r="B347" s="10" t="s">
        <v>954</v>
      </c>
      <c r="C347" s="11" t="s">
        <v>196</v>
      </c>
      <c r="D347" s="13">
        <f t="shared" si="1"/>
        <v>71.55</v>
      </c>
      <c r="E347" s="13">
        <v>71.55</v>
      </c>
      <c r="F347" s="13" t="s">
        <v>1149</v>
      </c>
      <c r="G347" s="13" t="s">
        <v>1151</v>
      </c>
      <c r="H347" s="13"/>
      <c r="I347" s="4" t="s">
        <v>1151</v>
      </c>
    </row>
    <row r="348" spans="1:9" ht="15.75" customHeight="1" x14ac:dyDescent="0.25">
      <c r="A348" s="10">
        <f t="shared" si="15"/>
        <v>1</v>
      </c>
      <c r="B348" s="10" t="s">
        <v>955</v>
      </c>
      <c r="C348" s="11" t="s">
        <v>196</v>
      </c>
      <c r="D348" s="13">
        <f t="shared" ref="D348:D817" si="16">E348*$D$1</f>
        <v>2117.89</v>
      </c>
      <c r="E348" s="13">
        <v>2117.89</v>
      </c>
      <c r="F348" s="13" t="s">
        <v>1149</v>
      </c>
      <c r="G348" s="13" t="s">
        <v>1156</v>
      </c>
      <c r="H348" s="13"/>
      <c r="I348" s="4" t="s">
        <v>1151</v>
      </c>
    </row>
    <row r="349" spans="1:9" ht="15.75" customHeight="1" x14ac:dyDescent="0.25">
      <c r="A349" s="10">
        <f t="shared" si="15"/>
        <v>1</v>
      </c>
      <c r="B349" s="10" t="s">
        <v>996</v>
      </c>
      <c r="C349" s="11" t="s">
        <v>196</v>
      </c>
      <c r="D349" s="13">
        <f t="shared" si="16"/>
        <v>396.67</v>
      </c>
      <c r="E349" s="13">
        <v>396.67</v>
      </c>
      <c r="F349" s="13" t="s">
        <v>1149</v>
      </c>
      <c r="G349" s="13" t="s">
        <v>1156</v>
      </c>
      <c r="H349" s="13"/>
      <c r="I349" s="4" t="s">
        <v>1151</v>
      </c>
    </row>
    <row r="350" spans="1:9" ht="15.75" customHeight="1" x14ac:dyDescent="0.25">
      <c r="A350" s="10">
        <f t="shared" si="15"/>
        <v>1</v>
      </c>
      <c r="B350" s="10" t="s">
        <v>957</v>
      </c>
      <c r="C350" s="11" t="s">
        <v>196</v>
      </c>
      <c r="D350" s="13">
        <f t="shared" si="16"/>
        <v>256.89999999999998</v>
      </c>
      <c r="E350" s="13">
        <v>256.89999999999998</v>
      </c>
      <c r="F350" s="13" t="s">
        <v>1149</v>
      </c>
      <c r="G350" s="13" t="s">
        <v>1156</v>
      </c>
      <c r="H350" s="13"/>
      <c r="I350" s="4" t="s">
        <v>1151</v>
      </c>
    </row>
    <row r="351" spans="1:9" ht="15.75" customHeight="1" x14ac:dyDescent="0.25">
      <c r="A351" s="10">
        <f t="shared" si="15"/>
        <v>1</v>
      </c>
      <c r="B351" s="10" t="s">
        <v>948</v>
      </c>
      <c r="C351" s="11" t="s">
        <v>196</v>
      </c>
      <c r="D351" s="13">
        <f t="shared" si="16"/>
        <v>8.9</v>
      </c>
      <c r="E351" s="13">
        <v>8.9</v>
      </c>
      <c r="F351" s="13" t="s">
        <v>1149</v>
      </c>
      <c r="G351" s="13" t="s">
        <v>1156</v>
      </c>
      <c r="H351" s="13"/>
      <c r="I351" s="4" t="s">
        <v>1151</v>
      </c>
    </row>
    <row r="352" spans="1:9" ht="15.75" customHeight="1" x14ac:dyDescent="0.25">
      <c r="A352" s="10">
        <f t="shared" si="15"/>
        <v>1</v>
      </c>
      <c r="B352" s="10" t="s">
        <v>970</v>
      </c>
      <c r="C352" s="11" t="s">
        <v>196</v>
      </c>
      <c r="D352" s="13">
        <f t="shared" si="16"/>
        <v>35</v>
      </c>
      <c r="E352" s="13">
        <v>35</v>
      </c>
      <c r="F352" s="13" t="s">
        <v>1149</v>
      </c>
      <c r="G352" s="13" t="s">
        <v>1156</v>
      </c>
      <c r="H352" s="13"/>
      <c r="I352" s="4" t="s">
        <v>1151</v>
      </c>
    </row>
    <row r="353" spans="1:9" ht="15.75" customHeight="1" x14ac:dyDescent="0.25">
      <c r="A353" s="10">
        <f t="shared" si="15"/>
        <v>1</v>
      </c>
      <c r="B353" s="10" t="s">
        <v>998</v>
      </c>
      <c r="C353" s="11" t="s">
        <v>196</v>
      </c>
      <c r="D353" s="13">
        <f t="shared" si="16"/>
        <v>493.84</v>
      </c>
      <c r="E353" s="13">
        <v>493.84</v>
      </c>
      <c r="F353" s="13" t="s">
        <v>1149</v>
      </c>
      <c r="G353" s="13" t="s">
        <v>1156</v>
      </c>
      <c r="H353" s="13"/>
      <c r="I353" s="4" t="s">
        <v>1151</v>
      </c>
    </row>
    <row r="354" spans="1:9" ht="15.75" customHeight="1" x14ac:dyDescent="0.25">
      <c r="A354" s="10">
        <f t="shared" si="15"/>
        <v>1</v>
      </c>
      <c r="B354" s="10" t="s">
        <v>974</v>
      </c>
      <c r="C354" s="11" t="s">
        <v>196</v>
      </c>
      <c r="D354" s="13">
        <f t="shared" si="16"/>
        <v>1054.93</v>
      </c>
      <c r="E354" s="13">
        <v>1054.93</v>
      </c>
      <c r="F354" s="13" t="s">
        <v>1149</v>
      </c>
      <c r="G354" s="13" t="s">
        <v>1156</v>
      </c>
      <c r="H354" s="13"/>
      <c r="I354" s="4" t="s">
        <v>1151</v>
      </c>
    </row>
    <row r="355" spans="1:9" ht="15.75" customHeight="1" x14ac:dyDescent="0.25">
      <c r="A355" s="10">
        <f t="shared" si="15"/>
        <v>1</v>
      </c>
      <c r="B355" s="10" t="s">
        <v>976</v>
      </c>
      <c r="C355" s="11" t="s">
        <v>196</v>
      </c>
      <c r="D355" s="13">
        <f t="shared" si="16"/>
        <v>1054.93</v>
      </c>
      <c r="E355" s="13">
        <v>1054.93</v>
      </c>
      <c r="F355" s="13" t="s">
        <v>1149</v>
      </c>
      <c r="G355" s="13" t="s">
        <v>1156</v>
      </c>
      <c r="H355" s="13"/>
      <c r="I355" s="4" t="s">
        <v>1151</v>
      </c>
    </row>
    <row r="356" spans="1:9" ht="15.75" customHeight="1" x14ac:dyDescent="0.25">
      <c r="A356" s="10">
        <f t="shared" si="15"/>
        <v>1</v>
      </c>
      <c r="B356" s="10" t="s">
        <v>972</v>
      </c>
      <c r="C356" s="11" t="s">
        <v>196</v>
      </c>
      <c r="D356" s="13">
        <f t="shared" si="16"/>
        <v>1054.93</v>
      </c>
      <c r="E356" s="13">
        <v>1054.93</v>
      </c>
      <c r="F356" s="13" t="s">
        <v>1149</v>
      </c>
      <c r="G356" s="13" t="s">
        <v>1156</v>
      </c>
      <c r="H356" s="13"/>
      <c r="I356" s="4" t="s">
        <v>1151</v>
      </c>
    </row>
    <row r="357" spans="1:9" ht="15.75" customHeight="1" x14ac:dyDescent="0.25">
      <c r="A357" s="10">
        <f t="shared" si="15"/>
        <v>1</v>
      </c>
      <c r="B357" s="10" t="s">
        <v>978</v>
      </c>
      <c r="C357" s="11" t="s">
        <v>196</v>
      </c>
      <c r="D357" s="13">
        <f t="shared" si="16"/>
        <v>1054.93</v>
      </c>
      <c r="E357" s="13">
        <v>1054.93</v>
      </c>
      <c r="F357" s="13" t="s">
        <v>1149</v>
      </c>
      <c r="G357" s="13" t="s">
        <v>1156</v>
      </c>
      <c r="H357" s="13"/>
      <c r="I357" s="4" t="s">
        <v>1151</v>
      </c>
    </row>
    <row r="358" spans="1:9" ht="15.75" customHeight="1" x14ac:dyDescent="0.25">
      <c r="A358" s="10">
        <f t="shared" si="15"/>
        <v>1</v>
      </c>
      <c r="B358" s="10" t="s">
        <v>437</v>
      </c>
      <c r="C358" s="11" t="s">
        <v>196</v>
      </c>
      <c r="D358" s="13">
        <f t="shared" si="16"/>
        <v>6200</v>
      </c>
      <c r="E358" s="13">
        <v>6200</v>
      </c>
      <c r="F358" s="13" t="s">
        <v>1149</v>
      </c>
      <c r="G358" s="13" t="s">
        <v>1156</v>
      </c>
      <c r="H358" s="13"/>
      <c r="I358" s="4" t="s">
        <v>1151</v>
      </c>
    </row>
    <row r="359" spans="1:9" ht="14.25" x14ac:dyDescent="0.2">
      <c r="A359" s="10">
        <f t="shared" si="15"/>
        <v>1</v>
      </c>
      <c r="B359" s="77" t="s">
        <v>1788</v>
      </c>
      <c r="C359" s="78" t="s">
        <v>69</v>
      </c>
      <c r="D359" s="79">
        <f>E359*$D$1</f>
        <v>180</v>
      </c>
      <c r="E359" s="79">
        <f>85+95</f>
        <v>180</v>
      </c>
      <c r="F359" s="79" t="s">
        <v>1200</v>
      </c>
      <c r="G359" s="79" t="s">
        <v>1200</v>
      </c>
      <c r="H359" s="79"/>
      <c r="I359" s="80" t="s">
        <v>1201</v>
      </c>
    </row>
    <row r="360" spans="1:9" ht="15.75" customHeight="1" x14ac:dyDescent="0.25">
      <c r="A360" s="10">
        <f t="shared" si="15"/>
        <v>1</v>
      </c>
      <c r="B360" s="10" t="s">
        <v>439</v>
      </c>
      <c r="C360" s="11" t="s">
        <v>196</v>
      </c>
      <c r="D360" s="13">
        <f t="shared" si="16"/>
        <v>1400</v>
      </c>
      <c r="E360" s="13">
        <v>1400</v>
      </c>
      <c r="F360" s="13" t="s">
        <v>1149</v>
      </c>
      <c r="G360" s="13" t="s">
        <v>1156</v>
      </c>
      <c r="H360" s="79"/>
      <c r="I360" s="4" t="s">
        <v>1151</v>
      </c>
    </row>
    <row r="361" spans="1:9" ht="14.25" x14ac:dyDescent="0.2">
      <c r="A361" s="10">
        <f t="shared" si="15"/>
        <v>1</v>
      </c>
      <c r="B361" s="235" t="s">
        <v>2452</v>
      </c>
      <c r="C361" s="236" t="s">
        <v>69</v>
      </c>
      <c r="D361" s="79">
        <f>E361*$D$1</f>
        <v>520</v>
      </c>
      <c r="E361" s="79">
        <v>520</v>
      </c>
      <c r="F361" s="79" t="s">
        <v>1166</v>
      </c>
      <c r="G361" s="79" t="s">
        <v>1090</v>
      </c>
      <c r="H361" s="79"/>
      <c r="I361" s="80" t="s">
        <v>1090</v>
      </c>
    </row>
    <row r="362" spans="1:9" ht="14.25" x14ac:dyDescent="0.2">
      <c r="A362" s="10">
        <f t="shared" si="15"/>
        <v>1</v>
      </c>
      <c r="B362" s="235" t="s">
        <v>2454</v>
      </c>
      <c r="C362" s="236" t="s">
        <v>69</v>
      </c>
      <c r="D362" s="79">
        <f>E362*$D$1</f>
        <v>580</v>
      </c>
      <c r="E362" s="79">
        <v>580</v>
      </c>
      <c r="F362" s="79" t="s">
        <v>1166</v>
      </c>
      <c r="G362" s="79" t="s">
        <v>1090</v>
      </c>
      <c r="H362" s="79"/>
      <c r="I362" s="80" t="s">
        <v>1090</v>
      </c>
    </row>
    <row r="363" spans="1:9" ht="14.25" x14ac:dyDescent="0.2">
      <c r="A363" s="10">
        <f t="shared" si="15"/>
        <v>1</v>
      </c>
      <c r="B363" s="235" t="s">
        <v>2540</v>
      </c>
      <c r="C363" s="236" t="s">
        <v>69</v>
      </c>
      <c r="D363" s="79">
        <f>E363*$D$1</f>
        <v>600</v>
      </c>
      <c r="E363" s="79">
        <v>600</v>
      </c>
      <c r="F363" s="79" t="s">
        <v>1166</v>
      </c>
      <c r="G363" s="79" t="s">
        <v>1090</v>
      </c>
      <c r="H363" s="79"/>
      <c r="I363" s="80" t="s">
        <v>1090</v>
      </c>
    </row>
    <row r="364" spans="1:9" ht="14.25" x14ac:dyDescent="0.2">
      <c r="A364" s="10">
        <f t="shared" si="15"/>
        <v>1</v>
      </c>
      <c r="B364" s="235" t="s">
        <v>2539</v>
      </c>
      <c r="C364" s="236" t="s">
        <v>69</v>
      </c>
      <c r="D364" s="79">
        <f>E364*$D$1</f>
        <v>590</v>
      </c>
      <c r="E364" s="79">
        <v>590</v>
      </c>
      <c r="F364" s="79" t="s">
        <v>1166</v>
      </c>
      <c r="G364" s="79" t="s">
        <v>1090</v>
      </c>
      <c r="H364" s="79"/>
      <c r="I364" s="80" t="s">
        <v>1090</v>
      </c>
    </row>
    <row r="365" spans="1:9" ht="14.25" x14ac:dyDescent="0.2">
      <c r="A365" s="10">
        <f t="shared" si="15"/>
        <v>1</v>
      </c>
      <c r="B365" s="235" t="s">
        <v>2541</v>
      </c>
      <c r="C365" s="236" t="s">
        <v>69</v>
      </c>
      <c r="D365" s="79">
        <f>E365*$D$1</f>
        <v>590</v>
      </c>
      <c r="E365" s="79">
        <v>590</v>
      </c>
      <c r="F365" s="79" t="s">
        <v>1166</v>
      </c>
      <c r="G365" s="79" t="s">
        <v>1090</v>
      </c>
      <c r="H365" s="79"/>
      <c r="I365" s="80" t="s">
        <v>1090</v>
      </c>
    </row>
    <row r="366" spans="1:9" ht="14.25" x14ac:dyDescent="0.2">
      <c r="A366" s="10">
        <f t="shared" si="15"/>
        <v>1</v>
      </c>
      <c r="B366" s="235" t="s">
        <v>2542</v>
      </c>
      <c r="C366" s="236" t="s">
        <v>69</v>
      </c>
      <c r="D366" s="79">
        <f t="shared" ref="D366:D373" si="17">E366*$D$1</f>
        <v>850</v>
      </c>
      <c r="E366" s="79">
        <v>850</v>
      </c>
      <c r="F366" s="79" t="s">
        <v>1166</v>
      </c>
      <c r="G366" s="79" t="s">
        <v>1090</v>
      </c>
      <c r="H366" s="79"/>
      <c r="I366" s="80" t="s">
        <v>1090</v>
      </c>
    </row>
    <row r="367" spans="1:9" ht="14.25" x14ac:dyDescent="0.2">
      <c r="A367" s="10">
        <f t="shared" si="15"/>
        <v>1</v>
      </c>
      <c r="B367" s="235" t="s">
        <v>2543</v>
      </c>
      <c r="C367" s="236" t="s">
        <v>69</v>
      </c>
      <c r="D367" s="79">
        <f t="shared" si="17"/>
        <v>850</v>
      </c>
      <c r="E367" s="79">
        <v>850</v>
      </c>
      <c r="F367" s="79" t="s">
        <v>1166</v>
      </c>
      <c r="G367" s="79" t="s">
        <v>1090</v>
      </c>
      <c r="H367" s="79"/>
      <c r="I367" s="80" t="s">
        <v>1090</v>
      </c>
    </row>
    <row r="368" spans="1:9" ht="14.25" x14ac:dyDescent="0.2">
      <c r="A368" s="10">
        <f t="shared" si="15"/>
        <v>1</v>
      </c>
      <c r="B368" s="235" t="s">
        <v>2544</v>
      </c>
      <c r="C368" s="236" t="s">
        <v>69</v>
      </c>
      <c r="D368" s="79">
        <f t="shared" si="17"/>
        <v>900</v>
      </c>
      <c r="E368" s="79">
        <v>900</v>
      </c>
      <c r="F368" s="79" t="s">
        <v>1166</v>
      </c>
      <c r="G368" s="79" t="s">
        <v>1090</v>
      </c>
      <c r="H368" s="79"/>
      <c r="I368" s="80" t="s">
        <v>1090</v>
      </c>
    </row>
    <row r="369" spans="1:9" ht="14.25" x14ac:dyDescent="0.2">
      <c r="A369" s="10">
        <f t="shared" si="15"/>
        <v>1</v>
      </c>
      <c r="B369" s="235" t="s">
        <v>2545</v>
      </c>
      <c r="C369" s="236" t="s">
        <v>69</v>
      </c>
      <c r="D369" s="79">
        <f t="shared" si="17"/>
        <v>850</v>
      </c>
      <c r="E369" s="79">
        <v>850</v>
      </c>
      <c r="F369" s="79" t="s">
        <v>1166</v>
      </c>
      <c r="G369" s="79" t="s">
        <v>1090</v>
      </c>
      <c r="H369" s="79"/>
      <c r="I369" s="80" t="s">
        <v>1090</v>
      </c>
    </row>
    <row r="370" spans="1:9" ht="14.25" x14ac:dyDescent="0.2">
      <c r="A370" s="10">
        <f t="shared" si="15"/>
        <v>1</v>
      </c>
      <c r="B370" s="235" t="s">
        <v>2554</v>
      </c>
      <c r="C370" s="236" t="s">
        <v>69</v>
      </c>
      <c r="D370" s="79">
        <f>E370*$D$1</f>
        <v>1050</v>
      </c>
      <c r="E370" s="79">
        <v>1050</v>
      </c>
      <c r="F370" s="79" t="s">
        <v>1166</v>
      </c>
      <c r="G370" s="79" t="s">
        <v>1090</v>
      </c>
      <c r="H370" s="79"/>
      <c r="I370" s="80" t="s">
        <v>1090</v>
      </c>
    </row>
    <row r="371" spans="1:9" ht="14.25" x14ac:dyDescent="0.2">
      <c r="A371" s="10">
        <f t="shared" si="15"/>
        <v>1</v>
      </c>
      <c r="B371" s="235" t="s">
        <v>2555</v>
      </c>
      <c r="C371" s="236" t="s">
        <v>69</v>
      </c>
      <c r="D371" s="79">
        <f t="shared" si="17"/>
        <v>780</v>
      </c>
      <c r="E371" s="79">
        <v>780</v>
      </c>
      <c r="F371" s="79" t="s">
        <v>1166</v>
      </c>
      <c r="G371" s="79" t="s">
        <v>1090</v>
      </c>
      <c r="H371" s="79"/>
      <c r="I371" s="80" t="s">
        <v>1090</v>
      </c>
    </row>
    <row r="372" spans="1:9" ht="14.25" x14ac:dyDescent="0.2">
      <c r="A372" s="10">
        <f t="shared" si="15"/>
        <v>1</v>
      </c>
      <c r="B372" s="235" t="s">
        <v>2556</v>
      </c>
      <c r="C372" s="236" t="s">
        <v>69</v>
      </c>
      <c r="D372" s="79">
        <f>E372*$D$1</f>
        <v>1100</v>
      </c>
      <c r="E372" s="79">
        <v>1100</v>
      </c>
      <c r="F372" s="79" t="s">
        <v>1166</v>
      </c>
      <c r="G372" s="79" t="s">
        <v>1090</v>
      </c>
      <c r="H372" s="79"/>
      <c r="I372" s="80" t="s">
        <v>1090</v>
      </c>
    </row>
    <row r="373" spans="1:9" ht="14.25" x14ac:dyDescent="0.2">
      <c r="A373" s="10">
        <f t="shared" si="15"/>
        <v>1</v>
      </c>
      <c r="B373" s="235" t="s">
        <v>2557</v>
      </c>
      <c r="C373" s="236" t="s">
        <v>69</v>
      </c>
      <c r="D373" s="79">
        <f t="shared" si="17"/>
        <v>750</v>
      </c>
      <c r="E373" s="79">
        <v>750</v>
      </c>
      <c r="F373" s="79" t="s">
        <v>1166</v>
      </c>
      <c r="G373" s="79" t="s">
        <v>1090</v>
      </c>
      <c r="H373" s="79"/>
      <c r="I373" s="80" t="s">
        <v>1090</v>
      </c>
    </row>
    <row r="374" spans="1:9" ht="14.25" x14ac:dyDescent="0.2">
      <c r="A374" s="10">
        <f t="shared" ref="A374:A437" si="18">COUNTIFS($B$2:$B$996,B374)</f>
        <v>1</v>
      </c>
      <c r="B374" s="235" t="s">
        <v>2548</v>
      </c>
      <c r="C374" s="236" t="s">
        <v>69</v>
      </c>
      <c r="D374" s="79">
        <f>E374*$D$1</f>
        <v>210</v>
      </c>
      <c r="E374" s="79">
        <v>210</v>
      </c>
      <c r="F374" s="79" t="s">
        <v>1166</v>
      </c>
      <c r="G374" s="79" t="s">
        <v>1090</v>
      </c>
      <c r="H374" s="79"/>
      <c r="I374" s="80" t="s">
        <v>1090</v>
      </c>
    </row>
    <row r="375" spans="1:9" ht="14.25" x14ac:dyDescent="0.2">
      <c r="A375" s="10">
        <f t="shared" si="18"/>
        <v>1</v>
      </c>
      <c r="B375" s="235" t="s">
        <v>2455</v>
      </c>
      <c r="C375" s="236" t="s">
        <v>69</v>
      </c>
      <c r="D375" s="79">
        <f>E375*$D$1</f>
        <v>83.1076167076167</v>
      </c>
      <c r="E375" s="79">
        <f>422.81/(2.75*1.85)</f>
        <v>83.1076167076167</v>
      </c>
      <c r="F375" s="79" t="s">
        <v>1166</v>
      </c>
      <c r="G375" s="79" t="s">
        <v>1090</v>
      </c>
      <c r="H375" s="79"/>
      <c r="I375" s="80" t="s">
        <v>1090</v>
      </c>
    </row>
    <row r="376" spans="1:9" ht="14.25" x14ac:dyDescent="0.2">
      <c r="A376" s="10">
        <f t="shared" si="18"/>
        <v>1</v>
      </c>
      <c r="B376" s="235" t="s">
        <v>2456</v>
      </c>
      <c r="C376" s="236" t="s">
        <v>69</v>
      </c>
      <c r="D376" s="79">
        <f>E376*$D$1</f>
        <v>89.694348894348892</v>
      </c>
      <c r="E376" s="79">
        <f>456.32/(2.75*1.85)</f>
        <v>89.694348894348892</v>
      </c>
      <c r="F376" s="79" t="s">
        <v>1166</v>
      </c>
      <c r="G376" s="79" t="s">
        <v>1090</v>
      </c>
      <c r="H376" s="79"/>
      <c r="I376" s="80" t="s">
        <v>1090</v>
      </c>
    </row>
    <row r="377" spans="1:9" ht="15.75" customHeight="1" x14ac:dyDescent="0.25">
      <c r="A377" s="10">
        <f t="shared" si="18"/>
        <v>1</v>
      </c>
      <c r="B377" s="10" t="s">
        <v>111</v>
      </c>
      <c r="C377" s="11" t="s">
        <v>112</v>
      </c>
      <c r="D377" s="13">
        <f t="shared" si="16"/>
        <v>29.5</v>
      </c>
      <c r="E377" s="13">
        <v>29.5</v>
      </c>
      <c r="F377" s="13" t="s">
        <v>1136</v>
      </c>
      <c r="G377" s="13" t="s">
        <v>1136</v>
      </c>
      <c r="H377" s="79"/>
      <c r="I377" s="4" t="s">
        <v>1157</v>
      </c>
    </row>
    <row r="378" spans="1:9" ht="15.75" customHeight="1" x14ac:dyDescent="0.25">
      <c r="A378" s="10">
        <f t="shared" si="18"/>
        <v>1</v>
      </c>
      <c r="B378" s="10" t="s">
        <v>116</v>
      </c>
      <c r="C378" s="11" t="s">
        <v>69</v>
      </c>
      <c r="D378" s="13">
        <f t="shared" si="16"/>
        <v>46.120293847566572</v>
      </c>
      <c r="E378" s="13">
        <v>46.120293847566572</v>
      </c>
      <c r="F378" s="13" t="s">
        <v>1136</v>
      </c>
      <c r="G378" s="13" t="s">
        <v>1136</v>
      </c>
      <c r="H378" s="79"/>
      <c r="I378" s="4" t="s">
        <v>1157</v>
      </c>
    </row>
    <row r="379" spans="1:9" ht="15.75" customHeight="1" x14ac:dyDescent="0.25">
      <c r="A379" s="10">
        <f t="shared" si="18"/>
        <v>1</v>
      </c>
      <c r="B379" s="10" t="s">
        <v>276</v>
      </c>
      <c r="C379" s="11" t="s">
        <v>69</v>
      </c>
      <c r="D379" s="13">
        <f t="shared" si="16"/>
        <v>59.297520661157016</v>
      </c>
      <c r="E379" s="13">
        <v>59.297520661157016</v>
      </c>
      <c r="F379" s="13" t="s">
        <v>1136</v>
      </c>
      <c r="G379" s="13" t="s">
        <v>1136</v>
      </c>
      <c r="H379" s="13"/>
      <c r="I379" s="4" t="s">
        <v>1157</v>
      </c>
    </row>
    <row r="380" spans="1:9" ht="15.75" customHeight="1" x14ac:dyDescent="0.25">
      <c r="A380" s="10">
        <f t="shared" si="18"/>
        <v>1</v>
      </c>
      <c r="B380" s="10" t="s">
        <v>1289</v>
      </c>
      <c r="C380" s="11" t="s">
        <v>69</v>
      </c>
      <c r="D380" s="13">
        <f>E380*$D$1</f>
        <v>92.851239669421474</v>
      </c>
      <c r="E380" s="13">
        <f>224.7/(1.1*2.2)</f>
        <v>92.851239669421474</v>
      </c>
      <c r="F380" s="13" t="s">
        <v>1136</v>
      </c>
      <c r="G380" s="13" t="s">
        <v>1136</v>
      </c>
      <c r="H380" s="13"/>
      <c r="I380" s="4" t="s">
        <v>1157</v>
      </c>
    </row>
    <row r="381" spans="1:9" ht="14.25" x14ac:dyDescent="0.2">
      <c r="A381" s="10">
        <f t="shared" si="18"/>
        <v>1</v>
      </c>
      <c r="B381" s="77" t="s">
        <v>1693</v>
      </c>
      <c r="C381" s="78" t="s">
        <v>69</v>
      </c>
      <c r="D381" s="79">
        <f>E381*$D$1</f>
        <v>37.96</v>
      </c>
      <c r="E381" s="79">
        <v>37.96</v>
      </c>
      <c r="F381" s="79" t="s">
        <v>1136</v>
      </c>
      <c r="G381" s="79" t="s">
        <v>1136</v>
      </c>
      <c r="H381" s="79"/>
      <c r="I381" s="80" t="s">
        <v>1157</v>
      </c>
    </row>
    <row r="382" spans="1:9" ht="15.75" customHeight="1" x14ac:dyDescent="0.25">
      <c r="A382" s="10">
        <f t="shared" si="18"/>
        <v>1</v>
      </c>
      <c r="B382" s="10" t="s">
        <v>130</v>
      </c>
      <c r="C382" s="11" t="s">
        <v>69</v>
      </c>
      <c r="D382" s="13">
        <f t="shared" si="16"/>
        <v>35.78</v>
      </c>
      <c r="E382" s="13">
        <v>35.78</v>
      </c>
      <c r="F382" s="13" t="s">
        <v>1136</v>
      </c>
      <c r="G382" s="13" t="s">
        <v>1136</v>
      </c>
      <c r="H382" s="13"/>
      <c r="I382" s="4" t="s">
        <v>1157</v>
      </c>
    </row>
    <row r="383" spans="1:9" ht="15.75" customHeight="1" x14ac:dyDescent="0.25">
      <c r="A383" s="10">
        <f t="shared" si="18"/>
        <v>1</v>
      </c>
      <c r="B383" s="10" t="s">
        <v>278</v>
      </c>
      <c r="C383" s="11" t="s">
        <v>69</v>
      </c>
      <c r="D383" s="13">
        <f t="shared" si="16"/>
        <v>46.002857142857138</v>
      </c>
      <c r="E383" s="13">
        <v>46.002857142857138</v>
      </c>
      <c r="F383" s="13" t="s">
        <v>1136</v>
      </c>
      <c r="G383" s="13" t="s">
        <v>1136</v>
      </c>
      <c r="H383" s="13"/>
      <c r="I383" s="4" t="s">
        <v>1157</v>
      </c>
    </row>
    <row r="384" spans="1:9" ht="15.75" customHeight="1" x14ac:dyDescent="0.25">
      <c r="A384" s="10">
        <f t="shared" si="18"/>
        <v>1</v>
      </c>
      <c r="B384" s="10" t="s">
        <v>82</v>
      </c>
      <c r="C384" s="11" t="s">
        <v>196</v>
      </c>
      <c r="D384" s="13">
        <f t="shared" si="16"/>
        <v>58.46</v>
      </c>
      <c r="E384" s="13">
        <v>58.46</v>
      </c>
      <c r="F384" s="13" t="s">
        <v>1136</v>
      </c>
      <c r="G384" s="13" t="s">
        <v>1136</v>
      </c>
      <c r="H384" s="13"/>
      <c r="I384" s="4" t="s">
        <v>1157</v>
      </c>
    </row>
    <row r="385" spans="1:9" ht="15.75" customHeight="1" x14ac:dyDescent="0.25">
      <c r="A385" s="10">
        <f t="shared" si="18"/>
        <v>1</v>
      </c>
      <c r="B385" s="10" t="s">
        <v>628</v>
      </c>
      <c r="C385" s="11" t="s">
        <v>69</v>
      </c>
      <c r="D385" s="13">
        <f t="shared" si="16"/>
        <v>557</v>
      </c>
      <c r="E385" s="13">
        <v>557</v>
      </c>
      <c r="F385" s="13" t="s">
        <v>1136</v>
      </c>
      <c r="G385" s="13" t="s">
        <v>1158</v>
      </c>
      <c r="H385" s="13"/>
      <c r="I385" s="4" t="s">
        <v>1159</v>
      </c>
    </row>
    <row r="386" spans="1:9" ht="15.75" customHeight="1" x14ac:dyDescent="0.25">
      <c r="A386" s="10">
        <f t="shared" si="18"/>
        <v>1</v>
      </c>
      <c r="B386" s="10" t="s">
        <v>232</v>
      </c>
      <c r="C386" s="11" t="s">
        <v>1145</v>
      </c>
      <c r="D386" s="13">
        <f t="shared" si="16"/>
        <v>15.55</v>
      </c>
      <c r="E386" s="13">
        <v>15.55</v>
      </c>
      <c r="F386" s="13" t="s">
        <v>1136</v>
      </c>
      <c r="G386" s="13" t="s">
        <v>1090</v>
      </c>
      <c r="H386" s="13"/>
      <c r="I386" s="4" t="s">
        <v>1090</v>
      </c>
    </row>
    <row r="387" spans="1:9" ht="14.25" x14ac:dyDescent="0.2">
      <c r="A387" s="10">
        <f t="shared" si="18"/>
        <v>1</v>
      </c>
      <c r="B387" s="77" t="s">
        <v>1799</v>
      </c>
      <c r="C387" s="78" t="s">
        <v>205</v>
      </c>
      <c r="D387" s="79">
        <f>E387*$D$1</f>
        <v>21.666666666666668</v>
      </c>
      <c r="E387" s="79">
        <f>390/18</f>
        <v>21.666666666666668</v>
      </c>
      <c r="F387" s="79" t="s">
        <v>1136</v>
      </c>
      <c r="G387" s="79" t="s">
        <v>1090</v>
      </c>
      <c r="H387" s="79"/>
      <c r="I387" s="80" t="s">
        <v>1090</v>
      </c>
    </row>
    <row r="388" spans="1:9" ht="14.25" x14ac:dyDescent="0.2">
      <c r="A388" s="10">
        <f t="shared" si="18"/>
        <v>1</v>
      </c>
      <c r="B388" s="77" t="s">
        <v>1800</v>
      </c>
      <c r="C388" s="78" t="s">
        <v>69</v>
      </c>
      <c r="D388" s="79">
        <f>E388*$D$1</f>
        <v>650</v>
      </c>
      <c r="E388" s="79">
        <f>130/(0.4*0.5)</f>
        <v>650</v>
      </c>
      <c r="F388" s="79" t="s">
        <v>1136</v>
      </c>
      <c r="G388" s="79" t="s">
        <v>1090</v>
      </c>
      <c r="H388" s="79"/>
      <c r="I388" s="80" t="s">
        <v>1090</v>
      </c>
    </row>
    <row r="389" spans="1:9" ht="14.25" x14ac:dyDescent="0.2">
      <c r="A389" s="10">
        <f t="shared" si="18"/>
        <v>1</v>
      </c>
      <c r="B389" s="77" t="s">
        <v>1801</v>
      </c>
      <c r="C389" s="78" t="s">
        <v>205</v>
      </c>
      <c r="D389" s="79">
        <f>E389*$D$1</f>
        <v>15.780000000000001</v>
      </c>
      <c r="E389" s="79">
        <f>78.9/5</f>
        <v>15.780000000000001</v>
      </c>
      <c r="F389" s="79" t="s">
        <v>1136</v>
      </c>
      <c r="G389" s="79" t="s">
        <v>1090</v>
      </c>
      <c r="H389" s="79"/>
      <c r="I389" s="80" t="s">
        <v>1090</v>
      </c>
    </row>
    <row r="390" spans="1:9" ht="15.75" customHeight="1" x14ac:dyDescent="0.25">
      <c r="A390" s="10">
        <f t="shared" si="18"/>
        <v>1</v>
      </c>
      <c r="B390" s="10" t="s">
        <v>1013</v>
      </c>
      <c r="C390" s="11" t="s">
        <v>69</v>
      </c>
      <c r="D390" s="13">
        <f t="shared" si="16"/>
        <v>119.77</v>
      </c>
      <c r="E390" s="13">
        <v>119.77</v>
      </c>
      <c r="F390" s="13" t="s">
        <v>1136</v>
      </c>
      <c r="G390" s="13" t="s">
        <v>1160</v>
      </c>
      <c r="H390" s="13"/>
      <c r="I390" s="4" t="s">
        <v>1159</v>
      </c>
    </row>
    <row r="391" spans="1:9" ht="15.75" customHeight="1" x14ac:dyDescent="0.25">
      <c r="A391" s="10">
        <f t="shared" si="18"/>
        <v>1</v>
      </c>
      <c r="B391" s="10" t="s">
        <v>570</v>
      </c>
      <c r="C391" s="11" t="s">
        <v>69</v>
      </c>
      <c r="D391" s="13">
        <f t="shared" si="16"/>
        <v>90</v>
      </c>
      <c r="E391" s="13">
        <v>90</v>
      </c>
      <c r="F391" s="13" t="s">
        <v>1136</v>
      </c>
      <c r="G391" s="13" t="s">
        <v>1158</v>
      </c>
      <c r="H391" s="13"/>
      <c r="I391" s="4" t="s">
        <v>1159</v>
      </c>
    </row>
    <row r="392" spans="1:9" ht="14.25" x14ac:dyDescent="0.2">
      <c r="A392" s="10">
        <f t="shared" si="18"/>
        <v>1</v>
      </c>
      <c r="B392" s="77" t="s">
        <v>1666</v>
      </c>
      <c r="C392" s="78" t="s">
        <v>533</v>
      </c>
      <c r="D392" s="79">
        <f>E392*$D$1</f>
        <v>21.12</v>
      </c>
      <c r="E392" s="79">
        <v>21.12</v>
      </c>
      <c r="F392" s="79" t="s">
        <v>1136</v>
      </c>
      <c r="G392" s="79" t="s">
        <v>1136</v>
      </c>
      <c r="H392" s="79"/>
      <c r="I392" s="80" t="s">
        <v>1157</v>
      </c>
    </row>
    <row r="393" spans="1:9" ht="15.75" customHeight="1" x14ac:dyDescent="0.25">
      <c r="A393" s="10">
        <f t="shared" si="18"/>
        <v>1</v>
      </c>
      <c r="B393" s="10" t="s">
        <v>83</v>
      </c>
      <c r="C393" s="11" t="s">
        <v>112</v>
      </c>
      <c r="D393" s="13">
        <f t="shared" si="16"/>
        <v>7</v>
      </c>
      <c r="E393" s="13">
        <v>7</v>
      </c>
      <c r="F393" s="13" t="s">
        <v>1136</v>
      </c>
      <c r="G393" s="13" t="s">
        <v>1136</v>
      </c>
      <c r="H393" s="13"/>
      <c r="I393" s="4" t="s">
        <v>1157</v>
      </c>
    </row>
    <row r="394" spans="1:9" ht="15.75" customHeight="1" x14ac:dyDescent="0.25">
      <c r="A394" s="10">
        <f t="shared" si="18"/>
        <v>1</v>
      </c>
      <c r="B394" s="10" t="s">
        <v>85</v>
      </c>
      <c r="C394" s="11" t="s">
        <v>112</v>
      </c>
      <c r="D394" s="13">
        <f t="shared" si="16"/>
        <v>7.3900000000000006</v>
      </c>
      <c r="E394" s="13">
        <f>22.17/3</f>
        <v>7.3900000000000006</v>
      </c>
      <c r="F394" s="13" t="s">
        <v>1136</v>
      </c>
      <c r="G394" s="13" t="s">
        <v>1136</v>
      </c>
      <c r="H394" s="13"/>
      <c r="I394" s="4" t="s">
        <v>1157</v>
      </c>
    </row>
    <row r="395" spans="1:9" ht="15.75" customHeight="1" x14ac:dyDescent="0.25">
      <c r="A395" s="10">
        <f t="shared" si="18"/>
        <v>1</v>
      </c>
      <c r="B395" s="10" t="s">
        <v>84</v>
      </c>
      <c r="C395" s="11" t="s">
        <v>69</v>
      </c>
      <c r="D395" s="13">
        <f t="shared" si="16"/>
        <v>46.5</v>
      </c>
      <c r="E395" s="13">
        <v>46.5</v>
      </c>
      <c r="F395" s="13" t="s">
        <v>1136</v>
      </c>
      <c r="G395" s="13" t="s">
        <v>1136</v>
      </c>
      <c r="H395" s="13"/>
      <c r="I395" s="4" t="s">
        <v>1157</v>
      </c>
    </row>
    <row r="396" spans="1:9" ht="15.75" customHeight="1" x14ac:dyDescent="0.25">
      <c r="A396" s="10">
        <f t="shared" si="18"/>
        <v>1</v>
      </c>
      <c r="B396" s="10" t="s">
        <v>81</v>
      </c>
      <c r="C396" s="11" t="s">
        <v>69</v>
      </c>
      <c r="D396" s="13">
        <f t="shared" si="16"/>
        <v>46.5</v>
      </c>
      <c r="E396" s="13">
        <v>46.5</v>
      </c>
      <c r="F396" s="13" t="s">
        <v>1136</v>
      </c>
      <c r="G396" s="13" t="s">
        <v>1136</v>
      </c>
      <c r="H396" s="13"/>
      <c r="I396" s="4" t="s">
        <v>1157</v>
      </c>
    </row>
    <row r="397" spans="1:9" ht="15.75" customHeight="1" x14ac:dyDescent="0.25">
      <c r="A397" s="10">
        <f t="shared" si="18"/>
        <v>1</v>
      </c>
      <c r="B397" s="10" t="s">
        <v>119</v>
      </c>
      <c r="C397" s="11" t="s">
        <v>151</v>
      </c>
      <c r="D397" s="13">
        <f t="shared" si="16"/>
        <v>1100</v>
      </c>
      <c r="E397" s="13">
        <v>1100</v>
      </c>
      <c r="F397" s="13" t="s">
        <v>1136</v>
      </c>
      <c r="G397" s="13" t="s">
        <v>1136</v>
      </c>
      <c r="H397" s="13"/>
      <c r="I397" s="4" t="s">
        <v>1157</v>
      </c>
    </row>
    <row r="398" spans="1:9" ht="15.75" customHeight="1" x14ac:dyDescent="0.25">
      <c r="A398" s="10">
        <f t="shared" si="18"/>
        <v>1</v>
      </c>
      <c r="B398" s="10" t="s">
        <v>1161</v>
      </c>
      <c r="C398" s="11" t="s">
        <v>112</v>
      </c>
      <c r="D398" s="13">
        <f t="shared" si="16"/>
        <v>5.62</v>
      </c>
      <c r="E398" s="13">
        <v>5.62</v>
      </c>
      <c r="F398" s="13" t="s">
        <v>1136</v>
      </c>
      <c r="G398" s="13" t="s">
        <v>1136</v>
      </c>
      <c r="H398" s="13"/>
      <c r="I398" s="4" t="s">
        <v>1157</v>
      </c>
    </row>
    <row r="399" spans="1:9" ht="15.75" customHeight="1" x14ac:dyDescent="0.25">
      <c r="A399" s="10">
        <f t="shared" si="18"/>
        <v>1</v>
      </c>
      <c r="B399" s="10" t="s">
        <v>128</v>
      </c>
      <c r="C399" s="11" t="s">
        <v>151</v>
      </c>
      <c r="D399" s="13">
        <f t="shared" si="16"/>
        <v>1350</v>
      </c>
      <c r="E399" s="13">
        <v>1350</v>
      </c>
      <c r="F399" s="13" t="s">
        <v>1136</v>
      </c>
      <c r="G399" s="13" t="s">
        <v>1136</v>
      </c>
      <c r="H399" s="13"/>
      <c r="I399" s="4" t="s">
        <v>1157</v>
      </c>
    </row>
    <row r="400" spans="1:9" ht="15.75" customHeight="1" x14ac:dyDescent="0.25">
      <c r="A400" s="10">
        <f t="shared" si="18"/>
        <v>1</v>
      </c>
      <c r="B400" s="10" t="s">
        <v>623</v>
      </c>
      <c r="C400" s="11" t="s">
        <v>151</v>
      </c>
      <c r="D400" s="13">
        <f t="shared" si="16"/>
        <v>1050</v>
      </c>
      <c r="E400" s="13">
        <v>1050</v>
      </c>
      <c r="F400" s="13" t="s">
        <v>1136</v>
      </c>
      <c r="G400" s="13" t="s">
        <v>1136</v>
      </c>
      <c r="H400" s="13"/>
      <c r="I400" s="4" t="s">
        <v>1157</v>
      </c>
    </row>
    <row r="401" spans="1:9" ht="15.75" customHeight="1" x14ac:dyDescent="0.25">
      <c r="A401" s="10">
        <f t="shared" si="18"/>
        <v>1</v>
      </c>
      <c r="B401" s="10" t="s">
        <v>122</v>
      </c>
      <c r="C401" s="11" t="s">
        <v>112</v>
      </c>
      <c r="D401" s="13">
        <f t="shared" si="16"/>
        <v>21.23</v>
      </c>
      <c r="E401" s="13">
        <v>21.23</v>
      </c>
      <c r="F401" s="13" t="s">
        <v>1136</v>
      </c>
      <c r="G401" s="13" t="s">
        <v>1136</v>
      </c>
      <c r="H401" s="13"/>
      <c r="I401" s="4" t="s">
        <v>1157</v>
      </c>
    </row>
    <row r="402" spans="1:9" ht="15.75" customHeight="1" x14ac:dyDescent="0.25">
      <c r="A402" s="10">
        <f t="shared" si="18"/>
        <v>1</v>
      </c>
      <c r="B402" s="10" t="s">
        <v>233</v>
      </c>
      <c r="C402" s="11" t="s">
        <v>112</v>
      </c>
      <c r="D402" s="13">
        <f t="shared" si="16"/>
        <v>42.46</v>
      </c>
      <c r="E402" s="13">
        <v>42.46</v>
      </c>
      <c r="F402" s="13" t="s">
        <v>1136</v>
      </c>
      <c r="G402" s="13" t="s">
        <v>1136</v>
      </c>
      <c r="H402" s="13"/>
      <c r="I402" s="4" t="s">
        <v>1157</v>
      </c>
    </row>
    <row r="403" spans="1:9" ht="15.75" customHeight="1" x14ac:dyDescent="0.25">
      <c r="A403" s="10">
        <f t="shared" si="18"/>
        <v>1</v>
      </c>
      <c r="B403" s="10" t="s">
        <v>274</v>
      </c>
      <c r="C403" s="11" t="s">
        <v>112</v>
      </c>
      <c r="D403" s="13">
        <f t="shared" si="16"/>
        <v>42.46</v>
      </c>
      <c r="E403" s="13">
        <v>42.46</v>
      </c>
      <c r="F403" s="13" t="s">
        <v>1136</v>
      </c>
      <c r="G403" s="13" t="s">
        <v>1136</v>
      </c>
      <c r="H403" s="13"/>
      <c r="I403" s="4" t="s">
        <v>1157</v>
      </c>
    </row>
    <row r="404" spans="1:9" ht="15.75" customHeight="1" x14ac:dyDescent="0.25">
      <c r="A404" s="10">
        <f t="shared" si="18"/>
        <v>1</v>
      </c>
      <c r="B404" s="10" t="s">
        <v>1007</v>
      </c>
      <c r="C404" s="11" t="s">
        <v>196</v>
      </c>
      <c r="D404" s="13">
        <f t="shared" si="16"/>
        <v>3300</v>
      </c>
      <c r="E404" s="13">
        <v>3300</v>
      </c>
      <c r="F404" s="13" t="s">
        <v>1136</v>
      </c>
      <c r="G404" s="13" t="s">
        <v>1160</v>
      </c>
      <c r="H404" s="13"/>
      <c r="I404" s="4" t="s">
        <v>1159</v>
      </c>
    </row>
    <row r="405" spans="1:9" ht="15.75" customHeight="1" x14ac:dyDescent="0.25">
      <c r="A405" s="10">
        <f t="shared" si="18"/>
        <v>1</v>
      </c>
      <c r="B405" s="10" t="s">
        <v>1162</v>
      </c>
      <c r="C405" s="11" t="s">
        <v>112</v>
      </c>
      <c r="D405" s="13">
        <f t="shared" si="16"/>
        <v>62.4</v>
      </c>
      <c r="E405" s="13">
        <v>62.4</v>
      </c>
      <c r="F405" s="13" t="s">
        <v>1136</v>
      </c>
      <c r="G405" s="13" t="s">
        <v>1160</v>
      </c>
      <c r="H405" s="13"/>
      <c r="I405" s="4" t="s">
        <v>1159</v>
      </c>
    </row>
    <row r="406" spans="1:9" ht="15.75" customHeight="1" x14ac:dyDescent="0.25">
      <c r="A406" s="10">
        <f t="shared" si="18"/>
        <v>1</v>
      </c>
      <c r="B406" s="10" t="s">
        <v>1047</v>
      </c>
      <c r="C406" s="11" t="s">
        <v>144</v>
      </c>
      <c r="D406" s="13">
        <f t="shared" si="16"/>
        <v>3400</v>
      </c>
      <c r="E406" s="13">
        <v>3400</v>
      </c>
      <c r="F406" s="13" t="s">
        <v>1163</v>
      </c>
      <c r="G406" s="13" t="s">
        <v>1163</v>
      </c>
      <c r="H406" s="13"/>
      <c r="I406" s="4" t="s">
        <v>1164</v>
      </c>
    </row>
    <row r="407" spans="1:9" ht="15.75" customHeight="1" x14ac:dyDescent="0.25">
      <c r="A407" s="10">
        <f t="shared" si="18"/>
        <v>1</v>
      </c>
      <c r="B407" s="10" t="s">
        <v>1045</v>
      </c>
      <c r="C407" s="11" t="s">
        <v>144</v>
      </c>
      <c r="D407" s="13">
        <f t="shared" si="16"/>
        <v>4550</v>
      </c>
      <c r="E407" s="13">
        <v>4550</v>
      </c>
      <c r="F407" s="13" t="s">
        <v>1163</v>
      </c>
      <c r="G407" s="13" t="s">
        <v>1163</v>
      </c>
      <c r="H407" s="13"/>
      <c r="I407" s="4" t="s">
        <v>1164</v>
      </c>
    </row>
    <row r="408" spans="1:9" ht="15.75" customHeight="1" x14ac:dyDescent="0.25">
      <c r="A408" s="10">
        <f t="shared" si="18"/>
        <v>1</v>
      </c>
      <c r="B408" s="10" t="s">
        <v>1067</v>
      </c>
      <c r="C408" s="11" t="s">
        <v>144</v>
      </c>
      <c r="D408" s="13">
        <f t="shared" si="16"/>
        <v>6500</v>
      </c>
      <c r="E408" s="13">
        <v>6500</v>
      </c>
      <c r="F408" s="13" t="s">
        <v>1163</v>
      </c>
      <c r="G408" s="13" t="s">
        <v>1163</v>
      </c>
      <c r="H408" s="13"/>
      <c r="I408" s="4" t="s">
        <v>1164</v>
      </c>
    </row>
    <row r="409" spans="1:9" ht="15.75" customHeight="1" x14ac:dyDescent="0.25">
      <c r="A409" s="10">
        <f t="shared" si="18"/>
        <v>1</v>
      </c>
      <c r="B409" s="10" t="s">
        <v>1046</v>
      </c>
      <c r="C409" s="11" t="s">
        <v>144</v>
      </c>
      <c r="D409" s="13">
        <f t="shared" si="16"/>
        <v>4200</v>
      </c>
      <c r="E409" s="13">
        <v>4200</v>
      </c>
      <c r="F409" s="13" t="s">
        <v>1163</v>
      </c>
      <c r="G409" s="13" t="s">
        <v>1163</v>
      </c>
      <c r="H409" s="13"/>
      <c r="I409" s="4" t="s">
        <v>1164</v>
      </c>
    </row>
    <row r="410" spans="1:9" ht="15.75" customHeight="1" x14ac:dyDescent="0.25">
      <c r="A410" s="10">
        <f t="shared" si="18"/>
        <v>1</v>
      </c>
      <c r="B410" s="10" t="s">
        <v>1057</v>
      </c>
      <c r="C410" s="11" t="s">
        <v>144</v>
      </c>
      <c r="D410" s="13">
        <f t="shared" si="16"/>
        <v>3000</v>
      </c>
      <c r="E410" s="13">
        <v>3000</v>
      </c>
      <c r="F410" s="13" t="s">
        <v>1163</v>
      </c>
      <c r="G410" s="13" t="s">
        <v>1163</v>
      </c>
      <c r="H410" s="13"/>
      <c r="I410" s="4" t="s">
        <v>1164</v>
      </c>
    </row>
    <row r="411" spans="1:9" ht="15.75" customHeight="1" x14ac:dyDescent="0.25">
      <c r="A411" s="10">
        <f t="shared" si="18"/>
        <v>1</v>
      </c>
      <c r="B411" s="10" t="s">
        <v>174</v>
      </c>
      <c r="C411" s="11" t="s">
        <v>144</v>
      </c>
      <c r="D411" s="13">
        <f t="shared" si="16"/>
        <v>4000</v>
      </c>
      <c r="E411" s="13">
        <v>4000</v>
      </c>
      <c r="F411" s="13" t="s">
        <v>1163</v>
      </c>
      <c r="G411" s="13" t="s">
        <v>1163</v>
      </c>
      <c r="H411" s="13"/>
      <c r="I411" s="4" t="s">
        <v>1164</v>
      </c>
    </row>
    <row r="412" spans="1:9" ht="15.75" customHeight="1" x14ac:dyDescent="0.25">
      <c r="A412" s="10">
        <f t="shared" si="18"/>
        <v>1</v>
      </c>
      <c r="B412" s="10" t="s">
        <v>1043</v>
      </c>
      <c r="C412" s="11" t="s">
        <v>144</v>
      </c>
      <c r="D412" s="13">
        <f t="shared" si="16"/>
        <v>3450</v>
      </c>
      <c r="E412" s="13">
        <v>3450</v>
      </c>
      <c r="F412" s="13" t="s">
        <v>1163</v>
      </c>
      <c r="G412" s="13" t="s">
        <v>1163</v>
      </c>
      <c r="H412" s="13"/>
      <c r="I412" s="4" t="s">
        <v>1164</v>
      </c>
    </row>
    <row r="413" spans="1:9" ht="15.75" customHeight="1" x14ac:dyDescent="0.25">
      <c r="A413" s="10">
        <f t="shared" si="18"/>
        <v>1</v>
      </c>
      <c r="B413" s="10" t="s">
        <v>1044</v>
      </c>
      <c r="C413" s="11" t="s">
        <v>144</v>
      </c>
      <c r="D413" s="13">
        <f t="shared" si="16"/>
        <v>5000</v>
      </c>
      <c r="E413" s="13">
        <v>5000</v>
      </c>
      <c r="F413" s="13" t="s">
        <v>1163</v>
      </c>
      <c r="G413" s="13" t="s">
        <v>1163</v>
      </c>
      <c r="H413" s="13"/>
      <c r="I413" s="4" t="s">
        <v>1164</v>
      </c>
    </row>
    <row r="414" spans="1:9" ht="15.75" customHeight="1" x14ac:dyDescent="0.25">
      <c r="A414" s="10">
        <f t="shared" si="18"/>
        <v>1</v>
      </c>
      <c r="B414" s="10" t="s">
        <v>1065</v>
      </c>
      <c r="C414" s="11" t="s">
        <v>144</v>
      </c>
      <c r="D414" s="13">
        <f t="shared" si="16"/>
        <v>3000</v>
      </c>
      <c r="E414" s="13">
        <v>3000</v>
      </c>
      <c r="F414" s="13" t="s">
        <v>1163</v>
      </c>
      <c r="G414" s="13" t="s">
        <v>1163</v>
      </c>
      <c r="H414" s="13"/>
      <c r="I414" s="4" t="s">
        <v>1164</v>
      </c>
    </row>
    <row r="415" spans="1:9" ht="15.75" customHeight="1" x14ac:dyDescent="0.25">
      <c r="A415" s="10">
        <f t="shared" si="18"/>
        <v>1</v>
      </c>
      <c r="B415" s="10" t="s">
        <v>1066</v>
      </c>
      <c r="C415" s="11" t="s">
        <v>144</v>
      </c>
      <c r="D415" s="13">
        <f t="shared" si="16"/>
        <v>2400</v>
      </c>
      <c r="E415" s="13">
        <v>2400</v>
      </c>
      <c r="F415" s="13" t="s">
        <v>1163</v>
      </c>
      <c r="G415" s="13" t="s">
        <v>1163</v>
      </c>
      <c r="H415" s="13"/>
      <c r="I415" s="4" t="s">
        <v>1164</v>
      </c>
    </row>
    <row r="416" spans="1:9" ht="15.75" customHeight="1" x14ac:dyDescent="0.25">
      <c r="A416" s="10">
        <f t="shared" si="18"/>
        <v>1</v>
      </c>
      <c r="B416" s="10" t="s">
        <v>1058</v>
      </c>
      <c r="C416" s="11" t="s">
        <v>144</v>
      </c>
      <c r="D416" s="13">
        <f t="shared" si="16"/>
        <v>2400</v>
      </c>
      <c r="E416" s="13">
        <v>2400</v>
      </c>
      <c r="F416" s="13" t="s">
        <v>1163</v>
      </c>
      <c r="G416" s="13" t="s">
        <v>1165</v>
      </c>
      <c r="H416" s="13"/>
      <c r="I416" s="4" t="s">
        <v>1164</v>
      </c>
    </row>
    <row r="417" spans="1:9" ht="15.75" customHeight="1" x14ac:dyDescent="0.25">
      <c r="A417" s="10">
        <f t="shared" si="18"/>
        <v>1</v>
      </c>
      <c r="B417" s="10" t="s">
        <v>699</v>
      </c>
      <c r="C417" s="11" t="s">
        <v>205</v>
      </c>
      <c r="D417" s="13">
        <f t="shared" si="16"/>
        <v>25.11</v>
      </c>
      <c r="E417" s="13">
        <v>25.11</v>
      </c>
      <c r="F417" s="13" t="s">
        <v>1166</v>
      </c>
      <c r="G417" s="13" t="s">
        <v>1090</v>
      </c>
      <c r="H417" s="13"/>
      <c r="I417" s="4" t="s">
        <v>1167</v>
      </c>
    </row>
    <row r="418" spans="1:9" ht="15.75" customHeight="1" x14ac:dyDescent="0.25">
      <c r="A418" s="10">
        <f t="shared" si="18"/>
        <v>1</v>
      </c>
      <c r="B418" s="10" t="s">
        <v>500</v>
      </c>
      <c r="C418" s="11" t="s">
        <v>205</v>
      </c>
      <c r="D418" s="13">
        <f t="shared" si="16"/>
        <v>22.95611111111111</v>
      </c>
      <c r="E418" s="13">
        <v>22.95611111111111</v>
      </c>
      <c r="F418" s="13" t="s">
        <v>1166</v>
      </c>
      <c r="G418" s="13" t="s">
        <v>1090</v>
      </c>
      <c r="H418" s="13"/>
      <c r="I418" s="4" t="s">
        <v>1167</v>
      </c>
    </row>
    <row r="419" spans="1:9" ht="15.75" customHeight="1" x14ac:dyDescent="0.25">
      <c r="A419" s="10">
        <f t="shared" si="18"/>
        <v>1</v>
      </c>
      <c r="B419" s="10" t="s">
        <v>449</v>
      </c>
      <c r="C419" s="11" t="s">
        <v>1145</v>
      </c>
      <c r="D419" s="13">
        <f t="shared" si="16"/>
        <v>66.666666666666671</v>
      </c>
      <c r="E419" s="13">
        <v>66.666666666666671</v>
      </c>
      <c r="F419" s="13" t="s">
        <v>1166</v>
      </c>
      <c r="G419" s="13" t="s">
        <v>1090</v>
      </c>
      <c r="H419" s="13"/>
      <c r="I419" s="4" t="s">
        <v>1167</v>
      </c>
    </row>
    <row r="420" spans="1:9" ht="15.75" customHeight="1" x14ac:dyDescent="0.25">
      <c r="A420" s="10">
        <f t="shared" si="18"/>
        <v>1</v>
      </c>
      <c r="B420" s="10" t="s">
        <v>502</v>
      </c>
      <c r="C420" s="11" t="s">
        <v>1145</v>
      </c>
      <c r="D420" s="13">
        <f t="shared" si="16"/>
        <v>19.34</v>
      </c>
      <c r="E420" s="13">
        <v>19.34</v>
      </c>
      <c r="F420" s="13" t="s">
        <v>1166</v>
      </c>
      <c r="G420" s="13" t="s">
        <v>1090</v>
      </c>
      <c r="H420" s="13"/>
      <c r="I420" s="4" t="s">
        <v>1167</v>
      </c>
    </row>
    <row r="421" spans="1:9" ht="15.75" customHeight="1" x14ac:dyDescent="0.25">
      <c r="A421" s="10">
        <f t="shared" si="18"/>
        <v>1</v>
      </c>
      <c r="B421" s="10" t="s">
        <v>482</v>
      </c>
      <c r="C421" s="11" t="s">
        <v>205</v>
      </c>
      <c r="D421" s="13">
        <f t="shared" si="16"/>
        <v>11.2295</v>
      </c>
      <c r="E421" s="13">
        <v>11.2295</v>
      </c>
      <c r="F421" s="13" t="s">
        <v>1166</v>
      </c>
      <c r="G421" s="13" t="s">
        <v>1090</v>
      </c>
      <c r="H421" s="13"/>
      <c r="I421" s="4" t="s">
        <v>1167</v>
      </c>
    </row>
    <row r="422" spans="1:9" ht="15.75" customHeight="1" x14ac:dyDescent="0.25">
      <c r="A422" s="10">
        <f t="shared" si="18"/>
        <v>1</v>
      </c>
      <c r="B422" s="10" t="s">
        <v>389</v>
      </c>
      <c r="C422" s="11" t="s">
        <v>205</v>
      </c>
      <c r="D422" s="13">
        <f t="shared" si="16"/>
        <v>190</v>
      </c>
      <c r="E422" s="13">
        <v>190</v>
      </c>
      <c r="F422" s="13" t="s">
        <v>1166</v>
      </c>
      <c r="G422" s="13" t="s">
        <v>1090</v>
      </c>
      <c r="H422" s="13"/>
      <c r="I422" s="4" t="s">
        <v>1167</v>
      </c>
    </row>
    <row r="423" spans="1:9" ht="15.75" customHeight="1" x14ac:dyDescent="0.25">
      <c r="A423" s="10">
        <f t="shared" si="18"/>
        <v>1</v>
      </c>
      <c r="B423" s="10" t="s">
        <v>106</v>
      </c>
      <c r="C423" s="11" t="s">
        <v>196</v>
      </c>
      <c r="D423" s="13">
        <f t="shared" si="16"/>
        <v>1052.1099999999999</v>
      </c>
      <c r="E423" s="13">
        <v>1052.1099999999999</v>
      </c>
      <c r="F423" s="13" t="s">
        <v>1166</v>
      </c>
      <c r="G423" s="13" t="s">
        <v>1090</v>
      </c>
      <c r="H423" s="13"/>
      <c r="I423" s="4" t="s">
        <v>1090</v>
      </c>
    </row>
    <row r="424" spans="1:9" ht="15.75" customHeight="1" x14ac:dyDescent="0.25">
      <c r="A424" s="10">
        <f t="shared" si="18"/>
        <v>1</v>
      </c>
      <c r="B424" s="10" t="s">
        <v>395</v>
      </c>
      <c r="C424" s="11" t="s">
        <v>196</v>
      </c>
      <c r="D424" s="13">
        <f t="shared" si="16"/>
        <v>0.37</v>
      </c>
      <c r="E424" s="13">
        <v>0.37</v>
      </c>
      <c r="F424" s="13" t="s">
        <v>1166</v>
      </c>
      <c r="G424" s="13" t="s">
        <v>1090</v>
      </c>
      <c r="H424" s="13"/>
      <c r="I424" s="4" t="s">
        <v>1090</v>
      </c>
    </row>
    <row r="425" spans="1:9" ht="15.75" customHeight="1" x14ac:dyDescent="0.25">
      <c r="A425" s="10">
        <f t="shared" si="18"/>
        <v>1</v>
      </c>
      <c r="B425" s="10" t="s">
        <v>117</v>
      </c>
      <c r="C425" s="11" t="s">
        <v>196</v>
      </c>
      <c r="D425" s="13">
        <f t="shared" si="16"/>
        <v>5.3</v>
      </c>
      <c r="E425" s="13">
        <v>5.3</v>
      </c>
      <c r="F425" s="13" t="s">
        <v>1166</v>
      </c>
      <c r="G425" s="13" t="s">
        <v>1090</v>
      </c>
      <c r="H425" s="13"/>
      <c r="I425" s="4" t="s">
        <v>1090</v>
      </c>
    </row>
    <row r="426" spans="1:9" ht="15.75" customHeight="1" x14ac:dyDescent="0.25">
      <c r="A426" s="10">
        <f t="shared" si="18"/>
        <v>1</v>
      </c>
      <c r="B426" s="10" t="s">
        <v>139</v>
      </c>
      <c r="C426" s="11" t="s">
        <v>196</v>
      </c>
      <c r="D426" s="13">
        <f t="shared" si="16"/>
        <v>1.7</v>
      </c>
      <c r="E426" s="13">
        <v>1.7</v>
      </c>
      <c r="F426" s="13" t="s">
        <v>1166</v>
      </c>
      <c r="G426" s="13" t="s">
        <v>1090</v>
      </c>
      <c r="H426" s="13"/>
      <c r="I426" s="4" t="s">
        <v>1090</v>
      </c>
    </row>
    <row r="427" spans="1:9" ht="15.75" customHeight="1" x14ac:dyDescent="0.25">
      <c r="A427" s="10">
        <f t="shared" si="18"/>
        <v>1</v>
      </c>
      <c r="B427" s="10" t="s">
        <v>709</v>
      </c>
      <c r="C427" s="11" t="s">
        <v>205</v>
      </c>
      <c r="D427" s="13">
        <f t="shared" si="16"/>
        <v>29.13</v>
      </c>
      <c r="E427" s="13">
        <v>29.13</v>
      </c>
      <c r="F427" s="13" t="s">
        <v>1166</v>
      </c>
      <c r="G427" s="13" t="s">
        <v>1090</v>
      </c>
      <c r="H427" s="13"/>
      <c r="I427" s="4" t="s">
        <v>1090</v>
      </c>
    </row>
    <row r="428" spans="1:9" ht="15.75" customHeight="1" x14ac:dyDescent="0.25">
      <c r="A428" s="10">
        <f t="shared" si="18"/>
        <v>1</v>
      </c>
      <c r="B428" s="10" t="s">
        <v>1168</v>
      </c>
      <c r="C428" s="11" t="s">
        <v>196</v>
      </c>
      <c r="D428" s="13">
        <f t="shared" si="16"/>
        <v>19.899999999999999</v>
      </c>
      <c r="E428" s="13">
        <v>19.899999999999999</v>
      </c>
      <c r="F428" s="13" t="s">
        <v>1166</v>
      </c>
      <c r="G428" s="13" t="s">
        <v>1090</v>
      </c>
      <c r="H428" s="13"/>
      <c r="I428" s="4" t="s">
        <v>1090</v>
      </c>
    </row>
    <row r="429" spans="1:9" ht="15.75" customHeight="1" x14ac:dyDescent="0.25">
      <c r="A429" s="10">
        <f t="shared" si="18"/>
        <v>1</v>
      </c>
      <c r="B429" s="10" t="s">
        <v>937</v>
      </c>
      <c r="C429" s="11" t="s">
        <v>196</v>
      </c>
      <c r="D429" s="13">
        <f t="shared" si="16"/>
        <v>75</v>
      </c>
      <c r="E429" s="13">
        <v>75</v>
      </c>
      <c r="F429" s="13" t="s">
        <v>1166</v>
      </c>
      <c r="G429" s="13" t="s">
        <v>1090</v>
      </c>
      <c r="H429" s="13"/>
      <c r="I429" s="4" t="s">
        <v>1167</v>
      </c>
    </row>
    <row r="430" spans="1:9" ht="15.75" customHeight="1" x14ac:dyDescent="0.25">
      <c r="A430" s="10">
        <f t="shared" si="18"/>
        <v>1</v>
      </c>
      <c r="B430" s="10" t="s">
        <v>807</v>
      </c>
      <c r="C430" s="11" t="s">
        <v>533</v>
      </c>
      <c r="D430" s="13">
        <f t="shared" si="16"/>
        <v>55</v>
      </c>
      <c r="E430" s="13">
        <v>55</v>
      </c>
      <c r="F430" s="13" t="s">
        <v>1166</v>
      </c>
      <c r="G430" s="13" t="s">
        <v>1090</v>
      </c>
      <c r="H430" s="13"/>
      <c r="I430" s="4" t="s">
        <v>1090</v>
      </c>
    </row>
    <row r="431" spans="1:9" ht="15.75" customHeight="1" x14ac:dyDescent="0.25">
      <c r="A431" s="10">
        <f t="shared" si="18"/>
        <v>1</v>
      </c>
      <c r="B431" s="10" t="s">
        <v>749</v>
      </c>
      <c r="C431" s="11" t="s">
        <v>196</v>
      </c>
      <c r="D431" s="13">
        <f t="shared" si="16"/>
        <v>11.26</v>
      </c>
      <c r="E431" s="13">
        <v>11.26</v>
      </c>
      <c r="F431" s="13" t="s">
        <v>1166</v>
      </c>
      <c r="G431" s="13" t="s">
        <v>1090</v>
      </c>
      <c r="H431" s="13"/>
      <c r="I431" s="4" t="s">
        <v>1090</v>
      </c>
    </row>
    <row r="432" spans="1:9" ht="15.75" customHeight="1" x14ac:dyDescent="0.25">
      <c r="A432" s="10">
        <f t="shared" si="18"/>
        <v>1</v>
      </c>
      <c r="B432" s="10" t="s">
        <v>1608</v>
      </c>
      <c r="C432" s="11" t="s">
        <v>1145</v>
      </c>
      <c r="D432" s="13">
        <f t="shared" ref="D432:D437" si="19">E432*$D$1</f>
        <v>13.5</v>
      </c>
      <c r="E432" s="13">
        <v>13.5</v>
      </c>
      <c r="F432" s="13" t="s">
        <v>1166</v>
      </c>
      <c r="G432" s="13" t="s">
        <v>1090</v>
      </c>
      <c r="H432" s="13"/>
      <c r="I432" s="4" t="s">
        <v>1090</v>
      </c>
    </row>
    <row r="433" spans="1:9" ht="15.75" customHeight="1" x14ac:dyDescent="0.25">
      <c r="A433" s="10">
        <f t="shared" si="18"/>
        <v>1</v>
      </c>
      <c r="B433" s="10" t="s">
        <v>1609</v>
      </c>
      <c r="C433" s="11" t="s">
        <v>196</v>
      </c>
      <c r="D433" s="13">
        <f t="shared" si="19"/>
        <v>6.9</v>
      </c>
      <c r="E433" s="13">
        <v>6.9</v>
      </c>
      <c r="F433" s="13" t="s">
        <v>1166</v>
      </c>
      <c r="G433" s="13" t="s">
        <v>1090</v>
      </c>
      <c r="H433" s="13"/>
      <c r="I433" s="4" t="s">
        <v>1090</v>
      </c>
    </row>
    <row r="434" spans="1:9" ht="15.75" customHeight="1" x14ac:dyDescent="0.25">
      <c r="A434" s="10">
        <f t="shared" si="18"/>
        <v>1</v>
      </c>
      <c r="B434" s="10" t="s">
        <v>1610</v>
      </c>
      <c r="C434" s="11" t="s">
        <v>1145</v>
      </c>
      <c r="D434" s="13">
        <f t="shared" si="19"/>
        <v>6.4</v>
      </c>
      <c r="E434" s="13">
        <v>6.4</v>
      </c>
      <c r="F434" s="13" t="s">
        <v>1166</v>
      </c>
      <c r="G434" s="13" t="s">
        <v>1090</v>
      </c>
      <c r="H434" s="13"/>
      <c r="I434" s="4" t="s">
        <v>1090</v>
      </c>
    </row>
    <row r="435" spans="1:9" ht="15.75" customHeight="1" x14ac:dyDescent="0.25">
      <c r="A435" s="10">
        <f t="shared" si="18"/>
        <v>1</v>
      </c>
      <c r="B435" s="10" t="s">
        <v>1611</v>
      </c>
      <c r="C435" s="11" t="s">
        <v>196</v>
      </c>
      <c r="D435" s="13">
        <f t="shared" si="19"/>
        <v>5.9889999999999999</v>
      </c>
      <c r="E435" s="13">
        <v>5.9889999999999999</v>
      </c>
      <c r="F435" s="13" t="s">
        <v>1166</v>
      </c>
      <c r="G435" s="13" t="s">
        <v>1090</v>
      </c>
      <c r="H435" s="13"/>
      <c r="I435" s="4" t="s">
        <v>1090</v>
      </c>
    </row>
    <row r="436" spans="1:9" ht="15.75" customHeight="1" x14ac:dyDescent="0.25">
      <c r="A436" s="10">
        <f t="shared" si="18"/>
        <v>1</v>
      </c>
      <c r="B436" s="10" t="s">
        <v>1612</v>
      </c>
      <c r="C436" s="11" t="s">
        <v>196</v>
      </c>
      <c r="D436" s="13">
        <f t="shared" si="19"/>
        <v>5.25</v>
      </c>
      <c r="E436" s="13">
        <v>5.25</v>
      </c>
      <c r="F436" s="13" t="s">
        <v>1166</v>
      </c>
      <c r="G436" s="13" t="s">
        <v>1090</v>
      </c>
      <c r="H436" s="13"/>
      <c r="I436" s="4" t="s">
        <v>1090</v>
      </c>
    </row>
    <row r="437" spans="1:9" ht="15.75" customHeight="1" x14ac:dyDescent="0.25">
      <c r="A437" s="10">
        <f t="shared" si="18"/>
        <v>1</v>
      </c>
      <c r="B437" s="10" t="s">
        <v>1613</v>
      </c>
      <c r="C437" s="11" t="s">
        <v>196</v>
      </c>
      <c r="D437" s="13">
        <f t="shared" si="19"/>
        <v>36.9</v>
      </c>
      <c r="E437" s="13">
        <v>36.9</v>
      </c>
      <c r="F437" s="13" t="s">
        <v>1166</v>
      </c>
      <c r="G437" s="13" t="s">
        <v>1090</v>
      </c>
      <c r="H437" s="13"/>
      <c r="I437" s="4" t="s">
        <v>1090</v>
      </c>
    </row>
    <row r="438" spans="1:9" ht="15.75" customHeight="1" x14ac:dyDescent="0.25">
      <c r="A438" s="10">
        <f t="shared" ref="A438:A501" si="20">COUNTIFS($B$2:$B$996,B438)</f>
        <v>1</v>
      </c>
      <c r="B438" s="10" t="s">
        <v>103</v>
      </c>
      <c r="C438" s="11" t="s">
        <v>196</v>
      </c>
      <c r="D438" s="13">
        <f t="shared" si="16"/>
        <v>1.89</v>
      </c>
      <c r="E438" s="13">
        <v>1.89</v>
      </c>
      <c r="F438" s="13" t="s">
        <v>1166</v>
      </c>
      <c r="G438" s="13" t="s">
        <v>1090</v>
      </c>
      <c r="H438" s="13"/>
      <c r="I438" s="4" t="s">
        <v>1090</v>
      </c>
    </row>
    <row r="439" spans="1:9" ht="15.75" customHeight="1" x14ac:dyDescent="0.25">
      <c r="A439" s="10">
        <f t="shared" si="20"/>
        <v>1</v>
      </c>
      <c r="B439" s="10" t="s">
        <v>498</v>
      </c>
      <c r="C439" s="11" t="s">
        <v>196</v>
      </c>
      <c r="D439" s="13">
        <f t="shared" si="16"/>
        <v>3.13</v>
      </c>
      <c r="E439" s="13">
        <v>3.13</v>
      </c>
      <c r="F439" s="13" t="s">
        <v>1166</v>
      </c>
      <c r="G439" s="13" t="s">
        <v>1090</v>
      </c>
      <c r="H439" s="13"/>
      <c r="I439" s="4" t="s">
        <v>1090</v>
      </c>
    </row>
    <row r="440" spans="1:9" ht="15.75" customHeight="1" x14ac:dyDescent="0.25">
      <c r="A440" s="10">
        <f t="shared" si="20"/>
        <v>1</v>
      </c>
      <c r="B440" s="10" t="s">
        <v>71</v>
      </c>
      <c r="C440" s="11" t="s">
        <v>69</v>
      </c>
      <c r="D440" s="13">
        <f t="shared" si="16"/>
        <v>1.25</v>
      </c>
      <c r="E440" s="13">
        <v>1.25</v>
      </c>
      <c r="F440" s="13" t="s">
        <v>1166</v>
      </c>
      <c r="G440" s="13" t="s">
        <v>1090</v>
      </c>
      <c r="H440" s="13"/>
      <c r="I440" s="4" t="s">
        <v>1090</v>
      </c>
    </row>
    <row r="441" spans="1:9" ht="15.75" customHeight="1" x14ac:dyDescent="0.25">
      <c r="A441" s="10">
        <f t="shared" si="20"/>
        <v>1</v>
      </c>
      <c r="B441" s="10" t="s">
        <v>310</v>
      </c>
      <c r="C441" s="11" t="s">
        <v>69</v>
      </c>
      <c r="D441" s="13">
        <f t="shared" si="16"/>
        <v>2.3025000000000002</v>
      </c>
      <c r="E441" s="13">
        <v>2.3025000000000002</v>
      </c>
      <c r="F441" s="13" t="s">
        <v>1166</v>
      </c>
      <c r="G441" s="13" t="s">
        <v>1090</v>
      </c>
      <c r="H441" s="13"/>
      <c r="I441" s="4" t="s">
        <v>1090</v>
      </c>
    </row>
    <row r="442" spans="1:9" ht="15.75" customHeight="1" x14ac:dyDescent="0.25">
      <c r="A442" s="10">
        <f t="shared" si="20"/>
        <v>1</v>
      </c>
      <c r="B442" s="10" t="s">
        <v>2659</v>
      </c>
      <c r="C442" s="11" t="s">
        <v>151</v>
      </c>
      <c r="D442" s="13">
        <f t="shared" si="16"/>
        <v>1377.4104683195592</v>
      </c>
      <c r="E442" s="13">
        <f>50/(1*0.33*0.11)</f>
        <v>1377.4104683195592</v>
      </c>
      <c r="F442" s="13" t="s">
        <v>1166</v>
      </c>
      <c r="G442" s="13" t="s">
        <v>1090</v>
      </c>
      <c r="H442" s="13"/>
      <c r="I442" s="4" t="s">
        <v>1090</v>
      </c>
    </row>
    <row r="443" spans="1:9" ht="15.75" customHeight="1" x14ac:dyDescent="0.25">
      <c r="A443" s="10">
        <f t="shared" si="20"/>
        <v>1</v>
      </c>
      <c r="B443" s="10" t="s">
        <v>540</v>
      </c>
      <c r="C443" s="11" t="s">
        <v>69</v>
      </c>
      <c r="D443" s="13">
        <f t="shared" si="16"/>
        <v>151.5151515151515</v>
      </c>
      <c r="E443" s="13">
        <f>50/(1*0.33)</f>
        <v>151.5151515151515</v>
      </c>
      <c r="F443" s="13" t="s">
        <v>1166</v>
      </c>
      <c r="G443" s="13" t="s">
        <v>1090</v>
      </c>
      <c r="H443" s="13"/>
      <c r="I443" s="4" t="s">
        <v>1090</v>
      </c>
    </row>
    <row r="444" spans="1:9" ht="15.75" customHeight="1" x14ac:dyDescent="0.25">
      <c r="A444" s="10">
        <f t="shared" si="20"/>
        <v>1</v>
      </c>
      <c r="B444" s="10" t="s">
        <v>943</v>
      </c>
      <c r="C444" s="11" t="s">
        <v>196</v>
      </c>
      <c r="D444" s="13">
        <f t="shared" si="16"/>
        <v>35.6</v>
      </c>
      <c r="E444" s="13">
        <v>35.6</v>
      </c>
      <c r="F444" s="13" t="s">
        <v>1166</v>
      </c>
      <c r="G444" s="13" t="s">
        <v>1090</v>
      </c>
      <c r="H444" s="13"/>
      <c r="I444" s="4" t="s">
        <v>1090</v>
      </c>
    </row>
    <row r="445" spans="1:9" ht="15.75" customHeight="1" x14ac:dyDescent="0.25">
      <c r="A445" s="10">
        <f t="shared" si="20"/>
        <v>1</v>
      </c>
      <c r="B445" s="10" t="s">
        <v>1023</v>
      </c>
      <c r="C445" s="11" t="s">
        <v>205</v>
      </c>
      <c r="D445" s="13">
        <f t="shared" si="16"/>
        <v>163.07</v>
      </c>
      <c r="E445" s="13">
        <v>163.07</v>
      </c>
      <c r="F445" s="13" t="s">
        <v>1166</v>
      </c>
      <c r="G445" s="13" t="s">
        <v>1090</v>
      </c>
      <c r="H445" s="13"/>
      <c r="I445" s="4" t="s">
        <v>1090</v>
      </c>
    </row>
    <row r="446" spans="1:9" ht="15.75" customHeight="1" x14ac:dyDescent="0.25">
      <c r="A446" s="10">
        <f t="shared" si="20"/>
        <v>1</v>
      </c>
      <c r="B446" s="10" t="s">
        <v>88</v>
      </c>
      <c r="C446" s="11" t="s">
        <v>193</v>
      </c>
      <c r="D446" s="13">
        <f t="shared" si="16"/>
        <v>215</v>
      </c>
      <c r="E446" s="13">
        <v>215</v>
      </c>
      <c r="F446" s="13" t="s">
        <v>1166</v>
      </c>
      <c r="G446" s="13" t="s">
        <v>1090</v>
      </c>
      <c r="H446" s="13"/>
      <c r="I446" s="4" t="s">
        <v>1090</v>
      </c>
    </row>
    <row r="447" spans="1:9" ht="15.75" customHeight="1" x14ac:dyDescent="0.25">
      <c r="A447" s="10">
        <f t="shared" si="20"/>
        <v>1</v>
      </c>
      <c r="B447" s="10" t="s">
        <v>850</v>
      </c>
      <c r="C447" s="11" t="s">
        <v>787</v>
      </c>
      <c r="D447" s="13">
        <f t="shared" si="16"/>
        <v>1.72</v>
      </c>
      <c r="E447" s="13">
        <f>86/50</f>
        <v>1.72</v>
      </c>
      <c r="F447" s="13" t="s">
        <v>1166</v>
      </c>
      <c r="G447" s="13" t="s">
        <v>1090</v>
      </c>
      <c r="H447" s="13"/>
      <c r="I447" s="4" t="s">
        <v>1090</v>
      </c>
    </row>
    <row r="448" spans="1:9" ht="15.75" customHeight="1" x14ac:dyDescent="0.25">
      <c r="A448" s="10">
        <f t="shared" si="20"/>
        <v>1</v>
      </c>
      <c r="B448" s="10" t="s">
        <v>1071</v>
      </c>
      <c r="C448" s="11" t="s">
        <v>151</v>
      </c>
      <c r="D448" s="13">
        <f t="shared" si="16"/>
        <v>134</v>
      </c>
      <c r="E448" s="13">
        <v>134</v>
      </c>
      <c r="F448" s="13" t="s">
        <v>1169</v>
      </c>
      <c r="G448" s="13" t="s">
        <v>1170</v>
      </c>
      <c r="H448" s="13"/>
      <c r="I448" s="4" t="s">
        <v>1169</v>
      </c>
    </row>
    <row r="449" spans="1:9" ht="15.75" customHeight="1" x14ac:dyDescent="0.25">
      <c r="A449" s="10">
        <f t="shared" si="20"/>
        <v>1</v>
      </c>
      <c r="B449" s="10" t="s">
        <v>442</v>
      </c>
      <c r="C449" s="11" t="s">
        <v>151</v>
      </c>
      <c r="D449" s="13">
        <f t="shared" si="16"/>
        <v>145</v>
      </c>
      <c r="E449" s="13">
        <v>145</v>
      </c>
      <c r="F449" s="13" t="s">
        <v>1169</v>
      </c>
      <c r="G449" s="13" t="s">
        <v>1170</v>
      </c>
      <c r="H449" s="13"/>
      <c r="I449" s="4" t="s">
        <v>1169</v>
      </c>
    </row>
    <row r="450" spans="1:9" ht="15.75" customHeight="1" x14ac:dyDescent="0.25">
      <c r="A450" s="10">
        <f t="shared" si="20"/>
        <v>1</v>
      </c>
      <c r="B450" s="10" t="s">
        <v>1060</v>
      </c>
      <c r="C450" s="11" t="s">
        <v>151</v>
      </c>
      <c r="D450" s="13">
        <f t="shared" si="16"/>
        <v>143</v>
      </c>
      <c r="E450" s="13">
        <v>143</v>
      </c>
      <c r="F450" s="13" t="s">
        <v>1169</v>
      </c>
      <c r="G450" s="13" t="s">
        <v>1171</v>
      </c>
      <c r="H450" s="13"/>
      <c r="I450" s="4" t="s">
        <v>1169</v>
      </c>
    </row>
    <row r="451" spans="1:9" ht="15.75" customHeight="1" x14ac:dyDescent="0.25">
      <c r="A451" s="10">
        <f t="shared" si="20"/>
        <v>1</v>
      </c>
      <c r="B451" s="10" t="s">
        <v>161</v>
      </c>
      <c r="C451" s="11" t="s">
        <v>151</v>
      </c>
      <c r="D451" s="13">
        <f t="shared" si="16"/>
        <v>151.20000000000002</v>
      </c>
      <c r="E451" s="13">
        <v>151.20000000000002</v>
      </c>
      <c r="F451" s="13" t="s">
        <v>1169</v>
      </c>
      <c r="G451" s="13" t="s">
        <v>1171</v>
      </c>
      <c r="H451" s="13"/>
      <c r="I451" s="4" t="s">
        <v>1169</v>
      </c>
    </row>
    <row r="452" spans="1:9" ht="15.75" customHeight="1" x14ac:dyDescent="0.25">
      <c r="A452" s="10">
        <f t="shared" si="20"/>
        <v>1</v>
      </c>
      <c r="B452" s="10" t="s">
        <v>728</v>
      </c>
      <c r="C452" s="11" t="s">
        <v>151</v>
      </c>
      <c r="D452" s="13">
        <f t="shared" si="16"/>
        <v>105.71</v>
      </c>
      <c r="E452" s="13">
        <v>105.71</v>
      </c>
      <c r="F452" s="13" t="s">
        <v>1169</v>
      </c>
      <c r="G452" s="13" t="s">
        <v>1171</v>
      </c>
      <c r="H452" s="13"/>
      <c r="I452" s="4" t="s">
        <v>1169</v>
      </c>
    </row>
    <row r="453" spans="1:9" ht="15.75" customHeight="1" x14ac:dyDescent="0.25">
      <c r="A453" s="10">
        <f t="shared" si="20"/>
        <v>1</v>
      </c>
      <c r="B453" s="10" t="s">
        <v>1070</v>
      </c>
      <c r="C453" s="11" t="s">
        <v>151</v>
      </c>
      <c r="D453" s="13">
        <f t="shared" si="16"/>
        <v>300</v>
      </c>
      <c r="E453" s="13">
        <v>300</v>
      </c>
      <c r="F453" s="13" t="s">
        <v>1169</v>
      </c>
      <c r="G453" s="13" t="s">
        <v>1171</v>
      </c>
      <c r="H453" s="13"/>
      <c r="I453" s="4" t="s">
        <v>1169</v>
      </c>
    </row>
    <row r="454" spans="1:9" ht="15.75" customHeight="1" x14ac:dyDescent="0.25">
      <c r="A454" s="10">
        <f t="shared" si="20"/>
        <v>1</v>
      </c>
      <c r="B454" s="10" t="s">
        <v>578</v>
      </c>
      <c r="C454" s="11" t="s">
        <v>205</v>
      </c>
      <c r="D454" s="13">
        <f t="shared" si="16"/>
        <v>4.25</v>
      </c>
      <c r="E454" s="13">
        <v>4.25</v>
      </c>
      <c r="F454" s="13" t="s">
        <v>1169</v>
      </c>
      <c r="G454" s="13" t="s">
        <v>1172</v>
      </c>
      <c r="H454" s="13"/>
      <c r="I454" s="4" t="s">
        <v>1169</v>
      </c>
    </row>
    <row r="455" spans="1:9" ht="15.75" customHeight="1" x14ac:dyDescent="0.25">
      <c r="A455" s="10">
        <f t="shared" si="20"/>
        <v>1</v>
      </c>
      <c r="B455" s="10" t="s">
        <v>499</v>
      </c>
      <c r="C455" s="11" t="s">
        <v>205</v>
      </c>
      <c r="D455" s="13">
        <f t="shared" si="16"/>
        <v>3.49</v>
      </c>
      <c r="E455" s="13">
        <v>3.49</v>
      </c>
      <c r="F455" s="13" t="s">
        <v>1169</v>
      </c>
      <c r="G455" s="13" t="s">
        <v>1172</v>
      </c>
      <c r="H455" s="13"/>
      <c r="I455" s="4" t="s">
        <v>1169</v>
      </c>
    </row>
    <row r="456" spans="1:9" ht="15.75" customHeight="1" x14ac:dyDescent="0.25">
      <c r="A456" s="10">
        <f t="shared" si="20"/>
        <v>1</v>
      </c>
      <c r="B456" s="10" t="s">
        <v>159</v>
      </c>
      <c r="C456" s="11" t="s">
        <v>205</v>
      </c>
      <c r="D456" s="13">
        <f t="shared" si="16"/>
        <v>0.76</v>
      </c>
      <c r="E456" s="13">
        <v>0.76</v>
      </c>
      <c r="F456" s="13" t="s">
        <v>1169</v>
      </c>
      <c r="G456" s="13" t="s">
        <v>1172</v>
      </c>
      <c r="H456" s="13"/>
      <c r="I456" s="4" t="s">
        <v>1169</v>
      </c>
    </row>
    <row r="457" spans="1:9" ht="15.75" customHeight="1" x14ac:dyDescent="0.25">
      <c r="A457" s="10">
        <f t="shared" si="20"/>
        <v>1</v>
      </c>
      <c r="B457" s="10" t="s">
        <v>898</v>
      </c>
      <c r="C457" s="11" t="s">
        <v>205</v>
      </c>
      <c r="D457" s="13">
        <f t="shared" si="16"/>
        <v>33</v>
      </c>
      <c r="E457" s="13">
        <v>33</v>
      </c>
      <c r="F457" s="13" t="s">
        <v>1169</v>
      </c>
      <c r="G457" s="13" t="s">
        <v>1172</v>
      </c>
      <c r="H457" s="13"/>
      <c r="I457" s="4" t="s">
        <v>1169</v>
      </c>
    </row>
    <row r="458" spans="1:9" ht="15.75" customHeight="1" x14ac:dyDescent="0.25">
      <c r="A458" s="10">
        <f t="shared" si="20"/>
        <v>1</v>
      </c>
      <c r="B458" s="10" t="s">
        <v>624</v>
      </c>
      <c r="C458" s="11" t="s">
        <v>69</v>
      </c>
      <c r="D458" s="13">
        <f t="shared" si="16"/>
        <v>75</v>
      </c>
      <c r="E458" s="13">
        <v>75</v>
      </c>
      <c r="F458" s="13" t="s">
        <v>1169</v>
      </c>
      <c r="G458" s="13" t="s">
        <v>1172</v>
      </c>
      <c r="H458" s="13"/>
      <c r="I458" s="4" t="s">
        <v>1169</v>
      </c>
    </row>
    <row r="459" spans="1:9" ht="15.75" customHeight="1" x14ac:dyDescent="0.25">
      <c r="A459" s="10">
        <f t="shared" si="20"/>
        <v>1</v>
      </c>
      <c r="B459" s="10" t="s">
        <v>618</v>
      </c>
      <c r="C459" s="11" t="s">
        <v>205</v>
      </c>
      <c r="D459" s="13">
        <f t="shared" si="16"/>
        <v>9.35</v>
      </c>
      <c r="E459" s="13">
        <v>9.35</v>
      </c>
      <c r="F459" s="13" t="s">
        <v>1169</v>
      </c>
      <c r="G459" s="13" t="s">
        <v>1172</v>
      </c>
      <c r="H459" s="13"/>
      <c r="I459" s="4" t="s">
        <v>1169</v>
      </c>
    </row>
    <row r="460" spans="1:9" x14ac:dyDescent="0.25">
      <c r="A460" s="10">
        <f t="shared" si="20"/>
        <v>1</v>
      </c>
      <c r="B460" s="10" t="s">
        <v>558</v>
      </c>
      <c r="C460" s="11" t="s">
        <v>69</v>
      </c>
      <c r="D460" s="13">
        <f t="shared" si="16"/>
        <v>75.598399999999998</v>
      </c>
      <c r="E460" s="13">
        <v>75.598399999999998</v>
      </c>
      <c r="F460" s="13" t="s">
        <v>1169</v>
      </c>
      <c r="G460" s="13" t="s">
        <v>1173</v>
      </c>
      <c r="H460" s="13"/>
      <c r="I460" s="4" t="s">
        <v>1174</v>
      </c>
    </row>
    <row r="461" spans="1:9" ht="15.75" customHeight="1" x14ac:dyDescent="0.25">
      <c r="A461" s="10">
        <f t="shared" si="20"/>
        <v>1</v>
      </c>
      <c r="B461" s="10" t="s">
        <v>2464</v>
      </c>
      <c r="C461" s="11" t="s">
        <v>787</v>
      </c>
      <c r="D461" s="13">
        <f>E461*$D$1</f>
        <v>60</v>
      </c>
      <c r="E461" s="13">
        <v>60</v>
      </c>
      <c r="F461" s="13" t="s">
        <v>1169</v>
      </c>
      <c r="G461" s="13" t="s">
        <v>1173</v>
      </c>
      <c r="H461" s="13" t="s">
        <v>2461</v>
      </c>
      <c r="I461" s="4" t="s">
        <v>1174</v>
      </c>
    </row>
    <row r="462" spans="1:9" ht="15.75" customHeight="1" x14ac:dyDescent="0.25">
      <c r="A462" s="10">
        <f t="shared" si="20"/>
        <v>1</v>
      </c>
      <c r="B462" s="10" t="s">
        <v>556</v>
      </c>
      <c r="C462" s="11" t="s">
        <v>787</v>
      </c>
      <c r="D462" s="13">
        <f>E462*$D$1</f>
        <v>44.8</v>
      </c>
      <c r="E462" s="13">
        <f>32*1.4</f>
        <v>44.8</v>
      </c>
      <c r="F462" s="13" t="s">
        <v>1169</v>
      </c>
      <c r="G462" s="13" t="s">
        <v>1173</v>
      </c>
      <c r="H462" s="13" t="s">
        <v>2461</v>
      </c>
      <c r="I462" s="4" t="s">
        <v>1174</v>
      </c>
    </row>
    <row r="463" spans="1:9" ht="15.75" customHeight="1" x14ac:dyDescent="0.25">
      <c r="A463" s="10">
        <f t="shared" si="20"/>
        <v>1</v>
      </c>
      <c r="B463" s="10" t="s">
        <v>2465</v>
      </c>
      <c r="C463" s="11" t="s">
        <v>787</v>
      </c>
      <c r="D463" s="13">
        <f>E463*$D$1</f>
        <v>45</v>
      </c>
      <c r="E463" s="13">
        <v>45</v>
      </c>
      <c r="F463" s="13" t="s">
        <v>1169</v>
      </c>
      <c r="G463" s="13" t="s">
        <v>1173</v>
      </c>
      <c r="H463" s="13" t="s">
        <v>2462</v>
      </c>
      <c r="I463" s="4" t="s">
        <v>1174</v>
      </c>
    </row>
    <row r="464" spans="1:9" ht="15.75" customHeight="1" x14ac:dyDescent="0.25">
      <c r="A464" s="10">
        <f t="shared" si="20"/>
        <v>1</v>
      </c>
      <c r="B464" s="10" t="s">
        <v>2459</v>
      </c>
      <c r="C464" s="11" t="s">
        <v>787</v>
      </c>
      <c r="D464" s="13">
        <f>E464*$D$1</f>
        <v>32.400000000000006</v>
      </c>
      <c r="E464" s="13">
        <f>24*1.35</f>
        <v>32.400000000000006</v>
      </c>
      <c r="F464" s="13" t="s">
        <v>1169</v>
      </c>
      <c r="G464" s="13" t="s">
        <v>1173</v>
      </c>
      <c r="H464" s="13" t="s">
        <v>2462</v>
      </c>
      <c r="I464" s="4" t="s">
        <v>1174</v>
      </c>
    </row>
    <row r="465" spans="1:9" ht="15.75" customHeight="1" x14ac:dyDescent="0.25">
      <c r="A465" s="10">
        <f t="shared" si="20"/>
        <v>1</v>
      </c>
      <c r="B465" s="10" t="s">
        <v>2460</v>
      </c>
      <c r="C465" s="11" t="s">
        <v>787</v>
      </c>
      <c r="D465" s="13">
        <f>E465*$D$1</f>
        <v>67.199999999999989</v>
      </c>
      <c r="E465" s="13">
        <f>48*1.4</f>
        <v>67.199999999999989</v>
      </c>
      <c r="F465" s="13" t="s">
        <v>1169</v>
      </c>
      <c r="G465" s="13" t="s">
        <v>1173</v>
      </c>
      <c r="H465" s="13" t="s">
        <v>2461</v>
      </c>
      <c r="I465" s="4" t="s">
        <v>1174</v>
      </c>
    </row>
    <row r="466" spans="1:9" ht="15.75" customHeight="1" x14ac:dyDescent="0.25">
      <c r="A466" s="10">
        <f t="shared" si="20"/>
        <v>1</v>
      </c>
      <c r="B466" s="10" t="s">
        <v>2463</v>
      </c>
      <c r="C466" s="11" t="s">
        <v>787</v>
      </c>
      <c r="D466" s="13">
        <f t="shared" si="16"/>
        <v>85</v>
      </c>
      <c r="E466" s="13">
        <v>85</v>
      </c>
      <c r="F466" s="13" t="s">
        <v>1169</v>
      </c>
      <c r="G466" s="13" t="s">
        <v>1173</v>
      </c>
      <c r="H466" s="13" t="s">
        <v>2461</v>
      </c>
      <c r="I466" s="4" t="s">
        <v>1174</v>
      </c>
    </row>
    <row r="467" spans="1:9" ht="14.25" x14ac:dyDescent="0.2">
      <c r="A467" s="10">
        <f t="shared" si="20"/>
        <v>1</v>
      </c>
      <c r="B467" s="77" t="s">
        <v>1870</v>
      </c>
      <c r="C467" s="78" t="s">
        <v>69</v>
      </c>
      <c r="D467" s="79">
        <f>E467*$D$1</f>
        <v>1350</v>
      </c>
      <c r="E467" s="79">
        <v>1350</v>
      </c>
      <c r="F467" s="79" t="s">
        <v>1131</v>
      </c>
      <c r="G467" s="79" t="s">
        <v>1132</v>
      </c>
      <c r="H467" s="79"/>
      <c r="I467" s="80" t="s">
        <v>1133</v>
      </c>
    </row>
    <row r="468" spans="1:9" ht="14.25" x14ac:dyDescent="0.2">
      <c r="A468" s="10">
        <f t="shared" si="20"/>
        <v>1</v>
      </c>
      <c r="B468" s="77" t="s">
        <v>1871</v>
      </c>
      <c r="C468" s="78" t="s">
        <v>69</v>
      </c>
      <c r="D468" s="79">
        <f>E468*$D$1</f>
        <v>980</v>
      </c>
      <c r="E468" s="79">
        <v>980</v>
      </c>
      <c r="F468" s="79" t="s">
        <v>1131</v>
      </c>
      <c r="G468" s="79" t="s">
        <v>1132</v>
      </c>
      <c r="H468" s="79"/>
      <c r="I468" s="80" t="s">
        <v>1133</v>
      </c>
    </row>
    <row r="469" spans="1:9" ht="14.25" x14ac:dyDescent="0.2">
      <c r="A469" s="10">
        <f t="shared" si="20"/>
        <v>1</v>
      </c>
      <c r="B469" s="77" t="s">
        <v>1872</v>
      </c>
      <c r="C469" s="78" t="s">
        <v>69</v>
      </c>
      <c r="D469" s="79">
        <f>E469*$D$1</f>
        <v>1350</v>
      </c>
      <c r="E469" s="79">
        <v>1350</v>
      </c>
      <c r="F469" s="79" t="s">
        <v>1131</v>
      </c>
      <c r="G469" s="79" t="s">
        <v>1132</v>
      </c>
      <c r="H469" s="79"/>
      <c r="I469" s="80" t="s">
        <v>1133</v>
      </c>
    </row>
    <row r="470" spans="1:9" ht="15.75" customHeight="1" x14ac:dyDescent="0.25">
      <c r="A470" s="10">
        <f t="shared" si="20"/>
        <v>1</v>
      </c>
      <c r="B470" s="10" t="s">
        <v>789</v>
      </c>
      <c r="C470" s="11" t="s">
        <v>112</v>
      </c>
      <c r="D470" s="13">
        <f t="shared" si="16"/>
        <v>36</v>
      </c>
      <c r="E470" s="13">
        <v>36</v>
      </c>
      <c r="F470" s="13" t="s">
        <v>1174</v>
      </c>
      <c r="G470" s="13" t="s">
        <v>1174</v>
      </c>
      <c r="H470" s="13"/>
      <c r="I470" s="4" t="s">
        <v>1174</v>
      </c>
    </row>
    <row r="471" spans="1:9" ht="15.75" customHeight="1" x14ac:dyDescent="0.25">
      <c r="A471" s="10">
        <f t="shared" si="20"/>
        <v>1</v>
      </c>
      <c r="B471" s="10" t="s">
        <v>792</v>
      </c>
      <c r="C471" s="11" t="s">
        <v>112</v>
      </c>
      <c r="D471" s="13">
        <f t="shared" si="16"/>
        <v>7.39</v>
      </c>
      <c r="E471" s="13">
        <v>7.39</v>
      </c>
      <c r="F471" s="13" t="s">
        <v>1174</v>
      </c>
      <c r="G471" s="13" t="s">
        <v>1174</v>
      </c>
      <c r="H471" s="13"/>
      <c r="I471" s="4" t="s">
        <v>1174</v>
      </c>
    </row>
    <row r="472" spans="1:9" ht="14.25" x14ac:dyDescent="0.2">
      <c r="A472" s="10">
        <f t="shared" si="20"/>
        <v>1</v>
      </c>
      <c r="B472" s="77" t="s">
        <v>1874</v>
      </c>
      <c r="C472" s="78" t="s">
        <v>1877</v>
      </c>
      <c r="D472" s="79">
        <f>E472*$D$1</f>
        <v>65</v>
      </c>
      <c r="E472" s="79">
        <f>AVERAGE(45,85)</f>
        <v>65</v>
      </c>
      <c r="F472" s="79" t="s">
        <v>1174</v>
      </c>
      <c r="G472" s="79" t="s">
        <v>1174</v>
      </c>
      <c r="H472" s="79"/>
      <c r="I472" s="80" t="s">
        <v>1174</v>
      </c>
    </row>
    <row r="473" spans="1:9" ht="14.25" x14ac:dyDescent="0.2">
      <c r="A473" s="10">
        <f t="shared" si="20"/>
        <v>1</v>
      </c>
      <c r="B473" s="77" t="s">
        <v>1876</v>
      </c>
      <c r="C473" s="78" t="s">
        <v>1877</v>
      </c>
      <c r="D473" s="79">
        <f>E473*$D$1</f>
        <v>155</v>
      </c>
      <c r="E473" s="79">
        <f>AVERAGE(120,190)</f>
        <v>155</v>
      </c>
      <c r="F473" s="79" t="s">
        <v>1174</v>
      </c>
      <c r="G473" s="79" t="s">
        <v>1174</v>
      </c>
      <c r="H473" s="79"/>
      <c r="I473" s="80" t="s">
        <v>1174</v>
      </c>
    </row>
    <row r="474" spans="1:9" ht="15.75" customHeight="1" x14ac:dyDescent="0.25">
      <c r="A474" s="10">
        <f t="shared" si="20"/>
        <v>1</v>
      </c>
      <c r="B474" s="10" t="s">
        <v>493</v>
      </c>
      <c r="C474" s="11" t="s">
        <v>205</v>
      </c>
      <c r="D474" s="13">
        <f t="shared" si="16"/>
        <v>5.9180000000000001</v>
      </c>
      <c r="E474" s="13">
        <v>5.9180000000000001</v>
      </c>
      <c r="F474" s="13" t="s">
        <v>1169</v>
      </c>
      <c r="G474" s="13" t="s">
        <v>1173</v>
      </c>
      <c r="H474" s="13"/>
      <c r="I474" s="4" t="s">
        <v>1169</v>
      </c>
    </row>
    <row r="475" spans="1:9" ht="15.75" customHeight="1" x14ac:dyDescent="0.25">
      <c r="A475" s="10">
        <f t="shared" si="20"/>
        <v>1</v>
      </c>
      <c r="B475" s="10" t="s">
        <v>489</v>
      </c>
      <c r="C475" s="11" t="s">
        <v>205</v>
      </c>
      <c r="D475" s="13">
        <f t="shared" si="16"/>
        <v>0.45</v>
      </c>
      <c r="E475" s="13">
        <v>0.45</v>
      </c>
      <c r="F475" s="13" t="s">
        <v>1169</v>
      </c>
      <c r="G475" s="13" t="s">
        <v>1173</v>
      </c>
      <c r="H475" s="13"/>
      <c r="I475" s="4" t="s">
        <v>1169</v>
      </c>
    </row>
    <row r="476" spans="1:9" ht="15.75" customHeight="1" x14ac:dyDescent="0.25">
      <c r="A476" s="10">
        <f t="shared" si="20"/>
        <v>1</v>
      </c>
      <c r="B476" s="10" t="s">
        <v>1008</v>
      </c>
      <c r="C476" s="11" t="s">
        <v>196</v>
      </c>
      <c r="D476" s="13">
        <f t="shared" si="16"/>
        <v>382</v>
      </c>
      <c r="E476" s="13">
        <v>382</v>
      </c>
      <c r="F476" s="13" t="s">
        <v>1136</v>
      </c>
      <c r="G476" s="13" t="s">
        <v>1175</v>
      </c>
      <c r="H476" s="13"/>
      <c r="I476" s="4" t="s">
        <v>1159</v>
      </c>
    </row>
    <row r="477" spans="1:9" ht="15.75" customHeight="1" x14ac:dyDescent="0.25">
      <c r="A477" s="10">
        <f t="shared" si="20"/>
        <v>1</v>
      </c>
      <c r="B477" s="10" t="s">
        <v>644</v>
      </c>
      <c r="C477" s="11" t="s">
        <v>69</v>
      </c>
      <c r="D477" s="13">
        <f t="shared" si="16"/>
        <v>11.1</v>
      </c>
      <c r="E477" s="13">
        <v>11.1</v>
      </c>
      <c r="F477" s="13" t="s">
        <v>37</v>
      </c>
      <c r="G477" s="13" t="s">
        <v>37</v>
      </c>
      <c r="H477" s="13"/>
      <c r="I477" s="4" t="s">
        <v>1176</v>
      </c>
    </row>
    <row r="478" spans="1:9" ht="15.75" customHeight="1" x14ac:dyDescent="0.25">
      <c r="A478" s="10">
        <f t="shared" si="20"/>
        <v>1</v>
      </c>
      <c r="B478" s="10" t="s">
        <v>643</v>
      </c>
      <c r="C478" s="11" t="s">
        <v>151</v>
      </c>
      <c r="D478" s="13">
        <f t="shared" si="16"/>
        <v>143.57</v>
      </c>
      <c r="E478" s="13">
        <v>143.57</v>
      </c>
      <c r="F478" s="13" t="s">
        <v>37</v>
      </c>
      <c r="G478" s="13" t="s">
        <v>37</v>
      </c>
      <c r="H478" s="13"/>
      <c r="I478" s="4" t="s">
        <v>1176</v>
      </c>
    </row>
    <row r="479" spans="1:9" ht="15.75" customHeight="1" x14ac:dyDescent="0.25">
      <c r="A479" s="10">
        <f t="shared" si="20"/>
        <v>1</v>
      </c>
      <c r="B479" s="10" t="s">
        <v>534</v>
      </c>
      <c r="C479" s="11" t="s">
        <v>196</v>
      </c>
      <c r="D479" s="13">
        <f t="shared" si="16"/>
        <v>409</v>
      </c>
      <c r="E479" s="13">
        <v>409</v>
      </c>
      <c r="F479" s="13" t="s">
        <v>1177</v>
      </c>
      <c r="G479" s="13" t="s">
        <v>1177</v>
      </c>
      <c r="H479" s="13"/>
      <c r="I479" s="4" t="s">
        <v>1174</v>
      </c>
    </row>
    <row r="480" spans="1:9" ht="15.75" customHeight="1" x14ac:dyDescent="0.25">
      <c r="A480" s="10">
        <f t="shared" si="20"/>
        <v>1</v>
      </c>
      <c r="B480" s="10" t="s">
        <v>1480</v>
      </c>
      <c r="C480" s="11" t="s">
        <v>69</v>
      </c>
      <c r="D480" s="13">
        <f t="shared" ref="D480:D488" si="21">E480*$D$1</f>
        <v>890</v>
      </c>
      <c r="E480" s="13">
        <v>890</v>
      </c>
      <c r="F480" s="13" t="s">
        <v>1177</v>
      </c>
      <c r="G480" s="13" t="s">
        <v>1177</v>
      </c>
      <c r="H480" s="13"/>
      <c r="I480" s="4" t="s">
        <v>1174</v>
      </c>
    </row>
    <row r="481" spans="1:9" ht="15.75" customHeight="1" x14ac:dyDescent="0.25">
      <c r="A481" s="10">
        <f t="shared" si="20"/>
        <v>1</v>
      </c>
      <c r="B481" s="10" t="s">
        <v>1509</v>
      </c>
      <c r="C481" s="11" t="s">
        <v>69</v>
      </c>
      <c r="D481" s="13">
        <f t="shared" si="21"/>
        <v>1850</v>
      </c>
      <c r="E481" s="13">
        <v>1850</v>
      </c>
      <c r="F481" s="13" t="s">
        <v>1177</v>
      </c>
      <c r="G481" s="13" t="s">
        <v>1177</v>
      </c>
      <c r="H481" s="13"/>
      <c r="I481" s="4" t="s">
        <v>1174</v>
      </c>
    </row>
    <row r="482" spans="1:9" ht="15.75" customHeight="1" x14ac:dyDescent="0.25">
      <c r="A482" s="10">
        <f t="shared" si="20"/>
        <v>1</v>
      </c>
      <c r="B482" s="10" t="s">
        <v>2405</v>
      </c>
      <c r="C482" s="11" t="s">
        <v>69</v>
      </c>
      <c r="D482" s="13">
        <f t="shared" si="21"/>
        <v>800</v>
      </c>
      <c r="E482" s="13">
        <v>800</v>
      </c>
      <c r="F482" s="13" t="s">
        <v>1177</v>
      </c>
      <c r="G482" s="13" t="s">
        <v>1177</v>
      </c>
      <c r="H482" s="13"/>
      <c r="I482" s="4" t="s">
        <v>1174</v>
      </c>
    </row>
    <row r="483" spans="1:9" ht="15.75" customHeight="1" x14ac:dyDescent="0.25">
      <c r="A483" s="10">
        <f t="shared" si="20"/>
        <v>1</v>
      </c>
      <c r="B483" s="10" t="s">
        <v>2564</v>
      </c>
      <c r="C483" s="11" t="s">
        <v>69</v>
      </c>
      <c r="D483" s="13">
        <f t="shared" si="21"/>
        <v>600</v>
      </c>
      <c r="E483" s="13">
        <v>600</v>
      </c>
      <c r="F483" s="13" t="s">
        <v>1177</v>
      </c>
      <c r="G483" s="13" t="s">
        <v>1177</v>
      </c>
      <c r="H483" s="13"/>
      <c r="I483" s="4" t="s">
        <v>1174</v>
      </c>
    </row>
    <row r="484" spans="1:9" ht="15.75" customHeight="1" x14ac:dyDescent="0.25">
      <c r="A484" s="10">
        <f t="shared" si="20"/>
        <v>1</v>
      </c>
      <c r="B484" s="10" t="s">
        <v>2584</v>
      </c>
      <c r="C484" s="11" t="s">
        <v>69</v>
      </c>
      <c r="D484" s="13">
        <f t="shared" si="21"/>
        <v>4800</v>
      </c>
      <c r="E484" s="13">
        <v>4800</v>
      </c>
      <c r="F484" s="13" t="s">
        <v>1177</v>
      </c>
      <c r="G484" s="13" t="s">
        <v>1177</v>
      </c>
      <c r="H484" s="13"/>
      <c r="I484" s="4" t="s">
        <v>1174</v>
      </c>
    </row>
    <row r="485" spans="1:9" ht="15.75" customHeight="1" x14ac:dyDescent="0.25">
      <c r="A485" s="10">
        <f t="shared" si="20"/>
        <v>1</v>
      </c>
      <c r="B485" s="10" t="s">
        <v>2407</v>
      </c>
      <c r="C485" s="11" t="s">
        <v>69</v>
      </c>
      <c r="D485" s="13">
        <f t="shared" si="21"/>
        <v>900</v>
      </c>
      <c r="E485" s="13">
        <v>900</v>
      </c>
      <c r="F485" s="13" t="s">
        <v>1177</v>
      </c>
      <c r="G485" s="13" t="s">
        <v>1177</v>
      </c>
      <c r="H485" s="13"/>
      <c r="I485" s="4" t="s">
        <v>1174</v>
      </c>
    </row>
    <row r="486" spans="1:9" ht="15.75" customHeight="1" x14ac:dyDescent="0.25">
      <c r="A486" s="10">
        <f t="shared" si="20"/>
        <v>1</v>
      </c>
      <c r="B486" s="10" t="s">
        <v>2411</v>
      </c>
      <c r="C486" s="11" t="s">
        <v>69</v>
      </c>
      <c r="D486" s="13">
        <f t="shared" si="21"/>
        <v>1300</v>
      </c>
      <c r="E486" s="13">
        <v>1300</v>
      </c>
      <c r="F486" s="13" t="s">
        <v>1177</v>
      </c>
      <c r="G486" s="13" t="s">
        <v>1177</v>
      </c>
      <c r="H486" s="13"/>
      <c r="I486" s="4" t="s">
        <v>1174</v>
      </c>
    </row>
    <row r="487" spans="1:9" ht="15.75" customHeight="1" x14ac:dyDescent="0.25">
      <c r="A487" s="10">
        <f t="shared" si="20"/>
        <v>1</v>
      </c>
      <c r="B487" s="10" t="s">
        <v>2413</v>
      </c>
      <c r="C487" s="11" t="s">
        <v>69</v>
      </c>
      <c r="D487" s="13">
        <f t="shared" si="21"/>
        <v>2200</v>
      </c>
      <c r="E487" s="13">
        <v>2200</v>
      </c>
      <c r="F487" s="13" t="s">
        <v>1177</v>
      </c>
      <c r="G487" s="13" t="s">
        <v>1177</v>
      </c>
      <c r="H487" s="13"/>
      <c r="I487" s="4" t="s">
        <v>1174</v>
      </c>
    </row>
    <row r="488" spans="1:9" ht="15.75" customHeight="1" x14ac:dyDescent="0.25">
      <c r="A488" s="10">
        <f t="shared" si="20"/>
        <v>1</v>
      </c>
      <c r="B488" s="10" t="s">
        <v>2409</v>
      </c>
      <c r="C488" s="11" t="s">
        <v>69</v>
      </c>
      <c r="D488" s="13">
        <f t="shared" si="21"/>
        <v>1300</v>
      </c>
      <c r="E488" s="13">
        <v>1300</v>
      </c>
      <c r="F488" s="13" t="s">
        <v>1177</v>
      </c>
      <c r="G488" s="13" t="s">
        <v>1177</v>
      </c>
      <c r="H488" s="13"/>
      <c r="I488" s="4" t="s">
        <v>1174</v>
      </c>
    </row>
    <row r="489" spans="1:9" ht="15.75" customHeight="1" x14ac:dyDescent="0.25">
      <c r="A489" s="10">
        <f t="shared" si="20"/>
        <v>1</v>
      </c>
      <c r="B489" s="10" t="s">
        <v>526</v>
      </c>
      <c r="C489" s="11" t="s">
        <v>69</v>
      </c>
      <c r="D489" s="13">
        <f t="shared" si="16"/>
        <v>480</v>
      </c>
      <c r="E489" s="13">
        <v>480</v>
      </c>
      <c r="F489" s="13" t="s">
        <v>1177</v>
      </c>
      <c r="G489" s="13" t="s">
        <v>1177</v>
      </c>
      <c r="H489" s="13"/>
      <c r="I489" s="4" t="s">
        <v>1174</v>
      </c>
    </row>
    <row r="490" spans="1:9" ht="14.25" x14ac:dyDescent="0.2">
      <c r="A490" s="10">
        <f t="shared" si="20"/>
        <v>1</v>
      </c>
      <c r="B490" s="77" t="s">
        <v>1782</v>
      </c>
      <c r="C490" s="78" t="s">
        <v>69</v>
      </c>
      <c r="D490" s="79">
        <f>E490*$D$1</f>
        <v>265.89999999999998</v>
      </c>
      <c r="E490" s="79">
        <v>265.89999999999998</v>
      </c>
      <c r="F490" s="79" t="s">
        <v>1177</v>
      </c>
      <c r="G490" s="79" t="s">
        <v>1177</v>
      </c>
      <c r="H490" s="79"/>
      <c r="I490" s="80" t="s">
        <v>1174</v>
      </c>
    </row>
    <row r="491" spans="1:9" ht="14.25" x14ac:dyDescent="0.2">
      <c r="A491" s="10">
        <f t="shared" si="20"/>
        <v>1</v>
      </c>
      <c r="B491" s="77" t="s">
        <v>1784</v>
      </c>
      <c r="C491" s="78" t="s">
        <v>69</v>
      </c>
      <c r="D491" s="79">
        <f>E491*$D$1</f>
        <v>480</v>
      </c>
      <c r="E491" s="79">
        <v>480</v>
      </c>
      <c r="F491" s="79" t="s">
        <v>1177</v>
      </c>
      <c r="G491" s="79" t="s">
        <v>1177</v>
      </c>
      <c r="H491" s="79"/>
      <c r="I491" s="80" t="s">
        <v>1174</v>
      </c>
    </row>
    <row r="492" spans="1:9" ht="14.25" x14ac:dyDescent="0.2">
      <c r="A492" s="10">
        <f t="shared" si="20"/>
        <v>1</v>
      </c>
      <c r="B492" s="77" t="s">
        <v>1785</v>
      </c>
      <c r="C492" s="78" t="s">
        <v>69</v>
      </c>
      <c r="D492" s="79">
        <f>E492*$D$1</f>
        <v>750</v>
      </c>
      <c r="E492" s="79">
        <v>750</v>
      </c>
      <c r="F492" s="79" t="s">
        <v>1177</v>
      </c>
      <c r="G492" s="79" t="s">
        <v>1177</v>
      </c>
      <c r="H492" s="79"/>
      <c r="I492" s="80" t="s">
        <v>1174</v>
      </c>
    </row>
    <row r="493" spans="1:9" ht="14.25" x14ac:dyDescent="0.2">
      <c r="A493" s="10">
        <f t="shared" si="20"/>
        <v>1</v>
      </c>
      <c r="B493" s="77" t="s">
        <v>1779</v>
      </c>
      <c r="C493" s="78" t="s">
        <v>69</v>
      </c>
      <c r="D493" s="79">
        <f>E493*$D$1</f>
        <v>650</v>
      </c>
      <c r="E493" s="79">
        <v>650</v>
      </c>
      <c r="F493" s="79" t="s">
        <v>1177</v>
      </c>
      <c r="G493" s="79" t="s">
        <v>1177</v>
      </c>
      <c r="H493" s="79"/>
      <c r="I493" s="80" t="s">
        <v>1174</v>
      </c>
    </row>
    <row r="494" spans="1:9" ht="15.75" customHeight="1" x14ac:dyDescent="0.25">
      <c r="A494" s="10">
        <f t="shared" si="20"/>
        <v>1</v>
      </c>
      <c r="B494" s="10" t="s">
        <v>536</v>
      </c>
      <c r="C494" s="11" t="s">
        <v>69</v>
      </c>
      <c r="D494" s="13">
        <f t="shared" si="16"/>
        <v>195</v>
      </c>
      <c r="E494" s="13">
        <v>195</v>
      </c>
      <c r="F494" s="13" t="s">
        <v>1177</v>
      </c>
      <c r="G494" s="13" t="s">
        <v>1177</v>
      </c>
      <c r="H494" s="13"/>
      <c r="I494" s="4" t="s">
        <v>1174</v>
      </c>
    </row>
    <row r="495" spans="1:9" ht="15.75" customHeight="1" x14ac:dyDescent="0.25">
      <c r="A495" s="10">
        <f t="shared" si="20"/>
        <v>1</v>
      </c>
      <c r="B495" s="10" t="s">
        <v>528</v>
      </c>
      <c r="C495" s="11" t="s">
        <v>69</v>
      </c>
      <c r="D495" s="13">
        <f>E495*$D$1</f>
        <v>650</v>
      </c>
      <c r="E495" s="13">
        <v>650</v>
      </c>
      <c r="F495" s="13" t="s">
        <v>1177</v>
      </c>
      <c r="G495" s="13" t="s">
        <v>1177</v>
      </c>
      <c r="H495" s="13"/>
      <c r="I495" s="4" t="s">
        <v>1174</v>
      </c>
    </row>
    <row r="496" spans="1:9" ht="15.75" customHeight="1" x14ac:dyDescent="0.25">
      <c r="A496" s="10">
        <f t="shared" si="20"/>
        <v>1</v>
      </c>
      <c r="B496" s="10" t="s">
        <v>1419</v>
      </c>
      <c r="C496" s="11" t="s">
        <v>69</v>
      </c>
      <c r="D496" s="13">
        <f t="shared" si="16"/>
        <v>650</v>
      </c>
      <c r="E496" s="13">
        <v>650</v>
      </c>
      <c r="F496" s="13" t="s">
        <v>1177</v>
      </c>
      <c r="G496" s="13" t="s">
        <v>1177</v>
      </c>
      <c r="H496" s="13"/>
      <c r="I496" s="4" t="s">
        <v>1174</v>
      </c>
    </row>
    <row r="497" spans="1:9" ht="15.75" customHeight="1" x14ac:dyDescent="0.25">
      <c r="A497" s="10">
        <f t="shared" si="20"/>
        <v>1</v>
      </c>
      <c r="B497" s="10" t="s">
        <v>648</v>
      </c>
      <c r="C497" s="11" t="s">
        <v>69</v>
      </c>
      <c r="D497" s="13">
        <f t="shared" si="16"/>
        <v>650</v>
      </c>
      <c r="E497" s="13">
        <v>650</v>
      </c>
      <c r="F497" s="13" t="s">
        <v>1177</v>
      </c>
      <c r="G497" s="13" t="s">
        <v>1177</v>
      </c>
      <c r="H497" s="13"/>
      <c r="I497" s="4" t="s">
        <v>1174</v>
      </c>
    </row>
    <row r="498" spans="1:9" ht="15.75" customHeight="1" x14ac:dyDescent="0.25">
      <c r="A498" s="10">
        <f t="shared" si="20"/>
        <v>1</v>
      </c>
      <c r="B498" s="10" t="s">
        <v>858</v>
      </c>
      <c r="C498" s="11" t="s">
        <v>69</v>
      </c>
      <c r="D498" s="13">
        <f t="shared" si="16"/>
        <v>650</v>
      </c>
      <c r="E498" s="13">
        <v>650</v>
      </c>
      <c r="F498" s="13" t="s">
        <v>1177</v>
      </c>
      <c r="G498" s="13" t="s">
        <v>1177</v>
      </c>
      <c r="H498" s="13"/>
      <c r="I498" s="4" t="s">
        <v>1174</v>
      </c>
    </row>
    <row r="499" spans="1:9" ht="15.75" customHeight="1" x14ac:dyDescent="0.25">
      <c r="A499" s="10">
        <f t="shared" si="20"/>
        <v>1</v>
      </c>
      <c r="B499" s="10" t="s">
        <v>530</v>
      </c>
      <c r="C499" s="11" t="s">
        <v>69</v>
      </c>
      <c r="D499" s="13">
        <f t="shared" si="16"/>
        <v>800</v>
      </c>
      <c r="E499" s="13">
        <v>800</v>
      </c>
      <c r="F499" s="13" t="s">
        <v>1177</v>
      </c>
      <c r="G499" s="13" t="s">
        <v>1177</v>
      </c>
      <c r="H499" s="13"/>
      <c r="I499" s="4" t="s">
        <v>1174</v>
      </c>
    </row>
    <row r="500" spans="1:9" ht="15.75" customHeight="1" x14ac:dyDescent="0.25">
      <c r="A500" s="10">
        <f t="shared" si="20"/>
        <v>1</v>
      </c>
      <c r="B500" s="10" t="s">
        <v>870</v>
      </c>
      <c r="C500" s="11" t="s">
        <v>69</v>
      </c>
      <c r="D500" s="13">
        <f>E500*$D$1</f>
        <v>800</v>
      </c>
      <c r="E500" s="13">
        <v>800</v>
      </c>
      <c r="F500" s="13" t="s">
        <v>1177</v>
      </c>
      <c r="G500" s="13" t="s">
        <v>1177</v>
      </c>
      <c r="H500" s="13"/>
      <c r="I500" s="4" t="s">
        <v>1174</v>
      </c>
    </row>
    <row r="501" spans="1:9" ht="15.75" customHeight="1" x14ac:dyDescent="0.25">
      <c r="A501" s="10">
        <f t="shared" si="20"/>
        <v>1</v>
      </c>
      <c r="B501" s="10" t="s">
        <v>2422</v>
      </c>
      <c r="C501" s="11" t="s">
        <v>69</v>
      </c>
      <c r="D501" s="13">
        <f t="shared" si="16"/>
        <v>3200</v>
      </c>
      <c r="E501" s="13">
        <v>3200</v>
      </c>
      <c r="F501" s="13" t="s">
        <v>1177</v>
      </c>
      <c r="G501" s="13" t="s">
        <v>1177</v>
      </c>
      <c r="H501" s="13"/>
      <c r="I501" s="4" t="s">
        <v>1174</v>
      </c>
    </row>
    <row r="502" spans="1:9" ht="15.75" customHeight="1" x14ac:dyDescent="0.25">
      <c r="A502" s="10">
        <f>COUNTIFS($B$2:$B$996,B502)</f>
        <v>1</v>
      </c>
      <c r="B502" s="10" t="s">
        <v>2946</v>
      </c>
      <c r="C502" s="11" t="s">
        <v>69</v>
      </c>
      <c r="D502" s="13">
        <f>E502*$D$1</f>
        <v>269.78527607361963</v>
      </c>
      <c r="E502" s="13">
        <f>1759/(6.52)</f>
        <v>269.78527607361963</v>
      </c>
      <c r="F502" s="13" t="s">
        <v>1177</v>
      </c>
      <c r="G502" s="13" t="s">
        <v>1177</v>
      </c>
      <c r="H502" s="13"/>
      <c r="I502" s="4" t="s">
        <v>1174</v>
      </c>
    </row>
    <row r="503" spans="1:9" ht="15.75" customHeight="1" x14ac:dyDescent="0.25">
      <c r="A503" s="10">
        <f t="shared" ref="A503:A509" si="22">COUNTIFS($B$2:$B$996,B503)</f>
        <v>1</v>
      </c>
      <c r="B503" s="10" t="s">
        <v>2418</v>
      </c>
      <c r="C503" s="11" t="s">
        <v>69</v>
      </c>
      <c r="D503" s="13">
        <f>E503*$D$1</f>
        <v>215.09433962264148</v>
      </c>
      <c r="E503" s="13">
        <f>1197/(1.59*3.5)</f>
        <v>215.09433962264148</v>
      </c>
      <c r="F503" s="13" t="s">
        <v>1177</v>
      </c>
      <c r="G503" s="13" t="s">
        <v>1177</v>
      </c>
      <c r="H503" s="13"/>
      <c r="I503" s="4" t="s">
        <v>1174</v>
      </c>
    </row>
    <row r="504" spans="1:9" ht="15.75" customHeight="1" x14ac:dyDescent="0.25">
      <c r="A504" s="10">
        <f t="shared" si="22"/>
        <v>1</v>
      </c>
      <c r="B504" s="10" t="s">
        <v>2419</v>
      </c>
      <c r="C504" s="11" t="s">
        <v>69</v>
      </c>
      <c r="D504" s="13">
        <f>E504*$D$1</f>
        <v>198.74213836477986</v>
      </c>
      <c r="E504" s="13">
        <f>1106/(1.59*3.5)</f>
        <v>198.74213836477986</v>
      </c>
      <c r="F504" s="13" t="s">
        <v>1177</v>
      </c>
      <c r="G504" s="13" t="s">
        <v>1177</v>
      </c>
      <c r="H504" s="13"/>
      <c r="I504" s="4" t="s">
        <v>1174</v>
      </c>
    </row>
    <row r="505" spans="1:9" ht="15.75" customHeight="1" x14ac:dyDescent="0.25">
      <c r="A505" s="10">
        <f t="shared" si="22"/>
        <v>1</v>
      </c>
      <c r="B505" s="10" t="s">
        <v>2420</v>
      </c>
      <c r="C505" s="11" t="s">
        <v>69</v>
      </c>
      <c r="D505" s="13">
        <f>E505*$D$1</f>
        <v>252.83018867924525</v>
      </c>
      <c r="E505" s="13">
        <f>1407/(1.59*3.5)</f>
        <v>252.83018867924525</v>
      </c>
      <c r="F505" s="13" t="s">
        <v>1177</v>
      </c>
      <c r="G505" s="13" t="s">
        <v>1177</v>
      </c>
      <c r="H505" s="13"/>
      <c r="I505" s="4" t="s">
        <v>1174</v>
      </c>
    </row>
    <row r="506" spans="1:9" ht="15.75" customHeight="1" x14ac:dyDescent="0.25">
      <c r="A506" s="10">
        <f t="shared" si="22"/>
        <v>1</v>
      </c>
      <c r="B506" s="10" t="s">
        <v>2485</v>
      </c>
      <c r="C506" s="11" t="s">
        <v>69</v>
      </c>
      <c r="D506" s="13">
        <f>E506*$D$1</f>
        <v>252.74034141958668</v>
      </c>
      <c r="E506" s="13">
        <f>2813/(3.18*3.5)</f>
        <v>252.74034141958668</v>
      </c>
      <c r="F506" s="13" t="s">
        <v>1177</v>
      </c>
      <c r="G506" s="13" t="s">
        <v>1177</v>
      </c>
      <c r="H506" s="13"/>
      <c r="I506" s="4" t="s">
        <v>1174</v>
      </c>
    </row>
    <row r="507" spans="1:9" ht="15.75" customHeight="1" x14ac:dyDescent="0.25">
      <c r="A507" s="10">
        <f t="shared" si="22"/>
        <v>1</v>
      </c>
      <c r="B507" s="10" t="s">
        <v>942</v>
      </c>
      <c r="C507" s="11" t="s">
        <v>196</v>
      </c>
      <c r="D507" s="13">
        <f t="shared" si="16"/>
        <v>0.34</v>
      </c>
      <c r="E507" s="13">
        <v>0.34</v>
      </c>
      <c r="F507" s="13" t="s">
        <v>1178</v>
      </c>
      <c r="G507" s="13" t="s">
        <v>1178</v>
      </c>
      <c r="H507" s="13"/>
      <c r="I507" s="4" t="s">
        <v>1150</v>
      </c>
    </row>
    <row r="508" spans="1:9" ht="15.75" customHeight="1" x14ac:dyDescent="0.25">
      <c r="A508" s="10">
        <f t="shared" si="22"/>
        <v>1</v>
      </c>
      <c r="B508" s="10" t="s">
        <v>959</v>
      </c>
      <c r="C508" s="11" t="s">
        <v>196</v>
      </c>
      <c r="D508" s="13">
        <f t="shared" si="16"/>
        <v>0.6</v>
      </c>
      <c r="E508" s="13">
        <v>0.6</v>
      </c>
      <c r="F508" s="13" t="s">
        <v>1178</v>
      </c>
      <c r="G508" s="13" t="s">
        <v>1178</v>
      </c>
      <c r="H508" s="13"/>
      <c r="I508" s="4" t="s">
        <v>1150</v>
      </c>
    </row>
    <row r="509" spans="1:9" ht="15.75" customHeight="1" x14ac:dyDescent="0.25">
      <c r="A509" s="10">
        <f t="shared" si="22"/>
        <v>1</v>
      </c>
      <c r="B509" s="10" t="s">
        <v>933</v>
      </c>
      <c r="C509" s="11" t="s">
        <v>196</v>
      </c>
      <c r="D509" s="13">
        <f t="shared" si="16"/>
        <v>0.34</v>
      </c>
      <c r="E509" s="13">
        <v>0.34</v>
      </c>
      <c r="F509" s="13" t="s">
        <v>1178</v>
      </c>
      <c r="G509" s="13" t="s">
        <v>1178</v>
      </c>
      <c r="H509" s="13"/>
      <c r="I509" s="4" t="s">
        <v>1150</v>
      </c>
    </row>
    <row r="510" spans="1:9" ht="15.75" customHeight="1" x14ac:dyDescent="0.25">
      <c r="A510" s="10"/>
      <c r="B510" s="10" t="s">
        <v>2864</v>
      </c>
      <c r="C510" s="11" t="s">
        <v>69</v>
      </c>
      <c r="D510" s="13">
        <f>E510*$D$1</f>
        <v>470.28409090909088</v>
      </c>
      <c r="E510" s="13">
        <v>470.28409090909088</v>
      </c>
      <c r="F510" s="13" t="s">
        <v>1200</v>
      </c>
      <c r="G510" s="13" t="s">
        <v>1200</v>
      </c>
      <c r="H510" s="13" t="s">
        <v>2865</v>
      </c>
      <c r="I510" s="4" t="s">
        <v>1201</v>
      </c>
    </row>
    <row r="511" spans="1:9" ht="15.75" customHeight="1" x14ac:dyDescent="0.25">
      <c r="A511" s="10"/>
      <c r="B511" s="10" t="s">
        <v>2812</v>
      </c>
      <c r="C511" s="11" t="s">
        <v>193</v>
      </c>
      <c r="D511" s="13">
        <f>E511*$D$1</f>
        <v>12000</v>
      </c>
      <c r="E511" s="13">
        <v>12000</v>
      </c>
      <c r="F511" s="13" t="s">
        <v>1200</v>
      </c>
      <c r="G511" s="13" t="s">
        <v>1200</v>
      </c>
      <c r="H511" s="13"/>
      <c r="I511" s="4" t="s">
        <v>1201</v>
      </c>
    </row>
    <row r="512" spans="1:9" ht="15.75" customHeight="1" x14ac:dyDescent="0.25">
      <c r="A512" s="10">
        <f t="shared" ref="A512:A577" si="23">COUNTIFS($B$2:$B$996,B512)</f>
        <v>1</v>
      </c>
      <c r="B512" s="10" t="s">
        <v>1015</v>
      </c>
      <c r="C512" s="11" t="s">
        <v>1179</v>
      </c>
      <c r="D512" s="13">
        <f t="shared" si="16"/>
        <v>0.26</v>
      </c>
      <c r="E512" s="13">
        <v>0.26</v>
      </c>
      <c r="F512" s="13" t="s">
        <v>1178</v>
      </c>
      <c r="G512" s="13" t="s">
        <v>1178</v>
      </c>
      <c r="H512" s="13"/>
      <c r="I512" s="4" t="s">
        <v>1150</v>
      </c>
    </row>
    <row r="513" spans="1:9" ht="15.75" customHeight="1" x14ac:dyDescent="0.25">
      <c r="A513" s="10">
        <f t="shared" si="23"/>
        <v>1</v>
      </c>
      <c r="B513" s="10" t="s">
        <v>2671</v>
      </c>
      <c r="C513" s="11" t="s">
        <v>641</v>
      </c>
      <c r="D513" s="13">
        <f>E513*$D$1</f>
        <v>90</v>
      </c>
      <c r="E513" s="13">
        <v>90</v>
      </c>
      <c r="F513" s="13" t="s">
        <v>1178</v>
      </c>
      <c r="G513" s="13" t="s">
        <v>1178</v>
      </c>
      <c r="H513" s="13"/>
      <c r="I513" s="4" t="s">
        <v>1150</v>
      </c>
    </row>
    <row r="514" spans="1:9" ht="15.75" customHeight="1" x14ac:dyDescent="0.25">
      <c r="A514" s="10">
        <f t="shared" si="23"/>
        <v>1</v>
      </c>
      <c r="B514" s="10" t="s">
        <v>960</v>
      </c>
      <c r="C514" s="11" t="s">
        <v>196</v>
      </c>
      <c r="D514" s="13">
        <f t="shared" si="16"/>
        <v>24.95</v>
      </c>
      <c r="E514" s="13">
        <v>24.95</v>
      </c>
      <c r="F514" s="13" t="s">
        <v>1178</v>
      </c>
      <c r="G514" s="13" t="s">
        <v>1178</v>
      </c>
      <c r="H514" s="13"/>
      <c r="I514" s="4" t="s">
        <v>1150</v>
      </c>
    </row>
    <row r="515" spans="1:9" ht="15.75" customHeight="1" x14ac:dyDescent="0.25">
      <c r="A515" s="10">
        <f t="shared" si="23"/>
        <v>1</v>
      </c>
      <c r="B515" s="10" t="s">
        <v>947</v>
      </c>
      <c r="C515" s="11" t="s">
        <v>196</v>
      </c>
      <c r="D515" s="13">
        <f t="shared" si="16"/>
        <v>5.95</v>
      </c>
      <c r="E515" s="13">
        <v>5.95</v>
      </c>
      <c r="F515" s="13" t="s">
        <v>1178</v>
      </c>
      <c r="G515" s="13" t="s">
        <v>1178</v>
      </c>
      <c r="H515" s="13"/>
      <c r="I515" s="4" t="s">
        <v>1150</v>
      </c>
    </row>
    <row r="516" spans="1:9" ht="15.75" customHeight="1" x14ac:dyDescent="0.25">
      <c r="A516" s="10">
        <f t="shared" si="23"/>
        <v>1</v>
      </c>
      <c r="B516" s="10" t="s">
        <v>934</v>
      </c>
      <c r="C516" s="11" t="s">
        <v>196</v>
      </c>
      <c r="D516" s="13">
        <f t="shared" si="16"/>
        <v>5.95</v>
      </c>
      <c r="E516" s="13">
        <v>5.95</v>
      </c>
      <c r="F516" s="13" t="s">
        <v>1178</v>
      </c>
      <c r="G516" s="13" t="s">
        <v>1178</v>
      </c>
      <c r="H516" s="13"/>
      <c r="I516" s="4" t="s">
        <v>1150</v>
      </c>
    </row>
    <row r="517" spans="1:9" ht="15.75" customHeight="1" x14ac:dyDescent="0.25">
      <c r="A517" s="10">
        <f t="shared" si="23"/>
        <v>1</v>
      </c>
      <c r="B517" s="10" t="s">
        <v>1016</v>
      </c>
      <c r="C517" s="11" t="s">
        <v>196</v>
      </c>
      <c r="D517" s="13">
        <f t="shared" si="16"/>
        <v>4</v>
      </c>
      <c r="E517" s="13">
        <v>4</v>
      </c>
      <c r="F517" s="13" t="s">
        <v>1178</v>
      </c>
      <c r="G517" s="13" t="s">
        <v>1178</v>
      </c>
      <c r="H517" s="13"/>
      <c r="I517" s="4" t="s">
        <v>1150</v>
      </c>
    </row>
    <row r="518" spans="1:9" ht="14.25" x14ac:dyDescent="0.2">
      <c r="A518" s="10">
        <f t="shared" si="23"/>
        <v>1</v>
      </c>
      <c r="B518" s="82" t="s">
        <v>1692</v>
      </c>
      <c r="C518" s="78" t="s">
        <v>205</v>
      </c>
      <c r="D518" s="79">
        <f>E518*$D$1</f>
        <v>15.85</v>
      </c>
      <c r="E518" s="79">
        <v>15.85</v>
      </c>
      <c r="F518" s="79" t="s">
        <v>1178</v>
      </c>
      <c r="G518" s="79" t="s">
        <v>1178</v>
      </c>
      <c r="H518" s="79"/>
      <c r="I518" s="80" t="s">
        <v>1150</v>
      </c>
    </row>
    <row r="519" spans="1:9" ht="15.75" customHeight="1" x14ac:dyDescent="0.25">
      <c r="A519" s="10">
        <f t="shared" si="23"/>
        <v>1</v>
      </c>
      <c r="B519" s="10" t="s">
        <v>1180</v>
      </c>
      <c r="C519" s="11" t="s">
        <v>205</v>
      </c>
      <c r="D519" s="13">
        <f t="shared" si="16"/>
        <v>17.63</v>
      </c>
      <c r="E519" s="13">
        <v>17.63</v>
      </c>
      <c r="F519" s="13" t="s">
        <v>1178</v>
      </c>
      <c r="G519" s="13" t="s">
        <v>1178</v>
      </c>
      <c r="H519" s="13"/>
      <c r="I519" s="4" t="s">
        <v>1150</v>
      </c>
    </row>
    <row r="520" spans="1:9" ht="15.75" customHeight="1" x14ac:dyDescent="0.25">
      <c r="A520" s="10">
        <f t="shared" si="23"/>
        <v>1</v>
      </c>
      <c r="B520" s="10" t="s">
        <v>231</v>
      </c>
      <c r="C520" s="11" t="s">
        <v>205</v>
      </c>
      <c r="D520" s="13">
        <f t="shared" si="16"/>
        <v>18.8</v>
      </c>
      <c r="E520" s="13">
        <v>18.8</v>
      </c>
      <c r="F520" s="13" t="s">
        <v>1178</v>
      </c>
      <c r="G520" s="13" t="s">
        <v>1178</v>
      </c>
      <c r="H520" s="13"/>
      <c r="I520" s="4" t="s">
        <v>1150</v>
      </c>
    </row>
    <row r="521" spans="1:9" ht="15.75" customHeight="1" x14ac:dyDescent="0.25">
      <c r="A521" s="10">
        <f t="shared" si="23"/>
        <v>1</v>
      </c>
      <c r="B521" s="10" t="s">
        <v>115</v>
      </c>
      <c r="C521" s="11" t="s">
        <v>205</v>
      </c>
      <c r="D521" s="13">
        <f t="shared" si="16"/>
        <v>13.08</v>
      </c>
      <c r="E521" s="13">
        <v>13.08</v>
      </c>
      <c r="F521" s="13" t="s">
        <v>1178</v>
      </c>
      <c r="G521" s="13" t="s">
        <v>1178</v>
      </c>
      <c r="H521" s="13"/>
      <c r="I521" s="4" t="s">
        <v>1150</v>
      </c>
    </row>
    <row r="522" spans="1:9" ht="15.75" customHeight="1" x14ac:dyDescent="0.25">
      <c r="A522" s="10">
        <f t="shared" si="23"/>
        <v>1</v>
      </c>
      <c r="B522" s="10" t="s">
        <v>86</v>
      </c>
      <c r="C522" s="11" t="s">
        <v>205</v>
      </c>
      <c r="D522" s="13">
        <f t="shared" si="16"/>
        <v>18.13</v>
      </c>
      <c r="E522" s="13">
        <v>18.13</v>
      </c>
      <c r="F522" s="13" t="s">
        <v>1178</v>
      </c>
      <c r="G522" s="13" t="s">
        <v>1178</v>
      </c>
      <c r="H522" s="13"/>
      <c r="I522" s="4" t="s">
        <v>1150</v>
      </c>
    </row>
    <row r="523" spans="1:9" ht="15.75" customHeight="1" x14ac:dyDescent="0.25">
      <c r="A523" s="10">
        <f t="shared" si="23"/>
        <v>1</v>
      </c>
      <c r="B523" s="10" t="s">
        <v>307</v>
      </c>
      <c r="C523" s="11" t="s">
        <v>205</v>
      </c>
      <c r="D523" s="13">
        <f t="shared" si="16"/>
        <v>12.7</v>
      </c>
      <c r="E523" s="13">
        <v>12.7</v>
      </c>
      <c r="F523" s="13" t="s">
        <v>1178</v>
      </c>
      <c r="G523" s="13" t="s">
        <v>1178</v>
      </c>
      <c r="H523" s="13" t="s">
        <v>1570</v>
      </c>
      <c r="I523" s="4" t="s">
        <v>1150</v>
      </c>
    </row>
    <row r="524" spans="1:9" ht="15.75" customHeight="1" x14ac:dyDescent="0.25">
      <c r="A524" s="10">
        <f t="shared" si="23"/>
        <v>1</v>
      </c>
      <c r="B524" s="10" t="s">
        <v>134</v>
      </c>
      <c r="C524" s="11" t="s">
        <v>205</v>
      </c>
      <c r="D524" s="13">
        <f t="shared" si="16"/>
        <v>15.65</v>
      </c>
      <c r="E524" s="13">
        <v>15.65</v>
      </c>
      <c r="F524" s="13" t="s">
        <v>1178</v>
      </c>
      <c r="G524" s="13" t="s">
        <v>1178</v>
      </c>
      <c r="H524" s="13"/>
      <c r="I524" s="4" t="s">
        <v>1150</v>
      </c>
    </row>
    <row r="525" spans="1:9" ht="15.75" customHeight="1" x14ac:dyDescent="0.25">
      <c r="A525" s="10">
        <f t="shared" si="23"/>
        <v>1</v>
      </c>
      <c r="B525" s="10" t="s">
        <v>1181</v>
      </c>
      <c r="C525" s="11" t="s">
        <v>205</v>
      </c>
      <c r="D525" s="13">
        <f t="shared" si="16"/>
        <v>15.9</v>
      </c>
      <c r="E525" s="13">
        <v>15.9</v>
      </c>
      <c r="F525" s="13" t="s">
        <v>1178</v>
      </c>
      <c r="G525" s="13" t="s">
        <v>1178</v>
      </c>
      <c r="H525" s="13"/>
      <c r="I525" s="4" t="s">
        <v>1150</v>
      </c>
    </row>
    <row r="526" spans="1:9" ht="15.75" customHeight="1" x14ac:dyDescent="0.25">
      <c r="A526" s="10">
        <f t="shared" si="23"/>
        <v>1</v>
      </c>
      <c r="B526" s="10" t="s">
        <v>1182</v>
      </c>
      <c r="C526" s="11" t="s">
        <v>205</v>
      </c>
      <c r="D526" s="13">
        <f t="shared" si="16"/>
        <v>16.04</v>
      </c>
      <c r="E526" s="13">
        <v>16.04</v>
      </c>
      <c r="F526" s="13" t="s">
        <v>1178</v>
      </c>
      <c r="G526" s="13" t="s">
        <v>1178</v>
      </c>
      <c r="H526" s="13"/>
      <c r="I526" s="4" t="s">
        <v>1150</v>
      </c>
    </row>
    <row r="527" spans="1:9" ht="15.75" customHeight="1" x14ac:dyDescent="0.25">
      <c r="A527" s="10">
        <f t="shared" si="23"/>
        <v>1</v>
      </c>
      <c r="B527" s="10" t="s">
        <v>74</v>
      </c>
      <c r="C527" s="11" t="s">
        <v>205</v>
      </c>
      <c r="D527" s="13">
        <f t="shared" si="16"/>
        <v>10.029999999999999</v>
      </c>
      <c r="E527" s="13">
        <v>10.029999999999999</v>
      </c>
      <c r="F527" s="13" t="s">
        <v>1178</v>
      </c>
      <c r="G527" s="13" t="s">
        <v>1178</v>
      </c>
      <c r="H527" s="13"/>
      <c r="I527" s="4" t="s">
        <v>1150</v>
      </c>
    </row>
    <row r="528" spans="1:9" ht="15.75" customHeight="1" x14ac:dyDescent="0.25">
      <c r="A528" s="10">
        <f t="shared" si="23"/>
        <v>1</v>
      </c>
      <c r="B528" s="10" t="s">
        <v>1022</v>
      </c>
      <c r="C528" s="11" t="s">
        <v>205</v>
      </c>
      <c r="D528" s="13">
        <f t="shared" si="16"/>
        <v>71.510000000000005</v>
      </c>
      <c r="E528" s="13">
        <v>71.510000000000005</v>
      </c>
      <c r="F528" s="13" t="s">
        <v>1178</v>
      </c>
      <c r="G528" s="13" t="s">
        <v>1178</v>
      </c>
      <c r="H528" s="13"/>
      <c r="I528" s="4" t="s">
        <v>1150</v>
      </c>
    </row>
    <row r="529" spans="1:9" ht="15.75" customHeight="1" x14ac:dyDescent="0.25">
      <c r="A529" s="10">
        <f t="shared" si="23"/>
        <v>1</v>
      </c>
      <c r="B529" s="10" t="s">
        <v>306</v>
      </c>
      <c r="C529" s="11" t="s">
        <v>69</v>
      </c>
      <c r="D529" s="13">
        <f t="shared" si="16"/>
        <v>59.4</v>
      </c>
      <c r="E529" s="13">
        <v>59.4</v>
      </c>
      <c r="F529" s="13" t="s">
        <v>1183</v>
      </c>
      <c r="G529" s="13" t="s">
        <v>1183</v>
      </c>
      <c r="H529" s="13"/>
      <c r="I529" s="4" t="s">
        <v>1184</v>
      </c>
    </row>
    <row r="530" spans="1:9" ht="15.75" customHeight="1" x14ac:dyDescent="0.25">
      <c r="A530" s="10">
        <f t="shared" si="23"/>
        <v>1</v>
      </c>
      <c r="B530" s="10" t="s">
        <v>208</v>
      </c>
      <c r="C530" s="11" t="s">
        <v>196</v>
      </c>
      <c r="D530" s="13">
        <f t="shared" si="16"/>
        <v>0.27</v>
      </c>
      <c r="E530" s="13">
        <v>0.27</v>
      </c>
      <c r="F530" s="13" t="s">
        <v>1174</v>
      </c>
      <c r="G530" s="13" t="s">
        <v>1090</v>
      </c>
      <c r="H530" s="13"/>
      <c r="I530" s="4" t="s">
        <v>1174</v>
      </c>
    </row>
    <row r="531" spans="1:9" ht="15.75" customHeight="1" x14ac:dyDescent="0.25">
      <c r="A531" s="10">
        <f t="shared" si="23"/>
        <v>1</v>
      </c>
      <c r="B531" s="10" t="s">
        <v>505</v>
      </c>
      <c r="C531" s="11" t="s">
        <v>196</v>
      </c>
      <c r="D531" s="13">
        <f t="shared" si="16"/>
        <v>0.08</v>
      </c>
      <c r="E531" s="13">
        <v>0.08</v>
      </c>
      <c r="F531" s="13" t="s">
        <v>1174</v>
      </c>
      <c r="G531" s="13" t="s">
        <v>1090</v>
      </c>
      <c r="H531" s="13"/>
      <c r="I531" s="4" t="s">
        <v>1174</v>
      </c>
    </row>
    <row r="532" spans="1:9" ht="15.75" customHeight="1" x14ac:dyDescent="0.25">
      <c r="A532" s="10">
        <f t="shared" si="23"/>
        <v>1</v>
      </c>
      <c r="B532" s="10" t="s">
        <v>520</v>
      </c>
      <c r="C532" s="11" t="s">
        <v>196</v>
      </c>
      <c r="D532" s="13">
        <f t="shared" si="16"/>
        <v>0.05</v>
      </c>
      <c r="E532" s="13">
        <v>0.05</v>
      </c>
      <c r="F532" s="13" t="s">
        <v>1174</v>
      </c>
      <c r="G532" s="13" t="s">
        <v>1090</v>
      </c>
      <c r="H532" s="13"/>
      <c r="I532" s="4" t="s">
        <v>1174</v>
      </c>
    </row>
    <row r="533" spans="1:9" ht="15.75" customHeight="1" x14ac:dyDescent="0.25">
      <c r="A533" s="10">
        <f t="shared" si="23"/>
        <v>1</v>
      </c>
      <c r="B533" s="10" t="s">
        <v>2576</v>
      </c>
      <c r="C533" s="11" t="s">
        <v>69</v>
      </c>
      <c r="D533" s="13">
        <f>E533*$D$1</f>
        <v>450</v>
      </c>
      <c r="E533" s="13">
        <v>450</v>
      </c>
      <c r="F533" s="13" t="s">
        <v>1174</v>
      </c>
      <c r="G533" s="13" t="s">
        <v>1090</v>
      </c>
      <c r="H533" s="13"/>
      <c r="I533" s="4" t="s">
        <v>1174</v>
      </c>
    </row>
    <row r="534" spans="1:9" ht="15.75" customHeight="1" x14ac:dyDescent="0.25">
      <c r="A534" s="10">
        <f t="shared" si="23"/>
        <v>1</v>
      </c>
      <c r="B534" s="10" t="s">
        <v>24</v>
      </c>
      <c r="C534" s="11" t="s">
        <v>69</v>
      </c>
      <c r="D534" s="13">
        <f t="shared" ref="D534:D540" si="24">E534*$D$1</f>
        <v>80</v>
      </c>
      <c r="E534" s="13">
        <v>80</v>
      </c>
      <c r="F534" s="13" t="s">
        <v>1174</v>
      </c>
      <c r="G534" s="13" t="s">
        <v>1090</v>
      </c>
      <c r="H534" s="13"/>
      <c r="I534" s="4" t="s">
        <v>1174</v>
      </c>
    </row>
    <row r="535" spans="1:9" ht="15.75" customHeight="1" x14ac:dyDescent="0.25">
      <c r="A535" s="10">
        <f t="shared" si="23"/>
        <v>1</v>
      </c>
      <c r="B535" s="10" t="s">
        <v>2577</v>
      </c>
      <c r="C535" s="11" t="s">
        <v>69</v>
      </c>
      <c r="D535" s="13">
        <f t="shared" si="24"/>
        <v>160</v>
      </c>
      <c r="E535" s="13">
        <v>160</v>
      </c>
      <c r="F535" s="13" t="s">
        <v>1174</v>
      </c>
      <c r="G535" s="13" t="s">
        <v>1090</v>
      </c>
      <c r="H535" s="13"/>
      <c r="I535" s="4" t="s">
        <v>1174</v>
      </c>
    </row>
    <row r="536" spans="1:9" ht="15.75" customHeight="1" x14ac:dyDescent="0.25">
      <c r="A536" s="10">
        <f t="shared" si="23"/>
        <v>1</v>
      </c>
      <c r="B536" s="10" t="s">
        <v>2578</v>
      </c>
      <c r="C536" s="11" t="s">
        <v>69</v>
      </c>
      <c r="D536" s="13">
        <f t="shared" si="24"/>
        <v>140</v>
      </c>
      <c r="E536" s="13">
        <v>140</v>
      </c>
      <c r="F536" s="13" t="s">
        <v>1174</v>
      </c>
      <c r="G536" s="13" t="s">
        <v>1090</v>
      </c>
      <c r="H536" s="13"/>
      <c r="I536" s="4" t="s">
        <v>1174</v>
      </c>
    </row>
    <row r="537" spans="1:9" ht="15.75" customHeight="1" x14ac:dyDescent="0.25">
      <c r="A537" s="10">
        <f t="shared" si="23"/>
        <v>1</v>
      </c>
      <c r="B537" s="10" t="s">
        <v>2579</v>
      </c>
      <c r="C537" s="11" t="s">
        <v>69</v>
      </c>
      <c r="D537" s="13">
        <f t="shared" si="24"/>
        <v>25</v>
      </c>
      <c r="E537" s="13">
        <v>25</v>
      </c>
      <c r="F537" s="13" t="s">
        <v>1174</v>
      </c>
      <c r="G537" s="13" t="s">
        <v>1090</v>
      </c>
      <c r="H537" s="13"/>
      <c r="I537" s="4" t="s">
        <v>1174</v>
      </c>
    </row>
    <row r="538" spans="1:9" ht="15.75" customHeight="1" x14ac:dyDescent="0.25">
      <c r="A538" s="10">
        <f t="shared" si="23"/>
        <v>1</v>
      </c>
      <c r="B538" s="10" t="s">
        <v>2580</v>
      </c>
      <c r="C538" s="11" t="s">
        <v>69</v>
      </c>
      <c r="D538" s="13">
        <f t="shared" si="24"/>
        <v>260</v>
      </c>
      <c r="E538" s="13">
        <v>260</v>
      </c>
      <c r="F538" s="13" t="s">
        <v>1174</v>
      </c>
      <c r="G538" s="13" t="s">
        <v>1090</v>
      </c>
      <c r="H538" s="13"/>
      <c r="I538" s="4" t="s">
        <v>1174</v>
      </c>
    </row>
    <row r="539" spans="1:9" ht="15.75" customHeight="1" x14ac:dyDescent="0.25">
      <c r="A539" s="10">
        <f t="shared" si="23"/>
        <v>1</v>
      </c>
      <c r="B539" s="10" t="s">
        <v>2581</v>
      </c>
      <c r="C539" s="11" t="s">
        <v>69</v>
      </c>
      <c r="D539" s="13">
        <f t="shared" si="24"/>
        <v>320</v>
      </c>
      <c r="E539" s="13">
        <v>320</v>
      </c>
      <c r="F539" s="13" t="s">
        <v>1174</v>
      </c>
      <c r="G539" s="13" t="s">
        <v>1090</v>
      </c>
      <c r="H539" s="13"/>
      <c r="I539" s="4" t="s">
        <v>1174</v>
      </c>
    </row>
    <row r="540" spans="1:9" ht="15.75" customHeight="1" x14ac:dyDescent="0.25">
      <c r="A540" s="10">
        <f t="shared" si="23"/>
        <v>1</v>
      </c>
      <c r="B540" s="10" t="s">
        <v>2582</v>
      </c>
      <c r="C540" s="11" t="s">
        <v>69</v>
      </c>
      <c r="D540" s="13">
        <f t="shared" si="24"/>
        <v>90</v>
      </c>
      <c r="E540" s="13">
        <v>90</v>
      </c>
      <c r="F540" s="13" t="s">
        <v>1174</v>
      </c>
      <c r="G540" s="13" t="s">
        <v>1090</v>
      </c>
      <c r="H540" s="13"/>
      <c r="I540" s="4" t="s">
        <v>1174</v>
      </c>
    </row>
    <row r="541" spans="1:9" ht="15.75" customHeight="1" x14ac:dyDescent="0.25">
      <c r="A541" s="10">
        <f t="shared" si="23"/>
        <v>1</v>
      </c>
      <c r="B541" s="10" t="s">
        <v>640</v>
      </c>
      <c r="C541" s="11" t="s">
        <v>69</v>
      </c>
      <c r="D541" s="13">
        <f t="shared" si="16"/>
        <v>1904.7619047619048</v>
      </c>
      <c r="E541" s="13">
        <v>1904.7619047619048</v>
      </c>
      <c r="F541" s="13" t="s">
        <v>1174</v>
      </c>
      <c r="G541" s="13" t="s">
        <v>1090</v>
      </c>
      <c r="H541" s="13"/>
      <c r="I541" s="4" t="s">
        <v>1174</v>
      </c>
    </row>
    <row r="542" spans="1:9" ht="15.75" customHeight="1" x14ac:dyDescent="0.25">
      <c r="A542" s="10">
        <f t="shared" si="23"/>
        <v>1</v>
      </c>
      <c r="B542" s="10" t="s">
        <v>639</v>
      </c>
      <c r="C542" s="11" t="s">
        <v>112</v>
      </c>
      <c r="D542" s="13">
        <f t="shared" si="16"/>
        <v>133.33333333333334</v>
      </c>
      <c r="E542" s="13">
        <v>133.33333333333334</v>
      </c>
      <c r="F542" s="13" t="s">
        <v>1174</v>
      </c>
      <c r="G542" s="13" t="s">
        <v>1090</v>
      </c>
      <c r="H542" s="13"/>
      <c r="I542" s="4" t="s">
        <v>1174</v>
      </c>
    </row>
    <row r="543" spans="1:9" x14ac:dyDescent="0.25">
      <c r="A543" s="10">
        <f t="shared" si="23"/>
        <v>1</v>
      </c>
      <c r="B543" s="77" t="s">
        <v>1667</v>
      </c>
      <c r="C543" s="78" t="s">
        <v>196</v>
      </c>
      <c r="D543" s="79">
        <f>E543*$D$1</f>
        <v>33.9</v>
      </c>
      <c r="E543" s="79">
        <v>33.9</v>
      </c>
      <c r="F543" s="79" t="s">
        <v>1174</v>
      </c>
      <c r="G543" s="79" t="s">
        <v>1090</v>
      </c>
      <c r="H543" s="79"/>
      <c r="I543" s="4" t="s">
        <v>1174</v>
      </c>
    </row>
    <row r="544" spans="1:9" ht="15.75" customHeight="1" x14ac:dyDescent="0.25">
      <c r="A544" s="10">
        <f t="shared" si="23"/>
        <v>1</v>
      </c>
      <c r="B544" s="10" t="s">
        <v>892</v>
      </c>
      <c r="C544" s="11" t="s">
        <v>641</v>
      </c>
      <c r="D544" s="13">
        <f t="shared" si="16"/>
        <v>85.55</v>
      </c>
      <c r="E544" s="13">
        <v>85.55</v>
      </c>
      <c r="F544" s="13" t="s">
        <v>1174</v>
      </c>
      <c r="G544" s="13" t="s">
        <v>1090</v>
      </c>
      <c r="H544" s="13"/>
      <c r="I544" s="4" t="s">
        <v>1174</v>
      </c>
    </row>
    <row r="545" spans="1:9" ht="15.75" customHeight="1" x14ac:dyDescent="0.25">
      <c r="A545" s="10">
        <f t="shared" si="23"/>
        <v>1</v>
      </c>
      <c r="B545" s="10" t="s">
        <v>2388</v>
      </c>
      <c r="C545" s="11" t="s">
        <v>205</v>
      </c>
      <c r="D545" s="13">
        <f>E545*$D$1</f>
        <v>38</v>
      </c>
      <c r="E545" s="13">
        <v>38</v>
      </c>
      <c r="F545" s="13" t="s">
        <v>1174</v>
      </c>
      <c r="G545" s="13" t="s">
        <v>1185</v>
      </c>
      <c r="H545" s="13"/>
      <c r="I545" s="4" t="s">
        <v>1174</v>
      </c>
    </row>
    <row r="546" spans="1:9" ht="15.75" customHeight="1" x14ac:dyDescent="0.25">
      <c r="A546" s="10">
        <f t="shared" si="23"/>
        <v>1</v>
      </c>
      <c r="B546" s="10" t="s">
        <v>660</v>
      </c>
      <c r="C546" s="11" t="s">
        <v>205</v>
      </c>
      <c r="D546" s="13">
        <f t="shared" si="16"/>
        <v>43.8</v>
      </c>
      <c r="E546" s="13">
        <v>43.8</v>
      </c>
      <c r="F546" s="13" t="s">
        <v>1174</v>
      </c>
      <c r="G546" s="13" t="s">
        <v>1185</v>
      </c>
      <c r="H546" s="13"/>
      <c r="I546" s="4" t="s">
        <v>1174</v>
      </c>
    </row>
    <row r="547" spans="1:9" ht="15.75" customHeight="1" x14ac:dyDescent="0.25">
      <c r="A547" s="10">
        <f t="shared" si="23"/>
        <v>1</v>
      </c>
      <c r="B547" s="10" t="s">
        <v>506</v>
      </c>
      <c r="C547" s="11" t="s">
        <v>205</v>
      </c>
      <c r="D547" s="13">
        <f t="shared" si="16"/>
        <v>11.15</v>
      </c>
      <c r="E547" s="13">
        <v>11.15</v>
      </c>
      <c r="F547" s="13" t="s">
        <v>1174</v>
      </c>
      <c r="G547" s="13" t="s">
        <v>1185</v>
      </c>
      <c r="H547" s="13"/>
      <c r="I547" s="4" t="s">
        <v>1174</v>
      </c>
    </row>
    <row r="548" spans="1:9" ht="15.75" customHeight="1" x14ac:dyDescent="0.25">
      <c r="A548" s="10">
        <f t="shared" si="23"/>
        <v>1</v>
      </c>
      <c r="B548" s="10" t="s">
        <v>867</v>
      </c>
      <c r="C548" s="11" t="s">
        <v>69</v>
      </c>
      <c r="D548" s="13">
        <f t="shared" si="16"/>
        <v>503</v>
      </c>
      <c r="E548" s="13">
        <v>503</v>
      </c>
      <c r="F548" s="13" t="s">
        <v>1174</v>
      </c>
      <c r="G548" s="13" t="s">
        <v>1174</v>
      </c>
      <c r="H548" s="13"/>
      <c r="I548" s="4" t="s">
        <v>1174</v>
      </c>
    </row>
    <row r="549" spans="1:9" ht="15.75" customHeight="1" x14ac:dyDescent="0.25">
      <c r="A549" s="10">
        <f t="shared" si="23"/>
        <v>1</v>
      </c>
      <c r="B549" s="10" t="s">
        <v>1010</v>
      </c>
      <c r="C549" s="11" t="s">
        <v>69</v>
      </c>
      <c r="D549" s="13">
        <f t="shared" si="16"/>
        <v>880</v>
      </c>
      <c r="E549" s="13">
        <v>880</v>
      </c>
      <c r="F549" s="13" t="s">
        <v>1174</v>
      </c>
      <c r="G549" s="13" t="s">
        <v>1174</v>
      </c>
      <c r="H549" s="13"/>
      <c r="I549" s="4" t="s">
        <v>1174</v>
      </c>
    </row>
    <row r="550" spans="1:9" ht="15.75" customHeight="1" x14ac:dyDescent="0.25">
      <c r="A550" s="10">
        <f t="shared" si="23"/>
        <v>1</v>
      </c>
      <c r="B550" s="10" t="s">
        <v>1437</v>
      </c>
      <c r="C550" s="11" t="s">
        <v>69</v>
      </c>
      <c r="D550" s="13">
        <f t="shared" si="16"/>
        <v>986.4</v>
      </c>
      <c r="E550" s="13">
        <f>411*1.2*2</f>
        <v>986.4</v>
      </c>
      <c r="F550" s="13" t="s">
        <v>1174</v>
      </c>
      <c r="G550" s="13" t="s">
        <v>1174</v>
      </c>
      <c r="H550" s="13"/>
      <c r="I550" s="4" t="s">
        <v>1174</v>
      </c>
    </row>
    <row r="551" spans="1:9" ht="15.75" customHeight="1" x14ac:dyDescent="0.25">
      <c r="A551" s="10">
        <f t="shared" si="23"/>
        <v>1</v>
      </c>
      <c r="B551" s="10" t="s">
        <v>911</v>
      </c>
      <c r="C551" s="11" t="s">
        <v>69</v>
      </c>
      <c r="D551" s="13">
        <f>E551*$D$1</f>
        <v>1200</v>
      </c>
      <c r="E551" s="13">
        <v>1200</v>
      </c>
      <c r="F551" s="13" t="s">
        <v>1174</v>
      </c>
      <c r="G551" s="13" t="s">
        <v>1174</v>
      </c>
      <c r="H551" s="13"/>
      <c r="I551" s="4" t="s">
        <v>1174</v>
      </c>
    </row>
    <row r="552" spans="1:9" ht="15.75" customHeight="1" x14ac:dyDescent="0.25">
      <c r="A552" s="10">
        <f t="shared" si="23"/>
        <v>1</v>
      </c>
      <c r="B552" s="10" t="s">
        <v>881</v>
      </c>
      <c r="C552" s="11" t="s">
        <v>69</v>
      </c>
      <c r="D552" s="13">
        <f t="shared" si="16"/>
        <v>1200</v>
      </c>
      <c r="E552" s="13">
        <v>1200</v>
      </c>
      <c r="F552" s="13" t="s">
        <v>1174</v>
      </c>
      <c r="G552" s="13" t="s">
        <v>1174</v>
      </c>
      <c r="H552" s="13"/>
      <c r="I552" s="4" t="s">
        <v>1174</v>
      </c>
    </row>
    <row r="553" spans="1:9" ht="15.75" customHeight="1" x14ac:dyDescent="0.25">
      <c r="A553" s="10">
        <f t="shared" si="23"/>
        <v>1</v>
      </c>
      <c r="B553" s="10" t="s">
        <v>882</v>
      </c>
      <c r="C553" s="11" t="s">
        <v>69</v>
      </c>
      <c r="D553" s="13">
        <f t="shared" si="16"/>
        <v>1200</v>
      </c>
      <c r="E553" s="13">
        <v>1200</v>
      </c>
      <c r="F553" s="13" t="s">
        <v>1174</v>
      </c>
      <c r="G553" s="13" t="s">
        <v>1174</v>
      </c>
      <c r="H553" s="13"/>
      <c r="I553" s="4" t="s">
        <v>1174</v>
      </c>
    </row>
    <row r="554" spans="1:9" ht="15.75" customHeight="1" x14ac:dyDescent="0.25">
      <c r="A554" s="10">
        <f t="shared" si="23"/>
        <v>1</v>
      </c>
      <c r="B554" s="10" t="s">
        <v>522</v>
      </c>
      <c r="C554" s="11" t="s">
        <v>69</v>
      </c>
      <c r="D554" s="13">
        <f t="shared" si="16"/>
        <v>251.36</v>
      </c>
      <c r="E554" s="13">
        <v>251.36</v>
      </c>
      <c r="F554" s="13" t="s">
        <v>1174</v>
      </c>
      <c r="G554" s="13" t="s">
        <v>1174</v>
      </c>
      <c r="H554" s="13"/>
      <c r="I554" s="4" t="s">
        <v>1174</v>
      </c>
    </row>
    <row r="555" spans="1:9" ht="15.75" customHeight="1" x14ac:dyDescent="0.25">
      <c r="A555" s="10">
        <f t="shared" si="23"/>
        <v>1</v>
      </c>
      <c r="B555" s="10" t="s">
        <v>504</v>
      </c>
      <c r="C555" s="11" t="s">
        <v>69</v>
      </c>
      <c r="D555" s="13">
        <f t="shared" si="16"/>
        <v>47.23</v>
      </c>
      <c r="E555" s="13">
        <v>47.23</v>
      </c>
      <c r="F555" s="13" t="s">
        <v>1174</v>
      </c>
      <c r="G555" s="13" t="s">
        <v>1174</v>
      </c>
      <c r="H555" s="13"/>
      <c r="I555" s="4" t="s">
        <v>1174</v>
      </c>
    </row>
    <row r="556" spans="1:9" ht="15.75" customHeight="1" x14ac:dyDescent="0.25">
      <c r="A556" s="10">
        <f t="shared" si="23"/>
        <v>1</v>
      </c>
      <c r="B556" s="10" t="s">
        <v>1492</v>
      </c>
      <c r="C556" s="11" t="s">
        <v>69</v>
      </c>
      <c r="D556" s="13">
        <f>E556*$D$1</f>
        <v>250</v>
      </c>
      <c r="E556" s="13">
        <v>250</v>
      </c>
      <c r="F556" s="13" t="s">
        <v>1174</v>
      </c>
      <c r="G556" s="13" t="s">
        <v>1174</v>
      </c>
      <c r="H556" s="13"/>
      <c r="I556" s="4" t="s">
        <v>1174</v>
      </c>
    </row>
    <row r="557" spans="1:9" ht="15.75" customHeight="1" x14ac:dyDescent="0.25">
      <c r="A557" s="10">
        <f t="shared" si="23"/>
        <v>1</v>
      </c>
      <c r="B557" s="10" t="s">
        <v>700</v>
      </c>
      <c r="C557" s="11" t="s">
        <v>69</v>
      </c>
      <c r="D557" s="13">
        <f t="shared" si="16"/>
        <v>56.675999999999995</v>
      </c>
      <c r="E557" s="13">
        <v>56.675999999999995</v>
      </c>
      <c r="F557" s="13" t="s">
        <v>1174</v>
      </c>
      <c r="G557" s="13" t="s">
        <v>1174</v>
      </c>
      <c r="H557" s="13"/>
      <c r="I557" s="4" t="s">
        <v>1174</v>
      </c>
    </row>
    <row r="558" spans="1:9" ht="14.25" x14ac:dyDescent="0.2">
      <c r="A558" s="10">
        <f t="shared" si="23"/>
        <v>1</v>
      </c>
      <c r="B558" s="77" t="s">
        <v>1731</v>
      </c>
      <c r="C558" s="78" t="s">
        <v>69</v>
      </c>
      <c r="D558" s="79">
        <f>E558*$D$1</f>
        <v>177</v>
      </c>
      <c r="E558" s="79">
        <v>177</v>
      </c>
      <c r="F558" s="79" t="s">
        <v>1174</v>
      </c>
      <c r="G558" s="79" t="s">
        <v>1174</v>
      </c>
      <c r="H558" s="79"/>
      <c r="I558" s="80" t="s">
        <v>1174</v>
      </c>
    </row>
    <row r="559" spans="1:9" ht="14.25" x14ac:dyDescent="0.2">
      <c r="A559" s="10">
        <f t="shared" si="23"/>
        <v>1</v>
      </c>
      <c r="B559" s="77" t="s">
        <v>1730</v>
      </c>
      <c r="C559" s="78" t="s">
        <v>69</v>
      </c>
      <c r="D559" s="79">
        <f>E559*$D$1</f>
        <v>63.59</v>
      </c>
      <c r="E559" s="79">
        <v>63.59</v>
      </c>
      <c r="F559" s="79" t="s">
        <v>1174</v>
      </c>
      <c r="G559" s="79" t="s">
        <v>1174</v>
      </c>
      <c r="H559" s="79"/>
      <c r="I559" s="80" t="s">
        <v>1174</v>
      </c>
    </row>
    <row r="560" spans="1:9" ht="15.75" customHeight="1" x14ac:dyDescent="0.25">
      <c r="A560" s="10">
        <f t="shared" si="23"/>
        <v>1</v>
      </c>
      <c r="B560" s="10" t="s">
        <v>637</v>
      </c>
      <c r="C560" s="11" t="s">
        <v>69</v>
      </c>
      <c r="D560" s="13">
        <f t="shared" si="16"/>
        <v>146.69999999999999</v>
      </c>
      <c r="E560" s="13">
        <v>146.69999999999999</v>
      </c>
      <c r="F560" s="13" t="s">
        <v>1174</v>
      </c>
      <c r="G560" s="13" t="s">
        <v>1174</v>
      </c>
      <c r="H560" s="13"/>
      <c r="I560" s="4" t="s">
        <v>1174</v>
      </c>
    </row>
    <row r="561" spans="1:9" ht="14.25" x14ac:dyDescent="0.2">
      <c r="A561" s="10">
        <f t="shared" si="23"/>
        <v>1</v>
      </c>
      <c r="B561" s="77" t="s">
        <v>2664</v>
      </c>
      <c r="C561" s="78" t="s">
        <v>69</v>
      </c>
      <c r="D561" s="79">
        <f t="shared" ref="D561:D571" si="25">E561*$D$1</f>
        <v>240</v>
      </c>
      <c r="E561" s="79">
        <v>240</v>
      </c>
      <c r="F561" s="79" t="s">
        <v>1174</v>
      </c>
      <c r="G561" s="79" t="s">
        <v>1174</v>
      </c>
      <c r="H561" s="79"/>
      <c r="I561" s="80" t="s">
        <v>1174</v>
      </c>
    </row>
    <row r="562" spans="1:9" ht="14.25" x14ac:dyDescent="0.2">
      <c r="A562" s="10">
        <f t="shared" si="23"/>
        <v>1</v>
      </c>
      <c r="B562" s="77" t="s">
        <v>2665</v>
      </c>
      <c r="C562" s="78" t="s">
        <v>69</v>
      </c>
      <c r="D562" s="79">
        <f t="shared" si="25"/>
        <v>216</v>
      </c>
      <c r="E562" s="79">
        <v>216</v>
      </c>
      <c r="F562" s="79" t="s">
        <v>1174</v>
      </c>
      <c r="G562" s="79" t="s">
        <v>1174</v>
      </c>
      <c r="H562" s="79"/>
      <c r="I562" s="80" t="s">
        <v>1174</v>
      </c>
    </row>
    <row r="563" spans="1:9" ht="14.25" x14ac:dyDescent="0.2">
      <c r="A563" s="10">
        <f t="shared" si="23"/>
        <v>1</v>
      </c>
      <c r="B563" s="77" t="s">
        <v>2666</v>
      </c>
      <c r="C563" s="78" t="s">
        <v>69</v>
      </c>
      <c r="D563" s="79">
        <f t="shared" si="25"/>
        <v>288</v>
      </c>
      <c r="E563" s="79">
        <v>288</v>
      </c>
      <c r="F563" s="79" t="s">
        <v>1174</v>
      </c>
      <c r="G563" s="79" t="s">
        <v>1174</v>
      </c>
      <c r="H563" s="79"/>
      <c r="I563" s="80" t="s">
        <v>1174</v>
      </c>
    </row>
    <row r="564" spans="1:9" ht="14.25" x14ac:dyDescent="0.2">
      <c r="A564" s="10">
        <f>COUNTIFS($B$2:$B$996,B564)</f>
        <v>1</v>
      </c>
      <c r="B564" s="77" t="s">
        <v>2897</v>
      </c>
      <c r="C564" s="78" t="s">
        <v>69</v>
      </c>
      <c r="D564" s="79">
        <f>E564*$D$1</f>
        <v>596.16</v>
      </c>
      <c r="E564" s="79">
        <f>16.56*36</f>
        <v>596.16</v>
      </c>
      <c r="F564" s="79" t="s">
        <v>1174</v>
      </c>
      <c r="G564" s="79" t="s">
        <v>1174</v>
      </c>
      <c r="H564" s="79"/>
      <c r="I564" s="80" t="s">
        <v>1174</v>
      </c>
    </row>
    <row r="565" spans="1:9" ht="14.25" x14ac:dyDescent="0.2">
      <c r="A565" s="10">
        <f>COUNTIFS($B$2:$B$996,B565)</f>
        <v>1</v>
      </c>
      <c r="B565" s="77" t="s">
        <v>2898</v>
      </c>
      <c r="C565" s="78" t="s">
        <v>69</v>
      </c>
      <c r="D565" s="79">
        <f>E565*$D$1</f>
        <v>636.48</v>
      </c>
      <c r="E565" s="79">
        <f>17.68*36</f>
        <v>636.48</v>
      </c>
      <c r="F565" s="79" t="s">
        <v>1174</v>
      </c>
      <c r="G565" s="79" t="s">
        <v>1174</v>
      </c>
      <c r="H565" s="79"/>
      <c r="I565" s="80" t="s">
        <v>1174</v>
      </c>
    </row>
    <row r="566" spans="1:9" ht="14.25" x14ac:dyDescent="0.2">
      <c r="A566" s="10">
        <f t="shared" si="23"/>
        <v>1</v>
      </c>
      <c r="B566" s="77" t="s">
        <v>2895</v>
      </c>
      <c r="C566" s="78" t="s">
        <v>69</v>
      </c>
      <c r="D566" s="79">
        <f t="shared" si="25"/>
        <v>993.59999999999991</v>
      </c>
      <c r="E566" s="79">
        <f>16.56*60</f>
        <v>993.59999999999991</v>
      </c>
      <c r="F566" s="79" t="s">
        <v>1174</v>
      </c>
      <c r="G566" s="79" t="s">
        <v>1174</v>
      </c>
      <c r="H566" s="79"/>
      <c r="I566" s="80" t="s">
        <v>1174</v>
      </c>
    </row>
    <row r="567" spans="1:9" ht="14.25" x14ac:dyDescent="0.2">
      <c r="A567" s="10">
        <f t="shared" si="23"/>
        <v>1</v>
      </c>
      <c r="B567" s="77" t="s">
        <v>2896</v>
      </c>
      <c r="C567" s="78" t="s">
        <v>69</v>
      </c>
      <c r="D567" s="79">
        <f t="shared" si="25"/>
        <v>1060.8</v>
      </c>
      <c r="E567" s="79">
        <f>17.68*60</f>
        <v>1060.8</v>
      </c>
      <c r="F567" s="79" t="s">
        <v>1174</v>
      </c>
      <c r="G567" s="79" t="s">
        <v>1174</v>
      </c>
      <c r="H567" s="79"/>
      <c r="I567" s="80" t="s">
        <v>1174</v>
      </c>
    </row>
    <row r="568" spans="1:9" ht="14.25" x14ac:dyDescent="0.2">
      <c r="A568" s="10">
        <f t="shared" si="23"/>
        <v>1</v>
      </c>
      <c r="B568" s="77" t="s">
        <v>2668</v>
      </c>
      <c r="C568" s="78" t="s">
        <v>69</v>
      </c>
      <c r="D568" s="79">
        <f t="shared" si="25"/>
        <v>170</v>
      </c>
      <c r="E568" s="79">
        <v>170</v>
      </c>
      <c r="F568" s="79" t="s">
        <v>1174</v>
      </c>
      <c r="G568" s="79" t="s">
        <v>1174</v>
      </c>
      <c r="H568" s="79"/>
      <c r="I568" s="80" t="s">
        <v>1174</v>
      </c>
    </row>
    <row r="569" spans="1:9" ht="14.25" x14ac:dyDescent="0.2">
      <c r="A569" s="10">
        <f t="shared" si="23"/>
        <v>1</v>
      </c>
      <c r="B569" s="77" t="s">
        <v>2667</v>
      </c>
      <c r="C569" s="78" t="s">
        <v>69</v>
      </c>
      <c r="D569" s="79">
        <f t="shared" si="25"/>
        <v>130.04</v>
      </c>
      <c r="E569" s="79">
        <v>130.04</v>
      </c>
      <c r="F569" s="79" t="s">
        <v>1174</v>
      </c>
      <c r="G569" s="79" t="s">
        <v>1174</v>
      </c>
      <c r="H569" s="79"/>
      <c r="I569" s="80" t="s">
        <v>1174</v>
      </c>
    </row>
    <row r="570" spans="1:9" ht="14.25" x14ac:dyDescent="0.2">
      <c r="A570" s="10">
        <f t="shared" si="23"/>
        <v>1</v>
      </c>
      <c r="B570" s="77" t="s">
        <v>1732</v>
      </c>
      <c r="C570" s="78" t="s">
        <v>69</v>
      </c>
      <c r="D570" s="79">
        <f t="shared" si="25"/>
        <v>69.944444444444443</v>
      </c>
      <c r="E570" s="79">
        <f>125.9/1.8</f>
        <v>69.944444444444443</v>
      </c>
      <c r="F570" s="79" t="s">
        <v>1174</v>
      </c>
      <c r="G570" s="79" t="s">
        <v>1174</v>
      </c>
      <c r="H570" s="79"/>
      <c r="I570" s="80" t="s">
        <v>1174</v>
      </c>
    </row>
    <row r="571" spans="1:9" ht="14.25" x14ac:dyDescent="0.2">
      <c r="A571" s="10">
        <f t="shared" si="23"/>
        <v>1</v>
      </c>
      <c r="B571" s="77" t="s">
        <v>1733</v>
      </c>
      <c r="C571" s="78" t="s">
        <v>69</v>
      </c>
      <c r="D571" s="79">
        <f t="shared" si="25"/>
        <v>75</v>
      </c>
      <c r="E571" s="79">
        <v>75</v>
      </c>
      <c r="F571" s="79" t="s">
        <v>1174</v>
      </c>
      <c r="G571" s="79" t="s">
        <v>1174</v>
      </c>
      <c r="H571" s="79"/>
      <c r="I571" s="80" t="s">
        <v>1174</v>
      </c>
    </row>
    <row r="572" spans="1:9" ht="14.25" x14ac:dyDescent="0.2">
      <c r="A572" s="10">
        <f t="shared" si="23"/>
        <v>1</v>
      </c>
      <c r="B572" s="77" t="s">
        <v>1734</v>
      </c>
      <c r="C572" s="78" t="s">
        <v>69</v>
      </c>
      <c r="D572" s="79">
        <f t="shared" ref="D572:D603" si="26">E572*$D$1</f>
        <v>62.9</v>
      </c>
      <c r="E572" s="79">
        <v>62.9</v>
      </c>
      <c r="F572" s="79" t="s">
        <v>1174</v>
      </c>
      <c r="G572" s="79" t="s">
        <v>1174</v>
      </c>
      <c r="H572" s="79"/>
      <c r="I572" s="80" t="s">
        <v>1174</v>
      </c>
    </row>
    <row r="573" spans="1:9" ht="14.25" x14ac:dyDescent="0.2">
      <c r="A573" s="10">
        <f t="shared" si="23"/>
        <v>1</v>
      </c>
      <c r="B573" s="77" t="s">
        <v>1735</v>
      </c>
      <c r="C573" s="78" t="s">
        <v>69</v>
      </c>
      <c r="D573" s="79">
        <f>E573*$D$1</f>
        <v>143.72999999999999</v>
      </c>
      <c r="E573" s="79">
        <v>143.72999999999999</v>
      </c>
      <c r="F573" s="79" t="s">
        <v>1174</v>
      </c>
      <c r="G573" s="79" t="s">
        <v>1174</v>
      </c>
      <c r="H573" s="79"/>
      <c r="I573" s="80" t="s">
        <v>1174</v>
      </c>
    </row>
    <row r="574" spans="1:9" ht="14.25" x14ac:dyDescent="0.2">
      <c r="A574" s="10">
        <f t="shared" si="23"/>
        <v>1</v>
      </c>
      <c r="B574" s="77" t="s">
        <v>1736</v>
      </c>
      <c r="C574" s="78" t="s">
        <v>69</v>
      </c>
      <c r="D574" s="79">
        <f t="shared" si="26"/>
        <v>119.99</v>
      </c>
      <c r="E574" s="79">
        <v>119.99</v>
      </c>
      <c r="F574" s="79" t="s">
        <v>1174</v>
      </c>
      <c r="G574" s="79" t="s">
        <v>1174</v>
      </c>
      <c r="H574" s="79"/>
      <c r="I574" s="80" t="s">
        <v>1174</v>
      </c>
    </row>
    <row r="575" spans="1:9" ht="14.25" x14ac:dyDescent="0.2">
      <c r="A575" s="10">
        <f t="shared" si="23"/>
        <v>1</v>
      </c>
      <c r="B575" s="77" t="s">
        <v>1737</v>
      </c>
      <c r="C575" s="78" t="s">
        <v>69</v>
      </c>
      <c r="D575" s="79">
        <f t="shared" si="26"/>
        <v>78.930000000000007</v>
      </c>
      <c r="E575" s="79">
        <v>78.930000000000007</v>
      </c>
      <c r="F575" s="79" t="s">
        <v>1174</v>
      </c>
      <c r="G575" s="79" t="s">
        <v>1174</v>
      </c>
      <c r="H575" s="79"/>
      <c r="I575" s="80" t="s">
        <v>1174</v>
      </c>
    </row>
    <row r="576" spans="1:9" ht="14.25" x14ac:dyDescent="0.2">
      <c r="A576" s="10">
        <f t="shared" si="23"/>
        <v>1</v>
      </c>
      <c r="B576" s="77" t="s">
        <v>1738</v>
      </c>
      <c r="C576" s="78" t="s">
        <v>69</v>
      </c>
      <c r="D576" s="79">
        <f t="shared" si="26"/>
        <v>143.76</v>
      </c>
      <c r="E576" s="79">
        <v>143.76</v>
      </c>
      <c r="F576" s="79" t="s">
        <v>1174</v>
      </c>
      <c r="G576" s="79" t="s">
        <v>1174</v>
      </c>
      <c r="H576" s="79"/>
      <c r="I576" s="80" t="s">
        <v>1174</v>
      </c>
    </row>
    <row r="577" spans="1:9" ht="14.25" x14ac:dyDescent="0.2">
      <c r="A577" s="10">
        <f t="shared" si="23"/>
        <v>1</v>
      </c>
      <c r="B577" s="77" t="s">
        <v>1739</v>
      </c>
      <c r="C577" s="78" t="s">
        <v>69</v>
      </c>
      <c r="D577" s="79">
        <f t="shared" si="26"/>
        <v>135</v>
      </c>
      <c r="E577" s="79">
        <v>135</v>
      </c>
      <c r="F577" s="79" t="s">
        <v>1174</v>
      </c>
      <c r="G577" s="79" t="s">
        <v>1174</v>
      </c>
      <c r="H577" s="79"/>
      <c r="I577" s="80" t="s">
        <v>1174</v>
      </c>
    </row>
    <row r="578" spans="1:9" ht="14.25" x14ac:dyDescent="0.2">
      <c r="A578" s="10">
        <f t="shared" ref="A578:A641" si="27">COUNTIFS($B$2:$B$996,B578)</f>
        <v>1</v>
      </c>
      <c r="B578" s="77" t="s">
        <v>1740</v>
      </c>
      <c r="C578" s="78" t="s">
        <v>69</v>
      </c>
      <c r="D578" s="79">
        <f t="shared" si="26"/>
        <v>220</v>
      </c>
      <c r="E578" s="79">
        <v>220</v>
      </c>
      <c r="F578" s="79" t="s">
        <v>1174</v>
      </c>
      <c r="G578" s="79" t="s">
        <v>1174</v>
      </c>
      <c r="H578" s="79"/>
      <c r="I578" s="80" t="s">
        <v>1174</v>
      </c>
    </row>
    <row r="579" spans="1:9" ht="14.25" x14ac:dyDescent="0.2">
      <c r="A579" s="10">
        <f t="shared" si="27"/>
        <v>1</v>
      </c>
      <c r="B579" s="77" t="s">
        <v>2518</v>
      </c>
      <c r="C579" s="78" t="s">
        <v>69</v>
      </c>
      <c r="D579" s="79">
        <f>E579*$D$1</f>
        <v>84.51</v>
      </c>
      <c r="E579" s="79">
        <v>84.51</v>
      </c>
      <c r="F579" s="79" t="s">
        <v>1174</v>
      </c>
      <c r="G579" s="79" t="s">
        <v>1174</v>
      </c>
      <c r="H579" s="79"/>
      <c r="I579" s="80" t="s">
        <v>1174</v>
      </c>
    </row>
    <row r="580" spans="1:9" ht="14.25" x14ac:dyDescent="0.2">
      <c r="A580" s="10">
        <f t="shared" si="27"/>
        <v>1</v>
      </c>
      <c r="B580" s="77" t="s">
        <v>1741</v>
      </c>
      <c r="C580" s="78" t="s">
        <v>69</v>
      </c>
      <c r="D580" s="79">
        <f t="shared" si="26"/>
        <v>115</v>
      </c>
      <c r="E580" s="79">
        <v>115</v>
      </c>
      <c r="F580" s="79" t="s">
        <v>1174</v>
      </c>
      <c r="G580" s="79" t="s">
        <v>1174</v>
      </c>
      <c r="H580" s="79"/>
      <c r="I580" s="80" t="s">
        <v>1174</v>
      </c>
    </row>
    <row r="581" spans="1:9" ht="14.25" x14ac:dyDescent="0.2">
      <c r="A581" s="10">
        <f t="shared" si="27"/>
        <v>1</v>
      </c>
      <c r="B581" s="77" t="s">
        <v>1742</v>
      </c>
      <c r="C581" s="78" t="s">
        <v>69</v>
      </c>
      <c r="D581" s="79">
        <f t="shared" si="26"/>
        <v>235</v>
      </c>
      <c r="E581" s="79">
        <v>235</v>
      </c>
      <c r="F581" s="79" t="s">
        <v>1174</v>
      </c>
      <c r="G581" s="79" t="s">
        <v>1174</v>
      </c>
      <c r="H581" s="79"/>
      <c r="I581" s="80" t="s">
        <v>1174</v>
      </c>
    </row>
    <row r="582" spans="1:9" ht="14.25" x14ac:dyDescent="0.2">
      <c r="A582" s="10">
        <f t="shared" si="27"/>
        <v>1</v>
      </c>
      <c r="B582" s="77" t="s">
        <v>1743</v>
      </c>
      <c r="C582" s="78" t="s">
        <v>69</v>
      </c>
      <c r="D582" s="79">
        <f t="shared" si="26"/>
        <v>568</v>
      </c>
      <c r="E582" s="79">
        <v>568</v>
      </c>
      <c r="F582" s="79" t="s">
        <v>1174</v>
      </c>
      <c r="G582" s="79" t="s">
        <v>1174</v>
      </c>
      <c r="H582" s="79"/>
      <c r="I582" s="80" t="s">
        <v>1174</v>
      </c>
    </row>
    <row r="583" spans="1:9" ht="14.25" x14ac:dyDescent="0.2">
      <c r="A583" s="10">
        <f t="shared" si="27"/>
        <v>1</v>
      </c>
      <c r="B583" s="77" t="s">
        <v>1744</v>
      </c>
      <c r="C583" s="78" t="s">
        <v>69</v>
      </c>
      <c r="D583" s="79">
        <f t="shared" si="26"/>
        <v>141</v>
      </c>
      <c r="E583" s="79">
        <v>141</v>
      </c>
      <c r="F583" s="79" t="s">
        <v>1174</v>
      </c>
      <c r="G583" s="79" t="s">
        <v>1174</v>
      </c>
      <c r="H583" s="79"/>
      <c r="I583" s="80" t="s">
        <v>1174</v>
      </c>
    </row>
    <row r="584" spans="1:9" ht="14.25" x14ac:dyDescent="0.2">
      <c r="A584" s="10">
        <f t="shared" si="27"/>
        <v>1</v>
      </c>
      <c r="B584" s="77" t="s">
        <v>1745</v>
      </c>
      <c r="C584" s="78" t="s">
        <v>69</v>
      </c>
      <c r="D584" s="79">
        <f t="shared" si="26"/>
        <v>135</v>
      </c>
      <c r="E584" s="79">
        <v>135</v>
      </c>
      <c r="F584" s="79" t="s">
        <v>1174</v>
      </c>
      <c r="G584" s="79" t="s">
        <v>1174</v>
      </c>
      <c r="H584" s="79"/>
      <c r="I584" s="80" t="s">
        <v>1174</v>
      </c>
    </row>
    <row r="585" spans="1:9" ht="14.25" x14ac:dyDescent="0.2">
      <c r="A585" s="10">
        <f t="shared" si="27"/>
        <v>1</v>
      </c>
      <c r="B585" s="77" t="s">
        <v>1746</v>
      </c>
      <c r="C585" s="78" t="s">
        <v>69</v>
      </c>
      <c r="D585" s="79">
        <f t="shared" si="26"/>
        <v>211</v>
      </c>
      <c r="E585" s="79">
        <v>211</v>
      </c>
      <c r="F585" s="79" t="s">
        <v>1174</v>
      </c>
      <c r="G585" s="79" t="s">
        <v>1174</v>
      </c>
      <c r="H585" s="79"/>
      <c r="I585" s="80" t="s">
        <v>1174</v>
      </c>
    </row>
    <row r="586" spans="1:9" ht="14.25" x14ac:dyDescent="0.2">
      <c r="A586" s="10">
        <f t="shared" si="27"/>
        <v>1</v>
      </c>
      <c r="B586" s="77" t="s">
        <v>1747</v>
      </c>
      <c r="C586" s="78" t="s">
        <v>69</v>
      </c>
      <c r="D586" s="79">
        <f t="shared" si="26"/>
        <v>175</v>
      </c>
      <c r="E586" s="79">
        <v>175</v>
      </c>
      <c r="F586" s="79" t="s">
        <v>1174</v>
      </c>
      <c r="G586" s="79" t="s">
        <v>1174</v>
      </c>
      <c r="H586" s="79"/>
      <c r="I586" s="80" t="s">
        <v>1174</v>
      </c>
    </row>
    <row r="587" spans="1:9" ht="14.25" x14ac:dyDescent="0.2">
      <c r="A587" s="10">
        <f t="shared" si="27"/>
        <v>1</v>
      </c>
      <c r="B587" s="77" t="s">
        <v>1748</v>
      </c>
      <c r="C587" s="78" t="s">
        <v>69</v>
      </c>
      <c r="D587" s="79">
        <f t="shared" si="26"/>
        <v>89</v>
      </c>
      <c r="E587" s="79">
        <v>89</v>
      </c>
      <c r="F587" s="79" t="s">
        <v>1174</v>
      </c>
      <c r="G587" s="79" t="s">
        <v>1174</v>
      </c>
      <c r="H587" s="79"/>
      <c r="I587" s="80" t="s">
        <v>1174</v>
      </c>
    </row>
    <row r="588" spans="1:9" ht="14.25" x14ac:dyDescent="0.2">
      <c r="A588" s="10">
        <f t="shared" si="27"/>
        <v>1</v>
      </c>
      <c r="B588" s="77" t="s">
        <v>1749</v>
      </c>
      <c r="C588" s="78" t="s">
        <v>69</v>
      </c>
      <c r="D588" s="79">
        <f t="shared" si="26"/>
        <v>104</v>
      </c>
      <c r="E588" s="79">
        <v>104</v>
      </c>
      <c r="F588" s="79" t="s">
        <v>1174</v>
      </c>
      <c r="G588" s="79" t="s">
        <v>1174</v>
      </c>
      <c r="H588" s="79"/>
      <c r="I588" s="80" t="s">
        <v>1174</v>
      </c>
    </row>
    <row r="589" spans="1:9" ht="14.25" x14ac:dyDescent="0.2">
      <c r="A589" s="10">
        <f t="shared" si="27"/>
        <v>1</v>
      </c>
      <c r="B589" s="77" t="s">
        <v>1750</v>
      </c>
      <c r="C589" s="78" t="s">
        <v>69</v>
      </c>
      <c r="D589" s="79">
        <f t="shared" si="26"/>
        <v>481.5</v>
      </c>
      <c r="E589" s="79">
        <f>963/2</f>
        <v>481.5</v>
      </c>
      <c r="F589" s="79" t="s">
        <v>1174</v>
      </c>
      <c r="G589" s="79" t="s">
        <v>1174</v>
      </c>
      <c r="H589" s="79"/>
      <c r="I589" s="80" t="s">
        <v>1174</v>
      </c>
    </row>
    <row r="590" spans="1:9" ht="14.25" x14ac:dyDescent="0.2">
      <c r="A590" s="10">
        <f t="shared" si="27"/>
        <v>1</v>
      </c>
      <c r="B590" s="77" t="s">
        <v>1751</v>
      </c>
      <c r="C590" s="78" t="s">
        <v>69</v>
      </c>
      <c r="D590" s="79">
        <f t="shared" si="26"/>
        <v>474</v>
      </c>
      <c r="E590" s="79">
        <v>474</v>
      </c>
      <c r="F590" s="79" t="s">
        <v>1174</v>
      </c>
      <c r="G590" s="79" t="s">
        <v>1174</v>
      </c>
      <c r="H590" s="79"/>
      <c r="I590" s="80" t="s">
        <v>1174</v>
      </c>
    </row>
    <row r="591" spans="1:9" ht="14.25" x14ac:dyDescent="0.2">
      <c r="A591" s="10">
        <f t="shared" si="27"/>
        <v>1</v>
      </c>
      <c r="B591" s="77" t="s">
        <v>1752</v>
      </c>
      <c r="C591" s="78" t="s">
        <v>69</v>
      </c>
      <c r="D591" s="79">
        <f t="shared" si="26"/>
        <v>1060</v>
      </c>
      <c r="E591" s="79">
        <v>1060</v>
      </c>
      <c r="F591" s="79" t="s">
        <v>1174</v>
      </c>
      <c r="G591" s="79" t="s">
        <v>1174</v>
      </c>
      <c r="H591" s="79"/>
      <c r="I591" s="80" t="s">
        <v>1174</v>
      </c>
    </row>
    <row r="592" spans="1:9" ht="14.25" x14ac:dyDescent="0.2">
      <c r="A592" s="10">
        <f t="shared" si="27"/>
        <v>1</v>
      </c>
      <c r="B592" s="77" t="s">
        <v>1753</v>
      </c>
      <c r="C592" s="78" t="s">
        <v>69</v>
      </c>
      <c r="D592" s="79">
        <f>E592*$D$1</f>
        <v>648</v>
      </c>
      <c r="E592" s="79">
        <v>648</v>
      </c>
      <c r="F592" s="79" t="s">
        <v>1174</v>
      </c>
      <c r="G592" s="79" t="s">
        <v>1174</v>
      </c>
      <c r="H592" s="79"/>
      <c r="I592" s="80" t="s">
        <v>1174</v>
      </c>
    </row>
    <row r="593" spans="1:9" ht="14.25" x14ac:dyDescent="0.2">
      <c r="A593" s="10">
        <f t="shared" si="27"/>
        <v>1</v>
      </c>
      <c r="B593" s="77" t="s">
        <v>1754</v>
      </c>
      <c r="C593" s="78" t="s">
        <v>69</v>
      </c>
      <c r="D593" s="79">
        <f>E593*$D$1</f>
        <v>300</v>
      </c>
      <c r="E593" s="79">
        <v>300</v>
      </c>
      <c r="F593" s="79" t="s">
        <v>1200</v>
      </c>
      <c r="G593" s="79" t="s">
        <v>1200</v>
      </c>
      <c r="H593" s="79"/>
      <c r="I593" s="80" t="s">
        <v>1201</v>
      </c>
    </row>
    <row r="594" spans="1:9" ht="14.25" x14ac:dyDescent="0.2">
      <c r="A594" s="10">
        <f t="shared" si="27"/>
        <v>1</v>
      </c>
      <c r="B594" s="77" t="s">
        <v>1755</v>
      </c>
      <c r="C594" s="78" t="s">
        <v>69</v>
      </c>
      <c r="D594" s="79">
        <f t="shared" si="26"/>
        <v>67.510000000000005</v>
      </c>
      <c r="E594" s="79">
        <v>67.510000000000005</v>
      </c>
      <c r="F594" s="79" t="s">
        <v>1174</v>
      </c>
      <c r="G594" s="79" t="s">
        <v>1174</v>
      </c>
      <c r="H594" s="79"/>
      <c r="I594" s="80" t="s">
        <v>1174</v>
      </c>
    </row>
    <row r="595" spans="1:9" ht="14.25" x14ac:dyDescent="0.2">
      <c r="A595" s="10">
        <f t="shared" si="27"/>
        <v>1</v>
      </c>
      <c r="B595" s="77" t="s">
        <v>1756</v>
      </c>
      <c r="C595" s="78" t="s">
        <v>69</v>
      </c>
      <c r="D595" s="79">
        <f t="shared" si="26"/>
        <v>160</v>
      </c>
      <c r="E595" s="79">
        <v>160</v>
      </c>
      <c r="F595" s="79" t="s">
        <v>1174</v>
      </c>
      <c r="G595" s="79" t="s">
        <v>1174</v>
      </c>
      <c r="H595" s="79"/>
      <c r="I595" s="80" t="s">
        <v>1174</v>
      </c>
    </row>
    <row r="596" spans="1:9" ht="14.25" x14ac:dyDescent="0.2">
      <c r="A596" s="10">
        <f t="shared" si="27"/>
        <v>1</v>
      </c>
      <c r="B596" s="77" t="s">
        <v>1757</v>
      </c>
      <c r="C596" s="78" t="s">
        <v>69</v>
      </c>
      <c r="D596" s="79">
        <f t="shared" si="26"/>
        <v>145</v>
      </c>
      <c r="E596" s="79">
        <v>145</v>
      </c>
      <c r="F596" s="79" t="s">
        <v>1174</v>
      </c>
      <c r="G596" s="79" t="s">
        <v>1174</v>
      </c>
      <c r="H596" s="79"/>
      <c r="I596" s="80" t="s">
        <v>1174</v>
      </c>
    </row>
    <row r="597" spans="1:9" ht="14.25" x14ac:dyDescent="0.2">
      <c r="A597" s="10">
        <f t="shared" si="27"/>
        <v>1</v>
      </c>
      <c r="B597" s="77" t="s">
        <v>1758</v>
      </c>
      <c r="C597" s="78" t="s">
        <v>69</v>
      </c>
      <c r="D597" s="79">
        <f t="shared" si="26"/>
        <v>630</v>
      </c>
      <c r="E597" s="79">
        <v>630</v>
      </c>
      <c r="F597" s="79" t="s">
        <v>1174</v>
      </c>
      <c r="G597" s="79" t="s">
        <v>1174</v>
      </c>
      <c r="H597" s="79"/>
      <c r="I597" s="80" t="s">
        <v>1174</v>
      </c>
    </row>
    <row r="598" spans="1:9" ht="14.25" x14ac:dyDescent="0.2">
      <c r="A598" s="10">
        <f t="shared" si="27"/>
        <v>1</v>
      </c>
      <c r="B598" s="77" t="s">
        <v>2572</v>
      </c>
      <c r="C598" s="78" t="s">
        <v>69</v>
      </c>
      <c r="D598" s="79">
        <f t="shared" si="26"/>
        <v>610</v>
      </c>
      <c r="E598" s="79">
        <f>290+320</f>
        <v>610</v>
      </c>
      <c r="F598" s="79" t="s">
        <v>1174</v>
      </c>
      <c r="G598" s="79" t="s">
        <v>1174</v>
      </c>
      <c r="H598" s="79"/>
      <c r="I598" s="80" t="s">
        <v>1174</v>
      </c>
    </row>
    <row r="599" spans="1:9" ht="14.25" x14ac:dyDescent="0.2">
      <c r="A599" s="10">
        <f t="shared" si="27"/>
        <v>1</v>
      </c>
      <c r="B599" s="77" t="s">
        <v>2571</v>
      </c>
      <c r="C599" s="78" t="s">
        <v>69</v>
      </c>
      <c r="D599" s="79">
        <f>E599*$D$1</f>
        <v>540</v>
      </c>
      <c r="E599" s="79">
        <f>240+300</f>
        <v>540</v>
      </c>
      <c r="F599" s="79" t="s">
        <v>1174</v>
      </c>
      <c r="G599" s="79" t="s">
        <v>1174</v>
      </c>
      <c r="H599" s="79"/>
      <c r="I599" s="80" t="s">
        <v>1174</v>
      </c>
    </row>
    <row r="600" spans="1:9" ht="14.25" x14ac:dyDescent="0.2">
      <c r="A600" s="10">
        <f t="shared" si="27"/>
        <v>1</v>
      </c>
      <c r="B600" s="77" t="s">
        <v>1759</v>
      </c>
      <c r="C600" s="78" t="s">
        <v>69</v>
      </c>
      <c r="D600" s="79">
        <f t="shared" si="26"/>
        <v>200</v>
      </c>
      <c r="E600" s="79">
        <v>200</v>
      </c>
      <c r="F600" s="79" t="s">
        <v>1174</v>
      </c>
      <c r="G600" s="79" t="s">
        <v>1174</v>
      </c>
      <c r="H600" s="79"/>
      <c r="I600" s="80" t="s">
        <v>1174</v>
      </c>
    </row>
    <row r="601" spans="1:9" ht="14.25" x14ac:dyDescent="0.2">
      <c r="A601" s="10">
        <f t="shared" si="27"/>
        <v>1</v>
      </c>
      <c r="B601" s="77" t="s">
        <v>1760</v>
      </c>
      <c r="C601" s="78" t="s">
        <v>69</v>
      </c>
      <c r="D601" s="79">
        <f t="shared" si="26"/>
        <v>250</v>
      </c>
      <c r="E601" s="79">
        <v>250</v>
      </c>
      <c r="F601" s="79" t="s">
        <v>1174</v>
      </c>
      <c r="G601" s="79" t="s">
        <v>1174</v>
      </c>
      <c r="H601" s="79"/>
      <c r="I601" s="80" t="s">
        <v>1174</v>
      </c>
    </row>
    <row r="602" spans="1:9" ht="14.25" x14ac:dyDescent="0.2">
      <c r="A602" s="10">
        <f t="shared" si="27"/>
        <v>1</v>
      </c>
      <c r="B602" s="77" t="s">
        <v>1761</v>
      </c>
      <c r="C602" s="78" t="s">
        <v>69</v>
      </c>
      <c r="D602" s="79">
        <f t="shared" si="26"/>
        <v>320</v>
      </c>
      <c r="E602" s="79">
        <v>320</v>
      </c>
      <c r="F602" s="79" t="s">
        <v>1174</v>
      </c>
      <c r="G602" s="79" t="s">
        <v>1174</v>
      </c>
      <c r="H602" s="79"/>
      <c r="I602" s="80" t="s">
        <v>1174</v>
      </c>
    </row>
    <row r="603" spans="1:9" ht="14.25" x14ac:dyDescent="0.2">
      <c r="A603" s="10">
        <f t="shared" si="27"/>
        <v>1</v>
      </c>
      <c r="B603" s="77" t="s">
        <v>1762</v>
      </c>
      <c r="C603" s="78" t="s">
        <v>69</v>
      </c>
      <c r="D603" s="79">
        <f t="shared" si="26"/>
        <v>72.63</v>
      </c>
      <c r="E603" s="79">
        <v>72.63</v>
      </c>
      <c r="F603" s="79" t="s">
        <v>1174</v>
      </c>
      <c r="G603" s="79" t="s">
        <v>1174</v>
      </c>
      <c r="H603" s="79"/>
      <c r="I603" s="80" t="s">
        <v>1174</v>
      </c>
    </row>
    <row r="604" spans="1:9" ht="14.25" x14ac:dyDescent="0.2">
      <c r="A604" s="10">
        <f t="shared" si="27"/>
        <v>1</v>
      </c>
      <c r="B604" s="77" t="s">
        <v>1763</v>
      </c>
      <c r="C604" s="78" t="s">
        <v>69</v>
      </c>
      <c r="D604" s="79">
        <f>E604*$D$1</f>
        <v>110</v>
      </c>
      <c r="E604" s="79">
        <v>110</v>
      </c>
      <c r="F604" s="79" t="s">
        <v>1174</v>
      </c>
      <c r="G604" s="79" t="s">
        <v>1174</v>
      </c>
      <c r="H604" s="79"/>
      <c r="I604" s="80" t="s">
        <v>1174</v>
      </c>
    </row>
    <row r="605" spans="1:9" ht="15.75" customHeight="1" x14ac:dyDescent="0.25">
      <c r="A605" s="10">
        <f t="shared" si="27"/>
        <v>1</v>
      </c>
      <c r="B605" s="10" t="s">
        <v>1186</v>
      </c>
      <c r="C605" s="11" t="s">
        <v>69</v>
      </c>
      <c r="D605" s="13">
        <f t="shared" si="16"/>
        <v>165</v>
      </c>
      <c r="E605" s="13">
        <v>165</v>
      </c>
      <c r="F605" s="13" t="s">
        <v>1174</v>
      </c>
      <c r="G605" s="13" t="s">
        <v>1174</v>
      </c>
      <c r="H605" s="13"/>
      <c r="I605" s="4" t="s">
        <v>1174</v>
      </c>
    </row>
    <row r="606" spans="1:9" ht="15.75" customHeight="1" x14ac:dyDescent="0.25">
      <c r="A606" s="10">
        <f t="shared" si="27"/>
        <v>1</v>
      </c>
      <c r="B606" s="10" t="s">
        <v>872</v>
      </c>
      <c r="C606" s="11" t="s">
        <v>69</v>
      </c>
      <c r="D606" s="13">
        <f t="shared" si="16"/>
        <v>372.9</v>
      </c>
      <c r="E606" s="13">
        <v>372.9</v>
      </c>
      <c r="F606" s="13" t="s">
        <v>1174</v>
      </c>
      <c r="G606" s="13" t="s">
        <v>1174</v>
      </c>
      <c r="H606" s="13"/>
      <c r="I606" s="4" t="s">
        <v>1174</v>
      </c>
    </row>
    <row r="607" spans="1:9" ht="15.75" customHeight="1" x14ac:dyDescent="0.25">
      <c r="A607" s="10">
        <f t="shared" si="27"/>
        <v>1</v>
      </c>
      <c r="B607" s="10" t="s">
        <v>1187</v>
      </c>
      <c r="C607" s="11" t="s">
        <v>69</v>
      </c>
      <c r="D607" s="13">
        <f t="shared" si="16"/>
        <v>123.38</v>
      </c>
      <c r="E607" s="13">
        <v>123.38</v>
      </c>
      <c r="F607" s="13" t="s">
        <v>1174</v>
      </c>
      <c r="G607" s="13" t="s">
        <v>1174</v>
      </c>
      <c r="H607" s="13"/>
      <c r="I607" s="4" t="s">
        <v>1174</v>
      </c>
    </row>
    <row r="608" spans="1:9" ht="15.75" customHeight="1" x14ac:dyDescent="0.25">
      <c r="A608" s="10">
        <f t="shared" si="27"/>
        <v>1</v>
      </c>
      <c r="B608" s="10" t="s">
        <v>705</v>
      </c>
      <c r="C608" s="11" t="s">
        <v>69</v>
      </c>
      <c r="D608" s="13">
        <f t="shared" si="16"/>
        <v>150</v>
      </c>
      <c r="E608" s="13">
        <v>150</v>
      </c>
      <c r="F608" s="13" t="s">
        <v>1174</v>
      </c>
      <c r="G608" s="13" t="s">
        <v>1174</v>
      </c>
      <c r="H608" s="13"/>
      <c r="I608" s="4" t="s">
        <v>1174</v>
      </c>
    </row>
    <row r="609" spans="1:9" ht="15.75" customHeight="1" x14ac:dyDescent="0.25">
      <c r="A609" s="10">
        <f t="shared" si="27"/>
        <v>1</v>
      </c>
      <c r="B609" s="10" t="s">
        <v>2567</v>
      </c>
      <c r="C609" s="11" t="s">
        <v>69</v>
      </c>
      <c r="D609" s="13">
        <f t="shared" ref="D609:D614" si="28">E609*$D$1</f>
        <v>590</v>
      </c>
      <c r="E609" s="13">
        <f>260+330</f>
        <v>590</v>
      </c>
      <c r="F609" s="13" t="s">
        <v>1174</v>
      </c>
      <c r="G609" s="13" t="s">
        <v>1174</v>
      </c>
      <c r="H609" s="13"/>
      <c r="I609" s="4" t="s">
        <v>1174</v>
      </c>
    </row>
    <row r="610" spans="1:9" ht="15.75" customHeight="1" x14ac:dyDescent="0.25">
      <c r="A610" s="10">
        <f t="shared" si="27"/>
        <v>1</v>
      </c>
      <c r="B610" s="10" t="s">
        <v>2573</v>
      </c>
      <c r="C610" s="11" t="s">
        <v>69</v>
      </c>
      <c r="D610" s="13">
        <f t="shared" si="28"/>
        <v>590</v>
      </c>
      <c r="E610" s="13">
        <f>260+330</f>
        <v>590</v>
      </c>
      <c r="F610" s="13" t="s">
        <v>1174</v>
      </c>
      <c r="G610" s="13" t="s">
        <v>1174</v>
      </c>
      <c r="H610" s="13"/>
      <c r="I610" s="4" t="s">
        <v>1174</v>
      </c>
    </row>
    <row r="611" spans="1:9" ht="15.75" customHeight="1" x14ac:dyDescent="0.25">
      <c r="A611" s="10">
        <f t="shared" si="27"/>
        <v>1</v>
      </c>
      <c r="B611" s="10" t="s">
        <v>2570</v>
      </c>
      <c r="C611" s="11" t="s">
        <v>69</v>
      </c>
      <c r="D611" s="13">
        <f t="shared" si="28"/>
        <v>590</v>
      </c>
      <c r="E611" s="13">
        <f>260+330</f>
        <v>590</v>
      </c>
      <c r="F611" s="13" t="s">
        <v>1174</v>
      </c>
      <c r="G611" s="13" t="s">
        <v>1174</v>
      </c>
      <c r="H611" s="13"/>
      <c r="I611" s="4" t="s">
        <v>1174</v>
      </c>
    </row>
    <row r="612" spans="1:9" ht="15.75" customHeight="1" x14ac:dyDescent="0.25">
      <c r="A612" s="10">
        <f t="shared" si="27"/>
        <v>1</v>
      </c>
      <c r="B612" s="10" t="s">
        <v>1486</v>
      </c>
      <c r="C612" s="11" t="s">
        <v>69</v>
      </c>
      <c r="D612" s="13">
        <f t="shared" si="28"/>
        <v>240</v>
      </c>
      <c r="E612" s="13">
        <f>180+60</f>
        <v>240</v>
      </c>
      <c r="F612" s="13" t="s">
        <v>1174</v>
      </c>
      <c r="G612" s="13" t="s">
        <v>1174</v>
      </c>
      <c r="H612" s="13"/>
      <c r="I612" s="4" t="s">
        <v>1174</v>
      </c>
    </row>
    <row r="613" spans="1:9" ht="15.75" customHeight="1" x14ac:dyDescent="0.25">
      <c r="A613" s="10">
        <f t="shared" si="27"/>
        <v>1</v>
      </c>
      <c r="B613" s="10" t="s">
        <v>1487</v>
      </c>
      <c r="C613" s="11" t="s">
        <v>69</v>
      </c>
      <c r="D613" s="13">
        <f t="shared" si="28"/>
        <v>269.76</v>
      </c>
      <c r="E613" s="13">
        <f>209.76+60</f>
        <v>269.76</v>
      </c>
      <c r="F613" s="13" t="s">
        <v>1174</v>
      </c>
      <c r="G613" s="13" t="s">
        <v>1174</v>
      </c>
      <c r="H613" s="13"/>
      <c r="I613" s="4" t="s">
        <v>1174</v>
      </c>
    </row>
    <row r="614" spans="1:9" ht="15.75" customHeight="1" x14ac:dyDescent="0.25">
      <c r="A614" s="10">
        <f t="shared" si="27"/>
        <v>1</v>
      </c>
      <c r="B614" s="10" t="s">
        <v>1488</v>
      </c>
      <c r="C614" s="11" t="s">
        <v>69</v>
      </c>
      <c r="D614" s="13">
        <f t="shared" si="28"/>
        <v>161.80000000000001</v>
      </c>
      <c r="E614" s="13">
        <f>101.8+60</f>
        <v>161.80000000000001</v>
      </c>
      <c r="F614" s="13" t="s">
        <v>1174</v>
      </c>
      <c r="G614" s="13" t="s">
        <v>1174</v>
      </c>
      <c r="H614" s="13"/>
      <c r="I614" s="4" t="s">
        <v>1174</v>
      </c>
    </row>
    <row r="615" spans="1:9" ht="15.75" customHeight="1" x14ac:dyDescent="0.25">
      <c r="A615" s="10">
        <f t="shared" si="27"/>
        <v>1</v>
      </c>
      <c r="B615" s="10" t="s">
        <v>876</v>
      </c>
      <c r="C615" s="11" t="s">
        <v>69</v>
      </c>
      <c r="D615" s="13">
        <f t="shared" si="16"/>
        <v>75.8</v>
      </c>
      <c r="E615" s="13">
        <v>75.8</v>
      </c>
      <c r="F615" s="13" t="s">
        <v>1174</v>
      </c>
      <c r="G615" s="13" t="s">
        <v>1174</v>
      </c>
      <c r="H615" s="13"/>
      <c r="I615" s="4" t="s">
        <v>1174</v>
      </c>
    </row>
    <row r="616" spans="1:9" ht="15.75" customHeight="1" x14ac:dyDescent="0.25">
      <c r="A616" s="10">
        <f t="shared" si="27"/>
        <v>1</v>
      </c>
      <c r="B616" s="10" t="s">
        <v>508</v>
      </c>
      <c r="C616" s="11" t="s">
        <v>69</v>
      </c>
      <c r="D616" s="13">
        <f t="shared" si="16"/>
        <v>75.8</v>
      </c>
      <c r="E616" s="13">
        <v>75.8</v>
      </c>
      <c r="F616" s="13" t="s">
        <v>1174</v>
      </c>
      <c r="G616" s="13" t="s">
        <v>1174</v>
      </c>
      <c r="H616" s="13"/>
      <c r="I616" s="4" t="s">
        <v>1174</v>
      </c>
    </row>
    <row r="617" spans="1:9" ht="15.75" customHeight="1" x14ac:dyDescent="0.25">
      <c r="A617" s="10">
        <f t="shared" si="27"/>
        <v>1</v>
      </c>
      <c r="B617" s="10" t="s">
        <v>662</v>
      </c>
      <c r="C617" s="11" t="s">
        <v>69</v>
      </c>
      <c r="D617" s="13">
        <f t="shared" si="16"/>
        <v>82</v>
      </c>
      <c r="E617" s="13">
        <v>82</v>
      </c>
      <c r="F617" s="13" t="s">
        <v>1174</v>
      </c>
      <c r="G617" s="13" t="s">
        <v>1174</v>
      </c>
      <c r="H617" s="13"/>
      <c r="I617" s="4" t="s">
        <v>1174</v>
      </c>
    </row>
    <row r="618" spans="1:9" ht="15.75" customHeight="1" x14ac:dyDescent="0.25">
      <c r="A618" s="10">
        <f t="shared" si="27"/>
        <v>1</v>
      </c>
      <c r="B618" s="10" t="s">
        <v>659</v>
      </c>
      <c r="C618" s="11" t="s">
        <v>69</v>
      </c>
      <c r="D618" s="13">
        <f t="shared" si="16"/>
        <v>178.8</v>
      </c>
      <c r="E618" s="13">
        <v>178.8</v>
      </c>
      <c r="F618" s="13" t="s">
        <v>1174</v>
      </c>
      <c r="G618" s="13" t="s">
        <v>1174</v>
      </c>
      <c r="H618" s="13"/>
      <c r="I618" s="4" t="s">
        <v>1174</v>
      </c>
    </row>
    <row r="619" spans="1:9" ht="15.75" customHeight="1" x14ac:dyDescent="0.25">
      <c r="A619" s="10">
        <f t="shared" si="27"/>
        <v>1</v>
      </c>
      <c r="B619" s="10" t="s">
        <v>666</v>
      </c>
      <c r="C619" s="11" t="s">
        <v>69</v>
      </c>
      <c r="D619" s="13">
        <f t="shared" si="16"/>
        <v>75.8</v>
      </c>
      <c r="E619" s="13">
        <v>75.8</v>
      </c>
      <c r="F619" s="13" t="s">
        <v>1174</v>
      </c>
      <c r="G619" s="13" t="s">
        <v>1174</v>
      </c>
      <c r="H619" s="13"/>
      <c r="I619" s="4" t="s">
        <v>1174</v>
      </c>
    </row>
    <row r="620" spans="1:9" ht="15.75" customHeight="1" x14ac:dyDescent="0.25">
      <c r="A620" s="10">
        <f t="shared" si="27"/>
        <v>1</v>
      </c>
      <c r="B620" s="10" t="s">
        <v>650</v>
      </c>
      <c r="C620" s="11" t="s">
        <v>69</v>
      </c>
      <c r="D620" s="13">
        <f t="shared" si="16"/>
        <v>116.1</v>
      </c>
      <c r="E620" s="13">
        <v>116.1</v>
      </c>
      <c r="F620" s="13" t="s">
        <v>1174</v>
      </c>
      <c r="G620" s="13" t="s">
        <v>1174</v>
      </c>
      <c r="H620" s="13"/>
      <c r="I620" s="4" t="s">
        <v>1174</v>
      </c>
    </row>
    <row r="621" spans="1:9" ht="15.75" customHeight="1" x14ac:dyDescent="0.25">
      <c r="A621" s="10">
        <f t="shared" si="27"/>
        <v>1</v>
      </c>
      <c r="B621" s="10" t="s">
        <v>652</v>
      </c>
      <c r="C621" s="11" t="s">
        <v>69</v>
      </c>
      <c r="D621" s="13">
        <f t="shared" si="16"/>
        <v>36.96</v>
      </c>
      <c r="E621" s="13">
        <v>36.96</v>
      </c>
      <c r="F621" s="13" t="s">
        <v>1174</v>
      </c>
      <c r="G621" s="13" t="s">
        <v>1174</v>
      </c>
      <c r="H621" s="13"/>
      <c r="I621" s="4" t="s">
        <v>1174</v>
      </c>
    </row>
    <row r="622" spans="1:9" ht="15.75" customHeight="1" x14ac:dyDescent="0.25">
      <c r="A622" s="10">
        <f t="shared" si="27"/>
        <v>1</v>
      </c>
      <c r="B622" s="16" t="s">
        <v>1188</v>
      </c>
      <c r="C622" s="11" t="s">
        <v>69</v>
      </c>
      <c r="D622" s="13">
        <f t="shared" si="16"/>
        <v>276</v>
      </c>
      <c r="E622" s="13">
        <v>276</v>
      </c>
      <c r="F622" s="13" t="s">
        <v>1174</v>
      </c>
      <c r="G622" s="13" t="s">
        <v>1174</v>
      </c>
      <c r="H622" s="13"/>
      <c r="I622" s="4" t="s">
        <v>1174</v>
      </c>
    </row>
    <row r="623" spans="1:9" ht="15.75" customHeight="1" x14ac:dyDescent="0.25">
      <c r="A623" s="10">
        <f t="shared" si="27"/>
        <v>1</v>
      </c>
      <c r="B623" s="10" t="s">
        <v>1189</v>
      </c>
      <c r="C623" s="11" t="s">
        <v>69</v>
      </c>
      <c r="D623" s="13">
        <f t="shared" si="16"/>
        <v>136.88999999999999</v>
      </c>
      <c r="E623" s="13">
        <v>136.88999999999999</v>
      </c>
      <c r="F623" s="13" t="s">
        <v>1174</v>
      </c>
      <c r="G623" s="13" t="s">
        <v>1174</v>
      </c>
      <c r="H623" s="13"/>
      <c r="I623" s="4" t="s">
        <v>1174</v>
      </c>
    </row>
    <row r="624" spans="1:9" ht="15.75" customHeight="1" x14ac:dyDescent="0.25">
      <c r="A624" s="10">
        <f t="shared" si="27"/>
        <v>1</v>
      </c>
      <c r="B624" s="10" t="s">
        <v>1190</v>
      </c>
      <c r="C624" s="11" t="s">
        <v>69</v>
      </c>
      <c r="D624" s="13">
        <f t="shared" si="16"/>
        <v>154.88999999999999</v>
      </c>
      <c r="E624" s="13">
        <v>154.88999999999999</v>
      </c>
      <c r="F624" s="13" t="s">
        <v>1174</v>
      </c>
      <c r="G624" s="13" t="s">
        <v>1174</v>
      </c>
      <c r="H624" s="13"/>
      <c r="I624" s="4" t="s">
        <v>1174</v>
      </c>
    </row>
    <row r="625" spans="1:9" ht="15.75" customHeight="1" x14ac:dyDescent="0.25">
      <c r="A625" s="10">
        <f t="shared" si="27"/>
        <v>1</v>
      </c>
      <c r="B625" s="10" t="s">
        <v>668</v>
      </c>
      <c r="C625" s="11" t="s">
        <v>69</v>
      </c>
      <c r="D625" s="13">
        <f t="shared" si="16"/>
        <v>80</v>
      </c>
      <c r="E625" s="13">
        <v>80</v>
      </c>
      <c r="F625" s="13" t="s">
        <v>1174</v>
      </c>
      <c r="G625" s="13" t="s">
        <v>1174</v>
      </c>
      <c r="H625" s="13"/>
      <c r="I625" s="4" t="s">
        <v>1174</v>
      </c>
    </row>
    <row r="626" spans="1:9" ht="15.75" customHeight="1" x14ac:dyDescent="0.25">
      <c r="A626" s="10">
        <f t="shared" si="27"/>
        <v>1</v>
      </c>
      <c r="B626" s="10" t="s">
        <v>891</v>
      </c>
      <c r="C626" s="11" t="s">
        <v>69</v>
      </c>
      <c r="D626" s="13">
        <f t="shared" si="16"/>
        <v>246.84</v>
      </c>
      <c r="E626" s="13">
        <v>246.84</v>
      </c>
      <c r="F626" s="13" t="s">
        <v>1174</v>
      </c>
      <c r="G626" s="13" t="s">
        <v>1174</v>
      </c>
      <c r="H626" s="13"/>
      <c r="I626" s="4" t="s">
        <v>1174</v>
      </c>
    </row>
    <row r="627" spans="1:9" ht="15.75" customHeight="1" x14ac:dyDescent="0.25">
      <c r="A627" s="10">
        <f t="shared" si="27"/>
        <v>1</v>
      </c>
      <c r="B627" s="10" t="s">
        <v>646</v>
      </c>
      <c r="C627" s="11" t="s">
        <v>69</v>
      </c>
      <c r="D627" s="13">
        <f t="shared" si="16"/>
        <v>109.89</v>
      </c>
      <c r="E627" s="13">
        <v>109.89</v>
      </c>
      <c r="F627" s="13" t="s">
        <v>1174</v>
      </c>
      <c r="G627" s="13" t="s">
        <v>1174</v>
      </c>
      <c r="H627" s="13"/>
      <c r="I627" s="4" t="s">
        <v>1174</v>
      </c>
    </row>
    <row r="628" spans="1:9" ht="15.75" customHeight="1" x14ac:dyDescent="0.25">
      <c r="A628" s="10">
        <f t="shared" si="27"/>
        <v>1</v>
      </c>
      <c r="B628" s="16" t="s">
        <v>674</v>
      </c>
      <c r="C628" s="11" t="s">
        <v>69</v>
      </c>
      <c r="D628" s="13">
        <f t="shared" si="16"/>
        <v>113.22</v>
      </c>
      <c r="E628" s="13">
        <v>113.22</v>
      </c>
      <c r="F628" s="13" t="s">
        <v>1174</v>
      </c>
      <c r="G628" s="13" t="s">
        <v>1174</v>
      </c>
      <c r="H628" s="13"/>
      <c r="I628" s="4" t="s">
        <v>1174</v>
      </c>
    </row>
    <row r="629" spans="1:9" ht="15.75" customHeight="1" x14ac:dyDescent="0.25">
      <c r="A629" s="10">
        <f t="shared" si="27"/>
        <v>1</v>
      </c>
      <c r="B629" s="10" t="s">
        <v>1191</v>
      </c>
      <c r="C629" s="11" t="s">
        <v>69</v>
      </c>
      <c r="D629" s="13">
        <f t="shared" si="16"/>
        <v>67.88</v>
      </c>
      <c r="E629" s="13">
        <v>67.88</v>
      </c>
      <c r="F629" s="13" t="s">
        <v>1174</v>
      </c>
      <c r="G629" s="13" t="s">
        <v>1174</v>
      </c>
      <c r="H629" s="13"/>
      <c r="I629" s="4" t="s">
        <v>1174</v>
      </c>
    </row>
    <row r="630" spans="1:9" ht="15.75" customHeight="1" x14ac:dyDescent="0.25">
      <c r="A630" s="10">
        <f t="shared" si="27"/>
        <v>1</v>
      </c>
      <c r="B630" s="10" t="s">
        <v>874</v>
      </c>
      <c r="C630" s="11" t="s">
        <v>69</v>
      </c>
      <c r="D630" s="13">
        <f t="shared" si="16"/>
        <v>165</v>
      </c>
      <c r="E630" s="13">
        <v>165</v>
      </c>
      <c r="F630" s="13" t="s">
        <v>1174</v>
      </c>
      <c r="G630" s="13" t="s">
        <v>1174</v>
      </c>
      <c r="H630" s="13"/>
      <c r="I630" s="4" t="s">
        <v>1174</v>
      </c>
    </row>
    <row r="631" spans="1:9" ht="15.75" customHeight="1" x14ac:dyDescent="0.25">
      <c r="A631" s="10">
        <f t="shared" si="27"/>
        <v>1</v>
      </c>
      <c r="B631" s="10" t="s">
        <v>656</v>
      </c>
      <c r="C631" s="11" t="s">
        <v>69</v>
      </c>
      <c r="D631" s="13">
        <f t="shared" si="16"/>
        <v>39.64</v>
      </c>
      <c r="E631" s="13">
        <v>39.64</v>
      </c>
      <c r="F631" s="13" t="s">
        <v>1174</v>
      </c>
      <c r="G631" s="13" t="s">
        <v>1174</v>
      </c>
      <c r="H631" s="13"/>
      <c r="I631" s="4" t="s">
        <v>1174</v>
      </c>
    </row>
    <row r="632" spans="1:9" ht="15.75" customHeight="1" x14ac:dyDescent="0.25">
      <c r="A632" s="10">
        <f t="shared" si="27"/>
        <v>1</v>
      </c>
      <c r="B632" s="10" t="s">
        <v>884</v>
      </c>
      <c r="C632" s="11" t="s">
        <v>69</v>
      </c>
      <c r="D632" s="13">
        <f t="shared" si="16"/>
        <v>112.71</v>
      </c>
      <c r="E632" s="13">
        <v>112.71</v>
      </c>
      <c r="F632" s="13" t="s">
        <v>1174</v>
      </c>
      <c r="G632" s="13" t="s">
        <v>1174</v>
      </c>
      <c r="H632" s="13"/>
      <c r="I632" s="4" t="s">
        <v>1174</v>
      </c>
    </row>
    <row r="633" spans="1:9" ht="15.75" customHeight="1" x14ac:dyDescent="0.25">
      <c r="A633" s="10">
        <f t="shared" si="27"/>
        <v>1</v>
      </c>
      <c r="B633" s="10" t="s">
        <v>634</v>
      </c>
      <c r="C633" s="11" t="s">
        <v>69</v>
      </c>
      <c r="D633" s="13">
        <f t="shared" si="16"/>
        <v>1036.9504748982358</v>
      </c>
      <c r="E633" s="13">
        <v>1036.9504748982358</v>
      </c>
      <c r="F633" s="13" t="s">
        <v>1174</v>
      </c>
      <c r="G633" s="13" t="s">
        <v>1174</v>
      </c>
      <c r="H633" s="13"/>
      <c r="I633" s="4" t="s">
        <v>1174</v>
      </c>
    </row>
    <row r="634" spans="1:9" ht="15.75" customHeight="1" x14ac:dyDescent="0.25">
      <c r="A634" s="10">
        <f t="shared" si="27"/>
        <v>1</v>
      </c>
      <c r="B634" s="10" t="s">
        <v>653</v>
      </c>
      <c r="C634" s="11" t="s">
        <v>69</v>
      </c>
      <c r="D634" s="13">
        <f t="shared" si="16"/>
        <v>89.9</v>
      </c>
      <c r="E634" s="13">
        <v>89.9</v>
      </c>
      <c r="F634" s="13" t="s">
        <v>1174</v>
      </c>
      <c r="G634" s="13" t="s">
        <v>1174</v>
      </c>
      <c r="H634" s="13"/>
      <c r="I634" s="4" t="s">
        <v>1174</v>
      </c>
    </row>
    <row r="635" spans="1:9" ht="15.75" customHeight="1" x14ac:dyDescent="0.25">
      <c r="A635" s="10">
        <f t="shared" si="27"/>
        <v>1</v>
      </c>
      <c r="B635" s="10" t="s">
        <v>663</v>
      </c>
      <c r="C635" s="11" t="s">
        <v>69</v>
      </c>
      <c r="D635" s="13">
        <f>E635*$D$1</f>
        <v>136.88999999999999</v>
      </c>
      <c r="E635" s="13">
        <v>136.88999999999999</v>
      </c>
      <c r="F635" s="13" t="s">
        <v>1174</v>
      </c>
      <c r="G635" s="13" t="s">
        <v>1174</v>
      </c>
      <c r="H635" s="13"/>
      <c r="I635" s="4" t="s">
        <v>1174</v>
      </c>
    </row>
    <row r="636" spans="1:9" ht="15.75" customHeight="1" x14ac:dyDescent="0.25">
      <c r="A636" s="10">
        <f t="shared" si="27"/>
        <v>1</v>
      </c>
      <c r="B636" s="10" t="s">
        <v>1478</v>
      </c>
      <c r="C636" s="11" t="s">
        <v>69</v>
      </c>
      <c r="D636" s="13">
        <f t="shared" si="16"/>
        <v>92.916666666666671</v>
      </c>
      <c r="E636" s="13">
        <f>E640/(0.6*1.2)*(1*1)</f>
        <v>92.916666666666671</v>
      </c>
      <c r="F636" s="13" t="s">
        <v>1174</v>
      </c>
      <c r="G636" s="13" t="s">
        <v>1174</v>
      </c>
      <c r="H636" s="13"/>
      <c r="I636" s="4" t="s">
        <v>1174</v>
      </c>
    </row>
    <row r="637" spans="1:9" ht="15.75" customHeight="1" x14ac:dyDescent="0.25">
      <c r="A637" s="10">
        <f t="shared" si="27"/>
        <v>1</v>
      </c>
      <c r="B637" s="10" t="s">
        <v>671</v>
      </c>
      <c r="C637" s="11" t="s">
        <v>69</v>
      </c>
      <c r="D637" s="13">
        <f t="shared" si="16"/>
        <v>140</v>
      </c>
      <c r="E637" s="13">
        <v>140</v>
      </c>
      <c r="F637" s="13" t="s">
        <v>1174</v>
      </c>
      <c r="G637" s="13" t="s">
        <v>1174</v>
      </c>
      <c r="H637" s="13"/>
      <c r="I637" s="4" t="s">
        <v>1174</v>
      </c>
    </row>
    <row r="638" spans="1:9" ht="15.75" customHeight="1" x14ac:dyDescent="0.25">
      <c r="A638" s="10">
        <f t="shared" si="27"/>
        <v>1</v>
      </c>
      <c r="B638" s="10" t="s">
        <v>1407</v>
      </c>
      <c r="C638" s="11" t="s">
        <v>69</v>
      </c>
      <c r="D638" s="13">
        <f t="shared" ref="D638:D647" si="29">E638*$D$1</f>
        <v>110.5</v>
      </c>
      <c r="E638" s="13">
        <v>110.5</v>
      </c>
      <c r="F638" s="13" t="s">
        <v>1174</v>
      </c>
      <c r="G638" s="13" t="s">
        <v>1174</v>
      </c>
      <c r="H638" s="13"/>
      <c r="I638" s="4" t="s">
        <v>1174</v>
      </c>
    </row>
    <row r="639" spans="1:9" ht="15.75" customHeight="1" x14ac:dyDescent="0.25">
      <c r="A639" s="10">
        <f t="shared" si="27"/>
        <v>1</v>
      </c>
      <c r="B639" s="10" t="s">
        <v>1408</v>
      </c>
      <c r="C639" s="11" t="s">
        <v>69</v>
      </c>
      <c r="D639" s="13">
        <f t="shared" si="29"/>
        <v>110.5</v>
      </c>
      <c r="E639" s="13">
        <f>E638</f>
        <v>110.5</v>
      </c>
      <c r="F639" s="13" t="s">
        <v>1174</v>
      </c>
      <c r="G639" s="13" t="s">
        <v>1174</v>
      </c>
      <c r="H639" s="13"/>
      <c r="I639" s="4" t="s">
        <v>1174</v>
      </c>
    </row>
    <row r="640" spans="1:9" ht="15.75" customHeight="1" x14ac:dyDescent="0.25">
      <c r="A640" s="10">
        <f t="shared" si="27"/>
        <v>1</v>
      </c>
      <c r="B640" s="10" t="s">
        <v>1409</v>
      </c>
      <c r="C640" s="11" t="s">
        <v>69</v>
      </c>
      <c r="D640" s="13">
        <f t="shared" si="29"/>
        <v>66.900000000000006</v>
      </c>
      <c r="E640" s="65">
        <v>66.900000000000006</v>
      </c>
      <c r="F640" s="13" t="s">
        <v>1174</v>
      </c>
      <c r="G640" s="13" t="s">
        <v>1174</v>
      </c>
      <c r="H640" s="13"/>
      <c r="I640" s="4" t="s">
        <v>1174</v>
      </c>
    </row>
    <row r="641" spans="1:9" ht="15.75" customHeight="1" x14ac:dyDescent="0.25">
      <c r="A641" s="10">
        <f t="shared" si="27"/>
        <v>1</v>
      </c>
      <c r="B641" s="10" t="s">
        <v>1410</v>
      </c>
      <c r="C641" s="11" t="s">
        <v>69</v>
      </c>
      <c r="D641" s="13">
        <f t="shared" si="29"/>
        <v>133.80000000000001</v>
      </c>
      <c r="E641" s="13">
        <f>E640/(0.6*1.2)*(1.2*1.2)</f>
        <v>133.80000000000001</v>
      </c>
      <c r="F641" s="13" t="s">
        <v>1174</v>
      </c>
      <c r="G641" s="13" t="s">
        <v>1174</v>
      </c>
      <c r="H641" s="13"/>
      <c r="I641" s="4" t="s">
        <v>1174</v>
      </c>
    </row>
    <row r="642" spans="1:9" ht="15.75" customHeight="1" x14ac:dyDescent="0.25">
      <c r="A642" s="10">
        <f t="shared" ref="A642:A711" si="30">COUNTIFS($B$2:$B$996,B642)</f>
        <v>1</v>
      </c>
      <c r="B642" s="10" t="s">
        <v>1411</v>
      </c>
      <c r="C642" s="11" t="s">
        <v>69</v>
      </c>
      <c r="D642" s="13">
        <f t="shared" si="29"/>
        <v>133.80000000000001</v>
      </c>
      <c r="E642" s="13">
        <f>E640/(0.6*1.2)*(1.2*1.2)</f>
        <v>133.80000000000001</v>
      </c>
      <c r="F642" s="13" t="s">
        <v>1174</v>
      </c>
      <c r="G642" s="13" t="s">
        <v>1174</v>
      </c>
      <c r="H642" s="13"/>
      <c r="I642" s="4" t="s">
        <v>1174</v>
      </c>
    </row>
    <row r="643" spans="1:9" ht="15.75" customHeight="1" x14ac:dyDescent="0.25">
      <c r="A643" s="10">
        <f t="shared" si="30"/>
        <v>1</v>
      </c>
      <c r="B643" s="10" t="s">
        <v>1412</v>
      </c>
      <c r="C643" s="11" t="s">
        <v>69</v>
      </c>
      <c r="D643" s="13">
        <f t="shared" si="29"/>
        <v>133.80000000000001</v>
      </c>
      <c r="E643" s="13">
        <f>E640/(0.6*1.2)*(1.2*1.2)</f>
        <v>133.80000000000001</v>
      </c>
      <c r="F643" s="13" t="s">
        <v>1174</v>
      </c>
      <c r="G643" s="13" t="s">
        <v>1174</v>
      </c>
      <c r="H643" s="13"/>
      <c r="I643" s="4" t="s">
        <v>1174</v>
      </c>
    </row>
    <row r="644" spans="1:9" ht="15.75" customHeight="1" x14ac:dyDescent="0.25">
      <c r="A644" s="10">
        <f t="shared" si="30"/>
        <v>1</v>
      </c>
      <c r="B644" s="10" t="s">
        <v>1413</v>
      </c>
      <c r="C644" s="11" t="s">
        <v>69</v>
      </c>
      <c r="D644" s="13">
        <f t="shared" si="29"/>
        <v>43.86</v>
      </c>
      <c r="E644" s="13">
        <v>43.86</v>
      </c>
      <c r="F644" s="13" t="s">
        <v>1174</v>
      </c>
      <c r="G644" s="13" t="s">
        <v>1174</v>
      </c>
      <c r="H644" s="13"/>
      <c r="I644" s="4" t="s">
        <v>1174</v>
      </c>
    </row>
    <row r="645" spans="1:9" ht="15.75" customHeight="1" x14ac:dyDescent="0.25">
      <c r="A645" s="10">
        <f t="shared" si="30"/>
        <v>1</v>
      </c>
      <c r="B645" s="10" t="s">
        <v>1472</v>
      </c>
      <c r="C645" s="11" t="s">
        <v>69</v>
      </c>
      <c r="D645" s="13">
        <f>E645*$D$1</f>
        <v>83.4</v>
      </c>
      <c r="E645" s="13">
        <v>83.4</v>
      </c>
      <c r="F645" s="13" t="s">
        <v>1174</v>
      </c>
      <c r="G645" s="13" t="s">
        <v>1174</v>
      </c>
      <c r="H645" s="13"/>
      <c r="I645" s="4" t="s">
        <v>1174</v>
      </c>
    </row>
    <row r="646" spans="1:9" ht="15.75" customHeight="1" x14ac:dyDescent="0.25">
      <c r="A646" s="10">
        <f t="shared" si="30"/>
        <v>1</v>
      </c>
      <c r="B646" s="10" t="s">
        <v>1476</v>
      </c>
      <c r="C646" s="11" t="s">
        <v>69</v>
      </c>
      <c r="D646" s="13">
        <f t="shared" si="29"/>
        <v>44.9</v>
      </c>
      <c r="E646" s="13">
        <v>44.9</v>
      </c>
      <c r="F646" s="13" t="s">
        <v>1174</v>
      </c>
      <c r="G646" s="13" t="s">
        <v>1174</v>
      </c>
      <c r="H646" s="13"/>
      <c r="I646" s="4" t="s">
        <v>1174</v>
      </c>
    </row>
    <row r="647" spans="1:9" ht="15.75" customHeight="1" x14ac:dyDescent="0.25">
      <c r="A647" s="10">
        <f t="shared" si="30"/>
        <v>1</v>
      </c>
      <c r="B647" s="10" t="s">
        <v>1482</v>
      </c>
      <c r="C647" s="11" t="s">
        <v>69</v>
      </c>
      <c r="D647" s="13">
        <f t="shared" si="29"/>
        <v>44.9</v>
      </c>
      <c r="E647" s="13">
        <v>44.9</v>
      </c>
      <c r="F647" s="13" t="s">
        <v>1174</v>
      </c>
      <c r="G647" s="13" t="s">
        <v>1174</v>
      </c>
      <c r="H647" s="13"/>
      <c r="I647" s="4" t="s">
        <v>1174</v>
      </c>
    </row>
    <row r="648" spans="1:9" ht="15.75" customHeight="1" x14ac:dyDescent="0.25">
      <c r="A648" s="10">
        <f t="shared" si="30"/>
        <v>1</v>
      </c>
      <c r="B648" s="10" t="s">
        <v>672</v>
      </c>
      <c r="C648" s="11" t="s">
        <v>69</v>
      </c>
      <c r="D648" s="13">
        <f t="shared" si="16"/>
        <v>44.9</v>
      </c>
      <c r="E648" s="13">
        <v>44.9</v>
      </c>
      <c r="F648" s="13" t="s">
        <v>1174</v>
      </c>
      <c r="G648" s="13" t="s">
        <v>1174</v>
      </c>
      <c r="H648" s="13"/>
      <c r="I648" s="4" t="s">
        <v>1174</v>
      </c>
    </row>
    <row r="649" spans="1:9" ht="15.75" customHeight="1" x14ac:dyDescent="0.25">
      <c r="A649" s="10">
        <f t="shared" si="30"/>
        <v>1</v>
      </c>
      <c r="B649" s="10" t="s">
        <v>507</v>
      </c>
      <c r="C649" s="11" t="s">
        <v>69</v>
      </c>
      <c r="D649" s="13">
        <f t="shared" si="16"/>
        <v>112.22500000000001</v>
      </c>
      <c r="E649" s="13">
        <v>112.22500000000001</v>
      </c>
      <c r="F649" s="13" t="s">
        <v>1174</v>
      </c>
      <c r="G649" s="13" t="s">
        <v>1174</v>
      </c>
      <c r="H649" s="13"/>
      <c r="I649" s="4" t="s">
        <v>1174</v>
      </c>
    </row>
    <row r="650" spans="1:9" ht="15.75" customHeight="1" x14ac:dyDescent="0.25">
      <c r="A650" s="10">
        <f t="shared" si="30"/>
        <v>1</v>
      </c>
      <c r="B650" s="10" t="s">
        <v>519</v>
      </c>
      <c r="C650" s="11" t="s">
        <v>69</v>
      </c>
      <c r="D650" s="13">
        <f t="shared" si="16"/>
        <v>83.95</v>
      </c>
      <c r="E650" s="13">
        <v>83.95</v>
      </c>
      <c r="F650" s="13" t="s">
        <v>1174</v>
      </c>
      <c r="G650" s="13" t="s">
        <v>1174</v>
      </c>
      <c r="H650" s="13"/>
      <c r="I650" s="4" t="s">
        <v>1174</v>
      </c>
    </row>
    <row r="651" spans="1:9" ht="15.75" customHeight="1" x14ac:dyDescent="0.25">
      <c r="A651" s="10">
        <f t="shared" si="30"/>
        <v>1</v>
      </c>
      <c r="B651" s="10" t="s">
        <v>524</v>
      </c>
      <c r="C651" s="11" t="s">
        <v>69</v>
      </c>
      <c r="D651" s="13">
        <f t="shared" si="16"/>
        <v>127.9</v>
      </c>
      <c r="E651" s="13">
        <v>127.9</v>
      </c>
      <c r="F651" s="13" t="s">
        <v>1174</v>
      </c>
      <c r="G651" s="13" t="s">
        <v>1174</v>
      </c>
      <c r="H651" s="13"/>
      <c r="I651" s="4" t="s">
        <v>1174</v>
      </c>
    </row>
    <row r="652" spans="1:9" ht="15.75" customHeight="1" x14ac:dyDescent="0.25">
      <c r="A652" s="10">
        <f t="shared" si="30"/>
        <v>1</v>
      </c>
      <c r="B652" s="10" t="s">
        <v>1404</v>
      </c>
      <c r="C652" s="11" t="s">
        <v>69</v>
      </c>
      <c r="D652" s="13">
        <f>E652*$D$1</f>
        <v>233.37</v>
      </c>
      <c r="E652" s="13">
        <v>233.37</v>
      </c>
      <c r="F652" s="13" t="s">
        <v>1174</v>
      </c>
      <c r="G652" s="13" t="s">
        <v>1174</v>
      </c>
      <c r="H652" s="13"/>
      <c r="I652" s="4" t="s">
        <v>1174</v>
      </c>
    </row>
    <row r="653" spans="1:9" ht="15.75" customHeight="1" x14ac:dyDescent="0.25">
      <c r="A653" s="10">
        <f t="shared" si="30"/>
        <v>1</v>
      </c>
      <c r="B653" s="10" t="s">
        <v>1405</v>
      </c>
      <c r="C653" s="11" t="s">
        <v>69</v>
      </c>
      <c r="D653" s="13">
        <f>E653*$D$1</f>
        <v>163.66</v>
      </c>
      <c r="E653" s="13">
        <v>163.66</v>
      </c>
      <c r="F653" s="13" t="s">
        <v>1174</v>
      </c>
      <c r="G653" s="13" t="s">
        <v>1174</v>
      </c>
      <c r="H653" s="13"/>
      <c r="I653" s="4" t="s">
        <v>1174</v>
      </c>
    </row>
    <row r="654" spans="1:9" ht="15.75" customHeight="1" x14ac:dyDescent="0.25">
      <c r="A654" s="10">
        <f t="shared" si="30"/>
        <v>1</v>
      </c>
      <c r="B654" s="10" t="s">
        <v>1406</v>
      </c>
      <c r="C654" s="11" t="s">
        <v>69</v>
      </c>
      <c r="D654" s="13">
        <f>E654*$D$1</f>
        <v>146.44</v>
      </c>
      <c r="E654" s="13">
        <v>146.44</v>
      </c>
      <c r="F654" s="13" t="s">
        <v>1174</v>
      </c>
      <c r="G654" s="13" t="s">
        <v>1174</v>
      </c>
      <c r="H654" s="13"/>
      <c r="I654" s="4" t="s">
        <v>1174</v>
      </c>
    </row>
    <row r="655" spans="1:9" ht="15.75" customHeight="1" x14ac:dyDescent="0.25">
      <c r="A655" s="10">
        <f t="shared" si="30"/>
        <v>1</v>
      </c>
      <c r="B655" s="10" t="s">
        <v>727</v>
      </c>
      <c r="C655" s="11" t="s">
        <v>69</v>
      </c>
      <c r="D655" s="13">
        <f t="shared" si="16"/>
        <v>79</v>
      </c>
      <c r="E655" s="13">
        <v>79</v>
      </c>
      <c r="F655" s="13" t="s">
        <v>1174</v>
      </c>
      <c r="G655" s="13" t="s">
        <v>1174</v>
      </c>
      <c r="H655" s="13"/>
      <c r="I655" s="4" t="s">
        <v>1174</v>
      </c>
    </row>
    <row r="656" spans="1:9" ht="15.75" customHeight="1" x14ac:dyDescent="0.25">
      <c r="A656" s="10">
        <f t="shared" si="30"/>
        <v>1</v>
      </c>
      <c r="B656" s="10" t="s">
        <v>730</v>
      </c>
      <c r="C656" s="11" t="s">
        <v>69</v>
      </c>
      <c r="D656" s="13">
        <f t="shared" si="16"/>
        <v>122.96296296296295</v>
      </c>
      <c r="E656" s="13">
        <v>122.96296296296295</v>
      </c>
      <c r="F656" s="13" t="s">
        <v>1174</v>
      </c>
      <c r="G656" s="13" t="s">
        <v>1174</v>
      </c>
      <c r="H656" s="13"/>
      <c r="I656" s="4" t="s">
        <v>1174</v>
      </c>
    </row>
    <row r="657" spans="1:9" ht="15.75" customHeight="1" x14ac:dyDescent="0.25">
      <c r="A657" s="10">
        <f t="shared" si="30"/>
        <v>1</v>
      </c>
      <c r="B657" s="10" t="s">
        <v>631</v>
      </c>
      <c r="C657" s="11" t="s">
        <v>69</v>
      </c>
      <c r="D657" s="13">
        <f t="shared" si="16"/>
        <v>138.4</v>
      </c>
      <c r="E657" s="13">
        <v>138.4</v>
      </c>
      <c r="F657" s="13" t="s">
        <v>1174</v>
      </c>
      <c r="G657" s="13" t="s">
        <v>1174</v>
      </c>
      <c r="H657" s="13"/>
      <c r="I657" s="4" t="s">
        <v>1174</v>
      </c>
    </row>
    <row r="658" spans="1:9" ht="15.75" customHeight="1" x14ac:dyDescent="0.25">
      <c r="A658" s="10">
        <f t="shared" si="30"/>
        <v>1</v>
      </c>
      <c r="B658" s="10" t="s">
        <v>676</v>
      </c>
      <c r="C658" s="11" t="s">
        <v>69</v>
      </c>
      <c r="D658" s="13">
        <f t="shared" si="16"/>
        <v>182.45</v>
      </c>
      <c r="E658" s="13">
        <v>182.45</v>
      </c>
      <c r="F658" s="13" t="s">
        <v>1174</v>
      </c>
      <c r="G658" s="13" t="s">
        <v>1174</v>
      </c>
      <c r="H658" s="13"/>
      <c r="I658" s="4" t="s">
        <v>1174</v>
      </c>
    </row>
    <row r="659" spans="1:9" ht="15.75" customHeight="1" x14ac:dyDescent="0.25">
      <c r="A659" s="10">
        <f t="shared" si="30"/>
        <v>1</v>
      </c>
      <c r="B659" s="10" t="s">
        <v>886</v>
      </c>
      <c r="C659" s="11" t="s">
        <v>69</v>
      </c>
      <c r="D659" s="13">
        <f t="shared" si="16"/>
        <v>280</v>
      </c>
      <c r="E659" s="13">
        <v>280</v>
      </c>
      <c r="F659" s="13" t="s">
        <v>1174</v>
      </c>
      <c r="G659" s="13" t="s">
        <v>1174</v>
      </c>
      <c r="H659" s="13"/>
      <c r="I659" s="4" t="s">
        <v>1174</v>
      </c>
    </row>
    <row r="660" spans="1:9" ht="15.75" customHeight="1" x14ac:dyDescent="0.25">
      <c r="A660" s="10">
        <f t="shared" si="30"/>
        <v>1</v>
      </c>
      <c r="B660" s="10" t="s">
        <v>1192</v>
      </c>
      <c r="C660" s="11" t="s">
        <v>69</v>
      </c>
      <c r="D660" s="13">
        <f t="shared" si="16"/>
        <v>250</v>
      </c>
      <c r="E660" s="13">
        <v>250</v>
      </c>
      <c r="F660" s="13" t="s">
        <v>1174</v>
      </c>
      <c r="G660" s="13" t="s">
        <v>1174</v>
      </c>
      <c r="H660" s="13"/>
      <c r="I660" s="4" t="s">
        <v>1174</v>
      </c>
    </row>
    <row r="661" spans="1:9" ht="15.75" customHeight="1" x14ac:dyDescent="0.25">
      <c r="A661" s="10">
        <f t="shared" si="30"/>
        <v>1</v>
      </c>
      <c r="B661" s="10" t="s">
        <v>1193</v>
      </c>
      <c r="C661" s="11" t="s">
        <v>69</v>
      </c>
      <c r="D661" s="13">
        <f t="shared" si="16"/>
        <v>332.1</v>
      </c>
      <c r="E661" s="13">
        <v>332.1</v>
      </c>
      <c r="F661" s="13" t="s">
        <v>1174</v>
      </c>
      <c r="G661" s="13" t="s">
        <v>1174</v>
      </c>
      <c r="H661" s="13"/>
      <c r="I661" s="4" t="s">
        <v>1174</v>
      </c>
    </row>
    <row r="662" spans="1:9" ht="15.75" customHeight="1" x14ac:dyDescent="0.25">
      <c r="A662" s="10">
        <f t="shared" si="30"/>
        <v>1</v>
      </c>
      <c r="B662" s="10" t="s">
        <v>690</v>
      </c>
      <c r="C662" s="11" t="s">
        <v>69</v>
      </c>
      <c r="D662" s="13">
        <f t="shared" si="16"/>
        <v>84.9</v>
      </c>
      <c r="E662" s="13">
        <v>84.9</v>
      </c>
      <c r="F662" s="13" t="s">
        <v>1174</v>
      </c>
      <c r="G662" s="13" t="s">
        <v>1174</v>
      </c>
      <c r="H662" s="13"/>
      <c r="I662" s="4" t="s">
        <v>1174</v>
      </c>
    </row>
    <row r="663" spans="1:9" ht="15.75" customHeight="1" x14ac:dyDescent="0.25">
      <c r="A663" s="10">
        <f t="shared" si="30"/>
        <v>1</v>
      </c>
      <c r="B663" s="10" t="s">
        <v>683</v>
      </c>
      <c r="C663" s="11" t="s">
        <v>69</v>
      </c>
      <c r="D663" s="13">
        <f t="shared" si="16"/>
        <v>68.900000000000006</v>
      </c>
      <c r="E663" s="13">
        <v>68.900000000000006</v>
      </c>
      <c r="F663" s="13" t="s">
        <v>1174</v>
      </c>
      <c r="G663" s="13" t="s">
        <v>1174</v>
      </c>
      <c r="H663" s="13"/>
      <c r="I663" s="4" t="s">
        <v>1174</v>
      </c>
    </row>
    <row r="664" spans="1:9" ht="15.75" customHeight="1" x14ac:dyDescent="0.25">
      <c r="A664" s="10">
        <f t="shared" si="30"/>
        <v>1</v>
      </c>
      <c r="B664" s="10" t="s">
        <v>688</v>
      </c>
      <c r="C664" s="11" t="s">
        <v>69</v>
      </c>
      <c r="D664" s="13">
        <f t="shared" si="16"/>
        <v>34.9</v>
      </c>
      <c r="E664" s="13">
        <v>34.9</v>
      </c>
      <c r="F664" s="13" t="s">
        <v>1174</v>
      </c>
      <c r="G664" s="13" t="s">
        <v>1174</v>
      </c>
      <c r="H664" s="13"/>
      <c r="I664" s="4" t="s">
        <v>1174</v>
      </c>
    </row>
    <row r="665" spans="1:9" ht="15.75" customHeight="1" x14ac:dyDescent="0.25">
      <c r="A665" s="10">
        <f t="shared" si="30"/>
        <v>1</v>
      </c>
      <c r="B665" s="10" t="s">
        <v>692</v>
      </c>
      <c r="C665" s="11" t="s">
        <v>69</v>
      </c>
      <c r="D665" s="13">
        <f t="shared" si="16"/>
        <v>144.9</v>
      </c>
      <c r="E665" s="13">
        <v>144.9</v>
      </c>
      <c r="F665" s="13" t="s">
        <v>1174</v>
      </c>
      <c r="G665" s="13" t="s">
        <v>1174</v>
      </c>
      <c r="H665" s="13"/>
      <c r="I665" s="4" t="s">
        <v>1174</v>
      </c>
    </row>
    <row r="666" spans="1:9" ht="15.75" customHeight="1" x14ac:dyDescent="0.25">
      <c r="A666" s="10">
        <f t="shared" si="30"/>
        <v>1</v>
      </c>
      <c r="B666" s="10" t="s">
        <v>681</v>
      </c>
      <c r="C666" s="11" t="s">
        <v>69</v>
      </c>
      <c r="D666" s="13">
        <f t="shared" si="16"/>
        <v>76.3</v>
      </c>
      <c r="E666" s="13">
        <v>76.3</v>
      </c>
      <c r="F666" s="13" t="s">
        <v>1174</v>
      </c>
      <c r="G666" s="13" t="s">
        <v>1174</v>
      </c>
      <c r="H666" s="13"/>
      <c r="I666" s="4" t="s">
        <v>1174</v>
      </c>
    </row>
    <row r="667" spans="1:9" ht="15.75" customHeight="1" x14ac:dyDescent="0.25">
      <c r="A667" s="10">
        <f t="shared" si="30"/>
        <v>1</v>
      </c>
      <c r="B667" s="10" t="s">
        <v>513</v>
      </c>
      <c r="C667" s="11" t="s">
        <v>69</v>
      </c>
      <c r="D667" s="13">
        <f t="shared" si="16"/>
        <v>85.9</v>
      </c>
      <c r="E667" s="13">
        <v>85.9</v>
      </c>
      <c r="F667" s="13" t="s">
        <v>1174</v>
      </c>
      <c r="G667" s="13" t="s">
        <v>1174</v>
      </c>
      <c r="H667" s="13"/>
      <c r="I667" s="4" t="s">
        <v>1174</v>
      </c>
    </row>
    <row r="668" spans="1:9" ht="15.75" customHeight="1" x14ac:dyDescent="0.25">
      <c r="A668" s="10">
        <f t="shared" si="30"/>
        <v>1</v>
      </c>
      <c r="B668" s="10" t="s">
        <v>2958</v>
      </c>
      <c r="C668" s="11" t="s">
        <v>69</v>
      </c>
      <c r="D668" s="13">
        <f>E668*$D$1</f>
        <v>394</v>
      </c>
      <c r="E668" s="13">
        <v>394</v>
      </c>
      <c r="F668" s="13" t="s">
        <v>1174</v>
      </c>
      <c r="G668" s="13" t="s">
        <v>1174</v>
      </c>
      <c r="H668" s="13" t="s">
        <v>2947</v>
      </c>
      <c r="I668" s="4" t="s">
        <v>1174</v>
      </c>
    </row>
    <row r="669" spans="1:9" ht="15.75" customHeight="1" x14ac:dyDescent="0.25">
      <c r="A669" s="10">
        <f>COUNTIFS($B$2:$B$996,B669)</f>
        <v>1</v>
      </c>
      <c r="B669" s="10" t="s">
        <v>2960</v>
      </c>
      <c r="C669" s="11" t="s">
        <v>69</v>
      </c>
      <c r="D669" s="13">
        <f>E669*$D$1</f>
        <v>337</v>
      </c>
      <c r="E669" s="13">
        <f>40+20+259+18</f>
        <v>337</v>
      </c>
      <c r="F669" s="13" t="s">
        <v>1174</v>
      </c>
      <c r="G669" s="13" t="s">
        <v>1174</v>
      </c>
      <c r="H669" s="13" t="s">
        <v>2947</v>
      </c>
      <c r="I669" s="4" t="s">
        <v>1174</v>
      </c>
    </row>
    <row r="670" spans="1:9" ht="15.75" customHeight="1" x14ac:dyDescent="0.25">
      <c r="A670" s="10">
        <f t="shared" si="30"/>
        <v>1</v>
      </c>
      <c r="B670" s="10" t="s">
        <v>2959</v>
      </c>
      <c r="C670" s="11" t="s">
        <v>69</v>
      </c>
      <c r="D670" s="13">
        <f>E670*$D$1</f>
        <v>298</v>
      </c>
      <c r="E670" s="13">
        <v>298</v>
      </c>
      <c r="F670" s="13" t="s">
        <v>1174</v>
      </c>
      <c r="G670" s="13" t="s">
        <v>1174</v>
      </c>
      <c r="H670" s="13" t="s">
        <v>2947</v>
      </c>
      <c r="I670" s="4" t="s">
        <v>1174</v>
      </c>
    </row>
    <row r="671" spans="1:9" ht="15.75" customHeight="1" x14ac:dyDescent="0.25">
      <c r="A671" s="10">
        <f>COUNTIFS($B$2:$B$996,B671)</f>
        <v>1</v>
      </c>
      <c r="B671" s="10" t="s">
        <v>2953</v>
      </c>
      <c r="C671" s="11" t="s">
        <v>69</v>
      </c>
      <c r="D671" s="13">
        <f>E671*$D$1</f>
        <v>147.4</v>
      </c>
      <c r="E671" s="13">
        <v>147.4</v>
      </c>
      <c r="F671" s="13" t="s">
        <v>1174</v>
      </c>
      <c r="G671" s="13" t="s">
        <v>1174</v>
      </c>
      <c r="H671" s="13" t="s">
        <v>2947</v>
      </c>
      <c r="I671" s="4" t="s">
        <v>1174</v>
      </c>
    </row>
    <row r="672" spans="1:9" ht="15.75" customHeight="1" x14ac:dyDescent="0.25">
      <c r="A672" s="10">
        <f t="shared" si="30"/>
        <v>1</v>
      </c>
      <c r="B672" s="10" t="s">
        <v>2381</v>
      </c>
      <c r="C672" s="11" t="s">
        <v>69</v>
      </c>
      <c r="D672" s="13">
        <f t="shared" ref="D672:D692" si="31">E672*$D$1</f>
        <v>588.79999999999995</v>
      </c>
      <c r="E672" s="13">
        <v>588.79999999999995</v>
      </c>
      <c r="F672" s="13" t="s">
        <v>1174</v>
      </c>
      <c r="G672" s="13" t="s">
        <v>1174</v>
      </c>
      <c r="H672" s="13"/>
      <c r="I672" s="4" t="s">
        <v>1174</v>
      </c>
    </row>
    <row r="673" spans="1:9" ht="15.75" customHeight="1" x14ac:dyDescent="0.25">
      <c r="A673" s="10">
        <f t="shared" si="30"/>
        <v>1</v>
      </c>
      <c r="B673" s="10" t="s">
        <v>2382</v>
      </c>
      <c r="C673" s="11" t="s">
        <v>69</v>
      </c>
      <c r="D673" s="13">
        <f t="shared" si="31"/>
        <v>588.79999999999995</v>
      </c>
      <c r="E673" s="13">
        <v>588.79999999999995</v>
      </c>
      <c r="F673" s="13" t="s">
        <v>1174</v>
      </c>
      <c r="G673" s="13" t="s">
        <v>1174</v>
      </c>
      <c r="H673" s="13"/>
      <c r="I673" s="4" t="s">
        <v>1174</v>
      </c>
    </row>
    <row r="674" spans="1:9" ht="15.75" customHeight="1" x14ac:dyDescent="0.25">
      <c r="A674" s="10">
        <f t="shared" si="30"/>
        <v>1</v>
      </c>
      <c r="B674" s="10" t="s">
        <v>2383</v>
      </c>
      <c r="C674" s="11" t="s">
        <v>69</v>
      </c>
      <c r="D674" s="13">
        <f t="shared" si="31"/>
        <v>315</v>
      </c>
      <c r="E674" s="13">
        <f>44090.55/139.97</f>
        <v>315</v>
      </c>
      <c r="F674" s="13" t="s">
        <v>1174</v>
      </c>
      <c r="G674" s="13" t="s">
        <v>1174</v>
      </c>
      <c r="H674" s="13" t="s">
        <v>2947</v>
      </c>
      <c r="I674" s="4" t="s">
        <v>1174</v>
      </c>
    </row>
    <row r="675" spans="1:9" ht="15.75" customHeight="1" x14ac:dyDescent="0.25">
      <c r="A675" s="10">
        <f t="shared" si="30"/>
        <v>1</v>
      </c>
      <c r="B675" s="10" t="s">
        <v>2951</v>
      </c>
      <c r="C675" s="11" t="s">
        <v>69</v>
      </c>
      <c r="D675" s="13">
        <f t="shared" si="31"/>
        <v>402.5</v>
      </c>
      <c r="E675" s="13">
        <v>402.5</v>
      </c>
      <c r="F675" s="13" t="s">
        <v>1174</v>
      </c>
      <c r="G675" s="13" t="s">
        <v>1174</v>
      </c>
      <c r="H675" s="13"/>
      <c r="I675" s="4" t="s">
        <v>1174</v>
      </c>
    </row>
    <row r="676" spans="1:9" ht="15.75" customHeight="1" x14ac:dyDescent="0.25">
      <c r="A676" s="10">
        <f>COUNTIFS($B$2:$B$996,B676)</f>
        <v>1</v>
      </c>
      <c r="B676" s="10" t="s">
        <v>2950</v>
      </c>
      <c r="C676" s="11" t="s">
        <v>69</v>
      </c>
      <c r="D676" s="13">
        <f>E676*$D$1</f>
        <v>402.5</v>
      </c>
      <c r="E676" s="13">
        <v>402.5</v>
      </c>
      <c r="F676" s="13" t="s">
        <v>1174</v>
      </c>
      <c r="G676" s="13" t="s">
        <v>1174</v>
      </c>
      <c r="H676" s="13"/>
      <c r="I676" s="4" t="s">
        <v>1174</v>
      </c>
    </row>
    <row r="677" spans="1:9" ht="15.75" customHeight="1" x14ac:dyDescent="0.25">
      <c r="A677" s="10">
        <f t="shared" si="30"/>
        <v>1</v>
      </c>
      <c r="B677" s="10" t="s">
        <v>2384</v>
      </c>
      <c r="C677" s="11" t="s">
        <v>69</v>
      </c>
      <c r="D677" s="13">
        <f t="shared" si="31"/>
        <v>315</v>
      </c>
      <c r="E677" s="13">
        <f>44090.55/139.97</f>
        <v>315</v>
      </c>
      <c r="F677" s="13" t="s">
        <v>1174</v>
      </c>
      <c r="G677" s="13" t="s">
        <v>1174</v>
      </c>
      <c r="H677" s="13" t="s">
        <v>2947</v>
      </c>
      <c r="I677" s="4" t="s">
        <v>1174</v>
      </c>
    </row>
    <row r="678" spans="1:9" ht="15.75" customHeight="1" x14ac:dyDescent="0.25">
      <c r="A678" s="10">
        <f t="shared" si="30"/>
        <v>1</v>
      </c>
      <c r="B678" s="10" t="s">
        <v>2532</v>
      </c>
      <c r="C678" s="11" t="s">
        <v>69</v>
      </c>
      <c r="D678" s="13">
        <f t="shared" si="31"/>
        <v>490</v>
      </c>
      <c r="E678" s="13">
        <f>1192743.3/2434.17</f>
        <v>490</v>
      </c>
      <c r="F678" s="13" t="s">
        <v>1174</v>
      </c>
      <c r="G678" s="13" t="s">
        <v>1174</v>
      </c>
      <c r="H678" s="13" t="s">
        <v>2947</v>
      </c>
      <c r="I678" s="4" t="s">
        <v>1174</v>
      </c>
    </row>
    <row r="679" spans="1:9" ht="15.75" customHeight="1" x14ac:dyDescent="0.25">
      <c r="A679" s="10">
        <f t="shared" si="30"/>
        <v>1</v>
      </c>
      <c r="B679" s="10" t="s">
        <v>2680</v>
      </c>
      <c r="C679" s="11" t="s">
        <v>69</v>
      </c>
      <c r="D679" s="13">
        <f t="shared" si="31"/>
        <v>588</v>
      </c>
      <c r="E679" s="13">
        <v>588</v>
      </c>
      <c r="F679" s="13" t="s">
        <v>1174</v>
      </c>
      <c r="G679" s="13" t="s">
        <v>1174</v>
      </c>
      <c r="H679" s="14">
        <f>0.05*0.05</f>
        <v>2.5000000000000005E-3</v>
      </c>
      <c r="I679" s="4" t="s">
        <v>1174</v>
      </c>
    </row>
    <row r="680" spans="1:9" ht="15.75" customHeight="1" x14ac:dyDescent="0.25">
      <c r="A680" s="10">
        <f t="shared" si="30"/>
        <v>1</v>
      </c>
      <c r="B680" s="10" t="s">
        <v>2681</v>
      </c>
      <c r="C680" s="11" t="s">
        <v>69</v>
      </c>
      <c r="D680" s="13">
        <f t="shared" si="31"/>
        <v>588</v>
      </c>
      <c r="E680" s="13">
        <v>588</v>
      </c>
      <c r="F680" s="13" t="s">
        <v>1174</v>
      </c>
      <c r="G680" s="13" t="s">
        <v>1174</v>
      </c>
      <c r="H680" s="14">
        <f>0.05*0.05</f>
        <v>2.5000000000000005E-3</v>
      </c>
      <c r="I680" s="4" t="s">
        <v>1174</v>
      </c>
    </row>
    <row r="681" spans="1:9" ht="15.75" customHeight="1" x14ac:dyDescent="0.25">
      <c r="A681" s="10">
        <f t="shared" si="30"/>
        <v>1</v>
      </c>
      <c r="B681" s="10" t="s">
        <v>2679</v>
      </c>
      <c r="C681" s="11" t="s">
        <v>69</v>
      </c>
      <c r="D681" s="13">
        <f t="shared" si="31"/>
        <v>780</v>
      </c>
      <c r="E681" s="13">
        <f>(3.9*400)/2</f>
        <v>780</v>
      </c>
      <c r="F681" s="13" t="s">
        <v>1174</v>
      </c>
      <c r="G681" s="13" t="s">
        <v>1174</v>
      </c>
      <c r="H681" s="14">
        <f>0.05*0.05</f>
        <v>2.5000000000000005E-3</v>
      </c>
      <c r="I681" s="4" t="s">
        <v>1174</v>
      </c>
    </row>
    <row r="682" spans="1:9" ht="15.75" customHeight="1" x14ac:dyDescent="0.25">
      <c r="A682" s="10">
        <f t="shared" si="30"/>
        <v>1</v>
      </c>
      <c r="B682" s="10" t="s">
        <v>2530</v>
      </c>
      <c r="C682" s="11" t="s">
        <v>69</v>
      </c>
      <c r="D682" s="13">
        <f t="shared" si="31"/>
        <v>780</v>
      </c>
      <c r="E682" s="13">
        <f>(3.9*400)/2</f>
        <v>780</v>
      </c>
      <c r="F682" s="13" t="s">
        <v>1174</v>
      </c>
      <c r="G682" s="13" t="s">
        <v>1174</v>
      </c>
      <c r="H682" s="14">
        <f>0.05*0.05</f>
        <v>2.5000000000000005E-3</v>
      </c>
      <c r="I682" s="4" t="s">
        <v>1174</v>
      </c>
    </row>
    <row r="683" spans="1:9" ht="15.75" customHeight="1" x14ac:dyDescent="0.25">
      <c r="A683" s="10">
        <f t="shared" si="30"/>
        <v>1</v>
      </c>
      <c r="B683" s="10" t="s">
        <v>2390</v>
      </c>
      <c r="C683" s="11" t="s">
        <v>69</v>
      </c>
      <c r="D683" s="13">
        <f t="shared" si="31"/>
        <v>780</v>
      </c>
      <c r="E683" s="13">
        <f>(3.9*400)/2</f>
        <v>780</v>
      </c>
      <c r="F683" s="13" t="s">
        <v>1174</v>
      </c>
      <c r="G683" s="13" t="s">
        <v>1174</v>
      </c>
      <c r="H683" s="13"/>
      <c r="I683" s="4" t="s">
        <v>1174</v>
      </c>
    </row>
    <row r="684" spans="1:9" ht="15.75" customHeight="1" x14ac:dyDescent="0.25">
      <c r="A684" s="10">
        <f t="shared" si="30"/>
        <v>1</v>
      </c>
      <c r="B684" s="10" t="s">
        <v>2391</v>
      </c>
      <c r="C684" s="11" t="s">
        <v>69</v>
      </c>
      <c r="D684" s="13">
        <f t="shared" si="31"/>
        <v>780</v>
      </c>
      <c r="E684" s="13">
        <f>(3.9*400)/2</f>
        <v>780</v>
      </c>
      <c r="F684" s="13" t="s">
        <v>1174</v>
      </c>
      <c r="G684" s="13" t="s">
        <v>1174</v>
      </c>
      <c r="H684" s="13"/>
      <c r="I684" s="4" t="s">
        <v>1174</v>
      </c>
    </row>
    <row r="685" spans="1:9" ht="15.75" customHeight="1" x14ac:dyDescent="0.25">
      <c r="A685" s="10">
        <f t="shared" si="30"/>
        <v>1</v>
      </c>
      <c r="B685" s="10" t="s">
        <v>2392</v>
      </c>
      <c r="C685" s="11" t="s">
        <v>69</v>
      </c>
      <c r="D685" s="13">
        <f t="shared" si="31"/>
        <v>489.99999999999994</v>
      </c>
      <c r="E685" s="13">
        <f>646.8/1.32</f>
        <v>489.99999999999994</v>
      </c>
      <c r="F685" s="13" t="s">
        <v>1174</v>
      </c>
      <c r="G685" s="13" t="s">
        <v>1174</v>
      </c>
      <c r="H685" s="13" t="s">
        <v>2947</v>
      </c>
      <c r="I685" s="4" t="s">
        <v>1174</v>
      </c>
    </row>
    <row r="686" spans="1:9" ht="15.75" customHeight="1" x14ac:dyDescent="0.25">
      <c r="A686" s="10">
        <f t="shared" si="30"/>
        <v>1</v>
      </c>
      <c r="B686" s="10" t="s">
        <v>2393</v>
      </c>
      <c r="C686" s="11" t="s">
        <v>69</v>
      </c>
      <c r="D686" s="13">
        <f t="shared" si="31"/>
        <v>489.99999999999994</v>
      </c>
      <c r="E686" s="13">
        <f>78674.4/160.56</f>
        <v>489.99999999999994</v>
      </c>
      <c r="F686" s="13" t="s">
        <v>1174</v>
      </c>
      <c r="G686" s="13" t="s">
        <v>1174</v>
      </c>
      <c r="H686" s="13" t="s">
        <v>2947</v>
      </c>
      <c r="I686" s="4" t="s">
        <v>1174</v>
      </c>
    </row>
    <row r="687" spans="1:9" ht="15.75" customHeight="1" x14ac:dyDescent="0.25">
      <c r="A687" s="10">
        <f t="shared" si="30"/>
        <v>1</v>
      </c>
      <c r="B687" s="10" t="s">
        <v>2533</v>
      </c>
      <c r="C687" s="11" t="s">
        <v>69</v>
      </c>
      <c r="D687" s="13">
        <f t="shared" si="31"/>
        <v>780</v>
      </c>
      <c r="E687" s="13">
        <f>(3.9*400)/2</f>
        <v>780</v>
      </c>
      <c r="F687" s="13" t="s">
        <v>1174</v>
      </c>
      <c r="G687" s="13" t="s">
        <v>1174</v>
      </c>
      <c r="H687" s="13"/>
      <c r="I687" s="4" t="s">
        <v>1174</v>
      </c>
    </row>
    <row r="688" spans="1:9" ht="15.75" customHeight="1" x14ac:dyDescent="0.25">
      <c r="A688" s="10">
        <f t="shared" si="30"/>
        <v>1</v>
      </c>
      <c r="B688" s="10" t="s">
        <v>2534</v>
      </c>
      <c r="C688" s="11" t="s">
        <v>69</v>
      </c>
      <c r="D688" s="13">
        <f t="shared" si="31"/>
        <v>490</v>
      </c>
      <c r="E688" s="13">
        <f>1271417.7/2594.73</f>
        <v>490</v>
      </c>
      <c r="F688" s="13" t="s">
        <v>1174</v>
      </c>
      <c r="G688" s="13" t="s">
        <v>1174</v>
      </c>
      <c r="H688" s="13" t="s">
        <v>2947</v>
      </c>
      <c r="I688" s="4" t="s">
        <v>1174</v>
      </c>
    </row>
    <row r="689" spans="1:9" ht="15.75" customHeight="1" x14ac:dyDescent="0.25">
      <c r="A689" s="10">
        <f t="shared" si="30"/>
        <v>1</v>
      </c>
      <c r="B689" s="10" t="s">
        <v>2396</v>
      </c>
      <c r="C689" s="11" t="s">
        <v>69</v>
      </c>
      <c r="D689" s="13">
        <f t="shared" si="31"/>
        <v>250</v>
      </c>
      <c r="E689" s="13">
        <v>250</v>
      </c>
      <c r="F689" s="13" t="s">
        <v>1174</v>
      </c>
      <c r="G689" s="13" t="s">
        <v>1174</v>
      </c>
      <c r="H689" s="13"/>
      <c r="I689" s="4" t="s">
        <v>1174</v>
      </c>
    </row>
    <row r="690" spans="1:9" ht="15.75" customHeight="1" x14ac:dyDescent="0.25">
      <c r="A690" s="10">
        <f t="shared" si="30"/>
        <v>1</v>
      </c>
      <c r="B690" s="10" t="s">
        <v>2397</v>
      </c>
      <c r="C690" s="11" t="s">
        <v>69</v>
      </c>
      <c r="D690" s="13">
        <f t="shared" si="31"/>
        <v>249</v>
      </c>
      <c r="E690" s="13">
        <f>3585.6/14.4</f>
        <v>249</v>
      </c>
      <c r="F690" s="13" t="s">
        <v>1174</v>
      </c>
      <c r="G690" s="13" t="s">
        <v>1174</v>
      </c>
      <c r="H690" s="13" t="s">
        <v>2947</v>
      </c>
      <c r="I690" s="4" t="s">
        <v>1174</v>
      </c>
    </row>
    <row r="691" spans="1:9" ht="15.75" customHeight="1" x14ac:dyDescent="0.25">
      <c r="A691" s="10">
        <f t="shared" si="30"/>
        <v>1</v>
      </c>
      <c r="B691" s="10" t="s">
        <v>2398</v>
      </c>
      <c r="C691" s="11" t="s">
        <v>69</v>
      </c>
      <c r="D691" s="13">
        <f t="shared" si="31"/>
        <v>250</v>
      </c>
      <c r="E691" s="13">
        <v>250</v>
      </c>
      <c r="F691" s="13" t="s">
        <v>1174</v>
      </c>
      <c r="G691" s="13" t="s">
        <v>1174</v>
      </c>
      <c r="H691" s="13"/>
      <c r="I691" s="4" t="s">
        <v>1174</v>
      </c>
    </row>
    <row r="692" spans="1:9" ht="15.75" customHeight="1" x14ac:dyDescent="0.25">
      <c r="A692" s="10">
        <f t="shared" si="30"/>
        <v>1</v>
      </c>
      <c r="B692" s="10" t="s">
        <v>2399</v>
      </c>
      <c r="C692" s="11" t="s">
        <v>69</v>
      </c>
      <c r="D692" s="13">
        <f t="shared" si="31"/>
        <v>249</v>
      </c>
      <c r="E692" s="13">
        <f>27636.51/110.99</f>
        <v>249</v>
      </c>
      <c r="F692" s="13" t="s">
        <v>1174</v>
      </c>
      <c r="G692" s="13" t="s">
        <v>1174</v>
      </c>
      <c r="H692" s="13" t="s">
        <v>2947</v>
      </c>
      <c r="I692" s="4" t="s">
        <v>1174</v>
      </c>
    </row>
    <row r="693" spans="1:9" ht="15.75" customHeight="1" x14ac:dyDescent="0.25">
      <c r="A693" s="10">
        <f t="shared" si="30"/>
        <v>1</v>
      </c>
      <c r="B693" s="10" t="s">
        <v>2400</v>
      </c>
      <c r="C693" s="11" t="s">
        <v>69</v>
      </c>
      <c r="D693" s="13">
        <f t="shared" ref="D693:D698" si="32">E693*$D$1</f>
        <v>250</v>
      </c>
      <c r="E693" s="13">
        <v>250</v>
      </c>
      <c r="F693" s="13" t="s">
        <v>1174</v>
      </c>
      <c r="G693" s="13" t="s">
        <v>1174</v>
      </c>
      <c r="H693" s="13"/>
      <c r="I693" s="4" t="s">
        <v>1174</v>
      </c>
    </row>
    <row r="694" spans="1:9" ht="15.75" customHeight="1" x14ac:dyDescent="0.25">
      <c r="A694" s="10">
        <f t="shared" si="30"/>
        <v>1</v>
      </c>
      <c r="B694" s="10" t="s">
        <v>2401</v>
      </c>
      <c r="C694" s="11" t="s">
        <v>69</v>
      </c>
      <c r="D694" s="13">
        <f t="shared" si="32"/>
        <v>249</v>
      </c>
      <c r="E694" s="13">
        <f>876.48/3.52</f>
        <v>249</v>
      </c>
      <c r="F694" s="13" t="s">
        <v>1174</v>
      </c>
      <c r="G694" s="13" t="s">
        <v>1174</v>
      </c>
      <c r="H694" s="13" t="s">
        <v>2947</v>
      </c>
      <c r="I694" s="4" t="s">
        <v>1174</v>
      </c>
    </row>
    <row r="695" spans="1:9" ht="15.75" customHeight="1" x14ac:dyDescent="0.25">
      <c r="A695" s="10">
        <f t="shared" si="30"/>
        <v>1</v>
      </c>
      <c r="B695" s="10" t="s">
        <v>2402</v>
      </c>
      <c r="C695" s="11" t="s">
        <v>69</v>
      </c>
      <c r="D695" s="13">
        <f t="shared" si="32"/>
        <v>250</v>
      </c>
      <c r="E695" s="13">
        <v>250</v>
      </c>
      <c r="F695" s="13" t="s">
        <v>1174</v>
      </c>
      <c r="G695" s="13" t="s">
        <v>1174</v>
      </c>
      <c r="H695" s="13"/>
      <c r="I695" s="4" t="s">
        <v>1174</v>
      </c>
    </row>
    <row r="696" spans="1:9" ht="15.75" customHeight="1" x14ac:dyDescent="0.25">
      <c r="A696" s="10">
        <f t="shared" si="30"/>
        <v>1</v>
      </c>
      <c r="B696" s="10" t="s">
        <v>2403</v>
      </c>
      <c r="C696" s="11" t="s">
        <v>69</v>
      </c>
      <c r="D696" s="13">
        <f t="shared" si="32"/>
        <v>249</v>
      </c>
      <c r="E696" s="13">
        <f>876.48/3.52</f>
        <v>249</v>
      </c>
      <c r="F696" s="13" t="s">
        <v>1174</v>
      </c>
      <c r="G696" s="13" t="s">
        <v>1174</v>
      </c>
      <c r="H696" s="13" t="s">
        <v>2947</v>
      </c>
      <c r="I696" s="4" t="s">
        <v>1174</v>
      </c>
    </row>
    <row r="697" spans="1:9" ht="15.75" customHeight="1" x14ac:dyDescent="0.25">
      <c r="A697" s="10">
        <f t="shared" si="30"/>
        <v>1</v>
      </c>
      <c r="B697" s="10" t="s">
        <v>2519</v>
      </c>
      <c r="C697" s="11" t="s">
        <v>69</v>
      </c>
      <c r="D697" s="13">
        <f t="shared" si="32"/>
        <v>560</v>
      </c>
      <c r="E697" s="13">
        <v>560</v>
      </c>
      <c r="F697" s="13" t="s">
        <v>1174</v>
      </c>
      <c r="G697" s="13" t="s">
        <v>1174</v>
      </c>
      <c r="H697" s="13"/>
      <c r="I697" s="4" t="s">
        <v>1174</v>
      </c>
    </row>
    <row r="698" spans="1:9" ht="15.75" customHeight="1" x14ac:dyDescent="0.25">
      <c r="A698" s="10">
        <f t="shared" si="30"/>
        <v>1</v>
      </c>
      <c r="B698" s="10" t="s">
        <v>2520</v>
      </c>
      <c r="C698" s="11" t="s">
        <v>69</v>
      </c>
      <c r="D698" s="13">
        <f t="shared" si="32"/>
        <v>249</v>
      </c>
      <c r="E698" s="13">
        <f>876.48/3.52</f>
        <v>249</v>
      </c>
      <c r="F698" s="13" t="s">
        <v>1174</v>
      </c>
      <c r="G698" s="13" t="s">
        <v>1174</v>
      </c>
      <c r="H698" s="13" t="s">
        <v>2947</v>
      </c>
      <c r="I698" s="4" t="s">
        <v>1174</v>
      </c>
    </row>
    <row r="699" spans="1:9" ht="15.75" customHeight="1" x14ac:dyDescent="0.25">
      <c r="A699" s="10">
        <f t="shared" si="30"/>
        <v>1</v>
      </c>
      <c r="B699" s="10" t="s">
        <v>2524</v>
      </c>
      <c r="C699" s="11" t="s">
        <v>69</v>
      </c>
      <c r="D699" s="13">
        <f>E699*$D$1</f>
        <v>480</v>
      </c>
      <c r="E699" s="13">
        <v>480</v>
      </c>
      <c r="F699" s="13" t="s">
        <v>1174</v>
      </c>
      <c r="G699" s="13" t="s">
        <v>1174</v>
      </c>
      <c r="H699" s="13"/>
      <c r="I699" s="4" t="s">
        <v>1174</v>
      </c>
    </row>
    <row r="700" spans="1:9" ht="15.75" customHeight="1" x14ac:dyDescent="0.25">
      <c r="A700" s="10">
        <f t="shared" si="30"/>
        <v>1</v>
      </c>
      <c r="B700" s="10" t="s">
        <v>2526</v>
      </c>
      <c r="C700" s="11" t="s">
        <v>69</v>
      </c>
      <c r="D700" s="13">
        <f>E700*$D$1</f>
        <v>249</v>
      </c>
      <c r="E700" s="13">
        <f>3585.6/14.4</f>
        <v>249</v>
      </c>
      <c r="F700" s="13" t="s">
        <v>1174</v>
      </c>
      <c r="G700" s="13" t="s">
        <v>1174</v>
      </c>
      <c r="H700" s="13" t="s">
        <v>2947</v>
      </c>
      <c r="I700" s="4" t="s">
        <v>1174</v>
      </c>
    </row>
    <row r="701" spans="1:9" ht="15.75" customHeight="1" x14ac:dyDescent="0.25">
      <c r="A701" s="10">
        <f t="shared" si="30"/>
        <v>1</v>
      </c>
      <c r="B701" s="10" t="s">
        <v>2538</v>
      </c>
      <c r="C701" s="11" t="s">
        <v>69</v>
      </c>
      <c r="D701" s="13">
        <f>E701*$D$1</f>
        <v>98</v>
      </c>
      <c r="E701" s="13">
        <v>98</v>
      </c>
      <c r="F701" s="13" t="s">
        <v>1174</v>
      </c>
      <c r="G701" s="13" t="s">
        <v>1174</v>
      </c>
      <c r="H701" s="13"/>
      <c r="I701" s="4" t="s">
        <v>1174</v>
      </c>
    </row>
    <row r="702" spans="1:9" ht="15.75" customHeight="1" x14ac:dyDescent="0.25">
      <c r="A702" s="10">
        <f t="shared" si="30"/>
        <v>1</v>
      </c>
      <c r="B702" s="10" t="s">
        <v>2379</v>
      </c>
      <c r="C702" s="11" t="s">
        <v>69</v>
      </c>
      <c r="D702" s="13">
        <f>E702*$D$1</f>
        <v>120</v>
      </c>
      <c r="E702" s="13">
        <v>120</v>
      </c>
      <c r="F702" s="13" t="s">
        <v>1174</v>
      </c>
      <c r="G702" s="13" t="s">
        <v>1174</v>
      </c>
      <c r="H702" s="13" t="s">
        <v>3015</v>
      </c>
      <c r="I702" s="4" t="s">
        <v>1174</v>
      </c>
    </row>
    <row r="703" spans="1:9" ht="15.75" customHeight="1" x14ac:dyDescent="0.25">
      <c r="A703" s="10">
        <f t="shared" si="30"/>
        <v>1</v>
      </c>
      <c r="B703" s="10" t="s">
        <v>2377</v>
      </c>
      <c r="C703" s="11" t="s">
        <v>69</v>
      </c>
      <c r="D703" s="13">
        <f>E703*$D$1</f>
        <v>200</v>
      </c>
      <c r="E703" s="13">
        <v>200</v>
      </c>
      <c r="F703" s="13" t="s">
        <v>1174</v>
      </c>
      <c r="G703" s="13" t="s">
        <v>1174</v>
      </c>
      <c r="H703" s="13"/>
      <c r="I703" s="4" t="s">
        <v>1174</v>
      </c>
    </row>
    <row r="704" spans="1:9" ht="15.75" customHeight="1" x14ac:dyDescent="0.25">
      <c r="A704" s="10">
        <f t="shared" si="30"/>
        <v>1</v>
      </c>
      <c r="B704" s="10" t="s">
        <v>517</v>
      </c>
      <c r="C704" s="11" t="s">
        <v>69</v>
      </c>
      <c r="D704" s="13">
        <f t="shared" si="16"/>
        <v>202.01</v>
      </c>
      <c r="E704" s="13">
        <v>202.01</v>
      </c>
      <c r="F704" s="13" t="s">
        <v>1174</v>
      </c>
      <c r="G704" s="13" t="s">
        <v>1174</v>
      </c>
      <c r="H704" s="13"/>
      <c r="I704" s="4" t="s">
        <v>1174</v>
      </c>
    </row>
    <row r="705" spans="1:9" ht="15.75" customHeight="1" x14ac:dyDescent="0.25">
      <c r="A705" s="10">
        <f t="shared" si="30"/>
        <v>1</v>
      </c>
      <c r="B705" s="10" t="s">
        <v>511</v>
      </c>
      <c r="C705" s="11" t="s">
        <v>69</v>
      </c>
      <c r="D705" s="13">
        <f t="shared" si="16"/>
        <v>47.8</v>
      </c>
      <c r="E705" s="13">
        <v>47.8</v>
      </c>
      <c r="F705" s="13" t="s">
        <v>1174</v>
      </c>
      <c r="G705" s="13" t="s">
        <v>1174</v>
      </c>
      <c r="H705" s="13"/>
      <c r="I705" s="4" t="s">
        <v>1174</v>
      </c>
    </row>
    <row r="706" spans="1:9" ht="15.75" customHeight="1" x14ac:dyDescent="0.25">
      <c r="A706" s="10">
        <f t="shared" si="30"/>
        <v>1</v>
      </c>
      <c r="B706" s="10" t="s">
        <v>685</v>
      </c>
      <c r="C706" s="11" t="s">
        <v>69</v>
      </c>
      <c r="D706" s="13">
        <f t="shared" si="16"/>
        <v>89.9</v>
      </c>
      <c r="E706" s="13">
        <v>89.9</v>
      </c>
      <c r="F706" s="13" t="s">
        <v>1174</v>
      </c>
      <c r="G706" s="13" t="s">
        <v>1174</v>
      </c>
      <c r="H706" s="13"/>
      <c r="I706" s="4" t="s">
        <v>1174</v>
      </c>
    </row>
    <row r="707" spans="1:9" ht="15.75" customHeight="1" x14ac:dyDescent="0.25">
      <c r="A707" s="10">
        <f t="shared" si="30"/>
        <v>1</v>
      </c>
      <c r="B707" s="10" t="s">
        <v>697</v>
      </c>
      <c r="C707" s="11" t="s">
        <v>69</v>
      </c>
      <c r="D707" s="13">
        <f>E707*$D$1</f>
        <v>183.21</v>
      </c>
      <c r="E707" s="13">
        <v>183.21</v>
      </c>
      <c r="F707" s="13" t="s">
        <v>1174</v>
      </c>
      <c r="G707" s="13" t="s">
        <v>1174</v>
      </c>
      <c r="H707" s="13"/>
      <c r="I707" s="4" t="s">
        <v>1174</v>
      </c>
    </row>
    <row r="708" spans="1:9" ht="15.75" customHeight="1" x14ac:dyDescent="0.25">
      <c r="A708" s="10">
        <f t="shared" si="30"/>
        <v>1</v>
      </c>
      <c r="B708" s="10" t="s">
        <v>1471</v>
      </c>
      <c r="C708" s="11" t="s">
        <v>69</v>
      </c>
      <c r="D708" s="13">
        <f t="shared" si="16"/>
        <v>183.21</v>
      </c>
      <c r="E708" s="13">
        <v>183.21</v>
      </c>
      <c r="F708" s="13" t="s">
        <v>1174</v>
      </c>
      <c r="G708" s="13" t="s">
        <v>1174</v>
      </c>
      <c r="H708" s="13"/>
      <c r="I708" s="4" t="s">
        <v>1174</v>
      </c>
    </row>
    <row r="709" spans="1:9" ht="15.75" customHeight="1" x14ac:dyDescent="0.25">
      <c r="A709" s="10">
        <f t="shared" si="30"/>
        <v>1</v>
      </c>
      <c r="B709" s="10" t="s">
        <v>694</v>
      </c>
      <c r="C709" s="11" t="s">
        <v>69</v>
      </c>
      <c r="D709" s="13">
        <f t="shared" si="16"/>
        <v>99.7</v>
      </c>
      <c r="E709" s="13">
        <v>99.7</v>
      </c>
      <c r="F709" s="13" t="s">
        <v>1174</v>
      </c>
      <c r="G709" s="13" t="s">
        <v>1174</v>
      </c>
      <c r="H709" s="13"/>
      <c r="I709" s="4" t="s">
        <v>1174</v>
      </c>
    </row>
    <row r="710" spans="1:9" ht="15.75" customHeight="1" x14ac:dyDescent="0.25">
      <c r="A710" s="10">
        <f t="shared" si="30"/>
        <v>1</v>
      </c>
      <c r="B710" s="10" t="s">
        <v>880</v>
      </c>
      <c r="C710" s="11" t="s">
        <v>69</v>
      </c>
      <c r="D710" s="13">
        <f t="shared" si="16"/>
        <v>17</v>
      </c>
      <c r="E710" s="13">
        <v>17</v>
      </c>
      <c r="F710" s="13" t="s">
        <v>1174</v>
      </c>
      <c r="G710" s="13" t="s">
        <v>1174</v>
      </c>
      <c r="H710" s="13"/>
      <c r="I710" s="4" t="s">
        <v>1174</v>
      </c>
    </row>
    <row r="711" spans="1:9" ht="15.75" customHeight="1" x14ac:dyDescent="0.25">
      <c r="A711" s="10">
        <f t="shared" si="30"/>
        <v>1</v>
      </c>
      <c r="B711" s="10" t="s">
        <v>515</v>
      </c>
      <c r="C711" s="11" t="s">
        <v>69</v>
      </c>
      <c r="D711" s="13">
        <f t="shared" si="16"/>
        <v>143.55000000000001</v>
      </c>
      <c r="E711" s="13">
        <v>143.55000000000001</v>
      </c>
      <c r="F711" s="13" t="s">
        <v>1174</v>
      </c>
      <c r="G711" s="13" t="s">
        <v>1174</v>
      </c>
      <c r="H711" s="13"/>
      <c r="I711" s="4" t="s">
        <v>1174</v>
      </c>
    </row>
    <row r="712" spans="1:9" ht="15.75" customHeight="1" x14ac:dyDescent="0.25">
      <c r="A712" s="10">
        <f t="shared" ref="A712:A775" si="33">COUNTIFS($B$2:$B$996,B712)</f>
        <v>1</v>
      </c>
      <c r="B712" s="10" t="s">
        <v>696</v>
      </c>
      <c r="C712" s="11" t="s">
        <v>69</v>
      </c>
      <c r="D712" s="13">
        <f t="shared" si="16"/>
        <v>160</v>
      </c>
      <c r="E712" s="13">
        <v>160</v>
      </c>
      <c r="F712" s="13" t="s">
        <v>1174</v>
      </c>
      <c r="G712" s="13" t="s">
        <v>1174</v>
      </c>
      <c r="H712" s="13"/>
      <c r="I712" s="4" t="s">
        <v>1174</v>
      </c>
    </row>
    <row r="713" spans="1:9" ht="15.75" customHeight="1" x14ac:dyDescent="0.25">
      <c r="A713" s="10">
        <f t="shared" si="33"/>
        <v>1</v>
      </c>
      <c r="B713" s="10" t="s">
        <v>1467</v>
      </c>
      <c r="C713" s="11" t="s">
        <v>69</v>
      </c>
      <c r="D713" s="13">
        <f>E713*$D$1</f>
        <v>107.9</v>
      </c>
      <c r="E713" s="13">
        <v>107.9</v>
      </c>
      <c r="F713" s="13" t="s">
        <v>1174</v>
      </c>
      <c r="G713" s="13" t="s">
        <v>1174</v>
      </c>
      <c r="H713" s="13"/>
      <c r="I713" s="4" t="s">
        <v>1174</v>
      </c>
    </row>
    <row r="714" spans="1:9" ht="15.75" customHeight="1" x14ac:dyDescent="0.25">
      <c r="A714" s="10">
        <f t="shared" si="33"/>
        <v>1</v>
      </c>
      <c r="B714" s="10" t="s">
        <v>1468</v>
      </c>
      <c r="C714" s="11" t="s">
        <v>69</v>
      </c>
      <c r="D714" s="13">
        <f>E714*$D$1</f>
        <v>76.349999999999994</v>
      </c>
      <c r="E714" s="13">
        <v>76.349999999999994</v>
      </c>
      <c r="F714" s="13" t="s">
        <v>1174</v>
      </c>
      <c r="G714" s="13" t="s">
        <v>1174</v>
      </c>
      <c r="H714" s="13"/>
      <c r="I714" s="4" t="s">
        <v>1174</v>
      </c>
    </row>
    <row r="715" spans="1:9" ht="15.75" customHeight="1" x14ac:dyDescent="0.25">
      <c r="A715" s="10">
        <f t="shared" si="33"/>
        <v>1</v>
      </c>
      <c r="B715" s="10" t="s">
        <v>678</v>
      </c>
      <c r="C715" s="11" t="s">
        <v>69</v>
      </c>
      <c r="D715" s="13">
        <f t="shared" si="16"/>
        <v>107.9</v>
      </c>
      <c r="E715" s="13">
        <v>107.9</v>
      </c>
      <c r="F715" s="13" t="s">
        <v>1174</v>
      </c>
      <c r="G715" s="13" t="s">
        <v>1174</v>
      </c>
      <c r="H715" s="13"/>
      <c r="I715" s="4" t="s">
        <v>1174</v>
      </c>
    </row>
    <row r="716" spans="1:9" ht="15.75" customHeight="1" x14ac:dyDescent="0.25">
      <c r="A716" s="10">
        <f t="shared" si="33"/>
        <v>1</v>
      </c>
      <c r="B716" s="10" t="s">
        <v>1416</v>
      </c>
      <c r="C716" s="11" t="s">
        <v>69</v>
      </c>
      <c r="D716" s="13">
        <f>E716*$D$1</f>
        <v>613</v>
      </c>
      <c r="E716" s="13">
        <f>358+105+150</f>
        <v>613</v>
      </c>
      <c r="F716" s="13" t="s">
        <v>1174</v>
      </c>
      <c r="G716" s="13" t="s">
        <v>1174</v>
      </c>
      <c r="H716" s="13"/>
      <c r="I716" s="4" t="s">
        <v>1174</v>
      </c>
    </row>
    <row r="717" spans="1:9" ht="15.75" customHeight="1" x14ac:dyDescent="0.25">
      <c r="A717" s="10">
        <f t="shared" si="33"/>
        <v>1</v>
      </c>
      <c r="B717" s="10" t="s">
        <v>1194</v>
      </c>
      <c r="C717" s="11" t="s">
        <v>112</v>
      </c>
      <c r="D717" s="13">
        <f t="shared" si="16"/>
        <v>7</v>
      </c>
      <c r="E717" s="13">
        <v>7</v>
      </c>
      <c r="F717" s="13" t="s">
        <v>1174</v>
      </c>
      <c r="G717" s="13" t="s">
        <v>1195</v>
      </c>
      <c r="H717" s="13"/>
      <c r="I717" s="4" t="s">
        <v>1174</v>
      </c>
    </row>
    <row r="718" spans="1:9" ht="15.75" customHeight="1" x14ac:dyDescent="0.25">
      <c r="A718" s="10">
        <f t="shared" si="33"/>
        <v>1</v>
      </c>
      <c r="B718" s="10" t="s">
        <v>1196</v>
      </c>
      <c r="C718" s="11" t="s">
        <v>112</v>
      </c>
      <c r="D718" s="13">
        <f t="shared" si="16"/>
        <v>14</v>
      </c>
      <c r="E718" s="13">
        <v>14</v>
      </c>
      <c r="F718" s="13" t="s">
        <v>1174</v>
      </c>
      <c r="G718" s="13" t="s">
        <v>1195</v>
      </c>
      <c r="H718" s="13"/>
      <c r="I718" s="4" t="s">
        <v>1174</v>
      </c>
    </row>
    <row r="719" spans="1:9" ht="15.75" customHeight="1" x14ac:dyDescent="0.25">
      <c r="A719" s="10">
        <f t="shared" si="33"/>
        <v>1</v>
      </c>
      <c r="B719" s="10" t="s">
        <v>708</v>
      </c>
      <c r="C719" s="11" t="s">
        <v>112</v>
      </c>
      <c r="D719" s="13">
        <f>E719*$D$1</f>
        <v>19.25</v>
      </c>
      <c r="E719" s="13">
        <f>385*0.05</f>
        <v>19.25</v>
      </c>
      <c r="F719" s="13" t="s">
        <v>1174</v>
      </c>
      <c r="G719" s="13" t="s">
        <v>1195</v>
      </c>
      <c r="H719" s="13"/>
      <c r="I719" s="4" t="s">
        <v>1174</v>
      </c>
    </row>
    <row r="720" spans="1:9" ht="15.75" customHeight="1" x14ac:dyDescent="0.25">
      <c r="A720" s="10">
        <f t="shared" si="33"/>
        <v>1</v>
      </c>
      <c r="B720" s="10" t="s">
        <v>1499</v>
      </c>
      <c r="C720" s="11" t="s">
        <v>112</v>
      </c>
      <c r="D720" s="13">
        <f>E720*$D$1</f>
        <v>77</v>
      </c>
      <c r="E720" s="13">
        <f>385*0.2</f>
        <v>77</v>
      </c>
      <c r="F720" s="13" t="s">
        <v>1174</v>
      </c>
      <c r="G720" s="13" t="s">
        <v>1195</v>
      </c>
      <c r="H720" s="13"/>
      <c r="I720" s="4" t="s">
        <v>1174</v>
      </c>
    </row>
    <row r="721" spans="1:9" ht="15.75" customHeight="1" x14ac:dyDescent="0.25">
      <c r="A721" s="10">
        <f t="shared" si="33"/>
        <v>1</v>
      </c>
      <c r="B721" s="10" t="s">
        <v>1607</v>
      </c>
      <c r="C721" s="11" t="s">
        <v>112</v>
      </c>
      <c r="D721" s="13">
        <f>E721*$D$1</f>
        <v>190</v>
      </c>
      <c r="E721" s="13">
        <f>285/0.3*0.2</f>
        <v>190</v>
      </c>
      <c r="F721" s="13" t="s">
        <v>1174</v>
      </c>
      <c r="G721" s="13" t="s">
        <v>1195</v>
      </c>
      <c r="H721" s="13"/>
      <c r="I721" s="4" t="s">
        <v>1174</v>
      </c>
    </row>
    <row r="722" spans="1:9" ht="15.75" customHeight="1" x14ac:dyDescent="0.25">
      <c r="A722" s="10">
        <f t="shared" si="33"/>
        <v>1</v>
      </c>
      <c r="B722" s="10" t="s">
        <v>1504</v>
      </c>
      <c r="C722" s="11" t="s">
        <v>112</v>
      </c>
      <c r="D722" s="13">
        <f t="shared" si="16"/>
        <v>151.68571428571428</v>
      </c>
      <c r="E722" s="13">
        <f>(53.09/0.07)*0.2</f>
        <v>151.68571428571428</v>
      </c>
      <c r="F722" s="13" t="s">
        <v>1174</v>
      </c>
      <c r="G722" s="13" t="s">
        <v>1195</v>
      </c>
      <c r="H722" s="13"/>
      <c r="I722" s="4" t="s">
        <v>1174</v>
      </c>
    </row>
    <row r="723" spans="1:9" ht="15.75" customHeight="1" x14ac:dyDescent="0.25">
      <c r="A723" s="10">
        <f t="shared" si="33"/>
        <v>1</v>
      </c>
      <c r="B723" s="10" t="s">
        <v>716</v>
      </c>
      <c r="C723" s="11" t="s">
        <v>112</v>
      </c>
      <c r="D723" s="13">
        <f t="shared" si="16"/>
        <v>50.25</v>
      </c>
      <c r="E723" s="13">
        <v>50.25</v>
      </c>
      <c r="F723" s="13" t="s">
        <v>1174</v>
      </c>
      <c r="G723" s="13" t="s">
        <v>1195</v>
      </c>
      <c r="H723" s="13"/>
      <c r="I723" s="4" t="s">
        <v>1174</v>
      </c>
    </row>
    <row r="724" spans="1:9" ht="15.75" customHeight="1" x14ac:dyDescent="0.25">
      <c r="A724" s="10">
        <f t="shared" si="33"/>
        <v>1</v>
      </c>
      <c r="B724" s="10" t="s">
        <v>714</v>
      </c>
      <c r="C724" s="11" t="s">
        <v>112</v>
      </c>
      <c r="D724" s="13">
        <f t="shared" si="16"/>
        <v>28.954166666666666</v>
      </c>
      <c r="E724" s="13">
        <v>28.954166666666666</v>
      </c>
      <c r="F724" s="13" t="s">
        <v>1174</v>
      </c>
      <c r="G724" s="13" t="s">
        <v>1195</v>
      </c>
      <c r="H724" s="13"/>
      <c r="I724" s="4" t="s">
        <v>1174</v>
      </c>
    </row>
    <row r="725" spans="1:9" ht="15.75" customHeight="1" x14ac:dyDescent="0.25">
      <c r="A725" s="10">
        <f t="shared" si="33"/>
        <v>1</v>
      </c>
      <c r="B725" s="10" t="s">
        <v>1498</v>
      </c>
      <c r="C725" s="11" t="s">
        <v>112</v>
      </c>
      <c r="D725" s="13">
        <f>E725*$D$1</f>
        <v>21.708333333333336</v>
      </c>
      <c r="E725" s="13">
        <f>52.1/2.4</f>
        <v>21.708333333333336</v>
      </c>
      <c r="F725" s="13" t="s">
        <v>1174</v>
      </c>
      <c r="G725" s="13" t="s">
        <v>1195</v>
      </c>
      <c r="H725" s="13"/>
      <c r="I725" s="4" t="s">
        <v>1174</v>
      </c>
    </row>
    <row r="726" spans="1:9" ht="15.75" customHeight="1" x14ac:dyDescent="0.25">
      <c r="A726" s="10">
        <f t="shared" si="33"/>
        <v>1</v>
      </c>
      <c r="B726" s="10" t="s">
        <v>1502</v>
      </c>
      <c r="C726" s="11" t="s">
        <v>112</v>
      </c>
      <c r="D726" s="13">
        <f>E726*$D$1</f>
        <v>35</v>
      </c>
      <c r="E726" s="13">
        <f>105/3</f>
        <v>35</v>
      </c>
      <c r="F726" s="13" t="s">
        <v>1174</v>
      </c>
      <c r="G726" s="13" t="s">
        <v>1195</v>
      </c>
      <c r="H726" s="13"/>
      <c r="I726" s="4" t="s">
        <v>1174</v>
      </c>
    </row>
    <row r="727" spans="1:9" ht="15.75" customHeight="1" x14ac:dyDescent="0.25">
      <c r="A727" s="10">
        <f t="shared" si="33"/>
        <v>1</v>
      </c>
      <c r="B727" s="10" t="s">
        <v>719</v>
      </c>
      <c r="C727" s="11" t="s">
        <v>112</v>
      </c>
      <c r="D727" s="13">
        <f t="shared" si="16"/>
        <v>21.53</v>
      </c>
      <c r="E727" s="13">
        <v>21.53</v>
      </c>
      <c r="F727" s="13" t="s">
        <v>1174</v>
      </c>
      <c r="G727" s="13" t="s">
        <v>1195</v>
      </c>
      <c r="H727" s="13"/>
      <c r="I727" s="4" t="s">
        <v>1174</v>
      </c>
    </row>
    <row r="728" spans="1:9" ht="15.75" customHeight="1" x14ac:dyDescent="0.25">
      <c r="A728" s="10">
        <f t="shared" si="33"/>
        <v>1</v>
      </c>
      <c r="B728" s="10" t="s">
        <v>721</v>
      </c>
      <c r="C728" s="11" t="s">
        <v>196</v>
      </c>
      <c r="D728" s="13">
        <f t="shared" si="16"/>
        <v>17.0928</v>
      </c>
      <c r="E728" s="13">
        <v>17.0928</v>
      </c>
      <c r="F728" s="13" t="s">
        <v>1174</v>
      </c>
      <c r="G728" s="13" t="s">
        <v>1195</v>
      </c>
      <c r="H728" s="13"/>
      <c r="I728" s="4" t="s">
        <v>1174</v>
      </c>
    </row>
    <row r="729" spans="1:9" ht="15.75" customHeight="1" x14ac:dyDescent="0.25">
      <c r="A729" s="10">
        <f t="shared" si="33"/>
        <v>1</v>
      </c>
      <c r="B729" s="10" t="s">
        <v>1197</v>
      </c>
      <c r="C729" s="11" t="s">
        <v>112</v>
      </c>
      <c r="D729" s="13">
        <f t="shared" si="16"/>
        <v>35.555555555555557</v>
      </c>
      <c r="E729" s="13">
        <v>35.555555555555557</v>
      </c>
      <c r="F729" s="13" t="s">
        <v>1174</v>
      </c>
      <c r="G729" s="13" t="s">
        <v>1195</v>
      </c>
      <c r="H729" s="13"/>
      <c r="I729" s="4" t="s">
        <v>1174</v>
      </c>
    </row>
    <row r="730" spans="1:9" ht="15.75" customHeight="1" x14ac:dyDescent="0.25">
      <c r="A730" s="10">
        <f t="shared" si="33"/>
        <v>1</v>
      </c>
      <c r="B730" s="10" t="s">
        <v>1198</v>
      </c>
      <c r="C730" s="11" t="s">
        <v>112</v>
      </c>
      <c r="D730" s="13">
        <f t="shared" si="16"/>
        <v>53.333333333333329</v>
      </c>
      <c r="E730" s="13">
        <v>53.333333333333329</v>
      </c>
      <c r="F730" s="13" t="s">
        <v>1174</v>
      </c>
      <c r="G730" s="13" t="s">
        <v>1195</v>
      </c>
      <c r="H730" s="13"/>
      <c r="I730" s="4" t="s">
        <v>1174</v>
      </c>
    </row>
    <row r="731" spans="1:9" ht="15.75" customHeight="1" x14ac:dyDescent="0.25">
      <c r="A731" s="10">
        <f t="shared" si="33"/>
        <v>1</v>
      </c>
      <c r="B731" s="10" t="s">
        <v>1199</v>
      </c>
      <c r="C731" s="11" t="s">
        <v>112</v>
      </c>
      <c r="D731" s="13">
        <f t="shared" si="16"/>
        <v>58.666666666666664</v>
      </c>
      <c r="E731" s="13">
        <v>58.666666666666664</v>
      </c>
      <c r="F731" s="13" t="s">
        <v>1174</v>
      </c>
      <c r="G731" s="13" t="s">
        <v>1195</v>
      </c>
      <c r="H731" s="13"/>
      <c r="I731" s="4" t="s">
        <v>1174</v>
      </c>
    </row>
    <row r="732" spans="1:9" ht="15.75" customHeight="1" x14ac:dyDescent="0.25">
      <c r="A732" s="10">
        <f t="shared" si="33"/>
        <v>1</v>
      </c>
      <c r="B732" s="10" t="s">
        <v>164</v>
      </c>
      <c r="C732" s="11" t="s">
        <v>151</v>
      </c>
      <c r="D732" s="13">
        <f t="shared" si="16"/>
        <v>2.7132000000000001</v>
      </c>
      <c r="E732" s="13">
        <v>2.7132000000000001</v>
      </c>
      <c r="F732" s="13" t="s">
        <v>1200</v>
      </c>
      <c r="G732" s="13" t="s">
        <v>1200</v>
      </c>
      <c r="H732" s="13"/>
      <c r="I732" s="4" t="s">
        <v>1201</v>
      </c>
    </row>
    <row r="733" spans="1:9" ht="15.75" customHeight="1" x14ac:dyDescent="0.25">
      <c r="A733" s="10">
        <f t="shared" si="33"/>
        <v>1</v>
      </c>
      <c r="B733" s="10" t="s">
        <v>166</v>
      </c>
      <c r="C733" s="11" t="s">
        <v>151</v>
      </c>
      <c r="D733" s="13">
        <f t="shared" si="16"/>
        <v>4.4982000000000006</v>
      </c>
      <c r="E733" s="13">
        <v>4.4982000000000006</v>
      </c>
      <c r="F733" s="13" t="s">
        <v>1200</v>
      </c>
      <c r="G733" s="13" t="s">
        <v>1200</v>
      </c>
      <c r="H733" s="13"/>
      <c r="I733" s="4" t="s">
        <v>1201</v>
      </c>
    </row>
    <row r="734" spans="1:9" ht="15.75" customHeight="1" x14ac:dyDescent="0.25">
      <c r="A734" s="10">
        <f t="shared" si="33"/>
        <v>1</v>
      </c>
      <c r="B734" s="10" t="s">
        <v>168</v>
      </c>
      <c r="C734" s="11" t="s">
        <v>151</v>
      </c>
      <c r="D734" s="13">
        <f t="shared" si="16"/>
        <v>9.2718000000000007</v>
      </c>
      <c r="E734" s="13">
        <v>9.2718000000000007</v>
      </c>
      <c r="F734" s="13" t="s">
        <v>1200</v>
      </c>
      <c r="G734" s="13" t="s">
        <v>1200</v>
      </c>
      <c r="H734" s="13"/>
      <c r="I734" s="4" t="s">
        <v>1201</v>
      </c>
    </row>
    <row r="735" spans="1:9" ht="15.75" customHeight="1" x14ac:dyDescent="0.25">
      <c r="A735" s="10">
        <f t="shared" si="33"/>
        <v>1</v>
      </c>
      <c r="B735" s="10" t="s">
        <v>152</v>
      </c>
      <c r="C735" s="11" t="s">
        <v>151</v>
      </c>
      <c r="D735" s="13">
        <f>E735*$D$1</f>
        <v>36.36</v>
      </c>
      <c r="E735" s="13">
        <v>36.36</v>
      </c>
      <c r="F735" s="13" t="s">
        <v>1200</v>
      </c>
      <c r="G735" s="13" t="s">
        <v>1200</v>
      </c>
      <c r="H735" s="13"/>
      <c r="I735" s="4" t="s">
        <v>1201</v>
      </c>
    </row>
    <row r="736" spans="1:9" ht="15.75" customHeight="1" x14ac:dyDescent="0.25">
      <c r="A736" s="10">
        <f t="shared" si="33"/>
        <v>1</v>
      </c>
      <c r="B736" s="10" t="s">
        <v>1294</v>
      </c>
      <c r="C736" s="11" t="s">
        <v>641</v>
      </c>
      <c r="D736" s="13">
        <f t="shared" si="16"/>
        <v>1.64</v>
      </c>
      <c r="E736" s="13">
        <v>1.64</v>
      </c>
      <c r="F736" s="13" t="s">
        <v>1200</v>
      </c>
      <c r="G736" s="13" t="s">
        <v>1200</v>
      </c>
      <c r="H736" s="13"/>
      <c r="I736" s="4" t="s">
        <v>1201</v>
      </c>
    </row>
    <row r="737" spans="1:9" ht="15.75" customHeight="1" x14ac:dyDescent="0.25">
      <c r="A737" s="10">
        <f t="shared" si="33"/>
        <v>1</v>
      </c>
      <c r="B737" s="10" t="s">
        <v>150</v>
      </c>
      <c r="C737" s="11" t="s">
        <v>151</v>
      </c>
      <c r="D737" s="13">
        <f t="shared" si="16"/>
        <v>320</v>
      </c>
      <c r="E737" s="13">
        <v>320</v>
      </c>
      <c r="F737" s="13" t="s">
        <v>1200</v>
      </c>
      <c r="G737" s="13" t="s">
        <v>1200</v>
      </c>
      <c r="H737" s="13"/>
      <c r="I737" s="4" t="s">
        <v>1201</v>
      </c>
    </row>
    <row r="738" spans="1:9" ht="15.75" customHeight="1" x14ac:dyDescent="0.25">
      <c r="A738" s="10">
        <f t="shared" si="33"/>
        <v>1</v>
      </c>
      <c r="B738" s="10" t="s">
        <v>333</v>
      </c>
      <c r="C738" s="11" t="s">
        <v>148</v>
      </c>
      <c r="D738" s="13">
        <f t="shared" si="16"/>
        <v>1300</v>
      </c>
      <c r="E738" s="13">
        <v>1300</v>
      </c>
      <c r="F738" s="13" t="s">
        <v>1200</v>
      </c>
      <c r="G738" s="13" t="s">
        <v>1200</v>
      </c>
      <c r="H738" s="13"/>
      <c r="I738" s="4" t="s">
        <v>1201</v>
      </c>
    </row>
    <row r="739" spans="1:9" ht="15.75" customHeight="1" x14ac:dyDescent="0.25">
      <c r="A739" s="10">
        <f t="shared" si="33"/>
        <v>1</v>
      </c>
      <c r="B739" s="10" t="s">
        <v>335</v>
      </c>
      <c r="C739" s="11" t="s">
        <v>193</v>
      </c>
      <c r="D739" s="13">
        <f t="shared" si="16"/>
        <v>93981.530500000008</v>
      </c>
      <c r="E739" s="13">
        <v>93981.530500000008</v>
      </c>
      <c r="F739" s="13" t="s">
        <v>1200</v>
      </c>
      <c r="G739" s="13" t="s">
        <v>1200</v>
      </c>
      <c r="H739" s="13"/>
      <c r="I739" s="4" t="s">
        <v>1201</v>
      </c>
    </row>
    <row r="740" spans="1:9" ht="15.75" customHeight="1" x14ac:dyDescent="0.25">
      <c r="A740" s="10">
        <f t="shared" si="33"/>
        <v>1</v>
      </c>
      <c r="B740" s="10" t="s">
        <v>189</v>
      </c>
      <c r="C740" s="11" t="s">
        <v>112</v>
      </c>
      <c r="D740" s="13">
        <f t="shared" si="16"/>
        <v>33</v>
      </c>
      <c r="E740" s="13">
        <v>33</v>
      </c>
      <c r="F740" s="13" t="s">
        <v>1200</v>
      </c>
      <c r="G740" s="13" t="s">
        <v>1200</v>
      </c>
      <c r="H740" s="13"/>
      <c r="I740" s="4" t="s">
        <v>1201</v>
      </c>
    </row>
    <row r="741" spans="1:9" ht="15.75" customHeight="1" x14ac:dyDescent="0.25">
      <c r="A741" s="10">
        <f t="shared" si="33"/>
        <v>1</v>
      </c>
      <c r="B741" s="10" t="s">
        <v>191</v>
      </c>
      <c r="C741" s="11" t="s">
        <v>112</v>
      </c>
      <c r="D741" s="13">
        <f t="shared" si="16"/>
        <v>39</v>
      </c>
      <c r="E741" s="13">
        <v>39</v>
      </c>
      <c r="F741" s="13" t="s">
        <v>1200</v>
      </c>
      <c r="G741" s="13" t="s">
        <v>1200</v>
      </c>
      <c r="H741" s="13"/>
      <c r="I741" s="4" t="s">
        <v>1201</v>
      </c>
    </row>
    <row r="742" spans="1:9" ht="14.25" x14ac:dyDescent="0.2">
      <c r="A742" s="10">
        <f t="shared" si="33"/>
        <v>1</v>
      </c>
      <c r="B742" s="77" t="s">
        <v>1675</v>
      </c>
      <c r="C742" s="78" t="s">
        <v>112</v>
      </c>
      <c r="D742" s="79">
        <f t="shared" ref="D742:D748" si="34">E742*$D$1</f>
        <v>52.800000000000004</v>
      </c>
      <c r="E742" s="79">
        <f>40*1.32</f>
        <v>52.800000000000004</v>
      </c>
      <c r="F742" s="79" t="s">
        <v>1200</v>
      </c>
      <c r="G742" s="79" t="s">
        <v>1200</v>
      </c>
      <c r="H742" s="79"/>
      <c r="I742" s="80" t="s">
        <v>1201</v>
      </c>
    </row>
    <row r="743" spans="1:9" ht="14.25" x14ac:dyDescent="0.2">
      <c r="A743" s="10">
        <f t="shared" si="33"/>
        <v>1</v>
      </c>
      <c r="B743" s="77" t="s">
        <v>1677</v>
      </c>
      <c r="C743" s="78" t="s">
        <v>112</v>
      </c>
      <c r="D743" s="79">
        <f t="shared" si="34"/>
        <v>66</v>
      </c>
      <c r="E743" s="79">
        <f>50*1.32</f>
        <v>66</v>
      </c>
      <c r="F743" s="79" t="s">
        <v>1200</v>
      </c>
      <c r="G743" s="79" t="s">
        <v>1200</v>
      </c>
      <c r="H743" s="79"/>
      <c r="I743" s="80" t="s">
        <v>1201</v>
      </c>
    </row>
    <row r="744" spans="1:9" ht="14.25" x14ac:dyDescent="0.2">
      <c r="A744" s="10">
        <f t="shared" si="33"/>
        <v>1</v>
      </c>
      <c r="B744" s="77" t="s">
        <v>1679</v>
      </c>
      <c r="C744" s="78" t="s">
        <v>112</v>
      </c>
      <c r="D744" s="79">
        <f t="shared" si="34"/>
        <v>79.2</v>
      </c>
      <c r="E744" s="79">
        <f>60*1.32</f>
        <v>79.2</v>
      </c>
      <c r="F744" s="79" t="s">
        <v>1200</v>
      </c>
      <c r="G744" s="79" t="s">
        <v>1200</v>
      </c>
      <c r="H744" s="79"/>
      <c r="I744" s="80" t="s">
        <v>1201</v>
      </c>
    </row>
    <row r="745" spans="1:9" ht="14.25" x14ac:dyDescent="0.2">
      <c r="A745" s="10">
        <f t="shared" si="33"/>
        <v>1</v>
      </c>
      <c r="B745" s="77" t="s">
        <v>1681</v>
      </c>
      <c r="C745" s="78" t="s">
        <v>112</v>
      </c>
      <c r="D745" s="79">
        <f t="shared" si="34"/>
        <v>92.4</v>
      </c>
      <c r="E745" s="79">
        <f>70*1.32</f>
        <v>92.4</v>
      </c>
      <c r="F745" s="79" t="s">
        <v>1200</v>
      </c>
      <c r="G745" s="79" t="s">
        <v>1200</v>
      </c>
      <c r="H745" s="79"/>
      <c r="I745" s="80" t="s">
        <v>1201</v>
      </c>
    </row>
    <row r="746" spans="1:9" ht="14.25" x14ac:dyDescent="0.2">
      <c r="A746" s="10">
        <f t="shared" si="33"/>
        <v>1</v>
      </c>
      <c r="B746" s="77" t="s">
        <v>1683</v>
      </c>
      <c r="C746" s="78" t="s">
        <v>112</v>
      </c>
      <c r="D746" s="79">
        <f t="shared" si="34"/>
        <v>105.60000000000001</v>
      </c>
      <c r="E746" s="79">
        <f>80*1.32</f>
        <v>105.60000000000001</v>
      </c>
      <c r="F746" s="79" t="s">
        <v>1200</v>
      </c>
      <c r="G746" s="79" t="s">
        <v>1200</v>
      </c>
      <c r="H746" s="79"/>
      <c r="I746" s="80" t="s">
        <v>1201</v>
      </c>
    </row>
    <row r="747" spans="1:9" ht="14.25" x14ac:dyDescent="0.2">
      <c r="A747" s="10">
        <f t="shared" si="33"/>
        <v>1</v>
      </c>
      <c r="B747" s="77" t="s">
        <v>1684</v>
      </c>
      <c r="C747" s="78" t="s">
        <v>112</v>
      </c>
      <c r="D747" s="79">
        <f t="shared" si="34"/>
        <v>150</v>
      </c>
      <c r="E747" s="79">
        <v>150</v>
      </c>
      <c r="F747" s="79" t="s">
        <v>1200</v>
      </c>
      <c r="G747" s="79" t="s">
        <v>1200</v>
      </c>
      <c r="H747" s="79"/>
      <c r="I747" s="80" t="s">
        <v>1201</v>
      </c>
    </row>
    <row r="748" spans="1:9" ht="14.25" x14ac:dyDescent="0.2">
      <c r="A748" s="10">
        <f t="shared" si="33"/>
        <v>1</v>
      </c>
      <c r="B748" s="77" t="s">
        <v>1685</v>
      </c>
      <c r="C748" s="78" t="s">
        <v>112</v>
      </c>
      <c r="D748" s="79">
        <f t="shared" si="34"/>
        <v>180</v>
      </c>
      <c r="E748" s="79">
        <v>180</v>
      </c>
      <c r="F748" s="79" t="s">
        <v>1200</v>
      </c>
      <c r="G748" s="79" t="s">
        <v>1200</v>
      </c>
      <c r="H748" s="79"/>
      <c r="I748" s="80" t="s">
        <v>1201</v>
      </c>
    </row>
    <row r="749" spans="1:9" ht="15.75" customHeight="1" x14ac:dyDescent="0.25">
      <c r="A749" s="10">
        <f t="shared" si="33"/>
        <v>1</v>
      </c>
      <c r="B749" s="10" t="s">
        <v>178</v>
      </c>
      <c r="C749" s="11" t="s">
        <v>112</v>
      </c>
      <c r="D749" s="13">
        <f t="shared" si="16"/>
        <v>60</v>
      </c>
      <c r="E749" s="13">
        <v>60</v>
      </c>
      <c r="F749" s="13" t="s">
        <v>1200</v>
      </c>
      <c r="G749" s="13" t="s">
        <v>1200</v>
      </c>
      <c r="H749" s="13"/>
      <c r="I749" s="4" t="s">
        <v>1201</v>
      </c>
    </row>
    <row r="750" spans="1:9" ht="15.75" customHeight="1" x14ac:dyDescent="0.25">
      <c r="A750" s="10">
        <f t="shared" si="33"/>
        <v>1</v>
      </c>
      <c r="B750" s="10" t="s">
        <v>179</v>
      </c>
      <c r="C750" s="11" t="s">
        <v>112</v>
      </c>
      <c r="D750" s="13">
        <f t="shared" si="16"/>
        <v>75</v>
      </c>
      <c r="E750" s="13">
        <v>75</v>
      </c>
      <c r="F750" s="13" t="s">
        <v>1200</v>
      </c>
      <c r="G750" s="13" t="s">
        <v>1200</v>
      </c>
      <c r="H750" s="13"/>
      <c r="I750" s="4" t="s">
        <v>1201</v>
      </c>
    </row>
    <row r="751" spans="1:9" ht="15.75" customHeight="1" x14ac:dyDescent="0.25">
      <c r="A751" s="10">
        <f t="shared" si="33"/>
        <v>1</v>
      </c>
      <c r="B751" s="10" t="s">
        <v>181</v>
      </c>
      <c r="C751" s="11" t="s">
        <v>112</v>
      </c>
      <c r="D751" s="13">
        <f t="shared" si="16"/>
        <v>150</v>
      </c>
      <c r="E751" s="13">
        <v>150</v>
      </c>
      <c r="F751" s="13" t="s">
        <v>1200</v>
      </c>
      <c r="G751" s="13" t="s">
        <v>1200</v>
      </c>
      <c r="H751" s="13"/>
      <c r="I751" s="4" t="s">
        <v>1201</v>
      </c>
    </row>
    <row r="752" spans="1:9" ht="15.75" customHeight="1" x14ac:dyDescent="0.25">
      <c r="A752" s="10">
        <f t="shared" si="33"/>
        <v>1</v>
      </c>
      <c r="B752" s="10" t="s">
        <v>183</v>
      </c>
      <c r="C752" s="11" t="s">
        <v>112</v>
      </c>
      <c r="D752" s="13">
        <f t="shared" si="16"/>
        <v>137.48633176818674</v>
      </c>
      <c r="E752" s="13">
        <f>(950000*0.974271563645719)/6732</f>
        <v>137.48633176818674</v>
      </c>
      <c r="F752" s="13" t="s">
        <v>1200</v>
      </c>
      <c r="G752" s="13" t="s">
        <v>1200</v>
      </c>
      <c r="H752" s="13" t="s">
        <v>2969</v>
      </c>
      <c r="I752" s="4" t="s">
        <v>1201</v>
      </c>
    </row>
    <row r="753" spans="1:9" ht="15.75" customHeight="1" x14ac:dyDescent="0.25">
      <c r="A753" s="10">
        <f t="shared" si="33"/>
        <v>1</v>
      </c>
      <c r="B753" s="10" t="s">
        <v>184</v>
      </c>
      <c r="C753" s="11" t="s">
        <v>112</v>
      </c>
      <c r="D753" s="13">
        <f t="shared" si="16"/>
        <v>120</v>
      </c>
      <c r="E753" s="13">
        <v>120</v>
      </c>
      <c r="F753" s="13" t="s">
        <v>1200</v>
      </c>
      <c r="G753" s="13" t="s">
        <v>1200</v>
      </c>
      <c r="H753" s="13"/>
      <c r="I753" s="4" t="s">
        <v>1201</v>
      </c>
    </row>
    <row r="754" spans="1:9" ht="15.75" customHeight="1" x14ac:dyDescent="0.25">
      <c r="A754" s="10">
        <f t="shared" si="33"/>
        <v>1</v>
      </c>
      <c r="B754" s="10" t="s">
        <v>185</v>
      </c>
      <c r="C754" s="11" t="s">
        <v>112</v>
      </c>
      <c r="D754" s="13">
        <f t="shared" si="16"/>
        <v>135</v>
      </c>
      <c r="E754" s="13">
        <v>135</v>
      </c>
      <c r="F754" s="13" t="s">
        <v>1200</v>
      </c>
      <c r="G754" s="13" t="s">
        <v>1200</v>
      </c>
      <c r="H754" s="13"/>
      <c r="I754" s="4" t="s">
        <v>1201</v>
      </c>
    </row>
    <row r="755" spans="1:9" ht="15.75" customHeight="1" x14ac:dyDescent="0.25">
      <c r="A755" s="10">
        <f t="shared" si="33"/>
        <v>1</v>
      </c>
      <c r="B755" s="10" t="s">
        <v>186</v>
      </c>
      <c r="C755" s="11" t="s">
        <v>112</v>
      </c>
      <c r="D755" s="13">
        <f t="shared" si="16"/>
        <v>150</v>
      </c>
      <c r="E755" s="13">
        <v>150</v>
      </c>
      <c r="F755" s="13" t="s">
        <v>1200</v>
      </c>
      <c r="G755" s="13" t="s">
        <v>1200</v>
      </c>
      <c r="H755" s="13"/>
      <c r="I755" s="4" t="s">
        <v>1201</v>
      </c>
    </row>
    <row r="756" spans="1:9" ht="15.75" customHeight="1" x14ac:dyDescent="0.25">
      <c r="A756" s="10">
        <f t="shared" si="33"/>
        <v>1</v>
      </c>
      <c r="B756" s="10" t="s">
        <v>187</v>
      </c>
      <c r="C756" s="11" t="s">
        <v>112</v>
      </c>
      <c r="D756" s="13">
        <f t="shared" si="16"/>
        <v>166.66666666666669</v>
      </c>
      <c r="E756" s="13">
        <v>166.66666666666669</v>
      </c>
      <c r="F756" s="13" t="s">
        <v>1200</v>
      </c>
      <c r="G756" s="13" t="s">
        <v>1200</v>
      </c>
      <c r="H756" s="13"/>
      <c r="I756" s="4" t="s">
        <v>1201</v>
      </c>
    </row>
    <row r="757" spans="1:9" ht="15.75" customHeight="1" x14ac:dyDescent="0.25">
      <c r="A757" s="10">
        <f t="shared" si="33"/>
        <v>1</v>
      </c>
      <c r="B757" s="10" t="s">
        <v>257</v>
      </c>
      <c r="C757" s="11" t="s">
        <v>69</v>
      </c>
      <c r="D757" s="13">
        <f t="shared" si="16"/>
        <v>435</v>
      </c>
      <c r="E757" s="13">
        <f>290*1.5</f>
        <v>435</v>
      </c>
      <c r="F757" s="13" t="s">
        <v>1200</v>
      </c>
      <c r="G757" s="13" t="s">
        <v>1200</v>
      </c>
      <c r="H757" s="13"/>
      <c r="I757" s="4" t="s">
        <v>1201</v>
      </c>
    </row>
    <row r="758" spans="1:9" ht="15.75" customHeight="1" x14ac:dyDescent="0.25">
      <c r="A758" s="10">
        <f t="shared" si="33"/>
        <v>1</v>
      </c>
      <c r="B758" s="10" t="s">
        <v>272</v>
      </c>
      <c r="C758" s="11" t="s">
        <v>69</v>
      </c>
      <c r="D758" s="13">
        <f t="shared" si="16"/>
        <v>166.34420509708741</v>
      </c>
      <c r="E758" s="13">
        <v>166.34420509708741</v>
      </c>
      <c r="F758" s="13" t="s">
        <v>1200</v>
      </c>
      <c r="G758" s="13" t="s">
        <v>1200</v>
      </c>
      <c r="H758" s="13" t="s">
        <v>1570</v>
      </c>
      <c r="I758" s="4" t="s">
        <v>1201</v>
      </c>
    </row>
    <row r="759" spans="1:9" ht="15.75" customHeight="1" x14ac:dyDescent="0.25">
      <c r="A759" s="10">
        <f t="shared" si="33"/>
        <v>1</v>
      </c>
      <c r="B759" s="10" t="s">
        <v>2442</v>
      </c>
      <c r="C759" s="11" t="s">
        <v>69</v>
      </c>
      <c r="D759" s="13">
        <f t="shared" ref="D759:D765" si="35">E759*$D$1</f>
        <v>985.16483516483504</v>
      </c>
      <c r="E759" s="13">
        <f>((6992/(3.22*2.6))+150)</f>
        <v>985.16483516483504</v>
      </c>
      <c r="F759" s="13" t="s">
        <v>1200</v>
      </c>
      <c r="G759" s="13" t="s">
        <v>1200</v>
      </c>
      <c r="H759" s="13"/>
      <c r="I759" s="4" t="s">
        <v>1201</v>
      </c>
    </row>
    <row r="760" spans="1:9" ht="14.25" x14ac:dyDescent="0.2">
      <c r="A760" s="10">
        <f t="shared" si="33"/>
        <v>1</v>
      </c>
      <c r="B760" s="235" t="s">
        <v>2444</v>
      </c>
      <c r="C760" s="236" t="s">
        <v>112</v>
      </c>
      <c r="D760" s="79">
        <f t="shared" si="35"/>
        <v>11.3</v>
      </c>
      <c r="E760" s="79">
        <v>11.3</v>
      </c>
      <c r="F760" s="79" t="s">
        <v>1124</v>
      </c>
      <c r="G760" s="79" t="s">
        <v>1090</v>
      </c>
      <c r="H760" s="13"/>
      <c r="I760" s="80" t="s">
        <v>1090</v>
      </c>
    </row>
    <row r="761" spans="1:9" ht="14.25" x14ac:dyDescent="0.2">
      <c r="A761" s="10">
        <f t="shared" si="33"/>
        <v>1</v>
      </c>
      <c r="B761" s="235" t="s">
        <v>2450</v>
      </c>
      <c r="C761" s="236" t="s">
        <v>69</v>
      </c>
      <c r="D761" s="79">
        <f t="shared" si="35"/>
        <v>198.02</v>
      </c>
      <c r="E761" s="79">
        <v>198.02</v>
      </c>
      <c r="F761" s="79" t="s">
        <v>1169</v>
      </c>
      <c r="G761" s="79" t="s">
        <v>1173</v>
      </c>
      <c r="H761" s="13"/>
      <c r="I761" s="80" t="s">
        <v>1174</v>
      </c>
    </row>
    <row r="762" spans="1:9" ht="14.25" x14ac:dyDescent="0.2">
      <c r="A762" s="10">
        <f t="shared" si="33"/>
        <v>1</v>
      </c>
      <c r="B762" s="235" t="s">
        <v>2448</v>
      </c>
      <c r="C762" s="236" t="s">
        <v>69</v>
      </c>
      <c r="D762" s="79">
        <f t="shared" si="35"/>
        <v>85</v>
      </c>
      <c r="E762" s="79">
        <f>508105.35/5977.71</f>
        <v>85</v>
      </c>
      <c r="F762" s="79" t="s">
        <v>1169</v>
      </c>
      <c r="G762" s="79" t="s">
        <v>1173</v>
      </c>
      <c r="H762" s="13"/>
      <c r="I762" s="80" t="s">
        <v>1174</v>
      </c>
    </row>
    <row r="763" spans="1:9" ht="14.25" x14ac:dyDescent="0.2">
      <c r="A763" s="10">
        <f t="shared" si="33"/>
        <v>1</v>
      </c>
      <c r="B763" s="235" t="s">
        <v>2446</v>
      </c>
      <c r="C763" s="236" t="s">
        <v>69</v>
      </c>
      <c r="D763" s="79">
        <f t="shared" si="35"/>
        <v>2315.8550312677658</v>
      </c>
      <c r="E763" s="79">
        <v>2315.8550312677658</v>
      </c>
      <c r="F763" s="79" t="s">
        <v>1169</v>
      </c>
      <c r="G763" s="79" t="s">
        <v>1173</v>
      </c>
      <c r="H763" s="13"/>
      <c r="I763" s="80" t="s">
        <v>1174</v>
      </c>
    </row>
    <row r="764" spans="1:9" ht="15.75" customHeight="1" x14ac:dyDescent="0.25">
      <c r="A764" s="10">
        <f t="shared" si="33"/>
        <v>1</v>
      </c>
      <c r="B764" s="10" t="s">
        <v>1606</v>
      </c>
      <c r="C764" s="11" t="s">
        <v>69</v>
      </c>
      <c r="D764" s="13">
        <f t="shared" si="35"/>
        <v>160</v>
      </c>
      <c r="E764" s="13">
        <v>160</v>
      </c>
      <c r="F764" s="13" t="s">
        <v>1200</v>
      </c>
      <c r="G764" s="13" t="s">
        <v>1200</v>
      </c>
      <c r="H764" s="13"/>
      <c r="I764" s="4" t="s">
        <v>1201</v>
      </c>
    </row>
    <row r="765" spans="1:9" ht="15.75" customHeight="1" x14ac:dyDescent="0.25">
      <c r="A765" s="10">
        <f t="shared" si="33"/>
        <v>1</v>
      </c>
      <c r="B765" s="10" t="s">
        <v>2474</v>
      </c>
      <c r="C765" s="11" t="s">
        <v>69</v>
      </c>
      <c r="D765" s="13">
        <f t="shared" si="35"/>
        <v>170</v>
      </c>
      <c r="E765" s="13">
        <v>170</v>
      </c>
      <c r="F765" s="13" t="s">
        <v>1200</v>
      </c>
      <c r="G765" s="13" t="s">
        <v>1200</v>
      </c>
      <c r="H765" s="13"/>
      <c r="I765" s="4" t="s">
        <v>1201</v>
      </c>
    </row>
    <row r="766" spans="1:9" ht="15.75" customHeight="1" x14ac:dyDescent="0.25">
      <c r="A766" s="10">
        <f t="shared" si="33"/>
        <v>1</v>
      </c>
      <c r="B766" s="10" t="s">
        <v>563</v>
      </c>
      <c r="C766" s="11" t="s">
        <v>69</v>
      </c>
      <c r="D766" s="13">
        <f t="shared" si="16"/>
        <v>100</v>
      </c>
      <c r="E766" s="13">
        <v>100</v>
      </c>
      <c r="F766" s="13" t="s">
        <v>1200</v>
      </c>
      <c r="G766" s="13" t="s">
        <v>1200</v>
      </c>
      <c r="H766" s="13"/>
      <c r="I766" s="4" t="s">
        <v>1201</v>
      </c>
    </row>
    <row r="767" spans="1:9" ht="15.75" customHeight="1" x14ac:dyDescent="0.25">
      <c r="A767" s="10">
        <f t="shared" si="33"/>
        <v>1</v>
      </c>
      <c r="B767" s="10" t="s">
        <v>2458</v>
      </c>
      <c r="C767" s="11" t="s">
        <v>112</v>
      </c>
      <c r="D767" s="13">
        <f>E767*$D$1</f>
        <v>250</v>
      </c>
      <c r="E767" s="13">
        <v>250</v>
      </c>
      <c r="F767" s="13" t="s">
        <v>1200</v>
      </c>
      <c r="G767" s="13" t="s">
        <v>1200</v>
      </c>
      <c r="H767" s="13"/>
      <c r="I767" s="4" t="s">
        <v>1201</v>
      </c>
    </row>
    <row r="768" spans="1:9" ht="15.75" customHeight="1" x14ac:dyDescent="0.25">
      <c r="A768" s="10">
        <f t="shared" si="33"/>
        <v>1</v>
      </c>
      <c r="B768" s="10" t="s">
        <v>565</v>
      </c>
      <c r="C768" s="11" t="s">
        <v>69</v>
      </c>
      <c r="D768" s="13">
        <f t="shared" si="16"/>
        <v>120</v>
      </c>
      <c r="E768" s="13">
        <v>120</v>
      </c>
      <c r="F768" s="13" t="s">
        <v>1200</v>
      </c>
      <c r="G768" s="13" t="s">
        <v>1200</v>
      </c>
      <c r="H768" s="13"/>
      <c r="I768" s="4" t="s">
        <v>1201</v>
      </c>
    </row>
    <row r="769" spans="1:9" ht="15.75" customHeight="1" x14ac:dyDescent="0.25">
      <c r="A769" s="10">
        <f t="shared" si="33"/>
        <v>1</v>
      </c>
      <c r="B769" s="10" t="s">
        <v>567</v>
      </c>
      <c r="C769" s="11" t="s">
        <v>69</v>
      </c>
      <c r="D769" s="13">
        <f t="shared" si="16"/>
        <v>219.20046110145017</v>
      </c>
      <c r="E769" s="13">
        <v>219.20046110145017</v>
      </c>
      <c r="F769" s="13" t="s">
        <v>1200</v>
      </c>
      <c r="G769" s="13" t="s">
        <v>1200</v>
      </c>
      <c r="H769" s="13"/>
      <c r="I769" s="4" t="s">
        <v>1201</v>
      </c>
    </row>
    <row r="770" spans="1:9" ht="15.75" customHeight="1" x14ac:dyDescent="0.25">
      <c r="A770" s="10">
        <f t="shared" si="33"/>
        <v>1</v>
      </c>
      <c r="B770" s="10" t="s">
        <v>559</v>
      </c>
      <c r="C770" s="11" t="s">
        <v>69</v>
      </c>
      <c r="D770" s="13">
        <f t="shared" si="16"/>
        <v>55</v>
      </c>
      <c r="E770" s="13">
        <v>55</v>
      </c>
      <c r="F770" s="13" t="s">
        <v>1200</v>
      </c>
      <c r="G770" s="13" t="s">
        <v>1200</v>
      </c>
      <c r="H770" s="13"/>
      <c r="I770" s="4" t="s">
        <v>1201</v>
      </c>
    </row>
    <row r="771" spans="1:9" ht="15.75" customHeight="1" x14ac:dyDescent="0.25">
      <c r="A771" s="10">
        <f t="shared" si="33"/>
        <v>1</v>
      </c>
      <c r="B771" s="10" t="s">
        <v>2481</v>
      </c>
      <c r="C771" s="11" t="s">
        <v>69</v>
      </c>
      <c r="D771" s="13">
        <f>E771*$D$1</f>
        <v>300</v>
      </c>
      <c r="E771" s="13">
        <v>300</v>
      </c>
      <c r="F771" s="13" t="s">
        <v>1200</v>
      </c>
      <c r="G771" s="13" t="s">
        <v>1200</v>
      </c>
      <c r="H771" s="13"/>
      <c r="I771" s="4" t="s">
        <v>1201</v>
      </c>
    </row>
    <row r="772" spans="1:9" ht="15.75" customHeight="1" x14ac:dyDescent="0.25">
      <c r="A772" s="10">
        <f t="shared" si="33"/>
        <v>1</v>
      </c>
      <c r="B772" s="10" t="s">
        <v>2467</v>
      </c>
      <c r="C772" s="11" t="s">
        <v>69</v>
      </c>
      <c r="D772" s="13">
        <f>E772*$D$1</f>
        <v>360</v>
      </c>
      <c r="E772" s="13">
        <v>360</v>
      </c>
      <c r="F772" s="13" t="s">
        <v>1200</v>
      </c>
      <c r="G772" s="13" t="s">
        <v>1200</v>
      </c>
      <c r="H772" s="13"/>
      <c r="I772" s="4" t="s">
        <v>1201</v>
      </c>
    </row>
    <row r="773" spans="1:9" ht="15.75" customHeight="1" x14ac:dyDescent="0.25">
      <c r="A773" s="10">
        <f t="shared" si="33"/>
        <v>1</v>
      </c>
      <c r="B773" s="10" t="s">
        <v>2468</v>
      </c>
      <c r="C773" s="11" t="s">
        <v>69</v>
      </c>
      <c r="D773" s="13">
        <f>E773*$D$1</f>
        <v>600</v>
      </c>
      <c r="E773" s="13">
        <v>600</v>
      </c>
      <c r="F773" s="13" t="s">
        <v>1200</v>
      </c>
      <c r="G773" s="13" t="s">
        <v>1200</v>
      </c>
      <c r="H773" s="13"/>
      <c r="I773" s="4" t="s">
        <v>1201</v>
      </c>
    </row>
    <row r="774" spans="1:9" ht="15.75" customHeight="1" x14ac:dyDescent="0.25">
      <c r="A774" s="10">
        <f t="shared" si="33"/>
        <v>1</v>
      </c>
      <c r="B774" s="10" t="s">
        <v>2473</v>
      </c>
      <c r="C774" s="11" t="s">
        <v>69</v>
      </c>
      <c r="D774" s="13">
        <f>E774*$D$1</f>
        <v>350</v>
      </c>
      <c r="E774" s="13">
        <v>350</v>
      </c>
      <c r="F774" s="13" t="s">
        <v>1200</v>
      </c>
      <c r="G774" s="13" t="s">
        <v>1200</v>
      </c>
      <c r="H774" s="13"/>
      <c r="I774" s="4" t="s">
        <v>1201</v>
      </c>
    </row>
    <row r="775" spans="1:9" ht="15.75" customHeight="1" x14ac:dyDescent="0.25">
      <c r="A775" s="10">
        <f t="shared" si="33"/>
        <v>1</v>
      </c>
      <c r="B775" s="10" t="s">
        <v>2472</v>
      </c>
      <c r="C775" s="11" t="s">
        <v>69</v>
      </c>
      <c r="D775" s="13">
        <f>E775*$D$1</f>
        <v>320</v>
      </c>
      <c r="E775" s="13">
        <v>320</v>
      </c>
      <c r="F775" s="13" t="s">
        <v>1200</v>
      </c>
      <c r="G775" s="13" t="s">
        <v>1200</v>
      </c>
      <c r="H775" s="13"/>
      <c r="I775" s="4" t="s">
        <v>1201</v>
      </c>
    </row>
    <row r="776" spans="1:9" ht="15.75" customHeight="1" x14ac:dyDescent="0.25">
      <c r="A776" s="10">
        <f t="shared" ref="A776:A848" si="36">COUNTIFS($B$2:$B$996,B776)</f>
        <v>1</v>
      </c>
      <c r="B776" s="10" t="s">
        <v>562</v>
      </c>
      <c r="C776" s="11" t="s">
        <v>69</v>
      </c>
      <c r="D776" s="13">
        <f t="shared" si="16"/>
        <v>60</v>
      </c>
      <c r="E776" s="13">
        <v>60</v>
      </c>
      <c r="F776" s="13" t="s">
        <v>1200</v>
      </c>
      <c r="G776" s="13" t="s">
        <v>1200</v>
      </c>
      <c r="H776" s="13"/>
      <c r="I776" s="4" t="s">
        <v>1201</v>
      </c>
    </row>
    <row r="777" spans="1:9" ht="15.75" customHeight="1" x14ac:dyDescent="0.25">
      <c r="A777" s="10">
        <f t="shared" si="36"/>
        <v>1</v>
      </c>
      <c r="B777" s="10" t="s">
        <v>568</v>
      </c>
      <c r="C777" s="11" t="s">
        <v>69</v>
      </c>
      <c r="D777" s="13">
        <f t="shared" si="16"/>
        <v>275</v>
      </c>
      <c r="E777" s="13">
        <v>275</v>
      </c>
      <c r="F777" s="13" t="s">
        <v>1200</v>
      </c>
      <c r="G777" s="13" t="s">
        <v>1200</v>
      </c>
      <c r="H777" s="13"/>
      <c r="I777" s="4" t="s">
        <v>1201</v>
      </c>
    </row>
    <row r="778" spans="1:9" ht="15.75" customHeight="1" x14ac:dyDescent="0.25">
      <c r="A778" s="10">
        <f t="shared" si="36"/>
        <v>1</v>
      </c>
      <c r="B778" s="10" t="s">
        <v>560</v>
      </c>
      <c r="C778" s="11" t="s">
        <v>69</v>
      </c>
      <c r="D778" s="13">
        <f t="shared" si="16"/>
        <v>35</v>
      </c>
      <c r="E778" s="13">
        <v>35</v>
      </c>
      <c r="F778" s="13" t="s">
        <v>1200</v>
      </c>
      <c r="G778" s="13" t="s">
        <v>1200</v>
      </c>
      <c r="H778" s="13"/>
      <c r="I778" s="4" t="s">
        <v>1201</v>
      </c>
    </row>
    <row r="779" spans="1:9" ht="15.75" customHeight="1" x14ac:dyDescent="0.25">
      <c r="A779" s="10">
        <f t="shared" si="36"/>
        <v>1</v>
      </c>
      <c r="B779" s="10" t="s">
        <v>566</v>
      </c>
      <c r="C779" s="11" t="s">
        <v>69</v>
      </c>
      <c r="D779" s="13">
        <f t="shared" si="16"/>
        <v>36</v>
      </c>
      <c r="E779" s="13">
        <v>36</v>
      </c>
      <c r="F779" s="13" t="s">
        <v>1200</v>
      </c>
      <c r="G779" s="13" t="s">
        <v>1200</v>
      </c>
      <c r="H779" s="13"/>
      <c r="I779" s="4" t="s">
        <v>1201</v>
      </c>
    </row>
    <row r="780" spans="1:9" ht="15.75" customHeight="1" x14ac:dyDescent="0.25">
      <c r="A780" s="10">
        <f t="shared" si="36"/>
        <v>1</v>
      </c>
      <c r="B780" s="10" t="s">
        <v>564</v>
      </c>
      <c r="C780" s="11" t="s">
        <v>69</v>
      </c>
      <c r="D780" s="13">
        <f t="shared" si="16"/>
        <v>36</v>
      </c>
      <c r="E780" s="13">
        <v>36</v>
      </c>
      <c r="F780" s="13" t="s">
        <v>1200</v>
      </c>
      <c r="G780" s="13" t="s">
        <v>1200</v>
      </c>
      <c r="H780" s="13"/>
      <c r="I780" s="4" t="s">
        <v>1201</v>
      </c>
    </row>
    <row r="781" spans="1:9" ht="15.75" customHeight="1" x14ac:dyDescent="0.25">
      <c r="A781" s="10">
        <f t="shared" si="36"/>
        <v>1</v>
      </c>
      <c r="B781" s="10" t="s">
        <v>632</v>
      </c>
      <c r="C781" s="11" t="s">
        <v>69</v>
      </c>
      <c r="D781" s="13">
        <f t="shared" si="16"/>
        <v>342.63975903614454</v>
      </c>
      <c r="E781" s="13">
        <f>5687.82/16.6</f>
        <v>342.63975903614454</v>
      </c>
      <c r="F781" s="13" t="s">
        <v>1200</v>
      </c>
      <c r="G781" s="13" t="s">
        <v>1200</v>
      </c>
      <c r="H781" s="13"/>
      <c r="I781" s="4" t="s">
        <v>1201</v>
      </c>
    </row>
    <row r="782" spans="1:9" ht="15.75" customHeight="1" x14ac:dyDescent="0.25">
      <c r="A782" s="10">
        <f t="shared" si="36"/>
        <v>1</v>
      </c>
      <c r="B782" s="10" t="s">
        <v>701</v>
      </c>
      <c r="C782" s="11" t="s">
        <v>69</v>
      </c>
      <c r="D782" s="13">
        <f t="shared" si="16"/>
        <v>25.5</v>
      </c>
      <c r="E782" s="13">
        <v>25.5</v>
      </c>
      <c r="F782" s="13" t="s">
        <v>1200</v>
      </c>
      <c r="G782" s="13" t="s">
        <v>1200</v>
      </c>
      <c r="H782" s="13"/>
      <c r="I782" s="4" t="s">
        <v>1201</v>
      </c>
    </row>
    <row r="783" spans="1:9" ht="15.75" customHeight="1" x14ac:dyDescent="0.25">
      <c r="A783" s="10">
        <f t="shared" si="36"/>
        <v>1</v>
      </c>
      <c r="B783" s="10" t="s">
        <v>1202</v>
      </c>
      <c r="C783" s="11" t="s">
        <v>69</v>
      </c>
      <c r="D783" s="13">
        <f t="shared" si="16"/>
        <v>25.5</v>
      </c>
      <c r="E783" s="13">
        <v>25.5</v>
      </c>
      <c r="F783" s="13" t="s">
        <v>1200</v>
      </c>
      <c r="G783" s="13" t="s">
        <v>1200</v>
      </c>
      <c r="H783" s="13"/>
      <c r="I783" s="4" t="s">
        <v>1201</v>
      </c>
    </row>
    <row r="784" spans="1:9" ht="15.75" customHeight="1" x14ac:dyDescent="0.25">
      <c r="A784" s="10">
        <f t="shared" si="36"/>
        <v>1</v>
      </c>
      <c r="B784" s="10" t="s">
        <v>438</v>
      </c>
      <c r="C784" s="11" t="s">
        <v>196</v>
      </c>
      <c r="D784" s="13">
        <f t="shared" si="16"/>
        <v>400</v>
      </c>
      <c r="E784" s="13">
        <v>400</v>
      </c>
      <c r="F784" s="13" t="s">
        <v>1200</v>
      </c>
      <c r="G784" s="13" t="s">
        <v>1200</v>
      </c>
      <c r="H784" s="13"/>
      <c r="I784" s="4" t="s">
        <v>1201</v>
      </c>
    </row>
    <row r="785" spans="1:9" ht="15.75" customHeight="1" x14ac:dyDescent="0.25">
      <c r="A785" s="10">
        <f t="shared" si="36"/>
        <v>1</v>
      </c>
      <c r="B785" s="10" t="s">
        <v>1203</v>
      </c>
      <c r="C785" s="11" t="s">
        <v>69</v>
      </c>
      <c r="D785" s="13">
        <f t="shared" si="16"/>
        <v>25</v>
      </c>
      <c r="E785" s="13">
        <v>25</v>
      </c>
      <c r="F785" s="13" t="s">
        <v>1200</v>
      </c>
      <c r="G785" s="13" t="s">
        <v>1200</v>
      </c>
      <c r="H785" s="13"/>
      <c r="I785" s="4" t="s">
        <v>1201</v>
      </c>
    </row>
    <row r="786" spans="1:9" ht="15.75" customHeight="1" x14ac:dyDescent="0.25">
      <c r="A786" s="10">
        <f t="shared" si="36"/>
        <v>1</v>
      </c>
      <c r="B786" s="10" t="s">
        <v>1038</v>
      </c>
      <c r="C786" s="11" t="s">
        <v>69</v>
      </c>
      <c r="D786" s="13">
        <f t="shared" si="16"/>
        <v>220</v>
      </c>
      <c r="E786" s="13">
        <v>220</v>
      </c>
      <c r="F786" s="13" t="s">
        <v>1200</v>
      </c>
      <c r="G786" s="13" t="s">
        <v>1200</v>
      </c>
      <c r="H786" s="13"/>
      <c r="I786" s="4" t="s">
        <v>1201</v>
      </c>
    </row>
    <row r="787" spans="1:9" ht="15.75" customHeight="1" x14ac:dyDescent="0.25">
      <c r="A787" s="10">
        <f t="shared" si="36"/>
        <v>1</v>
      </c>
      <c r="B787" s="10" t="s">
        <v>738</v>
      </c>
      <c r="C787" s="11" t="s">
        <v>196</v>
      </c>
      <c r="D787" s="13">
        <f t="shared" si="16"/>
        <v>25</v>
      </c>
      <c r="E787" s="13">
        <v>25</v>
      </c>
      <c r="F787" s="13" t="s">
        <v>1200</v>
      </c>
      <c r="G787" s="13" t="s">
        <v>1200</v>
      </c>
      <c r="H787" s="13"/>
      <c r="I787" s="4" t="s">
        <v>1201</v>
      </c>
    </row>
    <row r="788" spans="1:9" ht="15.75" customHeight="1" x14ac:dyDescent="0.25">
      <c r="A788" s="10">
        <f t="shared" si="36"/>
        <v>1</v>
      </c>
      <c r="B788" s="10" t="s">
        <v>2586</v>
      </c>
      <c r="C788" s="11" t="s">
        <v>112</v>
      </c>
      <c r="D788" s="13">
        <f>E788*$D$1</f>
        <v>24</v>
      </c>
      <c r="E788" s="13">
        <v>24</v>
      </c>
      <c r="F788" s="13" t="s">
        <v>1200</v>
      </c>
      <c r="G788" s="13" t="s">
        <v>1200</v>
      </c>
      <c r="H788" s="13"/>
      <c r="I788" s="4" t="s">
        <v>1201</v>
      </c>
    </row>
    <row r="789" spans="1:9" ht="15.75" customHeight="1" x14ac:dyDescent="0.25">
      <c r="A789" s="10">
        <f t="shared" si="36"/>
        <v>1</v>
      </c>
      <c r="B789" s="10" t="s">
        <v>741</v>
      </c>
      <c r="C789" s="11" t="s">
        <v>196</v>
      </c>
      <c r="D789" s="13">
        <f t="shared" si="16"/>
        <v>22</v>
      </c>
      <c r="E789" s="13">
        <v>22</v>
      </c>
      <c r="F789" s="13" t="s">
        <v>1200</v>
      </c>
      <c r="G789" s="13" t="s">
        <v>1200</v>
      </c>
      <c r="H789" s="13"/>
      <c r="I789" s="4" t="s">
        <v>1201</v>
      </c>
    </row>
    <row r="790" spans="1:9" ht="15.75" customHeight="1" x14ac:dyDescent="0.25">
      <c r="A790" s="10">
        <f t="shared" si="36"/>
        <v>1</v>
      </c>
      <c r="B790" s="10" t="s">
        <v>744</v>
      </c>
      <c r="C790" s="11" t="s">
        <v>196</v>
      </c>
      <c r="D790" s="13">
        <f t="shared" si="16"/>
        <v>50</v>
      </c>
      <c r="E790" s="13">
        <v>50</v>
      </c>
      <c r="F790" s="13" t="s">
        <v>1200</v>
      </c>
      <c r="G790" s="13" t="s">
        <v>1200</v>
      </c>
      <c r="H790" s="13"/>
      <c r="I790" s="4" t="s">
        <v>1201</v>
      </c>
    </row>
    <row r="791" spans="1:9" ht="15.75" customHeight="1" x14ac:dyDescent="0.25">
      <c r="A791" s="10">
        <f t="shared" si="36"/>
        <v>1</v>
      </c>
      <c r="B791" s="10" t="s">
        <v>746</v>
      </c>
      <c r="C791" s="11" t="s">
        <v>196</v>
      </c>
      <c r="D791" s="13">
        <f t="shared" si="16"/>
        <v>22</v>
      </c>
      <c r="E791" s="13">
        <v>22</v>
      </c>
      <c r="F791" s="13" t="s">
        <v>1200</v>
      </c>
      <c r="G791" s="13" t="s">
        <v>1200</v>
      </c>
      <c r="H791" s="13"/>
      <c r="I791" s="4" t="s">
        <v>1201</v>
      </c>
    </row>
    <row r="792" spans="1:9" ht="15.75" customHeight="1" x14ac:dyDescent="0.25">
      <c r="A792" s="10">
        <f t="shared" si="36"/>
        <v>1</v>
      </c>
      <c r="B792" s="10" t="s">
        <v>745</v>
      </c>
      <c r="C792" s="11" t="s">
        <v>196</v>
      </c>
      <c r="D792" s="13">
        <f t="shared" si="16"/>
        <v>22</v>
      </c>
      <c r="E792" s="13">
        <v>22</v>
      </c>
      <c r="F792" s="13" t="s">
        <v>1200</v>
      </c>
      <c r="G792" s="13" t="s">
        <v>1200</v>
      </c>
      <c r="H792" s="13"/>
      <c r="I792" s="4" t="s">
        <v>1201</v>
      </c>
    </row>
    <row r="793" spans="1:9" ht="15.75" customHeight="1" x14ac:dyDescent="0.25">
      <c r="A793" s="10">
        <f>COUNTIFS($B$2:$B$996,B793)</f>
        <v>1</v>
      </c>
      <c r="B793" s="10" t="s">
        <v>2892</v>
      </c>
      <c r="C793" s="11" t="s">
        <v>69</v>
      </c>
      <c r="D793" s="13">
        <f>E793*$D$1</f>
        <v>42</v>
      </c>
      <c r="E793" s="13">
        <v>42</v>
      </c>
      <c r="F793" s="13" t="s">
        <v>1200</v>
      </c>
      <c r="G793" s="13" t="s">
        <v>1200</v>
      </c>
      <c r="H793" s="13"/>
      <c r="I793" s="4" t="s">
        <v>1201</v>
      </c>
    </row>
    <row r="794" spans="1:9" ht="15.75" customHeight="1" x14ac:dyDescent="0.25">
      <c r="A794" s="10">
        <f t="shared" si="36"/>
        <v>1</v>
      </c>
      <c r="B794" s="10" t="s">
        <v>626</v>
      </c>
      <c r="C794" s="11" t="s">
        <v>69</v>
      </c>
      <c r="D794" s="13">
        <f t="shared" si="16"/>
        <v>16.75</v>
      </c>
      <c r="E794" s="13">
        <v>16.75</v>
      </c>
      <c r="F794" s="13" t="s">
        <v>1200</v>
      </c>
      <c r="G794" s="13" t="s">
        <v>1200</v>
      </c>
      <c r="H794" s="13"/>
      <c r="I794" s="4" t="s">
        <v>1201</v>
      </c>
    </row>
    <row r="795" spans="1:9" ht="15.75" customHeight="1" x14ac:dyDescent="0.25">
      <c r="A795" s="10">
        <f t="shared" si="36"/>
        <v>1</v>
      </c>
      <c r="B795" s="10" t="s">
        <v>629</v>
      </c>
      <c r="C795" s="11" t="s">
        <v>69</v>
      </c>
      <c r="D795" s="13">
        <f t="shared" si="16"/>
        <v>210</v>
      </c>
      <c r="E795" s="13">
        <v>210</v>
      </c>
      <c r="F795" s="13" t="s">
        <v>1200</v>
      </c>
      <c r="G795" s="13" t="s">
        <v>1200</v>
      </c>
      <c r="H795" s="13"/>
      <c r="I795" s="4" t="s">
        <v>1201</v>
      </c>
    </row>
    <row r="796" spans="1:9" ht="15.75" customHeight="1" x14ac:dyDescent="0.25">
      <c r="A796" s="10">
        <f t="shared" si="36"/>
        <v>1</v>
      </c>
      <c r="B796" s="10" t="s">
        <v>742</v>
      </c>
      <c r="C796" s="11" t="s">
        <v>196</v>
      </c>
      <c r="D796" s="13">
        <f t="shared" si="16"/>
        <v>28</v>
      </c>
      <c r="E796" s="13">
        <v>28</v>
      </c>
      <c r="F796" s="13" t="s">
        <v>1200</v>
      </c>
      <c r="G796" s="13" t="s">
        <v>1200</v>
      </c>
      <c r="H796" s="13"/>
      <c r="I796" s="4" t="s">
        <v>1201</v>
      </c>
    </row>
    <row r="797" spans="1:9" ht="15.75" customHeight="1" x14ac:dyDescent="0.25">
      <c r="A797" s="10">
        <f t="shared" si="36"/>
        <v>1</v>
      </c>
      <c r="B797" s="10" t="s">
        <v>743</v>
      </c>
      <c r="C797" s="11" t="s">
        <v>196</v>
      </c>
      <c r="D797" s="13">
        <f t="shared" si="16"/>
        <v>24</v>
      </c>
      <c r="E797" s="13">
        <v>24</v>
      </c>
      <c r="F797" s="13" t="s">
        <v>1200</v>
      </c>
      <c r="G797" s="13" t="s">
        <v>1200</v>
      </c>
      <c r="H797" s="13" t="s">
        <v>2587</v>
      </c>
      <c r="I797" s="4" t="s">
        <v>1201</v>
      </c>
    </row>
    <row r="798" spans="1:9" ht="15.75" customHeight="1" x14ac:dyDescent="0.25">
      <c r="A798" s="10">
        <f t="shared" si="36"/>
        <v>1</v>
      </c>
      <c r="B798" s="10" t="s">
        <v>1505</v>
      </c>
      <c r="C798" s="11" t="s">
        <v>196</v>
      </c>
      <c r="D798" s="13">
        <f>E798*$D$1</f>
        <v>24.5</v>
      </c>
      <c r="E798" s="13">
        <v>24.5</v>
      </c>
      <c r="F798" s="13" t="s">
        <v>1200</v>
      </c>
      <c r="G798" s="13" t="s">
        <v>1200</v>
      </c>
      <c r="H798" s="13"/>
      <c r="I798" s="4" t="s">
        <v>1201</v>
      </c>
    </row>
    <row r="799" spans="1:9" ht="15.75" customHeight="1" x14ac:dyDescent="0.25">
      <c r="A799" s="10">
        <f t="shared" si="36"/>
        <v>1</v>
      </c>
      <c r="B799" s="10" t="s">
        <v>1506</v>
      </c>
      <c r="C799" s="11" t="s">
        <v>196</v>
      </c>
      <c r="D799" s="13">
        <f>E799*$D$1</f>
        <v>22</v>
      </c>
      <c r="E799" s="13">
        <v>22</v>
      </c>
      <c r="F799" s="13" t="s">
        <v>1200</v>
      </c>
      <c r="G799" s="13" t="s">
        <v>1200</v>
      </c>
      <c r="H799" s="13"/>
      <c r="I799" s="4" t="s">
        <v>1201</v>
      </c>
    </row>
    <row r="800" spans="1:9" ht="15.75" customHeight="1" x14ac:dyDescent="0.25">
      <c r="A800" s="10">
        <f t="shared" si="36"/>
        <v>1</v>
      </c>
      <c r="B800" s="10" t="s">
        <v>542</v>
      </c>
      <c r="C800" s="11" t="s">
        <v>69</v>
      </c>
      <c r="D800" s="13">
        <f t="shared" si="16"/>
        <v>30</v>
      </c>
      <c r="E800" s="13">
        <v>30</v>
      </c>
      <c r="F800" s="13" t="s">
        <v>1200</v>
      </c>
      <c r="G800" s="13" t="s">
        <v>1200</v>
      </c>
      <c r="H800" s="13" t="s">
        <v>2996</v>
      </c>
      <c r="I800" s="4" t="s">
        <v>1201</v>
      </c>
    </row>
    <row r="801" spans="1:9" ht="15.75" customHeight="1" x14ac:dyDescent="0.25">
      <c r="A801" s="10">
        <f t="shared" si="36"/>
        <v>1</v>
      </c>
      <c r="B801" s="10" t="s">
        <v>734</v>
      </c>
      <c r="C801" s="11" t="s">
        <v>69</v>
      </c>
      <c r="D801" s="13">
        <f t="shared" si="16"/>
        <v>40</v>
      </c>
      <c r="E801" s="13">
        <v>40</v>
      </c>
      <c r="F801" s="13" t="s">
        <v>1200</v>
      </c>
      <c r="G801" s="13" t="s">
        <v>1200</v>
      </c>
      <c r="H801" s="13"/>
      <c r="I801" s="4" t="s">
        <v>1201</v>
      </c>
    </row>
    <row r="802" spans="1:9" ht="15.75" customHeight="1" x14ac:dyDescent="0.25">
      <c r="A802" s="10">
        <f t="shared" si="36"/>
        <v>1</v>
      </c>
      <c r="B802" s="10" t="s">
        <v>736</v>
      </c>
      <c r="C802" s="11" t="s">
        <v>69</v>
      </c>
      <c r="D802" s="13">
        <f t="shared" si="16"/>
        <v>40</v>
      </c>
      <c r="E802" s="13">
        <v>40</v>
      </c>
      <c r="F802" s="13" t="s">
        <v>1200</v>
      </c>
      <c r="G802" s="13" t="s">
        <v>1200</v>
      </c>
      <c r="H802" s="13"/>
      <c r="I802" s="4" t="s">
        <v>1201</v>
      </c>
    </row>
    <row r="803" spans="1:9" ht="15.75" customHeight="1" x14ac:dyDescent="0.25">
      <c r="A803" s="10">
        <f t="shared" si="36"/>
        <v>1</v>
      </c>
      <c r="B803" s="10" t="s">
        <v>735</v>
      </c>
      <c r="C803" s="11" t="s">
        <v>69</v>
      </c>
      <c r="D803" s="13">
        <f t="shared" si="16"/>
        <v>40</v>
      </c>
      <c r="E803" s="13">
        <v>40</v>
      </c>
      <c r="F803" s="13" t="s">
        <v>1200</v>
      </c>
      <c r="G803" s="13" t="s">
        <v>1200</v>
      </c>
      <c r="H803" s="13"/>
      <c r="I803" s="4" t="s">
        <v>1201</v>
      </c>
    </row>
    <row r="804" spans="1:9" ht="15.75" customHeight="1" x14ac:dyDescent="0.25">
      <c r="A804" s="10">
        <f t="shared" si="36"/>
        <v>1</v>
      </c>
      <c r="B804" s="10" t="s">
        <v>785</v>
      </c>
      <c r="C804" s="11" t="s">
        <v>69</v>
      </c>
      <c r="D804" s="13">
        <f t="shared" si="16"/>
        <v>40</v>
      </c>
      <c r="E804" s="13">
        <v>40</v>
      </c>
      <c r="F804" s="13" t="s">
        <v>1200</v>
      </c>
      <c r="G804" s="13" t="s">
        <v>1200</v>
      </c>
      <c r="H804" s="13"/>
      <c r="I804" s="4" t="s">
        <v>1201</v>
      </c>
    </row>
    <row r="805" spans="1:9" ht="15.75" customHeight="1" x14ac:dyDescent="0.25">
      <c r="A805" s="10">
        <f t="shared" si="36"/>
        <v>1</v>
      </c>
      <c r="B805" s="10" t="s">
        <v>778</v>
      </c>
      <c r="C805" s="11" t="s">
        <v>69</v>
      </c>
      <c r="D805" s="13">
        <f t="shared" si="16"/>
        <v>41</v>
      </c>
      <c r="E805" s="13">
        <v>41</v>
      </c>
      <c r="F805" s="13" t="s">
        <v>1200</v>
      </c>
      <c r="G805" s="13" t="s">
        <v>1200</v>
      </c>
      <c r="H805" s="13"/>
      <c r="I805" s="4" t="s">
        <v>1201</v>
      </c>
    </row>
    <row r="806" spans="1:9" ht="15.75" customHeight="1" x14ac:dyDescent="0.25">
      <c r="A806" s="10">
        <f t="shared" si="36"/>
        <v>1</v>
      </c>
      <c r="B806" s="10" t="s">
        <v>779</v>
      </c>
      <c r="C806" s="11" t="s">
        <v>69</v>
      </c>
      <c r="D806" s="13">
        <f t="shared" si="16"/>
        <v>55</v>
      </c>
      <c r="E806" s="13">
        <v>55</v>
      </c>
      <c r="F806" s="13" t="s">
        <v>1200</v>
      </c>
      <c r="G806" s="13" t="s">
        <v>1200</v>
      </c>
      <c r="H806" s="13"/>
      <c r="I806" s="4" t="s">
        <v>1201</v>
      </c>
    </row>
    <row r="807" spans="1:9" ht="15.75" customHeight="1" x14ac:dyDescent="0.25">
      <c r="A807" s="10">
        <f t="shared" si="36"/>
        <v>1</v>
      </c>
      <c r="B807" s="10" t="s">
        <v>2640</v>
      </c>
      <c r="C807" s="11" t="s">
        <v>69</v>
      </c>
      <c r="D807" s="13">
        <f>E807*$D$1</f>
        <v>40</v>
      </c>
      <c r="E807" s="13">
        <v>40</v>
      </c>
      <c r="F807" s="13" t="s">
        <v>1200</v>
      </c>
      <c r="G807" s="13" t="s">
        <v>1200</v>
      </c>
      <c r="H807" s="13"/>
      <c r="I807" s="4" t="s">
        <v>1201</v>
      </c>
    </row>
    <row r="808" spans="1:9" ht="15.75" customHeight="1" x14ac:dyDescent="0.25">
      <c r="A808" s="10">
        <f t="shared" si="36"/>
        <v>1</v>
      </c>
      <c r="B808" s="10" t="s">
        <v>781</v>
      </c>
      <c r="C808" s="11" t="s">
        <v>69</v>
      </c>
      <c r="D808" s="13">
        <f t="shared" si="16"/>
        <v>20</v>
      </c>
      <c r="E808" s="13">
        <v>20</v>
      </c>
      <c r="F808" s="13" t="s">
        <v>1200</v>
      </c>
      <c r="G808" s="13" t="s">
        <v>1200</v>
      </c>
      <c r="H808" s="13"/>
      <c r="I808" s="4" t="s">
        <v>1201</v>
      </c>
    </row>
    <row r="809" spans="1:9" ht="15.75" customHeight="1" x14ac:dyDescent="0.25">
      <c r="A809" s="10">
        <f t="shared" si="36"/>
        <v>1</v>
      </c>
      <c r="B809" s="10" t="s">
        <v>782</v>
      </c>
      <c r="C809" s="11" t="s">
        <v>69</v>
      </c>
      <c r="D809" s="13">
        <f t="shared" si="16"/>
        <v>40</v>
      </c>
      <c r="E809" s="13">
        <v>40</v>
      </c>
      <c r="F809" s="13" t="s">
        <v>1200</v>
      </c>
      <c r="G809" s="13" t="s">
        <v>1200</v>
      </c>
      <c r="H809" s="13"/>
      <c r="I809" s="4" t="s">
        <v>1201</v>
      </c>
    </row>
    <row r="810" spans="1:9" ht="15.75" customHeight="1" x14ac:dyDescent="0.25">
      <c r="A810" s="10">
        <f t="shared" si="36"/>
        <v>1</v>
      </c>
      <c r="B810" s="10" t="s">
        <v>574</v>
      </c>
      <c r="C810" s="11" t="s">
        <v>69</v>
      </c>
      <c r="D810" s="13">
        <f>E810*$D$1</f>
        <v>25</v>
      </c>
      <c r="E810" s="13">
        <v>25</v>
      </c>
      <c r="F810" s="13" t="s">
        <v>1200</v>
      </c>
      <c r="G810" s="13" t="s">
        <v>1200</v>
      </c>
      <c r="H810" s="13"/>
      <c r="I810" s="4" t="s">
        <v>1201</v>
      </c>
    </row>
    <row r="811" spans="1:9" ht="15.75" customHeight="1" x14ac:dyDescent="0.25">
      <c r="A811" s="10">
        <f t="shared" si="36"/>
        <v>1</v>
      </c>
      <c r="B811" s="10" t="s">
        <v>1425</v>
      </c>
      <c r="C811" s="11" t="s">
        <v>69</v>
      </c>
      <c r="D811" s="13">
        <f>E811*$D$1</f>
        <v>40</v>
      </c>
      <c r="E811" s="13">
        <v>40</v>
      </c>
      <c r="F811" s="13" t="s">
        <v>1200</v>
      </c>
      <c r="G811" s="13" t="s">
        <v>1200</v>
      </c>
      <c r="H811" s="13"/>
      <c r="I811" s="4" t="s">
        <v>1201</v>
      </c>
    </row>
    <row r="812" spans="1:9" ht="15.75" customHeight="1" x14ac:dyDescent="0.25">
      <c r="A812" s="10">
        <f t="shared" si="36"/>
        <v>1</v>
      </c>
      <c r="B812" s="10" t="s">
        <v>1439</v>
      </c>
      <c r="C812" s="11" t="s">
        <v>69</v>
      </c>
      <c r="D812" s="13">
        <f t="shared" si="16"/>
        <v>75</v>
      </c>
      <c r="E812" s="13">
        <v>75</v>
      </c>
      <c r="F812" s="13" t="s">
        <v>1200</v>
      </c>
      <c r="G812" s="13" t="s">
        <v>1200</v>
      </c>
      <c r="H812" s="13"/>
      <c r="I812" s="4" t="s">
        <v>1201</v>
      </c>
    </row>
    <row r="813" spans="1:9" ht="15.75" customHeight="1" x14ac:dyDescent="0.25">
      <c r="A813" s="10">
        <f t="shared" si="36"/>
        <v>1</v>
      </c>
      <c r="B813" s="10" t="s">
        <v>740</v>
      </c>
      <c r="C813" s="11" t="s">
        <v>69</v>
      </c>
      <c r="D813" s="13">
        <f t="shared" si="16"/>
        <v>25</v>
      </c>
      <c r="E813" s="13">
        <v>25</v>
      </c>
      <c r="F813" s="13" t="s">
        <v>1200</v>
      </c>
      <c r="G813" s="13" t="s">
        <v>1200</v>
      </c>
      <c r="H813" s="13"/>
      <c r="I813" s="4" t="s">
        <v>1201</v>
      </c>
    </row>
    <row r="814" spans="1:9" ht="15.75" customHeight="1" x14ac:dyDescent="0.25">
      <c r="A814" s="10">
        <f t="shared" si="36"/>
        <v>1</v>
      </c>
      <c r="B814" s="10" t="s">
        <v>733</v>
      </c>
      <c r="C814" s="11" t="s">
        <v>69</v>
      </c>
      <c r="D814" s="13">
        <f t="shared" si="16"/>
        <v>40</v>
      </c>
      <c r="E814" s="13">
        <v>40</v>
      </c>
      <c r="F814" s="13" t="s">
        <v>1200</v>
      </c>
      <c r="G814" s="13" t="s">
        <v>1200</v>
      </c>
      <c r="H814" s="13"/>
      <c r="I814" s="4" t="s">
        <v>1201</v>
      </c>
    </row>
    <row r="815" spans="1:9" ht="15.75" customHeight="1" x14ac:dyDescent="0.25">
      <c r="A815" s="10">
        <f t="shared" si="36"/>
        <v>1</v>
      </c>
      <c r="B815" s="10" t="s">
        <v>550</v>
      </c>
      <c r="C815" s="11" t="s">
        <v>196</v>
      </c>
      <c r="D815" s="13">
        <f t="shared" si="16"/>
        <v>15</v>
      </c>
      <c r="E815" s="13">
        <v>15</v>
      </c>
      <c r="F815" s="13" t="s">
        <v>1200</v>
      </c>
      <c r="G815" s="13" t="s">
        <v>1200</v>
      </c>
      <c r="H815" s="13"/>
      <c r="I815" s="4" t="s">
        <v>1201</v>
      </c>
    </row>
    <row r="816" spans="1:9" ht="15.75" customHeight="1" x14ac:dyDescent="0.25">
      <c r="A816" s="10">
        <f t="shared" si="36"/>
        <v>1</v>
      </c>
      <c r="B816" s="10" t="s">
        <v>2417</v>
      </c>
      <c r="C816" s="11" t="s">
        <v>69</v>
      </c>
      <c r="D816" s="13">
        <f>E816*$D$1</f>
        <v>50</v>
      </c>
      <c r="E816" s="13">
        <v>50</v>
      </c>
      <c r="F816" s="13" t="s">
        <v>1200</v>
      </c>
      <c r="G816" s="13" t="s">
        <v>1200</v>
      </c>
      <c r="H816" s="13"/>
      <c r="I816" s="4" t="s">
        <v>1201</v>
      </c>
    </row>
    <row r="817" spans="1:9" ht="15.75" customHeight="1" x14ac:dyDescent="0.25">
      <c r="A817" s="10">
        <f t="shared" si="36"/>
        <v>1</v>
      </c>
      <c r="B817" s="10" t="s">
        <v>551</v>
      </c>
      <c r="C817" s="11" t="s">
        <v>196</v>
      </c>
      <c r="D817" s="13">
        <f t="shared" si="16"/>
        <v>15</v>
      </c>
      <c r="E817" s="13">
        <v>15</v>
      </c>
      <c r="F817" s="13" t="s">
        <v>1200</v>
      </c>
      <c r="G817" s="13" t="s">
        <v>1200</v>
      </c>
      <c r="H817" s="13"/>
      <c r="I817" s="4" t="s">
        <v>1201</v>
      </c>
    </row>
    <row r="818" spans="1:9" ht="15.75" customHeight="1" x14ac:dyDescent="0.25">
      <c r="A818" s="10">
        <f t="shared" si="36"/>
        <v>1</v>
      </c>
      <c r="B818" s="10" t="s">
        <v>541</v>
      </c>
      <c r="C818" s="11" t="s">
        <v>196</v>
      </c>
      <c r="D818" s="13">
        <f t="shared" ref="D818:D972" si="37">E818*$D$1</f>
        <v>42</v>
      </c>
      <c r="E818" s="13">
        <v>42</v>
      </c>
      <c r="F818" s="13" t="s">
        <v>1200</v>
      </c>
      <c r="G818" s="13" t="s">
        <v>1200</v>
      </c>
      <c r="H818" s="13" t="s">
        <v>2996</v>
      </c>
      <c r="I818" s="4" t="s">
        <v>1201</v>
      </c>
    </row>
    <row r="819" spans="1:9" ht="15.75" customHeight="1" x14ac:dyDescent="0.25">
      <c r="A819" s="10">
        <f t="shared" si="36"/>
        <v>1</v>
      </c>
      <c r="B819" s="10" t="s">
        <v>2672</v>
      </c>
      <c r="C819" s="11" t="s">
        <v>69</v>
      </c>
      <c r="D819" s="13">
        <f>E819*$D$1</f>
        <v>307</v>
      </c>
      <c r="E819" s="13">
        <f>18+239+20+30</f>
        <v>307</v>
      </c>
      <c r="F819" s="13" t="s">
        <v>1200</v>
      </c>
      <c r="G819" s="13" t="s">
        <v>1200</v>
      </c>
      <c r="H819" s="13"/>
      <c r="I819" s="4" t="s">
        <v>1201</v>
      </c>
    </row>
    <row r="820" spans="1:9" ht="15.75" customHeight="1" x14ac:dyDescent="0.25">
      <c r="A820" s="10">
        <f t="shared" si="36"/>
        <v>1</v>
      </c>
      <c r="B820" s="10" t="s">
        <v>638</v>
      </c>
      <c r="C820" s="11" t="s">
        <v>69</v>
      </c>
      <c r="D820" s="13">
        <f>E820*$D$1</f>
        <v>150</v>
      </c>
      <c r="E820" s="13">
        <v>150</v>
      </c>
      <c r="F820" s="13" t="s">
        <v>1200</v>
      </c>
      <c r="G820" s="13" t="s">
        <v>1200</v>
      </c>
      <c r="H820" s="13"/>
      <c r="I820" s="4" t="s">
        <v>1201</v>
      </c>
    </row>
    <row r="821" spans="1:9" ht="15.75" customHeight="1" x14ac:dyDescent="0.25">
      <c r="A821" s="10">
        <f t="shared" si="36"/>
        <v>1</v>
      </c>
      <c r="B821" s="10" t="s">
        <v>1496</v>
      </c>
      <c r="C821" s="11" t="s">
        <v>69</v>
      </c>
      <c r="D821" s="13">
        <f t="shared" si="37"/>
        <v>80</v>
      </c>
      <c r="E821" s="13">
        <v>80</v>
      </c>
      <c r="F821" s="13" t="s">
        <v>1200</v>
      </c>
      <c r="G821" s="13" t="s">
        <v>1200</v>
      </c>
      <c r="H821" s="13"/>
      <c r="I821" s="4" t="s">
        <v>1201</v>
      </c>
    </row>
    <row r="822" spans="1:9" ht="15.75" customHeight="1" x14ac:dyDescent="0.25">
      <c r="A822" s="10">
        <f t="shared" si="36"/>
        <v>1</v>
      </c>
      <c r="B822" s="10" t="s">
        <v>2591</v>
      </c>
      <c r="C822" s="11" t="s">
        <v>69</v>
      </c>
      <c r="D822" s="13">
        <f>E822*$D$1</f>
        <v>85</v>
      </c>
      <c r="E822" s="13">
        <v>85</v>
      </c>
      <c r="F822" s="13" t="s">
        <v>1200</v>
      </c>
      <c r="G822" s="13" t="s">
        <v>1200</v>
      </c>
      <c r="H822" s="13"/>
      <c r="I822" s="4" t="s">
        <v>1201</v>
      </c>
    </row>
    <row r="823" spans="1:9" ht="15.75" customHeight="1" x14ac:dyDescent="0.25">
      <c r="A823" s="10">
        <f t="shared" si="36"/>
        <v>1</v>
      </c>
      <c r="B823" s="10" t="s">
        <v>549</v>
      </c>
      <c r="C823" s="11" t="s">
        <v>69</v>
      </c>
      <c r="D823" s="13">
        <f t="shared" si="37"/>
        <v>85</v>
      </c>
      <c r="E823" s="13">
        <v>85</v>
      </c>
      <c r="F823" s="13" t="s">
        <v>1200</v>
      </c>
      <c r="G823" s="13" t="s">
        <v>1200</v>
      </c>
      <c r="H823" s="13"/>
      <c r="I823" s="4" t="s">
        <v>1201</v>
      </c>
    </row>
    <row r="824" spans="1:9" ht="15.75" customHeight="1" x14ac:dyDescent="0.25">
      <c r="A824" s="10">
        <f t="shared" si="36"/>
        <v>1</v>
      </c>
      <c r="B824" s="10" t="s">
        <v>739</v>
      </c>
      <c r="C824" s="11" t="s">
        <v>196</v>
      </c>
      <c r="D824" s="13">
        <f t="shared" si="37"/>
        <v>25</v>
      </c>
      <c r="E824" s="13">
        <v>25</v>
      </c>
      <c r="F824" s="13" t="s">
        <v>1200</v>
      </c>
      <c r="G824" s="13" t="s">
        <v>1200</v>
      </c>
      <c r="H824" s="13"/>
      <c r="I824" s="4" t="s">
        <v>1201</v>
      </c>
    </row>
    <row r="825" spans="1:9" ht="15.75" customHeight="1" x14ac:dyDescent="0.25">
      <c r="A825" s="10">
        <f t="shared" si="36"/>
        <v>1</v>
      </c>
      <c r="B825" s="10" t="s">
        <v>475</v>
      </c>
      <c r="C825" s="11" t="s">
        <v>69</v>
      </c>
      <c r="D825" s="13">
        <f t="shared" si="37"/>
        <v>28</v>
      </c>
      <c r="E825" s="13">
        <v>28</v>
      </c>
      <c r="F825" s="13" t="s">
        <v>1200</v>
      </c>
      <c r="G825" s="13" t="s">
        <v>1200</v>
      </c>
      <c r="H825" s="13"/>
      <c r="I825" s="4" t="s">
        <v>1201</v>
      </c>
    </row>
    <row r="826" spans="1:9" ht="15.75" customHeight="1" x14ac:dyDescent="0.25">
      <c r="A826" s="10">
        <f t="shared" si="36"/>
        <v>1</v>
      </c>
      <c r="B826" s="10" t="s">
        <v>2683</v>
      </c>
      <c r="C826" s="11" t="s">
        <v>69</v>
      </c>
      <c r="D826" s="13">
        <f>E826*$D$1</f>
        <v>25</v>
      </c>
      <c r="E826" s="13">
        <v>25</v>
      </c>
      <c r="F826" s="13" t="s">
        <v>1200</v>
      </c>
      <c r="G826" s="13" t="s">
        <v>1200</v>
      </c>
      <c r="H826" s="13"/>
      <c r="I826" s="4" t="s">
        <v>1201</v>
      </c>
    </row>
    <row r="827" spans="1:9" ht="15.75" customHeight="1" x14ac:dyDescent="0.25">
      <c r="A827" s="10">
        <f t="shared" si="36"/>
        <v>1</v>
      </c>
      <c r="B827" s="10" t="s">
        <v>2684</v>
      </c>
      <c r="C827" s="11" t="s">
        <v>69</v>
      </c>
      <c r="D827" s="13">
        <f>E827*$D$1</f>
        <v>120</v>
      </c>
      <c r="E827" s="13">
        <v>120</v>
      </c>
      <c r="F827" s="13" t="s">
        <v>1200</v>
      </c>
      <c r="G827" s="13" t="s">
        <v>1200</v>
      </c>
      <c r="H827" s="13"/>
      <c r="I827" s="4" t="s">
        <v>1201</v>
      </c>
    </row>
    <row r="828" spans="1:9" ht="15.75" customHeight="1" x14ac:dyDescent="0.25">
      <c r="A828" s="10">
        <f t="shared" si="36"/>
        <v>1</v>
      </c>
      <c r="B828" s="10" t="s">
        <v>1597</v>
      </c>
      <c r="C828" s="11" t="s">
        <v>196</v>
      </c>
      <c r="D828" s="13">
        <f>E828*$D$1</f>
        <v>30</v>
      </c>
      <c r="E828" s="13">
        <v>30</v>
      </c>
      <c r="F828" s="13" t="s">
        <v>1200</v>
      </c>
      <c r="G828" s="13" t="s">
        <v>1200</v>
      </c>
      <c r="H828" s="13"/>
      <c r="I828" s="4" t="s">
        <v>1201</v>
      </c>
    </row>
    <row r="829" spans="1:9" ht="15.75" customHeight="1" x14ac:dyDescent="0.25">
      <c r="A829" s="10">
        <f t="shared" si="36"/>
        <v>1</v>
      </c>
      <c r="B829" s="10" t="s">
        <v>476</v>
      </c>
      <c r="C829" s="11" t="s">
        <v>196</v>
      </c>
      <c r="D829" s="13">
        <f t="shared" si="37"/>
        <v>30</v>
      </c>
      <c r="E829" s="13">
        <v>30</v>
      </c>
      <c r="F829" s="13" t="s">
        <v>1200</v>
      </c>
      <c r="G829" s="13" t="s">
        <v>1200</v>
      </c>
      <c r="H829" s="13"/>
      <c r="I829" s="4" t="s">
        <v>1201</v>
      </c>
    </row>
    <row r="830" spans="1:9" ht="15.75" customHeight="1" x14ac:dyDescent="0.25">
      <c r="A830" s="10">
        <f t="shared" si="36"/>
        <v>1</v>
      </c>
      <c r="B830" s="10" t="s">
        <v>473</v>
      </c>
      <c r="C830" s="11" t="s">
        <v>196</v>
      </c>
      <c r="D830" s="13">
        <f t="shared" si="37"/>
        <v>30</v>
      </c>
      <c r="E830" s="13">
        <v>30</v>
      </c>
      <c r="F830" s="13" t="s">
        <v>1200</v>
      </c>
      <c r="G830" s="13" t="s">
        <v>1200</v>
      </c>
      <c r="H830" s="13"/>
      <c r="I830" s="4" t="s">
        <v>1201</v>
      </c>
    </row>
    <row r="831" spans="1:9" ht="15.75" customHeight="1" x14ac:dyDescent="0.25">
      <c r="A831" s="10">
        <f t="shared" si="36"/>
        <v>1</v>
      </c>
      <c r="B831" s="10" t="s">
        <v>474</v>
      </c>
      <c r="C831" s="11" t="s">
        <v>196</v>
      </c>
      <c r="D831" s="13">
        <f>E831*$D$1</f>
        <v>30</v>
      </c>
      <c r="E831" s="13">
        <v>30</v>
      </c>
      <c r="F831" s="13" t="s">
        <v>1200</v>
      </c>
      <c r="G831" s="13" t="s">
        <v>1200</v>
      </c>
      <c r="H831" s="13"/>
      <c r="I831" s="4" t="s">
        <v>1201</v>
      </c>
    </row>
    <row r="832" spans="1:9" ht="15.75" customHeight="1" x14ac:dyDescent="0.25">
      <c r="A832" s="10">
        <f t="shared" si="36"/>
        <v>1</v>
      </c>
      <c r="B832" s="10" t="s">
        <v>2424</v>
      </c>
      <c r="C832" s="11" t="s">
        <v>69</v>
      </c>
      <c r="D832" s="13">
        <f t="shared" si="37"/>
        <v>75</v>
      </c>
      <c r="E832" s="13">
        <v>75</v>
      </c>
      <c r="F832" s="13" t="s">
        <v>1200</v>
      </c>
      <c r="G832" s="13" t="s">
        <v>1200</v>
      </c>
      <c r="H832" s="13"/>
      <c r="I832" s="4" t="s">
        <v>1201</v>
      </c>
    </row>
    <row r="833" spans="1:9" ht="15.75" customHeight="1" x14ac:dyDescent="0.25">
      <c r="A833" s="10">
        <f t="shared" si="36"/>
        <v>1</v>
      </c>
      <c r="B833" s="10" t="s">
        <v>2885</v>
      </c>
      <c r="C833" s="11" t="s">
        <v>69</v>
      </c>
      <c r="D833" s="13" t="e">
        <f>E833*$D$1</f>
        <v>#REF!</v>
      </c>
      <c r="E833" s="13" t="e">
        <f>(1311885.4+1252929.229)/CPU!I2153</f>
        <v>#REF!</v>
      </c>
      <c r="F833" s="13" t="s">
        <v>1200</v>
      </c>
      <c r="G833" s="13" t="s">
        <v>1200</v>
      </c>
      <c r="H833" s="13"/>
      <c r="I833" s="4" t="s">
        <v>1201</v>
      </c>
    </row>
    <row r="834" spans="1:9" ht="15.75" customHeight="1" x14ac:dyDescent="0.25">
      <c r="A834" s="10">
        <f t="shared" si="36"/>
        <v>1</v>
      </c>
      <c r="B834" s="10" t="s">
        <v>471</v>
      </c>
      <c r="C834" s="11" t="s">
        <v>196</v>
      </c>
      <c r="D834" s="13">
        <f t="shared" si="37"/>
        <v>30</v>
      </c>
      <c r="E834" s="13">
        <v>30</v>
      </c>
      <c r="F834" s="13" t="s">
        <v>1200</v>
      </c>
      <c r="G834" s="13" t="s">
        <v>1200</v>
      </c>
      <c r="H834" s="13"/>
      <c r="I834" s="4" t="s">
        <v>1201</v>
      </c>
    </row>
    <row r="835" spans="1:9" ht="15.75" customHeight="1" x14ac:dyDescent="0.25">
      <c r="A835" s="10">
        <f t="shared" si="36"/>
        <v>1</v>
      </c>
      <c r="B835" s="10" t="s">
        <v>472</v>
      </c>
      <c r="C835" s="11" t="s">
        <v>196</v>
      </c>
      <c r="D835" s="13">
        <f t="shared" si="37"/>
        <v>45</v>
      </c>
      <c r="E835" s="13">
        <v>45</v>
      </c>
      <c r="F835" s="13" t="s">
        <v>1200</v>
      </c>
      <c r="G835" s="13" t="s">
        <v>1200</v>
      </c>
      <c r="H835" s="13"/>
      <c r="I835" s="4" t="s">
        <v>1201</v>
      </c>
    </row>
    <row r="836" spans="1:9" ht="15.75" customHeight="1" x14ac:dyDescent="0.25">
      <c r="A836" s="10">
        <f t="shared" ref="A836:A843" si="38">COUNTIFS($B$2:$B$996,B836)</f>
        <v>1</v>
      </c>
      <c r="B836" s="10" t="s">
        <v>2930</v>
      </c>
      <c r="C836" s="11" t="s">
        <v>69</v>
      </c>
      <c r="D836" s="13">
        <f>E836*$D$1</f>
        <v>30</v>
      </c>
      <c r="E836" s="13">
        <v>30</v>
      </c>
      <c r="F836" s="13" t="s">
        <v>1200</v>
      </c>
      <c r="G836" s="13" t="s">
        <v>1200</v>
      </c>
      <c r="H836" s="323" t="s">
        <v>1937</v>
      </c>
      <c r="I836" s="4" t="s">
        <v>1201</v>
      </c>
    </row>
    <row r="837" spans="1:9" ht="15.75" customHeight="1" x14ac:dyDescent="0.25">
      <c r="A837" s="10">
        <f t="shared" si="38"/>
        <v>1</v>
      </c>
      <c r="B837" s="10" t="s">
        <v>2931</v>
      </c>
      <c r="C837" s="11" t="s">
        <v>69</v>
      </c>
      <c r="D837" s="13">
        <f>E837*$D$1</f>
        <v>32</v>
      </c>
      <c r="E837" s="13">
        <v>32</v>
      </c>
      <c r="F837" s="13" t="s">
        <v>1200</v>
      </c>
      <c r="G837" s="13" t="s">
        <v>1200</v>
      </c>
      <c r="H837" s="13" t="s">
        <v>2933</v>
      </c>
      <c r="I837" s="4" t="s">
        <v>1201</v>
      </c>
    </row>
    <row r="838" spans="1:9" ht="15.75" customHeight="1" x14ac:dyDescent="0.25">
      <c r="A838" s="10">
        <f t="shared" si="38"/>
        <v>1</v>
      </c>
      <c r="B838" s="10" t="s">
        <v>2934</v>
      </c>
      <c r="C838" s="11" t="s">
        <v>69</v>
      </c>
      <c r="D838" s="13">
        <f t="shared" ref="D838:D843" si="39">E838*$D$1</f>
        <v>38</v>
      </c>
      <c r="E838" s="13">
        <v>38</v>
      </c>
      <c r="F838" s="13" t="s">
        <v>1200</v>
      </c>
      <c r="G838" s="13" t="s">
        <v>1200</v>
      </c>
      <c r="H838" s="13" t="s">
        <v>2940</v>
      </c>
      <c r="I838" s="4" t="s">
        <v>1201</v>
      </c>
    </row>
    <row r="839" spans="1:9" ht="15.75" customHeight="1" x14ac:dyDescent="0.25">
      <c r="A839" s="10">
        <f t="shared" si="38"/>
        <v>1</v>
      </c>
      <c r="B839" s="10" t="s">
        <v>2935</v>
      </c>
      <c r="C839" s="11" t="s">
        <v>69</v>
      </c>
      <c r="D839" s="13">
        <f t="shared" si="39"/>
        <v>45</v>
      </c>
      <c r="E839" s="13">
        <v>45</v>
      </c>
      <c r="F839" s="13" t="s">
        <v>1200</v>
      </c>
      <c r="G839" s="13" t="s">
        <v>1200</v>
      </c>
      <c r="H839" s="323" t="s">
        <v>1937</v>
      </c>
      <c r="I839" s="4" t="s">
        <v>1201</v>
      </c>
    </row>
    <row r="840" spans="1:9" ht="15.75" customHeight="1" x14ac:dyDescent="0.25">
      <c r="A840" s="10">
        <f t="shared" si="38"/>
        <v>1</v>
      </c>
      <c r="B840" s="10" t="s">
        <v>2932</v>
      </c>
      <c r="C840" s="11" t="s">
        <v>69</v>
      </c>
      <c r="D840" s="13">
        <f t="shared" si="39"/>
        <v>45</v>
      </c>
      <c r="E840" s="13">
        <v>45</v>
      </c>
      <c r="F840" s="13" t="s">
        <v>1200</v>
      </c>
      <c r="G840" s="13" t="s">
        <v>1200</v>
      </c>
      <c r="H840" s="13" t="s">
        <v>2939</v>
      </c>
      <c r="I840" s="4" t="s">
        <v>1201</v>
      </c>
    </row>
    <row r="841" spans="1:9" ht="15.75" customHeight="1" x14ac:dyDescent="0.25">
      <c r="A841" s="10">
        <f t="shared" si="38"/>
        <v>1</v>
      </c>
      <c r="B841" s="10" t="s">
        <v>2936</v>
      </c>
      <c r="C841" s="11" t="s">
        <v>69</v>
      </c>
      <c r="D841" s="13">
        <f t="shared" si="39"/>
        <v>62</v>
      </c>
      <c r="E841" s="13">
        <v>62</v>
      </c>
      <c r="F841" s="13" t="s">
        <v>1200</v>
      </c>
      <c r="G841" s="13" t="s">
        <v>1200</v>
      </c>
      <c r="H841" s="13" t="s">
        <v>2942</v>
      </c>
      <c r="I841" s="4" t="s">
        <v>1201</v>
      </c>
    </row>
    <row r="842" spans="1:9" ht="15.75" customHeight="1" x14ac:dyDescent="0.25">
      <c r="A842" s="10">
        <f t="shared" si="38"/>
        <v>1</v>
      </c>
      <c r="B842" s="10" t="s">
        <v>2937</v>
      </c>
      <c r="C842" s="11" t="s">
        <v>69</v>
      </c>
      <c r="D842" s="13">
        <f t="shared" si="39"/>
        <v>35</v>
      </c>
      <c r="E842" s="13">
        <v>35</v>
      </c>
      <c r="F842" s="13" t="s">
        <v>1200</v>
      </c>
      <c r="G842" s="13" t="s">
        <v>1200</v>
      </c>
      <c r="H842" s="13" t="s">
        <v>2941</v>
      </c>
      <c r="I842" s="4" t="s">
        <v>1201</v>
      </c>
    </row>
    <row r="843" spans="1:9" ht="15.75" customHeight="1" x14ac:dyDescent="0.25">
      <c r="A843" s="10">
        <f t="shared" si="38"/>
        <v>1</v>
      </c>
      <c r="B843" s="10" t="s">
        <v>2938</v>
      </c>
      <c r="C843" s="11" t="s">
        <v>69</v>
      </c>
      <c r="D843" s="13">
        <f t="shared" si="39"/>
        <v>42</v>
      </c>
      <c r="E843" s="13">
        <v>42</v>
      </c>
      <c r="F843" s="13" t="s">
        <v>1200</v>
      </c>
      <c r="G843" s="13" t="s">
        <v>1200</v>
      </c>
      <c r="H843" s="13" t="s">
        <v>2941</v>
      </c>
      <c r="I843" s="4" t="s">
        <v>1201</v>
      </c>
    </row>
    <row r="844" spans="1:9" ht="15.75" customHeight="1" x14ac:dyDescent="0.25">
      <c r="A844" s="10">
        <f t="shared" si="36"/>
        <v>1</v>
      </c>
      <c r="B844" s="10" t="s">
        <v>571</v>
      </c>
      <c r="C844" s="11" t="s">
        <v>69</v>
      </c>
      <c r="D844" s="13">
        <f t="shared" si="37"/>
        <v>150</v>
      </c>
      <c r="E844" s="13">
        <v>150</v>
      </c>
      <c r="F844" s="13" t="s">
        <v>1200</v>
      </c>
      <c r="G844" s="13" t="s">
        <v>1200</v>
      </c>
      <c r="H844" s="13"/>
      <c r="I844" s="4" t="s">
        <v>1201</v>
      </c>
    </row>
    <row r="845" spans="1:9" ht="15.75" customHeight="1" x14ac:dyDescent="0.25">
      <c r="A845" s="10">
        <f t="shared" si="36"/>
        <v>1</v>
      </c>
      <c r="B845" s="10" t="s">
        <v>573</v>
      </c>
      <c r="C845" s="11" t="s">
        <v>69</v>
      </c>
      <c r="D845" s="13">
        <f t="shared" si="37"/>
        <v>150</v>
      </c>
      <c r="E845" s="13">
        <v>150</v>
      </c>
      <c r="F845" s="13" t="s">
        <v>1200</v>
      </c>
      <c r="G845" s="13" t="s">
        <v>1200</v>
      </c>
      <c r="H845" s="13"/>
      <c r="I845" s="4" t="s">
        <v>1201</v>
      </c>
    </row>
    <row r="846" spans="1:9" ht="15.75" customHeight="1" x14ac:dyDescent="0.25">
      <c r="A846" s="10">
        <f t="shared" si="36"/>
        <v>1</v>
      </c>
      <c r="B846" s="10" t="s">
        <v>926</v>
      </c>
      <c r="C846" s="11" t="s">
        <v>196</v>
      </c>
      <c r="D846" s="13">
        <f t="shared" si="37"/>
        <v>95</v>
      </c>
      <c r="E846" s="13">
        <v>95</v>
      </c>
      <c r="F846" s="13" t="s">
        <v>1200</v>
      </c>
      <c r="G846" s="13" t="s">
        <v>1200</v>
      </c>
      <c r="H846" s="13"/>
      <c r="I846" s="4" t="s">
        <v>1201</v>
      </c>
    </row>
    <row r="847" spans="1:9" ht="15.75" customHeight="1" x14ac:dyDescent="0.25">
      <c r="A847" s="10">
        <f t="shared" si="36"/>
        <v>1</v>
      </c>
      <c r="B847" s="10" t="s">
        <v>1053</v>
      </c>
      <c r="C847" s="11" t="s">
        <v>69</v>
      </c>
      <c r="D847" s="13">
        <f t="shared" si="37"/>
        <v>150</v>
      </c>
      <c r="E847" s="13">
        <v>150</v>
      </c>
      <c r="F847" s="13" t="s">
        <v>1200</v>
      </c>
      <c r="G847" s="13" t="s">
        <v>1200</v>
      </c>
      <c r="H847" s="13"/>
      <c r="I847" s="4" t="s">
        <v>1201</v>
      </c>
    </row>
    <row r="848" spans="1:9" ht="15.75" customHeight="1" x14ac:dyDescent="0.25">
      <c r="A848" s="10">
        <f t="shared" si="36"/>
        <v>1</v>
      </c>
      <c r="B848" s="10" t="s">
        <v>928</v>
      </c>
      <c r="C848" s="11" t="s">
        <v>69</v>
      </c>
      <c r="D848" s="13">
        <f t="shared" si="37"/>
        <v>95</v>
      </c>
      <c r="E848" s="13">
        <v>95</v>
      </c>
      <c r="F848" s="13" t="s">
        <v>1200</v>
      </c>
      <c r="G848" s="13" t="s">
        <v>1200</v>
      </c>
      <c r="H848" s="13"/>
      <c r="I848" s="4" t="s">
        <v>1201</v>
      </c>
    </row>
    <row r="849" spans="1:9" ht="15.75" customHeight="1" x14ac:dyDescent="0.25">
      <c r="A849" s="10">
        <f t="shared" ref="A849:A912" si="40">COUNTIFS($B$2:$B$996,B849)</f>
        <v>1</v>
      </c>
      <c r="B849" s="10" t="s">
        <v>924</v>
      </c>
      <c r="C849" s="11" t="s">
        <v>196</v>
      </c>
      <c r="D849" s="13">
        <f t="shared" si="37"/>
        <v>58</v>
      </c>
      <c r="E849" s="13">
        <v>58</v>
      </c>
      <c r="F849" s="13" t="s">
        <v>1200</v>
      </c>
      <c r="G849" s="13" t="s">
        <v>1200</v>
      </c>
      <c r="H849" s="13"/>
      <c r="I849" s="4" t="s">
        <v>1201</v>
      </c>
    </row>
    <row r="850" spans="1:9" ht="15.75" customHeight="1" x14ac:dyDescent="0.25">
      <c r="A850" s="10">
        <f t="shared" si="40"/>
        <v>1</v>
      </c>
      <c r="B850" s="10" t="s">
        <v>2476</v>
      </c>
      <c r="C850" s="11" t="s">
        <v>196</v>
      </c>
      <c r="D850" s="13">
        <f>E850*$D$1</f>
        <v>200</v>
      </c>
      <c r="E850" s="13">
        <v>200</v>
      </c>
      <c r="F850" s="13" t="s">
        <v>1200</v>
      </c>
      <c r="G850" s="13" t="s">
        <v>1200</v>
      </c>
      <c r="H850" s="13"/>
      <c r="I850" s="4" t="s">
        <v>1201</v>
      </c>
    </row>
    <row r="851" spans="1:9" ht="15.75" customHeight="1" x14ac:dyDescent="0.25">
      <c r="A851" s="10">
        <f t="shared" si="40"/>
        <v>1</v>
      </c>
      <c r="B851" s="10" t="s">
        <v>927</v>
      </c>
      <c r="C851" s="11" t="s">
        <v>196</v>
      </c>
      <c r="D851" s="13">
        <f t="shared" si="37"/>
        <v>85</v>
      </c>
      <c r="E851" s="13">
        <v>85</v>
      </c>
      <c r="F851" s="13" t="s">
        <v>1200</v>
      </c>
      <c r="G851" s="13" t="s">
        <v>1200</v>
      </c>
      <c r="H851" s="13"/>
      <c r="I851" s="4" t="s">
        <v>1201</v>
      </c>
    </row>
    <row r="852" spans="1:9" ht="15.75" customHeight="1" x14ac:dyDescent="0.25">
      <c r="A852" s="10">
        <f t="shared" si="40"/>
        <v>1</v>
      </c>
      <c r="B852" s="10" t="s">
        <v>1568</v>
      </c>
      <c r="C852" s="11" t="s">
        <v>641</v>
      </c>
      <c r="D852" s="13">
        <f>E852*$D$1</f>
        <v>80</v>
      </c>
      <c r="E852" s="13">
        <v>80</v>
      </c>
      <c r="F852" s="13" t="s">
        <v>1200</v>
      </c>
      <c r="G852" s="13" t="s">
        <v>1200</v>
      </c>
      <c r="H852" s="13"/>
      <c r="I852" s="4" t="s">
        <v>1201</v>
      </c>
    </row>
    <row r="853" spans="1:9" ht="15.75" customHeight="1" x14ac:dyDescent="0.25">
      <c r="A853" s="10">
        <f t="shared" si="40"/>
        <v>1</v>
      </c>
      <c r="B853" s="10" t="s">
        <v>2662</v>
      </c>
      <c r="C853" s="11" t="s">
        <v>641</v>
      </c>
      <c r="D853" s="13">
        <f>E853*$D$1</f>
        <v>150</v>
      </c>
      <c r="E853" s="13">
        <v>150</v>
      </c>
      <c r="F853" s="13" t="s">
        <v>1200</v>
      </c>
      <c r="G853" s="13" t="s">
        <v>1200</v>
      </c>
      <c r="H853" s="13"/>
      <c r="I853" s="4" t="s">
        <v>1201</v>
      </c>
    </row>
    <row r="854" spans="1:9" ht="15.75" customHeight="1" x14ac:dyDescent="0.25">
      <c r="A854" s="10">
        <f t="shared" si="40"/>
        <v>1</v>
      </c>
      <c r="B854" s="10" t="s">
        <v>929</v>
      </c>
      <c r="C854" s="11" t="s">
        <v>641</v>
      </c>
      <c r="D854" s="13">
        <f t="shared" si="37"/>
        <v>175</v>
      </c>
      <c r="E854" s="13">
        <v>175</v>
      </c>
      <c r="F854" s="13" t="s">
        <v>1200</v>
      </c>
      <c r="G854" s="13" t="s">
        <v>1200</v>
      </c>
      <c r="H854" s="13"/>
      <c r="I854" s="4" t="s">
        <v>1201</v>
      </c>
    </row>
    <row r="855" spans="1:9" ht="15.75" customHeight="1" x14ac:dyDescent="0.25">
      <c r="A855" s="10">
        <f t="shared" si="40"/>
        <v>1</v>
      </c>
      <c r="B855" s="10" t="s">
        <v>925</v>
      </c>
      <c r="C855" s="11" t="s">
        <v>196</v>
      </c>
      <c r="D855" s="13">
        <f t="shared" si="37"/>
        <v>58</v>
      </c>
      <c r="E855" s="13">
        <v>58</v>
      </c>
      <c r="F855" s="13" t="s">
        <v>1200</v>
      </c>
      <c r="G855" s="13" t="s">
        <v>1200</v>
      </c>
      <c r="H855" s="13"/>
      <c r="I855" s="4" t="s">
        <v>1201</v>
      </c>
    </row>
    <row r="856" spans="1:9" ht="15.75" customHeight="1" x14ac:dyDescent="0.25">
      <c r="A856" s="10">
        <f t="shared" si="40"/>
        <v>1</v>
      </c>
      <c r="B856" s="10" t="s">
        <v>431</v>
      </c>
      <c r="C856" s="11" t="s">
        <v>69</v>
      </c>
      <c r="D856" s="13">
        <f t="shared" si="37"/>
        <v>47</v>
      </c>
      <c r="E856" s="13">
        <v>47</v>
      </c>
      <c r="F856" s="13" t="s">
        <v>1200</v>
      </c>
      <c r="G856" s="13" t="s">
        <v>1200</v>
      </c>
      <c r="H856" s="13" t="s">
        <v>2996</v>
      </c>
      <c r="I856" s="4" t="s">
        <v>1201</v>
      </c>
    </row>
    <row r="857" spans="1:9" ht="15.75" customHeight="1" x14ac:dyDescent="0.25">
      <c r="A857" s="10">
        <f t="shared" si="40"/>
        <v>1</v>
      </c>
      <c r="B857" s="10" t="s">
        <v>434</v>
      </c>
      <c r="C857" s="11" t="s">
        <v>196</v>
      </c>
      <c r="D857" s="13">
        <f t="shared" si="37"/>
        <v>47</v>
      </c>
      <c r="E857" s="13">
        <v>47</v>
      </c>
      <c r="F857" s="13" t="s">
        <v>1200</v>
      </c>
      <c r="G857" s="13" t="s">
        <v>1200</v>
      </c>
      <c r="H857" s="13" t="s">
        <v>2996</v>
      </c>
      <c r="I857" s="4" t="s">
        <v>1201</v>
      </c>
    </row>
    <row r="858" spans="1:9" ht="15.75" customHeight="1" x14ac:dyDescent="0.25">
      <c r="A858" s="10">
        <f t="shared" si="40"/>
        <v>1</v>
      </c>
      <c r="B858" s="10" t="s">
        <v>435</v>
      </c>
      <c r="C858" s="11" t="s">
        <v>196</v>
      </c>
      <c r="D858" s="13">
        <f t="shared" si="37"/>
        <v>48</v>
      </c>
      <c r="E858" s="13">
        <v>48</v>
      </c>
      <c r="F858" s="13" t="s">
        <v>1200</v>
      </c>
      <c r="G858" s="13" t="s">
        <v>1200</v>
      </c>
      <c r="H858" s="13"/>
      <c r="I858" s="4" t="s">
        <v>1201</v>
      </c>
    </row>
    <row r="859" spans="1:9" ht="15.75" customHeight="1" x14ac:dyDescent="0.25">
      <c r="A859" s="10">
        <f t="shared" si="40"/>
        <v>1</v>
      </c>
      <c r="B859" s="10" t="s">
        <v>432</v>
      </c>
      <c r="C859" s="11" t="s">
        <v>196</v>
      </c>
      <c r="D859" s="13">
        <f t="shared" si="37"/>
        <v>48</v>
      </c>
      <c r="E859" s="13">
        <v>48</v>
      </c>
      <c r="F859" s="13" t="s">
        <v>1200</v>
      </c>
      <c r="G859" s="13" t="s">
        <v>1200</v>
      </c>
      <c r="H859" s="13"/>
      <c r="I859" s="4" t="s">
        <v>1201</v>
      </c>
    </row>
    <row r="860" spans="1:9" ht="15.75" customHeight="1" x14ac:dyDescent="0.25">
      <c r="A860" s="10">
        <f t="shared" si="40"/>
        <v>1</v>
      </c>
      <c r="B860" s="10" t="s">
        <v>433</v>
      </c>
      <c r="C860" s="11" t="s">
        <v>196</v>
      </c>
      <c r="D860" s="13">
        <f t="shared" si="37"/>
        <v>47</v>
      </c>
      <c r="E860" s="13">
        <v>47</v>
      </c>
      <c r="F860" s="13" t="s">
        <v>1200</v>
      </c>
      <c r="G860" s="13" t="s">
        <v>1200</v>
      </c>
      <c r="H860" s="13" t="s">
        <v>2996</v>
      </c>
      <c r="I860" s="4" t="s">
        <v>1201</v>
      </c>
    </row>
    <row r="861" spans="1:9" ht="15.75" customHeight="1" x14ac:dyDescent="0.25">
      <c r="A861" s="10">
        <f t="shared" si="40"/>
        <v>1</v>
      </c>
      <c r="B861" s="10" t="s">
        <v>543</v>
      </c>
      <c r="C861" s="11" t="s">
        <v>196</v>
      </c>
      <c r="D861" s="13">
        <f t="shared" si="37"/>
        <v>55</v>
      </c>
      <c r="E861" s="13">
        <v>55</v>
      </c>
      <c r="F861" s="13" t="s">
        <v>1200</v>
      </c>
      <c r="G861" s="13" t="s">
        <v>1200</v>
      </c>
      <c r="H861" s="13"/>
      <c r="I861" s="4" t="s">
        <v>1201</v>
      </c>
    </row>
    <row r="862" spans="1:9" ht="15.75" customHeight="1" x14ac:dyDescent="0.25">
      <c r="A862" s="10">
        <f t="shared" si="40"/>
        <v>1</v>
      </c>
      <c r="B862" s="10" t="s">
        <v>544</v>
      </c>
      <c r="C862" s="11" t="s">
        <v>196</v>
      </c>
      <c r="D862" s="13">
        <f t="shared" si="37"/>
        <v>75</v>
      </c>
      <c r="E862" s="13">
        <v>75</v>
      </c>
      <c r="F862" s="13" t="s">
        <v>1200</v>
      </c>
      <c r="G862" s="13" t="s">
        <v>1200</v>
      </c>
      <c r="H862" s="13"/>
      <c r="I862" s="4" t="s">
        <v>1201</v>
      </c>
    </row>
    <row r="863" spans="1:9" ht="15.75" customHeight="1" x14ac:dyDescent="0.25">
      <c r="A863" s="10">
        <f t="shared" si="40"/>
        <v>1</v>
      </c>
      <c r="B863" s="10" t="s">
        <v>545</v>
      </c>
      <c r="C863" s="11" t="s">
        <v>196</v>
      </c>
      <c r="D863" s="13">
        <f t="shared" si="37"/>
        <v>75</v>
      </c>
      <c r="E863" s="13">
        <v>75</v>
      </c>
      <c r="F863" s="13" t="s">
        <v>1200</v>
      </c>
      <c r="G863" s="13" t="s">
        <v>1200</v>
      </c>
      <c r="H863" s="13"/>
      <c r="I863" s="4" t="s">
        <v>1201</v>
      </c>
    </row>
    <row r="864" spans="1:9" ht="15.75" customHeight="1" x14ac:dyDescent="0.25">
      <c r="A864" s="10">
        <f t="shared" si="40"/>
        <v>1</v>
      </c>
      <c r="B864" s="10" t="s">
        <v>547</v>
      </c>
      <c r="C864" s="11" t="s">
        <v>196</v>
      </c>
      <c r="D864" s="13">
        <f t="shared" si="37"/>
        <v>50</v>
      </c>
      <c r="E864" s="13">
        <v>50</v>
      </c>
      <c r="F864" s="13" t="s">
        <v>1200</v>
      </c>
      <c r="G864" s="13" t="s">
        <v>1200</v>
      </c>
      <c r="H864" s="13"/>
      <c r="I864" s="4" t="s">
        <v>1201</v>
      </c>
    </row>
    <row r="865" spans="1:9" ht="15.75" customHeight="1" x14ac:dyDescent="0.25">
      <c r="A865" s="10">
        <f t="shared" si="40"/>
        <v>1</v>
      </c>
      <c r="B865" s="10" t="s">
        <v>548</v>
      </c>
      <c r="C865" s="11" t="s">
        <v>196</v>
      </c>
      <c r="D865" s="13">
        <f t="shared" si="37"/>
        <v>60</v>
      </c>
      <c r="E865" s="13">
        <v>60</v>
      </c>
      <c r="F865" s="13" t="s">
        <v>1200</v>
      </c>
      <c r="G865" s="13" t="s">
        <v>1200</v>
      </c>
      <c r="H865" s="13"/>
      <c r="I865" s="4" t="s">
        <v>1201</v>
      </c>
    </row>
    <row r="866" spans="1:9" ht="15.75" customHeight="1" x14ac:dyDescent="0.25">
      <c r="A866" s="10">
        <f t="shared" si="40"/>
        <v>1</v>
      </c>
      <c r="B866" s="10" t="s">
        <v>546</v>
      </c>
      <c r="C866" s="11" t="s">
        <v>196</v>
      </c>
      <c r="D866" s="13">
        <f t="shared" si="37"/>
        <v>50</v>
      </c>
      <c r="E866" s="13">
        <v>50</v>
      </c>
      <c r="F866" s="13" t="s">
        <v>1200</v>
      </c>
      <c r="G866" s="13" t="s">
        <v>1200</v>
      </c>
      <c r="H866" s="13"/>
      <c r="I866" s="4" t="s">
        <v>1201</v>
      </c>
    </row>
    <row r="867" spans="1:9" ht="15.75" customHeight="1" x14ac:dyDescent="0.25">
      <c r="A867" s="10">
        <f t="shared" si="40"/>
        <v>1</v>
      </c>
      <c r="B867" s="10" t="s">
        <v>2639</v>
      </c>
      <c r="C867" s="11" t="s">
        <v>69</v>
      </c>
      <c r="D867" s="13">
        <f>E867*$D$1</f>
        <v>400</v>
      </c>
      <c r="E867" s="13">
        <v>400</v>
      </c>
      <c r="F867" s="13" t="s">
        <v>1200</v>
      </c>
      <c r="G867" s="13" t="s">
        <v>1200</v>
      </c>
      <c r="H867" s="13"/>
      <c r="I867" s="4" t="s">
        <v>1201</v>
      </c>
    </row>
    <row r="868" spans="1:9" ht="15.75" customHeight="1" x14ac:dyDescent="0.25">
      <c r="A868" s="10">
        <f t="shared" si="40"/>
        <v>1</v>
      </c>
      <c r="B868" s="10" t="s">
        <v>845</v>
      </c>
      <c r="C868" s="11" t="s">
        <v>196</v>
      </c>
      <c r="D868" s="13">
        <f t="shared" si="37"/>
        <v>300</v>
      </c>
      <c r="E868" s="13">
        <v>300</v>
      </c>
      <c r="F868" s="13" t="s">
        <v>1200</v>
      </c>
      <c r="G868" s="13" t="s">
        <v>1200</v>
      </c>
      <c r="H868" s="13"/>
      <c r="I868" s="4" t="s">
        <v>1201</v>
      </c>
    </row>
    <row r="869" spans="1:9" ht="15.75" customHeight="1" x14ac:dyDescent="0.25">
      <c r="A869" s="10">
        <f t="shared" si="40"/>
        <v>1</v>
      </c>
      <c r="B869" s="10" t="s">
        <v>1550</v>
      </c>
      <c r="C869" s="11" t="s">
        <v>196</v>
      </c>
      <c r="D869" s="13">
        <f>E869*$D$1</f>
        <v>20</v>
      </c>
      <c r="E869" s="13">
        <v>20</v>
      </c>
      <c r="F869" s="13" t="s">
        <v>1200</v>
      </c>
      <c r="G869" s="13" t="s">
        <v>1200</v>
      </c>
      <c r="H869" s="13"/>
      <c r="I869" s="4" t="s">
        <v>1201</v>
      </c>
    </row>
    <row r="870" spans="1:9" ht="15.75" customHeight="1" x14ac:dyDescent="0.25">
      <c r="A870" s="10">
        <f t="shared" si="40"/>
        <v>1</v>
      </c>
      <c r="B870" s="10" t="s">
        <v>783</v>
      </c>
      <c r="C870" s="11" t="s">
        <v>196</v>
      </c>
      <c r="D870" s="13">
        <f t="shared" si="37"/>
        <v>40</v>
      </c>
      <c r="E870" s="13">
        <v>40</v>
      </c>
      <c r="F870" s="13" t="s">
        <v>1200</v>
      </c>
      <c r="G870" s="13" t="s">
        <v>1200</v>
      </c>
      <c r="H870" s="13"/>
      <c r="I870" s="4" t="s">
        <v>1201</v>
      </c>
    </row>
    <row r="871" spans="1:9" ht="15.75" customHeight="1" x14ac:dyDescent="0.25">
      <c r="A871" s="10">
        <f t="shared" si="40"/>
        <v>1</v>
      </c>
      <c r="B871" s="10" t="s">
        <v>784</v>
      </c>
      <c r="C871" s="11" t="s">
        <v>196</v>
      </c>
      <c r="D871" s="13">
        <f t="shared" si="37"/>
        <v>40</v>
      </c>
      <c r="E871" s="13">
        <v>40</v>
      </c>
      <c r="F871" s="13" t="s">
        <v>1200</v>
      </c>
      <c r="G871" s="13" t="s">
        <v>1200</v>
      </c>
      <c r="H871" s="13"/>
      <c r="I871" s="4" t="s">
        <v>1201</v>
      </c>
    </row>
    <row r="872" spans="1:9" ht="15.75" customHeight="1" x14ac:dyDescent="0.25">
      <c r="A872" s="10">
        <f t="shared" si="40"/>
        <v>1</v>
      </c>
      <c r="B872" s="10" t="s">
        <v>470</v>
      </c>
      <c r="C872" s="11" t="s">
        <v>196</v>
      </c>
      <c r="D872" s="13">
        <f t="shared" si="37"/>
        <v>35</v>
      </c>
      <c r="E872" s="13">
        <v>35</v>
      </c>
      <c r="F872" s="13" t="s">
        <v>1200</v>
      </c>
      <c r="G872" s="13" t="s">
        <v>1200</v>
      </c>
      <c r="H872" s="13"/>
      <c r="I872" s="4" t="s">
        <v>1201</v>
      </c>
    </row>
    <row r="873" spans="1:9" ht="15.75" customHeight="1" x14ac:dyDescent="0.25">
      <c r="A873" s="10">
        <f t="shared" si="40"/>
        <v>1</v>
      </c>
      <c r="B873" s="10" t="s">
        <v>923</v>
      </c>
      <c r="C873" s="11" t="s">
        <v>196</v>
      </c>
      <c r="D873" s="13">
        <f t="shared" si="37"/>
        <v>62</v>
      </c>
      <c r="E873" s="13">
        <v>62</v>
      </c>
      <c r="F873" s="13" t="s">
        <v>1200</v>
      </c>
      <c r="G873" s="13" t="s">
        <v>1200</v>
      </c>
      <c r="H873" s="13" t="s">
        <v>2996</v>
      </c>
      <c r="I873" s="4" t="s">
        <v>1201</v>
      </c>
    </row>
    <row r="874" spans="1:9" ht="15.75" customHeight="1" x14ac:dyDescent="0.25">
      <c r="A874" s="10">
        <f t="shared" si="40"/>
        <v>1</v>
      </c>
      <c r="B874" s="10" t="s">
        <v>1604</v>
      </c>
      <c r="C874" s="11" t="s">
        <v>69</v>
      </c>
      <c r="D874" s="13">
        <f>E874*$D$1</f>
        <v>27.4</v>
      </c>
      <c r="E874" s="13">
        <v>27.4</v>
      </c>
      <c r="F874" s="13" t="s">
        <v>1200</v>
      </c>
      <c r="G874" s="13" t="s">
        <v>1200</v>
      </c>
      <c r="H874" s="13"/>
      <c r="I874" s="4" t="s">
        <v>1201</v>
      </c>
    </row>
    <row r="875" spans="1:9" ht="15.75" customHeight="1" x14ac:dyDescent="0.25">
      <c r="A875" s="10">
        <f t="shared" si="40"/>
        <v>1</v>
      </c>
      <c r="B875" s="10" t="s">
        <v>469</v>
      </c>
      <c r="C875" s="11" t="s">
        <v>69</v>
      </c>
      <c r="D875" s="13">
        <f t="shared" si="37"/>
        <v>20</v>
      </c>
      <c r="E875" s="13">
        <v>20</v>
      </c>
      <c r="F875" s="13" t="s">
        <v>1200</v>
      </c>
      <c r="G875" s="13" t="s">
        <v>1200</v>
      </c>
      <c r="H875" s="13"/>
      <c r="I875" s="4" t="s">
        <v>1201</v>
      </c>
    </row>
    <row r="876" spans="1:9" ht="15.75" customHeight="1" x14ac:dyDescent="0.25">
      <c r="A876" s="10">
        <f t="shared" si="40"/>
        <v>1</v>
      </c>
      <c r="B876" s="10" t="s">
        <v>1079</v>
      </c>
      <c r="C876" s="11" t="s">
        <v>69</v>
      </c>
      <c r="D876" s="13">
        <f t="shared" si="37"/>
        <v>20</v>
      </c>
      <c r="E876" s="13">
        <v>20</v>
      </c>
      <c r="F876" s="13" t="s">
        <v>1200</v>
      </c>
      <c r="G876" s="13" t="s">
        <v>1200</v>
      </c>
      <c r="H876" s="13"/>
      <c r="I876" s="4" t="s">
        <v>1201</v>
      </c>
    </row>
    <row r="877" spans="1:9" ht="15.75" customHeight="1" x14ac:dyDescent="0.25">
      <c r="A877" s="10">
        <f t="shared" si="40"/>
        <v>1</v>
      </c>
      <c r="B877" s="10" t="s">
        <v>1080</v>
      </c>
      <c r="C877" s="11" t="s">
        <v>112</v>
      </c>
      <c r="D877" s="13">
        <f t="shared" si="37"/>
        <v>5</v>
      </c>
      <c r="E877" s="13">
        <v>5</v>
      </c>
      <c r="F877" s="13" t="s">
        <v>1200</v>
      </c>
      <c r="G877" s="13" t="s">
        <v>1200</v>
      </c>
      <c r="H877" s="13"/>
      <c r="I877" s="4" t="s">
        <v>1201</v>
      </c>
    </row>
    <row r="878" spans="1:9" ht="15.75" customHeight="1" x14ac:dyDescent="0.25">
      <c r="A878" s="10">
        <f t="shared" si="40"/>
        <v>1</v>
      </c>
      <c r="B878" s="10" t="s">
        <v>737</v>
      </c>
      <c r="C878" s="11" t="s">
        <v>196</v>
      </c>
      <c r="D878" s="13">
        <f t="shared" si="37"/>
        <v>75</v>
      </c>
      <c r="E878" s="13">
        <v>75</v>
      </c>
      <c r="F878" s="13" t="s">
        <v>1200</v>
      </c>
      <c r="G878" s="13" t="s">
        <v>1200</v>
      </c>
      <c r="H878" s="13"/>
      <c r="I878" s="4" t="s">
        <v>1201</v>
      </c>
    </row>
    <row r="879" spans="1:9" ht="15.75" customHeight="1" x14ac:dyDescent="0.25">
      <c r="A879" s="10">
        <f t="shared" si="40"/>
        <v>1</v>
      </c>
      <c r="B879" s="10" t="s">
        <v>477</v>
      </c>
      <c r="C879" s="11" t="s">
        <v>196</v>
      </c>
      <c r="D879" s="13">
        <f t="shared" si="37"/>
        <v>50</v>
      </c>
      <c r="E879" s="13">
        <v>50</v>
      </c>
      <c r="F879" s="13" t="s">
        <v>1200</v>
      </c>
      <c r="G879" s="13" t="s">
        <v>1200</v>
      </c>
      <c r="H879" s="13"/>
      <c r="I879" s="4" t="s">
        <v>1201</v>
      </c>
    </row>
    <row r="880" spans="1:9" ht="15.75" customHeight="1" x14ac:dyDescent="0.25">
      <c r="A880" s="10">
        <f t="shared" si="40"/>
        <v>1</v>
      </c>
      <c r="B880" s="10" t="s">
        <v>337</v>
      </c>
      <c r="C880" s="11" t="s">
        <v>641</v>
      </c>
      <c r="D880" s="13">
        <f t="shared" si="37"/>
        <v>290</v>
      </c>
      <c r="E880" s="13">
        <v>290</v>
      </c>
      <c r="F880" s="13" t="s">
        <v>1200</v>
      </c>
      <c r="G880" s="13" t="s">
        <v>1200</v>
      </c>
      <c r="H880" s="13"/>
      <c r="I880" s="4" t="s">
        <v>1201</v>
      </c>
    </row>
    <row r="881" spans="1:9" ht="15.75" customHeight="1" x14ac:dyDescent="0.25">
      <c r="A881" s="10">
        <f t="shared" si="40"/>
        <v>1</v>
      </c>
      <c r="B881" s="10" t="s">
        <v>338</v>
      </c>
      <c r="C881" s="11" t="s">
        <v>641</v>
      </c>
      <c r="D881" s="13">
        <f t="shared" si="37"/>
        <v>25</v>
      </c>
      <c r="E881" s="13">
        <v>25</v>
      </c>
      <c r="F881" s="13" t="s">
        <v>1200</v>
      </c>
      <c r="G881" s="13" t="s">
        <v>1200</v>
      </c>
      <c r="H881" s="13"/>
      <c r="I881" s="4" t="s">
        <v>1201</v>
      </c>
    </row>
    <row r="882" spans="1:9" ht="15.75" customHeight="1" x14ac:dyDescent="0.25">
      <c r="A882" s="10">
        <f t="shared" si="40"/>
        <v>1</v>
      </c>
      <c r="B882" s="10" t="s">
        <v>177</v>
      </c>
      <c r="C882" s="11" t="s">
        <v>151</v>
      </c>
      <c r="D882" s="13">
        <f t="shared" si="37"/>
        <v>45.45</v>
      </c>
      <c r="E882" s="13">
        <v>45.45</v>
      </c>
      <c r="F882" s="13" t="s">
        <v>1200</v>
      </c>
      <c r="G882" s="13" t="s">
        <v>1200</v>
      </c>
      <c r="H882" s="13"/>
      <c r="I882" s="4" t="s">
        <v>1201</v>
      </c>
    </row>
    <row r="883" spans="1:9" ht="15.75" customHeight="1" x14ac:dyDescent="0.25">
      <c r="A883" s="10">
        <f t="shared" si="40"/>
        <v>1</v>
      </c>
      <c r="B883" s="10" t="s">
        <v>175</v>
      </c>
      <c r="C883" s="11" t="s">
        <v>151</v>
      </c>
      <c r="D883" s="13">
        <f t="shared" si="37"/>
        <v>45.45</v>
      </c>
      <c r="E883" s="13">
        <v>45.45</v>
      </c>
      <c r="F883" s="13" t="s">
        <v>1200</v>
      </c>
      <c r="G883" s="13" t="s">
        <v>1200</v>
      </c>
      <c r="H883" s="13"/>
      <c r="I883" s="4" t="s">
        <v>1201</v>
      </c>
    </row>
    <row r="884" spans="1:9" ht="15.75" customHeight="1" x14ac:dyDescent="0.25">
      <c r="A884" s="10">
        <f t="shared" si="40"/>
        <v>1</v>
      </c>
      <c r="B884" s="10" t="s">
        <v>176</v>
      </c>
      <c r="C884" s="11" t="s">
        <v>151</v>
      </c>
      <c r="D884" s="13">
        <f t="shared" si="37"/>
        <v>68.180000000000007</v>
      </c>
      <c r="E884" s="13">
        <v>68.180000000000007</v>
      </c>
      <c r="F884" s="13" t="s">
        <v>1200</v>
      </c>
      <c r="G884" s="13" t="s">
        <v>1200</v>
      </c>
      <c r="H884" s="13"/>
      <c r="I884" s="4" t="s">
        <v>1201</v>
      </c>
    </row>
    <row r="885" spans="1:9" ht="15.75" customHeight="1" x14ac:dyDescent="0.25">
      <c r="A885" s="10">
        <f t="shared" si="40"/>
        <v>1</v>
      </c>
      <c r="B885" s="10" t="s">
        <v>155</v>
      </c>
      <c r="C885" s="11" t="s">
        <v>151</v>
      </c>
      <c r="D885" s="13">
        <f t="shared" si="37"/>
        <v>14.55</v>
      </c>
      <c r="E885" s="13">
        <v>14.55</v>
      </c>
      <c r="F885" s="13" t="s">
        <v>1200</v>
      </c>
      <c r="G885" s="13" t="s">
        <v>1200</v>
      </c>
      <c r="H885" s="13"/>
      <c r="I885" s="4" t="s">
        <v>1201</v>
      </c>
    </row>
    <row r="886" spans="1:9" ht="14.25" x14ac:dyDescent="0.2">
      <c r="A886" s="10">
        <f t="shared" si="40"/>
        <v>1</v>
      </c>
      <c r="B886" s="77" t="s">
        <v>1878</v>
      </c>
      <c r="C886" s="78" t="s">
        <v>69</v>
      </c>
      <c r="D886" s="79">
        <f t="shared" si="37"/>
        <v>850</v>
      </c>
      <c r="E886" s="79">
        <v>850</v>
      </c>
      <c r="F886" s="79" t="s">
        <v>1131</v>
      </c>
      <c r="G886" s="79" t="s">
        <v>1132</v>
      </c>
      <c r="H886" s="79"/>
      <c r="I886" s="80" t="s">
        <v>1133</v>
      </c>
    </row>
    <row r="887" spans="1:9" ht="14.25" x14ac:dyDescent="0.2">
      <c r="A887" s="10">
        <f t="shared" si="40"/>
        <v>1</v>
      </c>
      <c r="B887" s="77" t="s">
        <v>1881</v>
      </c>
      <c r="C887" s="78" t="s">
        <v>69</v>
      </c>
      <c r="D887" s="79">
        <f t="shared" si="37"/>
        <v>1200</v>
      </c>
      <c r="E887" s="79">
        <v>1200</v>
      </c>
      <c r="F887" s="79" t="s">
        <v>1131</v>
      </c>
      <c r="G887" s="79" t="s">
        <v>1132</v>
      </c>
      <c r="H887" s="79"/>
      <c r="I887" s="80" t="s">
        <v>1133</v>
      </c>
    </row>
    <row r="888" spans="1:9" ht="14.25" x14ac:dyDescent="0.2">
      <c r="A888" s="10">
        <f t="shared" si="40"/>
        <v>1</v>
      </c>
      <c r="B888" s="77" t="s">
        <v>1882</v>
      </c>
      <c r="C888" s="78" t="s">
        <v>69</v>
      </c>
      <c r="D888" s="79">
        <f t="shared" si="37"/>
        <v>950</v>
      </c>
      <c r="E888" s="79">
        <v>950</v>
      </c>
      <c r="F888" s="79" t="s">
        <v>1131</v>
      </c>
      <c r="G888" s="79" t="s">
        <v>1132</v>
      </c>
      <c r="H888" s="79"/>
      <c r="I888" s="80" t="s">
        <v>1133</v>
      </c>
    </row>
    <row r="889" spans="1:9" ht="14.25" x14ac:dyDescent="0.2">
      <c r="A889" s="10">
        <f t="shared" si="40"/>
        <v>1</v>
      </c>
      <c r="B889" s="77" t="s">
        <v>1883</v>
      </c>
      <c r="C889" s="78" t="s">
        <v>69</v>
      </c>
      <c r="D889" s="79">
        <f t="shared" si="37"/>
        <v>860</v>
      </c>
      <c r="E889" s="79">
        <v>860</v>
      </c>
      <c r="F889" s="79" t="s">
        <v>1131</v>
      </c>
      <c r="G889" s="79" t="s">
        <v>1132</v>
      </c>
      <c r="H889" s="79"/>
      <c r="I889" s="80" t="s">
        <v>1133</v>
      </c>
    </row>
    <row r="890" spans="1:9" ht="14.25" x14ac:dyDescent="0.2">
      <c r="A890" s="10">
        <f t="shared" si="40"/>
        <v>1</v>
      </c>
      <c r="B890" s="77" t="s">
        <v>2706</v>
      </c>
      <c r="C890" s="78" t="s">
        <v>112</v>
      </c>
      <c r="D890" s="79">
        <f t="shared" si="37"/>
        <v>820</v>
      </c>
      <c r="E890" s="79">
        <v>820</v>
      </c>
      <c r="F890" s="79" t="s">
        <v>1131</v>
      </c>
      <c r="G890" s="79" t="s">
        <v>1885</v>
      </c>
      <c r="H890" s="79"/>
      <c r="I890" s="80" t="s">
        <v>1134</v>
      </c>
    </row>
    <row r="891" spans="1:9" ht="14.25" x14ac:dyDescent="0.2">
      <c r="A891" s="10">
        <f t="shared" si="40"/>
        <v>1</v>
      </c>
      <c r="B891" s="77" t="s">
        <v>2707</v>
      </c>
      <c r="C891" s="78" t="s">
        <v>112</v>
      </c>
      <c r="D891" s="79">
        <f t="shared" si="37"/>
        <v>520</v>
      </c>
      <c r="E891" s="79">
        <v>520</v>
      </c>
      <c r="F891" s="79" t="s">
        <v>1131</v>
      </c>
      <c r="G891" s="79" t="s">
        <v>1885</v>
      </c>
      <c r="H891" s="79"/>
      <c r="I891" s="80" t="s">
        <v>1134</v>
      </c>
    </row>
    <row r="892" spans="1:9" ht="14.25" x14ac:dyDescent="0.2">
      <c r="A892" s="10">
        <f t="shared" si="40"/>
        <v>1</v>
      </c>
      <c r="B892" s="77" t="s">
        <v>2708</v>
      </c>
      <c r="C892" s="78" t="s">
        <v>69</v>
      </c>
      <c r="D892" s="79">
        <f>E892*$D$1</f>
        <v>1240</v>
      </c>
      <c r="E892" s="79">
        <v>1240</v>
      </c>
      <c r="F892" s="79" t="s">
        <v>1131</v>
      </c>
      <c r="G892" s="79" t="s">
        <v>1885</v>
      </c>
      <c r="H892" s="79"/>
      <c r="I892" s="80" t="s">
        <v>1134</v>
      </c>
    </row>
    <row r="893" spans="1:9" ht="14.25" x14ac:dyDescent="0.2">
      <c r="A893" s="10">
        <f t="shared" si="40"/>
        <v>1</v>
      </c>
      <c r="B893" s="77" t="s">
        <v>1884</v>
      </c>
      <c r="C893" s="78" t="s">
        <v>112</v>
      </c>
      <c r="D893" s="79">
        <f t="shared" si="37"/>
        <v>98.79</v>
      </c>
      <c r="E893" s="79">
        <v>98.79</v>
      </c>
      <c r="F893" s="79" t="s">
        <v>1131</v>
      </c>
      <c r="G893" s="79" t="s">
        <v>1885</v>
      </c>
      <c r="H893" s="79"/>
      <c r="I893" s="80" t="s">
        <v>1134</v>
      </c>
    </row>
    <row r="894" spans="1:9" ht="14.25" x14ac:dyDescent="0.2">
      <c r="A894" s="10">
        <f t="shared" si="40"/>
        <v>1</v>
      </c>
      <c r="B894" s="77" t="s">
        <v>1886</v>
      </c>
      <c r="C894" s="78" t="s">
        <v>69</v>
      </c>
      <c r="D894" s="79">
        <f>E894*$D$1</f>
        <v>1000</v>
      </c>
      <c r="E894" s="79">
        <v>1000</v>
      </c>
      <c r="F894" s="79" t="s">
        <v>1131</v>
      </c>
      <c r="G894" s="79" t="s">
        <v>1136</v>
      </c>
      <c r="H894" s="79"/>
      <c r="I894" s="80" t="s">
        <v>1137</v>
      </c>
    </row>
    <row r="895" spans="1:9" ht="14.25" x14ac:dyDescent="0.2">
      <c r="A895" s="10">
        <f t="shared" si="40"/>
        <v>1</v>
      </c>
      <c r="B895" s="77" t="s">
        <v>1887</v>
      </c>
      <c r="C895" s="78" t="s">
        <v>69</v>
      </c>
      <c r="D895" s="79">
        <f t="shared" si="37"/>
        <v>1358.5</v>
      </c>
      <c r="E895" s="79">
        <v>1358.5</v>
      </c>
      <c r="F895" s="79" t="s">
        <v>1131</v>
      </c>
      <c r="G895" s="79" t="s">
        <v>1136</v>
      </c>
      <c r="H895" s="79"/>
      <c r="I895" s="80" t="s">
        <v>1137</v>
      </c>
    </row>
    <row r="896" spans="1:9" ht="14.25" x14ac:dyDescent="0.2">
      <c r="A896" s="10">
        <f t="shared" si="40"/>
        <v>1</v>
      </c>
      <c r="B896" s="77" t="s">
        <v>1888</v>
      </c>
      <c r="C896" s="78" t="s">
        <v>69</v>
      </c>
      <c r="D896" s="79">
        <f t="shared" si="37"/>
        <v>1494.3500000000001</v>
      </c>
      <c r="E896" s="79">
        <f>1358.5*1.1</f>
        <v>1494.3500000000001</v>
      </c>
      <c r="F896" s="79" t="s">
        <v>1131</v>
      </c>
      <c r="G896" s="79" t="s">
        <v>1136</v>
      </c>
      <c r="H896" s="79"/>
      <c r="I896" s="80" t="s">
        <v>1137</v>
      </c>
    </row>
    <row r="897" spans="1:9" ht="14.25" x14ac:dyDescent="0.2">
      <c r="A897" s="10">
        <f t="shared" si="40"/>
        <v>1</v>
      </c>
      <c r="B897" s="77" t="s">
        <v>1889</v>
      </c>
      <c r="C897" s="78" t="s">
        <v>69</v>
      </c>
      <c r="D897" s="79">
        <f t="shared" si="37"/>
        <v>1494.3500000000001</v>
      </c>
      <c r="E897" s="79">
        <f>1358.5*1.1</f>
        <v>1494.3500000000001</v>
      </c>
      <c r="F897" s="79" t="s">
        <v>1131</v>
      </c>
      <c r="G897" s="79" t="s">
        <v>1136</v>
      </c>
      <c r="H897" s="79"/>
      <c r="I897" s="80" t="s">
        <v>1137</v>
      </c>
    </row>
    <row r="898" spans="1:9" ht="14.25" x14ac:dyDescent="0.2">
      <c r="A898" s="10">
        <f t="shared" si="40"/>
        <v>1</v>
      </c>
      <c r="B898" s="77" t="s">
        <v>1890</v>
      </c>
      <c r="C898" s="78" t="s">
        <v>69</v>
      </c>
      <c r="D898" s="79">
        <f t="shared" si="37"/>
        <v>1833.9750000000001</v>
      </c>
      <c r="E898" s="79">
        <f>1358.5*1.35</f>
        <v>1833.9750000000001</v>
      </c>
      <c r="F898" s="79" t="s">
        <v>1131</v>
      </c>
      <c r="G898" s="79" t="s">
        <v>1136</v>
      </c>
      <c r="H898" s="79"/>
      <c r="I898" s="80" t="s">
        <v>1137</v>
      </c>
    </row>
    <row r="899" spans="1:9" ht="14.25" x14ac:dyDescent="0.2">
      <c r="A899" s="10">
        <f t="shared" si="40"/>
        <v>1</v>
      </c>
      <c r="B899" s="77" t="s">
        <v>1891</v>
      </c>
      <c r="C899" s="78" t="s">
        <v>69</v>
      </c>
      <c r="D899" s="79">
        <f t="shared" si="37"/>
        <v>2037.75</v>
      </c>
      <c r="E899" s="79">
        <f>1358.5*1.5</f>
        <v>2037.75</v>
      </c>
      <c r="F899" s="79" t="s">
        <v>1131</v>
      </c>
      <c r="G899" s="79" t="s">
        <v>1136</v>
      </c>
      <c r="H899" s="79"/>
      <c r="I899" s="80" t="s">
        <v>1137</v>
      </c>
    </row>
    <row r="900" spans="1:9" ht="14.25" x14ac:dyDescent="0.2">
      <c r="A900" s="10">
        <f t="shared" si="40"/>
        <v>1</v>
      </c>
      <c r="B900" s="77" t="s">
        <v>1892</v>
      </c>
      <c r="C900" s="78" t="s">
        <v>533</v>
      </c>
      <c r="D900" s="79">
        <f>E900*$D$1</f>
        <v>1237.5</v>
      </c>
      <c r="E900" s="79">
        <f>1100*90/80</f>
        <v>1237.5</v>
      </c>
      <c r="F900" s="79" t="s">
        <v>1131</v>
      </c>
      <c r="G900" s="79" t="s">
        <v>1140</v>
      </c>
      <c r="H900" s="79"/>
      <c r="I900" s="80" t="s">
        <v>1134</v>
      </c>
    </row>
    <row r="901" spans="1:9" ht="14.25" x14ac:dyDescent="0.2">
      <c r="A901" s="10">
        <f t="shared" si="40"/>
        <v>1</v>
      </c>
      <c r="B901" s="77" t="s">
        <v>1880</v>
      </c>
      <c r="C901" s="78" t="s">
        <v>69</v>
      </c>
      <c r="D901" s="79">
        <f>E901*$D$1</f>
        <v>600</v>
      </c>
      <c r="E901" s="79">
        <v>600</v>
      </c>
      <c r="F901" s="79" t="s">
        <v>1131</v>
      </c>
      <c r="G901" s="79" t="s">
        <v>1140</v>
      </c>
      <c r="H901" s="79"/>
      <c r="I901" s="80" t="s">
        <v>1134</v>
      </c>
    </row>
    <row r="902" spans="1:9" ht="14.25" x14ac:dyDescent="0.2">
      <c r="A902" s="10">
        <f t="shared" si="40"/>
        <v>1</v>
      </c>
      <c r="B902" s="77" t="s">
        <v>1893</v>
      </c>
      <c r="C902" s="78" t="s">
        <v>533</v>
      </c>
      <c r="D902" s="79">
        <f t="shared" si="37"/>
        <v>2530</v>
      </c>
      <c r="E902" s="79">
        <v>2530</v>
      </c>
      <c r="F902" s="79" t="s">
        <v>1131</v>
      </c>
      <c r="G902" s="79" t="s">
        <v>1140</v>
      </c>
      <c r="H902" s="79"/>
      <c r="I902" s="80" t="s">
        <v>1134</v>
      </c>
    </row>
    <row r="903" spans="1:9" ht="14.25" x14ac:dyDescent="0.2">
      <c r="A903" s="10">
        <f t="shared" si="40"/>
        <v>1</v>
      </c>
      <c r="B903" s="77" t="s">
        <v>1894</v>
      </c>
      <c r="C903" s="78" t="s">
        <v>533</v>
      </c>
      <c r="D903" s="79">
        <f t="shared" si="37"/>
        <v>8681.8666666666668</v>
      </c>
      <c r="E903" s="79">
        <f>9302*(3.2*2.45)/(3.5*2.4)</f>
        <v>8681.8666666666668</v>
      </c>
      <c r="F903" s="79" t="s">
        <v>1131</v>
      </c>
      <c r="G903" s="79" t="s">
        <v>1140</v>
      </c>
      <c r="H903" s="79"/>
      <c r="I903" s="80" t="s">
        <v>1134</v>
      </c>
    </row>
    <row r="904" spans="1:9" ht="14.25" x14ac:dyDescent="0.2">
      <c r="A904" s="10">
        <f t="shared" si="40"/>
        <v>1</v>
      </c>
      <c r="B904" s="77" t="s">
        <v>1895</v>
      </c>
      <c r="C904" s="78" t="s">
        <v>533</v>
      </c>
      <c r="D904" s="79">
        <f t="shared" si="37"/>
        <v>7795.9619047619053</v>
      </c>
      <c r="E904" s="79">
        <f>9302*(3.2*2.2)/(3.5*2.4)</f>
        <v>7795.9619047619053</v>
      </c>
      <c r="F904" s="79" t="s">
        <v>1131</v>
      </c>
      <c r="G904" s="79" t="s">
        <v>1140</v>
      </c>
      <c r="H904" s="79"/>
      <c r="I904" s="80" t="s">
        <v>1134</v>
      </c>
    </row>
    <row r="905" spans="1:9" ht="14.25" x14ac:dyDescent="0.2">
      <c r="A905" s="10">
        <f t="shared" si="40"/>
        <v>1</v>
      </c>
      <c r="B905" s="77" t="s">
        <v>1896</v>
      </c>
      <c r="C905" s="78" t="s">
        <v>533</v>
      </c>
      <c r="D905" s="79">
        <f t="shared" si="37"/>
        <v>2192.6142857142859</v>
      </c>
      <c r="E905" s="79">
        <f>9302*(0.9*2.2)/(3.5*2.4)</f>
        <v>2192.6142857142859</v>
      </c>
      <c r="F905" s="79" t="s">
        <v>1131</v>
      </c>
      <c r="G905" s="79" t="s">
        <v>1140</v>
      </c>
      <c r="H905" s="79"/>
      <c r="I905" s="80" t="s">
        <v>1134</v>
      </c>
    </row>
    <row r="906" spans="1:9" ht="14.25" x14ac:dyDescent="0.2">
      <c r="A906" s="10">
        <f t="shared" si="40"/>
        <v>1</v>
      </c>
      <c r="B906" s="77" t="s">
        <v>1897</v>
      </c>
      <c r="C906" s="78" t="s">
        <v>533</v>
      </c>
      <c r="D906" s="79">
        <f t="shared" si="37"/>
        <v>1860.4</v>
      </c>
      <c r="E906" s="79">
        <f>9302*(1.5*1.12)/(3.5*2.4)</f>
        <v>1860.4</v>
      </c>
      <c r="F906" s="79" t="s">
        <v>1131</v>
      </c>
      <c r="G906" s="79" t="s">
        <v>1140</v>
      </c>
      <c r="H906" s="79"/>
      <c r="I906" s="80" t="s">
        <v>1134</v>
      </c>
    </row>
    <row r="907" spans="1:9" ht="14.25" x14ac:dyDescent="0.2">
      <c r="A907" s="10">
        <f t="shared" si="40"/>
        <v>1</v>
      </c>
      <c r="B907" s="77" t="s">
        <v>1898</v>
      </c>
      <c r="C907" s="78" t="s">
        <v>533</v>
      </c>
      <c r="D907" s="79">
        <f t="shared" si="37"/>
        <v>10453.67619047619</v>
      </c>
      <c r="E907" s="79">
        <f>9302*(3.2*2.95)/(3.5*2.4)</f>
        <v>10453.67619047619</v>
      </c>
      <c r="F907" s="79" t="s">
        <v>1131</v>
      </c>
      <c r="G907" s="79" t="s">
        <v>1140</v>
      </c>
      <c r="H907" s="79"/>
      <c r="I907" s="80" t="s">
        <v>1134</v>
      </c>
    </row>
    <row r="908" spans="1:9" ht="15.75" customHeight="1" x14ac:dyDescent="0.25">
      <c r="A908" s="10">
        <f t="shared" si="40"/>
        <v>1</v>
      </c>
      <c r="B908" s="10" t="s">
        <v>406</v>
      </c>
      <c r="C908" s="11" t="s">
        <v>69</v>
      </c>
      <c r="D908" s="13">
        <f t="shared" si="37"/>
        <v>70</v>
      </c>
      <c r="E908" s="13">
        <v>70</v>
      </c>
      <c r="F908" s="13" t="s">
        <v>1200</v>
      </c>
      <c r="G908" s="13" t="s">
        <v>1200</v>
      </c>
      <c r="H908" s="13"/>
      <c r="I908" s="4" t="s">
        <v>1201</v>
      </c>
    </row>
    <row r="909" spans="1:9" ht="15.75" customHeight="1" x14ac:dyDescent="0.25">
      <c r="A909" s="10">
        <f t="shared" si="40"/>
        <v>1</v>
      </c>
      <c r="B909" s="10" t="s">
        <v>1431</v>
      </c>
      <c r="C909" s="11" t="s">
        <v>69</v>
      </c>
      <c r="D909" s="13">
        <f>E909*$D$1</f>
        <v>70</v>
      </c>
      <c r="E909" s="13">
        <v>70</v>
      </c>
      <c r="F909" s="13" t="s">
        <v>1200</v>
      </c>
      <c r="G909" s="13" t="s">
        <v>1200</v>
      </c>
      <c r="H909" s="13"/>
      <c r="I909" s="4" t="s">
        <v>1201</v>
      </c>
    </row>
    <row r="910" spans="1:9" ht="15.75" customHeight="1" x14ac:dyDescent="0.25">
      <c r="A910" s="10">
        <f t="shared" si="40"/>
        <v>1</v>
      </c>
      <c r="B910" s="10" t="s">
        <v>228</v>
      </c>
      <c r="C910" s="11" t="s">
        <v>196</v>
      </c>
      <c r="D910" s="13">
        <f t="shared" si="37"/>
        <v>300</v>
      </c>
      <c r="E910" s="13">
        <v>300</v>
      </c>
      <c r="F910" s="13" t="s">
        <v>1200</v>
      </c>
      <c r="G910" s="13" t="s">
        <v>1200</v>
      </c>
      <c r="H910" s="13"/>
      <c r="I910" s="4" t="s">
        <v>1201</v>
      </c>
    </row>
    <row r="911" spans="1:9" ht="15.75" customHeight="1" x14ac:dyDescent="0.25">
      <c r="A911" s="10">
        <f t="shared" si="40"/>
        <v>1</v>
      </c>
      <c r="B911" s="10" t="s">
        <v>158</v>
      </c>
      <c r="C911" s="11" t="s">
        <v>151</v>
      </c>
      <c r="D911" s="13">
        <f t="shared" si="37"/>
        <v>40</v>
      </c>
      <c r="E911" s="13">
        <v>40</v>
      </c>
      <c r="F911" s="13" t="s">
        <v>1200</v>
      </c>
      <c r="G911" s="13" t="s">
        <v>1200</v>
      </c>
      <c r="H911" s="13"/>
      <c r="I911" s="4" t="s">
        <v>1201</v>
      </c>
    </row>
    <row r="912" spans="1:9" ht="15.75" customHeight="1" x14ac:dyDescent="0.25">
      <c r="A912" s="10">
        <f t="shared" si="40"/>
        <v>1</v>
      </c>
      <c r="B912" s="10" t="s">
        <v>308</v>
      </c>
      <c r="C912" s="11" t="s">
        <v>69</v>
      </c>
      <c r="D912" s="13">
        <f t="shared" si="37"/>
        <v>30</v>
      </c>
      <c r="E912" s="13">
        <v>30</v>
      </c>
      <c r="F912" s="13" t="s">
        <v>1200</v>
      </c>
      <c r="G912" s="13" t="s">
        <v>1200</v>
      </c>
      <c r="H912" s="13"/>
      <c r="I912" s="4" t="s">
        <v>1201</v>
      </c>
    </row>
    <row r="913" spans="1:9" ht="15.75" customHeight="1" x14ac:dyDescent="0.25">
      <c r="A913" s="10">
        <f t="shared" ref="A913:A976" si="41">COUNTIFS($B$2:$B$996,B913)</f>
        <v>1</v>
      </c>
      <c r="B913" s="10" t="s">
        <v>77</v>
      </c>
      <c r="C913" s="11" t="s">
        <v>69</v>
      </c>
      <c r="D913" s="13">
        <f t="shared" si="37"/>
        <v>10.5</v>
      </c>
      <c r="E913" s="13">
        <v>10.5</v>
      </c>
      <c r="F913" s="13" t="s">
        <v>1200</v>
      </c>
      <c r="G913" s="13" t="s">
        <v>1200</v>
      </c>
      <c r="H913" s="13"/>
      <c r="I913" s="4" t="s">
        <v>1201</v>
      </c>
    </row>
    <row r="914" spans="1:9" ht="15.75" customHeight="1" x14ac:dyDescent="0.25">
      <c r="A914" s="10">
        <f t="shared" si="41"/>
        <v>1</v>
      </c>
      <c r="B914" s="10" t="s">
        <v>791</v>
      </c>
      <c r="C914" s="11" t="s">
        <v>69</v>
      </c>
      <c r="D914" s="13">
        <f t="shared" si="37"/>
        <v>15</v>
      </c>
      <c r="E914" s="13">
        <v>15</v>
      </c>
      <c r="F914" s="13" t="s">
        <v>1200</v>
      </c>
      <c r="G914" s="13" t="s">
        <v>1200</v>
      </c>
      <c r="H914" s="13"/>
      <c r="I914" s="4" t="s">
        <v>1201</v>
      </c>
    </row>
    <row r="915" spans="1:9" ht="15.75" customHeight="1" x14ac:dyDescent="0.25">
      <c r="A915" s="10">
        <f t="shared" si="41"/>
        <v>1</v>
      </c>
      <c r="B915" s="10" t="s">
        <v>788</v>
      </c>
      <c r="C915" s="11" t="s">
        <v>69</v>
      </c>
      <c r="D915" s="13">
        <f t="shared" si="37"/>
        <v>30</v>
      </c>
      <c r="E915" s="13">
        <v>30</v>
      </c>
      <c r="F915" s="13" t="s">
        <v>1200</v>
      </c>
      <c r="G915" s="13" t="s">
        <v>1200</v>
      </c>
      <c r="H915" s="13"/>
      <c r="I915" s="4" t="s">
        <v>1201</v>
      </c>
    </row>
    <row r="916" spans="1:9" ht="15.75" customHeight="1" x14ac:dyDescent="0.25">
      <c r="A916" s="10">
        <f t="shared" si="41"/>
        <v>1</v>
      </c>
      <c r="B916" s="10" t="s">
        <v>89</v>
      </c>
      <c r="C916" s="11" t="s">
        <v>69</v>
      </c>
      <c r="D916" s="13">
        <f t="shared" si="37"/>
        <v>50</v>
      </c>
      <c r="E916" s="13">
        <v>50</v>
      </c>
      <c r="F916" s="13" t="s">
        <v>1200</v>
      </c>
      <c r="G916" s="13" t="s">
        <v>1200</v>
      </c>
      <c r="H916" s="13"/>
      <c r="I916" s="4" t="s">
        <v>1201</v>
      </c>
    </row>
    <row r="917" spans="1:9" ht="15.75" customHeight="1" x14ac:dyDescent="0.25">
      <c r="A917" s="10">
        <f t="shared" si="41"/>
        <v>1</v>
      </c>
      <c r="B917" s="10" t="s">
        <v>1073</v>
      </c>
      <c r="C917" s="11" t="s">
        <v>69</v>
      </c>
      <c r="D917" s="13">
        <f t="shared" si="37"/>
        <v>50</v>
      </c>
      <c r="E917" s="13">
        <v>50</v>
      </c>
      <c r="F917" s="13" t="s">
        <v>1200</v>
      </c>
      <c r="G917" s="13" t="s">
        <v>1200</v>
      </c>
      <c r="H917" s="13"/>
      <c r="I917" s="4" t="s">
        <v>1201</v>
      </c>
    </row>
    <row r="918" spans="1:9" ht="15.75" customHeight="1" x14ac:dyDescent="0.25">
      <c r="A918" s="10">
        <f t="shared" si="41"/>
        <v>1</v>
      </c>
      <c r="B918" s="10" t="s">
        <v>844</v>
      </c>
      <c r="C918" s="11" t="s">
        <v>533</v>
      </c>
      <c r="D918" s="13">
        <f t="shared" si="37"/>
        <v>300</v>
      </c>
      <c r="E918" s="13">
        <v>300</v>
      </c>
      <c r="F918" s="13" t="s">
        <v>1200</v>
      </c>
      <c r="G918" s="13" t="s">
        <v>1200</v>
      </c>
      <c r="H918" s="13"/>
      <c r="I918" s="4" t="s">
        <v>1201</v>
      </c>
    </row>
    <row r="919" spans="1:9" ht="15.75" customHeight="1" x14ac:dyDescent="0.25">
      <c r="A919" s="10">
        <f t="shared" si="41"/>
        <v>1</v>
      </c>
      <c r="B919" s="10" t="s">
        <v>907</v>
      </c>
      <c r="C919" s="11" t="s">
        <v>1145</v>
      </c>
      <c r="D919" s="13">
        <f t="shared" si="37"/>
        <v>34.719444444444441</v>
      </c>
      <c r="E919" s="13">
        <v>34.719444444444441</v>
      </c>
      <c r="F919" s="13" t="s">
        <v>1095</v>
      </c>
      <c r="G919" s="13" t="s">
        <v>1095</v>
      </c>
      <c r="H919" s="13"/>
      <c r="I919" s="4" t="s">
        <v>1095</v>
      </c>
    </row>
    <row r="920" spans="1:9" ht="15.75" customHeight="1" x14ac:dyDescent="0.25">
      <c r="A920" s="10">
        <f t="shared" si="41"/>
        <v>1</v>
      </c>
      <c r="B920" s="10" t="s">
        <v>909</v>
      </c>
      <c r="C920" s="11" t="s">
        <v>1145</v>
      </c>
      <c r="D920" s="13">
        <f t="shared" si="37"/>
        <v>49.972222222222221</v>
      </c>
      <c r="E920" s="13">
        <v>49.972222222222221</v>
      </c>
      <c r="F920" s="13" t="s">
        <v>1095</v>
      </c>
      <c r="G920" s="13" t="s">
        <v>1095</v>
      </c>
      <c r="H920" s="13"/>
      <c r="I920" s="4" t="s">
        <v>1095</v>
      </c>
    </row>
    <row r="921" spans="1:9" ht="15.75" customHeight="1" x14ac:dyDescent="0.25">
      <c r="A921" s="10">
        <f t="shared" si="41"/>
        <v>1</v>
      </c>
      <c r="B921" s="10" t="s">
        <v>767</v>
      </c>
      <c r="C921" s="11" t="s">
        <v>1145</v>
      </c>
      <c r="D921" s="13">
        <f t="shared" si="37"/>
        <v>6.47</v>
      </c>
      <c r="E921" s="13">
        <v>6.47</v>
      </c>
      <c r="F921" s="13" t="s">
        <v>1095</v>
      </c>
      <c r="G921" s="13" t="s">
        <v>1095</v>
      </c>
      <c r="H921" s="13"/>
      <c r="I921" s="4" t="s">
        <v>1095</v>
      </c>
    </row>
    <row r="922" spans="1:9" ht="15.75" customHeight="1" x14ac:dyDescent="0.25">
      <c r="A922" s="10">
        <f t="shared" si="41"/>
        <v>1</v>
      </c>
      <c r="B922" s="10" t="s">
        <v>1204</v>
      </c>
      <c r="C922" s="11" t="s">
        <v>205</v>
      </c>
      <c r="D922" s="13">
        <f t="shared" si="37"/>
        <v>12.78</v>
      </c>
      <c r="E922" s="13">
        <v>12.78</v>
      </c>
      <c r="F922" s="13" t="s">
        <v>1095</v>
      </c>
      <c r="G922" s="13" t="s">
        <v>1095</v>
      </c>
      <c r="H922" s="13"/>
      <c r="I922" s="4" t="s">
        <v>1095</v>
      </c>
    </row>
    <row r="923" spans="1:9" ht="14.25" x14ac:dyDescent="0.2">
      <c r="A923" s="10">
        <f t="shared" si="41"/>
        <v>2</v>
      </c>
      <c r="B923" s="77" t="s">
        <v>1076</v>
      </c>
      <c r="C923" s="78" t="s">
        <v>1145</v>
      </c>
      <c r="D923" s="79">
        <f t="shared" si="37"/>
        <v>40.25</v>
      </c>
      <c r="E923" s="79">
        <v>40.25</v>
      </c>
      <c r="F923" s="79" t="s">
        <v>1095</v>
      </c>
      <c r="G923" s="79" t="s">
        <v>1095</v>
      </c>
      <c r="H923" s="79"/>
      <c r="I923" s="80" t="s">
        <v>1095</v>
      </c>
    </row>
    <row r="924" spans="1:9" ht="14.25" x14ac:dyDescent="0.2">
      <c r="A924" s="10">
        <f t="shared" si="41"/>
        <v>1</v>
      </c>
      <c r="B924" s="77" t="s">
        <v>1077</v>
      </c>
      <c r="C924" s="78" t="s">
        <v>205</v>
      </c>
      <c r="D924" s="79">
        <f t="shared" si="37"/>
        <v>23.2</v>
      </c>
      <c r="E924" s="79">
        <v>23.2</v>
      </c>
      <c r="F924" s="79" t="s">
        <v>1095</v>
      </c>
      <c r="G924" s="79" t="s">
        <v>1095</v>
      </c>
      <c r="H924" s="79"/>
      <c r="I924" s="80" t="s">
        <v>1095</v>
      </c>
    </row>
    <row r="925" spans="1:9" ht="14.25" x14ac:dyDescent="0.2">
      <c r="A925" s="10">
        <f t="shared" si="41"/>
        <v>1</v>
      </c>
      <c r="B925" s="77" t="s">
        <v>101</v>
      </c>
      <c r="C925" s="78" t="s">
        <v>205</v>
      </c>
      <c r="D925" s="79">
        <f t="shared" si="37"/>
        <v>10</v>
      </c>
      <c r="E925" s="79">
        <v>10</v>
      </c>
      <c r="F925" s="79" t="s">
        <v>1095</v>
      </c>
      <c r="G925" s="79" t="s">
        <v>1095</v>
      </c>
      <c r="H925" s="79"/>
      <c r="I925" s="80" t="s">
        <v>1095</v>
      </c>
    </row>
    <row r="926" spans="1:9" ht="14.25" x14ac:dyDescent="0.2">
      <c r="A926" s="10">
        <f t="shared" si="41"/>
        <v>1</v>
      </c>
      <c r="B926" s="77" t="s">
        <v>100</v>
      </c>
      <c r="C926" s="78" t="s">
        <v>1145</v>
      </c>
      <c r="D926" s="79">
        <f t="shared" si="37"/>
        <v>8.5</v>
      </c>
      <c r="E926" s="79">
        <v>8.5</v>
      </c>
      <c r="F926" s="79" t="s">
        <v>1095</v>
      </c>
      <c r="G926" s="79" t="s">
        <v>1095</v>
      </c>
      <c r="H926" s="79"/>
      <c r="I926" s="80" t="s">
        <v>1095</v>
      </c>
    </row>
    <row r="927" spans="1:9" ht="15.75" customHeight="1" x14ac:dyDescent="0.25">
      <c r="A927" s="10">
        <f t="shared" si="41"/>
        <v>1</v>
      </c>
      <c r="B927" s="10" t="s">
        <v>758</v>
      </c>
      <c r="C927" s="11" t="s">
        <v>1145</v>
      </c>
      <c r="D927" s="13">
        <f t="shared" si="37"/>
        <v>43.027777777777779</v>
      </c>
      <c r="E927" s="13">
        <v>43.027777777777779</v>
      </c>
      <c r="F927" s="13" t="s">
        <v>1095</v>
      </c>
      <c r="G927" s="13" t="s">
        <v>1095</v>
      </c>
      <c r="H927" s="13"/>
      <c r="I927" s="4" t="s">
        <v>1095</v>
      </c>
    </row>
    <row r="928" spans="1:9" ht="15.75" customHeight="1" x14ac:dyDescent="0.25">
      <c r="A928" s="10">
        <f t="shared" si="41"/>
        <v>1</v>
      </c>
      <c r="B928" s="10" t="s">
        <v>755</v>
      </c>
      <c r="C928" s="11" t="s">
        <v>1145</v>
      </c>
      <c r="D928" s="13">
        <f t="shared" si="37"/>
        <v>21.99</v>
      </c>
      <c r="E928" s="13">
        <v>21.99</v>
      </c>
      <c r="F928" s="13" t="s">
        <v>1095</v>
      </c>
      <c r="G928" s="13" t="s">
        <v>1095</v>
      </c>
      <c r="H928" s="13"/>
      <c r="I928" s="4" t="s">
        <v>1095</v>
      </c>
    </row>
    <row r="929" spans="1:9" ht="15.75" customHeight="1" x14ac:dyDescent="0.25">
      <c r="A929" s="10">
        <f t="shared" si="41"/>
        <v>1</v>
      </c>
      <c r="B929" s="10" t="s">
        <v>748</v>
      </c>
      <c r="C929" s="11" t="s">
        <v>1145</v>
      </c>
      <c r="D929" s="13">
        <f t="shared" si="37"/>
        <v>50.12</v>
      </c>
      <c r="E929" s="13">
        <v>50.12</v>
      </c>
      <c r="F929" s="13" t="s">
        <v>1095</v>
      </c>
      <c r="G929" s="13" t="s">
        <v>1095</v>
      </c>
      <c r="H929" s="13"/>
      <c r="I929" s="4" t="s">
        <v>1095</v>
      </c>
    </row>
    <row r="930" spans="1:9" ht="15.75" customHeight="1" x14ac:dyDescent="0.25">
      <c r="A930" s="10">
        <f t="shared" si="41"/>
        <v>1</v>
      </c>
      <c r="B930" s="10" t="s">
        <v>750</v>
      </c>
      <c r="C930" s="11" t="s">
        <v>1145</v>
      </c>
      <c r="D930" s="13">
        <f t="shared" si="37"/>
        <v>137.24</v>
      </c>
      <c r="E930" s="13">
        <v>137.24</v>
      </c>
      <c r="F930" s="13" t="s">
        <v>1095</v>
      </c>
      <c r="G930" s="13" t="s">
        <v>1095</v>
      </c>
      <c r="H930" s="13"/>
      <c r="I930" s="4" t="s">
        <v>1095</v>
      </c>
    </row>
    <row r="931" spans="1:9" ht="15.75" customHeight="1" x14ac:dyDescent="0.25">
      <c r="A931" s="10">
        <f t="shared" si="41"/>
        <v>1</v>
      </c>
      <c r="B931" s="10" t="s">
        <v>764</v>
      </c>
      <c r="C931" s="11" t="s">
        <v>205</v>
      </c>
      <c r="D931" s="13">
        <f t="shared" si="37"/>
        <v>4.8</v>
      </c>
      <c r="E931" s="13">
        <f>120/25</f>
        <v>4.8</v>
      </c>
      <c r="F931" s="13" t="s">
        <v>1095</v>
      </c>
      <c r="G931" s="13" t="s">
        <v>1095</v>
      </c>
      <c r="H931" s="13"/>
      <c r="I931" s="4" t="s">
        <v>1095</v>
      </c>
    </row>
    <row r="932" spans="1:9" ht="15.75" customHeight="1" x14ac:dyDescent="0.25">
      <c r="A932" s="10">
        <f t="shared" si="41"/>
        <v>1</v>
      </c>
      <c r="B932" s="10" t="s">
        <v>537</v>
      </c>
      <c r="C932" s="11" t="s">
        <v>196</v>
      </c>
      <c r="D932" s="13">
        <f t="shared" si="37"/>
        <v>17.329999999999998</v>
      </c>
      <c r="E932" s="13">
        <v>17.329999999999998</v>
      </c>
      <c r="F932" s="13" t="s">
        <v>1095</v>
      </c>
      <c r="G932" s="13" t="s">
        <v>1095</v>
      </c>
      <c r="H932" s="13"/>
      <c r="I932" s="4" t="s">
        <v>1095</v>
      </c>
    </row>
    <row r="933" spans="1:9" ht="15.75" customHeight="1" x14ac:dyDescent="0.25">
      <c r="A933" s="10">
        <f t="shared" si="41"/>
        <v>1</v>
      </c>
      <c r="B933" s="10" t="s">
        <v>768</v>
      </c>
      <c r="C933" s="11" t="s">
        <v>205</v>
      </c>
      <c r="D933" s="13">
        <f t="shared" si="37"/>
        <v>9.0909090909090917</v>
      </c>
      <c r="E933" s="13">
        <f>200/22</f>
        <v>9.0909090909090917</v>
      </c>
      <c r="F933" s="13" t="s">
        <v>1095</v>
      </c>
      <c r="G933" s="13" t="s">
        <v>1095</v>
      </c>
      <c r="H933" s="13"/>
      <c r="I933" s="4" t="s">
        <v>1095</v>
      </c>
    </row>
    <row r="934" spans="1:9" ht="15.75" customHeight="1" x14ac:dyDescent="0.25">
      <c r="A934" s="10">
        <f t="shared" si="41"/>
        <v>1</v>
      </c>
      <c r="B934" s="10" t="s">
        <v>905</v>
      </c>
      <c r="C934" s="11" t="s">
        <v>1145</v>
      </c>
      <c r="D934" s="13">
        <f t="shared" si="37"/>
        <v>40.625</v>
      </c>
      <c r="E934" s="13">
        <v>40.625</v>
      </c>
      <c r="F934" s="13" t="s">
        <v>1095</v>
      </c>
      <c r="G934" s="13" t="s">
        <v>1095</v>
      </c>
      <c r="H934" s="13"/>
      <c r="I934" s="4" t="s">
        <v>1095</v>
      </c>
    </row>
    <row r="935" spans="1:9" ht="15.75" customHeight="1" x14ac:dyDescent="0.25">
      <c r="A935" s="10">
        <f t="shared" si="41"/>
        <v>1</v>
      </c>
      <c r="B935" s="10" t="s">
        <v>765</v>
      </c>
      <c r="C935" s="11" t="s">
        <v>1145</v>
      </c>
      <c r="D935" s="13">
        <f t="shared" si="37"/>
        <v>10.555555555555555</v>
      </c>
      <c r="E935" s="13">
        <f>190/18</f>
        <v>10.555555555555555</v>
      </c>
      <c r="F935" s="13" t="s">
        <v>1095</v>
      </c>
      <c r="G935" s="13" t="s">
        <v>1095</v>
      </c>
      <c r="H935" s="13"/>
      <c r="I935" s="4" t="s">
        <v>1095</v>
      </c>
    </row>
    <row r="936" spans="1:9" ht="15.75" customHeight="1" x14ac:dyDescent="0.25">
      <c r="A936" s="10">
        <f t="shared" si="41"/>
        <v>1</v>
      </c>
      <c r="B936" s="10" t="s">
        <v>1205</v>
      </c>
      <c r="C936" s="11" t="s">
        <v>1145</v>
      </c>
      <c r="D936" s="13">
        <f t="shared" si="37"/>
        <v>25.26</v>
      </c>
      <c r="E936" s="13">
        <v>25.26</v>
      </c>
      <c r="F936" s="13" t="s">
        <v>1095</v>
      </c>
      <c r="G936" s="13" t="s">
        <v>1095</v>
      </c>
      <c r="H936" s="13"/>
      <c r="I936" s="4" t="s">
        <v>1095</v>
      </c>
    </row>
    <row r="937" spans="1:9" ht="15.75" customHeight="1" x14ac:dyDescent="0.25">
      <c r="A937" s="10">
        <f t="shared" si="41"/>
        <v>1</v>
      </c>
      <c r="B937" s="10" t="s">
        <v>1206</v>
      </c>
      <c r="C937" s="11" t="s">
        <v>1145</v>
      </c>
      <c r="D937" s="13">
        <f t="shared" si="37"/>
        <v>231.57142857142901</v>
      </c>
      <c r="E937" s="13">
        <v>231.57142857142901</v>
      </c>
      <c r="F937" s="13" t="s">
        <v>1095</v>
      </c>
      <c r="G937" s="13" t="s">
        <v>1095</v>
      </c>
      <c r="H937" s="13"/>
      <c r="I937" s="4" t="s">
        <v>1095</v>
      </c>
    </row>
    <row r="938" spans="1:9" ht="15.75" customHeight="1" x14ac:dyDescent="0.25">
      <c r="A938" s="10">
        <f t="shared" si="41"/>
        <v>1</v>
      </c>
      <c r="B938" s="10" t="s">
        <v>1566</v>
      </c>
      <c r="C938" s="11" t="s">
        <v>205</v>
      </c>
      <c r="D938" s="13">
        <f>E938*$D$1</f>
        <v>74.88000000000001</v>
      </c>
      <c r="E938" s="13">
        <f>E939*1.3</f>
        <v>74.88000000000001</v>
      </c>
      <c r="F938" s="13" t="s">
        <v>1095</v>
      </c>
      <c r="G938" s="13" t="s">
        <v>1095</v>
      </c>
      <c r="H938" s="13"/>
      <c r="I938" s="4" t="s">
        <v>1095</v>
      </c>
    </row>
    <row r="939" spans="1:9" ht="15.75" customHeight="1" x14ac:dyDescent="0.25">
      <c r="A939" s="10">
        <f t="shared" si="41"/>
        <v>1</v>
      </c>
      <c r="B939" s="10" t="s">
        <v>1207</v>
      </c>
      <c r="C939" s="11" t="s">
        <v>205</v>
      </c>
      <c r="D939" s="13">
        <f t="shared" si="37"/>
        <v>57.6</v>
      </c>
      <c r="E939" s="13">
        <v>57.6</v>
      </c>
      <c r="F939" s="13" t="s">
        <v>1095</v>
      </c>
      <c r="G939" s="13" t="s">
        <v>1095</v>
      </c>
      <c r="H939" s="13"/>
      <c r="I939" s="4" t="s">
        <v>1095</v>
      </c>
    </row>
    <row r="940" spans="1:9" ht="15.75" customHeight="1" x14ac:dyDescent="0.25">
      <c r="A940" s="10">
        <f t="shared" si="41"/>
        <v>1</v>
      </c>
      <c r="B940" s="10" t="s">
        <v>1549</v>
      </c>
      <c r="C940" s="11" t="s">
        <v>1145</v>
      </c>
      <c r="D940" s="13">
        <f>E940*$D$1</f>
        <v>27.777777777777779</v>
      </c>
      <c r="E940" s="13">
        <f>500/18</f>
        <v>27.777777777777779</v>
      </c>
      <c r="F940" s="13" t="s">
        <v>1095</v>
      </c>
      <c r="G940" s="13" t="s">
        <v>1095</v>
      </c>
      <c r="H940" s="13"/>
      <c r="I940" s="4" t="s">
        <v>1095</v>
      </c>
    </row>
    <row r="941" spans="1:9" ht="15.75" customHeight="1" x14ac:dyDescent="0.25">
      <c r="A941" s="10">
        <f t="shared" si="41"/>
        <v>1</v>
      </c>
      <c r="B941" s="10" t="s">
        <v>1548</v>
      </c>
      <c r="C941" s="11" t="s">
        <v>1145</v>
      </c>
      <c r="D941" s="13">
        <f>E941*$D$1</f>
        <v>36.166666666666664</v>
      </c>
      <c r="E941" s="13">
        <f>651/18</f>
        <v>36.166666666666664</v>
      </c>
      <c r="F941" s="13" t="s">
        <v>1095</v>
      </c>
      <c r="G941" s="13" t="s">
        <v>1095</v>
      </c>
      <c r="H941" s="13"/>
      <c r="I941" s="4" t="s">
        <v>1095</v>
      </c>
    </row>
    <row r="942" spans="1:9" ht="15.75" customHeight="1" x14ac:dyDescent="0.25">
      <c r="A942" s="10">
        <f t="shared" si="41"/>
        <v>1</v>
      </c>
      <c r="B942" s="10" t="s">
        <v>1547</v>
      </c>
      <c r="C942" s="11" t="s">
        <v>1145</v>
      </c>
      <c r="D942" s="13">
        <f>E942*$D$1</f>
        <v>54.375</v>
      </c>
      <c r="E942" s="13">
        <f>870/16</f>
        <v>54.375</v>
      </c>
      <c r="F942" s="13" t="s">
        <v>1095</v>
      </c>
      <c r="G942" s="13" t="s">
        <v>1095</v>
      </c>
      <c r="H942" s="13"/>
      <c r="I942" s="4" t="s">
        <v>1095</v>
      </c>
    </row>
    <row r="943" spans="1:9" ht="15.75" customHeight="1" x14ac:dyDescent="0.25">
      <c r="A943" s="10">
        <f t="shared" si="41"/>
        <v>1</v>
      </c>
      <c r="B943" s="10" t="s">
        <v>1546</v>
      </c>
      <c r="C943" s="11" t="s">
        <v>1145</v>
      </c>
      <c r="D943" s="13">
        <f>E943*$D$1</f>
        <v>36.111111111111114</v>
      </c>
      <c r="E943" s="13">
        <v>36.111111111111114</v>
      </c>
      <c r="F943" s="13" t="s">
        <v>1095</v>
      </c>
      <c r="G943" s="13" t="s">
        <v>1095</v>
      </c>
      <c r="H943" s="13"/>
      <c r="I943" s="4" t="s">
        <v>1095</v>
      </c>
    </row>
    <row r="944" spans="1:9" ht="15.75" customHeight="1" x14ac:dyDescent="0.25">
      <c r="A944" s="10">
        <f t="shared" si="41"/>
        <v>1</v>
      </c>
      <c r="B944" s="10" t="s">
        <v>1545</v>
      </c>
      <c r="C944" s="11" t="s">
        <v>1145</v>
      </c>
      <c r="D944" s="13">
        <f>E944*$D$1</f>
        <v>37.875</v>
      </c>
      <c r="E944" s="13">
        <f>606/16</f>
        <v>37.875</v>
      </c>
      <c r="F944" s="13" t="s">
        <v>1095</v>
      </c>
      <c r="G944" s="13" t="s">
        <v>1095</v>
      </c>
      <c r="H944" s="13"/>
      <c r="I944" s="4" t="s">
        <v>1095</v>
      </c>
    </row>
    <row r="945" spans="1:9" ht="15.75" customHeight="1" x14ac:dyDescent="0.25">
      <c r="A945" s="10">
        <f t="shared" si="41"/>
        <v>1</v>
      </c>
      <c r="B945" s="10" t="s">
        <v>916</v>
      </c>
      <c r="C945" s="11" t="s">
        <v>1145</v>
      </c>
      <c r="D945" s="13">
        <f t="shared" si="37"/>
        <v>36.111111111111114</v>
      </c>
      <c r="E945" s="13">
        <v>36.111111111111114</v>
      </c>
      <c r="F945" s="13" t="s">
        <v>1095</v>
      </c>
      <c r="G945" s="13" t="s">
        <v>1095</v>
      </c>
      <c r="H945" s="13"/>
      <c r="I945" s="4" t="s">
        <v>1095</v>
      </c>
    </row>
    <row r="946" spans="1:9" ht="15.75" customHeight="1" x14ac:dyDescent="0.25">
      <c r="A946" s="10">
        <f t="shared" si="41"/>
        <v>1</v>
      </c>
      <c r="B946" s="10" t="s">
        <v>918</v>
      </c>
      <c r="C946" s="11" t="s">
        <v>1145</v>
      </c>
      <c r="D946" s="13">
        <f t="shared" si="37"/>
        <v>22.049999999999997</v>
      </c>
      <c r="E946" s="13">
        <v>22.049999999999997</v>
      </c>
      <c r="F946" s="13" t="s">
        <v>1095</v>
      </c>
      <c r="G946" s="13" t="s">
        <v>1095</v>
      </c>
      <c r="H946" s="13"/>
      <c r="I946" s="4" t="s">
        <v>1095</v>
      </c>
    </row>
    <row r="947" spans="1:9" ht="15.75" customHeight="1" x14ac:dyDescent="0.25">
      <c r="A947" s="10">
        <f t="shared" si="41"/>
        <v>1</v>
      </c>
      <c r="B947" s="10" t="s">
        <v>1208</v>
      </c>
      <c r="C947" s="11" t="s">
        <v>1145</v>
      </c>
      <c r="D947" s="13">
        <f t="shared" si="37"/>
        <v>32.233125000000001</v>
      </c>
      <c r="E947" s="13">
        <v>32.233125000000001</v>
      </c>
      <c r="F947" s="13" t="s">
        <v>1095</v>
      </c>
      <c r="G947" s="13" t="s">
        <v>1095</v>
      </c>
      <c r="H947" s="13"/>
      <c r="I947" s="4" t="s">
        <v>1095</v>
      </c>
    </row>
    <row r="948" spans="1:9" ht="15.75" customHeight="1" x14ac:dyDescent="0.25">
      <c r="A948" s="10">
        <f t="shared" si="41"/>
        <v>1</v>
      </c>
      <c r="B948" s="10" t="s">
        <v>1209</v>
      </c>
      <c r="C948" s="11" t="s">
        <v>1145</v>
      </c>
      <c r="D948" s="13">
        <f t="shared" si="37"/>
        <v>58.89875</v>
      </c>
      <c r="E948" s="13">
        <v>58.89875</v>
      </c>
      <c r="F948" s="13" t="s">
        <v>1095</v>
      </c>
      <c r="G948" s="13" t="s">
        <v>1095</v>
      </c>
      <c r="H948" s="13"/>
      <c r="I948" s="4" t="s">
        <v>1095</v>
      </c>
    </row>
    <row r="949" spans="1:9" ht="15.75" customHeight="1" x14ac:dyDescent="0.25">
      <c r="A949" s="10">
        <f t="shared" si="41"/>
        <v>1</v>
      </c>
      <c r="B949" s="10" t="s">
        <v>1210</v>
      </c>
      <c r="C949" s="11" t="s">
        <v>1145</v>
      </c>
      <c r="D949" s="13">
        <f t="shared" si="37"/>
        <v>70.478124999999991</v>
      </c>
      <c r="E949" s="13">
        <v>70.478124999999991</v>
      </c>
      <c r="F949" s="13" t="s">
        <v>1095</v>
      </c>
      <c r="G949" s="13" t="s">
        <v>1095</v>
      </c>
      <c r="H949" s="13"/>
      <c r="I949" s="4" t="s">
        <v>1095</v>
      </c>
    </row>
    <row r="950" spans="1:9" ht="15.75" customHeight="1" x14ac:dyDescent="0.25">
      <c r="A950" s="10">
        <f t="shared" si="41"/>
        <v>1</v>
      </c>
      <c r="B950" s="10" t="s">
        <v>1211</v>
      </c>
      <c r="C950" s="11" t="s">
        <v>1145</v>
      </c>
      <c r="D950" s="13">
        <f t="shared" si="37"/>
        <v>72.084374999999994</v>
      </c>
      <c r="E950" s="13">
        <v>72.084374999999994</v>
      </c>
      <c r="F950" s="13" t="s">
        <v>1095</v>
      </c>
      <c r="G950" s="13" t="s">
        <v>1095</v>
      </c>
      <c r="H950" s="13"/>
      <c r="I950" s="4" t="s">
        <v>1095</v>
      </c>
    </row>
    <row r="951" spans="1:9" ht="15.75" customHeight="1" x14ac:dyDescent="0.25">
      <c r="A951" s="10">
        <f t="shared" si="41"/>
        <v>1</v>
      </c>
      <c r="B951" s="10" t="s">
        <v>1212</v>
      </c>
      <c r="C951" s="11" t="s">
        <v>1145</v>
      </c>
      <c r="D951" s="13">
        <f t="shared" si="37"/>
        <v>25.833333333333332</v>
      </c>
      <c r="E951" s="13">
        <v>25.833333333333332</v>
      </c>
      <c r="F951" s="13" t="s">
        <v>1095</v>
      </c>
      <c r="G951" s="13" t="s">
        <v>1095</v>
      </c>
      <c r="H951" s="13"/>
      <c r="I951" s="4" t="s">
        <v>1095</v>
      </c>
    </row>
    <row r="952" spans="1:9" ht="15.75" customHeight="1" x14ac:dyDescent="0.25">
      <c r="A952" s="10">
        <f t="shared" si="41"/>
        <v>1</v>
      </c>
      <c r="B952" s="10" t="s">
        <v>1213</v>
      </c>
      <c r="C952" s="11" t="s">
        <v>1145</v>
      </c>
      <c r="D952" s="13">
        <f t="shared" si="37"/>
        <v>88.262499999999989</v>
      </c>
      <c r="E952" s="13">
        <v>88.262499999999989</v>
      </c>
      <c r="F952" s="13" t="s">
        <v>1095</v>
      </c>
      <c r="G952" s="13" t="s">
        <v>1095</v>
      </c>
      <c r="H952" s="13"/>
      <c r="I952" s="4" t="s">
        <v>1095</v>
      </c>
    </row>
    <row r="953" spans="1:9" ht="15.75" customHeight="1" x14ac:dyDescent="0.25">
      <c r="A953" s="10">
        <f t="shared" si="41"/>
        <v>1</v>
      </c>
      <c r="B953" s="10" t="s">
        <v>1214</v>
      </c>
      <c r="C953" s="11" t="s">
        <v>1145</v>
      </c>
      <c r="D953" s="13">
        <f t="shared" si="37"/>
        <v>28.833333333333332</v>
      </c>
      <c r="E953" s="13">
        <v>28.833333333333332</v>
      </c>
      <c r="F953" s="13" t="s">
        <v>1095</v>
      </c>
      <c r="G953" s="13" t="s">
        <v>1095</v>
      </c>
      <c r="H953" s="13"/>
      <c r="I953" s="4" t="s">
        <v>1095</v>
      </c>
    </row>
    <row r="954" spans="1:9" ht="15.75" customHeight="1" x14ac:dyDescent="0.25">
      <c r="A954" s="10">
        <f t="shared" si="41"/>
        <v>1</v>
      </c>
      <c r="B954" s="10" t="s">
        <v>864</v>
      </c>
      <c r="C954" s="11" t="s">
        <v>1145</v>
      </c>
      <c r="D954" s="13">
        <f t="shared" si="37"/>
        <v>69.444444444444443</v>
      </c>
      <c r="E954" s="13">
        <f>1250/18</f>
        <v>69.444444444444443</v>
      </c>
      <c r="F954" s="13" t="s">
        <v>1095</v>
      </c>
      <c r="G954" s="13" t="s">
        <v>1095</v>
      </c>
      <c r="H954" s="13"/>
      <c r="I954" s="4" t="s">
        <v>1095</v>
      </c>
    </row>
    <row r="955" spans="1:9" ht="15.75" customHeight="1" x14ac:dyDescent="0.25">
      <c r="A955" s="10">
        <f t="shared" si="41"/>
        <v>1</v>
      </c>
      <c r="B955" s="10" t="s">
        <v>920</v>
      </c>
      <c r="C955" s="11" t="s">
        <v>1145</v>
      </c>
      <c r="D955" s="13">
        <f t="shared" si="37"/>
        <v>62.432499999999997</v>
      </c>
      <c r="E955" s="13">
        <v>62.432499999999997</v>
      </c>
      <c r="F955" s="13" t="s">
        <v>1095</v>
      </c>
      <c r="G955" s="13" t="s">
        <v>1095</v>
      </c>
      <c r="H955" s="13"/>
      <c r="I955" s="4" t="s">
        <v>1095</v>
      </c>
    </row>
    <row r="956" spans="1:9" ht="15.75" customHeight="1" x14ac:dyDescent="0.25">
      <c r="A956" s="10">
        <f t="shared" si="41"/>
        <v>1</v>
      </c>
      <c r="B956" s="10" t="s">
        <v>922</v>
      </c>
      <c r="C956" s="11" t="s">
        <v>1145</v>
      </c>
      <c r="D956" s="13">
        <f t="shared" si="37"/>
        <v>38.277777777777779</v>
      </c>
      <c r="E956" s="13">
        <v>38.277777777777779</v>
      </c>
      <c r="F956" s="13" t="s">
        <v>1095</v>
      </c>
      <c r="G956" s="13" t="s">
        <v>1095</v>
      </c>
      <c r="H956" s="13"/>
      <c r="I956" s="4" t="s">
        <v>1095</v>
      </c>
    </row>
    <row r="957" spans="1:9" ht="15.75" customHeight="1" x14ac:dyDescent="0.25">
      <c r="A957" s="10">
        <f t="shared" si="41"/>
        <v>2</v>
      </c>
      <c r="B957" s="10" t="s">
        <v>851</v>
      </c>
      <c r="C957" s="11" t="s">
        <v>196</v>
      </c>
      <c r="D957" s="13">
        <f>E957*$D$1</f>
        <v>20.7</v>
      </c>
      <c r="E957" s="13">
        <v>20.7</v>
      </c>
      <c r="F957" s="13" t="s">
        <v>1095</v>
      </c>
      <c r="G957" s="13" t="s">
        <v>1095</v>
      </c>
      <c r="H957" s="13" t="s">
        <v>1570</v>
      </c>
      <c r="I957" s="4" t="s">
        <v>1095</v>
      </c>
    </row>
    <row r="958" spans="1:9" ht="15.75" customHeight="1" x14ac:dyDescent="0.25">
      <c r="A958" s="10">
        <f t="shared" si="41"/>
        <v>2</v>
      </c>
      <c r="B958" s="10" t="s">
        <v>851</v>
      </c>
      <c r="C958" s="11" t="s">
        <v>196</v>
      </c>
      <c r="D958" s="13">
        <f t="shared" si="37"/>
        <v>20.7</v>
      </c>
      <c r="E958" s="13">
        <v>20.7</v>
      </c>
      <c r="F958" s="13" t="s">
        <v>1095</v>
      </c>
      <c r="G958" s="13" t="s">
        <v>1095</v>
      </c>
      <c r="H958" s="13" t="s">
        <v>1570</v>
      </c>
      <c r="I958" s="4" t="s">
        <v>1095</v>
      </c>
    </row>
    <row r="959" spans="1:9" ht="15.75" customHeight="1" x14ac:dyDescent="0.25">
      <c r="A959" s="10">
        <f t="shared" si="41"/>
        <v>1</v>
      </c>
      <c r="B959" s="10" t="s">
        <v>102</v>
      </c>
      <c r="C959" s="11" t="s">
        <v>1145</v>
      </c>
      <c r="D959" s="13">
        <f t="shared" si="37"/>
        <v>16</v>
      </c>
      <c r="E959" s="13">
        <v>16</v>
      </c>
      <c r="F959" s="13" t="s">
        <v>1095</v>
      </c>
      <c r="G959" s="13" t="s">
        <v>1095</v>
      </c>
      <c r="H959" s="13"/>
      <c r="I959" s="4" t="s">
        <v>1095</v>
      </c>
    </row>
    <row r="960" spans="1:9" ht="15.75" customHeight="1" x14ac:dyDescent="0.25">
      <c r="A960" s="10">
        <f t="shared" si="41"/>
        <v>1</v>
      </c>
      <c r="B960" s="10" t="s">
        <v>1215</v>
      </c>
      <c r="C960" s="11" t="s">
        <v>205</v>
      </c>
      <c r="D960" s="13">
        <f t="shared" si="37"/>
        <v>6.666666666666667</v>
      </c>
      <c r="E960" s="13">
        <v>6.666666666666667</v>
      </c>
      <c r="F960" s="13" t="s">
        <v>1095</v>
      </c>
      <c r="G960" s="13" t="s">
        <v>1095</v>
      </c>
      <c r="H960" s="13"/>
      <c r="I960" s="4" t="s">
        <v>1095</v>
      </c>
    </row>
    <row r="961" spans="1:9" ht="15.75" customHeight="1" x14ac:dyDescent="0.25">
      <c r="A961" s="10">
        <f t="shared" si="41"/>
        <v>1</v>
      </c>
      <c r="B961" s="10" t="s">
        <v>896</v>
      </c>
      <c r="C961" s="11" t="s">
        <v>205</v>
      </c>
      <c r="D961" s="13">
        <f t="shared" si="37"/>
        <v>140</v>
      </c>
      <c r="E961" s="13">
        <v>140</v>
      </c>
      <c r="F961" s="13" t="s">
        <v>1095</v>
      </c>
      <c r="G961" s="13" t="s">
        <v>1095</v>
      </c>
      <c r="H961" s="13"/>
      <c r="I961" s="4" t="s">
        <v>1095</v>
      </c>
    </row>
    <row r="962" spans="1:9" ht="15.75" customHeight="1" x14ac:dyDescent="0.25">
      <c r="A962" s="10">
        <f t="shared" si="41"/>
        <v>1</v>
      </c>
      <c r="B962" s="10" t="s">
        <v>904</v>
      </c>
      <c r="C962" s="11" t="s">
        <v>205</v>
      </c>
      <c r="D962" s="13">
        <f t="shared" si="37"/>
        <v>8.3960000000000008</v>
      </c>
      <c r="E962" s="13">
        <v>8.3960000000000008</v>
      </c>
      <c r="F962" s="13" t="s">
        <v>1095</v>
      </c>
      <c r="G962" s="13" t="s">
        <v>1095</v>
      </c>
      <c r="H962" s="13"/>
      <c r="I962" s="4" t="s">
        <v>1095</v>
      </c>
    </row>
    <row r="963" spans="1:9" ht="15.75" customHeight="1" x14ac:dyDescent="0.25">
      <c r="A963" s="10">
        <f t="shared" si="41"/>
        <v>1</v>
      </c>
      <c r="B963" s="10" t="s">
        <v>902</v>
      </c>
      <c r="C963" s="11" t="s">
        <v>205</v>
      </c>
      <c r="D963" s="13">
        <f t="shared" si="37"/>
        <v>21.19047619047619</v>
      </c>
      <c r="E963" s="13">
        <v>21.19047619047619</v>
      </c>
      <c r="F963" s="13" t="s">
        <v>1095</v>
      </c>
      <c r="G963" s="13" t="s">
        <v>1095</v>
      </c>
      <c r="H963" s="13"/>
      <c r="I963" s="4" t="s">
        <v>1095</v>
      </c>
    </row>
    <row r="964" spans="1:9" ht="15.75" customHeight="1" x14ac:dyDescent="0.25">
      <c r="A964" s="10">
        <f t="shared" si="41"/>
        <v>1</v>
      </c>
      <c r="B964" s="10" t="s">
        <v>900</v>
      </c>
      <c r="C964" s="11" t="s">
        <v>205</v>
      </c>
      <c r="D964" s="13">
        <f>E964*$D$1</f>
        <v>28</v>
      </c>
      <c r="E964" s="13">
        <v>28</v>
      </c>
      <c r="F964" s="13" t="s">
        <v>1095</v>
      </c>
      <c r="G964" s="13" t="s">
        <v>1095</v>
      </c>
      <c r="H964" s="13"/>
      <c r="I964" s="4" t="s">
        <v>1095</v>
      </c>
    </row>
    <row r="965" spans="1:9" ht="15.75" customHeight="1" x14ac:dyDescent="0.25">
      <c r="A965" s="10">
        <f t="shared" si="41"/>
        <v>1</v>
      </c>
      <c r="B965" s="10" t="s">
        <v>2628</v>
      </c>
      <c r="C965" s="11" t="s">
        <v>205</v>
      </c>
      <c r="D965" s="13">
        <f>E965*$D$1</f>
        <v>26.4</v>
      </c>
      <c r="E965" s="13">
        <f>660/25</f>
        <v>26.4</v>
      </c>
      <c r="F965" s="13" t="s">
        <v>1095</v>
      </c>
      <c r="G965" s="13" t="s">
        <v>1095</v>
      </c>
      <c r="H965" s="13"/>
      <c r="I965" s="4" t="s">
        <v>1095</v>
      </c>
    </row>
    <row r="966" spans="1:9" ht="15.75" customHeight="1" x14ac:dyDescent="0.25">
      <c r="A966" s="10">
        <f t="shared" si="41"/>
        <v>1</v>
      </c>
      <c r="B966" s="10" t="s">
        <v>2630</v>
      </c>
      <c r="C966" s="11" t="s">
        <v>205</v>
      </c>
      <c r="D966" s="13">
        <f t="shared" si="37"/>
        <v>44.5</v>
      </c>
      <c r="E966" s="13">
        <v>44.5</v>
      </c>
      <c r="F966" s="13" t="s">
        <v>1095</v>
      </c>
      <c r="G966" s="13" t="s">
        <v>1095</v>
      </c>
      <c r="H966" s="13"/>
      <c r="I966" s="4" t="s">
        <v>1095</v>
      </c>
    </row>
    <row r="967" spans="1:9" ht="15.75" customHeight="1" x14ac:dyDescent="0.25">
      <c r="A967" s="10">
        <f t="shared" si="41"/>
        <v>1</v>
      </c>
      <c r="B967" s="10" t="s">
        <v>110</v>
      </c>
      <c r="C967" s="11" t="s">
        <v>1145</v>
      </c>
      <c r="D967" s="13">
        <f t="shared" si="37"/>
        <v>33.333333333333336</v>
      </c>
      <c r="E967" s="13">
        <f>600/18</f>
        <v>33.333333333333336</v>
      </c>
      <c r="F967" s="13" t="s">
        <v>1095</v>
      </c>
      <c r="G967" s="13" t="s">
        <v>1095</v>
      </c>
      <c r="H967" s="13"/>
      <c r="I967" s="4" t="s">
        <v>1095</v>
      </c>
    </row>
    <row r="968" spans="1:9" ht="15.75" customHeight="1" x14ac:dyDescent="0.25">
      <c r="A968" s="10">
        <f t="shared" si="41"/>
        <v>1</v>
      </c>
      <c r="B968" s="10" t="s">
        <v>1075</v>
      </c>
      <c r="C968" s="11" t="s">
        <v>1145</v>
      </c>
      <c r="D968" s="13">
        <f t="shared" si="37"/>
        <v>35.42</v>
      </c>
      <c r="E968" s="13">
        <v>35.42</v>
      </c>
      <c r="F968" s="13" t="s">
        <v>1095</v>
      </c>
      <c r="G968" s="13" t="s">
        <v>1095</v>
      </c>
      <c r="H968" s="13"/>
      <c r="I968" s="4" t="s">
        <v>1095</v>
      </c>
    </row>
    <row r="969" spans="1:9" ht="15.75" customHeight="1" x14ac:dyDescent="0.25">
      <c r="A969" s="10">
        <f t="shared" si="41"/>
        <v>1</v>
      </c>
      <c r="B969" s="10" t="s">
        <v>762</v>
      </c>
      <c r="C969" s="11" t="s">
        <v>1145</v>
      </c>
      <c r="D969" s="13">
        <f t="shared" si="37"/>
        <v>24.5</v>
      </c>
      <c r="E969" s="13">
        <v>24.5</v>
      </c>
      <c r="F969" s="13" t="s">
        <v>1095</v>
      </c>
      <c r="G969" s="13" t="s">
        <v>1095</v>
      </c>
      <c r="H969" s="13"/>
      <c r="I969" s="4" t="s">
        <v>1095</v>
      </c>
    </row>
    <row r="970" spans="1:9" ht="15.75" customHeight="1" x14ac:dyDescent="0.25">
      <c r="A970" s="10">
        <f t="shared" si="41"/>
        <v>1</v>
      </c>
      <c r="B970" s="10" t="s">
        <v>751</v>
      </c>
      <c r="C970" s="11" t="s">
        <v>1145</v>
      </c>
      <c r="D970" s="13">
        <f t="shared" si="37"/>
        <v>81.944444444444443</v>
      </c>
      <c r="E970" s="13">
        <f>295/3.6</f>
        <v>81.944444444444443</v>
      </c>
      <c r="F970" s="13" t="s">
        <v>1095</v>
      </c>
      <c r="G970" s="13" t="s">
        <v>1095</v>
      </c>
      <c r="H970" s="13"/>
      <c r="I970" s="4" t="s">
        <v>1095</v>
      </c>
    </row>
    <row r="971" spans="1:9" ht="15.75" customHeight="1" x14ac:dyDescent="0.25">
      <c r="A971" s="10">
        <f t="shared" si="41"/>
        <v>1</v>
      </c>
      <c r="B971" s="10" t="s">
        <v>2638</v>
      </c>
      <c r="C971" s="11" t="s">
        <v>69</v>
      </c>
      <c r="D971" s="13">
        <f>E971*$D$1</f>
        <v>80</v>
      </c>
      <c r="E971" s="13">
        <v>80</v>
      </c>
      <c r="F971" s="13" t="s">
        <v>1095</v>
      </c>
      <c r="G971" s="13" t="s">
        <v>1095</v>
      </c>
      <c r="H971" s="13"/>
      <c r="I971" s="4" t="s">
        <v>1095</v>
      </c>
    </row>
    <row r="972" spans="1:9" ht="15.75" customHeight="1" x14ac:dyDescent="0.25">
      <c r="A972" s="10">
        <f t="shared" si="41"/>
        <v>1</v>
      </c>
      <c r="B972" s="10" t="s">
        <v>760</v>
      </c>
      <c r="C972" s="11" t="s">
        <v>1145</v>
      </c>
      <c r="D972" s="13">
        <f t="shared" si="37"/>
        <v>40.25</v>
      </c>
      <c r="E972" s="13">
        <v>40.25</v>
      </c>
      <c r="F972" s="13" t="s">
        <v>1095</v>
      </c>
      <c r="G972" s="13" t="s">
        <v>1095</v>
      </c>
      <c r="H972" s="13"/>
      <c r="I972" s="4" t="s">
        <v>1095</v>
      </c>
    </row>
    <row r="973" spans="1:9" ht="14.25" x14ac:dyDescent="0.2">
      <c r="A973" s="10">
        <f t="shared" si="41"/>
        <v>1</v>
      </c>
      <c r="B973" s="77" t="s">
        <v>1830</v>
      </c>
      <c r="C973" s="78" t="s">
        <v>1145</v>
      </c>
      <c r="D973" s="79">
        <f>E973*$D$1</f>
        <v>20</v>
      </c>
      <c r="E973" s="79">
        <f>360/18</f>
        <v>20</v>
      </c>
      <c r="F973" s="79" t="s">
        <v>1095</v>
      </c>
      <c r="G973" s="79" t="s">
        <v>1095</v>
      </c>
      <c r="H973" s="79"/>
      <c r="I973" s="80" t="s">
        <v>1095</v>
      </c>
    </row>
    <row r="974" spans="1:9" ht="14.25" x14ac:dyDescent="0.2">
      <c r="A974" s="10">
        <f t="shared" si="41"/>
        <v>1</v>
      </c>
      <c r="B974" s="77" t="s">
        <v>1832</v>
      </c>
      <c r="C974" s="78" t="s">
        <v>1145</v>
      </c>
      <c r="D974" s="79">
        <f>E974*$D$1</f>
        <v>19.444444444444443</v>
      </c>
      <c r="E974" s="79">
        <f>350/18</f>
        <v>19.444444444444443</v>
      </c>
      <c r="F974" s="79" t="s">
        <v>1095</v>
      </c>
      <c r="G974" s="79" t="s">
        <v>1095</v>
      </c>
      <c r="H974" s="79"/>
      <c r="I974" s="80" t="s">
        <v>1095</v>
      </c>
    </row>
    <row r="975" spans="1:9" ht="14.25" x14ac:dyDescent="0.2">
      <c r="A975" s="10">
        <f t="shared" si="41"/>
        <v>1</v>
      </c>
      <c r="B975" s="77" t="s">
        <v>2624</v>
      </c>
      <c r="C975" s="78" t="s">
        <v>1145</v>
      </c>
      <c r="D975" s="79">
        <f>E975*$D$1</f>
        <v>45.470624999999998</v>
      </c>
      <c r="E975" s="79">
        <f>727.53/16</f>
        <v>45.470624999999998</v>
      </c>
      <c r="F975" s="79" t="s">
        <v>1095</v>
      </c>
      <c r="G975" s="79" t="s">
        <v>1095</v>
      </c>
      <c r="H975" s="79"/>
      <c r="I975" s="80" t="s">
        <v>1095</v>
      </c>
    </row>
    <row r="976" spans="1:9" ht="14.25" x14ac:dyDescent="0.2">
      <c r="A976" s="10">
        <f t="shared" si="41"/>
        <v>1</v>
      </c>
      <c r="B976" s="77" t="s">
        <v>2625</v>
      </c>
      <c r="C976" s="78" t="s">
        <v>1145</v>
      </c>
      <c r="D976" s="79">
        <f>E976*$D$1</f>
        <v>41.35125</v>
      </c>
      <c r="E976" s="79">
        <f>661.62/16</f>
        <v>41.35125</v>
      </c>
      <c r="F976" s="79" t="s">
        <v>1095</v>
      </c>
      <c r="G976" s="79" t="s">
        <v>1095</v>
      </c>
      <c r="H976" s="79"/>
      <c r="I976" s="80" t="s">
        <v>1095</v>
      </c>
    </row>
    <row r="977" spans="1:9" ht="14.25" x14ac:dyDescent="0.2">
      <c r="A977" s="10">
        <f t="shared" ref="A977:A996" si="42">COUNTIFS($B$2:$B$996,B977)</f>
        <v>1</v>
      </c>
      <c r="B977" s="77" t="s">
        <v>1833</v>
      </c>
      <c r="C977" s="78" t="s">
        <v>1145</v>
      </c>
      <c r="D977" s="79">
        <f t="shared" ref="D977:D996" si="43">E977*$D$1</f>
        <v>34.375</v>
      </c>
      <c r="E977" s="79">
        <f>550/16</f>
        <v>34.375</v>
      </c>
      <c r="F977" s="79" t="s">
        <v>1095</v>
      </c>
      <c r="G977" s="79" t="s">
        <v>1095</v>
      </c>
      <c r="H977" s="79"/>
      <c r="I977" s="80" t="s">
        <v>1095</v>
      </c>
    </row>
    <row r="978" spans="1:9" ht="14.25" x14ac:dyDescent="0.2">
      <c r="A978" s="10">
        <f t="shared" si="42"/>
        <v>1</v>
      </c>
      <c r="B978" s="77" t="s">
        <v>1834</v>
      </c>
      <c r="C978" s="78" t="s">
        <v>1145</v>
      </c>
      <c r="D978" s="79">
        <f t="shared" si="43"/>
        <v>55</v>
      </c>
      <c r="E978" s="79">
        <v>55</v>
      </c>
      <c r="F978" s="79" t="s">
        <v>1095</v>
      </c>
      <c r="G978" s="79" t="s">
        <v>1095</v>
      </c>
      <c r="H978" s="79"/>
      <c r="I978" s="80" t="s">
        <v>1095</v>
      </c>
    </row>
    <row r="979" spans="1:9" ht="14.25" x14ac:dyDescent="0.2">
      <c r="A979" s="10">
        <f t="shared" si="42"/>
        <v>1</v>
      </c>
      <c r="B979" s="77" t="s">
        <v>1835</v>
      </c>
      <c r="C979" s="78" t="s">
        <v>1145</v>
      </c>
      <c r="D979" s="79">
        <f t="shared" si="43"/>
        <v>50</v>
      </c>
      <c r="E979" s="79">
        <v>50</v>
      </c>
      <c r="F979" s="79" t="s">
        <v>1095</v>
      </c>
      <c r="G979" s="79" t="s">
        <v>1095</v>
      </c>
      <c r="H979" s="79"/>
      <c r="I979" s="80" t="s">
        <v>1095</v>
      </c>
    </row>
    <row r="980" spans="1:9" ht="14.25" x14ac:dyDescent="0.2">
      <c r="A980" s="10">
        <f t="shared" si="42"/>
        <v>1</v>
      </c>
      <c r="B980" s="77" t="s">
        <v>1836</v>
      </c>
      <c r="C980" s="78" t="s">
        <v>1145</v>
      </c>
      <c r="D980" s="79">
        <f>E980*$D$1</f>
        <v>66.21875</v>
      </c>
      <c r="E980" s="79">
        <f>211.9/3.2</f>
        <v>66.21875</v>
      </c>
      <c r="F980" s="79" t="s">
        <v>1095</v>
      </c>
      <c r="G980" s="79" t="s">
        <v>1095</v>
      </c>
      <c r="H980" s="79"/>
      <c r="I980" s="80" t="s">
        <v>1095</v>
      </c>
    </row>
    <row r="981" spans="1:9" ht="14.25" x14ac:dyDescent="0.2">
      <c r="A981" s="10">
        <f t="shared" si="42"/>
        <v>1</v>
      </c>
      <c r="B981" s="77" t="s">
        <v>1837</v>
      </c>
      <c r="C981" s="78" t="s">
        <v>1145</v>
      </c>
      <c r="D981" s="79">
        <f>E981*$D$1</f>
        <v>59.65625</v>
      </c>
      <c r="E981" s="79">
        <f>190.9/3.2</f>
        <v>59.65625</v>
      </c>
      <c r="F981" s="79" t="s">
        <v>1095</v>
      </c>
      <c r="G981" s="79" t="s">
        <v>1095</v>
      </c>
      <c r="H981" s="79"/>
      <c r="I981" s="80" t="s">
        <v>1095</v>
      </c>
    </row>
    <row r="982" spans="1:9" ht="14.25" x14ac:dyDescent="0.2">
      <c r="A982" s="10">
        <f t="shared" si="42"/>
        <v>1</v>
      </c>
      <c r="B982" s="77" t="s">
        <v>1838</v>
      </c>
      <c r="C982" s="78" t="s">
        <v>1145</v>
      </c>
      <c r="D982" s="79">
        <f>E982*$D$1</f>
        <v>66.306250000000006</v>
      </c>
      <c r="E982" s="79">
        <f>1060.9/16</f>
        <v>66.306250000000006</v>
      </c>
      <c r="F982" s="79" t="s">
        <v>1095</v>
      </c>
      <c r="G982" s="79" t="s">
        <v>1095</v>
      </c>
      <c r="H982" s="79"/>
      <c r="I982" s="80" t="s">
        <v>1095</v>
      </c>
    </row>
    <row r="983" spans="1:9" ht="14.25" x14ac:dyDescent="0.2">
      <c r="A983" s="10">
        <f t="shared" si="42"/>
        <v>1</v>
      </c>
      <c r="B983" s="77" t="s">
        <v>1839</v>
      </c>
      <c r="C983" s="78" t="s">
        <v>1145</v>
      </c>
      <c r="D983" s="79">
        <f t="shared" si="43"/>
        <v>54.243749999999999</v>
      </c>
      <c r="E983" s="79">
        <f>867.9/16</f>
        <v>54.243749999999999</v>
      </c>
      <c r="F983" s="79" t="s">
        <v>1095</v>
      </c>
      <c r="G983" s="79" t="s">
        <v>1095</v>
      </c>
      <c r="H983" s="79"/>
      <c r="I983" s="80" t="s">
        <v>1095</v>
      </c>
    </row>
    <row r="984" spans="1:9" ht="14.25" x14ac:dyDescent="0.2">
      <c r="A984" s="10">
        <f t="shared" si="42"/>
        <v>1</v>
      </c>
      <c r="B984" s="77" t="s">
        <v>1840</v>
      </c>
      <c r="C984" s="78" t="s">
        <v>1145</v>
      </c>
      <c r="D984" s="79">
        <f>E984*$D$1</f>
        <v>45.618749999999999</v>
      </c>
      <c r="E984" s="79">
        <f>729.9/16</f>
        <v>45.618749999999999</v>
      </c>
      <c r="F984" s="79" t="s">
        <v>1095</v>
      </c>
      <c r="G984" s="79" t="s">
        <v>1095</v>
      </c>
      <c r="H984" s="79"/>
      <c r="I984" s="80" t="s">
        <v>1095</v>
      </c>
    </row>
    <row r="985" spans="1:9" ht="14.25" x14ac:dyDescent="0.2">
      <c r="A985" s="10">
        <f t="shared" si="42"/>
        <v>1</v>
      </c>
      <c r="B985" s="77" t="s">
        <v>1841</v>
      </c>
      <c r="C985" s="78" t="s">
        <v>1145</v>
      </c>
      <c r="D985" s="79">
        <f t="shared" si="43"/>
        <v>55.431249999999999</v>
      </c>
      <c r="E985" s="79">
        <f>886.9/16</f>
        <v>55.431249999999999</v>
      </c>
      <c r="F985" s="79" t="s">
        <v>1095</v>
      </c>
      <c r="G985" s="79" t="s">
        <v>1095</v>
      </c>
      <c r="H985" s="79"/>
      <c r="I985" s="80" t="s">
        <v>1095</v>
      </c>
    </row>
    <row r="986" spans="1:9" ht="14.25" x14ac:dyDescent="0.2">
      <c r="A986" s="10">
        <f t="shared" si="42"/>
        <v>1</v>
      </c>
      <c r="B986" s="77" t="s">
        <v>1842</v>
      </c>
      <c r="C986" s="78" t="s">
        <v>1145</v>
      </c>
      <c r="D986" s="79">
        <f>E986*$D$1</f>
        <v>34.43888888888889</v>
      </c>
      <c r="E986" s="79">
        <f>619.9/18</f>
        <v>34.43888888888889</v>
      </c>
      <c r="F986" s="79" t="s">
        <v>1095</v>
      </c>
      <c r="G986" s="79" t="s">
        <v>1095</v>
      </c>
      <c r="H986" s="79"/>
      <c r="I986" s="80" t="s">
        <v>1095</v>
      </c>
    </row>
    <row r="987" spans="1:9" ht="14.25" x14ac:dyDescent="0.2">
      <c r="A987" s="10">
        <f t="shared" si="42"/>
        <v>1</v>
      </c>
      <c r="B987" s="77" t="s">
        <v>1843</v>
      </c>
      <c r="C987" s="78" t="s">
        <v>1145</v>
      </c>
      <c r="D987" s="79">
        <f t="shared" si="43"/>
        <v>42.772222222222219</v>
      </c>
      <c r="E987" s="79">
        <f>769.9/18</f>
        <v>42.772222222222219</v>
      </c>
      <c r="F987" s="79" t="s">
        <v>1095</v>
      </c>
      <c r="G987" s="79" t="s">
        <v>1095</v>
      </c>
      <c r="H987" s="79"/>
      <c r="I987" s="80" t="s">
        <v>1095</v>
      </c>
    </row>
    <row r="988" spans="1:9" ht="14.25" x14ac:dyDescent="0.2">
      <c r="A988" s="10">
        <f t="shared" si="42"/>
        <v>1</v>
      </c>
      <c r="B988" s="77" t="s">
        <v>1844</v>
      </c>
      <c r="C988" s="78" t="s">
        <v>1145</v>
      </c>
      <c r="D988" s="79">
        <f>E988*$D$1</f>
        <v>23.049999999999997</v>
      </c>
      <c r="E988" s="79">
        <f>414.9/18</f>
        <v>23.049999999999997</v>
      </c>
      <c r="F988" s="79" t="s">
        <v>1095</v>
      </c>
      <c r="G988" s="79" t="s">
        <v>1095</v>
      </c>
      <c r="H988" s="79"/>
      <c r="I988" s="80" t="s">
        <v>1095</v>
      </c>
    </row>
    <row r="989" spans="1:9" ht="14.25" x14ac:dyDescent="0.2">
      <c r="A989" s="10">
        <f t="shared" si="42"/>
        <v>2</v>
      </c>
      <c r="B989" s="77" t="s">
        <v>1076</v>
      </c>
      <c r="C989" s="78" t="s">
        <v>1145</v>
      </c>
      <c r="D989" s="79">
        <f t="shared" si="43"/>
        <v>40.25</v>
      </c>
      <c r="E989" s="79">
        <v>40.25</v>
      </c>
      <c r="F989" s="79" t="s">
        <v>1095</v>
      </c>
      <c r="G989" s="79" t="s">
        <v>1095</v>
      </c>
      <c r="H989" s="79"/>
      <c r="I989" s="80" t="s">
        <v>1095</v>
      </c>
    </row>
    <row r="990" spans="1:9" ht="14.25" x14ac:dyDescent="0.2">
      <c r="A990" s="10">
        <f t="shared" si="42"/>
        <v>1</v>
      </c>
      <c r="B990" s="77" t="s">
        <v>1845</v>
      </c>
      <c r="C990" s="78" t="s">
        <v>205</v>
      </c>
      <c r="D990" s="79">
        <f t="shared" si="43"/>
        <v>0.45</v>
      </c>
      <c r="E990" s="79">
        <v>0.45</v>
      </c>
      <c r="F990" s="79" t="s">
        <v>1095</v>
      </c>
      <c r="G990" s="79" t="s">
        <v>1095</v>
      </c>
      <c r="H990" s="79"/>
      <c r="I990" s="80" t="s">
        <v>1095</v>
      </c>
    </row>
    <row r="991" spans="1:9" ht="14.25" x14ac:dyDescent="0.2">
      <c r="A991" s="10">
        <f t="shared" si="42"/>
        <v>1</v>
      </c>
      <c r="B991" s="77" t="s">
        <v>1846</v>
      </c>
      <c r="C991" s="78" t="s">
        <v>205</v>
      </c>
      <c r="D991" s="79">
        <f t="shared" si="43"/>
        <v>13</v>
      </c>
      <c r="E991" s="79">
        <v>13</v>
      </c>
      <c r="F991" s="79" t="s">
        <v>1095</v>
      </c>
      <c r="G991" s="79" t="s">
        <v>1095</v>
      </c>
      <c r="H991" s="79"/>
      <c r="I991" s="80" t="s">
        <v>1095</v>
      </c>
    </row>
    <row r="992" spans="1:9" ht="14.25" x14ac:dyDescent="0.2">
      <c r="A992" s="10">
        <f t="shared" si="42"/>
        <v>1</v>
      </c>
      <c r="B992" s="77" t="s">
        <v>1847</v>
      </c>
      <c r="C992" s="78" t="s">
        <v>205</v>
      </c>
      <c r="D992" s="79">
        <f t="shared" si="43"/>
        <v>18</v>
      </c>
      <c r="E992" s="79">
        <v>18</v>
      </c>
      <c r="F992" s="79" t="s">
        <v>1095</v>
      </c>
      <c r="G992" s="79" t="s">
        <v>1095</v>
      </c>
      <c r="H992" s="79"/>
      <c r="I992" s="80" t="s">
        <v>1095</v>
      </c>
    </row>
    <row r="993" spans="1:9" ht="14.25" x14ac:dyDescent="0.2">
      <c r="A993" s="10">
        <f t="shared" si="42"/>
        <v>1</v>
      </c>
      <c r="B993" s="77" t="s">
        <v>1848</v>
      </c>
      <c r="C993" s="78" t="s">
        <v>1145</v>
      </c>
      <c r="D993" s="79">
        <f t="shared" si="43"/>
        <v>12</v>
      </c>
      <c r="E993" s="79">
        <v>12</v>
      </c>
      <c r="F993" s="79" t="s">
        <v>1095</v>
      </c>
      <c r="G993" s="79" t="s">
        <v>1095</v>
      </c>
      <c r="H993" s="79"/>
      <c r="I993" s="80" t="s">
        <v>1095</v>
      </c>
    </row>
    <row r="994" spans="1:9" ht="14.25" x14ac:dyDescent="0.2">
      <c r="A994" s="10">
        <f t="shared" si="42"/>
        <v>1</v>
      </c>
      <c r="B994" s="77" t="s">
        <v>1849</v>
      </c>
      <c r="C994" s="78" t="s">
        <v>205</v>
      </c>
      <c r="D994" s="79">
        <f t="shared" si="43"/>
        <v>30</v>
      </c>
      <c r="E994" s="79">
        <v>30</v>
      </c>
      <c r="F994" s="79" t="s">
        <v>1095</v>
      </c>
      <c r="G994" s="79" t="s">
        <v>1095</v>
      </c>
      <c r="H994" s="79"/>
      <c r="I994" s="80" t="s">
        <v>1095</v>
      </c>
    </row>
    <row r="995" spans="1:9" ht="14.25" x14ac:dyDescent="0.2">
      <c r="A995" s="10">
        <f t="shared" si="42"/>
        <v>1</v>
      </c>
      <c r="B995" s="77" t="s">
        <v>1850</v>
      </c>
      <c r="C995" s="78" t="s">
        <v>205</v>
      </c>
      <c r="D995" s="79">
        <f t="shared" si="43"/>
        <v>25</v>
      </c>
      <c r="E995" s="79">
        <v>25</v>
      </c>
      <c r="F995" s="79" t="s">
        <v>1095</v>
      </c>
      <c r="G995" s="79" t="s">
        <v>1095</v>
      </c>
      <c r="H995" s="79"/>
      <c r="I995" s="80" t="s">
        <v>1095</v>
      </c>
    </row>
    <row r="996" spans="1:9" ht="14.25" x14ac:dyDescent="0.2">
      <c r="A996" s="10">
        <f t="shared" si="42"/>
        <v>1</v>
      </c>
      <c r="B996" s="77" t="s">
        <v>1851</v>
      </c>
      <c r="C996" s="78" t="s">
        <v>205</v>
      </c>
      <c r="D996" s="79">
        <f t="shared" si="43"/>
        <v>26</v>
      </c>
      <c r="E996" s="79">
        <v>26</v>
      </c>
      <c r="F996" s="79" t="s">
        <v>1095</v>
      </c>
      <c r="G996" s="79" t="s">
        <v>1095</v>
      </c>
      <c r="H996" s="79"/>
      <c r="I996" s="80" t="s">
        <v>1095</v>
      </c>
    </row>
  </sheetData>
  <autoFilter ref="A1:G996" xr:uid="{00000000-0009-0000-0000-000004000000}"/>
  <conditionalFormatting sqref="B250">
    <cfRule type="expression" dxfId="6431" priority="10">
      <formula>$B250="Serviço"</formula>
    </cfRule>
    <cfRule type="expression" dxfId="6430" priority="11">
      <formula>$B250="Subetapa"</formula>
    </cfRule>
  </conditionalFormatting>
  <conditionalFormatting sqref="B473">
    <cfRule type="expression" dxfId="6429" priority="8">
      <formula>$B473="Subetapa"</formula>
    </cfRule>
    <cfRule type="expression" dxfId="6428" priority="9">
      <formula>$B473="Serviço"</formula>
    </cfRule>
  </conditionalFormatting>
  <conditionalFormatting sqref="E280">
    <cfRule type="cellIs" dxfId="6427" priority="12" operator="equal">
      <formula>"TETO"</formula>
    </cfRule>
    <cfRule type="cellIs" dxfId="6426" priority="13" operator="equal">
      <formula>"PAREDE"</formula>
    </cfRule>
    <cfRule type="cellIs" dxfId="6425" priority="14" operator="equal">
      <formula>"PISO"</formula>
    </cfRule>
    <cfRule type="cellIs" dxfId="6424" priority="15" operator="equal">
      <formula>"FACHADA"</formula>
    </cfRule>
  </conditionalFormatting>
  <conditionalFormatting sqref="B760:G760 B763:G763">
    <cfRule type="expression" dxfId="6423" priority="7">
      <formula>$A760=2</formula>
    </cfRule>
  </conditionalFormatting>
  <conditionalFormatting sqref="B361:G376">
    <cfRule type="expression" dxfId="6422" priority="6">
      <formula>$A361=2</formula>
    </cfRule>
  </conditionalFormatting>
  <conditionalFormatting sqref="B761:G761">
    <cfRule type="expression" dxfId="6421" priority="4">
      <formula>$A761=2</formula>
    </cfRule>
  </conditionalFormatting>
  <conditionalFormatting sqref="B762:G762">
    <cfRule type="expression" dxfId="6420" priority="3">
      <formula>$A762=2</formula>
    </cfRule>
  </conditionalFormatting>
  <conditionalFormatting sqref="B819">
    <cfRule type="expression" dxfId="6419"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CAPA</vt:lpstr>
      <vt:lpstr>EAP</vt:lpstr>
      <vt:lpstr>EPCs</vt:lpstr>
      <vt:lpstr>Ger_Executivo_Manual</vt:lpstr>
      <vt:lpstr>Orçamento</vt:lpstr>
      <vt:lpstr>Composições</vt:lpstr>
      <vt:lpstr>Insumos (2)</vt:lpstr>
      <vt:lpstr>PROJETOS</vt:lpstr>
      <vt:lpstr>Ger_Tec e Adm</vt:lpstr>
      <vt:lpstr>Ger_Executivo_Cartesian</vt:lpstr>
      <vt:lpstr>CPU</vt:lpstr>
      <vt:lpstr>Insumos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2026-04-21T01:53:10Z</dcterms:modified>
</cp:coreProperties>
</file>